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filterPrivacy="1"/>
  <xr:revisionPtr revIDLastSave="0" documentId="13_ncr:1_{59BD212F-BE2D-4994-A134-3AAE0BE7758B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UTT" sheetId="4" r:id="rId1"/>
    <sheet name="Data" sheetId="5" r:id="rId2"/>
    <sheet name="Dashboard_Data" sheetId="11" r:id="rId3"/>
    <sheet name="Temp Data" sheetId="10" r:id="rId4"/>
    <sheet name="Waterfall- UTT" sheetId="9" state="hidden" r:id="rId5"/>
  </sheets>
  <externalReferences>
    <externalReference r:id="rId6"/>
    <externalReference r:id="rId7"/>
  </externalReferences>
  <definedNames>
    <definedName name="_xlnm._FilterDatabase" localSheetId="1" hidden="1">Data!$A$1:$X$692</definedName>
    <definedName name="_xlnm._FilterDatabase" localSheetId="0" hidden="1">UTT!$A$2:$CJ$118</definedName>
    <definedName name="_xlchart.v1.0" hidden="1">'Waterfall- UTT'!$B$6:$B$14</definedName>
    <definedName name="_xlchart.v1.1" hidden="1">'Waterfall- UTT'!$C$6:$C$14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692" i="11" l="1"/>
  <c r="S692" i="11"/>
  <c r="R692" i="11"/>
  <c r="Q692" i="11"/>
  <c r="P692" i="11"/>
  <c r="K692" i="11"/>
  <c r="J692" i="11"/>
  <c r="I692" i="11"/>
  <c r="H692" i="11"/>
  <c r="G692" i="11"/>
  <c r="F692" i="11"/>
  <c r="L692" i="11" s="1"/>
  <c r="U691" i="11"/>
  <c r="S691" i="11"/>
  <c r="R691" i="11"/>
  <c r="Q691" i="11"/>
  <c r="P691" i="11"/>
  <c r="K691" i="11"/>
  <c r="J691" i="11"/>
  <c r="I691" i="11"/>
  <c r="H691" i="11"/>
  <c r="G691" i="11"/>
  <c r="F691" i="11"/>
  <c r="L691" i="11" s="1"/>
  <c r="U690" i="11"/>
  <c r="S690" i="11"/>
  <c r="R690" i="11"/>
  <c r="Q690" i="11"/>
  <c r="P690" i="11"/>
  <c r="K690" i="11"/>
  <c r="J690" i="11"/>
  <c r="L690" i="11" s="1"/>
  <c r="I690" i="11"/>
  <c r="H690" i="11"/>
  <c r="G690" i="11"/>
  <c r="F690" i="11"/>
  <c r="X689" i="11"/>
  <c r="U689" i="11"/>
  <c r="S689" i="11"/>
  <c r="R689" i="11"/>
  <c r="Q689" i="11"/>
  <c r="P689" i="11"/>
  <c r="K689" i="11"/>
  <c r="M689" i="11" s="1"/>
  <c r="J689" i="11"/>
  <c r="L689" i="11" s="1"/>
  <c r="I689" i="11"/>
  <c r="H689" i="11"/>
  <c r="G689" i="11"/>
  <c r="F689" i="11"/>
  <c r="X688" i="11"/>
  <c r="U688" i="11"/>
  <c r="S688" i="11"/>
  <c r="R688" i="11"/>
  <c r="Q688" i="11"/>
  <c r="P688" i="11"/>
  <c r="M688" i="11"/>
  <c r="K688" i="11"/>
  <c r="J688" i="11"/>
  <c r="I688" i="11"/>
  <c r="H688" i="11"/>
  <c r="G688" i="11"/>
  <c r="F688" i="11"/>
  <c r="U687" i="11"/>
  <c r="S687" i="11"/>
  <c r="R687" i="11"/>
  <c r="Q687" i="11"/>
  <c r="P687" i="11"/>
  <c r="K687" i="11"/>
  <c r="M687" i="11" s="1"/>
  <c r="J687" i="11"/>
  <c r="I687" i="11"/>
  <c r="H687" i="11"/>
  <c r="G687" i="11"/>
  <c r="F687" i="11"/>
  <c r="U686" i="11"/>
  <c r="S686" i="11"/>
  <c r="R686" i="11"/>
  <c r="Q686" i="11"/>
  <c r="P686" i="11"/>
  <c r="L686" i="11"/>
  <c r="K686" i="11"/>
  <c r="J686" i="11"/>
  <c r="I686" i="11"/>
  <c r="H686" i="11"/>
  <c r="G686" i="11"/>
  <c r="F686" i="11"/>
  <c r="X685" i="11"/>
  <c r="U685" i="11"/>
  <c r="S685" i="11"/>
  <c r="R685" i="11"/>
  <c r="Q685" i="11"/>
  <c r="P685" i="11"/>
  <c r="M685" i="11"/>
  <c r="L685" i="11"/>
  <c r="K685" i="11"/>
  <c r="J685" i="11"/>
  <c r="I685" i="11"/>
  <c r="H685" i="11"/>
  <c r="G685" i="11"/>
  <c r="F685" i="11"/>
  <c r="U684" i="11"/>
  <c r="S684" i="11"/>
  <c r="R684" i="11"/>
  <c r="Q684" i="11"/>
  <c r="P684" i="11"/>
  <c r="M684" i="11"/>
  <c r="K684" i="11"/>
  <c r="J684" i="11"/>
  <c r="I684" i="11"/>
  <c r="H684" i="11"/>
  <c r="G684" i="11"/>
  <c r="F684" i="11"/>
  <c r="X683" i="11"/>
  <c r="U683" i="11"/>
  <c r="S683" i="11"/>
  <c r="R683" i="11"/>
  <c r="Q683" i="11"/>
  <c r="P683" i="11"/>
  <c r="K683" i="11"/>
  <c r="J683" i="11"/>
  <c r="I683" i="11"/>
  <c r="H683" i="11"/>
  <c r="G683" i="11"/>
  <c r="F683" i="11"/>
  <c r="U682" i="11"/>
  <c r="S682" i="11"/>
  <c r="R682" i="11"/>
  <c r="Q682" i="11"/>
  <c r="P682" i="11"/>
  <c r="K682" i="11"/>
  <c r="J682" i="11"/>
  <c r="I682" i="11"/>
  <c r="H682" i="11"/>
  <c r="G682" i="11"/>
  <c r="F682" i="11"/>
  <c r="X681" i="11"/>
  <c r="U681" i="11"/>
  <c r="S681" i="11"/>
  <c r="R681" i="11"/>
  <c r="Q681" i="11"/>
  <c r="P681" i="11"/>
  <c r="K681" i="11"/>
  <c r="J681" i="11"/>
  <c r="I681" i="11"/>
  <c r="H681" i="11"/>
  <c r="G681" i="11"/>
  <c r="F681" i="11"/>
  <c r="U680" i="11"/>
  <c r="S680" i="11"/>
  <c r="R680" i="11"/>
  <c r="Q680" i="11"/>
  <c r="P680" i="11"/>
  <c r="K680" i="11"/>
  <c r="J680" i="11"/>
  <c r="I680" i="11"/>
  <c r="H680" i="11"/>
  <c r="G680" i="11"/>
  <c r="F680" i="11"/>
  <c r="U679" i="11"/>
  <c r="S679" i="11"/>
  <c r="R679" i="11"/>
  <c r="Q679" i="11"/>
  <c r="P679" i="11"/>
  <c r="K679" i="11"/>
  <c r="J679" i="11"/>
  <c r="I679" i="11"/>
  <c r="H679" i="11"/>
  <c r="G679" i="11"/>
  <c r="F679" i="11"/>
  <c r="U678" i="11"/>
  <c r="S678" i="11"/>
  <c r="R678" i="11"/>
  <c r="Q678" i="11"/>
  <c r="P678" i="11"/>
  <c r="K678" i="11"/>
  <c r="J678" i="11"/>
  <c r="I678" i="11"/>
  <c r="H678" i="11"/>
  <c r="G678" i="11"/>
  <c r="F678" i="11"/>
  <c r="U677" i="11"/>
  <c r="S677" i="11"/>
  <c r="R677" i="11"/>
  <c r="Q677" i="11"/>
  <c r="P677" i="11"/>
  <c r="K677" i="11"/>
  <c r="J677" i="11"/>
  <c r="I677" i="11"/>
  <c r="H677" i="11"/>
  <c r="G677" i="11"/>
  <c r="F677" i="11"/>
  <c r="X676" i="11"/>
  <c r="U676" i="11"/>
  <c r="S676" i="11"/>
  <c r="R676" i="11"/>
  <c r="Q676" i="11"/>
  <c r="P676" i="11"/>
  <c r="K676" i="11"/>
  <c r="J676" i="11"/>
  <c r="I676" i="11"/>
  <c r="H676" i="11"/>
  <c r="G676" i="11"/>
  <c r="F676" i="11"/>
  <c r="U675" i="11"/>
  <c r="S675" i="11"/>
  <c r="R675" i="11"/>
  <c r="Q675" i="11"/>
  <c r="P675" i="11"/>
  <c r="K675" i="11"/>
  <c r="J675" i="11"/>
  <c r="I675" i="11"/>
  <c r="H675" i="11"/>
  <c r="G675" i="11"/>
  <c r="F675" i="11"/>
  <c r="U674" i="11"/>
  <c r="S674" i="11"/>
  <c r="R674" i="11"/>
  <c r="Q674" i="11"/>
  <c r="P674" i="11"/>
  <c r="L674" i="11" s="1"/>
  <c r="K674" i="11"/>
  <c r="M674" i="11" s="1"/>
  <c r="J674" i="11"/>
  <c r="I674" i="11"/>
  <c r="H674" i="11"/>
  <c r="G674" i="11"/>
  <c r="F674" i="11"/>
  <c r="X673" i="11"/>
  <c r="U673" i="11"/>
  <c r="S673" i="11"/>
  <c r="R673" i="11"/>
  <c r="Q673" i="11"/>
  <c r="P673" i="11"/>
  <c r="L673" i="11" s="1"/>
  <c r="K673" i="11"/>
  <c r="M673" i="11" s="1"/>
  <c r="J673" i="11"/>
  <c r="I673" i="11"/>
  <c r="H673" i="11"/>
  <c r="G673" i="11"/>
  <c r="F673" i="11"/>
  <c r="X672" i="11"/>
  <c r="M672" i="11"/>
  <c r="L672" i="11"/>
  <c r="E672" i="11"/>
  <c r="X671" i="11"/>
  <c r="O671" i="11"/>
  <c r="N671" i="11"/>
  <c r="M671" i="11"/>
  <c r="L671" i="11"/>
  <c r="X670" i="11"/>
  <c r="O670" i="11"/>
  <c r="N670" i="11"/>
  <c r="M670" i="11"/>
  <c r="L670" i="11"/>
  <c r="X669" i="11"/>
  <c r="O669" i="11"/>
  <c r="N669" i="11"/>
  <c r="M669" i="11"/>
  <c r="L669" i="11"/>
  <c r="X668" i="11"/>
  <c r="O668" i="11"/>
  <c r="N668" i="11"/>
  <c r="M668" i="11"/>
  <c r="L668" i="11"/>
  <c r="X667" i="11"/>
  <c r="O667" i="11"/>
  <c r="N667" i="11"/>
  <c r="M667" i="11"/>
  <c r="L667" i="11"/>
  <c r="X666" i="11"/>
  <c r="O666" i="11"/>
  <c r="N666" i="11"/>
  <c r="M666" i="11"/>
  <c r="L666" i="11"/>
  <c r="X665" i="11"/>
  <c r="O665" i="11"/>
  <c r="N665" i="11"/>
  <c r="M665" i="11"/>
  <c r="L665" i="11"/>
  <c r="X664" i="11"/>
  <c r="O664" i="11"/>
  <c r="N664" i="11"/>
  <c r="M664" i="11"/>
  <c r="L664" i="11"/>
  <c r="X663" i="11"/>
  <c r="O663" i="11"/>
  <c r="N663" i="11"/>
  <c r="M663" i="11"/>
  <c r="L663" i="11"/>
  <c r="X662" i="11"/>
  <c r="O662" i="11"/>
  <c r="N662" i="11"/>
  <c r="M662" i="11"/>
  <c r="L662" i="11"/>
  <c r="X661" i="11"/>
  <c r="O661" i="11"/>
  <c r="N661" i="11"/>
  <c r="M661" i="11"/>
  <c r="L661" i="11"/>
  <c r="Q660" i="11"/>
  <c r="N660" i="11"/>
  <c r="L660" i="11"/>
  <c r="G660" i="11"/>
  <c r="X659" i="11"/>
  <c r="O659" i="11"/>
  <c r="N659" i="11"/>
  <c r="M659" i="11"/>
  <c r="L659" i="11"/>
  <c r="X658" i="11"/>
  <c r="O658" i="11"/>
  <c r="N658" i="11"/>
  <c r="M658" i="11"/>
  <c r="L658" i="11"/>
  <c r="X657" i="11"/>
  <c r="O657" i="11"/>
  <c r="N657" i="11"/>
  <c r="M657" i="11"/>
  <c r="L657" i="11"/>
  <c r="X656" i="11"/>
  <c r="O656" i="11"/>
  <c r="N656" i="11"/>
  <c r="M656" i="11"/>
  <c r="L656" i="11"/>
  <c r="X655" i="11"/>
  <c r="O655" i="11"/>
  <c r="N655" i="11"/>
  <c r="M655" i="11"/>
  <c r="L655" i="11"/>
  <c r="X654" i="11"/>
  <c r="O654" i="11"/>
  <c r="N654" i="11"/>
  <c r="M654" i="11"/>
  <c r="L654" i="11"/>
  <c r="X653" i="11"/>
  <c r="O653" i="11"/>
  <c r="N653" i="11"/>
  <c r="M653" i="11"/>
  <c r="L653" i="11"/>
  <c r="X652" i="11"/>
  <c r="O652" i="11"/>
  <c r="N652" i="11"/>
  <c r="M652" i="11"/>
  <c r="L652" i="11"/>
  <c r="X651" i="11"/>
  <c r="O651" i="11"/>
  <c r="N651" i="11"/>
  <c r="M651" i="11"/>
  <c r="L651" i="11"/>
  <c r="X650" i="11"/>
  <c r="O650" i="11"/>
  <c r="N650" i="11"/>
  <c r="M650" i="11"/>
  <c r="L650" i="11"/>
  <c r="X649" i="11"/>
  <c r="O649" i="11"/>
  <c r="N649" i="11"/>
  <c r="M649" i="11"/>
  <c r="L649" i="11"/>
  <c r="X648" i="11"/>
  <c r="O648" i="11"/>
  <c r="N648" i="11"/>
  <c r="M648" i="11"/>
  <c r="L648" i="11"/>
  <c r="X647" i="11"/>
  <c r="O647" i="11"/>
  <c r="N647" i="11"/>
  <c r="M647" i="11"/>
  <c r="L647" i="11"/>
  <c r="X646" i="11"/>
  <c r="O646" i="11"/>
  <c r="N646" i="11"/>
  <c r="M646" i="11"/>
  <c r="L646" i="11"/>
  <c r="X645" i="11"/>
  <c r="O645" i="11"/>
  <c r="N645" i="11"/>
  <c r="L645" i="11"/>
  <c r="G645" i="11"/>
  <c r="M645" i="11" s="1"/>
  <c r="N644" i="11"/>
  <c r="L644" i="11"/>
  <c r="G644" i="11"/>
  <c r="X643" i="11"/>
  <c r="O643" i="11"/>
  <c r="N643" i="11"/>
  <c r="M643" i="11"/>
  <c r="L643" i="11"/>
  <c r="G643" i="11"/>
  <c r="X642" i="11"/>
  <c r="O642" i="11"/>
  <c r="N642" i="11"/>
  <c r="M642" i="11"/>
  <c r="L642" i="11"/>
  <c r="G642" i="11"/>
  <c r="X641" i="11"/>
  <c r="O641" i="11"/>
  <c r="N641" i="11"/>
  <c r="M641" i="11"/>
  <c r="L641" i="11"/>
  <c r="X640" i="11"/>
  <c r="O640" i="11"/>
  <c r="N640" i="11"/>
  <c r="L640" i="11"/>
  <c r="G640" i="11"/>
  <c r="M640" i="11" s="1"/>
  <c r="O639" i="11"/>
  <c r="N639" i="11"/>
  <c r="M639" i="11"/>
  <c r="L639" i="11"/>
  <c r="G639" i="11"/>
  <c r="X639" i="11" s="1"/>
  <c r="N638" i="11"/>
  <c r="L638" i="11"/>
  <c r="G638" i="11"/>
  <c r="X637" i="11"/>
  <c r="O637" i="11"/>
  <c r="N637" i="11"/>
  <c r="M637" i="11"/>
  <c r="L637" i="11"/>
  <c r="G637" i="11"/>
  <c r="X636" i="11"/>
  <c r="O636" i="11"/>
  <c r="N636" i="11"/>
  <c r="L636" i="11"/>
  <c r="G636" i="11"/>
  <c r="M636" i="11" s="1"/>
  <c r="N635" i="11"/>
  <c r="M635" i="11"/>
  <c r="L635" i="11"/>
  <c r="G635" i="11"/>
  <c r="N634" i="11"/>
  <c r="L634" i="11"/>
  <c r="G634" i="11"/>
  <c r="M634" i="11" s="1"/>
  <c r="N633" i="11"/>
  <c r="M633" i="11"/>
  <c r="L633" i="11"/>
  <c r="G633" i="11"/>
  <c r="N632" i="11"/>
  <c r="L632" i="11"/>
  <c r="G632" i="11"/>
  <c r="X631" i="11"/>
  <c r="O631" i="11"/>
  <c r="N631" i="11"/>
  <c r="M631" i="11"/>
  <c r="L631" i="11"/>
  <c r="G631" i="11"/>
  <c r="X630" i="11"/>
  <c r="O630" i="11"/>
  <c r="N630" i="11"/>
  <c r="L630" i="11"/>
  <c r="G630" i="11"/>
  <c r="M630" i="11" s="1"/>
  <c r="X629" i="11"/>
  <c r="O629" i="11"/>
  <c r="N629" i="11"/>
  <c r="M629" i="11"/>
  <c r="L629" i="11"/>
  <c r="G629" i="11"/>
  <c r="X628" i="11"/>
  <c r="O628" i="11"/>
  <c r="N628" i="11"/>
  <c r="M628" i="11"/>
  <c r="L628" i="11"/>
  <c r="X627" i="11"/>
  <c r="N627" i="11"/>
  <c r="L627" i="11"/>
  <c r="G627" i="11"/>
  <c r="X626" i="11"/>
  <c r="O626" i="11"/>
  <c r="N626" i="11"/>
  <c r="L626" i="11"/>
  <c r="G626" i="11"/>
  <c r="M626" i="11" s="1"/>
  <c r="N625" i="11"/>
  <c r="L625" i="11"/>
  <c r="K625" i="11"/>
  <c r="I625" i="11"/>
  <c r="G625" i="11"/>
  <c r="O625" i="11" s="1"/>
  <c r="X624" i="11"/>
  <c r="O624" i="11"/>
  <c r="N624" i="11"/>
  <c r="M624" i="11"/>
  <c r="L624" i="11"/>
  <c r="G624" i="11"/>
  <c r="X623" i="11"/>
  <c r="O623" i="11"/>
  <c r="N623" i="11"/>
  <c r="M623" i="11"/>
  <c r="L623" i="11"/>
  <c r="X622" i="11"/>
  <c r="O622" i="11"/>
  <c r="N622" i="11"/>
  <c r="M622" i="11"/>
  <c r="L622" i="11"/>
  <c r="G622" i="11"/>
  <c r="X621" i="11"/>
  <c r="O621" i="11"/>
  <c r="N621" i="11"/>
  <c r="M621" i="11"/>
  <c r="L621" i="11"/>
  <c r="G621" i="11"/>
  <c r="N620" i="11"/>
  <c r="L620" i="11"/>
  <c r="K620" i="11"/>
  <c r="I620" i="11"/>
  <c r="G620" i="11"/>
  <c r="O619" i="11"/>
  <c r="N619" i="11"/>
  <c r="L619" i="11"/>
  <c r="K619" i="11"/>
  <c r="I619" i="11"/>
  <c r="G619" i="11"/>
  <c r="X618" i="11"/>
  <c r="N618" i="11"/>
  <c r="L618" i="11"/>
  <c r="G618" i="11"/>
  <c r="M618" i="11" s="1"/>
  <c r="X617" i="11"/>
  <c r="O617" i="11"/>
  <c r="N617" i="11"/>
  <c r="M617" i="11"/>
  <c r="L617" i="11"/>
  <c r="G617" i="11"/>
  <c r="N616" i="11"/>
  <c r="L616" i="11"/>
  <c r="G616" i="11"/>
  <c r="N615" i="11"/>
  <c r="M615" i="11"/>
  <c r="L615" i="11"/>
  <c r="K615" i="11"/>
  <c r="I615" i="11"/>
  <c r="G615" i="11"/>
  <c r="X614" i="11"/>
  <c r="O614" i="11"/>
  <c r="N614" i="11"/>
  <c r="M614" i="11"/>
  <c r="L614" i="11"/>
  <c r="G614" i="11"/>
  <c r="X613" i="11"/>
  <c r="O613" i="11"/>
  <c r="N613" i="11"/>
  <c r="M613" i="11"/>
  <c r="L613" i="11"/>
  <c r="X612" i="11"/>
  <c r="O612" i="11"/>
  <c r="N612" i="11"/>
  <c r="M612" i="11"/>
  <c r="X611" i="11"/>
  <c r="O611" i="11"/>
  <c r="N611" i="11"/>
  <c r="M611" i="11"/>
  <c r="G611" i="11"/>
  <c r="X610" i="11"/>
  <c r="O610" i="11"/>
  <c r="N610" i="11"/>
  <c r="M610" i="11"/>
  <c r="X609" i="11"/>
  <c r="O609" i="11"/>
  <c r="N609" i="11"/>
  <c r="M609" i="11"/>
  <c r="X608" i="11"/>
  <c r="O608" i="11"/>
  <c r="N608" i="11"/>
  <c r="M608" i="11"/>
  <c r="X607" i="11"/>
  <c r="O607" i="11"/>
  <c r="N607" i="11"/>
  <c r="M607" i="11"/>
  <c r="X606" i="11"/>
  <c r="O606" i="11"/>
  <c r="N606" i="11"/>
  <c r="M606" i="11"/>
  <c r="X605" i="11"/>
  <c r="O605" i="11"/>
  <c r="N605" i="11"/>
  <c r="M605" i="11"/>
  <c r="X604" i="11"/>
  <c r="O604" i="11"/>
  <c r="N604" i="11"/>
  <c r="M604" i="11"/>
  <c r="X603" i="11"/>
  <c r="O603" i="11"/>
  <c r="N603" i="11"/>
  <c r="M603" i="11"/>
  <c r="X602" i="11"/>
  <c r="X601" i="11"/>
  <c r="X600" i="11"/>
  <c r="X599" i="11"/>
  <c r="X598" i="11"/>
  <c r="U592" i="11"/>
  <c r="S592" i="11"/>
  <c r="R592" i="11"/>
  <c r="Q592" i="11"/>
  <c r="P592" i="11"/>
  <c r="L592" i="11"/>
  <c r="K592" i="11"/>
  <c r="M592" i="11" s="1"/>
  <c r="J592" i="11"/>
  <c r="I592" i="11"/>
  <c r="H592" i="11"/>
  <c r="G592" i="11"/>
  <c r="F592" i="11"/>
  <c r="X591" i="11"/>
  <c r="U591" i="11"/>
  <c r="S591" i="11"/>
  <c r="R591" i="11"/>
  <c r="Q591" i="11"/>
  <c r="M591" i="11" s="1"/>
  <c r="P591" i="11"/>
  <c r="L591" i="11"/>
  <c r="K591" i="11"/>
  <c r="J591" i="11"/>
  <c r="I591" i="11"/>
  <c r="H591" i="11"/>
  <c r="G591" i="11"/>
  <c r="F591" i="11"/>
  <c r="U590" i="11"/>
  <c r="S590" i="11"/>
  <c r="R590" i="11"/>
  <c r="Q590" i="11"/>
  <c r="P590" i="11"/>
  <c r="M590" i="11"/>
  <c r="K590" i="11"/>
  <c r="J590" i="11"/>
  <c r="I590" i="11"/>
  <c r="H590" i="11"/>
  <c r="G590" i="11"/>
  <c r="F590" i="11"/>
  <c r="U589" i="11"/>
  <c r="S589" i="11"/>
  <c r="R589" i="11"/>
  <c r="Q589" i="11"/>
  <c r="P589" i="11"/>
  <c r="K589" i="11"/>
  <c r="X589" i="11" s="1"/>
  <c r="J589" i="11"/>
  <c r="I589" i="11"/>
  <c r="H589" i="11"/>
  <c r="G589" i="11"/>
  <c r="F589" i="11"/>
  <c r="X588" i="11"/>
  <c r="U588" i="11"/>
  <c r="S588" i="11"/>
  <c r="R588" i="11"/>
  <c r="Q588" i="11"/>
  <c r="P588" i="11"/>
  <c r="L588" i="11"/>
  <c r="K588" i="11"/>
  <c r="J588" i="11"/>
  <c r="I588" i="11"/>
  <c r="H588" i="11"/>
  <c r="G588" i="11"/>
  <c r="F588" i="11"/>
  <c r="X587" i="11"/>
  <c r="U587" i="11"/>
  <c r="S587" i="11"/>
  <c r="R587" i="11"/>
  <c r="Q587" i="11"/>
  <c r="M587" i="11" s="1"/>
  <c r="P587" i="11"/>
  <c r="L587" i="11" s="1"/>
  <c r="K587" i="11"/>
  <c r="J587" i="11"/>
  <c r="I587" i="11"/>
  <c r="H587" i="11"/>
  <c r="G587" i="11"/>
  <c r="F587" i="11"/>
  <c r="U586" i="11"/>
  <c r="S586" i="11"/>
  <c r="R586" i="11"/>
  <c r="Q586" i="11"/>
  <c r="P586" i="11"/>
  <c r="M586" i="11"/>
  <c r="K586" i="11"/>
  <c r="J586" i="11"/>
  <c r="I586" i="11"/>
  <c r="H586" i="11"/>
  <c r="G586" i="11"/>
  <c r="F586" i="11"/>
  <c r="U585" i="11"/>
  <c r="S585" i="11"/>
  <c r="R585" i="11"/>
  <c r="Q585" i="11"/>
  <c r="P585" i="11"/>
  <c r="K585" i="11"/>
  <c r="J585" i="11"/>
  <c r="I585" i="11"/>
  <c r="H585" i="11"/>
  <c r="G585" i="11"/>
  <c r="F585" i="11"/>
  <c r="U584" i="11"/>
  <c r="S584" i="11"/>
  <c r="R584" i="11"/>
  <c r="Q584" i="11"/>
  <c r="P584" i="11"/>
  <c r="K584" i="11"/>
  <c r="J584" i="11"/>
  <c r="I584" i="11"/>
  <c r="H584" i="11"/>
  <c r="G584" i="11"/>
  <c r="F584" i="11"/>
  <c r="U583" i="11"/>
  <c r="S583" i="11"/>
  <c r="R583" i="11"/>
  <c r="Q583" i="11"/>
  <c r="P583" i="11"/>
  <c r="K583" i="11"/>
  <c r="J583" i="11"/>
  <c r="I583" i="11"/>
  <c r="H583" i="11"/>
  <c r="G583" i="11"/>
  <c r="F583" i="11"/>
  <c r="X582" i="11"/>
  <c r="U582" i="11"/>
  <c r="S582" i="11"/>
  <c r="R582" i="11"/>
  <c r="Q582" i="11"/>
  <c r="P582" i="11"/>
  <c r="K582" i="11"/>
  <c r="J582" i="11"/>
  <c r="I582" i="11"/>
  <c r="H582" i="11"/>
  <c r="G582" i="11"/>
  <c r="F582" i="11"/>
  <c r="U581" i="11"/>
  <c r="S581" i="11"/>
  <c r="R581" i="11"/>
  <c r="Q581" i="11"/>
  <c r="P581" i="11"/>
  <c r="M581" i="11"/>
  <c r="K581" i="11"/>
  <c r="J581" i="11"/>
  <c r="I581" i="11"/>
  <c r="H581" i="11"/>
  <c r="G581" i="11"/>
  <c r="F581" i="11"/>
  <c r="U580" i="11"/>
  <c r="S580" i="11"/>
  <c r="R580" i="11"/>
  <c r="Q580" i="11"/>
  <c r="P580" i="11"/>
  <c r="K580" i="11"/>
  <c r="J580" i="11"/>
  <c r="L580" i="11" s="1"/>
  <c r="I580" i="11"/>
  <c r="H580" i="11"/>
  <c r="G580" i="11"/>
  <c r="F580" i="11"/>
  <c r="U579" i="11"/>
  <c r="S579" i="11"/>
  <c r="R579" i="11"/>
  <c r="Q579" i="11"/>
  <c r="P579" i="11"/>
  <c r="K579" i="11"/>
  <c r="M579" i="11" s="1"/>
  <c r="J579" i="11"/>
  <c r="I579" i="11"/>
  <c r="H579" i="11"/>
  <c r="G579" i="11"/>
  <c r="F579" i="11"/>
  <c r="U578" i="11"/>
  <c r="S578" i="11"/>
  <c r="R578" i="11"/>
  <c r="Q578" i="11"/>
  <c r="P578" i="11"/>
  <c r="K578" i="11"/>
  <c r="M578" i="11" s="1"/>
  <c r="J578" i="11"/>
  <c r="I578" i="11"/>
  <c r="H578" i="11"/>
  <c r="G578" i="11"/>
  <c r="F578" i="11"/>
  <c r="U577" i="11"/>
  <c r="S577" i="11"/>
  <c r="R577" i="11"/>
  <c r="Q577" i="11"/>
  <c r="P577" i="11"/>
  <c r="K577" i="11"/>
  <c r="J577" i="11"/>
  <c r="I577" i="11"/>
  <c r="H577" i="11"/>
  <c r="G577" i="11"/>
  <c r="F577" i="11"/>
  <c r="U576" i="11"/>
  <c r="S576" i="11"/>
  <c r="R576" i="11"/>
  <c r="Q576" i="11"/>
  <c r="P576" i="11"/>
  <c r="L576" i="11"/>
  <c r="K576" i="11"/>
  <c r="J576" i="11"/>
  <c r="I576" i="11"/>
  <c r="H576" i="11"/>
  <c r="G576" i="11"/>
  <c r="F576" i="11"/>
  <c r="X575" i="11"/>
  <c r="U575" i="11"/>
  <c r="S575" i="11"/>
  <c r="R575" i="11"/>
  <c r="Q575" i="11"/>
  <c r="P575" i="11"/>
  <c r="M575" i="11"/>
  <c r="L575" i="11"/>
  <c r="K575" i="11"/>
  <c r="J575" i="11"/>
  <c r="I575" i="11"/>
  <c r="H575" i="11"/>
  <c r="G575" i="11"/>
  <c r="F575" i="11"/>
  <c r="U574" i="11"/>
  <c r="S574" i="11"/>
  <c r="R574" i="11"/>
  <c r="Q574" i="11"/>
  <c r="P574" i="11"/>
  <c r="M574" i="11"/>
  <c r="K574" i="11"/>
  <c r="J574" i="11"/>
  <c r="I574" i="11"/>
  <c r="H574" i="11"/>
  <c r="G574" i="11"/>
  <c r="F574" i="11"/>
  <c r="L574" i="11" s="1"/>
  <c r="U573" i="11"/>
  <c r="S573" i="11"/>
  <c r="R573" i="11"/>
  <c r="Q573" i="11"/>
  <c r="P573" i="11"/>
  <c r="K573" i="11"/>
  <c r="J573" i="11"/>
  <c r="I573" i="11"/>
  <c r="H573" i="11"/>
  <c r="G573" i="11"/>
  <c r="M573" i="11" s="1"/>
  <c r="F573" i="11"/>
  <c r="L573" i="11" s="1"/>
  <c r="X572" i="11"/>
  <c r="U572" i="11"/>
  <c r="S572" i="11"/>
  <c r="R572" i="11"/>
  <c r="Q572" i="11"/>
  <c r="P572" i="11"/>
  <c r="L572" i="11"/>
  <c r="K572" i="11"/>
  <c r="J572" i="11"/>
  <c r="I572" i="11"/>
  <c r="H572" i="11"/>
  <c r="G572" i="11"/>
  <c r="F572" i="11"/>
  <c r="U571" i="11"/>
  <c r="S571" i="11"/>
  <c r="R571" i="11"/>
  <c r="Q571" i="11"/>
  <c r="P571" i="11"/>
  <c r="K571" i="11"/>
  <c r="J571" i="11"/>
  <c r="I571" i="11"/>
  <c r="H571" i="11"/>
  <c r="G571" i="11"/>
  <c r="F571" i="11"/>
  <c r="E571" i="11"/>
  <c r="X570" i="11"/>
  <c r="O570" i="11"/>
  <c r="N570" i="11"/>
  <c r="M570" i="11"/>
  <c r="L570" i="11"/>
  <c r="E570" i="11"/>
  <c r="X569" i="11"/>
  <c r="O569" i="11"/>
  <c r="N569" i="11"/>
  <c r="M569" i="11"/>
  <c r="L569" i="11"/>
  <c r="X568" i="11"/>
  <c r="O568" i="11"/>
  <c r="N568" i="11"/>
  <c r="M568" i="11"/>
  <c r="L568" i="11"/>
  <c r="X567" i="11"/>
  <c r="O567" i="11"/>
  <c r="N567" i="11"/>
  <c r="M567" i="11"/>
  <c r="L567" i="11"/>
  <c r="X566" i="11"/>
  <c r="O566" i="11"/>
  <c r="N566" i="11"/>
  <c r="M566" i="11"/>
  <c r="L566" i="11"/>
  <c r="X565" i="11"/>
  <c r="O565" i="11"/>
  <c r="N565" i="11"/>
  <c r="M565" i="11"/>
  <c r="L565" i="11"/>
  <c r="X564" i="11"/>
  <c r="O564" i="11"/>
  <c r="N564" i="11"/>
  <c r="M564" i="11"/>
  <c r="L564" i="11"/>
  <c r="X563" i="11"/>
  <c r="O563" i="11"/>
  <c r="N563" i="11"/>
  <c r="M563" i="11"/>
  <c r="L563" i="11"/>
  <c r="X562" i="11"/>
  <c r="O562" i="11"/>
  <c r="N562" i="11"/>
  <c r="M562" i="11"/>
  <c r="L562" i="11"/>
  <c r="X561" i="11"/>
  <c r="O561" i="11"/>
  <c r="N561" i="11"/>
  <c r="M561" i="11"/>
  <c r="L561" i="11"/>
  <c r="X560" i="11"/>
  <c r="O560" i="11"/>
  <c r="N560" i="11"/>
  <c r="M560" i="11"/>
  <c r="L560" i="11"/>
  <c r="N559" i="11"/>
  <c r="L559" i="11"/>
  <c r="G559" i="11"/>
  <c r="M559" i="11" s="1"/>
  <c r="X558" i="11"/>
  <c r="O558" i="11"/>
  <c r="N558" i="11"/>
  <c r="M558" i="11"/>
  <c r="L558" i="11"/>
  <c r="X557" i="11"/>
  <c r="O557" i="11"/>
  <c r="N557" i="11"/>
  <c r="M557" i="11"/>
  <c r="L557" i="11"/>
  <c r="X556" i="11"/>
  <c r="O556" i="11"/>
  <c r="N556" i="11"/>
  <c r="M556" i="11"/>
  <c r="L556" i="11"/>
  <c r="X555" i="11"/>
  <c r="O555" i="11"/>
  <c r="N555" i="11"/>
  <c r="M555" i="11"/>
  <c r="L555" i="11"/>
  <c r="X554" i="11"/>
  <c r="O554" i="11"/>
  <c r="N554" i="11"/>
  <c r="M554" i="11"/>
  <c r="L554" i="11"/>
  <c r="X553" i="11"/>
  <c r="O553" i="11"/>
  <c r="N553" i="11"/>
  <c r="M553" i="11"/>
  <c r="L553" i="11"/>
  <c r="X552" i="11"/>
  <c r="O552" i="11"/>
  <c r="N552" i="11"/>
  <c r="M552" i="11"/>
  <c r="L552" i="11"/>
  <c r="X551" i="11"/>
  <c r="O551" i="11"/>
  <c r="N551" i="11"/>
  <c r="M551" i="11"/>
  <c r="L551" i="11"/>
  <c r="X550" i="11"/>
  <c r="O550" i="11"/>
  <c r="N550" i="11"/>
  <c r="M550" i="11"/>
  <c r="L550" i="11"/>
  <c r="X549" i="11"/>
  <c r="O549" i="11"/>
  <c r="N549" i="11"/>
  <c r="M549" i="11"/>
  <c r="L549" i="11"/>
  <c r="X548" i="11"/>
  <c r="O548" i="11"/>
  <c r="N548" i="11"/>
  <c r="M548" i="11"/>
  <c r="L548" i="11"/>
  <c r="X547" i="11"/>
  <c r="O547" i="11"/>
  <c r="N547" i="11"/>
  <c r="M547" i="11"/>
  <c r="L547" i="11"/>
  <c r="X546" i="11"/>
  <c r="O546" i="11"/>
  <c r="N546" i="11"/>
  <c r="M546" i="11"/>
  <c r="L546" i="11"/>
  <c r="X545" i="11"/>
  <c r="O545" i="11"/>
  <c r="N545" i="11"/>
  <c r="M545" i="11"/>
  <c r="L545" i="11"/>
  <c r="X544" i="11"/>
  <c r="O544" i="11"/>
  <c r="N544" i="11"/>
  <c r="M544" i="11"/>
  <c r="L544" i="11"/>
  <c r="G544" i="11"/>
  <c r="O543" i="11"/>
  <c r="N543" i="11"/>
  <c r="M543" i="11"/>
  <c r="L543" i="11"/>
  <c r="G543" i="11"/>
  <c r="X543" i="11" s="1"/>
  <c r="X542" i="11"/>
  <c r="O542" i="11"/>
  <c r="N542" i="11"/>
  <c r="M542" i="11"/>
  <c r="L542" i="11"/>
  <c r="G542" i="11"/>
  <c r="O541" i="11"/>
  <c r="N541" i="11"/>
  <c r="L541" i="11"/>
  <c r="G541" i="11"/>
  <c r="X540" i="11"/>
  <c r="O540" i="11"/>
  <c r="N540" i="11"/>
  <c r="M540" i="11"/>
  <c r="L540" i="11"/>
  <c r="X539" i="11"/>
  <c r="O539" i="11"/>
  <c r="N539" i="11"/>
  <c r="M539" i="11"/>
  <c r="L539" i="11"/>
  <c r="G539" i="11"/>
  <c r="X538" i="11"/>
  <c r="O538" i="11"/>
  <c r="N538" i="11"/>
  <c r="L538" i="11"/>
  <c r="G538" i="11"/>
  <c r="M538" i="11" s="1"/>
  <c r="N537" i="11"/>
  <c r="L537" i="11"/>
  <c r="G537" i="11"/>
  <c r="X537" i="11" s="1"/>
  <c r="X536" i="11"/>
  <c r="O536" i="11"/>
  <c r="N536" i="11"/>
  <c r="L536" i="11"/>
  <c r="G536" i="11"/>
  <c r="M536" i="11" s="1"/>
  <c r="N535" i="11"/>
  <c r="M535" i="11"/>
  <c r="L535" i="11"/>
  <c r="G535" i="11"/>
  <c r="N534" i="11"/>
  <c r="L534" i="11"/>
  <c r="G534" i="11"/>
  <c r="X533" i="11"/>
  <c r="O533" i="11"/>
  <c r="N533" i="11"/>
  <c r="M533" i="11"/>
  <c r="L533" i="11"/>
  <c r="G533" i="11"/>
  <c r="X532" i="11"/>
  <c r="O532" i="11"/>
  <c r="N532" i="11"/>
  <c r="L532" i="11"/>
  <c r="G532" i="11"/>
  <c r="M532" i="11" s="1"/>
  <c r="X531" i="11"/>
  <c r="O531" i="11"/>
  <c r="N531" i="11"/>
  <c r="M531" i="11"/>
  <c r="L531" i="11"/>
  <c r="G531" i="11"/>
  <c r="X530" i="11"/>
  <c r="O530" i="11"/>
  <c r="N530" i="11"/>
  <c r="L530" i="11"/>
  <c r="G530" i="11"/>
  <c r="M530" i="11" s="1"/>
  <c r="N529" i="11"/>
  <c r="L529" i="11"/>
  <c r="G529" i="11"/>
  <c r="O528" i="11"/>
  <c r="N528" i="11"/>
  <c r="L528" i="11"/>
  <c r="G528" i="11"/>
  <c r="M528" i="11" s="1"/>
  <c r="X527" i="11"/>
  <c r="O527" i="11"/>
  <c r="N527" i="11"/>
  <c r="M527" i="11"/>
  <c r="L527" i="11"/>
  <c r="X526" i="11"/>
  <c r="N526" i="11"/>
  <c r="L526" i="11"/>
  <c r="G526" i="11"/>
  <c r="X525" i="11"/>
  <c r="O525" i="11"/>
  <c r="N525" i="11"/>
  <c r="M525" i="11"/>
  <c r="L525" i="11"/>
  <c r="G525" i="11"/>
  <c r="O524" i="11"/>
  <c r="N524" i="11"/>
  <c r="L524" i="11"/>
  <c r="K524" i="11"/>
  <c r="M524" i="11" s="1"/>
  <c r="I524" i="11"/>
  <c r="G524" i="11"/>
  <c r="N523" i="11"/>
  <c r="L523" i="11"/>
  <c r="G523" i="11"/>
  <c r="X522" i="11"/>
  <c r="O522" i="11"/>
  <c r="N522" i="11"/>
  <c r="M522" i="11"/>
  <c r="L522" i="11"/>
  <c r="X521" i="11"/>
  <c r="O521" i="11"/>
  <c r="N521" i="11"/>
  <c r="M521" i="11"/>
  <c r="L521" i="11"/>
  <c r="G521" i="11"/>
  <c r="N520" i="11"/>
  <c r="L520" i="11"/>
  <c r="G520" i="11"/>
  <c r="N519" i="11"/>
  <c r="L519" i="11"/>
  <c r="K519" i="11"/>
  <c r="I519" i="11"/>
  <c r="G519" i="11"/>
  <c r="N518" i="11"/>
  <c r="L518" i="11"/>
  <c r="K518" i="11"/>
  <c r="I518" i="11"/>
  <c r="G518" i="11"/>
  <c r="N517" i="11"/>
  <c r="M517" i="11"/>
  <c r="L517" i="11"/>
  <c r="G517" i="11"/>
  <c r="O516" i="11"/>
  <c r="N516" i="11"/>
  <c r="M516" i="11"/>
  <c r="L516" i="11"/>
  <c r="G516" i="11"/>
  <c r="X516" i="11" s="1"/>
  <c r="X515" i="11"/>
  <c r="O515" i="11"/>
  <c r="N515" i="11"/>
  <c r="M515" i="11"/>
  <c r="L515" i="11"/>
  <c r="G515" i="11"/>
  <c r="N514" i="11"/>
  <c r="L514" i="11"/>
  <c r="K514" i="11"/>
  <c r="I514" i="11"/>
  <c r="G514" i="11"/>
  <c r="M514" i="11" s="1"/>
  <c r="X513" i="11"/>
  <c r="O513" i="11"/>
  <c r="N513" i="11"/>
  <c r="L513" i="11"/>
  <c r="G513" i="11"/>
  <c r="M513" i="11" s="1"/>
  <c r="X512" i="11"/>
  <c r="O512" i="11"/>
  <c r="N512" i="11"/>
  <c r="M512" i="11"/>
  <c r="L512" i="11"/>
  <c r="X511" i="11"/>
  <c r="O511" i="11"/>
  <c r="N511" i="11"/>
  <c r="M511" i="11"/>
  <c r="X510" i="11"/>
  <c r="O510" i="11"/>
  <c r="N510" i="11"/>
  <c r="G510" i="11"/>
  <c r="M510" i="11" s="1"/>
  <c r="X509" i="11"/>
  <c r="O509" i="11"/>
  <c r="N509" i="11"/>
  <c r="M509" i="11"/>
  <c r="X508" i="11"/>
  <c r="O508" i="11"/>
  <c r="N508" i="11"/>
  <c r="M508" i="11"/>
  <c r="X507" i="11"/>
  <c r="O507" i="11"/>
  <c r="N507" i="11"/>
  <c r="M507" i="11"/>
  <c r="X506" i="11"/>
  <c r="O506" i="11"/>
  <c r="N506" i="11"/>
  <c r="M506" i="11"/>
  <c r="X505" i="11"/>
  <c r="O505" i="11"/>
  <c r="N505" i="11"/>
  <c r="M505" i="11"/>
  <c r="X504" i="11"/>
  <c r="O504" i="11"/>
  <c r="N504" i="11"/>
  <c r="M504" i="11"/>
  <c r="X503" i="11"/>
  <c r="O503" i="11"/>
  <c r="N503" i="11"/>
  <c r="M503" i="11"/>
  <c r="X502" i="11"/>
  <c r="O502" i="11"/>
  <c r="N502" i="11"/>
  <c r="M502" i="11"/>
  <c r="X501" i="11"/>
  <c r="X500" i="11"/>
  <c r="X499" i="11"/>
  <c r="X498" i="11"/>
  <c r="X497" i="11"/>
  <c r="X491" i="11"/>
  <c r="U491" i="11"/>
  <c r="S491" i="11"/>
  <c r="R491" i="11"/>
  <c r="Q491" i="11"/>
  <c r="P491" i="11"/>
  <c r="M491" i="11"/>
  <c r="K491" i="11"/>
  <c r="J491" i="11"/>
  <c r="I491" i="11"/>
  <c r="H491" i="11"/>
  <c r="G491" i="11"/>
  <c r="F491" i="11"/>
  <c r="U490" i="11"/>
  <c r="S490" i="11"/>
  <c r="R490" i="11"/>
  <c r="Q490" i="11"/>
  <c r="P490" i="11"/>
  <c r="K490" i="11"/>
  <c r="J490" i="11"/>
  <c r="I490" i="11"/>
  <c r="H490" i="11"/>
  <c r="G490" i="11"/>
  <c r="F490" i="11"/>
  <c r="U489" i="11"/>
  <c r="S489" i="11"/>
  <c r="R489" i="11"/>
  <c r="Q489" i="11"/>
  <c r="P489" i="11"/>
  <c r="L489" i="11" s="1"/>
  <c r="K489" i="11"/>
  <c r="J489" i="11"/>
  <c r="I489" i="11"/>
  <c r="H489" i="11"/>
  <c r="G489" i="11"/>
  <c r="F489" i="11"/>
  <c r="U488" i="11"/>
  <c r="S488" i="11"/>
  <c r="R488" i="11"/>
  <c r="Q488" i="11"/>
  <c r="P488" i="11"/>
  <c r="M488" i="11"/>
  <c r="K488" i="11"/>
  <c r="J488" i="11"/>
  <c r="I488" i="11"/>
  <c r="H488" i="11"/>
  <c r="G488" i="11"/>
  <c r="F488" i="11"/>
  <c r="U487" i="11"/>
  <c r="S487" i="11"/>
  <c r="R487" i="11"/>
  <c r="Q487" i="11"/>
  <c r="P487" i="11"/>
  <c r="K487" i="11"/>
  <c r="J487" i="11"/>
  <c r="I487" i="11"/>
  <c r="H487" i="11"/>
  <c r="G487" i="11"/>
  <c r="F487" i="11"/>
  <c r="U486" i="11"/>
  <c r="S486" i="11"/>
  <c r="R486" i="11"/>
  <c r="Q486" i="11"/>
  <c r="P486" i="11"/>
  <c r="K486" i="11"/>
  <c r="J486" i="11"/>
  <c r="I486" i="11"/>
  <c r="H486" i="11"/>
  <c r="G486" i="11"/>
  <c r="F486" i="11"/>
  <c r="L486" i="11" s="1"/>
  <c r="U485" i="11"/>
  <c r="S485" i="11"/>
  <c r="R485" i="11"/>
  <c r="Q485" i="11"/>
  <c r="P485" i="11"/>
  <c r="K485" i="11"/>
  <c r="J485" i="11"/>
  <c r="L485" i="11" s="1"/>
  <c r="I485" i="11"/>
  <c r="H485" i="11"/>
  <c r="G485" i="11"/>
  <c r="F485" i="11"/>
  <c r="U484" i="11"/>
  <c r="S484" i="11"/>
  <c r="R484" i="11"/>
  <c r="Q484" i="11"/>
  <c r="P484" i="11"/>
  <c r="K484" i="11"/>
  <c r="X484" i="11" s="1"/>
  <c r="J484" i="11"/>
  <c r="L484" i="11" s="1"/>
  <c r="I484" i="11"/>
  <c r="H484" i="11"/>
  <c r="G484" i="11"/>
  <c r="F484" i="11"/>
  <c r="U483" i="11"/>
  <c r="S483" i="11"/>
  <c r="R483" i="11"/>
  <c r="Q483" i="11"/>
  <c r="P483" i="11"/>
  <c r="L483" i="11"/>
  <c r="K483" i="11"/>
  <c r="J483" i="11"/>
  <c r="I483" i="11"/>
  <c r="H483" i="11"/>
  <c r="G483" i="11"/>
  <c r="F483" i="11"/>
  <c r="U482" i="11"/>
  <c r="S482" i="11"/>
  <c r="R482" i="11"/>
  <c r="Q482" i="11"/>
  <c r="P482" i="11"/>
  <c r="K482" i="11"/>
  <c r="J482" i="11"/>
  <c r="I482" i="11"/>
  <c r="H482" i="11"/>
  <c r="G482" i="11"/>
  <c r="F482" i="11"/>
  <c r="U481" i="11"/>
  <c r="S481" i="11"/>
  <c r="R481" i="11"/>
  <c r="Q481" i="11"/>
  <c r="P481" i="11"/>
  <c r="L481" i="11"/>
  <c r="K481" i="11"/>
  <c r="J481" i="11"/>
  <c r="I481" i="11"/>
  <c r="H481" i="11"/>
  <c r="G481" i="11"/>
  <c r="F481" i="11"/>
  <c r="X480" i="11"/>
  <c r="U480" i="11"/>
  <c r="S480" i="11"/>
  <c r="R480" i="11"/>
  <c r="Q480" i="11"/>
  <c r="P480" i="11"/>
  <c r="K480" i="11"/>
  <c r="J480" i="11"/>
  <c r="L480" i="11" s="1"/>
  <c r="I480" i="11"/>
  <c r="H480" i="11"/>
  <c r="G480" i="11"/>
  <c r="F480" i="11"/>
  <c r="X479" i="11"/>
  <c r="U479" i="11"/>
  <c r="S479" i="11"/>
  <c r="R479" i="11"/>
  <c r="Q479" i="11"/>
  <c r="P479" i="11"/>
  <c r="M479" i="11"/>
  <c r="L479" i="11"/>
  <c r="K479" i="11"/>
  <c r="J479" i="11"/>
  <c r="I479" i="11"/>
  <c r="H479" i="11"/>
  <c r="G479" i="11"/>
  <c r="F479" i="11"/>
  <c r="U478" i="11"/>
  <c r="S478" i="11"/>
  <c r="R478" i="11"/>
  <c r="Q478" i="11"/>
  <c r="P478" i="11"/>
  <c r="M478" i="11"/>
  <c r="L478" i="11"/>
  <c r="K478" i="11"/>
  <c r="J478" i="11"/>
  <c r="I478" i="11"/>
  <c r="H478" i="11"/>
  <c r="G478" i="11"/>
  <c r="F478" i="11"/>
  <c r="U477" i="11"/>
  <c r="S477" i="11"/>
  <c r="R477" i="11"/>
  <c r="Q477" i="11"/>
  <c r="P477" i="11"/>
  <c r="L477" i="11"/>
  <c r="K477" i="11"/>
  <c r="J477" i="11"/>
  <c r="I477" i="11"/>
  <c r="H477" i="11"/>
  <c r="G477" i="11"/>
  <c r="F477" i="11"/>
  <c r="X476" i="11"/>
  <c r="U476" i="11"/>
  <c r="S476" i="11"/>
  <c r="R476" i="11"/>
  <c r="Q476" i="11"/>
  <c r="P476" i="11"/>
  <c r="M476" i="11"/>
  <c r="L476" i="11"/>
  <c r="K476" i="11"/>
  <c r="J476" i="11"/>
  <c r="I476" i="11"/>
  <c r="H476" i="11"/>
  <c r="G476" i="11"/>
  <c r="F476" i="11"/>
  <c r="U475" i="11"/>
  <c r="S475" i="11"/>
  <c r="R475" i="11"/>
  <c r="Q475" i="11"/>
  <c r="P475" i="11"/>
  <c r="M475" i="11"/>
  <c r="K475" i="11"/>
  <c r="J475" i="11"/>
  <c r="X475" i="11" s="1"/>
  <c r="I475" i="11"/>
  <c r="H475" i="11"/>
  <c r="G475" i="11"/>
  <c r="F475" i="11"/>
  <c r="U474" i="11"/>
  <c r="S474" i="11"/>
  <c r="R474" i="11"/>
  <c r="Q474" i="11"/>
  <c r="P474" i="11"/>
  <c r="K474" i="11"/>
  <c r="J474" i="11"/>
  <c r="I474" i="11"/>
  <c r="H474" i="11"/>
  <c r="G474" i="11"/>
  <c r="F474" i="11"/>
  <c r="U473" i="11"/>
  <c r="S473" i="11"/>
  <c r="R473" i="11"/>
  <c r="Q473" i="11"/>
  <c r="P473" i="11"/>
  <c r="K473" i="11"/>
  <c r="J473" i="11"/>
  <c r="I473" i="11"/>
  <c r="H473" i="11"/>
  <c r="G473" i="11"/>
  <c r="F473" i="11"/>
  <c r="X472" i="11"/>
  <c r="U472" i="11"/>
  <c r="S472" i="11"/>
  <c r="R472" i="11"/>
  <c r="Q472" i="11"/>
  <c r="P472" i="11"/>
  <c r="K472" i="11"/>
  <c r="J472" i="11"/>
  <c r="I472" i="11"/>
  <c r="H472" i="11"/>
  <c r="G472" i="11"/>
  <c r="F472" i="11"/>
  <c r="U471" i="11"/>
  <c r="S471" i="11"/>
  <c r="R471" i="11"/>
  <c r="Q471" i="11"/>
  <c r="P471" i="11"/>
  <c r="K471" i="11"/>
  <c r="J471" i="11"/>
  <c r="I471" i="11"/>
  <c r="H471" i="11"/>
  <c r="G471" i="11"/>
  <c r="F471" i="11"/>
  <c r="L471" i="11" s="1"/>
  <c r="U470" i="11"/>
  <c r="S470" i="11"/>
  <c r="R470" i="11"/>
  <c r="Q470" i="11"/>
  <c r="P470" i="11"/>
  <c r="N470" i="11"/>
  <c r="K470" i="11"/>
  <c r="J470" i="11"/>
  <c r="I470" i="11"/>
  <c r="H470" i="11"/>
  <c r="G470" i="11"/>
  <c r="F470" i="11"/>
  <c r="L470" i="11" s="1"/>
  <c r="E470" i="11"/>
  <c r="E471" i="11" s="1"/>
  <c r="X469" i="11"/>
  <c r="M469" i="11"/>
  <c r="L469" i="11"/>
  <c r="E469" i="11"/>
  <c r="X468" i="11"/>
  <c r="O468" i="11"/>
  <c r="N468" i="11"/>
  <c r="M468" i="11"/>
  <c r="L468" i="11"/>
  <c r="X467" i="11"/>
  <c r="O467" i="11"/>
  <c r="N467" i="11"/>
  <c r="M467" i="11"/>
  <c r="L467" i="11"/>
  <c r="X466" i="11"/>
  <c r="O466" i="11"/>
  <c r="N466" i="11"/>
  <c r="M466" i="11"/>
  <c r="L466" i="11"/>
  <c r="X465" i="11"/>
  <c r="O465" i="11"/>
  <c r="N465" i="11"/>
  <c r="M465" i="11"/>
  <c r="L465" i="11"/>
  <c r="X464" i="11"/>
  <c r="O464" i="11"/>
  <c r="N464" i="11"/>
  <c r="M464" i="11"/>
  <c r="L464" i="11"/>
  <c r="X463" i="11"/>
  <c r="O463" i="11"/>
  <c r="N463" i="11"/>
  <c r="M463" i="11"/>
  <c r="L463" i="11"/>
  <c r="X462" i="11"/>
  <c r="O462" i="11"/>
  <c r="N462" i="11"/>
  <c r="M462" i="11"/>
  <c r="L462" i="11"/>
  <c r="X461" i="11"/>
  <c r="O461" i="11"/>
  <c r="N461" i="11"/>
  <c r="M461" i="11"/>
  <c r="L461" i="11"/>
  <c r="X460" i="11"/>
  <c r="O460" i="11"/>
  <c r="N460" i="11"/>
  <c r="M460" i="11"/>
  <c r="L460" i="11"/>
  <c r="X459" i="11"/>
  <c r="O459" i="11"/>
  <c r="N459" i="11"/>
  <c r="M459" i="11"/>
  <c r="L459" i="11"/>
  <c r="N458" i="11"/>
  <c r="L458" i="11"/>
  <c r="G458" i="11"/>
  <c r="X457" i="11"/>
  <c r="O457" i="11"/>
  <c r="N457" i="11"/>
  <c r="M457" i="11"/>
  <c r="L457" i="11"/>
  <c r="X456" i="11"/>
  <c r="O456" i="11"/>
  <c r="N456" i="11"/>
  <c r="M456" i="11"/>
  <c r="L456" i="11"/>
  <c r="X455" i="11"/>
  <c r="O455" i="11"/>
  <c r="N455" i="11"/>
  <c r="M455" i="11"/>
  <c r="L455" i="11"/>
  <c r="X454" i="11"/>
  <c r="O454" i="11"/>
  <c r="N454" i="11"/>
  <c r="M454" i="11"/>
  <c r="L454" i="11"/>
  <c r="X453" i="11"/>
  <c r="O453" i="11"/>
  <c r="N453" i="11"/>
  <c r="M453" i="11"/>
  <c r="L453" i="11"/>
  <c r="X452" i="11"/>
  <c r="O452" i="11"/>
  <c r="N452" i="11"/>
  <c r="M452" i="11"/>
  <c r="L452" i="11"/>
  <c r="X451" i="11"/>
  <c r="O451" i="11"/>
  <c r="N451" i="11"/>
  <c r="M451" i="11"/>
  <c r="L451" i="11"/>
  <c r="X450" i="11"/>
  <c r="O450" i="11"/>
  <c r="N450" i="11"/>
  <c r="M450" i="11"/>
  <c r="L450" i="11"/>
  <c r="X449" i="11"/>
  <c r="O449" i="11"/>
  <c r="N449" i="11"/>
  <c r="M449" i="11"/>
  <c r="L449" i="11"/>
  <c r="X448" i="11"/>
  <c r="O448" i="11"/>
  <c r="N448" i="11"/>
  <c r="M448" i="11"/>
  <c r="L448" i="11"/>
  <c r="X447" i="11"/>
  <c r="O447" i="11"/>
  <c r="N447" i="11"/>
  <c r="M447" i="11"/>
  <c r="L447" i="11"/>
  <c r="X446" i="11"/>
  <c r="O446" i="11"/>
  <c r="N446" i="11"/>
  <c r="M446" i="11"/>
  <c r="L446" i="11"/>
  <c r="X445" i="11"/>
  <c r="O445" i="11"/>
  <c r="N445" i="11"/>
  <c r="M445" i="11"/>
  <c r="L445" i="11"/>
  <c r="X444" i="11"/>
  <c r="O444" i="11"/>
  <c r="N444" i="11"/>
  <c r="M444" i="11"/>
  <c r="L444" i="11"/>
  <c r="N443" i="11"/>
  <c r="L443" i="11"/>
  <c r="G443" i="11"/>
  <c r="O442" i="11"/>
  <c r="N442" i="11"/>
  <c r="L442" i="11"/>
  <c r="G442" i="11"/>
  <c r="M442" i="11" s="1"/>
  <c r="N441" i="11"/>
  <c r="L441" i="11"/>
  <c r="G441" i="11"/>
  <c r="M441" i="11" s="1"/>
  <c r="N440" i="11"/>
  <c r="L440" i="11"/>
  <c r="G440" i="11"/>
  <c r="X439" i="11"/>
  <c r="O439" i="11"/>
  <c r="N439" i="11"/>
  <c r="M439" i="11"/>
  <c r="L439" i="11"/>
  <c r="N438" i="11"/>
  <c r="L438" i="11"/>
  <c r="G438" i="11"/>
  <c r="O438" i="11" s="1"/>
  <c r="N437" i="11"/>
  <c r="L437" i="11"/>
  <c r="G437" i="11"/>
  <c r="X436" i="11"/>
  <c r="O436" i="11"/>
  <c r="N436" i="11"/>
  <c r="M436" i="11"/>
  <c r="L436" i="11"/>
  <c r="G436" i="11"/>
  <c r="X435" i="11"/>
  <c r="O435" i="11"/>
  <c r="N435" i="11"/>
  <c r="M435" i="11"/>
  <c r="L435" i="11"/>
  <c r="G435" i="11"/>
  <c r="N434" i="11"/>
  <c r="L434" i="11"/>
  <c r="G434" i="11"/>
  <c r="X433" i="11"/>
  <c r="O433" i="11"/>
  <c r="N433" i="11"/>
  <c r="M433" i="11"/>
  <c r="L433" i="11"/>
  <c r="G433" i="11"/>
  <c r="O432" i="11"/>
  <c r="N432" i="11"/>
  <c r="L432" i="11"/>
  <c r="G432" i="11"/>
  <c r="M432" i="11" s="1"/>
  <c r="N431" i="11"/>
  <c r="L431" i="11"/>
  <c r="G431" i="11"/>
  <c r="X430" i="11"/>
  <c r="N430" i="11"/>
  <c r="L430" i="11"/>
  <c r="G430" i="11"/>
  <c r="N429" i="11"/>
  <c r="M429" i="11"/>
  <c r="L429" i="11"/>
  <c r="G429" i="11"/>
  <c r="N428" i="11"/>
  <c r="L428" i="11"/>
  <c r="G428" i="11"/>
  <c r="X427" i="11"/>
  <c r="O427" i="11"/>
  <c r="N427" i="11"/>
  <c r="M427" i="11"/>
  <c r="L427" i="11"/>
  <c r="G427" i="11"/>
  <c r="X426" i="11"/>
  <c r="O426" i="11"/>
  <c r="N426" i="11"/>
  <c r="M426" i="11"/>
  <c r="L426" i="11"/>
  <c r="X425" i="11"/>
  <c r="O425" i="11"/>
  <c r="N425" i="11"/>
  <c r="M425" i="11"/>
  <c r="L425" i="11"/>
  <c r="G425" i="11"/>
  <c r="O424" i="11"/>
  <c r="N424" i="11"/>
  <c r="L424" i="11"/>
  <c r="G424" i="11"/>
  <c r="X423" i="11"/>
  <c r="O423" i="11"/>
  <c r="N423" i="11"/>
  <c r="M423" i="11"/>
  <c r="L423" i="11"/>
  <c r="K423" i="11"/>
  <c r="I423" i="11"/>
  <c r="G423" i="11"/>
  <c r="X422" i="11"/>
  <c r="O422" i="11"/>
  <c r="N422" i="11"/>
  <c r="M422" i="11"/>
  <c r="L422" i="11"/>
  <c r="G422" i="11"/>
  <c r="X421" i="11"/>
  <c r="O421" i="11"/>
  <c r="N421" i="11"/>
  <c r="M421" i="11"/>
  <c r="L421" i="11"/>
  <c r="X420" i="11"/>
  <c r="O420" i="11"/>
  <c r="N420" i="11"/>
  <c r="M420" i="11"/>
  <c r="L420" i="11"/>
  <c r="G420" i="11"/>
  <c r="X419" i="11"/>
  <c r="O419" i="11"/>
  <c r="N419" i="11"/>
  <c r="M419" i="11"/>
  <c r="L419" i="11"/>
  <c r="G419" i="11"/>
  <c r="O418" i="11"/>
  <c r="N418" i="11"/>
  <c r="M418" i="11"/>
  <c r="L418" i="11"/>
  <c r="K418" i="11"/>
  <c r="I418" i="11"/>
  <c r="G418" i="11"/>
  <c r="O417" i="11"/>
  <c r="N417" i="11"/>
  <c r="L417" i="11"/>
  <c r="K417" i="11"/>
  <c r="I417" i="11"/>
  <c r="G417" i="11"/>
  <c r="N416" i="11"/>
  <c r="L416" i="11"/>
  <c r="G416" i="11"/>
  <c r="X415" i="11"/>
  <c r="O415" i="11"/>
  <c r="N415" i="11"/>
  <c r="M415" i="11"/>
  <c r="L415" i="11"/>
  <c r="G415" i="11"/>
  <c r="X414" i="11"/>
  <c r="O414" i="11"/>
  <c r="N414" i="11"/>
  <c r="L414" i="11"/>
  <c r="G414" i="11"/>
  <c r="M414" i="11" s="1"/>
  <c r="N413" i="11"/>
  <c r="L413" i="11"/>
  <c r="K413" i="11"/>
  <c r="I413" i="11"/>
  <c r="G413" i="11"/>
  <c r="X413" i="11" s="1"/>
  <c r="X412" i="11"/>
  <c r="O412" i="11"/>
  <c r="N412" i="11"/>
  <c r="M412" i="11"/>
  <c r="L412" i="11"/>
  <c r="G412" i="11"/>
  <c r="X411" i="11"/>
  <c r="O411" i="11"/>
  <c r="N411" i="11"/>
  <c r="M411" i="11"/>
  <c r="L411" i="11"/>
  <c r="X410" i="11"/>
  <c r="O410" i="11"/>
  <c r="N410" i="11"/>
  <c r="M410" i="11"/>
  <c r="X409" i="11"/>
  <c r="N409" i="11"/>
  <c r="G409" i="11"/>
  <c r="O409" i="11" s="1"/>
  <c r="X408" i="11"/>
  <c r="O408" i="11"/>
  <c r="N408" i="11"/>
  <c r="M408" i="11"/>
  <c r="X407" i="11"/>
  <c r="O407" i="11"/>
  <c r="N407" i="11"/>
  <c r="M407" i="11"/>
  <c r="X406" i="11"/>
  <c r="O406" i="11"/>
  <c r="N406" i="11"/>
  <c r="M406" i="11"/>
  <c r="X405" i="11"/>
  <c r="O405" i="11"/>
  <c r="N405" i="11"/>
  <c r="M405" i="11"/>
  <c r="X404" i="11"/>
  <c r="O404" i="11"/>
  <c r="N404" i="11"/>
  <c r="M404" i="11"/>
  <c r="X403" i="11"/>
  <c r="O403" i="11"/>
  <c r="N403" i="11"/>
  <c r="M403" i="11"/>
  <c r="X402" i="11"/>
  <c r="O402" i="11"/>
  <c r="N402" i="11"/>
  <c r="M402" i="11"/>
  <c r="X401" i="11"/>
  <c r="O401" i="11"/>
  <c r="N401" i="11"/>
  <c r="M401" i="11"/>
  <c r="X400" i="11"/>
  <c r="X399" i="11"/>
  <c r="X398" i="11"/>
  <c r="X397" i="11"/>
  <c r="X396" i="11"/>
  <c r="U391" i="11"/>
  <c r="S391" i="11"/>
  <c r="R391" i="11"/>
  <c r="Q391" i="11"/>
  <c r="P391" i="11"/>
  <c r="L391" i="11"/>
  <c r="K391" i="11"/>
  <c r="J391" i="11"/>
  <c r="I391" i="11"/>
  <c r="H391" i="11"/>
  <c r="G391" i="11"/>
  <c r="F391" i="11"/>
  <c r="U390" i="11"/>
  <c r="S390" i="11"/>
  <c r="R390" i="11"/>
  <c r="Q390" i="11"/>
  <c r="P390" i="11"/>
  <c r="L390" i="11"/>
  <c r="K390" i="11"/>
  <c r="J390" i="11"/>
  <c r="I390" i="11"/>
  <c r="H390" i="11"/>
  <c r="G390" i="11"/>
  <c r="F390" i="11"/>
  <c r="U389" i="11"/>
  <c r="S389" i="11"/>
  <c r="R389" i="11"/>
  <c r="Q389" i="11"/>
  <c r="P389" i="11"/>
  <c r="K389" i="11"/>
  <c r="J389" i="11"/>
  <c r="I389" i="11"/>
  <c r="H389" i="11"/>
  <c r="G389" i="11"/>
  <c r="F389" i="11"/>
  <c r="L389" i="11" s="1"/>
  <c r="U388" i="11"/>
  <c r="S388" i="11"/>
  <c r="R388" i="11"/>
  <c r="Q388" i="11"/>
  <c r="P388" i="11"/>
  <c r="K388" i="11"/>
  <c r="J388" i="11"/>
  <c r="I388" i="11"/>
  <c r="H388" i="11"/>
  <c r="G388" i="11"/>
  <c r="F388" i="11"/>
  <c r="L388" i="11" s="1"/>
  <c r="X387" i="11"/>
  <c r="U387" i="11"/>
  <c r="S387" i="11"/>
  <c r="R387" i="11"/>
  <c r="Q387" i="11"/>
  <c r="P387" i="11"/>
  <c r="K387" i="11"/>
  <c r="J387" i="11"/>
  <c r="I387" i="11"/>
  <c r="H387" i="11"/>
  <c r="G387" i="11"/>
  <c r="F387" i="11"/>
  <c r="U386" i="11"/>
  <c r="S386" i="11"/>
  <c r="R386" i="11"/>
  <c r="Q386" i="11"/>
  <c r="P386" i="11"/>
  <c r="K386" i="11"/>
  <c r="X386" i="11" s="1"/>
  <c r="J386" i="11"/>
  <c r="I386" i="11"/>
  <c r="H386" i="11"/>
  <c r="G386" i="11"/>
  <c r="F386" i="11"/>
  <c r="X385" i="11"/>
  <c r="U385" i="11"/>
  <c r="S385" i="11"/>
  <c r="R385" i="11"/>
  <c r="Q385" i="11"/>
  <c r="P385" i="11"/>
  <c r="K385" i="11"/>
  <c r="J385" i="11"/>
  <c r="I385" i="11"/>
  <c r="H385" i="11"/>
  <c r="G385" i="11"/>
  <c r="F385" i="11"/>
  <c r="U384" i="11"/>
  <c r="S384" i="11"/>
  <c r="R384" i="11"/>
  <c r="Q384" i="11"/>
  <c r="P384" i="11"/>
  <c r="M384" i="11"/>
  <c r="K384" i="11"/>
  <c r="J384" i="11"/>
  <c r="I384" i="11"/>
  <c r="H384" i="11"/>
  <c r="G384" i="11"/>
  <c r="F384" i="11"/>
  <c r="L384" i="11" s="1"/>
  <c r="U383" i="11"/>
  <c r="S383" i="11"/>
  <c r="R383" i="11"/>
  <c r="Q383" i="11"/>
  <c r="P383" i="11"/>
  <c r="K383" i="11"/>
  <c r="J383" i="11"/>
  <c r="L383" i="11" s="1"/>
  <c r="I383" i="11"/>
  <c r="H383" i="11"/>
  <c r="G383" i="11"/>
  <c r="F383" i="11"/>
  <c r="U382" i="11"/>
  <c r="S382" i="11"/>
  <c r="R382" i="11"/>
  <c r="Q382" i="11"/>
  <c r="P382" i="11"/>
  <c r="K382" i="11"/>
  <c r="J382" i="11"/>
  <c r="L382" i="11" s="1"/>
  <c r="I382" i="11"/>
  <c r="H382" i="11"/>
  <c r="G382" i="11"/>
  <c r="F382" i="11"/>
  <c r="U381" i="11"/>
  <c r="S381" i="11"/>
  <c r="R381" i="11"/>
  <c r="Q381" i="11"/>
  <c r="P381" i="11"/>
  <c r="L381" i="11"/>
  <c r="K381" i="11"/>
  <c r="M381" i="11" s="1"/>
  <c r="J381" i="11"/>
  <c r="I381" i="11"/>
  <c r="H381" i="11"/>
  <c r="G381" i="11"/>
  <c r="F381" i="11"/>
  <c r="U380" i="11"/>
  <c r="S380" i="11"/>
  <c r="R380" i="11"/>
  <c r="Q380" i="11"/>
  <c r="P380" i="11"/>
  <c r="K380" i="11"/>
  <c r="J380" i="11"/>
  <c r="I380" i="11"/>
  <c r="H380" i="11"/>
  <c r="G380" i="11"/>
  <c r="F380" i="11"/>
  <c r="U379" i="11"/>
  <c r="S379" i="11"/>
  <c r="R379" i="11"/>
  <c r="Q379" i="11"/>
  <c r="P379" i="11"/>
  <c r="L379" i="11"/>
  <c r="K379" i="11"/>
  <c r="J379" i="11"/>
  <c r="I379" i="11"/>
  <c r="H379" i="11"/>
  <c r="G379" i="11"/>
  <c r="F379" i="11"/>
  <c r="X378" i="11"/>
  <c r="U378" i="11"/>
  <c r="S378" i="11"/>
  <c r="R378" i="11"/>
  <c r="Q378" i="11"/>
  <c r="M378" i="11" s="1"/>
  <c r="P378" i="11"/>
  <c r="L378" i="11"/>
  <c r="K378" i="11"/>
  <c r="J378" i="11"/>
  <c r="I378" i="11"/>
  <c r="H378" i="11"/>
  <c r="G378" i="11"/>
  <c r="F378" i="11"/>
  <c r="U377" i="11"/>
  <c r="S377" i="11"/>
  <c r="R377" i="11"/>
  <c r="Q377" i="11"/>
  <c r="P377" i="11"/>
  <c r="M377" i="11"/>
  <c r="K377" i="11"/>
  <c r="J377" i="11"/>
  <c r="X377" i="11" s="1"/>
  <c r="I377" i="11"/>
  <c r="H377" i="11"/>
  <c r="G377" i="11"/>
  <c r="F377" i="11"/>
  <c r="U376" i="11"/>
  <c r="S376" i="11"/>
  <c r="R376" i="11"/>
  <c r="Q376" i="11"/>
  <c r="P376" i="11"/>
  <c r="K376" i="11"/>
  <c r="J376" i="11"/>
  <c r="I376" i="11"/>
  <c r="H376" i="11"/>
  <c r="G376" i="11"/>
  <c r="F376" i="11"/>
  <c r="U375" i="11"/>
  <c r="S375" i="11"/>
  <c r="R375" i="11"/>
  <c r="Q375" i="11"/>
  <c r="P375" i="11"/>
  <c r="K375" i="11"/>
  <c r="J375" i="11"/>
  <c r="I375" i="11"/>
  <c r="H375" i="11"/>
  <c r="G375" i="11"/>
  <c r="F375" i="11"/>
  <c r="X374" i="11"/>
  <c r="U374" i="11"/>
  <c r="S374" i="11"/>
  <c r="R374" i="11"/>
  <c r="Q374" i="11"/>
  <c r="P374" i="11"/>
  <c r="K374" i="11"/>
  <c r="J374" i="11"/>
  <c r="I374" i="11"/>
  <c r="H374" i="11"/>
  <c r="G374" i="11"/>
  <c r="F374" i="11"/>
  <c r="X373" i="11"/>
  <c r="U373" i="11"/>
  <c r="S373" i="11"/>
  <c r="R373" i="11"/>
  <c r="Q373" i="11"/>
  <c r="P373" i="11"/>
  <c r="M373" i="11"/>
  <c r="K373" i="11"/>
  <c r="J373" i="11"/>
  <c r="I373" i="11"/>
  <c r="H373" i="11"/>
  <c r="G373" i="11"/>
  <c r="F373" i="11"/>
  <c r="U372" i="11"/>
  <c r="S372" i="11"/>
  <c r="R372" i="11"/>
  <c r="Q372" i="11"/>
  <c r="P372" i="11"/>
  <c r="K372" i="11"/>
  <c r="X372" i="11" s="1"/>
  <c r="J372" i="11"/>
  <c r="I372" i="11"/>
  <c r="H372" i="11"/>
  <c r="G372" i="11"/>
  <c r="F372" i="11"/>
  <c r="U371" i="11"/>
  <c r="S371" i="11"/>
  <c r="R371" i="11"/>
  <c r="Q371" i="11"/>
  <c r="P371" i="11"/>
  <c r="K371" i="11"/>
  <c r="J371" i="11"/>
  <c r="I371" i="11"/>
  <c r="H371" i="11"/>
  <c r="G371" i="11"/>
  <c r="F371" i="11"/>
  <c r="E371" i="11"/>
  <c r="X370" i="11"/>
  <c r="U370" i="11"/>
  <c r="S370" i="11"/>
  <c r="R370" i="11"/>
  <c r="Q370" i="11"/>
  <c r="P370" i="11"/>
  <c r="M370" i="11"/>
  <c r="K370" i="11"/>
  <c r="J370" i="11"/>
  <c r="L370" i="11" s="1"/>
  <c r="I370" i="11"/>
  <c r="H370" i="11"/>
  <c r="G370" i="11"/>
  <c r="F370" i="11"/>
  <c r="E370" i="11"/>
  <c r="X369" i="11"/>
  <c r="N369" i="11"/>
  <c r="M369" i="11"/>
  <c r="L369" i="11"/>
  <c r="E369" i="11"/>
  <c r="O369" i="11" s="1"/>
  <c r="X368" i="11"/>
  <c r="O368" i="11"/>
  <c r="N368" i="11"/>
  <c r="M368" i="11"/>
  <c r="L368" i="11"/>
  <c r="X367" i="11"/>
  <c r="O367" i="11"/>
  <c r="N367" i="11"/>
  <c r="M367" i="11"/>
  <c r="L367" i="11"/>
  <c r="X366" i="11"/>
  <c r="O366" i="11"/>
  <c r="N366" i="11"/>
  <c r="M366" i="11"/>
  <c r="L366" i="11"/>
  <c r="X365" i="11"/>
  <c r="O365" i="11"/>
  <c r="N365" i="11"/>
  <c r="M365" i="11"/>
  <c r="L365" i="11"/>
  <c r="X364" i="11"/>
  <c r="O364" i="11"/>
  <c r="N364" i="11"/>
  <c r="M364" i="11"/>
  <c r="L364" i="11"/>
  <c r="X363" i="11"/>
  <c r="O363" i="11"/>
  <c r="N363" i="11"/>
  <c r="M363" i="11"/>
  <c r="L363" i="11"/>
  <c r="X362" i="11"/>
  <c r="O362" i="11"/>
  <c r="N362" i="11"/>
  <c r="M362" i="11"/>
  <c r="L362" i="11"/>
  <c r="X361" i="11"/>
  <c r="O361" i="11"/>
  <c r="N361" i="11"/>
  <c r="M361" i="11"/>
  <c r="L361" i="11"/>
  <c r="X360" i="11"/>
  <c r="O360" i="11"/>
  <c r="N360" i="11"/>
  <c r="M360" i="11"/>
  <c r="L360" i="11"/>
  <c r="X359" i="11"/>
  <c r="O359" i="11"/>
  <c r="N359" i="11"/>
  <c r="M359" i="11"/>
  <c r="L359" i="11"/>
  <c r="X358" i="11"/>
  <c r="O358" i="11"/>
  <c r="N358" i="11"/>
  <c r="M358" i="11"/>
  <c r="L358" i="11"/>
  <c r="G358" i="11"/>
  <c r="X357" i="11"/>
  <c r="O357" i="11"/>
  <c r="N357" i="11"/>
  <c r="M357" i="11"/>
  <c r="L357" i="11"/>
  <c r="X356" i="11"/>
  <c r="O356" i="11"/>
  <c r="N356" i="11"/>
  <c r="M356" i="11"/>
  <c r="L356" i="11"/>
  <c r="X355" i="11"/>
  <c r="O355" i="11"/>
  <c r="N355" i="11"/>
  <c r="M355" i="11"/>
  <c r="L355" i="11"/>
  <c r="X354" i="11"/>
  <c r="O354" i="11"/>
  <c r="N354" i="11"/>
  <c r="M354" i="11"/>
  <c r="L354" i="11"/>
  <c r="X353" i="11"/>
  <c r="O353" i="11"/>
  <c r="N353" i="11"/>
  <c r="M353" i="11"/>
  <c r="L353" i="11"/>
  <c r="X352" i="11"/>
  <c r="O352" i="11"/>
  <c r="N352" i="11"/>
  <c r="M352" i="11"/>
  <c r="L352" i="11"/>
  <c r="X351" i="11"/>
  <c r="O351" i="11"/>
  <c r="N351" i="11"/>
  <c r="M351" i="11"/>
  <c r="L351" i="11"/>
  <c r="X350" i="11"/>
  <c r="O350" i="11"/>
  <c r="N350" i="11"/>
  <c r="M350" i="11"/>
  <c r="L350" i="11"/>
  <c r="X349" i="11"/>
  <c r="O349" i="11"/>
  <c r="N349" i="11"/>
  <c r="M349" i="11"/>
  <c r="L349" i="11"/>
  <c r="X348" i="11"/>
  <c r="O348" i="11"/>
  <c r="N348" i="11"/>
  <c r="M348" i="11"/>
  <c r="L348" i="11"/>
  <c r="X347" i="11"/>
  <c r="O347" i="11"/>
  <c r="N347" i="11"/>
  <c r="M347" i="11"/>
  <c r="L347" i="11"/>
  <c r="X346" i="11"/>
  <c r="O346" i="11"/>
  <c r="N346" i="11"/>
  <c r="M346" i="11"/>
  <c r="L346" i="11"/>
  <c r="X345" i="11"/>
  <c r="O345" i="11"/>
  <c r="N345" i="11"/>
  <c r="M345" i="11"/>
  <c r="L345" i="11"/>
  <c r="X344" i="11"/>
  <c r="O344" i="11"/>
  <c r="N344" i="11"/>
  <c r="M344" i="11"/>
  <c r="L344" i="11"/>
  <c r="N343" i="11"/>
  <c r="L343" i="11"/>
  <c r="G343" i="11"/>
  <c r="X342" i="11"/>
  <c r="O342" i="11"/>
  <c r="N342" i="11"/>
  <c r="M342" i="11"/>
  <c r="L342" i="11"/>
  <c r="G342" i="11"/>
  <c r="X341" i="11"/>
  <c r="N341" i="11"/>
  <c r="M341" i="11"/>
  <c r="L341" i="11"/>
  <c r="G341" i="11"/>
  <c r="O341" i="11" s="1"/>
  <c r="N340" i="11"/>
  <c r="L340" i="11"/>
  <c r="G340" i="11"/>
  <c r="X339" i="11"/>
  <c r="O339" i="11"/>
  <c r="N339" i="11"/>
  <c r="M339" i="11"/>
  <c r="L339" i="11"/>
  <c r="N338" i="11"/>
  <c r="M338" i="11"/>
  <c r="L338" i="11"/>
  <c r="G338" i="11"/>
  <c r="X338" i="11" s="1"/>
  <c r="X337" i="11"/>
  <c r="O337" i="11"/>
  <c r="N337" i="11"/>
  <c r="L337" i="11"/>
  <c r="G337" i="11"/>
  <c r="M337" i="11" s="1"/>
  <c r="X336" i="11"/>
  <c r="O336" i="11"/>
  <c r="N336" i="11"/>
  <c r="M336" i="11"/>
  <c r="L336" i="11"/>
  <c r="G336" i="11"/>
  <c r="N335" i="11"/>
  <c r="L335" i="11"/>
  <c r="G335" i="11"/>
  <c r="X334" i="11"/>
  <c r="O334" i="11"/>
  <c r="N334" i="11"/>
  <c r="M334" i="11"/>
  <c r="L334" i="11"/>
  <c r="G334" i="11"/>
  <c r="X333" i="11"/>
  <c r="O333" i="11"/>
  <c r="N333" i="11"/>
  <c r="L333" i="11"/>
  <c r="G333" i="11"/>
  <c r="M333" i="11" s="1"/>
  <c r="N332" i="11"/>
  <c r="L332" i="11"/>
  <c r="G332" i="11"/>
  <c r="N331" i="11"/>
  <c r="L331" i="11"/>
  <c r="G331" i="11"/>
  <c r="O331" i="11" s="1"/>
  <c r="N330" i="11"/>
  <c r="M330" i="11"/>
  <c r="L330" i="11"/>
  <c r="G330" i="11"/>
  <c r="X330" i="11" s="1"/>
  <c r="N329" i="11"/>
  <c r="L329" i="11"/>
  <c r="G329" i="11"/>
  <c r="X328" i="11"/>
  <c r="O328" i="11"/>
  <c r="N328" i="11"/>
  <c r="M328" i="11"/>
  <c r="L328" i="11"/>
  <c r="G328" i="11"/>
  <c r="X327" i="11"/>
  <c r="O327" i="11"/>
  <c r="N327" i="11"/>
  <c r="L327" i="11"/>
  <c r="G327" i="11"/>
  <c r="M327" i="11" s="1"/>
  <c r="X326" i="11"/>
  <c r="O326" i="11"/>
  <c r="N326" i="11"/>
  <c r="M326" i="11"/>
  <c r="L326" i="11"/>
  <c r="N325" i="11"/>
  <c r="L325" i="11"/>
  <c r="G325" i="11"/>
  <c r="M325" i="11" s="1"/>
  <c r="X324" i="11"/>
  <c r="N324" i="11"/>
  <c r="M324" i="11"/>
  <c r="L324" i="11"/>
  <c r="G324" i="11"/>
  <c r="O324" i="11" s="1"/>
  <c r="X323" i="11"/>
  <c r="O323" i="11"/>
  <c r="N323" i="11"/>
  <c r="L323" i="11"/>
  <c r="K323" i="11"/>
  <c r="M323" i="11" s="1"/>
  <c r="I323" i="11"/>
  <c r="G323" i="11"/>
  <c r="N322" i="11"/>
  <c r="L322" i="11"/>
  <c r="G322" i="11"/>
  <c r="O322" i="11" s="1"/>
  <c r="X321" i="11"/>
  <c r="O321" i="11"/>
  <c r="N321" i="11"/>
  <c r="M321" i="11"/>
  <c r="L321" i="11"/>
  <c r="X320" i="11"/>
  <c r="O320" i="11"/>
  <c r="N320" i="11"/>
  <c r="M320" i="11"/>
  <c r="L320" i="11"/>
  <c r="G320" i="11"/>
  <c r="N319" i="11"/>
  <c r="L319" i="11"/>
  <c r="G319" i="11"/>
  <c r="M319" i="11" s="1"/>
  <c r="X318" i="11"/>
  <c r="O318" i="11"/>
  <c r="N318" i="11"/>
  <c r="M318" i="11"/>
  <c r="L318" i="11"/>
  <c r="K318" i="11"/>
  <c r="I318" i="11"/>
  <c r="G318" i="11"/>
  <c r="N317" i="11"/>
  <c r="L317" i="11"/>
  <c r="K317" i="11"/>
  <c r="I317" i="11"/>
  <c r="G317" i="11"/>
  <c r="N316" i="11"/>
  <c r="L316" i="11"/>
  <c r="G316" i="11"/>
  <c r="O316" i="11" s="1"/>
  <c r="X315" i="11"/>
  <c r="N315" i="11"/>
  <c r="L315" i="11"/>
  <c r="G315" i="11"/>
  <c r="N314" i="11"/>
  <c r="L314" i="11"/>
  <c r="G314" i="11"/>
  <c r="O313" i="11"/>
  <c r="N313" i="11"/>
  <c r="L313" i="11"/>
  <c r="K313" i="11"/>
  <c r="M313" i="11" s="1"/>
  <c r="I313" i="11"/>
  <c r="G313" i="11"/>
  <c r="N312" i="11"/>
  <c r="L312" i="11"/>
  <c r="G312" i="11"/>
  <c r="X311" i="11"/>
  <c r="O311" i="11"/>
  <c r="N311" i="11"/>
  <c r="M311" i="11"/>
  <c r="L311" i="11"/>
  <c r="X310" i="11"/>
  <c r="O310" i="11"/>
  <c r="N310" i="11"/>
  <c r="M310" i="11"/>
  <c r="O309" i="11"/>
  <c r="N309" i="11"/>
  <c r="G309" i="11"/>
  <c r="X309" i="11" s="1"/>
  <c r="X308" i="11"/>
  <c r="O308" i="11"/>
  <c r="N308" i="11"/>
  <c r="M308" i="11"/>
  <c r="X307" i="11"/>
  <c r="O307" i="11"/>
  <c r="N307" i="11"/>
  <c r="M307" i="11"/>
  <c r="X306" i="11"/>
  <c r="O306" i="11"/>
  <c r="N306" i="11"/>
  <c r="M306" i="11"/>
  <c r="X305" i="11"/>
  <c r="O305" i="11"/>
  <c r="N305" i="11"/>
  <c r="M305" i="11"/>
  <c r="X304" i="11"/>
  <c r="O304" i="11"/>
  <c r="N304" i="11"/>
  <c r="M304" i="11"/>
  <c r="X303" i="11"/>
  <c r="O303" i="11"/>
  <c r="N303" i="11"/>
  <c r="M303" i="11"/>
  <c r="X302" i="11"/>
  <c r="O302" i="11"/>
  <c r="N302" i="11"/>
  <c r="M302" i="11"/>
  <c r="X301" i="11"/>
  <c r="O301" i="11"/>
  <c r="N301" i="11"/>
  <c r="M301" i="11"/>
  <c r="X300" i="11"/>
  <c r="X299" i="11"/>
  <c r="X298" i="11"/>
  <c r="X297" i="11"/>
  <c r="X296" i="11"/>
  <c r="U291" i="11"/>
  <c r="S291" i="11"/>
  <c r="R291" i="11"/>
  <c r="Q291" i="11"/>
  <c r="P291" i="11"/>
  <c r="M291" i="11"/>
  <c r="K291" i="11"/>
  <c r="J291" i="11"/>
  <c r="I291" i="11"/>
  <c r="H291" i="11"/>
  <c r="G291" i="11"/>
  <c r="F291" i="11"/>
  <c r="U290" i="11"/>
  <c r="S290" i="11"/>
  <c r="R290" i="11"/>
  <c r="Q290" i="11"/>
  <c r="P290" i="11"/>
  <c r="K290" i="11"/>
  <c r="J290" i="11"/>
  <c r="I290" i="11"/>
  <c r="H290" i="11"/>
  <c r="G290" i="11"/>
  <c r="F290" i="11"/>
  <c r="X289" i="11"/>
  <c r="U289" i="11"/>
  <c r="S289" i="11"/>
  <c r="R289" i="11"/>
  <c r="Q289" i="11"/>
  <c r="P289" i="11"/>
  <c r="K289" i="11"/>
  <c r="J289" i="11"/>
  <c r="L289" i="11" s="1"/>
  <c r="I289" i="11"/>
  <c r="H289" i="11"/>
  <c r="G289" i="11"/>
  <c r="F289" i="11"/>
  <c r="X288" i="11"/>
  <c r="U288" i="11"/>
  <c r="S288" i="11"/>
  <c r="R288" i="11"/>
  <c r="Q288" i="11"/>
  <c r="P288" i="11"/>
  <c r="L288" i="11"/>
  <c r="K288" i="11"/>
  <c r="J288" i="11"/>
  <c r="I288" i="11"/>
  <c r="H288" i="11"/>
  <c r="G288" i="11"/>
  <c r="F288" i="11"/>
  <c r="U287" i="11"/>
  <c r="S287" i="11"/>
  <c r="R287" i="11"/>
  <c r="Q287" i="11"/>
  <c r="P287" i="11"/>
  <c r="K287" i="11"/>
  <c r="J287" i="11"/>
  <c r="L287" i="11" s="1"/>
  <c r="I287" i="11"/>
  <c r="H287" i="11"/>
  <c r="G287" i="11"/>
  <c r="F287" i="11"/>
  <c r="U286" i="11"/>
  <c r="S286" i="11"/>
  <c r="R286" i="11"/>
  <c r="Q286" i="11"/>
  <c r="P286" i="11"/>
  <c r="K286" i="11"/>
  <c r="J286" i="11"/>
  <c r="L286" i="11" s="1"/>
  <c r="I286" i="11"/>
  <c r="H286" i="11"/>
  <c r="G286" i="11"/>
  <c r="F286" i="11"/>
  <c r="U285" i="11"/>
  <c r="S285" i="11"/>
  <c r="R285" i="11"/>
  <c r="Q285" i="11"/>
  <c r="P285" i="11"/>
  <c r="K285" i="11"/>
  <c r="J285" i="11"/>
  <c r="L285" i="11" s="1"/>
  <c r="I285" i="11"/>
  <c r="H285" i="11"/>
  <c r="G285" i="11"/>
  <c r="X285" i="11" s="1"/>
  <c r="F285" i="11"/>
  <c r="U284" i="11"/>
  <c r="S284" i="11"/>
  <c r="R284" i="11"/>
  <c r="Q284" i="11"/>
  <c r="M284" i="11" s="1"/>
  <c r="P284" i="11"/>
  <c r="L284" i="11"/>
  <c r="K284" i="11"/>
  <c r="J284" i="11"/>
  <c r="I284" i="11"/>
  <c r="H284" i="11"/>
  <c r="G284" i="11"/>
  <c r="F284" i="11"/>
  <c r="U283" i="11"/>
  <c r="S283" i="11"/>
  <c r="R283" i="11"/>
  <c r="Q283" i="11"/>
  <c r="P283" i="11"/>
  <c r="L283" i="11" s="1"/>
  <c r="K283" i="11"/>
  <c r="X283" i="11" s="1"/>
  <c r="J283" i="11"/>
  <c r="I283" i="11"/>
  <c r="H283" i="11"/>
  <c r="G283" i="11"/>
  <c r="F283" i="11"/>
  <c r="U282" i="11"/>
  <c r="S282" i="11"/>
  <c r="R282" i="11"/>
  <c r="Q282" i="11"/>
  <c r="P282" i="11"/>
  <c r="O282" i="11"/>
  <c r="N282" i="11"/>
  <c r="L282" i="11"/>
  <c r="K282" i="11"/>
  <c r="M282" i="11" s="1"/>
  <c r="J282" i="11"/>
  <c r="I282" i="11"/>
  <c r="H282" i="11"/>
  <c r="G282" i="11"/>
  <c r="F282" i="11"/>
  <c r="U281" i="11"/>
  <c r="S281" i="11"/>
  <c r="R281" i="11"/>
  <c r="Q281" i="11"/>
  <c r="P281" i="11"/>
  <c r="N281" i="11"/>
  <c r="L281" i="11"/>
  <c r="K281" i="11"/>
  <c r="M281" i="11" s="1"/>
  <c r="J281" i="11"/>
  <c r="I281" i="11"/>
  <c r="H281" i="11"/>
  <c r="G281" i="11"/>
  <c r="F281" i="11"/>
  <c r="X280" i="11"/>
  <c r="U280" i="11"/>
  <c r="S280" i="11"/>
  <c r="R280" i="11"/>
  <c r="Q280" i="11"/>
  <c r="P280" i="11"/>
  <c r="N280" i="11"/>
  <c r="M280" i="11"/>
  <c r="L280" i="11"/>
  <c r="K280" i="11"/>
  <c r="J280" i="11"/>
  <c r="I280" i="11"/>
  <c r="H280" i="11"/>
  <c r="G280" i="11"/>
  <c r="F280" i="11"/>
  <c r="U279" i="11"/>
  <c r="S279" i="11"/>
  <c r="R279" i="11"/>
  <c r="Q279" i="11"/>
  <c r="P279" i="11"/>
  <c r="M279" i="11"/>
  <c r="K279" i="11"/>
  <c r="J279" i="11"/>
  <c r="I279" i="11"/>
  <c r="H279" i="11"/>
  <c r="G279" i="11"/>
  <c r="F279" i="11"/>
  <c r="U278" i="11"/>
  <c r="S278" i="11"/>
  <c r="R278" i="11"/>
  <c r="Q278" i="11"/>
  <c r="P278" i="11"/>
  <c r="K278" i="11"/>
  <c r="J278" i="11"/>
  <c r="I278" i="11"/>
  <c r="H278" i="11"/>
  <c r="G278" i="11"/>
  <c r="F278" i="11"/>
  <c r="E278" i="11"/>
  <c r="O278" i="11" s="1"/>
  <c r="U277" i="11"/>
  <c r="S277" i="11"/>
  <c r="R277" i="11"/>
  <c r="Q277" i="11"/>
  <c r="P277" i="11"/>
  <c r="K277" i="11"/>
  <c r="J277" i="11"/>
  <c r="I277" i="11"/>
  <c r="H277" i="11"/>
  <c r="G277" i="11"/>
  <c r="F277" i="11"/>
  <c r="X276" i="11"/>
  <c r="U276" i="11"/>
  <c r="S276" i="11"/>
  <c r="R276" i="11"/>
  <c r="Q276" i="11"/>
  <c r="P276" i="11"/>
  <c r="M276" i="11"/>
  <c r="K276" i="11"/>
  <c r="J276" i="11"/>
  <c r="I276" i="11"/>
  <c r="H276" i="11"/>
  <c r="G276" i="11"/>
  <c r="F276" i="11"/>
  <c r="U275" i="11"/>
  <c r="S275" i="11"/>
  <c r="R275" i="11"/>
  <c r="Q275" i="11"/>
  <c r="P275" i="11"/>
  <c r="M275" i="11"/>
  <c r="K275" i="11"/>
  <c r="J275" i="11"/>
  <c r="X275" i="11" s="1"/>
  <c r="I275" i="11"/>
  <c r="H275" i="11"/>
  <c r="G275" i="11"/>
  <c r="F275" i="11"/>
  <c r="U274" i="11"/>
  <c r="S274" i="11"/>
  <c r="R274" i="11"/>
  <c r="Q274" i="11"/>
  <c r="P274" i="11"/>
  <c r="K274" i="11"/>
  <c r="J274" i="11"/>
  <c r="I274" i="11"/>
  <c r="H274" i="11"/>
  <c r="G274" i="11"/>
  <c r="F274" i="11"/>
  <c r="U273" i="11"/>
  <c r="S273" i="11"/>
  <c r="R273" i="11"/>
  <c r="Q273" i="11"/>
  <c r="P273" i="11"/>
  <c r="K273" i="11"/>
  <c r="J273" i="11"/>
  <c r="I273" i="11"/>
  <c r="H273" i="11"/>
  <c r="G273" i="11"/>
  <c r="F273" i="11"/>
  <c r="E273" i="11"/>
  <c r="X272" i="11"/>
  <c r="U272" i="11"/>
  <c r="S272" i="11"/>
  <c r="R272" i="11"/>
  <c r="Q272" i="11"/>
  <c r="P272" i="11"/>
  <c r="K272" i="11"/>
  <c r="J272" i="11"/>
  <c r="I272" i="11"/>
  <c r="H272" i="11"/>
  <c r="G272" i="11"/>
  <c r="F272" i="11"/>
  <c r="E272" i="11"/>
  <c r="X271" i="11"/>
  <c r="U271" i="11"/>
  <c r="S271" i="11"/>
  <c r="R271" i="11"/>
  <c r="Q271" i="11"/>
  <c r="P271" i="11"/>
  <c r="K271" i="11"/>
  <c r="J271" i="11"/>
  <c r="I271" i="11"/>
  <c r="H271" i="11"/>
  <c r="G271" i="11"/>
  <c r="F271" i="11"/>
  <c r="U270" i="11"/>
  <c r="S270" i="11"/>
  <c r="R270" i="11"/>
  <c r="Q270" i="11"/>
  <c r="P270" i="11"/>
  <c r="K270" i="11"/>
  <c r="J270" i="11"/>
  <c r="I270" i="11"/>
  <c r="H270" i="11"/>
  <c r="G270" i="11"/>
  <c r="F270" i="11"/>
  <c r="X269" i="11"/>
  <c r="M269" i="11"/>
  <c r="L269" i="11"/>
  <c r="E269" i="11"/>
  <c r="X268" i="11"/>
  <c r="O268" i="11"/>
  <c r="N268" i="11"/>
  <c r="M268" i="11"/>
  <c r="L268" i="11"/>
  <c r="X267" i="11"/>
  <c r="O267" i="11"/>
  <c r="N267" i="11"/>
  <c r="M267" i="11"/>
  <c r="L267" i="11"/>
  <c r="X266" i="11"/>
  <c r="O266" i="11"/>
  <c r="N266" i="11"/>
  <c r="M266" i="11"/>
  <c r="L266" i="11"/>
  <c r="X265" i="11"/>
  <c r="O265" i="11"/>
  <c r="N265" i="11"/>
  <c r="M265" i="11"/>
  <c r="L265" i="11"/>
  <c r="X264" i="11"/>
  <c r="O264" i="11"/>
  <c r="N264" i="11"/>
  <c r="M264" i="11"/>
  <c r="L264" i="11"/>
  <c r="X263" i="11"/>
  <c r="O263" i="11"/>
  <c r="N263" i="11"/>
  <c r="M263" i="11"/>
  <c r="L263" i="11"/>
  <c r="X262" i="11"/>
  <c r="O262" i="11"/>
  <c r="N262" i="11"/>
  <c r="M262" i="11"/>
  <c r="L262" i="11"/>
  <c r="X261" i="11"/>
  <c r="O261" i="11"/>
  <c r="N261" i="11"/>
  <c r="M261" i="11"/>
  <c r="L261" i="11"/>
  <c r="X260" i="11"/>
  <c r="O260" i="11"/>
  <c r="N260" i="11"/>
  <c r="M260" i="11"/>
  <c r="L260" i="11"/>
  <c r="X259" i="11"/>
  <c r="O259" i="11"/>
  <c r="N259" i="11"/>
  <c r="M259" i="11"/>
  <c r="L259" i="11"/>
  <c r="Q258" i="11"/>
  <c r="N258" i="11"/>
  <c r="L258" i="11"/>
  <c r="G258" i="11"/>
  <c r="X258" i="11" s="1"/>
  <c r="X257" i="11"/>
  <c r="O257" i="11"/>
  <c r="N257" i="11"/>
  <c r="M257" i="11"/>
  <c r="L257" i="11"/>
  <c r="X256" i="11"/>
  <c r="O256" i="11"/>
  <c r="N256" i="11"/>
  <c r="M256" i="11"/>
  <c r="L256" i="11"/>
  <c r="X255" i="11"/>
  <c r="O255" i="11"/>
  <c r="N255" i="11"/>
  <c r="M255" i="11"/>
  <c r="L255" i="11"/>
  <c r="X254" i="11"/>
  <c r="O254" i="11"/>
  <c r="N254" i="11"/>
  <c r="M254" i="11"/>
  <c r="L254" i="11"/>
  <c r="X253" i="11"/>
  <c r="O253" i="11"/>
  <c r="N253" i="11"/>
  <c r="M253" i="11"/>
  <c r="L253" i="11"/>
  <c r="X252" i="11"/>
  <c r="O252" i="11"/>
  <c r="N252" i="11"/>
  <c r="M252" i="11"/>
  <c r="L252" i="11"/>
  <c r="X251" i="11"/>
  <c r="O251" i="11"/>
  <c r="N251" i="11"/>
  <c r="M251" i="11"/>
  <c r="L251" i="11"/>
  <c r="X250" i="11"/>
  <c r="O250" i="11"/>
  <c r="N250" i="11"/>
  <c r="M250" i="11"/>
  <c r="L250" i="11"/>
  <c r="X249" i="11"/>
  <c r="O249" i="11"/>
  <c r="N249" i="11"/>
  <c r="M249" i="11"/>
  <c r="L249" i="11"/>
  <c r="X248" i="11"/>
  <c r="O248" i="11"/>
  <c r="N248" i="11"/>
  <c r="M248" i="11"/>
  <c r="L248" i="11"/>
  <c r="X247" i="11"/>
  <c r="O247" i="11"/>
  <c r="N247" i="11"/>
  <c r="M247" i="11"/>
  <c r="L247" i="11"/>
  <c r="X246" i="11"/>
  <c r="O246" i="11"/>
  <c r="N246" i="11"/>
  <c r="M246" i="11"/>
  <c r="L246" i="11"/>
  <c r="X245" i="11"/>
  <c r="O245" i="11"/>
  <c r="N245" i="11"/>
  <c r="M245" i="11"/>
  <c r="L245" i="11"/>
  <c r="X244" i="11"/>
  <c r="O244" i="11"/>
  <c r="N244" i="11"/>
  <c r="M244" i="11"/>
  <c r="L244" i="11"/>
  <c r="N243" i="11"/>
  <c r="L243" i="11"/>
  <c r="G243" i="11"/>
  <c r="X242" i="11"/>
  <c r="O242" i="11"/>
  <c r="N242" i="11"/>
  <c r="M242" i="11"/>
  <c r="L242" i="11"/>
  <c r="G242" i="11"/>
  <c r="X241" i="11"/>
  <c r="O241" i="11"/>
  <c r="N241" i="11"/>
  <c r="L241" i="11"/>
  <c r="G241" i="11"/>
  <c r="M241" i="11" s="1"/>
  <c r="N240" i="11"/>
  <c r="L240" i="11"/>
  <c r="G240" i="11"/>
  <c r="X239" i="11"/>
  <c r="O239" i="11"/>
  <c r="N239" i="11"/>
  <c r="M239" i="11"/>
  <c r="L239" i="11"/>
  <c r="X238" i="11"/>
  <c r="N238" i="11"/>
  <c r="M238" i="11"/>
  <c r="L238" i="11"/>
  <c r="G238" i="11"/>
  <c r="O238" i="11" s="1"/>
  <c r="N237" i="11"/>
  <c r="L237" i="11"/>
  <c r="G237" i="11"/>
  <c r="X236" i="11"/>
  <c r="N236" i="11"/>
  <c r="M236" i="11"/>
  <c r="L236" i="11"/>
  <c r="G236" i="11"/>
  <c r="O236" i="11" s="1"/>
  <c r="N235" i="11"/>
  <c r="L235" i="11"/>
  <c r="G235" i="11"/>
  <c r="X235" i="11" s="1"/>
  <c r="X234" i="11"/>
  <c r="O234" i="11"/>
  <c r="N234" i="11"/>
  <c r="M234" i="11"/>
  <c r="L234" i="11"/>
  <c r="G234" i="11"/>
  <c r="N233" i="11"/>
  <c r="L233" i="11"/>
  <c r="G233" i="11"/>
  <c r="N232" i="11"/>
  <c r="L232" i="11"/>
  <c r="G232" i="11"/>
  <c r="O232" i="11" s="1"/>
  <c r="X231" i="11"/>
  <c r="N231" i="11"/>
  <c r="L231" i="11"/>
  <c r="G231" i="11"/>
  <c r="N230" i="11"/>
  <c r="M230" i="11"/>
  <c r="L230" i="11"/>
  <c r="G230" i="11"/>
  <c r="N229" i="11"/>
  <c r="L229" i="11"/>
  <c r="G229" i="11"/>
  <c r="M229" i="11" s="1"/>
  <c r="X228" i="11"/>
  <c r="N228" i="11"/>
  <c r="M228" i="11"/>
  <c r="L228" i="11"/>
  <c r="G228" i="11"/>
  <c r="O228" i="11" s="1"/>
  <c r="N227" i="11"/>
  <c r="L227" i="11"/>
  <c r="G227" i="11"/>
  <c r="X226" i="11"/>
  <c r="O226" i="11"/>
  <c r="N226" i="11"/>
  <c r="M226" i="11"/>
  <c r="L226" i="11"/>
  <c r="O225" i="11"/>
  <c r="N225" i="11"/>
  <c r="M225" i="11"/>
  <c r="L225" i="11"/>
  <c r="G225" i="11"/>
  <c r="X225" i="11" s="1"/>
  <c r="N224" i="11"/>
  <c r="L224" i="11"/>
  <c r="G224" i="11"/>
  <c r="X223" i="11"/>
  <c r="O223" i="11"/>
  <c r="N223" i="11"/>
  <c r="M223" i="11"/>
  <c r="L223" i="11"/>
  <c r="K223" i="11"/>
  <c r="I223" i="11"/>
  <c r="G223" i="11"/>
  <c r="N222" i="11"/>
  <c r="L222" i="11"/>
  <c r="G222" i="11"/>
  <c r="X221" i="11"/>
  <c r="O221" i="11"/>
  <c r="N221" i="11"/>
  <c r="M221" i="11"/>
  <c r="L221" i="11"/>
  <c r="X220" i="11"/>
  <c r="N220" i="11"/>
  <c r="M220" i="11"/>
  <c r="L220" i="11"/>
  <c r="G220" i="11"/>
  <c r="O220" i="11" s="1"/>
  <c r="N219" i="11"/>
  <c r="L219" i="11"/>
  <c r="G219" i="11"/>
  <c r="O219" i="11" s="1"/>
  <c r="N218" i="11"/>
  <c r="M218" i="11"/>
  <c r="L218" i="11"/>
  <c r="K218" i="11"/>
  <c r="I218" i="11"/>
  <c r="G218" i="11"/>
  <c r="X217" i="11"/>
  <c r="N217" i="11"/>
  <c r="M217" i="11"/>
  <c r="L217" i="11"/>
  <c r="K217" i="11"/>
  <c r="I217" i="11"/>
  <c r="G217" i="11"/>
  <c r="O217" i="11" s="1"/>
  <c r="X216" i="11"/>
  <c r="O216" i="11"/>
  <c r="N216" i="11"/>
  <c r="M216" i="11"/>
  <c r="L216" i="11"/>
  <c r="G216" i="11"/>
  <c r="O215" i="11"/>
  <c r="N215" i="11"/>
  <c r="L215" i="11"/>
  <c r="G215" i="11"/>
  <c r="X214" i="11"/>
  <c r="O214" i="11"/>
  <c r="N214" i="11"/>
  <c r="L214" i="11"/>
  <c r="G214" i="11"/>
  <c r="M214" i="11" s="1"/>
  <c r="X213" i="11"/>
  <c r="O213" i="11"/>
  <c r="N213" i="11"/>
  <c r="L213" i="11"/>
  <c r="K213" i="11"/>
  <c r="I213" i="11"/>
  <c r="G213" i="11"/>
  <c r="M213" i="11" s="1"/>
  <c r="N212" i="11"/>
  <c r="L212" i="11"/>
  <c r="G212" i="11"/>
  <c r="O212" i="11" s="1"/>
  <c r="X211" i="11"/>
  <c r="O211" i="11"/>
  <c r="N211" i="11"/>
  <c r="M211" i="11"/>
  <c r="L211" i="11"/>
  <c r="X210" i="11"/>
  <c r="O210" i="11"/>
  <c r="N210" i="11"/>
  <c r="M210" i="11"/>
  <c r="N209" i="11"/>
  <c r="G209" i="11"/>
  <c r="M209" i="11" s="1"/>
  <c r="X208" i="11"/>
  <c r="O208" i="11"/>
  <c r="N208" i="11"/>
  <c r="M208" i="11"/>
  <c r="X207" i="11"/>
  <c r="O207" i="11"/>
  <c r="N207" i="11"/>
  <c r="M207" i="11"/>
  <c r="X206" i="11"/>
  <c r="O206" i="11"/>
  <c r="N206" i="11"/>
  <c r="M206" i="11"/>
  <c r="X205" i="11"/>
  <c r="O205" i="11"/>
  <c r="N205" i="11"/>
  <c r="M205" i="11"/>
  <c r="X204" i="11"/>
  <c r="O204" i="11"/>
  <c r="N204" i="11"/>
  <c r="M204" i="11"/>
  <c r="X203" i="11"/>
  <c r="O203" i="11"/>
  <c r="N203" i="11"/>
  <c r="M203" i="11"/>
  <c r="X202" i="11"/>
  <c r="O202" i="11"/>
  <c r="N202" i="11"/>
  <c r="M202" i="11"/>
  <c r="X201" i="11"/>
  <c r="O201" i="11"/>
  <c r="N201" i="11"/>
  <c r="M201" i="11"/>
  <c r="X200" i="11"/>
  <c r="X199" i="11"/>
  <c r="X198" i="11"/>
  <c r="X197" i="11"/>
  <c r="X196" i="11"/>
  <c r="U194" i="11"/>
  <c r="S194" i="11"/>
  <c r="R194" i="11"/>
  <c r="Q194" i="11"/>
  <c r="P194" i="11"/>
  <c r="K194" i="11"/>
  <c r="J194" i="11"/>
  <c r="I194" i="11"/>
  <c r="H194" i="11"/>
  <c r="G194" i="11"/>
  <c r="F194" i="11"/>
  <c r="U193" i="11"/>
  <c r="S193" i="11"/>
  <c r="R193" i="11"/>
  <c r="Q193" i="11"/>
  <c r="P193" i="11"/>
  <c r="K193" i="11"/>
  <c r="J193" i="11"/>
  <c r="I193" i="11"/>
  <c r="H193" i="11"/>
  <c r="G193" i="11"/>
  <c r="F193" i="11"/>
  <c r="L193" i="11" s="1"/>
  <c r="U192" i="11"/>
  <c r="S192" i="11"/>
  <c r="R192" i="11"/>
  <c r="Q192" i="11"/>
  <c r="P192" i="11"/>
  <c r="K192" i="11"/>
  <c r="J192" i="11"/>
  <c r="I192" i="11"/>
  <c r="H192" i="11"/>
  <c r="G192" i="11"/>
  <c r="F192" i="11"/>
  <c r="U191" i="11"/>
  <c r="S191" i="11"/>
  <c r="R191" i="11"/>
  <c r="Q191" i="11"/>
  <c r="P191" i="11"/>
  <c r="M191" i="11"/>
  <c r="L191" i="11"/>
  <c r="K191" i="11"/>
  <c r="J191" i="11"/>
  <c r="I191" i="11"/>
  <c r="H191" i="11"/>
  <c r="G191" i="11"/>
  <c r="F191" i="11"/>
  <c r="X190" i="11"/>
  <c r="U190" i="11"/>
  <c r="S190" i="11"/>
  <c r="R190" i="11"/>
  <c r="Q190" i="11"/>
  <c r="P190" i="11"/>
  <c r="M190" i="11"/>
  <c r="L190" i="11"/>
  <c r="K190" i="11"/>
  <c r="J190" i="11"/>
  <c r="I190" i="11"/>
  <c r="H190" i="11"/>
  <c r="G190" i="11"/>
  <c r="F190" i="11"/>
  <c r="U189" i="11"/>
  <c r="S189" i="11"/>
  <c r="R189" i="11"/>
  <c r="Q189" i="11"/>
  <c r="P189" i="11"/>
  <c r="M189" i="11"/>
  <c r="K189" i="11"/>
  <c r="J189" i="11"/>
  <c r="I189" i="11"/>
  <c r="H189" i="11"/>
  <c r="G189" i="11"/>
  <c r="F189" i="11"/>
  <c r="L189" i="11" s="1"/>
  <c r="U188" i="11"/>
  <c r="S188" i="11"/>
  <c r="R188" i="11"/>
  <c r="Q188" i="11"/>
  <c r="P188" i="11"/>
  <c r="K188" i="11"/>
  <c r="J188" i="11"/>
  <c r="I188" i="11"/>
  <c r="H188" i="11"/>
  <c r="G188" i="11"/>
  <c r="F188" i="11"/>
  <c r="U187" i="11"/>
  <c r="S187" i="11"/>
  <c r="R187" i="11"/>
  <c r="Q187" i="11"/>
  <c r="P187" i="11"/>
  <c r="L187" i="11"/>
  <c r="K187" i="11"/>
  <c r="J187" i="11"/>
  <c r="I187" i="11"/>
  <c r="H187" i="11"/>
  <c r="G187" i="11"/>
  <c r="F187" i="11"/>
  <c r="X186" i="11"/>
  <c r="U186" i="11"/>
  <c r="S186" i="11"/>
  <c r="R186" i="11"/>
  <c r="Q186" i="11"/>
  <c r="P186" i="11"/>
  <c r="O186" i="11"/>
  <c r="M186" i="11"/>
  <c r="L186" i="11"/>
  <c r="K186" i="11"/>
  <c r="J186" i="11"/>
  <c r="I186" i="11"/>
  <c r="H186" i="11"/>
  <c r="G186" i="11"/>
  <c r="F186" i="11"/>
  <c r="E186" i="11"/>
  <c r="X185" i="11"/>
  <c r="U185" i="11"/>
  <c r="S185" i="11"/>
  <c r="R185" i="11"/>
  <c r="Q185" i="11"/>
  <c r="P185" i="11"/>
  <c r="M185" i="11"/>
  <c r="K185" i="11"/>
  <c r="J185" i="11"/>
  <c r="I185" i="11"/>
  <c r="H185" i="11"/>
  <c r="G185" i="11"/>
  <c r="F185" i="11"/>
  <c r="E185" i="11"/>
  <c r="E282" i="11" s="1"/>
  <c r="X184" i="11"/>
  <c r="U184" i="11"/>
  <c r="S184" i="11"/>
  <c r="R184" i="11"/>
  <c r="Q184" i="11"/>
  <c r="P184" i="11"/>
  <c r="O184" i="11"/>
  <c r="K184" i="11"/>
  <c r="J184" i="11"/>
  <c r="I184" i="11"/>
  <c r="H184" i="11"/>
  <c r="G184" i="11"/>
  <c r="M184" i="11" s="1"/>
  <c r="F184" i="11"/>
  <c r="E184" i="11"/>
  <c r="E281" i="11" s="1"/>
  <c r="O281" i="11" s="1"/>
  <c r="X183" i="11"/>
  <c r="U183" i="11"/>
  <c r="S183" i="11"/>
  <c r="R183" i="11"/>
  <c r="Q183" i="11"/>
  <c r="P183" i="11"/>
  <c r="O183" i="11"/>
  <c r="L183" i="11"/>
  <c r="K183" i="11"/>
  <c r="J183" i="11"/>
  <c r="I183" i="11"/>
  <c r="H183" i="11"/>
  <c r="G183" i="11"/>
  <c r="M183" i="11" s="1"/>
  <c r="F183" i="11"/>
  <c r="E183" i="11"/>
  <c r="E280" i="11" s="1"/>
  <c r="O280" i="11" s="1"/>
  <c r="X182" i="11"/>
  <c r="U182" i="11"/>
  <c r="S182" i="11"/>
  <c r="R182" i="11"/>
  <c r="Q182" i="11"/>
  <c r="P182" i="11"/>
  <c r="L182" i="11"/>
  <c r="K182" i="11"/>
  <c r="J182" i="11"/>
  <c r="I182" i="11"/>
  <c r="H182" i="11"/>
  <c r="G182" i="11"/>
  <c r="F182" i="11"/>
  <c r="E182" i="11"/>
  <c r="E279" i="11" s="1"/>
  <c r="U181" i="11"/>
  <c r="S181" i="11"/>
  <c r="R181" i="11"/>
  <c r="Q181" i="11"/>
  <c r="P181" i="11"/>
  <c r="K181" i="11"/>
  <c r="J181" i="11"/>
  <c r="I181" i="11"/>
  <c r="H181" i="11"/>
  <c r="G181" i="11"/>
  <c r="F181" i="11"/>
  <c r="E181" i="11"/>
  <c r="U180" i="11"/>
  <c r="S180" i="11"/>
  <c r="R180" i="11"/>
  <c r="Q180" i="11"/>
  <c r="P180" i="11"/>
  <c r="K180" i="11"/>
  <c r="J180" i="11"/>
  <c r="I180" i="11"/>
  <c r="H180" i="11"/>
  <c r="G180" i="11"/>
  <c r="F180" i="11"/>
  <c r="E180" i="11"/>
  <c r="E277" i="11" s="1"/>
  <c r="X179" i="11"/>
  <c r="U179" i="11"/>
  <c r="S179" i="11"/>
  <c r="R179" i="11"/>
  <c r="Q179" i="11"/>
  <c r="P179" i="11"/>
  <c r="K179" i="11"/>
  <c r="J179" i="11"/>
  <c r="I179" i="11"/>
  <c r="H179" i="11"/>
  <c r="G179" i="11"/>
  <c r="M179" i="11" s="1"/>
  <c r="F179" i="11"/>
  <c r="E179" i="11"/>
  <c r="E276" i="11" s="1"/>
  <c r="X178" i="11"/>
  <c r="U178" i="11"/>
  <c r="S178" i="11"/>
  <c r="R178" i="11"/>
  <c r="Q178" i="11"/>
  <c r="P178" i="11"/>
  <c r="K178" i="11"/>
  <c r="J178" i="11"/>
  <c r="I178" i="11"/>
  <c r="H178" i="11"/>
  <c r="G178" i="11"/>
  <c r="F178" i="11"/>
  <c r="E178" i="11"/>
  <c r="E275" i="11" s="1"/>
  <c r="X177" i="11"/>
  <c r="U177" i="11"/>
  <c r="S177" i="11"/>
  <c r="R177" i="11"/>
  <c r="Q177" i="11"/>
  <c r="P177" i="11"/>
  <c r="K177" i="11"/>
  <c r="J177" i="11"/>
  <c r="I177" i="11"/>
  <c r="H177" i="11"/>
  <c r="G177" i="11"/>
  <c r="F177" i="11"/>
  <c r="E177" i="11"/>
  <c r="E274" i="11" s="1"/>
  <c r="U176" i="11"/>
  <c r="S176" i="11"/>
  <c r="R176" i="11"/>
  <c r="Q176" i="11"/>
  <c r="P176" i="11"/>
  <c r="K176" i="11"/>
  <c r="J176" i="11"/>
  <c r="I176" i="11"/>
  <c r="H176" i="11"/>
  <c r="G176" i="11"/>
  <c r="F176" i="11"/>
  <c r="N176" i="11" s="1"/>
  <c r="E176" i="11"/>
  <c r="U175" i="11"/>
  <c r="S175" i="11"/>
  <c r="R175" i="11"/>
  <c r="Q175" i="11"/>
  <c r="P175" i="11"/>
  <c r="N175" i="11"/>
  <c r="L175" i="11"/>
  <c r="K175" i="11"/>
  <c r="J175" i="11"/>
  <c r="I175" i="11"/>
  <c r="H175" i="11"/>
  <c r="G175" i="11"/>
  <c r="F175" i="11"/>
  <c r="E175" i="11"/>
  <c r="X174" i="11"/>
  <c r="U174" i="11"/>
  <c r="S174" i="11"/>
  <c r="R174" i="11"/>
  <c r="Q174" i="11"/>
  <c r="M174" i="11" s="1"/>
  <c r="P174" i="11"/>
  <c r="K174" i="11"/>
  <c r="J174" i="11"/>
  <c r="L174" i="11" s="1"/>
  <c r="I174" i="11"/>
  <c r="H174" i="11"/>
  <c r="G174" i="11"/>
  <c r="F174" i="11"/>
  <c r="E174" i="11"/>
  <c r="X173" i="11"/>
  <c r="M173" i="11"/>
  <c r="L173" i="11"/>
  <c r="E173" i="11"/>
  <c r="X172" i="11"/>
  <c r="O172" i="11"/>
  <c r="N172" i="11"/>
  <c r="M172" i="11"/>
  <c r="L172" i="11"/>
  <c r="X171" i="11"/>
  <c r="O171" i="11"/>
  <c r="N171" i="11"/>
  <c r="M171" i="11"/>
  <c r="L171" i="11"/>
  <c r="X170" i="11"/>
  <c r="O170" i="11"/>
  <c r="N170" i="11"/>
  <c r="M170" i="11"/>
  <c r="L170" i="11"/>
  <c r="X169" i="11"/>
  <c r="O169" i="11"/>
  <c r="N169" i="11"/>
  <c r="M169" i="11"/>
  <c r="L169" i="11"/>
  <c r="X168" i="11"/>
  <c r="O168" i="11"/>
  <c r="N168" i="11"/>
  <c r="M168" i="11"/>
  <c r="L168" i="11"/>
  <c r="X167" i="11"/>
  <c r="O167" i="11"/>
  <c r="N167" i="11"/>
  <c r="M167" i="11"/>
  <c r="L167" i="11"/>
  <c r="X166" i="11"/>
  <c r="O166" i="11"/>
  <c r="N166" i="11"/>
  <c r="M166" i="11"/>
  <c r="L166" i="11"/>
  <c r="X165" i="11"/>
  <c r="O165" i="11"/>
  <c r="N165" i="11"/>
  <c r="M165" i="11"/>
  <c r="L165" i="11"/>
  <c r="X164" i="11"/>
  <c r="O164" i="11"/>
  <c r="N164" i="11"/>
  <c r="M164" i="11"/>
  <c r="L164" i="11"/>
  <c r="X163" i="11"/>
  <c r="O163" i="11"/>
  <c r="N163" i="11"/>
  <c r="M163" i="11"/>
  <c r="L163" i="11"/>
  <c r="X162" i="11"/>
  <c r="O162" i="11"/>
  <c r="N162" i="11"/>
  <c r="M162" i="11"/>
  <c r="L162" i="11"/>
  <c r="N161" i="11"/>
  <c r="M161" i="11"/>
  <c r="L161" i="11"/>
  <c r="G161" i="11"/>
  <c r="X161" i="11" s="1"/>
  <c r="X160" i="11"/>
  <c r="O160" i="11"/>
  <c r="N160" i="11"/>
  <c r="M160" i="11"/>
  <c r="L160" i="11"/>
  <c r="X159" i="11"/>
  <c r="O159" i="11"/>
  <c r="N159" i="11"/>
  <c r="M159" i="11"/>
  <c r="L159" i="11"/>
  <c r="X158" i="11"/>
  <c r="O158" i="11"/>
  <c r="N158" i="11"/>
  <c r="M158" i="11"/>
  <c r="L158" i="11"/>
  <c r="X157" i="11"/>
  <c r="O157" i="11"/>
  <c r="N157" i="11"/>
  <c r="M157" i="11"/>
  <c r="L157" i="11"/>
  <c r="X156" i="11"/>
  <c r="O156" i="11"/>
  <c r="N156" i="11"/>
  <c r="M156" i="11"/>
  <c r="L156" i="11"/>
  <c r="X155" i="11"/>
  <c r="S155" i="11"/>
  <c r="O155" i="11"/>
  <c r="N155" i="11"/>
  <c r="M155" i="11"/>
  <c r="L155" i="11"/>
  <c r="X154" i="11"/>
  <c r="O154" i="11"/>
  <c r="N154" i="11"/>
  <c r="M154" i="11"/>
  <c r="L154" i="11"/>
  <c r="X153" i="11"/>
  <c r="O153" i="11"/>
  <c r="N153" i="11"/>
  <c r="M153" i="11"/>
  <c r="L153" i="11"/>
  <c r="G153" i="11"/>
  <c r="X152" i="11"/>
  <c r="O152" i="11"/>
  <c r="N152" i="11"/>
  <c r="M152" i="11"/>
  <c r="L152" i="11"/>
  <c r="X151" i="11"/>
  <c r="O151" i="11"/>
  <c r="N151" i="11"/>
  <c r="M151" i="11"/>
  <c r="L151" i="11"/>
  <c r="X150" i="11"/>
  <c r="O150" i="11"/>
  <c r="N150" i="11"/>
  <c r="M150" i="11"/>
  <c r="L150" i="11"/>
  <c r="X149" i="11"/>
  <c r="O149" i="11"/>
  <c r="N149" i="11"/>
  <c r="M149" i="11"/>
  <c r="L149" i="11"/>
  <c r="X148" i="11"/>
  <c r="O148" i="11"/>
  <c r="N148" i="11"/>
  <c r="M148" i="11"/>
  <c r="L148" i="11"/>
  <c r="X147" i="11"/>
  <c r="O147" i="11"/>
  <c r="N147" i="11"/>
  <c r="M147" i="11"/>
  <c r="L147" i="11"/>
  <c r="N146" i="11"/>
  <c r="L146" i="11"/>
  <c r="G146" i="11"/>
  <c r="N145" i="11"/>
  <c r="L145" i="11"/>
  <c r="G145" i="11"/>
  <c r="N144" i="11"/>
  <c r="L144" i="11"/>
  <c r="G144" i="11"/>
  <c r="O143" i="11"/>
  <c r="N143" i="11"/>
  <c r="M143" i="11"/>
  <c r="L143" i="11"/>
  <c r="G143" i="11"/>
  <c r="X143" i="11" s="1"/>
  <c r="X142" i="11"/>
  <c r="O142" i="11"/>
  <c r="N142" i="11"/>
  <c r="M142" i="11"/>
  <c r="L142" i="11"/>
  <c r="X141" i="11"/>
  <c r="O141" i="11"/>
  <c r="N141" i="11"/>
  <c r="M141" i="11"/>
  <c r="L141" i="11"/>
  <c r="G141" i="11"/>
  <c r="O140" i="11"/>
  <c r="N140" i="11"/>
  <c r="L140" i="11"/>
  <c r="G140" i="11"/>
  <c r="N139" i="11"/>
  <c r="L139" i="11"/>
  <c r="G139" i="11"/>
  <c r="X139" i="11" s="1"/>
  <c r="X138" i="11"/>
  <c r="O138" i="11"/>
  <c r="N138" i="11"/>
  <c r="L138" i="11"/>
  <c r="G138" i="11"/>
  <c r="M138" i="11" s="1"/>
  <c r="X137" i="11"/>
  <c r="N137" i="11"/>
  <c r="M137" i="11"/>
  <c r="L137" i="11"/>
  <c r="G137" i="11"/>
  <c r="O137" i="11" s="1"/>
  <c r="N136" i="11"/>
  <c r="M136" i="11"/>
  <c r="L136" i="11"/>
  <c r="G136" i="11"/>
  <c r="X136" i="11" s="1"/>
  <c r="X135" i="11"/>
  <c r="N135" i="11"/>
  <c r="M135" i="11"/>
  <c r="L135" i="11"/>
  <c r="G135" i="11"/>
  <c r="O135" i="11" s="1"/>
  <c r="O134" i="11"/>
  <c r="N134" i="11"/>
  <c r="M134" i="11"/>
  <c r="L134" i="11"/>
  <c r="G134" i="11"/>
  <c r="X134" i="11" s="1"/>
  <c r="X133" i="11"/>
  <c r="O133" i="11"/>
  <c r="N133" i="11"/>
  <c r="M133" i="11"/>
  <c r="L133" i="11"/>
  <c r="G133" i="11"/>
  <c r="O132" i="11"/>
  <c r="N132" i="11"/>
  <c r="L132" i="11"/>
  <c r="G132" i="11"/>
  <c r="X131" i="11"/>
  <c r="O131" i="11"/>
  <c r="N131" i="11"/>
  <c r="M131" i="11"/>
  <c r="L131" i="11"/>
  <c r="G131" i="11"/>
  <c r="N130" i="11"/>
  <c r="L130" i="11"/>
  <c r="G130" i="11"/>
  <c r="X129" i="11"/>
  <c r="O129" i="11"/>
  <c r="N129" i="11"/>
  <c r="M129" i="11"/>
  <c r="L129" i="11"/>
  <c r="X128" i="11"/>
  <c r="O128" i="11"/>
  <c r="N128" i="11"/>
  <c r="M128" i="11"/>
  <c r="L128" i="11"/>
  <c r="G128" i="11"/>
  <c r="N127" i="11"/>
  <c r="L127" i="11"/>
  <c r="G127" i="11"/>
  <c r="N126" i="11"/>
  <c r="L126" i="11"/>
  <c r="K126" i="11"/>
  <c r="I126" i="11"/>
  <c r="G126" i="11"/>
  <c r="X125" i="11"/>
  <c r="O125" i="11"/>
  <c r="N125" i="11"/>
  <c r="M125" i="11"/>
  <c r="L125" i="11"/>
  <c r="G125" i="11"/>
  <c r="X124" i="11"/>
  <c r="O124" i="11"/>
  <c r="N124" i="11"/>
  <c r="M124" i="11"/>
  <c r="L124" i="11"/>
  <c r="N123" i="11"/>
  <c r="L123" i="11"/>
  <c r="G123" i="11"/>
  <c r="X123" i="11" s="1"/>
  <c r="X122" i="11"/>
  <c r="O122" i="11"/>
  <c r="N122" i="11"/>
  <c r="L122" i="11"/>
  <c r="G122" i="11"/>
  <c r="M122" i="11" s="1"/>
  <c r="N121" i="11"/>
  <c r="L121" i="11"/>
  <c r="K121" i="11"/>
  <c r="I121" i="11"/>
  <c r="G121" i="11"/>
  <c r="X120" i="11"/>
  <c r="O120" i="11"/>
  <c r="N120" i="11"/>
  <c r="M120" i="11"/>
  <c r="L120" i="11"/>
  <c r="K120" i="11"/>
  <c r="I120" i="11"/>
  <c r="G120" i="11"/>
  <c r="N119" i="11"/>
  <c r="L119" i="11"/>
  <c r="G119" i="11"/>
  <c r="O118" i="11"/>
  <c r="N118" i="11"/>
  <c r="L118" i="11"/>
  <c r="G118" i="11"/>
  <c r="X118" i="11" s="1"/>
  <c r="X117" i="11"/>
  <c r="O117" i="11"/>
  <c r="N117" i="11"/>
  <c r="M117" i="11"/>
  <c r="L117" i="11"/>
  <c r="G117" i="11"/>
  <c r="N116" i="11"/>
  <c r="L116" i="11"/>
  <c r="K116" i="11"/>
  <c r="I116" i="11"/>
  <c r="G116" i="11"/>
  <c r="X115" i="11"/>
  <c r="O115" i="11"/>
  <c r="N115" i="11"/>
  <c r="L115" i="11"/>
  <c r="G115" i="11"/>
  <c r="M115" i="11" s="1"/>
  <c r="X114" i="11"/>
  <c r="O114" i="11"/>
  <c r="N114" i="11"/>
  <c r="M114" i="11"/>
  <c r="L114" i="11"/>
  <c r="X113" i="11"/>
  <c r="O113" i="11"/>
  <c r="N113" i="11"/>
  <c r="M113" i="11"/>
  <c r="X112" i="11"/>
  <c r="O112" i="11"/>
  <c r="N112" i="11"/>
  <c r="M112" i="11"/>
  <c r="G112" i="11"/>
  <c r="X111" i="11"/>
  <c r="O111" i="11"/>
  <c r="N111" i="11"/>
  <c r="M111" i="11"/>
  <c r="X110" i="11"/>
  <c r="O110" i="11"/>
  <c r="N110" i="11"/>
  <c r="M110" i="11"/>
  <c r="X109" i="11"/>
  <c r="O109" i="11"/>
  <c r="N109" i="11"/>
  <c r="M109" i="11"/>
  <c r="X108" i="11"/>
  <c r="O108" i="11"/>
  <c r="N108" i="11"/>
  <c r="M108" i="11"/>
  <c r="X107" i="11"/>
  <c r="O107" i="11"/>
  <c r="N107" i="11"/>
  <c r="M107" i="11"/>
  <c r="X106" i="11"/>
  <c r="O106" i="11"/>
  <c r="N106" i="11"/>
  <c r="M106" i="11"/>
  <c r="X105" i="11"/>
  <c r="O105" i="11"/>
  <c r="N105" i="11"/>
  <c r="M105" i="11"/>
  <c r="X104" i="11"/>
  <c r="O104" i="11"/>
  <c r="N104" i="11"/>
  <c r="M104" i="11"/>
  <c r="X103" i="11"/>
  <c r="X102" i="11"/>
  <c r="X101" i="11"/>
  <c r="X100" i="11"/>
  <c r="X99" i="11"/>
  <c r="U97" i="11"/>
  <c r="S97" i="11"/>
  <c r="R97" i="11"/>
  <c r="Q97" i="11"/>
  <c r="P97" i="11"/>
  <c r="M97" i="11"/>
  <c r="K97" i="11"/>
  <c r="J97" i="11"/>
  <c r="X97" i="11" s="1"/>
  <c r="I97" i="11"/>
  <c r="H97" i="11"/>
  <c r="G97" i="11"/>
  <c r="F97" i="11"/>
  <c r="U96" i="11"/>
  <c r="S96" i="11"/>
  <c r="R96" i="11"/>
  <c r="Q96" i="11"/>
  <c r="P96" i="11"/>
  <c r="K96" i="11"/>
  <c r="J96" i="11"/>
  <c r="I96" i="11"/>
  <c r="H96" i="11"/>
  <c r="G96" i="11"/>
  <c r="F96" i="11"/>
  <c r="U95" i="11"/>
  <c r="S95" i="11"/>
  <c r="R95" i="11"/>
  <c r="Q95" i="11"/>
  <c r="P95" i="11"/>
  <c r="L95" i="11"/>
  <c r="K95" i="11"/>
  <c r="X95" i="11" s="1"/>
  <c r="J95" i="11"/>
  <c r="I95" i="11"/>
  <c r="H95" i="11"/>
  <c r="G95" i="11"/>
  <c r="F95" i="11"/>
  <c r="U94" i="11"/>
  <c r="S94" i="11"/>
  <c r="R94" i="11"/>
  <c r="Q94" i="11"/>
  <c r="P94" i="11"/>
  <c r="L94" i="11" s="1"/>
  <c r="K94" i="11"/>
  <c r="X94" i="11" s="1"/>
  <c r="J94" i="11"/>
  <c r="I94" i="11"/>
  <c r="H94" i="11"/>
  <c r="G94" i="11"/>
  <c r="F94" i="11"/>
  <c r="U93" i="11"/>
  <c r="S93" i="11"/>
  <c r="R93" i="11"/>
  <c r="Q93" i="11"/>
  <c r="P93" i="11"/>
  <c r="L93" i="11" s="1"/>
  <c r="N93" i="11"/>
  <c r="M93" i="11"/>
  <c r="K93" i="11"/>
  <c r="J93" i="11"/>
  <c r="X93" i="11" s="1"/>
  <c r="I93" i="11"/>
  <c r="H93" i="11"/>
  <c r="G93" i="11"/>
  <c r="F93" i="11"/>
  <c r="U92" i="11"/>
  <c r="S92" i="11"/>
  <c r="R92" i="11"/>
  <c r="Q92" i="11"/>
  <c r="P92" i="11"/>
  <c r="O92" i="11"/>
  <c r="N92" i="11"/>
  <c r="K92" i="11"/>
  <c r="X92" i="11" s="1"/>
  <c r="J92" i="11"/>
  <c r="I92" i="11"/>
  <c r="H92" i="11"/>
  <c r="G92" i="11"/>
  <c r="F92" i="11"/>
  <c r="U91" i="11"/>
  <c r="S91" i="11"/>
  <c r="R91" i="11"/>
  <c r="Q91" i="11"/>
  <c r="P91" i="11"/>
  <c r="O91" i="11"/>
  <c r="N91" i="11"/>
  <c r="K91" i="11"/>
  <c r="M91" i="11" s="1"/>
  <c r="J91" i="11"/>
  <c r="L91" i="11" s="1"/>
  <c r="I91" i="11"/>
  <c r="H91" i="11"/>
  <c r="G91" i="11"/>
  <c r="F91" i="11"/>
  <c r="U90" i="11"/>
  <c r="S90" i="11"/>
  <c r="R90" i="11"/>
  <c r="Q90" i="11"/>
  <c r="P90" i="11"/>
  <c r="O90" i="11"/>
  <c r="N90" i="11"/>
  <c r="L90" i="11"/>
  <c r="K90" i="11"/>
  <c r="M90" i="11" s="1"/>
  <c r="J90" i="11"/>
  <c r="I90" i="11"/>
  <c r="H90" i="11"/>
  <c r="G90" i="11"/>
  <c r="F90" i="11"/>
  <c r="X89" i="11"/>
  <c r="U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X88" i="11"/>
  <c r="U88" i="11"/>
  <c r="S88" i="11"/>
  <c r="R88" i="11"/>
  <c r="Q88" i="11"/>
  <c r="P88" i="11"/>
  <c r="O88" i="11"/>
  <c r="N88" i="11"/>
  <c r="M88" i="11"/>
  <c r="K88" i="11"/>
  <c r="J88" i="11"/>
  <c r="I88" i="11"/>
  <c r="H88" i="11"/>
  <c r="G88" i="11"/>
  <c r="F88" i="11"/>
  <c r="E88" i="11"/>
  <c r="E89" i="11" s="1"/>
  <c r="E90" i="11" s="1"/>
  <c r="E91" i="11" s="1"/>
  <c r="E92" i="11" s="1"/>
  <c r="E93" i="11" s="1"/>
  <c r="E94" i="11" s="1"/>
  <c r="E95" i="11" s="1"/>
  <c r="U87" i="11"/>
  <c r="S87" i="11"/>
  <c r="R87" i="11"/>
  <c r="Q87" i="11"/>
  <c r="P87" i="11"/>
  <c r="O87" i="11"/>
  <c r="N87" i="11"/>
  <c r="M87" i="11"/>
  <c r="K87" i="11"/>
  <c r="J87" i="11"/>
  <c r="I87" i="11"/>
  <c r="H87" i="11"/>
  <c r="G87" i="11"/>
  <c r="X87" i="11" s="1"/>
  <c r="F87" i="11"/>
  <c r="U86" i="11"/>
  <c r="S86" i="11"/>
  <c r="R86" i="11"/>
  <c r="Q86" i="11"/>
  <c r="P86" i="11"/>
  <c r="N86" i="11"/>
  <c r="K86" i="11"/>
  <c r="J86" i="11"/>
  <c r="I86" i="11"/>
  <c r="H86" i="11"/>
  <c r="G86" i="11"/>
  <c r="X86" i="11" s="1"/>
  <c r="F86" i="11"/>
  <c r="U85" i="11"/>
  <c r="S85" i="11"/>
  <c r="R85" i="11"/>
  <c r="Q85" i="11"/>
  <c r="P85" i="11"/>
  <c r="K85" i="11"/>
  <c r="J85" i="11"/>
  <c r="I85" i="11"/>
  <c r="H85" i="11"/>
  <c r="G85" i="11"/>
  <c r="M85" i="11" s="1"/>
  <c r="F85" i="11"/>
  <c r="U84" i="11"/>
  <c r="S84" i="11"/>
  <c r="R84" i="11"/>
  <c r="Q84" i="11"/>
  <c r="P84" i="11"/>
  <c r="K84" i="11"/>
  <c r="J84" i="11"/>
  <c r="I84" i="11"/>
  <c r="H84" i="11"/>
  <c r="G84" i="11"/>
  <c r="F84" i="11"/>
  <c r="L84" i="11" s="1"/>
  <c r="X83" i="11"/>
  <c r="U83" i="11"/>
  <c r="S83" i="11"/>
  <c r="R83" i="11"/>
  <c r="Q83" i="11"/>
  <c r="P83" i="11"/>
  <c r="M83" i="11"/>
  <c r="K83" i="11"/>
  <c r="J83" i="11"/>
  <c r="I83" i="11"/>
  <c r="H83" i="11"/>
  <c r="G83" i="11"/>
  <c r="O83" i="11" s="1"/>
  <c r="F83" i="11"/>
  <c r="X82" i="11"/>
  <c r="U82" i="11"/>
  <c r="S82" i="11"/>
  <c r="R82" i="11"/>
  <c r="Q82" i="11"/>
  <c r="P82" i="11"/>
  <c r="K82" i="11"/>
  <c r="J82" i="11"/>
  <c r="I82" i="11"/>
  <c r="H82" i="11"/>
  <c r="G82" i="11"/>
  <c r="F82" i="11"/>
  <c r="U81" i="11"/>
  <c r="S81" i="11"/>
  <c r="R81" i="11"/>
  <c r="Q81" i="11"/>
  <c r="P81" i="11"/>
  <c r="K81" i="11"/>
  <c r="J81" i="11"/>
  <c r="I81" i="11"/>
  <c r="H81" i="11"/>
  <c r="G81" i="11"/>
  <c r="M81" i="11" s="1"/>
  <c r="F81" i="11"/>
  <c r="X80" i="11"/>
  <c r="U80" i="11"/>
  <c r="S80" i="11"/>
  <c r="R80" i="11"/>
  <c r="Q80" i="11"/>
  <c r="P80" i="11"/>
  <c r="N80" i="11"/>
  <c r="K80" i="11"/>
  <c r="J80" i="11"/>
  <c r="I80" i="11"/>
  <c r="H80" i="11"/>
  <c r="G80" i="11"/>
  <c r="O80" i="11" s="1"/>
  <c r="F80" i="11"/>
  <c r="L80" i="11" s="1"/>
  <c r="X79" i="11"/>
  <c r="U79" i="11"/>
  <c r="S79" i="11"/>
  <c r="R79" i="11"/>
  <c r="Q79" i="11"/>
  <c r="P79" i="11"/>
  <c r="M79" i="11"/>
  <c r="K79" i="11"/>
  <c r="J79" i="11"/>
  <c r="I79" i="11"/>
  <c r="H79" i="11"/>
  <c r="G79" i="11"/>
  <c r="O79" i="11" s="1"/>
  <c r="F79" i="11"/>
  <c r="X78" i="11"/>
  <c r="U78" i="11"/>
  <c r="S78" i="11"/>
  <c r="R78" i="11"/>
  <c r="Q78" i="11"/>
  <c r="P78" i="11"/>
  <c r="K78" i="11"/>
  <c r="J78" i="11"/>
  <c r="I78" i="11"/>
  <c r="H78" i="11"/>
  <c r="G78" i="11"/>
  <c r="F78" i="11"/>
  <c r="X77" i="11"/>
  <c r="U77" i="11"/>
  <c r="S77" i="11"/>
  <c r="R77" i="11"/>
  <c r="Q77" i="11"/>
  <c r="P77" i="11"/>
  <c r="K77" i="11"/>
  <c r="J77" i="11"/>
  <c r="I77" i="11"/>
  <c r="H77" i="11"/>
  <c r="G77" i="11"/>
  <c r="F77" i="11"/>
  <c r="X76" i="11"/>
  <c r="O76" i="11"/>
  <c r="N76" i="11"/>
  <c r="M76" i="11"/>
  <c r="L76" i="11"/>
  <c r="X75" i="11"/>
  <c r="O75" i="11"/>
  <c r="N75" i="11"/>
  <c r="M75" i="11"/>
  <c r="L75" i="11"/>
  <c r="X74" i="11"/>
  <c r="O74" i="11"/>
  <c r="N74" i="11"/>
  <c r="M74" i="11"/>
  <c r="L74" i="11"/>
  <c r="X73" i="11"/>
  <c r="O73" i="11"/>
  <c r="N73" i="11"/>
  <c r="M73" i="11"/>
  <c r="L73" i="11"/>
  <c r="X72" i="11"/>
  <c r="O72" i="11"/>
  <c r="N72" i="11"/>
  <c r="M72" i="11"/>
  <c r="L72" i="11"/>
  <c r="X71" i="11"/>
  <c r="O71" i="11"/>
  <c r="N71" i="11"/>
  <c r="M71" i="11"/>
  <c r="L71" i="11"/>
  <c r="X70" i="11"/>
  <c r="O70" i="11"/>
  <c r="N70" i="11"/>
  <c r="M70" i="11"/>
  <c r="L70" i="11"/>
  <c r="X69" i="11"/>
  <c r="O69" i="11"/>
  <c r="N69" i="11"/>
  <c r="M69" i="11"/>
  <c r="L69" i="11"/>
  <c r="X68" i="11"/>
  <c r="O68" i="11"/>
  <c r="N68" i="11"/>
  <c r="M68" i="11"/>
  <c r="L68" i="11"/>
  <c r="X67" i="11"/>
  <c r="O67" i="11"/>
  <c r="N67" i="11"/>
  <c r="M67" i="11"/>
  <c r="L67" i="11"/>
  <c r="X66" i="11"/>
  <c r="O66" i="11"/>
  <c r="N66" i="11"/>
  <c r="M66" i="11"/>
  <c r="L66" i="11"/>
  <c r="X65" i="11"/>
  <c r="O65" i="11"/>
  <c r="N65" i="11"/>
  <c r="M65" i="11"/>
  <c r="L65" i="11"/>
  <c r="X64" i="11"/>
  <c r="O64" i="11"/>
  <c r="N64" i="11"/>
  <c r="L64" i="11"/>
  <c r="G64" i="11"/>
  <c r="M64" i="11" s="1"/>
  <c r="X63" i="11"/>
  <c r="O63" i="11"/>
  <c r="N63" i="11"/>
  <c r="M63" i="11"/>
  <c r="L63" i="11"/>
  <c r="X62" i="11"/>
  <c r="O62" i="11"/>
  <c r="N62" i="11"/>
  <c r="M62" i="11"/>
  <c r="L62" i="11"/>
  <c r="X61" i="11"/>
  <c r="O61" i="11"/>
  <c r="N61" i="11"/>
  <c r="M61" i="11"/>
  <c r="L61" i="11"/>
  <c r="X60" i="11"/>
  <c r="O60" i="11"/>
  <c r="N60" i="11"/>
  <c r="M60" i="11"/>
  <c r="L60" i="11"/>
  <c r="X59" i="11"/>
  <c r="O59" i="11"/>
  <c r="N59" i="11"/>
  <c r="M59" i="11"/>
  <c r="L59" i="11"/>
  <c r="X58" i="11"/>
  <c r="O58" i="11"/>
  <c r="N58" i="11"/>
  <c r="M58" i="11"/>
  <c r="L58" i="11"/>
  <c r="X57" i="11"/>
  <c r="O57" i="11"/>
  <c r="N57" i="11"/>
  <c r="M57" i="11"/>
  <c r="L57" i="11"/>
  <c r="X56" i="11"/>
  <c r="O56" i="11"/>
  <c r="N56" i="11"/>
  <c r="M56" i="11"/>
  <c r="L56" i="11"/>
  <c r="G56" i="11"/>
  <c r="X55" i="11"/>
  <c r="O55" i="11"/>
  <c r="N55" i="11"/>
  <c r="M55" i="11"/>
  <c r="L55" i="11"/>
  <c r="X54" i="11"/>
  <c r="O54" i="11"/>
  <c r="N54" i="11"/>
  <c r="M54" i="11"/>
  <c r="L54" i="11"/>
  <c r="X53" i="11"/>
  <c r="O53" i="11"/>
  <c r="N53" i="11"/>
  <c r="M53" i="11"/>
  <c r="L53" i="11"/>
  <c r="X52" i="11"/>
  <c r="O52" i="11"/>
  <c r="N52" i="11"/>
  <c r="M52" i="11"/>
  <c r="L52" i="11"/>
  <c r="X51" i="11"/>
  <c r="O51" i="11"/>
  <c r="N51" i="11"/>
  <c r="M51" i="11"/>
  <c r="L51" i="11"/>
  <c r="X50" i="11"/>
  <c r="O50" i="11"/>
  <c r="N50" i="11"/>
  <c r="M50" i="11"/>
  <c r="L50" i="11"/>
  <c r="N49" i="11"/>
  <c r="L49" i="11"/>
  <c r="G49" i="11"/>
  <c r="X48" i="11"/>
  <c r="O48" i="11"/>
  <c r="N48" i="11"/>
  <c r="L48" i="11"/>
  <c r="G48" i="11"/>
  <c r="M48" i="11" s="1"/>
  <c r="X47" i="11"/>
  <c r="O47" i="11"/>
  <c r="N47" i="11"/>
  <c r="M47" i="11"/>
  <c r="L47" i="11"/>
  <c r="G47" i="11"/>
  <c r="N46" i="11"/>
  <c r="L46" i="11"/>
  <c r="G46" i="11"/>
  <c r="X45" i="11"/>
  <c r="O45" i="11"/>
  <c r="N45" i="11"/>
  <c r="M45" i="11"/>
  <c r="L45" i="11"/>
  <c r="X44" i="11"/>
  <c r="O44" i="11"/>
  <c r="N44" i="11"/>
  <c r="L44" i="11"/>
  <c r="G44" i="11"/>
  <c r="M44" i="11" s="1"/>
  <c r="N43" i="11"/>
  <c r="M43" i="11"/>
  <c r="L43" i="11"/>
  <c r="G43" i="11"/>
  <c r="X42" i="11"/>
  <c r="O42" i="11"/>
  <c r="N42" i="11"/>
  <c r="M42" i="11"/>
  <c r="L42" i="11"/>
  <c r="G42" i="11"/>
  <c r="N41" i="11"/>
  <c r="L41" i="11"/>
  <c r="G41" i="11"/>
  <c r="N40" i="11"/>
  <c r="L40" i="11"/>
  <c r="G40" i="11"/>
  <c r="X39" i="11"/>
  <c r="O39" i="11"/>
  <c r="N39" i="11"/>
  <c r="M39" i="11"/>
  <c r="L39" i="11"/>
  <c r="G39" i="11"/>
  <c r="N38" i="11"/>
  <c r="M38" i="11"/>
  <c r="L38" i="11"/>
  <c r="G38" i="11"/>
  <c r="N37" i="11"/>
  <c r="M37" i="11"/>
  <c r="L37" i="11"/>
  <c r="G37" i="11"/>
  <c r="X36" i="11"/>
  <c r="O36" i="11"/>
  <c r="N36" i="11"/>
  <c r="L36" i="11"/>
  <c r="G36" i="11"/>
  <c r="M36" i="11" s="1"/>
  <c r="X35" i="11"/>
  <c r="O35" i="11"/>
  <c r="N35" i="11"/>
  <c r="M35" i="11"/>
  <c r="L35" i="11"/>
  <c r="G35" i="11"/>
  <c r="N34" i="11"/>
  <c r="M34" i="11"/>
  <c r="L34" i="11"/>
  <c r="G34" i="11"/>
  <c r="N33" i="11"/>
  <c r="L33" i="11"/>
  <c r="G33" i="11"/>
  <c r="X32" i="11"/>
  <c r="O32" i="11"/>
  <c r="N32" i="11"/>
  <c r="M32" i="11"/>
  <c r="L32" i="11"/>
  <c r="N31" i="11"/>
  <c r="M31" i="11"/>
  <c r="L31" i="11"/>
  <c r="G31" i="11"/>
  <c r="N30" i="11"/>
  <c r="M30" i="11"/>
  <c r="L30" i="11"/>
  <c r="G30" i="11"/>
  <c r="O29" i="11"/>
  <c r="N29" i="11"/>
  <c r="L29" i="11"/>
  <c r="K29" i="11"/>
  <c r="X29" i="11" s="1"/>
  <c r="I29" i="11"/>
  <c r="G29" i="11"/>
  <c r="N28" i="11"/>
  <c r="L28" i="11"/>
  <c r="G28" i="11"/>
  <c r="O28" i="11" s="1"/>
  <c r="X27" i="11"/>
  <c r="O27" i="11"/>
  <c r="N27" i="11"/>
  <c r="M27" i="11"/>
  <c r="L27" i="11"/>
  <c r="X26" i="11"/>
  <c r="O26" i="11"/>
  <c r="N26" i="11"/>
  <c r="M26" i="11"/>
  <c r="L26" i="11"/>
  <c r="G26" i="11"/>
  <c r="N25" i="11"/>
  <c r="L25" i="11"/>
  <c r="G25" i="11"/>
  <c r="X24" i="11"/>
  <c r="O24" i="11"/>
  <c r="N24" i="11"/>
  <c r="L24" i="11"/>
  <c r="K24" i="11"/>
  <c r="I24" i="11"/>
  <c r="G24" i="11"/>
  <c r="M24" i="11" s="1"/>
  <c r="N23" i="11"/>
  <c r="L23" i="11"/>
  <c r="K23" i="11"/>
  <c r="I23" i="11"/>
  <c r="G23" i="11"/>
  <c r="M23" i="11" s="1"/>
  <c r="X22" i="11"/>
  <c r="O22" i="11"/>
  <c r="N22" i="11"/>
  <c r="M22" i="11"/>
  <c r="L22" i="11"/>
  <c r="G22" i="11"/>
  <c r="X21" i="11"/>
  <c r="O21" i="11"/>
  <c r="N21" i="11"/>
  <c r="M21" i="11"/>
  <c r="L21" i="11"/>
  <c r="G21" i="11"/>
  <c r="N20" i="11"/>
  <c r="L20" i="11"/>
  <c r="G20" i="11"/>
  <c r="X19" i="11"/>
  <c r="O19" i="11"/>
  <c r="N19" i="11"/>
  <c r="M19" i="11"/>
  <c r="L19" i="11"/>
  <c r="K19" i="11"/>
  <c r="I19" i="11"/>
  <c r="G19" i="11"/>
  <c r="X18" i="11"/>
  <c r="N18" i="11"/>
  <c r="L18" i="11"/>
  <c r="G18" i="11"/>
  <c r="X17" i="11"/>
  <c r="O17" i="11"/>
  <c r="N17" i="11"/>
  <c r="M17" i="11"/>
  <c r="L17" i="11"/>
  <c r="X16" i="11"/>
  <c r="O16" i="11"/>
  <c r="N16" i="11"/>
  <c r="M16" i="11"/>
  <c r="X15" i="11"/>
  <c r="O15" i="11"/>
  <c r="N15" i="11"/>
  <c r="G15" i="11"/>
  <c r="M15" i="11" s="1"/>
  <c r="X14" i="11"/>
  <c r="O14" i="11"/>
  <c r="N14" i="11"/>
  <c r="M14" i="11"/>
  <c r="X13" i="11"/>
  <c r="O13" i="11"/>
  <c r="N13" i="11"/>
  <c r="M13" i="11"/>
  <c r="X12" i="11"/>
  <c r="O12" i="11"/>
  <c r="N12" i="11"/>
  <c r="M12" i="11"/>
  <c r="X11" i="11"/>
  <c r="O11" i="11"/>
  <c r="N11" i="11"/>
  <c r="M11" i="11"/>
  <c r="X10" i="11"/>
  <c r="O10" i="11"/>
  <c r="N10" i="11"/>
  <c r="M10" i="11"/>
  <c r="X9" i="11"/>
  <c r="O9" i="11"/>
  <c r="N9" i="11"/>
  <c r="M9" i="11"/>
  <c r="X8" i="11"/>
  <c r="O8" i="11"/>
  <c r="N8" i="11"/>
  <c r="M8" i="11"/>
  <c r="X7" i="11"/>
  <c r="O7" i="11"/>
  <c r="N7" i="11"/>
  <c r="M7" i="11"/>
  <c r="X6" i="11"/>
  <c r="X5" i="11"/>
  <c r="X4" i="11"/>
  <c r="X3" i="11"/>
  <c r="X2" i="11"/>
  <c r="C99" i="4"/>
  <c r="E99" i="4"/>
  <c r="F99" i="4"/>
  <c r="G99" i="4"/>
  <c r="H99" i="4"/>
  <c r="S99" i="4" s="1"/>
  <c r="N99" i="4"/>
  <c r="O99" i="4"/>
  <c r="P99" i="4"/>
  <c r="Y228" i="4"/>
  <c r="Z228" i="4"/>
  <c r="AN228" i="4" s="1"/>
  <c r="AA228" i="4"/>
  <c r="AB228" i="4"/>
  <c r="AC228" i="4"/>
  <c r="AD228" i="4"/>
  <c r="AI228" i="4"/>
  <c r="AJ228" i="4"/>
  <c r="AK228" i="4"/>
  <c r="AL228" i="4"/>
  <c r="AQ228" i="4" s="1"/>
  <c r="AR228" i="4"/>
  <c r="C228" i="4"/>
  <c r="D228" i="4"/>
  <c r="E228" i="4"/>
  <c r="F228" i="4"/>
  <c r="G228" i="4"/>
  <c r="H228" i="4"/>
  <c r="S228" i="4" s="1"/>
  <c r="M228" i="4"/>
  <c r="M99" i="4" s="1"/>
  <c r="N228" i="4"/>
  <c r="O228" i="4"/>
  <c r="P228" i="4"/>
  <c r="U228" i="4" s="1"/>
  <c r="V228" i="4"/>
  <c r="V99" i="4" s="1"/>
  <c r="AQ743" i="4"/>
  <c r="AP743" i="4"/>
  <c r="AO743" i="4"/>
  <c r="AN743" i="4"/>
  <c r="AM743" i="4" s="1"/>
  <c r="AF743" i="4"/>
  <c r="AE743" i="4"/>
  <c r="AQ614" i="4"/>
  <c r="AP614" i="4"/>
  <c r="AO614" i="4"/>
  <c r="AN614" i="4"/>
  <c r="AM614" i="4" s="1"/>
  <c r="AF614" i="4"/>
  <c r="AE614" i="4"/>
  <c r="AQ485" i="4"/>
  <c r="AP485" i="4"/>
  <c r="AO485" i="4"/>
  <c r="AN485" i="4"/>
  <c r="AM485" i="4" s="1"/>
  <c r="AF485" i="4"/>
  <c r="AE485" i="4"/>
  <c r="AQ356" i="4"/>
  <c r="AP356" i="4"/>
  <c r="AO356" i="4"/>
  <c r="AN356" i="4"/>
  <c r="AF356" i="4"/>
  <c r="AE356" i="4"/>
  <c r="U614" i="4"/>
  <c r="T614" i="4"/>
  <c r="S614" i="4"/>
  <c r="R614" i="4"/>
  <c r="Q614" i="4" s="1"/>
  <c r="J614" i="4"/>
  <c r="J228" i="4" s="1"/>
  <c r="I614" i="4"/>
  <c r="I228" i="4" s="1"/>
  <c r="U485" i="4"/>
  <c r="T485" i="4"/>
  <c r="S485" i="4"/>
  <c r="R485" i="4"/>
  <c r="Q485" i="4"/>
  <c r="J485" i="4"/>
  <c r="I485" i="4"/>
  <c r="R356" i="4"/>
  <c r="S356" i="4"/>
  <c r="T356" i="4"/>
  <c r="U356" i="4"/>
  <c r="I356" i="4"/>
  <c r="J356" i="4"/>
  <c r="L274" i="11" l="1"/>
  <c r="N274" i="11"/>
  <c r="M474" i="11"/>
  <c r="L81" i="11"/>
  <c r="N81" i="11"/>
  <c r="M92" i="11"/>
  <c r="O144" i="11"/>
  <c r="M144" i="11"/>
  <c r="X390" i="11"/>
  <c r="O434" i="11"/>
  <c r="M434" i="11"/>
  <c r="L590" i="11"/>
  <c r="X590" i="11"/>
  <c r="X49" i="11"/>
  <c r="O49" i="11"/>
  <c r="M49" i="11"/>
  <c r="X660" i="11"/>
  <c r="M660" i="11"/>
  <c r="O660" i="11"/>
  <c r="X490" i="11"/>
  <c r="X96" i="11"/>
  <c r="M96" i="11"/>
  <c r="X144" i="11"/>
  <c r="N375" i="11"/>
  <c r="L375" i="11"/>
  <c r="X389" i="11"/>
  <c r="X434" i="11"/>
  <c r="X441" i="11"/>
  <c r="O534" i="11"/>
  <c r="X534" i="11"/>
  <c r="M534" i="11"/>
  <c r="O638" i="11"/>
  <c r="X638" i="11"/>
  <c r="X692" i="11"/>
  <c r="X145" i="11"/>
  <c r="O145" i="11"/>
  <c r="L180" i="11"/>
  <c r="N180" i="11"/>
  <c r="M619" i="11"/>
  <c r="X619" i="11"/>
  <c r="X686" i="11"/>
  <c r="M686" i="11"/>
  <c r="L176" i="11"/>
  <c r="E187" i="11"/>
  <c r="E283" i="11"/>
  <c r="X331" i="11"/>
  <c r="M388" i="11"/>
  <c r="X388" i="11"/>
  <c r="M518" i="11"/>
  <c r="X518" i="11"/>
  <c r="O518" i="11"/>
  <c r="M145" i="11"/>
  <c r="O235" i="11"/>
  <c r="N277" i="11"/>
  <c r="X316" i="11"/>
  <c r="M390" i="11"/>
  <c r="O23" i="11"/>
  <c r="O33" i="11"/>
  <c r="M33" i="11"/>
  <c r="X33" i="11"/>
  <c r="M277" i="11"/>
  <c r="X277" i="11"/>
  <c r="L387" i="11"/>
  <c r="M680" i="11"/>
  <c r="X680" i="11"/>
  <c r="M123" i="11"/>
  <c r="M146" i="11"/>
  <c r="O146" i="11"/>
  <c r="X146" i="11"/>
  <c r="M193" i="11"/>
  <c r="X193" i="11"/>
  <c r="X233" i="11"/>
  <c r="M233" i="11"/>
  <c r="M678" i="11"/>
  <c r="M682" i="11"/>
  <c r="O25" i="11"/>
  <c r="M25" i="11"/>
  <c r="X25" i="11"/>
  <c r="L97" i="11"/>
  <c r="X116" i="11"/>
  <c r="O116" i="11"/>
  <c r="M116" i="11"/>
  <c r="L291" i="11"/>
  <c r="X291" i="11"/>
  <c r="X458" i="11"/>
  <c r="M458" i="11"/>
  <c r="L677" i="11"/>
  <c r="X46" i="11"/>
  <c r="O46" i="11"/>
  <c r="M46" i="11"/>
  <c r="O634" i="11"/>
  <c r="L85" i="11"/>
  <c r="N85" i="11"/>
  <c r="L194" i="11"/>
  <c r="N273" i="11"/>
  <c r="L273" i="11"/>
  <c r="M316" i="11"/>
  <c r="M438" i="11"/>
  <c r="X438" i="11"/>
  <c r="O537" i="11"/>
  <c r="M584" i="11"/>
  <c r="X584" i="11"/>
  <c r="X634" i="11"/>
  <c r="O644" i="11"/>
  <c r="M644" i="11"/>
  <c r="X644" i="11"/>
  <c r="X194" i="11"/>
  <c r="M194" i="11"/>
  <c r="M232" i="11"/>
  <c r="M235" i="11"/>
  <c r="O258" i="11"/>
  <c r="L278" i="11"/>
  <c r="N278" i="11"/>
  <c r="M413" i="11"/>
  <c r="X691" i="11"/>
  <c r="L374" i="11"/>
  <c r="X483" i="11"/>
  <c r="X514" i="11"/>
  <c r="M616" i="11"/>
  <c r="X616" i="11"/>
  <c r="O616" i="11"/>
  <c r="M638" i="11"/>
  <c r="L687" i="11"/>
  <c r="M86" i="11"/>
  <c r="N179" i="11"/>
  <c r="L179" i="11"/>
  <c r="X332" i="11"/>
  <c r="O332" i="11"/>
  <c r="M332" i="11"/>
  <c r="O413" i="11"/>
  <c r="X625" i="11"/>
  <c r="M625" i="11"/>
  <c r="M29" i="11"/>
  <c r="X40" i="11"/>
  <c r="O40" i="11"/>
  <c r="M40" i="11"/>
  <c r="X187" i="11"/>
  <c r="M187" i="11"/>
  <c r="X232" i="11"/>
  <c r="M243" i="11"/>
  <c r="X243" i="11"/>
  <c r="O243" i="11"/>
  <c r="M428" i="11"/>
  <c r="X428" i="11"/>
  <c r="O428" i="11"/>
  <c r="X583" i="11"/>
  <c r="M583" i="11"/>
  <c r="X23" i="11"/>
  <c r="M80" i="11"/>
  <c r="O86" i="11"/>
  <c r="O229" i="11"/>
  <c r="E270" i="11"/>
  <c r="O270" i="11" s="1"/>
  <c r="N269" i="11"/>
  <c r="N276" i="11"/>
  <c r="X319" i="11"/>
  <c r="X325" i="11"/>
  <c r="M387" i="11"/>
  <c r="M389" i="11"/>
  <c r="M417" i="11"/>
  <c r="X417" i="11"/>
  <c r="X477" i="11"/>
  <c r="M484" i="11"/>
  <c r="L675" i="11"/>
  <c r="L684" i="11"/>
  <c r="X684" i="11"/>
  <c r="X690" i="11"/>
  <c r="M690" i="11"/>
  <c r="L78" i="11"/>
  <c r="N78" i="11"/>
  <c r="L83" i="11"/>
  <c r="N83" i="11"/>
  <c r="M139" i="11"/>
  <c r="N178" i="11"/>
  <c r="L178" i="11"/>
  <c r="L184" i="11"/>
  <c r="N184" i="11"/>
  <c r="X229" i="11"/>
  <c r="O240" i="11"/>
  <c r="M240" i="11"/>
  <c r="X240" i="11"/>
  <c r="M285" i="11"/>
  <c r="X290" i="11"/>
  <c r="X313" i="11"/>
  <c r="O329" i="11"/>
  <c r="M329" i="11"/>
  <c r="X329" i="11"/>
  <c r="O471" i="11"/>
  <c r="M471" i="11"/>
  <c r="X471" i="11"/>
  <c r="X474" i="11"/>
  <c r="X482" i="11"/>
  <c r="M482" i="11"/>
  <c r="L578" i="11"/>
  <c r="X578" i="11"/>
  <c r="L579" i="11"/>
  <c r="X579" i="11"/>
  <c r="L582" i="11"/>
  <c r="X675" i="11"/>
  <c r="M675" i="11"/>
  <c r="X678" i="11"/>
  <c r="X682" i="11"/>
  <c r="M692" i="11"/>
  <c r="M28" i="11"/>
  <c r="X28" i="11"/>
  <c r="X212" i="11"/>
  <c r="M212" i="11"/>
  <c r="X287" i="11"/>
  <c r="M287" i="11"/>
  <c r="O371" i="11"/>
  <c r="E372" i="11"/>
  <c r="E373" i="11" s="1"/>
  <c r="E374" i="11" s="1"/>
  <c r="E375" i="11" s="1"/>
  <c r="E376" i="11" s="1"/>
  <c r="E377" i="11" s="1"/>
  <c r="N377" i="11" s="1"/>
  <c r="M376" i="11"/>
  <c r="X376" i="11"/>
  <c r="L380" i="11"/>
  <c r="O559" i="11"/>
  <c r="X559" i="11"/>
  <c r="M585" i="11"/>
  <c r="X585" i="11"/>
  <c r="M274" i="11"/>
  <c r="O274" i="11"/>
  <c r="N371" i="11"/>
  <c r="L371" i="11"/>
  <c r="X371" i="11"/>
  <c r="X380" i="11"/>
  <c r="M380" i="11"/>
  <c r="O119" i="11"/>
  <c r="X119" i="11"/>
  <c r="M119" i="11"/>
  <c r="O181" i="11"/>
  <c r="M181" i="11"/>
  <c r="X181" i="11"/>
  <c r="M537" i="11"/>
  <c r="M258" i="11"/>
  <c r="M331" i="11"/>
  <c r="X416" i="11"/>
  <c r="O416" i="11"/>
  <c r="X431" i="11"/>
  <c r="O431" i="11"/>
  <c r="O441" i="11"/>
  <c r="M473" i="11"/>
  <c r="M489" i="11"/>
  <c r="X489" i="11"/>
  <c r="L584" i="11"/>
  <c r="X20" i="11"/>
  <c r="O20" i="11"/>
  <c r="M20" i="11"/>
  <c r="X209" i="11"/>
  <c r="O209" i="11"/>
  <c r="X85" i="11"/>
  <c r="L188" i="11"/>
  <c r="M273" i="11"/>
  <c r="O273" i="11"/>
  <c r="X273" i="11"/>
  <c r="X322" i="11"/>
  <c r="M322" i="11"/>
  <c r="M335" i="11"/>
  <c r="X335" i="11"/>
  <c r="O335" i="11"/>
  <c r="M416" i="11"/>
  <c r="M431" i="11"/>
  <c r="O458" i="11"/>
  <c r="O514" i="11"/>
  <c r="M180" i="11"/>
  <c r="O180" i="11"/>
  <c r="X180" i="11"/>
  <c r="X188" i="11"/>
  <c r="M188" i="11"/>
  <c r="O81" i="11"/>
  <c r="X219" i="11"/>
  <c r="M219" i="11"/>
  <c r="N272" i="11"/>
  <c r="L272" i="11"/>
  <c r="L583" i="11"/>
  <c r="X84" i="11"/>
  <c r="O84" i="11"/>
  <c r="X126" i="11"/>
  <c r="O126" i="11"/>
  <c r="L185" i="11"/>
  <c r="N185" i="11"/>
  <c r="X317" i="11"/>
  <c r="O317" i="11"/>
  <c r="M317" i="11"/>
  <c r="O319" i="11"/>
  <c r="O325" i="11"/>
  <c r="O41" i="11"/>
  <c r="M41" i="11"/>
  <c r="O78" i="11"/>
  <c r="M78" i="11"/>
  <c r="O85" i="11"/>
  <c r="O123" i="11"/>
  <c r="O178" i="11"/>
  <c r="M178" i="11"/>
  <c r="L192" i="11"/>
  <c r="O271" i="11"/>
  <c r="M271" i="11"/>
  <c r="X274" i="11"/>
  <c r="M288" i="11"/>
  <c r="O343" i="11"/>
  <c r="M343" i="11"/>
  <c r="L386" i="11"/>
  <c r="X487" i="11"/>
  <c r="M487" i="11"/>
  <c r="L488" i="11"/>
  <c r="M582" i="11"/>
  <c r="M691" i="11"/>
  <c r="M126" i="11"/>
  <c r="M130" i="11"/>
  <c r="X130" i="11"/>
  <c r="O130" i="11"/>
  <c r="O139" i="11"/>
  <c r="O279" i="11"/>
  <c r="N279" i="11"/>
  <c r="X192" i="11"/>
  <c r="M192" i="11"/>
  <c r="O233" i="11"/>
  <c r="O269" i="11"/>
  <c r="X340" i="11"/>
  <c r="M340" i="11"/>
  <c r="L372" i="11"/>
  <c r="M374" i="11"/>
  <c r="X381" i="11"/>
  <c r="M386" i="11"/>
  <c r="E472" i="11"/>
  <c r="E572" i="11"/>
  <c r="E673" i="11" s="1"/>
  <c r="L475" i="11"/>
  <c r="M483" i="11"/>
  <c r="L679" i="11"/>
  <c r="L683" i="11"/>
  <c r="X81" i="11"/>
  <c r="M84" i="11"/>
  <c r="E96" i="11"/>
  <c r="O95" i="11"/>
  <c r="N95" i="11"/>
  <c r="O94" i="11"/>
  <c r="O121" i="11"/>
  <c r="X121" i="11"/>
  <c r="M121" i="11"/>
  <c r="O136" i="11"/>
  <c r="N177" i="11"/>
  <c r="L177" i="11"/>
  <c r="O179" i="11"/>
  <c r="X227" i="11"/>
  <c r="O227" i="11"/>
  <c r="M227" i="11"/>
  <c r="O237" i="11"/>
  <c r="M237" i="11"/>
  <c r="X237" i="11"/>
  <c r="L277" i="11"/>
  <c r="M372" i="11"/>
  <c r="O372" i="11"/>
  <c r="O440" i="11"/>
  <c r="X440" i="11"/>
  <c r="M440" i="11"/>
  <c r="X473" i="11"/>
  <c r="L581" i="11"/>
  <c r="O672" i="11"/>
  <c r="N672" i="11"/>
  <c r="X677" i="11"/>
  <c r="M679" i="11"/>
  <c r="X679" i="11"/>
  <c r="M683" i="11"/>
  <c r="X38" i="11"/>
  <c r="O38" i="11"/>
  <c r="X41" i="11"/>
  <c r="L77" i="11"/>
  <c r="N77" i="11"/>
  <c r="L82" i="11"/>
  <c r="N82" i="11"/>
  <c r="N84" i="11"/>
  <c r="M127" i="11"/>
  <c r="X127" i="11"/>
  <c r="O127" i="11"/>
  <c r="X189" i="11"/>
  <c r="O277" i="11"/>
  <c r="X343" i="11"/>
  <c r="M382" i="11"/>
  <c r="X382" i="11"/>
  <c r="M470" i="11"/>
  <c r="X470" i="11"/>
  <c r="O470" i="11"/>
  <c r="X481" i="11"/>
  <c r="M481" i="11"/>
  <c r="O571" i="11"/>
  <c r="M571" i="11"/>
  <c r="X571" i="11"/>
  <c r="L577" i="11"/>
  <c r="L688" i="11"/>
  <c r="X31" i="11"/>
  <c r="O31" i="11"/>
  <c r="M77" i="11"/>
  <c r="O77" i="11"/>
  <c r="O82" i="11"/>
  <c r="M82" i="11"/>
  <c r="M118" i="11"/>
  <c r="O173" i="11"/>
  <c r="N173" i="11"/>
  <c r="O185" i="11"/>
  <c r="N186" i="11"/>
  <c r="O187" i="11"/>
  <c r="X191" i="11"/>
  <c r="L276" i="11"/>
  <c r="M283" i="11"/>
  <c r="O340" i="11"/>
  <c r="L376" i="11"/>
  <c r="N376" i="11"/>
  <c r="M385" i="11"/>
  <c r="M430" i="11"/>
  <c r="O430" i="11"/>
  <c r="N471" i="11"/>
  <c r="L474" i="11"/>
  <c r="M477" i="11"/>
  <c r="L482" i="11"/>
  <c r="X577" i="11"/>
  <c r="M577" i="11"/>
  <c r="O627" i="11"/>
  <c r="M627" i="11"/>
  <c r="L678" i="11"/>
  <c r="L682" i="11"/>
  <c r="X43" i="11"/>
  <c r="O43" i="11"/>
  <c r="O177" i="11"/>
  <c r="M177" i="11"/>
  <c r="N183" i="11"/>
  <c r="O230" i="11"/>
  <c r="X230" i="11"/>
  <c r="M278" i="11"/>
  <c r="X278" i="11"/>
  <c r="X314" i="11"/>
  <c r="O314" i="11"/>
  <c r="M314" i="11"/>
  <c r="M375" i="11"/>
  <c r="O375" i="11"/>
  <c r="X375" i="11"/>
  <c r="L385" i="11"/>
  <c r="L473" i="11"/>
  <c r="X573" i="11"/>
  <c r="X574" i="11"/>
  <c r="X581" i="11"/>
  <c r="X635" i="11"/>
  <c r="O635" i="11"/>
  <c r="M677" i="11"/>
  <c r="M486" i="11"/>
  <c r="X486" i="11"/>
  <c r="X576" i="11"/>
  <c r="M576" i="11"/>
  <c r="L676" i="11"/>
  <c r="X687" i="11"/>
  <c r="L79" i="11"/>
  <c r="N79" i="11"/>
  <c r="X91" i="11"/>
  <c r="X176" i="11"/>
  <c r="O176" i="11"/>
  <c r="M176" i="11"/>
  <c r="X215" i="11"/>
  <c r="M215" i="11"/>
  <c r="X224" i="11"/>
  <c r="O224" i="11"/>
  <c r="O276" i="11"/>
  <c r="L373" i="11"/>
  <c r="N373" i="11"/>
  <c r="X379" i="11"/>
  <c r="M379" i="11"/>
  <c r="X384" i="11"/>
  <c r="M391" i="11"/>
  <c r="X391" i="11"/>
  <c r="M620" i="11"/>
  <c r="X620" i="11"/>
  <c r="O620" i="11"/>
  <c r="M676" i="11"/>
  <c r="X30" i="11"/>
  <c r="O30" i="11"/>
  <c r="X37" i="11"/>
  <c r="O37" i="11"/>
  <c r="X218" i="11"/>
  <c r="O218" i="11"/>
  <c r="L270" i="11"/>
  <c r="L275" i="11"/>
  <c r="N275" i="11"/>
  <c r="O373" i="11"/>
  <c r="X418" i="11"/>
  <c r="X429" i="11"/>
  <c r="O429" i="11"/>
  <c r="X432" i="11"/>
  <c r="X442" i="11"/>
  <c r="O469" i="11"/>
  <c r="N469" i="11"/>
  <c r="X478" i="11"/>
  <c r="M480" i="11"/>
  <c r="M485" i="11"/>
  <c r="X485" i="11"/>
  <c r="X519" i="11"/>
  <c r="O519" i="11"/>
  <c r="M519" i="11"/>
  <c r="X528" i="11"/>
  <c r="X580" i="11"/>
  <c r="M580" i="11"/>
  <c r="X34" i="11"/>
  <c r="O34" i="11"/>
  <c r="X90" i="11"/>
  <c r="M94" i="11"/>
  <c r="X132" i="11"/>
  <c r="M132" i="11"/>
  <c r="E271" i="11"/>
  <c r="O174" i="11"/>
  <c r="N174" i="11"/>
  <c r="X175" i="11"/>
  <c r="O175" i="11"/>
  <c r="M175" i="11"/>
  <c r="L181" i="11"/>
  <c r="N181" i="11"/>
  <c r="M224" i="11"/>
  <c r="X270" i="11"/>
  <c r="M270" i="11"/>
  <c r="O275" i="11"/>
  <c r="X286" i="11"/>
  <c r="M286" i="11"/>
  <c r="M312" i="11"/>
  <c r="X312" i="11"/>
  <c r="O312" i="11"/>
  <c r="M409" i="11"/>
  <c r="X443" i="11"/>
  <c r="M443" i="11"/>
  <c r="O443" i="11"/>
  <c r="O529" i="11"/>
  <c r="M529" i="11"/>
  <c r="X529" i="11"/>
  <c r="L680" i="11"/>
  <c r="N572" i="11"/>
  <c r="L88" i="11"/>
  <c r="N182" i="11"/>
  <c r="O272" i="11"/>
  <c r="M272" i="11"/>
  <c r="X282" i="11"/>
  <c r="L377" i="11"/>
  <c r="X437" i="11"/>
  <c r="O437" i="11"/>
  <c r="X488" i="11"/>
  <c r="M523" i="11"/>
  <c r="X523" i="11"/>
  <c r="O523" i="11"/>
  <c r="O526" i="11"/>
  <c r="M526" i="11"/>
  <c r="M572" i="11"/>
  <c r="X586" i="11"/>
  <c r="X615" i="11"/>
  <c r="O615" i="11"/>
  <c r="L681" i="11"/>
  <c r="O632" i="11"/>
  <c r="X632" i="11"/>
  <c r="L87" i="11"/>
  <c r="O182" i="11"/>
  <c r="M182" i="11"/>
  <c r="X222" i="11"/>
  <c r="O222" i="11"/>
  <c r="M222" i="11"/>
  <c r="M231" i="11"/>
  <c r="O231" i="11"/>
  <c r="X281" i="11"/>
  <c r="L472" i="11"/>
  <c r="X517" i="11"/>
  <c r="O517" i="11"/>
  <c r="M632" i="11"/>
  <c r="M681" i="11"/>
  <c r="O18" i="11"/>
  <c r="M18" i="11"/>
  <c r="L86" i="11"/>
  <c r="N271" i="11"/>
  <c r="L271" i="11"/>
  <c r="L279" i="11"/>
  <c r="X279" i="11"/>
  <c r="X284" i="11"/>
  <c r="M315" i="11"/>
  <c r="O315" i="11"/>
  <c r="X383" i="11"/>
  <c r="M383" i="11"/>
  <c r="M437" i="11"/>
  <c r="M472" i="11"/>
  <c r="L487" i="11"/>
  <c r="M520" i="11"/>
  <c r="O520" i="11"/>
  <c r="X520" i="11"/>
  <c r="N571" i="11"/>
  <c r="L571" i="11"/>
  <c r="L585" i="11"/>
  <c r="O618" i="11"/>
  <c r="L96" i="11"/>
  <c r="L290" i="11"/>
  <c r="N370" i="11"/>
  <c r="M371" i="11"/>
  <c r="X424" i="11"/>
  <c r="M424" i="11"/>
  <c r="L491" i="11"/>
  <c r="X541" i="11"/>
  <c r="M541" i="11"/>
  <c r="M589" i="11"/>
  <c r="X592" i="11"/>
  <c r="X674" i="11"/>
  <c r="L92" i="11"/>
  <c r="N94" i="11"/>
  <c r="O93" i="11"/>
  <c r="M95" i="11"/>
  <c r="X140" i="11"/>
  <c r="M140" i="11"/>
  <c r="M290" i="11"/>
  <c r="O370" i="11"/>
  <c r="L490" i="11"/>
  <c r="X524" i="11"/>
  <c r="X535" i="11"/>
  <c r="O535" i="11"/>
  <c r="M588" i="11"/>
  <c r="X633" i="11"/>
  <c r="O633" i="11"/>
  <c r="L589" i="11"/>
  <c r="M289" i="11"/>
  <c r="M490" i="11"/>
  <c r="L586" i="11"/>
  <c r="M309" i="11"/>
  <c r="O161" i="11"/>
  <c r="O330" i="11"/>
  <c r="O338" i="11"/>
  <c r="AF228" i="4"/>
  <c r="D99" i="4"/>
  <c r="R99" i="4" s="1"/>
  <c r="J99" i="4"/>
  <c r="T228" i="4"/>
  <c r="I99" i="4"/>
  <c r="AO228" i="4"/>
  <c r="AM228" i="4" s="1"/>
  <c r="T99" i="4"/>
  <c r="AE228" i="4"/>
  <c r="Q356" i="4"/>
  <c r="R228" i="4"/>
  <c r="Q228" i="4" s="1"/>
  <c r="AM356" i="4"/>
  <c r="AP228" i="4"/>
  <c r="U99" i="4"/>
  <c r="Q99" i="4"/>
  <c r="N372" i="11" l="1"/>
  <c r="O376" i="11"/>
  <c r="E97" i="11"/>
  <c r="O96" i="11"/>
  <c r="N96" i="11"/>
  <c r="N374" i="11"/>
  <c r="E284" i="11"/>
  <c r="N283" i="11"/>
  <c r="O283" i="11"/>
  <c r="E188" i="11"/>
  <c r="N187" i="11"/>
  <c r="N673" i="11"/>
  <c r="O673" i="11"/>
  <c r="E573" i="11"/>
  <c r="E473" i="11"/>
  <c r="O472" i="11"/>
  <c r="O377" i="11"/>
  <c r="E378" i="11"/>
  <c r="O374" i="11"/>
  <c r="N472" i="11"/>
  <c r="N270" i="11"/>
  <c r="O572" i="11"/>
  <c r="AR771" i="4"/>
  <c r="AL771" i="4"/>
  <c r="AQ771" i="4" s="1"/>
  <c r="AK771" i="4"/>
  <c r="AJ771" i="4"/>
  <c r="AP771" i="4" s="1"/>
  <c r="AI771" i="4"/>
  <c r="AC771" i="4"/>
  <c r="AA771" i="4"/>
  <c r="Y771" i="4"/>
  <c r="AR770" i="4"/>
  <c r="AP770" i="4"/>
  <c r="AL770" i="4"/>
  <c r="AQ770" i="4" s="1"/>
  <c r="AK770" i="4"/>
  <c r="AJ770" i="4"/>
  <c r="AI770" i="4"/>
  <c r="AD770" i="4"/>
  <c r="AO770" i="4" s="1"/>
  <c r="AC770" i="4"/>
  <c r="AB770" i="4"/>
  <c r="AA770" i="4"/>
  <c r="Z770" i="4"/>
  <c r="AN770" i="4" s="1"/>
  <c r="AM770" i="4" s="1"/>
  <c r="Y770" i="4"/>
  <c r="AR769" i="4"/>
  <c r="AL769" i="4"/>
  <c r="AK769" i="4"/>
  <c r="AI769" i="4"/>
  <c r="AC769" i="4"/>
  <c r="AA769" i="4"/>
  <c r="Y769" i="4"/>
  <c r="AL768" i="4"/>
  <c r="AK768" i="4"/>
  <c r="AJ768" i="4"/>
  <c r="AP768" i="4" s="1"/>
  <c r="AI768" i="4"/>
  <c r="AD768" i="4"/>
  <c r="AO768" i="4" s="1"/>
  <c r="AC768" i="4"/>
  <c r="AB768" i="4"/>
  <c r="AA768" i="4"/>
  <c r="Y768" i="4"/>
  <c r="AL767" i="4"/>
  <c r="AK767" i="4"/>
  <c r="AQ767" i="4" s="1"/>
  <c r="AJ767" i="4"/>
  <c r="AP767" i="4" s="1"/>
  <c r="AI767" i="4"/>
  <c r="AC767" i="4"/>
  <c r="AA767" i="4"/>
  <c r="Y767" i="4"/>
  <c r="AP766" i="4"/>
  <c r="AL766" i="4"/>
  <c r="AK766" i="4"/>
  <c r="AJ766" i="4"/>
  <c r="AI766" i="4"/>
  <c r="AC766" i="4"/>
  <c r="AA766" i="4"/>
  <c r="Y766" i="4"/>
  <c r="AL765" i="4"/>
  <c r="AK765" i="4"/>
  <c r="AJ765" i="4"/>
  <c r="AP765" i="4" s="1"/>
  <c r="AI765" i="4"/>
  <c r="AE765" i="4"/>
  <c r="AD765" i="4"/>
  <c r="AC765" i="4"/>
  <c r="AB765" i="4"/>
  <c r="AA765" i="4"/>
  <c r="Y765" i="4"/>
  <c r="AR642" i="4"/>
  <c r="AL642" i="4"/>
  <c r="AK642" i="4"/>
  <c r="AJ642" i="4"/>
  <c r="AI642" i="4"/>
  <c r="AD642" i="4"/>
  <c r="AC642" i="4"/>
  <c r="AB642" i="4"/>
  <c r="AA642" i="4"/>
  <c r="Y642" i="4"/>
  <c r="V642" i="4"/>
  <c r="P642" i="4"/>
  <c r="O642" i="4"/>
  <c r="N642" i="4"/>
  <c r="M642" i="4"/>
  <c r="H642" i="4"/>
  <c r="G642" i="4"/>
  <c r="F642" i="4"/>
  <c r="E642" i="4"/>
  <c r="C642" i="4"/>
  <c r="AR641" i="4"/>
  <c r="AL641" i="4"/>
  <c r="AQ641" i="4" s="1"/>
  <c r="AK641" i="4"/>
  <c r="AJ641" i="4"/>
  <c r="AI641" i="4"/>
  <c r="AD641" i="4"/>
  <c r="AC641" i="4"/>
  <c r="AB641" i="4"/>
  <c r="AA641" i="4"/>
  <c r="Z641" i="4"/>
  <c r="AN641" i="4" s="1"/>
  <c r="Y641" i="4"/>
  <c r="V641" i="4"/>
  <c r="P641" i="4"/>
  <c r="O641" i="4"/>
  <c r="U641" i="4" s="1"/>
  <c r="N641" i="4"/>
  <c r="M641" i="4"/>
  <c r="H641" i="4"/>
  <c r="G641" i="4"/>
  <c r="F641" i="4"/>
  <c r="E641" i="4"/>
  <c r="D641" i="4"/>
  <c r="C641" i="4"/>
  <c r="AR640" i="4"/>
  <c r="AL640" i="4"/>
  <c r="AK640" i="4"/>
  <c r="AJ640" i="4"/>
  <c r="AP640" i="4" s="1"/>
  <c r="AI640" i="4"/>
  <c r="AC640" i="4"/>
  <c r="AA640" i="4"/>
  <c r="Y640" i="4"/>
  <c r="V640" i="4"/>
  <c r="S640" i="4"/>
  <c r="P640" i="4"/>
  <c r="U640" i="4" s="1"/>
  <c r="O640" i="4"/>
  <c r="M640" i="4"/>
  <c r="H640" i="4"/>
  <c r="G640" i="4"/>
  <c r="F640" i="4"/>
  <c r="E640" i="4"/>
  <c r="C640" i="4"/>
  <c r="AL639" i="4"/>
  <c r="AK639" i="4"/>
  <c r="AJ639" i="4"/>
  <c r="AI639" i="4"/>
  <c r="AD639" i="4"/>
  <c r="AO639" i="4" s="1"/>
  <c r="AC639" i="4"/>
  <c r="AB639" i="4"/>
  <c r="AA639" i="4"/>
  <c r="Y639" i="4"/>
  <c r="P639" i="4"/>
  <c r="O639" i="4"/>
  <c r="N639" i="4"/>
  <c r="M639" i="4"/>
  <c r="H639" i="4"/>
  <c r="G639" i="4"/>
  <c r="F639" i="4"/>
  <c r="E639" i="4"/>
  <c r="C639" i="4"/>
  <c r="AL638" i="4"/>
  <c r="AK638" i="4"/>
  <c r="AJ638" i="4"/>
  <c r="AP638" i="4" s="1"/>
  <c r="AI638" i="4"/>
  <c r="AC638" i="4"/>
  <c r="AA638" i="4"/>
  <c r="Y638" i="4"/>
  <c r="P638" i="4"/>
  <c r="O638" i="4"/>
  <c r="N638" i="4"/>
  <c r="M638" i="4"/>
  <c r="G638" i="4"/>
  <c r="E638" i="4"/>
  <c r="C638" i="4"/>
  <c r="AQ637" i="4"/>
  <c r="AL637" i="4"/>
  <c r="AK637" i="4"/>
  <c r="AJ637" i="4"/>
  <c r="AP637" i="4" s="1"/>
  <c r="AI637" i="4"/>
  <c r="AC637" i="4"/>
  <c r="AA637" i="4"/>
  <c r="Y637" i="4"/>
  <c r="P637" i="4"/>
  <c r="O637" i="4"/>
  <c r="N637" i="4"/>
  <c r="M637" i="4"/>
  <c r="T637" i="4" s="1"/>
  <c r="G637" i="4"/>
  <c r="E637" i="4"/>
  <c r="C637" i="4"/>
  <c r="AL636" i="4"/>
  <c r="AK636" i="4"/>
  <c r="AJ636" i="4"/>
  <c r="AI636" i="4"/>
  <c r="AE636" i="4"/>
  <c r="AD636" i="4"/>
  <c r="AC636" i="4"/>
  <c r="AB636" i="4"/>
  <c r="AA636" i="4"/>
  <c r="Y636" i="4"/>
  <c r="P636" i="4"/>
  <c r="O636" i="4"/>
  <c r="N636" i="4"/>
  <c r="M636" i="4"/>
  <c r="I636" i="4"/>
  <c r="H636" i="4"/>
  <c r="G636" i="4"/>
  <c r="F636" i="4"/>
  <c r="E636" i="4"/>
  <c r="C636" i="4"/>
  <c r="AR513" i="4"/>
  <c r="AL513" i="4"/>
  <c r="AK513" i="4"/>
  <c r="AJ513" i="4"/>
  <c r="AI513" i="4"/>
  <c r="AD513" i="4"/>
  <c r="AC513" i="4"/>
  <c r="AB513" i="4"/>
  <c r="AA513" i="4"/>
  <c r="Y513" i="4"/>
  <c r="V513" i="4"/>
  <c r="P513" i="4"/>
  <c r="O513" i="4"/>
  <c r="N513" i="4"/>
  <c r="M513" i="4"/>
  <c r="H513" i="4"/>
  <c r="G513" i="4"/>
  <c r="F513" i="4"/>
  <c r="E513" i="4"/>
  <c r="C513" i="4"/>
  <c r="AR512" i="4"/>
  <c r="AL512" i="4"/>
  <c r="AK512" i="4"/>
  <c r="AJ512" i="4"/>
  <c r="AI512" i="4"/>
  <c r="AD512" i="4"/>
  <c r="AC512" i="4"/>
  <c r="AB512" i="4"/>
  <c r="AA512" i="4"/>
  <c r="Z512" i="4"/>
  <c r="Y512" i="4"/>
  <c r="V512" i="4"/>
  <c r="P512" i="4"/>
  <c r="U512" i="4" s="1"/>
  <c r="O512" i="4"/>
  <c r="N512" i="4"/>
  <c r="M512" i="4"/>
  <c r="H512" i="4"/>
  <c r="S512" i="4" s="1"/>
  <c r="G512" i="4"/>
  <c r="F512" i="4"/>
  <c r="E512" i="4"/>
  <c r="D512" i="4"/>
  <c r="C512" i="4"/>
  <c r="AR511" i="4"/>
  <c r="AP511" i="4"/>
  <c r="AL511" i="4"/>
  <c r="AQ511" i="4" s="1"/>
  <c r="AK511" i="4"/>
  <c r="AJ511" i="4"/>
  <c r="AI511" i="4"/>
  <c r="AD511" i="4"/>
  <c r="AO511" i="4" s="1"/>
  <c r="AC511" i="4"/>
  <c r="AB511" i="4"/>
  <c r="AA511" i="4"/>
  <c r="Y511" i="4"/>
  <c r="V511" i="4"/>
  <c r="O511" i="4"/>
  <c r="N511" i="4"/>
  <c r="M511" i="4"/>
  <c r="G511" i="4"/>
  <c r="E511" i="4"/>
  <c r="C511" i="4"/>
  <c r="AL510" i="4"/>
  <c r="AK510" i="4"/>
  <c r="AJ510" i="4"/>
  <c r="AI510" i="4"/>
  <c r="AD510" i="4"/>
  <c r="AC510" i="4"/>
  <c r="AB510" i="4"/>
  <c r="AA510" i="4"/>
  <c r="Y510" i="4"/>
  <c r="P510" i="4"/>
  <c r="O510" i="4"/>
  <c r="U510" i="4" s="1"/>
  <c r="N510" i="4"/>
  <c r="M510" i="4"/>
  <c r="H510" i="4"/>
  <c r="G510" i="4"/>
  <c r="S510" i="4" s="1"/>
  <c r="F510" i="4"/>
  <c r="E510" i="4"/>
  <c r="C510" i="4"/>
  <c r="AL509" i="4"/>
  <c r="AK509" i="4"/>
  <c r="AJ509" i="4"/>
  <c r="AI509" i="4"/>
  <c r="AC509" i="4"/>
  <c r="AA509" i="4"/>
  <c r="Y509" i="4"/>
  <c r="P509" i="4"/>
  <c r="O509" i="4"/>
  <c r="U509" i="4" s="1"/>
  <c r="N509" i="4"/>
  <c r="M509" i="4"/>
  <c r="G509" i="4"/>
  <c r="E509" i="4"/>
  <c r="C509" i="4"/>
  <c r="AL508" i="4"/>
  <c r="AK508" i="4"/>
  <c r="AJ508" i="4"/>
  <c r="AI508" i="4"/>
  <c r="AC508" i="4"/>
  <c r="AA508" i="4"/>
  <c r="Y508" i="4"/>
  <c r="P508" i="4"/>
  <c r="O508" i="4"/>
  <c r="U508" i="4" s="1"/>
  <c r="N508" i="4"/>
  <c r="M508" i="4"/>
  <c r="G508" i="4"/>
  <c r="E508" i="4"/>
  <c r="C508" i="4"/>
  <c r="AL507" i="4"/>
  <c r="AK507" i="4"/>
  <c r="AJ507" i="4"/>
  <c r="AP507" i="4" s="1"/>
  <c r="AI507" i="4"/>
  <c r="AE507" i="4"/>
  <c r="AD507" i="4"/>
  <c r="AC507" i="4"/>
  <c r="AB507" i="4"/>
  <c r="AA507" i="4"/>
  <c r="Y507" i="4"/>
  <c r="U507" i="4"/>
  <c r="P507" i="4"/>
  <c r="O507" i="4"/>
  <c r="N507" i="4"/>
  <c r="M507" i="4"/>
  <c r="I507" i="4"/>
  <c r="H507" i="4"/>
  <c r="S507" i="4" s="1"/>
  <c r="G507" i="4"/>
  <c r="F507" i="4"/>
  <c r="E507" i="4"/>
  <c r="C507" i="4"/>
  <c r="AR384" i="4"/>
  <c r="AL384" i="4"/>
  <c r="AQ384" i="4" s="1"/>
  <c r="AK384" i="4"/>
  <c r="AJ384" i="4"/>
  <c r="AI384" i="4"/>
  <c r="AD384" i="4"/>
  <c r="AO384" i="4" s="1"/>
  <c r="AC384" i="4"/>
  <c r="AB384" i="4"/>
  <c r="AA384" i="4"/>
  <c r="Y384" i="4"/>
  <c r="V384" i="4"/>
  <c r="U384" i="4"/>
  <c r="P384" i="4"/>
  <c r="O384" i="4"/>
  <c r="N384" i="4"/>
  <c r="M384" i="4"/>
  <c r="H384" i="4"/>
  <c r="S384" i="4" s="1"/>
  <c r="G384" i="4"/>
  <c r="F384" i="4"/>
  <c r="E384" i="4"/>
  <c r="C384" i="4"/>
  <c r="AR383" i="4"/>
  <c r="AQ383" i="4"/>
  <c r="AL383" i="4"/>
  <c r="AK383" i="4"/>
  <c r="AJ383" i="4"/>
  <c r="AP383" i="4" s="1"/>
  <c r="AI383" i="4"/>
  <c r="AD383" i="4"/>
  <c r="AO383" i="4" s="1"/>
  <c r="AC383" i="4"/>
  <c r="AB383" i="4"/>
  <c r="AA383" i="4"/>
  <c r="Z383" i="4"/>
  <c r="AN383" i="4" s="1"/>
  <c r="Y383" i="4"/>
  <c r="V383" i="4"/>
  <c r="P383" i="4"/>
  <c r="O383" i="4"/>
  <c r="U383" i="4" s="1"/>
  <c r="N383" i="4"/>
  <c r="T383" i="4" s="1"/>
  <c r="M383" i="4"/>
  <c r="H383" i="4"/>
  <c r="G383" i="4"/>
  <c r="F383" i="4"/>
  <c r="E383" i="4"/>
  <c r="D383" i="4"/>
  <c r="R383" i="4" s="1"/>
  <c r="C383" i="4"/>
  <c r="AR382" i="4"/>
  <c r="AL382" i="4"/>
  <c r="AK382" i="4"/>
  <c r="AQ382" i="4" s="1"/>
  <c r="AJ382" i="4"/>
  <c r="AP382" i="4" s="1"/>
  <c r="AI382" i="4"/>
  <c r="AD382" i="4"/>
  <c r="AC382" i="4"/>
  <c r="AB382" i="4"/>
  <c r="AA382" i="4"/>
  <c r="Y382" i="4"/>
  <c r="V382" i="4"/>
  <c r="P382" i="4"/>
  <c r="U382" i="4" s="1"/>
  <c r="O382" i="4"/>
  <c r="N382" i="4"/>
  <c r="T382" i="4" s="1"/>
  <c r="M382" i="4"/>
  <c r="H382" i="4"/>
  <c r="S382" i="4" s="1"/>
  <c r="G382" i="4"/>
  <c r="F382" i="4"/>
  <c r="E382" i="4"/>
  <c r="C382" i="4"/>
  <c r="AL381" i="4"/>
  <c r="AQ381" i="4" s="1"/>
  <c r="AK381" i="4"/>
  <c r="AJ381" i="4"/>
  <c r="AI381" i="4"/>
  <c r="AP381" i="4" s="1"/>
  <c r="AD381" i="4"/>
  <c r="AO381" i="4" s="1"/>
  <c r="AC381" i="4"/>
  <c r="AB381" i="4"/>
  <c r="AA381" i="4"/>
  <c r="Y381" i="4"/>
  <c r="P381" i="4"/>
  <c r="U381" i="4" s="1"/>
  <c r="O381" i="4"/>
  <c r="N381" i="4"/>
  <c r="M381" i="4"/>
  <c r="H381" i="4"/>
  <c r="S381" i="4" s="1"/>
  <c r="G381" i="4"/>
  <c r="F381" i="4"/>
  <c r="E381" i="4"/>
  <c r="C381" i="4"/>
  <c r="AL380" i="4"/>
  <c r="AQ380" i="4" s="1"/>
  <c r="AK380" i="4"/>
  <c r="AJ380" i="4"/>
  <c r="AP380" i="4" s="1"/>
  <c r="AI380" i="4"/>
  <c r="AC380" i="4"/>
  <c r="AA380" i="4"/>
  <c r="Y380" i="4"/>
  <c r="P380" i="4"/>
  <c r="U380" i="4" s="1"/>
  <c r="O380" i="4"/>
  <c r="N380" i="4"/>
  <c r="T380" i="4" s="1"/>
  <c r="M380" i="4"/>
  <c r="G380" i="4"/>
  <c r="E380" i="4"/>
  <c r="C380" i="4"/>
  <c r="AL379" i="4"/>
  <c r="AK379" i="4"/>
  <c r="AJ379" i="4"/>
  <c r="AP379" i="4" s="1"/>
  <c r="AI379" i="4"/>
  <c r="AC379" i="4"/>
  <c r="AA379" i="4"/>
  <c r="Y379" i="4"/>
  <c r="T379" i="4"/>
  <c r="P379" i="4"/>
  <c r="O379" i="4"/>
  <c r="N379" i="4"/>
  <c r="M379" i="4"/>
  <c r="G379" i="4"/>
  <c r="E379" i="4"/>
  <c r="C379" i="4"/>
  <c r="AL378" i="4"/>
  <c r="AK378" i="4"/>
  <c r="AQ378" i="4" s="1"/>
  <c r="AJ378" i="4"/>
  <c r="AP378" i="4" s="1"/>
  <c r="AI378" i="4"/>
  <c r="AE378" i="4"/>
  <c r="AD378" i="4"/>
  <c r="AC378" i="4"/>
  <c r="AO378" i="4" s="1"/>
  <c r="AB378" i="4"/>
  <c r="AA378" i="4"/>
  <c r="Y378" i="4"/>
  <c r="U378" i="4"/>
  <c r="P378" i="4"/>
  <c r="O378" i="4"/>
  <c r="N378" i="4"/>
  <c r="T378" i="4" s="1"/>
  <c r="M378" i="4"/>
  <c r="I378" i="4"/>
  <c r="H378" i="4"/>
  <c r="G378" i="4"/>
  <c r="F378" i="4"/>
  <c r="E378" i="4"/>
  <c r="C378" i="4"/>
  <c r="AC252" i="4"/>
  <c r="AA252" i="4"/>
  <c r="AC251" i="4"/>
  <c r="AA251" i="4"/>
  <c r="AC250" i="4"/>
  <c r="AA250" i="4"/>
  <c r="G252" i="4"/>
  <c r="E252" i="4"/>
  <c r="G251" i="4"/>
  <c r="E251" i="4"/>
  <c r="G250" i="4"/>
  <c r="E250" i="4"/>
  <c r="AR762" i="4"/>
  <c r="AL762" i="4"/>
  <c r="AK762" i="4"/>
  <c r="AJ762" i="4"/>
  <c r="AI762" i="4"/>
  <c r="AD762" i="4"/>
  <c r="AC762" i="4"/>
  <c r="AB762" i="4"/>
  <c r="AA762" i="4"/>
  <c r="Z762" i="4"/>
  <c r="Y762" i="4"/>
  <c r="AR633" i="4"/>
  <c r="AL633" i="4"/>
  <c r="AK633" i="4"/>
  <c r="AJ633" i="4"/>
  <c r="AI633" i="4"/>
  <c r="AD633" i="4"/>
  <c r="AC633" i="4"/>
  <c r="AB633" i="4"/>
  <c r="AA633" i="4"/>
  <c r="Z633" i="4"/>
  <c r="Y633" i="4"/>
  <c r="V633" i="4"/>
  <c r="P633" i="4"/>
  <c r="O633" i="4"/>
  <c r="N633" i="4"/>
  <c r="M633" i="4"/>
  <c r="H633" i="4"/>
  <c r="G633" i="4"/>
  <c r="F633" i="4"/>
  <c r="E633" i="4"/>
  <c r="D633" i="4"/>
  <c r="C633" i="4"/>
  <c r="AR504" i="4"/>
  <c r="AL504" i="4"/>
  <c r="AK504" i="4"/>
  <c r="AJ504" i="4"/>
  <c r="AI504" i="4"/>
  <c r="AD504" i="4"/>
  <c r="AC504" i="4"/>
  <c r="AB504" i="4"/>
  <c r="AA504" i="4"/>
  <c r="Z504" i="4"/>
  <c r="Y504" i="4"/>
  <c r="V504" i="4"/>
  <c r="P504" i="4"/>
  <c r="O504" i="4"/>
  <c r="N504" i="4"/>
  <c r="M504" i="4"/>
  <c r="H504" i="4"/>
  <c r="G504" i="4"/>
  <c r="F504" i="4"/>
  <c r="E504" i="4"/>
  <c r="D504" i="4"/>
  <c r="C504" i="4"/>
  <c r="AR375" i="4"/>
  <c r="AL375" i="4"/>
  <c r="AK375" i="4"/>
  <c r="AJ375" i="4"/>
  <c r="AI375" i="4"/>
  <c r="AD375" i="4"/>
  <c r="AC375" i="4"/>
  <c r="AB375" i="4"/>
  <c r="AA375" i="4"/>
  <c r="Z375" i="4"/>
  <c r="Y375" i="4"/>
  <c r="V375" i="4"/>
  <c r="P375" i="4"/>
  <c r="O375" i="4"/>
  <c r="N375" i="4"/>
  <c r="M375" i="4"/>
  <c r="H375" i="4"/>
  <c r="G375" i="4"/>
  <c r="F375" i="4"/>
  <c r="E375" i="4"/>
  <c r="D375" i="4"/>
  <c r="C375" i="4"/>
  <c r="G97" i="5"/>
  <c r="H97" i="5"/>
  <c r="I97" i="5"/>
  <c r="J97" i="5"/>
  <c r="K97" i="5"/>
  <c r="L97" i="5"/>
  <c r="Q97" i="5"/>
  <c r="R97" i="5"/>
  <c r="S97" i="5"/>
  <c r="T97" i="5"/>
  <c r="V97" i="5"/>
  <c r="G194" i="5"/>
  <c r="H194" i="5"/>
  <c r="I194" i="5"/>
  <c r="J194" i="5"/>
  <c r="K194" i="5"/>
  <c r="L194" i="5"/>
  <c r="Q194" i="5"/>
  <c r="R194" i="5"/>
  <c r="S194" i="5"/>
  <c r="T194" i="5"/>
  <c r="V194" i="5"/>
  <c r="G291" i="5"/>
  <c r="H291" i="5"/>
  <c r="I291" i="5"/>
  <c r="J291" i="5"/>
  <c r="K291" i="5"/>
  <c r="L291" i="5"/>
  <c r="Q291" i="5"/>
  <c r="R291" i="5"/>
  <c r="S291" i="5"/>
  <c r="T291" i="5"/>
  <c r="V291" i="5"/>
  <c r="G391" i="5"/>
  <c r="H391" i="5"/>
  <c r="I391" i="5"/>
  <c r="J391" i="5"/>
  <c r="K391" i="5"/>
  <c r="L391" i="5"/>
  <c r="Q391" i="5"/>
  <c r="R391" i="5"/>
  <c r="S391" i="5"/>
  <c r="T391" i="5"/>
  <c r="V391" i="5"/>
  <c r="G491" i="5"/>
  <c r="H491" i="5"/>
  <c r="I491" i="5"/>
  <c r="J491" i="5"/>
  <c r="K491" i="5"/>
  <c r="L491" i="5"/>
  <c r="Q491" i="5"/>
  <c r="R491" i="5"/>
  <c r="S491" i="5"/>
  <c r="T491" i="5"/>
  <c r="V491" i="5"/>
  <c r="G592" i="5"/>
  <c r="H592" i="5"/>
  <c r="I592" i="5"/>
  <c r="J592" i="5"/>
  <c r="K592" i="5"/>
  <c r="L592" i="5"/>
  <c r="Q592" i="5"/>
  <c r="R592" i="5"/>
  <c r="S592" i="5"/>
  <c r="T592" i="5"/>
  <c r="V592" i="5"/>
  <c r="E98" i="4"/>
  <c r="F98" i="4"/>
  <c r="G98" i="4"/>
  <c r="H98" i="4"/>
  <c r="N98" i="4"/>
  <c r="P98" i="4"/>
  <c r="E474" i="11" l="1"/>
  <c r="E574" i="11"/>
  <c r="N473" i="11"/>
  <c r="O473" i="11"/>
  <c r="E189" i="11"/>
  <c r="N188" i="11"/>
  <c r="O188" i="11"/>
  <c r="E285" i="11"/>
  <c r="O284" i="11"/>
  <c r="N284" i="11"/>
  <c r="N97" i="11"/>
  <c r="O97" i="11"/>
  <c r="E674" i="11"/>
  <c r="O573" i="11"/>
  <c r="N573" i="11"/>
  <c r="E379" i="11"/>
  <c r="O378" i="11"/>
  <c r="N378" i="11"/>
  <c r="S636" i="4"/>
  <c r="T510" i="4"/>
  <c r="AP512" i="4"/>
  <c r="AQ507" i="4"/>
  <c r="AP508" i="4"/>
  <c r="AQ640" i="4"/>
  <c r="AQ512" i="4"/>
  <c r="AO636" i="4"/>
  <c r="AQ509" i="4"/>
  <c r="AP636" i="4"/>
  <c r="T508" i="4"/>
  <c r="AO513" i="4"/>
  <c r="U638" i="4"/>
  <c r="S642" i="4"/>
  <c r="R512" i="4"/>
  <c r="AO641" i="4"/>
  <c r="AM641" i="4" s="1"/>
  <c r="AO507" i="4"/>
  <c r="T639" i="4"/>
  <c r="S641" i="4"/>
  <c r="AP510" i="4"/>
  <c r="U636" i="4"/>
  <c r="AP642" i="4"/>
  <c r="AQ639" i="4"/>
  <c r="T509" i="4"/>
  <c r="AO512" i="4"/>
  <c r="U639" i="4"/>
  <c r="T641" i="4"/>
  <c r="U642" i="4"/>
  <c r="AP509" i="4"/>
  <c r="AQ510" i="4"/>
  <c r="AN512" i="4"/>
  <c r="AM512" i="4" s="1"/>
  <c r="R641" i="4"/>
  <c r="Q641" i="4" s="1"/>
  <c r="AQ508" i="4"/>
  <c r="T507" i="4"/>
  <c r="AO510" i="4"/>
  <c r="T511" i="4"/>
  <c r="AQ636" i="4"/>
  <c r="U513" i="4"/>
  <c r="AP641" i="4"/>
  <c r="T642" i="4"/>
  <c r="S378" i="4"/>
  <c r="S383" i="4"/>
  <c r="AP384" i="4"/>
  <c r="AQ638" i="4"/>
  <c r="U637" i="4"/>
  <c r="U379" i="4"/>
  <c r="T381" i="4"/>
  <c r="T512" i="4"/>
  <c r="T636" i="4"/>
  <c r="AP639" i="4"/>
  <c r="AQ765" i="4"/>
  <c r="AQ768" i="4"/>
  <c r="AQ769" i="4"/>
  <c r="AQ766" i="4"/>
  <c r="S513" i="4"/>
  <c r="AQ379" i="4"/>
  <c r="AO382" i="4"/>
  <c r="AP513" i="4"/>
  <c r="AO642" i="4"/>
  <c r="AO765" i="4"/>
  <c r="T638" i="4"/>
  <c r="S639" i="4"/>
  <c r="AQ642" i="4"/>
  <c r="Q512" i="4"/>
  <c r="T513" i="4"/>
  <c r="AQ513" i="4"/>
  <c r="AM383" i="4"/>
  <c r="T384" i="4"/>
  <c r="Q383" i="4"/>
  <c r="AQ504" i="4"/>
  <c r="AN375" i="4"/>
  <c r="AQ375" i="4"/>
  <c r="T633" i="4"/>
  <c r="N391" i="5"/>
  <c r="U633" i="4"/>
  <c r="Y491" i="5"/>
  <c r="U375" i="4"/>
  <c r="T504" i="4"/>
  <c r="R633" i="4"/>
  <c r="M97" i="5"/>
  <c r="AN633" i="4"/>
  <c r="AO762" i="4"/>
  <c r="AN504" i="4"/>
  <c r="S375" i="4"/>
  <c r="AQ762" i="4"/>
  <c r="U504" i="4"/>
  <c r="AP504" i="4"/>
  <c r="N491" i="5"/>
  <c r="AO504" i="4"/>
  <c r="S98" i="4"/>
  <c r="T375" i="4"/>
  <c r="R504" i="4"/>
  <c r="Y291" i="5"/>
  <c r="S633" i="4"/>
  <c r="AQ633" i="4"/>
  <c r="M291" i="5"/>
  <c r="N592" i="5"/>
  <c r="AN762" i="4"/>
  <c r="M491" i="5"/>
  <c r="AO375" i="4"/>
  <c r="Y391" i="5"/>
  <c r="N291" i="5"/>
  <c r="S504" i="4"/>
  <c r="AP633" i="4"/>
  <c r="AP762" i="4"/>
  <c r="AP375" i="4"/>
  <c r="N97" i="5"/>
  <c r="R375" i="4"/>
  <c r="Y592" i="5"/>
  <c r="Y97" i="5"/>
  <c r="N194" i="5"/>
  <c r="M194" i="5"/>
  <c r="AO633" i="4"/>
  <c r="Y194" i="5"/>
  <c r="M391" i="5"/>
  <c r="M592" i="5"/>
  <c r="E380" i="11" l="1"/>
  <c r="N379" i="11"/>
  <c r="O379" i="11"/>
  <c r="N674" i="11"/>
  <c r="O674" i="11"/>
  <c r="O189" i="11"/>
  <c r="E190" i="11"/>
  <c r="N189" i="11"/>
  <c r="E675" i="11"/>
  <c r="O574" i="11"/>
  <c r="N574" i="11"/>
  <c r="E286" i="11"/>
  <c r="N285" i="11"/>
  <c r="O285" i="11"/>
  <c r="E475" i="11"/>
  <c r="E575" i="11"/>
  <c r="O474" i="11"/>
  <c r="N474" i="11"/>
  <c r="AM762" i="4"/>
  <c r="Q375" i="4"/>
  <c r="Q633" i="4"/>
  <c r="AM504" i="4"/>
  <c r="Q504" i="4"/>
  <c r="AM633" i="4"/>
  <c r="AM375" i="4"/>
  <c r="Y227" i="4"/>
  <c r="Z227" i="4"/>
  <c r="AA227" i="4"/>
  <c r="AB227" i="4"/>
  <c r="AC227" i="4"/>
  <c r="AD227" i="4"/>
  <c r="AI227" i="4"/>
  <c r="AJ227" i="4"/>
  <c r="AK227" i="4"/>
  <c r="AL227" i="4"/>
  <c r="AR227" i="4"/>
  <c r="C227" i="4"/>
  <c r="D227" i="4"/>
  <c r="E227" i="4"/>
  <c r="F227" i="4"/>
  <c r="G227" i="4"/>
  <c r="H227" i="4"/>
  <c r="M227" i="4"/>
  <c r="N227" i="4"/>
  <c r="O227" i="4"/>
  <c r="P227" i="4"/>
  <c r="V227" i="4"/>
  <c r="AN742" i="4"/>
  <c r="AO742" i="4"/>
  <c r="AP742" i="4"/>
  <c r="AQ742" i="4"/>
  <c r="AE742" i="4"/>
  <c r="AF742" i="4"/>
  <c r="AN613" i="4"/>
  <c r="AO613" i="4"/>
  <c r="AP613" i="4"/>
  <c r="AQ613" i="4"/>
  <c r="AE613" i="4"/>
  <c r="AF613" i="4"/>
  <c r="AN484" i="4"/>
  <c r="AO484" i="4"/>
  <c r="AP484" i="4"/>
  <c r="AQ484" i="4"/>
  <c r="AE484" i="4"/>
  <c r="AF484" i="4"/>
  <c r="AN355" i="4"/>
  <c r="AO355" i="4"/>
  <c r="AP355" i="4"/>
  <c r="AQ355" i="4"/>
  <c r="AE355" i="4"/>
  <c r="AF355" i="4"/>
  <c r="R613" i="4"/>
  <c r="S613" i="4"/>
  <c r="T613" i="4"/>
  <c r="U613" i="4"/>
  <c r="I613" i="4"/>
  <c r="J613" i="4"/>
  <c r="R484" i="4"/>
  <c r="S484" i="4"/>
  <c r="T484" i="4"/>
  <c r="U484" i="4"/>
  <c r="I484" i="4"/>
  <c r="J484" i="4"/>
  <c r="R355" i="4"/>
  <c r="S355" i="4"/>
  <c r="T355" i="4"/>
  <c r="U355" i="4"/>
  <c r="I355" i="4"/>
  <c r="J355" i="4"/>
  <c r="G96" i="5"/>
  <c r="H96" i="5"/>
  <c r="I96" i="5"/>
  <c r="J96" i="5"/>
  <c r="K96" i="5"/>
  <c r="L96" i="5"/>
  <c r="Q96" i="5"/>
  <c r="R96" i="5"/>
  <c r="S96" i="5"/>
  <c r="T96" i="5"/>
  <c r="V96" i="5"/>
  <c r="G193" i="5"/>
  <c r="H193" i="5"/>
  <c r="I193" i="5"/>
  <c r="J193" i="5"/>
  <c r="K193" i="5"/>
  <c r="L193" i="5"/>
  <c r="Q193" i="5"/>
  <c r="R193" i="5"/>
  <c r="S193" i="5"/>
  <c r="T193" i="5"/>
  <c r="V193" i="5"/>
  <c r="G390" i="5"/>
  <c r="H390" i="5"/>
  <c r="I390" i="5"/>
  <c r="J390" i="5"/>
  <c r="K390" i="5"/>
  <c r="L390" i="5"/>
  <c r="Q390" i="5"/>
  <c r="R390" i="5"/>
  <c r="S390" i="5"/>
  <c r="T390" i="5"/>
  <c r="V390" i="5"/>
  <c r="G389" i="5"/>
  <c r="H389" i="5"/>
  <c r="I389" i="5"/>
  <c r="J389" i="5"/>
  <c r="K389" i="5"/>
  <c r="L389" i="5"/>
  <c r="Q389" i="5"/>
  <c r="R389" i="5"/>
  <c r="S389" i="5"/>
  <c r="T389" i="5"/>
  <c r="V389" i="5"/>
  <c r="G490" i="5"/>
  <c r="H490" i="5"/>
  <c r="I490" i="5"/>
  <c r="J490" i="5"/>
  <c r="K490" i="5"/>
  <c r="L490" i="5"/>
  <c r="Q490" i="5"/>
  <c r="R490" i="5"/>
  <c r="S490" i="5"/>
  <c r="T490" i="5"/>
  <c r="V490" i="5"/>
  <c r="G591" i="5"/>
  <c r="H591" i="5"/>
  <c r="I591" i="5"/>
  <c r="J591" i="5"/>
  <c r="K591" i="5"/>
  <c r="L591" i="5"/>
  <c r="Q591" i="5"/>
  <c r="R591" i="5"/>
  <c r="S591" i="5"/>
  <c r="T591" i="5"/>
  <c r="V591" i="5"/>
  <c r="G692" i="5"/>
  <c r="H692" i="5"/>
  <c r="I692" i="5"/>
  <c r="J692" i="5"/>
  <c r="K692" i="5"/>
  <c r="L692" i="5"/>
  <c r="Q692" i="5"/>
  <c r="R692" i="5"/>
  <c r="S692" i="5"/>
  <c r="T692" i="5"/>
  <c r="V692" i="5"/>
  <c r="E97" i="4"/>
  <c r="F97" i="4"/>
  <c r="G97" i="4"/>
  <c r="H97" i="4"/>
  <c r="N97" i="4"/>
  <c r="P97" i="4"/>
  <c r="C226" i="4"/>
  <c r="D226" i="4"/>
  <c r="E226" i="4"/>
  <c r="F226" i="4"/>
  <c r="G226" i="4"/>
  <c r="H226" i="4"/>
  <c r="M226" i="4"/>
  <c r="N226" i="4"/>
  <c r="O226" i="4"/>
  <c r="P226" i="4"/>
  <c r="V226" i="4"/>
  <c r="Y226" i="4"/>
  <c r="Z226" i="4"/>
  <c r="AA226" i="4"/>
  <c r="AB226" i="4"/>
  <c r="AC226" i="4"/>
  <c r="AD226" i="4"/>
  <c r="AI226" i="4"/>
  <c r="AJ226" i="4"/>
  <c r="AK226" i="4"/>
  <c r="AL226" i="4"/>
  <c r="AR226" i="4"/>
  <c r="AN741" i="4"/>
  <c r="AO741" i="4"/>
  <c r="AP741" i="4"/>
  <c r="AQ741" i="4"/>
  <c r="AE741" i="4"/>
  <c r="AF741" i="4"/>
  <c r="AN612" i="4"/>
  <c r="AO612" i="4"/>
  <c r="AP612" i="4"/>
  <c r="AQ612" i="4"/>
  <c r="AE612" i="4"/>
  <c r="AF612" i="4"/>
  <c r="AN483" i="4"/>
  <c r="AO483" i="4"/>
  <c r="AP483" i="4"/>
  <c r="AQ483" i="4"/>
  <c r="AE483" i="4"/>
  <c r="AF483" i="4"/>
  <c r="AN354" i="4"/>
  <c r="AO354" i="4"/>
  <c r="AP354" i="4"/>
  <c r="AQ354" i="4"/>
  <c r="AE354" i="4"/>
  <c r="AF354" i="4"/>
  <c r="R612" i="4"/>
  <c r="S612" i="4"/>
  <c r="T612" i="4"/>
  <c r="U612" i="4"/>
  <c r="I612" i="4"/>
  <c r="J612" i="4"/>
  <c r="R483" i="4"/>
  <c r="S483" i="4"/>
  <c r="T483" i="4"/>
  <c r="U483" i="4"/>
  <c r="I483" i="4"/>
  <c r="J483" i="4"/>
  <c r="R354" i="4"/>
  <c r="S354" i="4"/>
  <c r="T354" i="4"/>
  <c r="U354" i="4"/>
  <c r="I354" i="4"/>
  <c r="J354" i="4"/>
  <c r="O575" i="11" l="1"/>
  <c r="N575" i="11"/>
  <c r="E676" i="11"/>
  <c r="N675" i="11"/>
  <c r="O675" i="11"/>
  <c r="E287" i="11"/>
  <c r="N286" i="11"/>
  <c r="O286" i="11"/>
  <c r="E191" i="11"/>
  <c r="O190" i="11"/>
  <c r="N190" i="11"/>
  <c r="E576" i="11"/>
  <c r="O475" i="11"/>
  <c r="E476" i="11"/>
  <c r="N475" i="11"/>
  <c r="E381" i="11"/>
  <c r="O380" i="11"/>
  <c r="N380" i="11"/>
  <c r="M97" i="4"/>
  <c r="T97" i="4" s="1"/>
  <c r="T227" i="4"/>
  <c r="AM355" i="4"/>
  <c r="AN226" i="4"/>
  <c r="V98" i="4"/>
  <c r="AO227" i="4"/>
  <c r="O97" i="4"/>
  <c r="U97" i="4" s="1"/>
  <c r="C97" i="4"/>
  <c r="J227" i="4"/>
  <c r="J97" i="4"/>
  <c r="I227" i="4"/>
  <c r="U227" i="4"/>
  <c r="D98" i="4"/>
  <c r="I97" i="4"/>
  <c r="M490" i="5"/>
  <c r="S227" i="4"/>
  <c r="M193" i="5"/>
  <c r="AM484" i="4"/>
  <c r="AF226" i="4"/>
  <c r="AE226" i="4"/>
  <c r="J226" i="4"/>
  <c r="AN227" i="4"/>
  <c r="I226" i="4"/>
  <c r="AM742" i="4"/>
  <c r="Y692" i="5"/>
  <c r="AF227" i="4"/>
  <c r="M591" i="5"/>
  <c r="M390" i="5"/>
  <c r="AE227" i="4"/>
  <c r="O98" i="4"/>
  <c r="U98" i="4" s="1"/>
  <c r="V97" i="4"/>
  <c r="S226" i="4"/>
  <c r="N390" i="5"/>
  <c r="C98" i="4"/>
  <c r="R226" i="4"/>
  <c r="M692" i="5"/>
  <c r="M389" i="5"/>
  <c r="M98" i="4"/>
  <c r="T98" i="4" s="1"/>
  <c r="AM612" i="4"/>
  <c r="AO226" i="4"/>
  <c r="U226" i="4"/>
  <c r="S97" i="4"/>
  <c r="AQ227" i="4"/>
  <c r="AQ226" i="4"/>
  <c r="D97" i="4"/>
  <c r="N692" i="5"/>
  <c r="AM613" i="4"/>
  <c r="AP227" i="4"/>
  <c r="N490" i="5"/>
  <c r="R227" i="4"/>
  <c r="N591" i="5"/>
  <c r="N389" i="5"/>
  <c r="AP226" i="4"/>
  <c r="T226" i="4"/>
  <c r="Q355" i="4"/>
  <c r="Q484" i="4"/>
  <c r="Q613" i="4"/>
  <c r="N193" i="5"/>
  <c r="J98" i="4"/>
  <c r="N96" i="5"/>
  <c r="I98" i="4"/>
  <c r="Q354" i="4"/>
  <c r="Q483" i="4"/>
  <c r="Q612" i="4"/>
  <c r="AM354" i="4"/>
  <c r="AM483" i="4"/>
  <c r="AM741" i="4"/>
  <c r="M96" i="5"/>
  <c r="Y96" i="5"/>
  <c r="Y193" i="5"/>
  <c r="Y390" i="5"/>
  <c r="Y389" i="5"/>
  <c r="Y490" i="5"/>
  <c r="Y591" i="5"/>
  <c r="O381" i="11" l="1"/>
  <c r="E382" i="11"/>
  <c r="N381" i="11"/>
  <c r="E577" i="11"/>
  <c r="E477" i="11"/>
  <c r="O476" i="11"/>
  <c r="N476" i="11"/>
  <c r="N576" i="11"/>
  <c r="E677" i="11"/>
  <c r="O576" i="11"/>
  <c r="E192" i="11"/>
  <c r="N191" i="11"/>
  <c r="O191" i="11"/>
  <c r="E288" i="11"/>
  <c r="N287" i="11"/>
  <c r="O287" i="11"/>
  <c r="O676" i="11"/>
  <c r="N676" i="11"/>
  <c r="AM227" i="4"/>
  <c r="AM226" i="4"/>
  <c r="R97" i="4"/>
  <c r="Q97" i="4" s="1"/>
  <c r="Q227" i="4"/>
  <c r="Q226" i="4"/>
  <c r="R98" i="4"/>
  <c r="Q98" i="4" s="1"/>
  <c r="G691" i="5"/>
  <c r="H691" i="5"/>
  <c r="I691" i="5"/>
  <c r="J691" i="5"/>
  <c r="K691" i="5"/>
  <c r="L691" i="5"/>
  <c r="Q691" i="5"/>
  <c r="R691" i="5"/>
  <c r="S691" i="5"/>
  <c r="T691" i="5"/>
  <c r="V691" i="5"/>
  <c r="G590" i="5"/>
  <c r="H590" i="5"/>
  <c r="I590" i="5"/>
  <c r="J590" i="5"/>
  <c r="K590" i="5"/>
  <c r="L590" i="5"/>
  <c r="Q590" i="5"/>
  <c r="R590" i="5"/>
  <c r="S590" i="5"/>
  <c r="T590" i="5"/>
  <c r="V590" i="5"/>
  <c r="G489" i="5"/>
  <c r="H489" i="5"/>
  <c r="I489" i="5"/>
  <c r="J489" i="5"/>
  <c r="K489" i="5"/>
  <c r="L489" i="5"/>
  <c r="Q489" i="5"/>
  <c r="R489" i="5"/>
  <c r="S489" i="5"/>
  <c r="T489" i="5"/>
  <c r="V489" i="5"/>
  <c r="G388" i="5"/>
  <c r="H388" i="5"/>
  <c r="I388" i="5"/>
  <c r="J388" i="5"/>
  <c r="K388" i="5"/>
  <c r="L388" i="5"/>
  <c r="Q388" i="5"/>
  <c r="R388" i="5"/>
  <c r="S388" i="5"/>
  <c r="T388" i="5"/>
  <c r="V388" i="5"/>
  <c r="G290" i="5"/>
  <c r="H290" i="5"/>
  <c r="I290" i="5"/>
  <c r="J290" i="5"/>
  <c r="K290" i="5"/>
  <c r="L290" i="5"/>
  <c r="Q290" i="5"/>
  <c r="R290" i="5"/>
  <c r="S290" i="5"/>
  <c r="T290" i="5"/>
  <c r="V290" i="5"/>
  <c r="G192" i="5"/>
  <c r="H192" i="5"/>
  <c r="I192" i="5"/>
  <c r="J192" i="5"/>
  <c r="K192" i="5"/>
  <c r="L192" i="5"/>
  <c r="Q192" i="5"/>
  <c r="R192" i="5"/>
  <c r="S192" i="5"/>
  <c r="T192" i="5"/>
  <c r="V192" i="5"/>
  <c r="G95" i="5"/>
  <c r="H95" i="5"/>
  <c r="I95" i="5"/>
  <c r="J95" i="5"/>
  <c r="K95" i="5"/>
  <c r="L95" i="5"/>
  <c r="Q95" i="5"/>
  <c r="R95" i="5"/>
  <c r="S95" i="5"/>
  <c r="T95" i="5"/>
  <c r="V95" i="5"/>
  <c r="I611" i="4"/>
  <c r="E96" i="4"/>
  <c r="F96" i="4"/>
  <c r="G96" i="4"/>
  <c r="H96" i="4"/>
  <c r="N96" i="4"/>
  <c r="P96" i="4"/>
  <c r="C225" i="4"/>
  <c r="D225" i="4"/>
  <c r="E225" i="4"/>
  <c r="F225" i="4"/>
  <c r="G225" i="4"/>
  <c r="H225" i="4"/>
  <c r="M225" i="4"/>
  <c r="N225" i="4"/>
  <c r="O225" i="4"/>
  <c r="P225" i="4"/>
  <c r="V225" i="4"/>
  <c r="Y225" i="4"/>
  <c r="Z225" i="4"/>
  <c r="AA225" i="4"/>
  <c r="AB225" i="4"/>
  <c r="AC225" i="4"/>
  <c r="AD225" i="4"/>
  <c r="AI225" i="4"/>
  <c r="AJ225" i="4"/>
  <c r="AK225" i="4"/>
  <c r="AL225" i="4"/>
  <c r="AR225" i="4"/>
  <c r="AN740" i="4"/>
  <c r="AO740" i="4"/>
  <c r="AP740" i="4"/>
  <c r="AQ740" i="4"/>
  <c r="AE740" i="4"/>
  <c r="AF740" i="4"/>
  <c r="AN611" i="4"/>
  <c r="AO611" i="4"/>
  <c r="AP611" i="4"/>
  <c r="AQ611" i="4"/>
  <c r="AF611" i="4"/>
  <c r="AE611" i="4"/>
  <c r="AN482" i="4"/>
  <c r="AO482" i="4"/>
  <c r="AP482" i="4"/>
  <c r="AQ482" i="4"/>
  <c r="AE482" i="4"/>
  <c r="AF482" i="4"/>
  <c r="AN353" i="4"/>
  <c r="AO353" i="4"/>
  <c r="AP353" i="4"/>
  <c r="AQ353" i="4"/>
  <c r="AE353" i="4"/>
  <c r="AF353" i="4"/>
  <c r="R611" i="4"/>
  <c r="S611" i="4"/>
  <c r="T611" i="4"/>
  <c r="U611" i="4"/>
  <c r="J611" i="4"/>
  <c r="R482" i="4"/>
  <c r="S482" i="4"/>
  <c r="T482" i="4"/>
  <c r="U482" i="4"/>
  <c r="I482" i="4"/>
  <c r="J482" i="4"/>
  <c r="R353" i="4"/>
  <c r="S353" i="4"/>
  <c r="T353" i="4"/>
  <c r="U353" i="4"/>
  <c r="I353" i="4"/>
  <c r="J353" i="4"/>
  <c r="E289" i="11" l="1"/>
  <c r="N288" i="11"/>
  <c r="O288" i="11"/>
  <c r="E478" i="11"/>
  <c r="N477" i="11"/>
  <c r="E578" i="11"/>
  <c r="O477" i="11"/>
  <c r="E383" i="11"/>
  <c r="O382" i="11"/>
  <c r="N382" i="11"/>
  <c r="O192" i="11"/>
  <c r="E193" i="11"/>
  <c r="N192" i="11"/>
  <c r="N677" i="11"/>
  <c r="O677" i="11"/>
  <c r="E678" i="11"/>
  <c r="N577" i="11"/>
  <c r="O577" i="11"/>
  <c r="AQ225" i="4"/>
  <c r="AN225" i="4"/>
  <c r="S225" i="4"/>
  <c r="O96" i="4"/>
  <c r="U96" i="4" s="1"/>
  <c r="D96" i="4"/>
  <c r="C96" i="4"/>
  <c r="AO225" i="4"/>
  <c r="M691" i="5"/>
  <c r="Q353" i="4"/>
  <c r="U225" i="4"/>
  <c r="M96" i="4"/>
  <c r="T96" i="4" s="1"/>
  <c r="I225" i="4"/>
  <c r="AM611" i="4"/>
  <c r="I96" i="4"/>
  <c r="T225" i="4"/>
  <c r="Q611" i="4"/>
  <c r="Q482" i="4"/>
  <c r="AM740" i="4"/>
  <c r="J96" i="4"/>
  <c r="AM482" i="4"/>
  <c r="AE225" i="4"/>
  <c r="AF225" i="4"/>
  <c r="V96" i="4"/>
  <c r="AM353" i="4"/>
  <c r="AP225" i="4"/>
  <c r="R225" i="4"/>
  <c r="S96" i="4"/>
  <c r="N691" i="5"/>
  <c r="Y691" i="5"/>
  <c r="M590" i="5"/>
  <c r="N590" i="5"/>
  <c r="Y590" i="5"/>
  <c r="M489" i="5"/>
  <c r="M388" i="5"/>
  <c r="N489" i="5"/>
  <c r="Y489" i="5"/>
  <c r="M290" i="5"/>
  <c r="N388" i="5"/>
  <c r="Y388" i="5"/>
  <c r="N290" i="5"/>
  <c r="Y290" i="5"/>
  <c r="M192" i="5"/>
  <c r="N192" i="5"/>
  <c r="Y192" i="5"/>
  <c r="M95" i="5"/>
  <c r="N95" i="5"/>
  <c r="Y95" i="5"/>
  <c r="J225" i="4"/>
  <c r="E194" i="11" l="1"/>
  <c r="O193" i="11"/>
  <c r="N193" i="11"/>
  <c r="O578" i="11"/>
  <c r="E679" i="11"/>
  <c r="N578" i="11"/>
  <c r="E384" i="11"/>
  <c r="N383" i="11"/>
  <c r="O383" i="11"/>
  <c r="O678" i="11"/>
  <c r="N678" i="11"/>
  <c r="E479" i="11"/>
  <c r="E579" i="11"/>
  <c r="O478" i="11"/>
  <c r="N478" i="11"/>
  <c r="O289" i="11"/>
  <c r="E290" i="11"/>
  <c r="N289" i="11"/>
  <c r="R96" i="4"/>
  <c r="Q96" i="4" s="1"/>
  <c r="AM225" i="4"/>
  <c r="Q225" i="4"/>
  <c r="F11" i="10"/>
  <c r="F7" i="10"/>
  <c r="E11" i="10"/>
  <c r="G11" i="10" s="1"/>
  <c r="H11" i="10" s="1"/>
  <c r="E7" i="10"/>
  <c r="G690" i="5"/>
  <c r="H690" i="5"/>
  <c r="I690" i="5"/>
  <c r="J690" i="5"/>
  <c r="K690" i="5"/>
  <c r="L690" i="5"/>
  <c r="Q690" i="5"/>
  <c r="R690" i="5"/>
  <c r="S690" i="5"/>
  <c r="T690" i="5"/>
  <c r="V690" i="5"/>
  <c r="G589" i="5"/>
  <c r="H589" i="5"/>
  <c r="I589" i="5"/>
  <c r="J589" i="5"/>
  <c r="K589" i="5"/>
  <c r="L589" i="5"/>
  <c r="Q589" i="5"/>
  <c r="R589" i="5"/>
  <c r="S589" i="5"/>
  <c r="T589" i="5"/>
  <c r="V589" i="5"/>
  <c r="G488" i="5"/>
  <c r="H488" i="5"/>
  <c r="I488" i="5"/>
  <c r="J488" i="5"/>
  <c r="K488" i="5"/>
  <c r="L488" i="5"/>
  <c r="Q488" i="5"/>
  <c r="R488" i="5"/>
  <c r="S488" i="5"/>
  <c r="T488" i="5"/>
  <c r="V488" i="5"/>
  <c r="G387" i="5"/>
  <c r="H387" i="5"/>
  <c r="I387" i="5"/>
  <c r="J387" i="5"/>
  <c r="K387" i="5"/>
  <c r="L387" i="5"/>
  <c r="Q387" i="5"/>
  <c r="R387" i="5"/>
  <c r="S387" i="5"/>
  <c r="T387" i="5"/>
  <c r="V387" i="5"/>
  <c r="G289" i="5"/>
  <c r="H289" i="5"/>
  <c r="I289" i="5"/>
  <c r="J289" i="5"/>
  <c r="K289" i="5"/>
  <c r="L289" i="5"/>
  <c r="Q289" i="5"/>
  <c r="R289" i="5"/>
  <c r="S289" i="5"/>
  <c r="T289" i="5"/>
  <c r="V289" i="5"/>
  <c r="G191" i="5"/>
  <c r="H191" i="5"/>
  <c r="I191" i="5"/>
  <c r="J191" i="5"/>
  <c r="K191" i="5"/>
  <c r="L191" i="5"/>
  <c r="Q191" i="5"/>
  <c r="R191" i="5"/>
  <c r="S191" i="5"/>
  <c r="T191" i="5"/>
  <c r="V191" i="5"/>
  <c r="G94" i="5"/>
  <c r="H94" i="5"/>
  <c r="I94" i="5"/>
  <c r="J94" i="5"/>
  <c r="K94" i="5"/>
  <c r="L94" i="5"/>
  <c r="Q94" i="5"/>
  <c r="R94" i="5"/>
  <c r="S94" i="5"/>
  <c r="T94" i="5"/>
  <c r="V94" i="5"/>
  <c r="E95" i="4"/>
  <c r="F95" i="4"/>
  <c r="G95" i="4"/>
  <c r="H95" i="4"/>
  <c r="N95" i="4"/>
  <c r="P95" i="4"/>
  <c r="Y224" i="4"/>
  <c r="Z224" i="4"/>
  <c r="AA224" i="4"/>
  <c r="AB224" i="4"/>
  <c r="AC224" i="4"/>
  <c r="AD224" i="4"/>
  <c r="AI224" i="4"/>
  <c r="AJ224" i="4"/>
  <c r="AK224" i="4"/>
  <c r="AL224" i="4"/>
  <c r="AR224" i="4"/>
  <c r="C224" i="4"/>
  <c r="D224" i="4"/>
  <c r="E224" i="4"/>
  <c r="F224" i="4"/>
  <c r="G224" i="4"/>
  <c r="H224" i="4"/>
  <c r="M224" i="4"/>
  <c r="N224" i="4"/>
  <c r="O224" i="4"/>
  <c r="P224" i="4"/>
  <c r="V224" i="4"/>
  <c r="AN739" i="4"/>
  <c r="AO739" i="4"/>
  <c r="AP739" i="4"/>
  <c r="AQ739" i="4"/>
  <c r="AE739" i="4"/>
  <c r="AF739" i="4"/>
  <c r="AN610" i="4"/>
  <c r="AO610" i="4"/>
  <c r="AP610" i="4"/>
  <c r="AQ610" i="4"/>
  <c r="AE610" i="4"/>
  <c r="AF610" i="4"/>
  <c r="AN481" i="4"/>
  <c r="AO481" i="4"/>
  <c r="AP481" i="4"/>
  <c r="AQ481" i="4"/>
  <c r="AG474" i="4"/>
  <c r="AE481" i="4"/>
  <c r="AF481" i="4"/>
  <c r="AN352" i="4"/>
  <c r="AO352" i="4"/>
  <c r="AP352" i="4"/>
  <c r="AQ352" i="4"/>
  <c r="AE352" i="4"/>
  <c r="AF352" i="4"/>
  <c r="R610" i="4"/>
  <c r="S610" i="4"/>
  <c r="T610" i="4"/>
  <c r="U610" i="4"/>
  <c r="I610" i="4"/>
  <c r="J610" i="4"/>
  <c r="R481" i="4"/>
  <c r="S481" i="4"/>
  <c r="T481" i="4"/>
  <c r="U481" i="4"/>
  <c r="I481" i="4"/>
  <c r="J481" i="4"/>
  <c r="R352" i="4"/>
  <c r="S352" i="4"/>
  <c r="T352" i="4"/>
  <c r="U352" i="4"/>
  <c r="I352" i="4"/>
  <c r="J352" i="4"/>
  <c r="G92" i="5"/>
  <c r="H92" i="5"/>
  <c r="I92" i="5"/>
  <c r="J92" i="5"/>
  <c r="K92" i="5"/>
  <c r="L92" i="5"/>
  <c r="Q92" i="5"/>
  <c r="R92" i="5"/>
  <c r="S92" i="5"/>
  <c r="T92" i="5"/>
  <c r="V92" i="5"/>
  <c r="G93" i="5"/>
  <c r="H93" i="5"/>
  <c r="I93" i="5"/>
  <c r="J93" i="5"/>
  <c r="K93" i="5"/>
  <c r="L93" i="5"/>
  <c r="Q93" i="5"/>
  <c r="R93" i="5"/>
  <c r="S93" i="5"/>
  <c r="T93" i="5"/>
  <c r="V93" i="5"/>
  <c r="G189" i="5"/>
  <c r="H189" i="5"/>
  <c r="I189" i="5"/>
  <c r="J189" i="5"/>
  <c r="K189" i="5"/>
  <c r="L189" i="5"/>
  <c r="Q189" i="5"/>
  <c r="R189" i="5"/>
  <c r="S189" i="5"/>
  <c r="T189" i="5"/>
  <c r="V189" i="5"/>
  <c r="G190" i="5"/>
  <c r="H190" i="5"/>
  <c r="I190" i="5"/>
  <c r="J190" i="5"/>
  <c r="K190" i="5"/>
  <c r="L190" i="5"/>
  <c r="Q190" i="5"/>
  <c r="R190" i="5"/>
  <c r="S190" i="5"/>
  <c r="T190" i="5"/>
  <c r="V190" i="5"/>
  <c r="G287" i="5"/>
  <c r="H287" i="5"/>
  <c r="I287" i="5"/>
  <c r="J287" i="5"/>
  <c r="K287" i="5"/>
  <c r="L287" i="5"/>
  <c r="Q287" i="5"/>
  <c r="R287" i="5"/>
  <c r="S287" i="5"/>
  <c r="T287" i="5"/>
  <c r="V287" i="5"/>
  <c r="G288" i="5"/>
  <c r="H288" i="5"/>
  <c r="I288" i="5"/>
  <c r="J288" i="5"/>
  <c r="K288" i="5"/>
  <c r="L288" i="5"/>
  <c r="Q288" i="5"/>
  <c r="R288" i="5"/>
  <c r="S288" i="5"/>
  <c r="T288" i="5"/>
  <c r="V288" i="5"/>
  <c r="G286" i="5"/>
  <c r="H286" i="5"/>
  <c r="I286" i="5"/>
  <c r="J286" i="5"/>
  <c r="K286" i="5"/>
  <c r="L286" i="5"/>
  <c r="Q286" i="5"/>
  <c r="R286" i="5"/>
  <c r="S286" i="5"/>
  <c r="T286" i="5"/>
  <c r="V286" i="5"/>
  <c r="G386" i="5"/>
  <c r="H386" i="5"/>
  <c r="I386" i="5"/>
  <c r="J386" i="5"/>
  <c r="K386" i="5"/>
  <c r="L386" i="5"/>
  <c r="Q386" i="5"/>
  <c r="R386" i="5"/>
  <c r="S386" i="5"/>
  <c r="T386" i="5"/>
  <c r="V386" i="5"/>
  <c r="G486" i="5"/>
  <c r="H486" i="5"/>
  <c r="I486" i="5"/>
  <c r="J486" i="5"/>
  <c r="K486" i="5"/>
  <c r="L486" i="5"/>
  <c r="Q486" i="5"/>
  <c r="R486" i="5"/>
  <c r="S486" i="5"/>
  <c r="T486" i="5"/>
  <c r="V486" i="5"/>
  <c r="G487" i="5"/>
  <c r="H487" i="5"/>
  <c r="I487" i="5"/>
  <c r="J487" i="5"/>
  <c r="K487" i="5"/>
  <c r="L487" i="5"/>
  <c r="Q487" i="5"/>
  <c r="R487" i="5"/>
  <c r="S487" i="5"/>
  <c r="T487" i="5"/>
  <c r="V487" i="5"/>
  <c r="G689" i="5"/>
  <c r="H689" i="5"/>
  <c r="I689" i="5"/>
  <c r="J689" i="5"/>
  <c r="K689" i="5"/>
  <c r="L689" i="5"/>
  <c r="Q689" i="5"/>
  <c r="R689" i="5"/>
  <c r="S689" i="5"/>
  <c r="T689" i="5"/>
  <c r="V689" i="5"/>
  <c r="G688" i="5"/>
  <c r="H688" i="5"/>
  <c r="I688" i="5"/>
  <c r="J688" i="5"/>
  <c r="K688" i="5"/>
  <c r="L688" i="5"/>
  <c r="Q688" i="5"/>
  <c r="R688" i="5"/>
  <c r="S688" i="5"/>
  <c r="T688" i="5"/>
  <c r="V688" i="5"/>
  <c r="G588" i="5"/>
  <c r="H588" i="5"/>
  <c r="I588" i="5"/>
  <c r="J588" i="5"/>
  <c r="K588" i="5"/>
  <c r="L588" i="5"/>
  <c r="Q588" i="5"/>
  <c r="R588" i="5"/>
  <c r="S588" i="5"/>
  <c r="T588" i="5"/>
  <c r="V588" i="5"/>
  <c r="G587" i="5"/>
  <c r="H587" i="5"/>
  <c r="I587" i="5"/>
  <c r="J587" i="5"/>
  <c r="K587" i="5"/>
  <c r="L587" i="5"/>
  <c r="Q587" i="5"/>
  <c r="R587" i="5"/>
  <c r="S587" i="5"/>
  <c r="T587" i="5"/>
  <c r="V587" i="5"/>
  <c r="E94" i="4"/>
  <c r="F94" i="4"/>
  <c r="G94" i="4"/>
  <c r="H94" i="4"/>
  <c r="N94" i="4"/>
  <c r="P94" i="4"/>
  <c r="C223" i="4"/>
  <c r="D223" i="4"/>
  <c r="E223" i="4"/>
  <c r="F223" i="4"/>
  <c r="G223" i="4"/>
  <c r="H223" i="4"/>
  <c r="M223" i="4"/>
  <c r="N223" i="4"/>
  <c r="O223" i="4"/>
  <c r="P223" i="4"/>
  <c r="V223" i="4"/>
  <c r="Y223" i="4"/>
  <c r="Z223" i="4"/>
  <c r="AA223" i="4"/>
  <c r="AB223" i="4"/>
  <c r="AC223" i="4"/>
  <c r="AD223" i="4"/>
  <c r="AI223" i="4"/>
  <c r="AJ223" i="4"/>
  <c r="AK223" i="4"/>
  <c r="AL223" i="4"/>
  <c r="AR223" i="4"/>
  <c r="AQ738" i="4"/>
  <c r="AP738" i="4"/>
  <c r="AO738" i="4"/>
  <c r="AN738" i="4"/>
  <c r="AE738" i="4"/>
  <c r="AF738" i="4"/>
  <c r="AQ609" i="4"/>
  <c r="AP609" i="4"/>
  <c r="AO609" i="4"/>
  <c r="AN609" i="4"/>
  <c r="AE609" i="4"/>
  <c r="AF609" i="4"/>
  <c r="AQ480" i="4"/>
  <c r="AP480" i="4"/>
  <c r="AO480" i="4"/>
  <c r="AN480" i="4"/>
  <c r="AE480" i="4"/>
  <c r="AF480" i="4"/>
  <c r="AQ351" i="4"/>
  <c r="AP351" i="4"/>
  <c r="AO351" i="4"/>
  <c r="AN351" i="4"/>
  <c r="AE351" i="4"/>
  <c r="AF351" i="4"/>
  <c r="U609" i="4"/>
  <c r="T609" i="4"/>
  <c r="S609" i="4"/>
  <c r="R609" i="4"/>
  <c r="I609" i="4"/>
  <c r="J609" i="4"/>
  <c r="U480" i="4"/>
  <c r="T480" i="4"/>
  <c r="S480" i="4"/>
  <c r="R480" i="4"/>
  <c r="I480" i="4"/>
  <c r="J480" i="4"/>
  <c r="R351" i="4"/>
  <c r="S351" i="4"/>
  <c r="T351" i="4"/>
  <c r="U351" i="4"/>
  <c r="I351" i="4"/>
  <c r="J351" i="4"/>
  <c r="E580" i="11" l="1"/>
  <c r="O479" i="11"/>
  <c r="E480" i="11"/>
  <c r="N479" i="11"/>
  <c r="E385" i="11"/>
  <c r="O384" i="11"/>
  <c r="N384" i="11"/>
  <c r="O579" i="11"/>
  <c r="E680" i="11"/>
  <c r="N579" i="11"/>
  <c r="N679" i="11"/>
  <c r="O679" i="11"/>
  <c r="O290" i="11"/>
  <c r="N290" i="11"/>
  <c r="E291" i="11"/>
  <c r="O194" i="11"/>
  <c r="N194" i="11"/>
  <c r="G7" i="10"/>
  <c r="H7" i="10" s="1"/>
  <c r="AN223" i="4"/>
  <c r="U223" i="4"/>
  <c r="R223" i="4"/>
  <c r="S94" i="4"/>
  <c r="AM351" i="4"/>
  <c r="U224" i="4"/>
  <c r="AP224" i="4"/>
  <c r="Q481" i="4"/>
  <c r="S95" i="4"/>
  <c r="Q480" i="4"/>
  <c r="AM609" i="4"/>
  <c r="AP223" i="4"/>
  <c r="AO223" i="4"/>
  <c r="M94" i="4"/>
  <c r="T94" i="4" s="1"/>
  <c r="S223" i="4"/>
  <c r="J223" i="4"/>
  <c r="V95" i="4"/>
  <c r="I223" i="4"/>
  <c r="Q609" i="4"/>
  <c r="AM738" i="4"/>
  <c r="Q351" i="4"/>
  <c r="I94" i="4"/>
  <c r="AM352" i="4"/>
  <c r="M95" i="4"/>
  <c r="T95" i="4" s="1"/>
  <c r="AM480" i="4"/>
  <c r="AF223" i="4"/>
  <c r="I95" i="4"/>
  <c r="Q610" i="4"/>
  <c r="AE223" i="4"/>
  <c r="AM739" i="4"/>
  <c r="AE224" i="4"/>
  <c r="AM610" i="4"/>
  <c r="Q352" i="4"/>
  <c r="I224" i="4"/>
  <c r="O95" i="4"/>
  <c r="U95" i="4" s="1"/>
  <c r="C95" i="4"/>
  <c r="J224" i="4"/>
  <c r="AM481" i="4"/>
  <c r="T223" i="4"/>
  <c r="C94" i="4"/>
  <c r="AQ223" i="4"/>
  <c r="D94" i="4"/>
  <c r="T224" i="4"/>
  <c r="M190" i="5"/>
  <c r="N92" i="5"/>
  <c r="AO224" i="4"/>
  <c r="V94" i="4"/>
  <c r="J94" i="4"/>
  <c r="S224" i="4"/>
  <c r="AQ224" i="4"/>
  <c r="M690" i="5"/>
  <c r="M589" i="5"/>
  <c r="M488" i="5"/>
  <c r="N690" i="5"/>
  <c r="M94" i="5"/>
  <c r="N589" i="5"/>
  <c r="AF224" i="4"/>
  <c r="AN224" i="4"/>
  <c r="D95" i="4"/>
  <c r="J95" i="4"/>
  <c r="R224" i="4"/>
  <c r="Y690" i="5"/>
  <c r="Y589" i="5"/>
  <c r="N288" i="5"/>
  <c r="M288" i="5"/>
  <c r="M486" i="5"/>
  <c r="M92" i="5"/>
  <c r="M587" i="5"/>
  <c r="N189" i="5"/>
  <c r="M387" i="5"/>
  <c r="M286" i="5"/>
  <c r="M289" i="5"/>
  <c r="N191" i="5"/>
  <c r="M191" i="5"/>
  <c r="N488" i="5"/>
  <c r="N387" i="5"/>
  <c r="N386" i="5"/>
  <c r="N289" i="5"/>
  <c r="Y488" i="5"/>
  <c r="Y387" i="5"/>
  <c r="N487" i="5"/>
  <c r="Y689" i="5"/>
  <c r="M487" i="5"/>
  <c r="M189" i="5"/>
  <c r="M588" i="5"/>
  <c r="N688" i="5"/>
  <c r="M287" i="5"/>
  <c r="M689" i="5"/>
  <c r="M386" i="5"/>
  <c r="M688" i="5"/>
  <c r="Y289" i="5"/>
  <c r="Y191" i="5"/>
  <c r="N287" i="5"/>
  <c r="N486" i="5"/>
  <c r="N286" i="5"/>
  <c r="N94" i="5"/>
  <c r="N689" i="5"/>
  <c r="N93" i="5"/>
  <c r="N190" i="5"/>
  <c r="M93" i="5"/>
  <c r="Y94" i="5"/>
  <c r="N588" i="5"/>
  <c r="O94" i="4"/>
  <c r="Y93" i="5"/>
  <c r="Y92" i="5"/>
  <c r="Y190" i="5"/>
  <c r="Y189" i="5"/>
  <c r="Y288" i="5"/>
  <c r="Y287" i="5"/>
  <c r="Y286" i="5"/>
  <c r="Y386" i="5"/>
  <c r="Y487" i="5"/>
  <c r="Y486" i="5"/>
  <c r="Y688" i="5"/>
  <c r="Y588" i="5"/>
  <c r="N587" i="5"/>
  <c r="Y587" i="5"/>
  <c r="N291" i="11" l="1"/>
  <c r="O291" i="11"/>
  <c r="N680" i="11"/>
  <c r="O680" i="11"/>
  <c r="E386" i="11"/>
  <c r="O385" i="11"/>
  <c r="N385" i="11"/>
  <c r="E581" i="11"/>
  <c r="E481" i="11"/>
  <c r="O480" i="11"/>
  <c r="N480" i="11"/>
  <c r="N580" i="11"/>
  <c r="E681" i="11"/>
  <c r="O580" i="11"/>
  <c r="Q223" i="4"/>
  <c r="AM223" i="4"/>
  <c r="Q224" i="4"/>
  <c r="AM224" i="4"/>
  <c r="R94" i="4"/>
  <c r="Q94" i="4" s="1"/>
  <c r="R95" i="4"/>
  <c r="Q95" i="4" s="1"/>
  <c r="U94" i="4"/>
  <c r="N681" i="11" l="1"/>
  <c r="O681" i="11"/>
  <c r="E387" i="11"/>
  <c r="N386" i="11"/>
  <c r="O386" i="11"/>
  <c r="E482" i="11"/>
  <c r="N481" i="11"/>
  <c r="E582" i="11"/>
  <c r="O481" i="11"/>
  <c r="E682" i="11"/>
  <c r="N581" i="11"/>
  <c r="O581" i="11"/>
  <c r="J14" i="9"/>
  <c r="J13" i="9"/>
  <c r="J7" i="9"/>
  <c r="J6" i="9"/>
  <c r="E9" i="9"/>
  <c r="F9" i="9"/>
  <c r="E683" i="11" l="1"/>
  <c r="N582" i="11"/>
  <c r="O582" i="11"/>
  <c r="N682" i="11"/>
  <c r="O682" i="11"/>
  <c r="E483" i="11"/>
  <c r="E583" i="11"/>
  <c r="N482" i="11"/>
  <c r="O482" i="11"/>
  <c r="E388" i="11"/>
  <c r="O387" i="11"/>
  <c r="N387" i="11"/>
  <c r="AH651" i="4"/>
  <c r="AG651" i="4"/>
  <c r="AG650" i="4"/>
  <c r="AH650" i="4"/>
  <c r="AH521" i="4"/>
  <c r="AG521" i="4"/>
  <c r="AH522" i="4"/>
  <c r="AG522" i="4"/>
  <c r="L522" i="4"/>
  <c r="K522" i="4"/>
  <c r="L521" i="4"/>
  <c r="K521" i="4"/>
  <c r="AH393" i="4"/>
  <c r="AG393" i="4"/>
  <c r="AH392" i="4"/>
  <c r="AG392" i="4"/>
  <c r="L393" i="4"/>
  <c r="K393" i="4"/>
  <c r="K392" i="4"/>
  <c r="L392" i="4"/>
  <c r="AH264" i="4"/>
  <c r="AG264" i="4"/>
  <c r="AH263" i="4"/>
  <c r="AG263" i="4"/>
  <c r="L264" i="4"/>
  <c r="K264" i="4"/>
  <c r="K263" i="4"/>
  <c r="L263" i="4"/>
  <c r="K5" i="4"/>
  <c r="J5" i="4"/>
  <c r="J6" i="4"/>
  <c r="J7" i="4"/>
  <c r="E389" i="11" l="1"/>
  <c r="O388" i="11"/>
  <c r="N388" i="11"/>
  <c r="E684" i="11"/>
  <c r="O583" i="11"/>
  <c r="N583" i="11"/>
  <c r="E484" i="11"/>
  <c r="E584" i="11"/>
  <c r="O483" i="11"/>
  <c r="N483" i="11"/>
  <c r="N683" i="11"/>
  <c r="O683" i="11"/>
  <c r="AH136" i="4"/>
  <c r="L135" i="4"/>
  <c r="AG135" i="4"/>
  <c r="AH135" i="4"/>
  <c r="K136" i="4"/>
  <c r="AG136" i="4"/>
  <c r="K6" i="4"/>
  <c r="K7" i="4"/>
  <c r="L136" i="4"/>
  <c r="K135" i="4"/>
  <c r="C222" i="4"/>
  <c r="D222" i="4"/>
  <c r="E222" i="4"/>
  <c r="F222" i="4"/>
  <c r="G222" i="4"/>
  <c r="H222" i="4"/>
  <c r="M222" i="4"/>
  <c r="N222" i="4"/>
  <c r="O222" i="4"/>
  <c r="P222" i="4"/>
  <c r="V222" i="4"/>
  <c r="E93" i="4"/>
  <c r="F93" i="4"/>
  <c r="G93" i="4"/>
  <c r="H93" i="4"/>
  <c r="N93" i="4"/>
  <c r="P93" i="4"/>
  <c r="Y222" i="4"/>
  <c r="Z222" i="4"/>
  <c r="AA222" i="4"/>
  <c r="AB222" i="4"/>
  <c r="AC222" i="4"/>
  <c r="AD222" i="4"/>
  <c r="AI222" i="4"/>
  <c r="AJ222" i="4"/>
  <c r="AK222" i="4"/>
  <c r="AL222" i="4"/>
  <c r="AR222" i="4"/>
  <c r="AN350" i="4"/>
  <c r="AO350" i="4"/>
  <c r="AP350" i="4"/>
  <c r="AQ350" i="4"/>
  <c r="AE350" i="4"/>
  <c r="AF350" i="4"/>
  <c r="AN479" i="4"/>
  <c r="AO479" i="4"/>
  <c r="AP479" i="4"/>
  <c r="AQ479" i="4"/>
  <c r="AE479" i="4"/>
  <c r="AF479" i="4"/>
  <c r="AN608" i="4"/>
  <c r="AO608" i="4"/>
  <c r="AP608" i="4"/>
  <c r="AQ608" i="4"/>
  <c r="AE608" i="4"/>
  <c r="AF608" i="4"/>
  <c r="AN737" i="4"/>
  <c r="AO737" i="4"/>
  <c r="AP737" i="4"/>
  <c r="AQ737" i="4"/>
  <c r="AE737" i="4"/>
  <c r="AF737" i="4"/>
  <c r="R608" i="4"/>
  <c r="S608" i="4"/>
  <c r="T608" i="4"/>
  <c r="U608" i="4"/>
  <c r="J608" i="4"/>
  <c r="I608" i="4"/>
  <c r="R479" i="4"/>
  <c r="S479" i="4"/>
  <c r="T479" i="4"/>
  <c r="U479" i="4"/>
  <c r="I479" i="4"/>
  <c r="J479" i="4"/>
  <c r="R350" i="4"/>
  <c r="S350" i="4"/>
  <c r="T350" i="4"/>
  <c r="U350" i="4"/>
  <c r="J350" i="4"/>
  <c r="I350" i="4"/>
  <c r="E485" i="11" l="1"/>
  <c r="N484" i="11"/>
  <c r="O484" i="11"/>
  <c r="O684" i="11"/>
  <c r="N684" i="11"/>
  <c r="E585" i="11"/>
  <c r="E685" i="11"/>
  <c r="N584" i="11"/>
  <c r="O584" i="11"/>
  <c r="E390" i="11"/>
  <c r="N389" i="11"/>
  <c r="O389" i="11"/>
  <c r="V93" i="4"/>
  <c r="AO222" i="4"/>
  <c r="J93" i="4"/>
  <c r="R222" i="4"/>
  <c r="Q608" i="4"/>
  <c r="Q479" i="4"/>
  <c r="AN222" i="4"/>
  <c r="C93" i="4"/>
  <c r="Q350" i="4"/>
  <c r="AM608" i="4"/>
  <c r="M93" i="4"/>
  <c r="T93" i="4" s="1"/>
  <c r="AM479" i="4"/>
  <c r="I222" i="4"/>
  <c r="AM737" i="4"/>
  <c r="AM350" i="4"/>
  <c r="D93" i="4"/>
  <c r="I93" i="4"/>
  <c r="AE222" i="4"/>
  <c r="J222" i="4"/>
  <c r="S93" i="4"/>
  <c r="AQ222" i="4"/>
  <c r="S222" i="4"/>
  <c r="AP222" i="4"/>
  <c r="U222" i="4"/>
  <c r="O93" i="4"/>
  <c r="U93" i="4" s="1"/>
  <c r="T222" i="4"/>
  <c r="AF222" i="4"/>
  <c r="E391" i="11" l="1"/>
  <c r="N390" i="11"/>
  <c r="O390" i="11"/>
  <c r="E686" i="11"/>
  <c r="O685" i="11"/>
  <c r="N685" i="11"/>
  <c r="E586" i="11"/>
  <c r="N585" i="11"/>
  <c r="O585" i="11"/>
  <c r="E486" i="11"/>
  <c r="O485" i="11"/>
  <c r="N485" i="11"/>
  <c r="Q222" i="4"/>
  <c r="R93" i="4"/>
  <c r="Q93" i="4" s="1"/>
  <c r="AM222" i="4"/>
  <c r="G687" i="5"/>
  <c r="H687" i="5"/>
  <c r="I687" i="5"/>
  <c r="J687" i="5"/>
  <c r="K687" i="5"/>
  <c r="L687" i="5"/>
  <c r="Q687" i="5"/>
  <c r="R687" i="5"/>
  <c r="S687" i="5"/>
  <c r="T687" i="5"/>
  <c r="V687" i="5"/>
  <c r="G586" i="5"/>
  <c r="H586" i="5"/>
  <c r="I586" i="5"/>
  <c r="J586" i="5"/>
  <c r="K586" i="5"/>
  <c r="L586" i="5"/>
  <c r="Q586" i="5"/>
  <c r="R586" i="5"/>
  <c r="S586" i="5"/>
  <c r="T586" i="5"/>
  <c r="V586" i="5"/>
  <c r="G485" i="5"/>
  <c r="H485" i="5"/>
  <c r="I485" i="5"/>
  <c r="J485" i="5"/>
  <c r="K485" i="5"/>
  <c r="L485" i="5"/>
  <c r="Q485" i="5"/>
  <c r="R485" i="5"/>
  <c r="S485" i="5"/>
  <c r="T485" i="5"/>
  <c r="V485" i="5"/>
  <c r="G385" i="5"/>
  <c r="H385" i="5"/>
  <c r="I385" i="5"/>
  <c r="J385" i="5"/>
  <c r="K385" i="5"/>
  <c r="L385" i="5"/>
  <c r="Q385" i="5"/>
  <c r="R385" i="5"/>
  <c r="S385" i="5"/>
  <c r="T385" i="5"/>
  <c r="V385" i="5"/>
  <c r="G285" i="5"/>
  <c r="H285" i="5"/>
  <c r="I285" i="5"/>
  <c r="J285" i="5"/>
  <c r="K285" i="5"/>
  <c r="L285" i="5"/>
  <c r="Q285" i="5"/>
  <c r="R285" i="5"/>
  <c r="S285" i="5"/>
  <c r="T285" i="5"/>
  <c r="V285" i="5"/>
  <c r="G188" i="5"/>
  <c r="H188" i="5"/>
  <c r="I188" i="5"/>
  <c r="J188" i="5"/>
  <c r="K188" i="5"/>
  <c r="L188" i="5"/>
  <c r="Q188" i="5"/>
  <c r="R188" i="5"/>
  <c r="S188" i="5"/>
  <c r="T188" i="5"/>
  <c r="V188" i="5"/>
  <c r="G91" i="5"/>
  <c r="H91" i="5"/>
  <c r="I91" i="5"/>
  <c r="J91" i="5"/>
  <c r="K91" i="5"/>
  <c r="L91" i="5"/>
  <c r="Q91" i="5"/>
  <c r="R91" i="5"/>
  <c r="S91" i="5"/>
  <c r="T91" i="5"/>
  <c r="V91" i="5"/>
  <c r="E81" i="4"/>
  <c r="G81" i="4"/>
  <c r="N81" i="4"/>
  <c r="P81" i="4"/>
  <c r="E82" i="4"/>
  <c r="F82" i="4"/>
  <c r="G82" i="4"/>
  <c r="H82" i="4"/>
  <c r="N82" i="4"/>
  <c r="P82" i="4"/>
  <c r="E83" i="4"/>
  <c r="F83" i="4"/>
  <c r="G83" i="4"/>
  <c r="H83" i="4"/>
  <c r="N83" i="4"/>
  <c r="P83" i="4"/>
  <c r="E84" i="4"/>
  <c r="F84" i="4"/>
  <c r="G84" i="4"/>
  <c r="H84" i="4"/>
  <c r="N84" i="4"/>
  <c r="P84" i="4"/>
  <c r="E85" i="4"/>
  <c r="F85" i="4"/>
  <c r="G85" i="4"/>
  <c r="H85" i="4"/>
  <c r="N85" i="4"/>
  <c r="P85" i="4"/>
  <c r="E86" i="4"/>
  <c r="F86" i="4"/>
  <c r="G86" i="4"/>
  <c r="H86" i="4"/>
  <c r="N86" i="4"/>
  <c r="P86" i="4"/>
  <c r="E92" i="4"/>
  <c r="F92" i="4"/>
  <c r="G92" i="4"/>
  <c r="H92" i="4"/>
  <c r="N92" i="4"/>
  <c r="P92" i="4"/>
  <c r="C221" i="4"/>
  <c r="D221" i="4"/>
  <c r="E221" i="4"/>
  <c r="F221" i="4"/>
  <c r="G221" i="4"/>
  <c r="H221" i="4"/>
  <c r="M221" i="4"/>
  <c r="N221" i="4"/>
  <c r="O221" i="4"/>
  <c r="P221" i="4"/>
  <c r="V221" i="4"/>
  <c r="AR221" i="4"/>
  <c r="Y221" i="4"/>
  <c r="Z221" i="4"/>
  <c r="AA221" i="4"/>
  <c r="AB221" i="4"/>
  <c r="AC221" i="4"/>
  <c r="AD221" i="4"/>
  <c r="AI221" i="4"/>
  <c r="AJ221" i="4"/>
  <c r="AK221" i="4"/>
  <c r="AL221" i="4"/>
  <c r="AN736" i="4"/>
  <c r="AO736" i="4"/>
  <c r="AP736" i="4"/>
  <c r="AQ736" i="4"/>
  <c r="AE736" i="4"/>
  <c r="AF736" i="4"/>
  <c r="AN607" i="4"/>
  <c r="AO607" i="4"/>
  <c r="AP607" i="4"/>
  <c r="AQ607" i="4"/>
  <c r="AE607" i="4"/>
  <c r="AF607" i="4"/>
  <c r="AE478" i="4"/>
  <c r="AF478" i="4"/>
  <c r="AN478" i="4"/>
  <c r="AO478" i="4"/>
  <c r="AP478" i="4"/>
  <c r="AQ478" i="4"/>
  <c r="AN349" i="4"/>
  <c r="AO349" i="4"/>
  <c r="AP349" i="4"/>
  <c r="AQ349" i="4"/>
  <c r="AE349" i="4"/>
  <c r="AF349" i="4"/>
  <c r="U607" i="4"/>
  <c r="T607" i="4"/>
  <c r="S607" i="4"/>
  <c r="R607" i="4"/>
  <c r="I607" i="4"/>
  <c r="J607" i="4"/>
  <c r="I478" i="4"/>
  <c r="J478" i="4"/>
  <c r="R478" i="4"/>
  <c r="S478" i="4"/>
  <c r="T478" i="4"/>
  <c r="U478" i="4"/>
  <c r="T349" i="4"/>
  <c r="S349" i="4"/>
  <c r="R349" i="4"/>
  <c r="U349" i="4"/>
  <c r="J349" i="4"/>
  <c r="I349" i="4"/>
  <c r="E487" i="11" l="1"/>
  <c r="N486" i="11"/>
  <c r="O486" i="11"/>
  <c r="E587" i="11"/>
  <c r="N586" i="11"/>
  <c r="O586" i="11"/>
  <c r="E687" i="11"/>
  <c r="N686" i="11"/>
  <c r="O686" i="11"/>
  <c r="O391" i="11"/>
  <c r="N391" i="11"/>
  <c r="Q478" i="4"/>
  <c r="AM349" i="4"/>
  <c r="C92" i="4"/>
  <c r="AQ221" i="4"/>
  <c r="AN221" i="4"/>
  <c r="S221" i="4"/>
  <c r="S92" i="4"/>
  <c r="V92" i="4"/>
  <c r="AM736" i="4"/>
  <c r="T221" i="4"/>
  <c r="I221" i="4"/>
  <c r="Q607" i="4"/>
  <c r="U221" i="4"/>
  <c r="D92" i="4"/>
  <c r="O92" i="4"/>
  <c r="U92" i="4" s="1"/>
  <c r="Q349" i="4"/>
  <c r="J221" i="4"/>
  <c r="M92" i="4"/>
  <c r="T92" i="4" s="1"/>
  <c r="AM607" i="4"/>
  <c r="AE221" i="4"/>
  <c r="I92" i="4"/>
  <c r="R221" i="4"/>
  <c r="Q221" i="4" s="1"/>
  <c r="AO221" i="4"/>
  <c r="AM478" i="4"/>
  <c r="M485" i="5"/>
  <c r="M687" i="5"/>
  <c r="M91" i="5"/>
  <c r="M188" i="5"/>
  <c r="M385" i="5"/>
  <c r="M285" i="5"/>
  <c r="M586" i="5"/>
  <c r="N91" i="5"/>
  <c r="N485" i="5"/>
  <c r="N188" i="5"/>
  <c r="N385" i="5"/>
  <c r="N285" i="5"/>
  <c r="N586" i="5"/>
  <c r="S86" i="4"/>
  <c r="S82" i="4"/>
  <c r="S84" i="4"/>
  <c r="S85" i="4"/>
  <c r="S83" i="4"/>
  <c r="AP221" i="4"/>
  <c r="J92" i="4"/>
  <c r="AF221" i="4"/>
  <c r="N687" i="5"/>
  <c r="Y687" i="5"/>
  <c r="Y586" i="5"/>
  <c r="Y485" i="5"/>
  <c r="Y385" i="5"/>
  <c r="Y285" i="5"/>
  <c r="Y188" i="5"/>
  <c r="Y91" i="5"/>
  <c r="E688" i="11" l="1"/>
  <c r="O687" i="11"/>
  <c r="N687" i="11"/>
  <c r="E588" i="11"/>
  <c r="N587" i="11"/>
  <c r="O587" i="11"/>
  <c r="E488" i="11"/>
  <c r="N487" i="11"/>
  <c r="O487" i="11"/>
  <c r="AM221" i="4"/>
  <c r="R92" i="4"/>
  <c r="Q92" i="4" s="1"/>
  <c r="G90" i="5"/>
  <c r="H90" i="5"/>
  <c r="I90" i="5"/>
  <c r="J90" i="5"/>
  <c r="K90" i="5"/>
  <c r="L90" i="5"/>
  <c r="Q90" i="5"/>
  <c r="R90" i="5"/>
  <c r="S90" i="5"/>
  <c r="T90" i="5"/>
  <c r="V90" i="5"/>
  <c r="G187" i="5"/>
  <c r="H187" i="5"/>
  <c r="I187" i="5"/>
  <c r="J187" i="5"/>
  <c r="K187" i="5"/>
  <c r="L187" i="5"/>
  <c r="Q187" i="5"/>
  <c r="R187" i="5"/>
  <c r="S187" i="5"/>
  <c r="T187" i="5"/>
  <c r="V187" i="5"/>
  <c r="G284" i="5"/>
  <c r="H284" i="5"/>
  <c r="I284" i="5"/>
  <c r="J284" i="5"/>
  <c r="K284" i="5"/>
  <c r="L284" i="5"/>
  <c r="Q284" i="5"/>
  <c r="R284" i="5"/>
  <c r="S284" i="5"/>
  <c r="T284" i="5"/>
  <c r="V284" i="5"/>
  <c r="G384" i="5"/>
  <c r="H384" i="5"/>
  <c r="I384" i="5"/>
  <c r="J384" i="5"/>
  <c r="K384" i="5"/>
  <c r="L384" i="5"/>
  <c r="Q384" i="5"/>
  <c r="R384" i="5"/>
  <c r="S384" i="5"/>
  <c r="T384" i="5"/>
  <c r="V384" i="5"/>
  <c r="G383" i="5"/>
  <c r="H383" i="5"/>
  <c r="I383" i="5"/>
  <c r="J383" i="5"/>
  <c r="K383" i="5"/>
  <c r="L383" i="5"/>
  <c r="Q383" i="5"/>
  <c r="R383" i="5"/>
  <c r="S383" i="5"/>
  <c r="T383" i="5"/>
  <c r="V383" i="5"/>
  <c r="G484" i="5"/>
  <c r="H484" i="5"/>
  <c r="I484" i="5"/>
  <c r="J484" i="5"/>
  <c r="K484" i="5"/>
  <c r="L484" i="5"/>
  <c r="Q484" i="5"/>
  <c r="R484" i="5"/>
  <c r="S484" i="5"/>
  <c r="T484" i="5"/>
  <c r="V484" i="5"/>
  <c r="G585" i="5"/>
  <c r="H585" i="5"/>
  <c r="I585" i="5"/>
  <c r="J585" i="5"/>
  <c r="K585" i="5"/>
  <c r="L585" i="5"/>
  <c r="Q585" i="5"/>
  <c r="R585" i="5"/>
  <c r="S585" i="5"/>
  <c r="T585" i="5"/>
  <c r="V585" i="5"/>
  <c r="G686" i="5"/>
  <c r="H686" i="5"/>
  <c r="I686" i="5"/>
  <c r="J686" i="5"/>
  <c r="K686" i="5"/>
  <c r="L686" i="5"/>
  <c r="Q686" i="5"/>
  <c r="R686" i="5"/>
  <c r="S686" i="5"/>
  <c r="T686" i="5"/>
  <c r="V686" i="5"/>
  <c r="E91" i="4"/>
  <c r="F91" i="4"/>
  <c r="G91" i="4"/>
  <c r="H91" i="4"/>
  <c r="N91" i="4"/>
  <c r="P91" i="4"/>
  <c r="C220" i="4"/>
  <c r="D220" i="4"/>
  <c r="E220" i="4"/>
  <c r="F220" i="4"/>
  <c r="G220" i="4"/>
  <c r="H220" i="4"/>
  <c r="M220" i="4"/>
  <c r="N220" i="4"/>
  <c r="O220" i="4"/>
  <c r="P220" i="4"/>
  <c r="V220" i="4"/>
  <c r="AA220" i="4"/>
  <c r="AB220" i="4"/>
  <c r="AC220" i="4"/>
  <c r="AD220" i="4"/>
  <c r="AI220" i="4"/>
  <c r="AJ220" i="4"/>
  <c r="AK220" i="4"/>
  <c r="AL220" i="4"/>
  <c r="AR220" i="4"/>
  <c r="Z220" i="4"/>
  <c r="Y220" i="4"/>
  <c r="AE735" i="4"/>
  <c r="AF735" i="4"/>
  <c r="AN735" i="4"/>
  <c r="AO735" i="4"/>
  <c r="AP735" i="4"/>
  <c r="AQ735" i="4"/>
  <c r="AN606" i="4"/>
  <c r="AO606" i="4"/>
  <c r="AP606" i="4"/>
  <c r="AQ606" i="4"/>
  <c r="AE606" i="4"/>
  <c r="AF606" i="4"/>
  <c r="AE477" i="4"/>
  <c r="AF477" i="4"/>
  <c r="AN477" i="4"/>
  <c r="AO477" i="4"/>
  <c r="AP477" i="4"/>
  <c r="AQ477" i="4"/>
  <c r="AN348" i="4"/>
  <c r="AO348" i="4"/>
  <c r="AP348" i="4"/>
  <c r="AQ348" i="4"/>
  <c r="AE348" i="4"/>
  <c r="AF348" i="4"/>
  <c r="R606" i="4"/>
  <c r="S606" i="4"/>
  <c r="T606" i="4"/>
  <c r="U606" i="4"/>
  <c r="I606" i="4"/>
  <c r="J606" i="4"/>
  <c r="I477" i="4"/>
  <c r="J477" i="4"/>
  <c r="R477" i="4"/>
  <c r="S477" i="4"/>
  <c r="T477" i="4"/>
  <c r="U477" i="4"/>
  <c r="R348" i="4"/>
  <c r="S348" i="4"/>
  <c r="T348" i="4"/>
  <c r="U348" i="4"/>
  <c r="I348" i="4"/>
  <c r="J348" i="4"/>
  <c r="G685" i="5"/>
  <c r="H685" i="5"/>
  <c r="I685" i="5"/>
  <c r="J685" i="5"/>
  <c r="K685" i="5"/>
  <c r="L685" i="5"/>
  <c r="Q685" i="5"/>
  <c r="R685" i="5"/>
  <c r="S685" i="5"/>
  <c r="T685" i="5"/>
  <c r="V685" i="5"/>
  <c r="G684" i="5"/>
  <c r="H684" i="5"/>
  <c r="I684" i="5"/>
  <c r="J684" i="5"/>
  <c r="K684" i="5"/>
  <c r="L684" i="5"/>
  <c r="Q684" i="5"/>
  <c r="R684" i="5"/>
  <c r="S684" i="5"/>
  <c r="T684" i="5"/>
  <c r="V684" i="5"/>
  <c r="G483" i="5"/>
  <c r="H483" i="5"/>
  <c r="I483" i="5"/>
  <c r="J483" i="5"/>
  <c r="K483" i="5"/>
  <c r="L483" i="5"/>
  <c r="Q483" i="5"/>
  <c r="R483" i="5"/>
  <c r="S483" i="5"/>
  <c r="T483" i="5"/>
  <c r="V483" i="5"/>
  <c r="G283" i="5"/>
  <c r="H283" i="5"/>
  <c r="I283" i="5"/>
  <c r="J283" i="5"/>
  <c r="K283" i="5"/>
  <c r="L283" i="5"/>
  <c r="Q283" i="5"/>
  <c r="R283" i="5"/>
  <c r="S283" i="5"/>
  <c r="T283" i="5"/>
  <c r="V283" i="5"/>
  <c r="G186" i="5"/>
  <c r="H186" i="5"/>
  <c r="I186" i="5"/>
  <c r="J186" i="5"/>
  <c r="K186" i="5"/>
  <c r="L186" i="5"/>
  <c r="Q186" i="5"/>
  <c r="R186" i="5"/>
  <c r="S186" i="5"/>
  <c r="T186" i="5"/>
  <c r="V186" i="5"/>
  <c r="G89" i="5"/>
  <c r="H89" i="5"/>
  <c r="I89" i="5"/>
  <c r="J89" i="5"/>
  <c r="K89" i="5"/>
  <c r="L89" i="5"/>
  <c r="Q89" i="5"/>
  <c r="R89" i="5"/>
  <c r="S89" i="5"/>
  <c r="T89" i="5"/>
  <c r="V89" i="5"/>
  <c r="G584" i="5"/>
  <c r="H584" i="5"/>
  <c r="I584" i="5"/>
  <c r="J584" i="5"/>
  <c r="K584" i="5"/>
  <c r="L584" i="5"/>
  <c r="Q584" i="5"/>
  <c r="R584" i="5"/>
  <c r="S584" i="5"/>
  <c r="T584" i="5"/>
  <c r="V584" i="5"/>
  <c r="E90" i="4"/>
  <c r="F90" i="4"/>
  <c r="G90" i="4"/>
  <c r="H90" i="4"/>
  <c r="N90" i="4"/>
  <c r="P90" i="4"/>
  <c r="C219" i="4"/>
  <c r="D219" i="4"/>
  <c r="E219" i="4"/>
  <c r="F219" i="4"/>
  <c r="G219" i="4"/>
  <c r="H219" i="4"/>
  <c r="M219" i="4"/>
  <c r="N219" i="4"/>
  <c r="O219" i="4"/>
  <c r="P219" i="4"/>
  <c r="V219" i="4"/>
  <c r="Y219" i="4"/>
  <c r="Z219" i="4"/>
  <c r="AA219" i="4"/>
  <c r="AB219" i="4"/>
  <c r="AC219" i="4"/>
  <c r="AD219" i="4"/>
  <c r="AI219" i="4"/>
  <c r="AJ219" i="4"/>
  <c r="AK219" i="4"/>
  <c r="AL219" i="4"/>
  <c r="AR219" i="4"/>
  <c r="AE734" i="4"/>
  <c r="AF734" i="4"/>
  <c r="AQ734" i="4"/>
  <c r="AP734" i="4"/>
  <c r="AO734" i="4"/>
  <c r="AN734" i="4"/>
  <c r="AQ605" i="4"/>
  <c r="AP605" i="4"/>
  <c r="AO605" i="4"/>
  <c r="AN605" i="4"/>
  <c r="AE605" i="4"/>
  <c r="AF605" i="4"/>
  <c r="AE476" i="4"/>
  <c r="AF476" i="4"/>
  <c r="AN476" i="4"/>
  <c r="AO476" i="4"/>
  <c r="AP476" i="4"/>
  <c r="AQ476" i="4"/>
  <c r="AN347" i="4"/>
  <c r="AO347" i="4"/>
  <c r="AP347" i="4"/>
  <c r="AQ347" i="4"/>
  <c r="AE347" i="4"/>
  <c r="AF347" i="4"/>
  <c r="I605" i="4"/>
  <c r="J605" i="4"/>
  <c r="R605" i="4"/>
  <c r="S605" i="4"/>
  <c r="T605" i="4"/>
  <c r="U605" i="4"/>
  <c r="R476" i="4"/>
  <c r="S476" i="4"/>
  <c r="T476" i="4"/>
  <c r="U476" i="4"/>
  <c r="I476" i="4"/>
  <c r="J476" i="4"/>
  <c r="U347" i="4"/>
  <c r="T347" i="4"/>
  <c r="S347" i="4"/>
  <c r="R347" i="4"/>
  <c r="J347" i="4"/>
  <c r="I347" i="4"/>
  <c r="E489" i="11" l="1"/>
  <c r="N488" i="11"/>
  <c r="O488" i="11"/>
  <c r="O588" i="11"/>
  <c r="E589" i="11"/>
  <c r="N588" i="11"/>
  <c r="O688" i="11"/>
  <c r="E689" i="11"/>
  <c r="N688" i="11"/>
  <c r="S220" i="4"/>
  <c r="AP220" i="4"/>
  <c r="Q348" i="4"/>
  <c r="U220" i="4"/>
  <c r="AM348" i="4"/>
  <c r="AM735" i="4"/>
  <c r="J91" i="4"/>
  <c r="AM606" i="4"/>
  <c r="AN220" i="4"/>
  <c r="V91" i="4"/>
  <c r="I220" i="4"/>
  <c r="S219" i="4"/>
  <c r="AQ219" i="4"/>
  <c r="AF220" i="4"/>
  <c r="C91" i="4"/>
  <c r="V90" i="4"/>
  <c r="M91" i="4"/>
  <c r="T91" i="4" s="1"/>
  <c r="Q347" i="4"/>
  <c r="U219" i="4"/>
  <c r="R219" i="4"/>
  <c r="S90" i="4"/>
  <c r="AO219" i="4"/>
  <c r="Y90" i="5"/>
  <c r="AE219" i="4"/>
  <c r="O91" i="4"/>
  <c r="U91" i="4" s="1"/>
  <c r="I91" i="4"/>
  <c r="AE220" i="4"/>
  <c r="AP219" i="4"/>
  <c r="T220" i="4"/>
  <c r="N90" i="5"/>
  <c r="I219" i="4"/>
  <c r="J90" i="4"/>
  <c r="J219" i="4"/>
  <c r="AM605" i="4"/>
  <c r="AF219" i="4"/>
  <c r="O90" i="4"/>
  <c r="C90" i="4"/>
  <c r="J220" i="4"/>
  <c r="S91" i="4"/>
  <c r="M90" i="5"/>
  <c r="R220" i="4"/>
  <c r="I90" i="4"/>
  <c r="D91" i="4"/>
  <c r="Q476" i="4"/>
  <c r="T219" i="4"/>
  <c r="M90" i="4"/>
  <c r="AN219" i="4"/>
  <c r="AM734" i="4"/>
  <c r="AM347" i="4"/>
  <c r="D90" i="4"/>
  <c r="Q606" i="4"/>
  <c r="AQ220" i="4"/>
  <c r="AO220" i="4"/>
  <c r="N187" i="5"/>
  <c r="M584" i="5"/>
  <c r="M187" i="5"/>
  <c r="Y187" i="5"/>
  <c r="N284" i="5"/>
  <c r="M284" i="5"/>
  <c r="Y284" i="5"/>
  <c r="N384" i="5"/>
  <c r="M384" i="5"/>
  <c r="Y384" i="5"/>
  <c r="M483" i="5"/>
  <c r="N484" i="5"/>
  <c r="M484" i="5"/>
  <c r="M186" i="5"/>
  <c r="N585" i="5"/>
  <c r="M685" i="5"/>
  <c r="N383" i="5"/>
  <c r="M383" i="5"/>
  <c r="Y383" i="5"/>
  <c r="Y484" i="5"/>
  <c r="M283" i="5"/>
  <c r="M686" i="5"/>
  <c r="M89" i="5"/>
  <c r="N186" i="5"/>
  <c r="N684" i="5"/>
  <c r="Y585" i="5"/>
  <c r="M585" i="5"/>
  <c r="M684" i="5"/>
  <c r="N89" i="5"/>
  <c r="N584" i="5"/>
  <c r="N685" i="5"/>
  <c r="N483" i="5"/>
  <c r="N686" i="5"/>
  <c r="N283" i="5"/>
  <c r="Y686" i="5"/>
  <c r="AM477" i="4"/>
  <c r="Q477" i="4"/>
  <c r="Y685" i="5"/>
  <c r="Y684" i="5"/>
  <c r="Y483" i="5"/>
  <c r="Y283" i="5"/>
  <c r="Y186" i="5"/>
  <c r="Y89" i="5"/>
  <c r="Y584" i="5"/>
  <c r="AM476" i="4"/>
  <c r="Q605" i="4"/>
  <c r="E690" i="11" l="1"/>
  <c r="O689" i="11"/>
  <c r="N689" i="11"/>
  <c r="O589" i="11"/>
  <c r="N589" i="11"/>
  <c r="E590" i="11"/>
  <c r="E490" i="11"/>
  <c r="N489" i="11"/>
  <c r="O489" i="11"/>
  <c r="Q220" i="4"/>
  <c r="AM220" i="4"/>
  <c r="AM219" i="4"/>
  <c r="Q219" i="4"/>
  <c r="R91" i="4"/>
  <c r="Q91" i="4" s="1"/>
  <c r="U90" i="4"/>
  <c r="R90" i="4"/>
  <c r="Q90" i="4" s="1"/>
  <c r="T90" i="4"/>
  <c r="E89" i="4"/>
  <c r="F89" i="4"/>
  <c r="G89" i="4"/>
  <c r="H89" i="4"/>
  <c r="N89" i="4"/>
  <c r="P89" i="4"/>
  <c r="Y218" i="4"/>
  <c r="Z218" i="4"/>
  <c r="AA218" i="4"/>
  <c r="AB218" i="4"/>
  <c r="AC218" i="4"/>
  <c r="AD218" i="4"/>
  <c r="AI218" i="4"/>
  <c r="AJ218" i="4"/>
  <c r="AK218" i="4"/>
  <c r="AL218" i="4"/>
  <c r="AR218" i="4"/>
  <c r="C218" i="4"/>
  <c r="D218" i="4"/>
  <c r="E218" i="4"/>
  <c r="F218" i="4"/>
  <c r="G218" i="4"/>
  <c r="H218" i="4"/>
  <c r="M218" i="4"/>
  <c r="N218" i="4"/>
  <c r="O218" i="4"/>
  <c r="P218" i="4"/>
  <c r="V218" i="4"/>
  <c r="G583" i="5"/>
  <c r="H583" i="5"/>
  <c r="I583" i="5"/>
  <c r="J583" i="5"/>
  <c r="K583" i="5"/>
  <c r="L583" i="5"/>
  <c r="Q583" i="5"/>
  <c r="R583" i="5"/>
  <c r="S583" i="5"/>
  <c r="T583" i="5"/>
  <c r="V583" i="5"/>
  <c r="G482" i="5"/>
  <c r="H482" i="5"/>
  <c r="I482" i="5"/>
  <c r="J482" i="5"/>
  <c r="K482" i="5"/>
  <c r="L482" i="5"/>
  <c r="Q482" i="5"/>
  <c r="R482" i="5"/>
  <c r="S482" i="5"/>
  <c r="T482" i="5"/>
  <c r="V482" i="5"/>
  <c r="G382" i="5"/>
  <c r="H382" i="5"/>
  <c r="I382" i="5"/>
  <c r="J382" i="5"/>
  <c r="K382" i="5"/>
  <c r="L382" i="5"/>
  <c r="Q382" i="5"/>
  <c r="R382" i="5"/>
  <c r="S382" i="5"/>
  <c r="T382" i="5"/>
  <c r="V382" i="5"/>
  <c r="G282" i="5"/>
  <c r="H282" i="5"/>
  <c r="I282" i="5"/>
  <c r="J282" i="5"/>
  <c r="K282" i="5"/>
  <c r="L282" i="5"/>
  <c r="Q282" i="5"/>
  <c r="R282" i="5"/>
  <c r="S282" i="5"/>
  <c r="T282" i="5"/>
  <c r="V282" i="5"/>
  <c r="G185" i="5"/>
  <c r="H185" i="5"/>
  <c r="I185" i="5"/>
  <c r="J185" i="5"/>
  <c r="K185" i="5"/>
  <c r="L185" i="5"/>
  <c r="Q185" i="5"/>
  <c r="R185" i="5"/>
  <c r="S185" i="5"/>
  <c r="T185" i="5"/>
  <c r="V185" i="5"/>
  <c r="F88" i="5"/>
  <c r="G88" i="5"/>
  <c r="H88" i="5"/>
  <c r="I88" i="5"/>
  <c r="J88" i="5"/>
  <c r="K88" i="5"/>
  <c r="L88" i="5"/>
  <c r="Q88" i="5"/>
  <c r="R88" i="5"/>
  <c r="S88" i="5"/>
  <c r="T88" i="5"/>
  <c r="V88" i="5"/>
  <c r="AN733" i="4"/>
  <c r="AO733" i="4"/>
  <c r="AP733" i="4"/>
  <c r="AQ733" i="4"/>
  <c r="AF733" i="4"/>
  <c r="AE733" i="4"/>
  <c r="AN604" i="4"/>
  <c r="AO604" i="4"/>
  <c r="AP604" i="4"/>
  <c r="AQ604" i="4"/>
  <c r="AF604" i="4"/>
  <c r="AE604" i="4"/>
  <c r="AE475" i="4"/>
  <c r="AF475" i="4"/>
  <c r="AN475" i="4"/>
  <c r="AO475" i="4"/>
  <c r="AP475" i="4"/>
  <c r="AQ475" i="4"/>
  <c r="AQ346" i="4"/>
  <c r="AP346" i="4"/>
  <c r="AO346" i="4"/>
  <c r="AN346" i="4"/>
  <c r="AF346" i="4"/>
  <c r="AE346" i="4"/>
  <c r="T604" i="4"/>
  <c r="S604" i="4"/>
  <c r="R604" i="4"/>
  <c r="U604" i="4"/>
  <c r="J604" i="4"/>
  <c r="I604" i="4"/>
  <c r="I475" i="4"/>
  <c r="J475" i="4"/>
  <c r="K474" i="4"/>
  <c r="R475" i="4"/>
  <c r="S475" i="4"/>
  <c r="T475" i="4"/>
  <c r="U475" i="4"/>
  <c r="T346" i="4"/>
  <c r="S346" i="4"/>
  <c r="R346" i="4"/>
  <c r="U346" i="4"/>
  <c r="J346" i="4"/>
  <c r="I346" i="4"/>
  <c r="O590" i="11" l="1"/>
  <c r="E591" i="11"/>
  <c r="N590" i="11"/>
  <c r="E491" i="11"/>
  <c r="O490" i="11"/>
  <c r="N490" i="11"/>
  <c r="E691" i="11"/>
  <c r="N690" i="11"/>
  <c r="O690" i="11"/>
  <c r="Q604" i="4"/>
  <c r="AP218" i="4"/>
  <c r="AM346" i="4"/>
  <c r="V89" i="4"/>
  <c r="M89" i="4"/>
  <c r="T89" i="4" s="1"/>
  <c r="D89" i="4"/>
  <c r="S89" i="4"/>
  <c r="T218" i="4"/>
  <c r="AF218" i="4"/>
  <c r="I218" i="4"/>
  <c r="AM604" i="4"/>
  <c r="AN218" i="4"/>
  <c r="J218" i="4"/>
  <c r="AE218" i="4"/>
  <c r="J89" i="4"/>
  <c r="O89" i="4"/>
  <c r="U89" i="4" s="1"/>
  <c r="R218" i="4"/>
  <c r="Q346" i="4"/>
  <c r="C89" i="4"/>
  <c r="I89" i="4"/>
  <c r="AM733" i="4"/>
  <c r="U218" i="4"/>
  <c r="S218" i="4"/>
  <c r="AQ218" i="4"/>
  <c r="AO218" i="4"/>
  <c r="M482" i="5"/>
  <c r="M583" i="5"/>
  <c r="M382" i="5"/>
  <c r="P88" i="5"/>
  <c r="F89" i="5"/>
  <c r="F90" i="5" s="1"/>
  <c r="F91" i="5" s="1"/>
  <c r="F92" i="5" s="1"/>
  <c r="N583" i="5"/>
  <c r="Y583" i="5"/>
  <c r="N482" i="5"/>
  <c r="M282" i="5"/>
  <c r="M88" i="5"/>
  <c r="Y482" i="5"/>
  <c r="N382" i="5"/>
  <c r="M185" i="5"/>
  <c r="Y382" i="5"/>
  <c r="N282" i="5"/>
  <c r="Y88" i="5"/>
  <c r="N88" i="5"/>
  <c r="Y282" i="5"/>
  <c r="N185" i="5"/>
  <c r="F185" i="5"/>
  <c r="Y185" i="5"/>
  <c r="O88" i="5"/>
  <c r="AM475" i="4"/>
  <c r="Q475" i="4"/>
  <c r="O491" i="11" l="1"/>
  <c r="N491" i="11"/>
  <c r="E692" i="11"/>
  <c r="N691" i="11"/>
  <c r="O691" i="11"/>
  <c r="E592" i="11"/>
  <c r="O591" i="11"/>
  <c r="N591" i="11"/>
  <c r="O92" i="5"/>
  <c r="P92" i="5"/>
  <c r="F93" i="5"/>
  <c r="F94" i="5" s="1"/>
  <c r="F95" i="5" s="1"/>
  <c r="F96" i="5" s="1"/>
  <c r="O91" i="5"/>
  <c r="P91" i="5"/>
  <c r="R89" i="4"/>
  <c r="Q89" i="4" s="1"/>
  <c r="AM218" i="4"/>
  <c r="Q218" i="4"/>
  <c r="O90" i="5"/>
  <c r="P90" i="5"/>
  <c r="O89" i="5"/>
  <c r="F186" i="5"/>
  <c r="F187" i="5" s="1"/>
  <c r="F188" i="5" s="1"/>
  <c r="F189" i="5" s="1"/>
  <c r="P89" i="5"/>
  <c r="P185" i="5"/>
  <c r="F282" i="5"/>
  <c r="O185" i="5"/>
  <c r="O592" i="11" l="1"/>
  <c r="N592" i="11"/>
  <c r="N692" i="11"/>
  <c r="O692" i="11"/>
  <c r="F97" i="5"/>
  <c r="P96" i="5"/>
  <c r="O96" i="5"/>
  <c r="O95" i="5"/>
  <c r="P95" i="5"/>
  <c r="P94" i="5"/>
  <c r="O94" i="5"/>
  <c r="O93" i="5"/>
  <c r="P93" i="5"/>
  <c r="F190" i="5"/>
  <c r="F191" i="5" s="1"/>
  <c r="F192" i="5" s="1"/>
  <c r="F193" i="5" s="1"/>
  <c r="O189" i="5"/>
  <c r="P189" i="5"/>
  <c r="P188" i="5"/>
  <c r="O188" i="5"/>
  <c r="O187" i="5"/>
  <c r="P187" i="5"/>
  <c r="O186" i="5"/>
  <c r="F283" i="5"/>
  <c r="F284" i="5" s="1"/>
  <c r="F285" i="5" s="1"/>
  <c r="F286" i="5" s="1"/>
  <c r="P186" i="5"/>
  <c r="O282" i="5"/>
  <c r="P282" i="5"/>
  <c r="F194" i="5" l="1"/>
  <c r="P193" i="5"/>
  <c r="O193" i="5"/>
  <c r="O97" i="5"/>
  <c r="P97" i="5"/>
  <c r="O192" i="5"/>
  <c r="P192" i="5"/>
  <c r="P191" i="5"/>
  <c r="O191" i="5"/>
  <c r="O190" i="5"/>
  <c r="P190" i="5"/>
  <c r="F287" i="5"/>
  <c r="O286" i="5"/>
  <c r="P286" i="5"/>
  <c r="O285" i="5"/>
  <c r="P285" i="5"/>
  <c r="P284" i="5"/>
  <c r="O284" i="5"/>
  <c r="P283" i="5"/>
  <c r="O283" i="5"/>
  <c r="AG732" i="4"/>
  <c r="AG603" i="4"/>
  <c r="AG345" i="4"/>
  <c r="K603" i="4"/>
  <c r="K345" i="4"/>
  <c r="G674" i="5"/>
  <c r="H674" i="5"/>
  <c r="I674" i="5"/>
  <c r="J674" i="5"/>
  <c r="K674" i="5"/>
  <c r="L674" i="5"/>
  <c r="Q674" i="5"/>
  <c r="R674" i="5"/>
  <c r="S674" i="5"/>
  <c r="T674" i="5"/>
  <c r="V674" i="5"/>
  <c r="G675" i="5"/>
  <c r="H675" i="5"/>
  <c r="I675" i="5"/>
  <c r="J675" i="5"/>
  <c r="K675" i="5"/>
  <c r="L675" i="5"/>
  <c r="Q675" i="5"/>
  <c r="R675" i="5"/>
  <c r="S675" i="5"/>
  <c r="T675" i="5"/>
  <c r="V675" i="5"/>
  <c r="G676" i="5"/>
  <c r="H676" i="5"/>
  <c r="I676" i="5"/>
  <c r="K676" i="5"/>
  <c r="Q676" i="5"/>
  <c r="R676" i="5"/>
  <c r="S676" i="5"/>
  <c r="T676" i="5"/>
  <c r="V676" i="5"/>
  <c r="G677" i="5"/>
  <c r="I677" i="5"/>
  <c r="J677" i="5"/>
  <c r="K677" i="5"/>
  <c r="L677" i="5"/>
  <c r="Q677" i="5"/>
  <c r="R677" i="5"/>
  <c r="S677" i="5"/>
  <c r="T677" i="5"/>
  <c r="V677" i="5"/>
  <c r="G678" i="5"/>
  <c r="I678" i="5"/>
  <c r="J678" i="5"/>
  <c r="K678" i="5"/>
  <c r="L678" i="5"/>
  <c r="Q678" i="5"/>
  <c r="R678" i="5"/>
  <c r="S678" i="5"/>
  <c r="T678" i="5"/>
  <c r="V678" i="5"/>
  <c r="G679" i="5"/>
  <c r="I679" i="5"/>
  <c r="J679" i="5"/>
  <c r="K679" i="5"/>
  <c r="L679" i="5"/>
  <c r="Q679" i="5"/>
  <c r="R679" i="5"/>
  <c r="S679" i="5"/>
  <c r="T679" i="5"/>
  <c r="V679" i="5"/>
  <c r="G680" i="5"/>
  <c r="H680" i="5"/>
  <c r="I680" i="5"/>
  <c r="J680" i="5"/>
  <c r="K680" i="5"/>
  <c r="L680" i="5"/>
  <c r="Q680" i="5"/>
  <c r="R680" i="5"/>
  <c r="S680" i="5"/>
  <c r="T680" i="5"/>
  <c r="V680" i="5"/>
  <c r="G681" i="5"/>
  <c r="H681" i="5"/>
  <c r="I681" i="5"/>
  <c r="J681" i="5"/>
  <c r="K681" i="5"/>
  <c r="L681" i="5"/>
  <c r="Q681" i="5"/>
  <c r="R681" i="5"/>
  <c r="S681" i="5"/>
  <c r="T681" i="5"/>
  <c r="V681" i="5"/>
  <c r="G682" i="5"/>
  <c r="H682" i="5"/>
  <c r="I682" i="5"/>
  <c r="J682" i="5"/>
  <c r="K682" i="5"/>
  <c r="L682" i="5"/>
  <c r="Q682" i="5"/>
  <c r="R682" i="5"/>
  <c r="S682" i="5"/>
  <c r="T682" i="5"/>
  <c r="V682" i="5"/>
  <c r="G683" i="5"/>
  <c r="H683" i="5"/>
  <c r="I683" i="5"/>
  <c r="J683" i="5"/>
  <c r="K683" i="5"/>
  <c r="L683" i="5"/>
  <c r="Q683" i="5"/>
  <c r="R683" i="5"/>
  <c r="S683" i="5"/>
  <c r="T683" i="5"/>
  <c r="V683" i="5"/>
  <c r="F672" i="5"/>
  <c r="G573" i="5"/>
  <c r="H573" i="5"/>
  <c r="I573" i="5"/>
  <c r="J573" i="5"/>
  <c r="K573" i="5"/>
  <c r="L573" i="5"/>
  <c r="Q573" i="5"/>
  <c r="R573" i="5"/>
  <c r="S573" i="5"/>
  <c r="T573" i="5"/>
  <c r="V573" i="5"/>
  <c r="G574" i="5"/>
  <c r="H574" i="5"/>
  <c r="I574" i="5"/>
  <c r="J574" i="5"/>
  <c r="K574" i="5"/>
  <c r="L574" i="5"/>
  <c r="Q574" i="5"/>
  <c r="R574" i="5"/>
  <c r="S574" i="5"/>
  <c r="T574" i="5"/>
  <c r="V574" i="5"/>
  <c r="G575" i="5"/>
  <c r="H575" i="5"/>
  <c r="I575" i="5"/>
  <c r="J575" i="5"/>
  <c r="K575" i="5"/>
  <c r="L575" i="5"/>
  <c r="Q575" i="5"/>
  <c r="R575" i="5"/>
  <c r="S575" i="5"/>
  <c r="T575" i="5"/>
  <c r="V575" i="5"/>
  <c r="G576" i="5"/>
  <c r="I576" i="5"/>
  <c r="J576" i="5"/>
  <c r="K576" i="5"/>
  <c r="L576" i="5"/>
  <c r="Q576" i="5"/>
  <c r="R576" i="5"/>
  <c r="S576" i="5"/>
  <c r="T576" i="5"/>
  <c r="V576" i="5"/>
  <c r="G577" i="5"/>
  <c r="I577" i="5"/>
  <c r="J577" i="5"/>
  <c r="K577" i="5"/>
  <c r="L577" i="5"/>
  <c r="Q577" i="5"/>
  <c r="R577" i="5"/>
  <c r="S577" i="5"/>
  <c r="T577" i="5"/>
  <c r="V577" i="5"/>
  <c r="G578" i="5"/>
  <c r="I578" i="5"/>
  <c r="J578" i="5"/>
  <c r="K578" i="5"/>
  <c r="L578" i="5"/>
  <c r="Q578" i="5"/>
  <c r="R578" i="5"/>
  <c r="S578" i="5"/>
  <c r="T578" i="5"/>
  <c r="V578" i="5"/>
  <c r="G579" i="5"/>
  <c r="H579" i="5"/>
  <c r="I579" i="5"/>
  <c r="J579" i="5"/>
  <c r="K579" i="5"/>
  <c r="L579" i="5"/>
  <c r="Q579" i="5"/>
  <c r="R579" i="5"/>
  <c r="S579" i="5"/>
  <c r="T579" i="5"/>
  <c r="V579" i="5"/>
  <c r="G580" i="5"/>
  <c r="H580" i="5"/>
  <c r="I580" i="5"/>
  <c r="J580" i="5"/>
  <c r="K580" i="5"/>
  <c r="L580" i="5"/>
  <c r="Q580" i="5"/>
  <c r="R580" i="5"/>
  <c r="S580" i="5"/>
  <c r="T580" i="5"/>
  <c r="V580" i="5"/>
  <c r="G581" i="5"/>
  <c r="H581" i="5"/>
  <c r="I581" i="5"/>
  <c r="J581" i="5"/>
  <c r="K581" i="5"/>
  <c r="L581" i="5"/>
  <c r="Q581" i="5"/>
  <c r="R581" i="5"/>
  <c r="S581" i="5"/>
  <c r="T581" i="5"/>
  <c r="V581" i="5"/>
  <c r="G582" i="5"/>
  <c r="H582" i="5"/>
  <c r="I582" i="5"/>
  <c r="J582" i="5"/>
  <c r="K582" i="5"/>
  <c r="L582" i="5"/>
  <c r="Q582" i="5"/>
  <c r="R582" i="5"/>
  <c r="S582" i="5"/>
  <c r="T582" i="5"/>
  <c r="V582" i="5"/>
  <c r="V571" i="5"/>
  <c r="T571" i="5"/>
  <c r="S571" i="5"/>
  <c r="R571" i="5"/>
  <c r="Q571" i="5"/>
  <c r="L571" i="5"/>
  <c r="K571" i="5"/>
  <c r="J571" i="5"/>
  <c r="I571" i="5"/>
  <c r="H571" i="5"/>
  <c r="G571" i="5"/>
  <c r="F570" i="5"/>
  <c r="F571" i="5" s="1"/>
  <c r="G472" i="5"/>
  <c r="H472" i="5"/>
  <c r="I472" i="5"/>
  <c r="J472" i="5"/>
  <c r="K472" i="5"/>
  <c r="L472" i="5"/>
  <c r="Q472" i="5"/>
  <c r="R472" i="5"/>
  <c r="S472" i="5"/>
  <c r="T472" i="5"/>
  <c r="V472" i="5"/>
  <c r="G473" i="5"/>
  <c r="H473" i="5"/>
  <c r="I473" i="5"/>
  <c r="J473" i="5"/>
  <c r="K473" i="5"/>
  <c r="L473" i="5"/>
  <c r="Q473" i="5"/>
  <c r="R473" i="5"/>
  <c r="S473" i="5"/>
  <c r="T473" i="5"/>
  <c r="V473" i="5"/>
  <c r="G474" i="5"/>
  <c r="H474" i="5"/>
  <c r="I474" i="5"/>
  <c r="J474" i="5"/>
  <c r="K474" i="5"/>
  <c r="L474" i="5"/>
  <c r="Q474" i="5"/>
  <c r="R474" i="5"/>
  <c r="S474" i="5"/>
  <c r="T474" i="5"/>
  <c r="V474" i="5"/>
  <c r="G475" i="5"/>
  <c r="I475" i="5"/>
  <c r="J475" i="5"/>
  <c r="K475" i="5"/>
  <c r="L475" i="5"/>
  <c r="Q475" i="5"/>
  <c r="R475" i="5"/>
  <c r="S475" i="5"/>
  <c r="T475" i="5"/>
  <c r="V475" i="5"/>
  <c r="G476" i="5"/>
  <c r="I476" i="5"/>
  <c r="J476" i="5"/>
  <c r="K476" i="5"/>
  <c r="L476" i="5"/>
  <c r="Q476" i="5"/>
  <c r="R476" i="5"/>
  <c r="S476" i="5"/>
  <c r="T476" i="5"/>
  <c r="V476" i="5"/>
  <c r="G477" i="5"/>
  <c r="I477" i="5"/>
  <c r="J477" i="5"/>
  <c r="K477" i="5"/>
  <c r="L477" i="5"/>
  <c r="Q477" i="5"/>
  <c r="R477" i="5"/>
  <c r="S477" i="5"/>
  <c r="T477" i="5"/>
  <c r="V477" i="5"/>
  <c r="G478" i="5"/>
  <c r="H478" i="5"/>
  <c r="I478" i="5"/>
  <c r="J478" i="5"/>
  <c r="K478" i="5"/>
  <c r="L478" i="5"/>
  <c r="Q478" i="5"/>
  <c r="R478" i="5"/>
  <c r="S478" i="5"/>
  <c r="T478" i="5"/>
  <c r="V478" i="5"/>
  <c r="G479" i="5"/>
  <c r="H479" i="5"/>
  <c r="I479" i="5"/>
  <c r="J479" i="5"/>
  <c r="K479" i="5"/>
  <c r="L479" i="5"/>
  <c r="Q479" i="5"/>
  <c r="R479" i="5"/>
  <c r="S479" i="5"/>
  <c r="T479" i="5"/>
  <c r="V479" i="5"/>
  <c r="G480" i="5"/>
  <c r="H480" i="5"/>
  <c r="I480" i="5"/>
  <c r="J480" i="5"/>
  <c r="K480" i="5"/>
  <c r="L480" i="5"/>
  <c r="Q480" i="5"/>
  <c r="R480" i="5"/>
  <c r="S480" i="5"/>
  <c r="T480" i="5"/>
  <c r="V480" i="5"/>
  <c r="G481" i="5"/>
  <c r="H481" i="5"/>
  <c r="I481" i="5"/>
  <c r="J481" i="5"/>
  <c r="K481" i="5"/>
  <c r="L481" i="5"/>
  <c r="Q481" i="5"/>
  <c r="R481" i="5"/>
  <c r="S481" i="5"/>
  <c r="T481" i="5"/>
  <c r="V481" i="5"/>
  <c r="F469" i="5"/>
  <c r="F470" i="5" s="1"/>
  <c r="F471" i="5" s="1"/>
  <c r="F472" i="5" s="1"/>
  <c r="V470" i="5"/>
  <c r="T470" i="5"/>
  <c r="S470" i="5"/>
  <c r="R470" i="5"/>
  <c r="Q470" i="5"/>
  <c r="L470" i="5"/>
  <c r="K470" i="5"/>
  <c r="J470" i="5"/>
  <c r="I470" i="5"/>
  <c r="H470" i="5"/>
  <c r="G470" i="5"/>
  <c r="G372" i="5"/>
  <c r="H372" i="5"/>
  <c r="I372" i="5"/>
  <c r="J372" i="5"/>
  <c r="K372" i="5"/>
  <c r="L372" i="5"/>
  <c r="Q372" i="5"/>
  <c r="R372" i="5"/>
  <c r="S372" i="5"/>
  <c r="T372" i="5"/>
  <c r="V372" i="5"/>
  <c r="G373" i="5"/>
  <c r="H373" i="5"/>
  <c r="I373" i="5"/>
  <c r="J373" i="5"/>
  <c r="K373" i="5"/>
  <c r="L373" i="5"/>
  <c r="Q373" i="5"/>
  <c r="R373" i="5"/>
  <c r="S373" i="5"/>
  <c r="T373" i="5"/>
  <c r="V373" i="5"/>
  <c r="G374" i="5"/>
  <c r="H374" i="5"/>
  <c r="I374" i="5"/>
  <c r="J374" i="5"/>
  <c r="K374" i="5"/>
  <c r="L374" i="5"/>
  <c r="Q374" i="5"/>
  <c r="R374" i="5"/>
  <c r="S374" i="5"/>
  <c r="T374" i="5"/>
  <c r="V374" i="5"/>
  <c r="G375" i="5"/>
  <c r="I375" i="5"/>
  <c r="J375" i="5"/>
  <c r="K375" i="5"/>
  <c r="L375" i="5"/>
  <c r="Q375" i="5"/>
  <c r="R375" i="5"/>
  <c r="S375" i="5"/>
  <c r="T375" i="5"/>
  <c r="V375" i="5"/>
  <c r="G376" i="5"/>
  <c r="I376" i="5"/>
  <c r="J376" i="5"/>
  <c r="K376" i="5"/>
  <c r="L376" i="5"/>
  <c r="Q376" i="5"/>
  <c r="R376" i="5"/>
  <c r="S376" i="5"/>
  <c r="T376" i="5"/>
  <c r="V376" i="5"/>
  <c r="G377" i="5"/>
  <c r="I377" i="5"/>
  <c r="J377" i="5"/>
  <c r="K377" i="5"/>
  <c r="L377" i="5"/>
  <c r="Q377" i="5"/>
  <c r="R377" i="5"/>
  <c r="S377" i="5"/>
  <c r="T377" i="5"/>
  <c r="V377" i="5"/>
  <c r="G378" i="5"/>
  <c r="H378" i="5"/>
  <c r="I378" i="5"/>
  <c r="J378" i="5"/>
  <c r="K378" i="5"/>
  <c r="L378" i="5"/>
  <c r="Q378" i="5"/>
  <c r="R378" i="5"/>
  <c r="S378" i="5"/>
  <c r="T378" i="5"/>
  <c r="V378" i="5"/>
  <c r="G379" i="5"/>
  <c r="H379" i="5"/>
  <c r="I379" i="5"/>
  <c r="J379" i="5"/>
  <c r="K379" i="5"/>
  <c r="L379" i="5"/>
  <c r="Q379" i="5"/>
  <c r="R379" i="5"/>
  <c r="S379" i="5"/>
  <c r="T379" i="5"/>
  <c r="V379" i="5"/>
  <c r="G380" i="5"/>
  <c r="H380" i="5"/>
  <c r="I380" i="5"/>
  <c r="J380" i="5"/>
  <c r="K380" i="5"/>
  <c r="L380" i="5"/>
  <c r="Q380" i="5"/>
  <c r="R380" i="5"/>
  <c r="S380" i="5"/>
  <c r="T380" i="5"/>
  <c r="V380" i="5"/>
  <c r="G381" i="5"/>
  <c r="H381" i="5"/>
  <c r="I381" i="5"/>
  <c r="J381" i="5"/>
  <c r="K381" i="5"/>
  <c r="L381" i="5"/>
  <c r="Q381" i="5"/>
  <c r="R381" i="5"/>
  <c r="S381" i="5"/>
  <c r="T381" i="5"/>
  <c r="V381" i="5"/>
  <c r="F369" i="5"/>
  <c r="F370" i="5" s="1"/>
  <c r="F371" i="5" s="1"/>
  <c r="F372" i="5" s="1"/>
  <c r="F373" i="5" s="1"/>
  <c r="V370" i="5"/>
  <c r="T370" i="5"/>
  <c r="S370" i="5"/>
  <c r="R370" i="5"/>
  <c r="Q370" i="5"/>
  <c r="L370" i="5"/>
  <c r="K370" i="5"/>
  <c r="J370" i="5"/>
  <c r="I370" i="5"/>
  <c r="H370" i="5"/>
  <c r="G370" i="5"/>
  <c r="G272" i="5"/>
  <c r="H272" i="5"/>
  <c r="I272" i="5"/>
  <c r="J272" i="5"/>
  <c r="K272" i="5"/>
  <c r="L272" i="5"/>
  <c r="Q272" i="5"/>
  <c r="R272" i="5"/>
  <c r="S272" i="5"/>
  <c r="T272" i="5"/>
  <c r="V272" i="5"/>
  <c r="G273" i="5"/>
  <c r="H273" i="5"/>
  <c r="I273" i="5"/>
  <c r="J273" i="5"/>
  <c r="K273" i="5"/>
  <c r="L273" i="5"/>
  <c r="Q273" i="5"/>
  <c r="R273" i="5"/>
  <c r="S273" i="5"/>
  <c r="T273" i="5"/>
  <c r="V273" i="5"/>
  <c r="G274" i="5"/>
  <c r="H274" i="5"/>
  <c r="I274" i="5"/>
  <c r="J274" i="5"/>
  <c r="K274" i="5"/>
  <c r="L274" i="5"/>
  <c r="Q274" i="5"/>
  <c r="R274" i="5"/>
  <c r="S274" i="5"/>
  <c r="T274" i="5"/>
  <c r="V274" i="5"/>
  <c r="G275" i="5"/>
  <c r="I275" i="5"/>
  <c r="J275" i="5"/>
  <c r="K275" i="5"/>
  <c r="L275" i="5"/>
  <c r="Q275" i="5"/>
  <c r="R275" i="5"/>
  <c r="S275" i="5"/>
  <c r="T275" i="5"/>
  <c r="V275" i="5"/>
  <c r="G276" i="5"/>
  <c r="I276" i="5"/>
  <c r="J276" i="5"/>
  <c r="K276" i="5"/>
  <c r="L276" i="5"/>
  <c r="Q276" i="5"/>
  <c r="R276" i="5"/>
  <c r="S276" i="5"/>
  <c r="T276" i="5"/>
  <c r="V276" i="5"/>
  <c r="G277" i="5"/>
  <c r="I277" i="5"/>
  <c r="J277" i="5"/>
  <c r="K277" i="5"/>
  <c r="L277" i="5"/>
  <c r="Q277" i="5"/>
  <c r="R277" i="5"/>
  <c r="S277" i="5"/>
  <c r="T277" i="5"/>
  <c r="V277" i="5"/>
  <c r="G278" i="5"/>
  <c r="H278" i="5"/>
  <c r="I278" i="5"/>
  <c r="J278" i="5"/>
  <c r="K278" i="5"/>
  <c r="L278" i="5"/>
  <c r="Q278" i="5"/>
  <c r="R278" i="5"/>
  <c r="S278" i="5"/>
  <c r="T278" i="5"/>
  <c r="V278" i="5"/>
  <c r="G279" i="5"/>
  <c r="H279" i="5"/>
  <c r="I279" i="5"/>
  <c r="J279" i="5"/>
  <c r="K279" i="5"/>
  <c r="L279" i="5"/>
  <c r="Q279" i="5"/>
  <c r="R279" i="5"/>
  <c r="S279" i="5"/>
  <c r="T279" i="5"/>
  <c r="V279" i="5"/>
  <c r="G280" i="5"/>
  <c r="H280" i="5"/>
  <c r="I280" i="5"/>
  <c r="J280" i="5"/>
  <c r="K280" i="5"/>
  <c r="L280" i="5"/>
  <c r="Q280" i="5"/>
  <c r="R280" i="5"/>
  <c r="S280" i="5"/>
  <c r="T280" i="5"/>
  <c r="V280" i="5"/>
  <c r="G281" i="5"/>
  <c r="H281" i="5"/>
  <c r="I281" i="5"/>
  <c r="J281" i="5"/>
  <c r="K281" i="5"/>
  <c r="L281" i="5"/>
  <c r="Q281" i="5"/>
  <c r="R281" i="5"/>
  <c r="S281" i="5"/>
  <c r="T281" i="5"/>
  <c r="V281" i="5"/>
  <c r="V270" i="5"/>
  <c r="T270" i="5"/>
  <c r="S270" i="5"/>
  <c r="R270" i="5"/>
  <c r="Q270" i="5"/>
  <c r="L270" i="5"/>
  <c r="K270" i="5"/>
  <c r="J270" i="5"/>
  <c r="I270" i="5"/>
  <c r="H270" i="5"/>
  <c r="G270" i="5"/>
  <c r="F269" i="5"/>
  <c r="F270" i="5" s="1"/>
  <c r="G183" i="5"/>
  <c r="H183" i="5"/>
  <c r="I183" i="5"/>
  <c r="J183" i="5"/>
  <c r="K183" i="5"/>
  <c r="L183" i="5"/>
  <c r="Q183" i="5"/>
  <c r="R183" i="5"/>
  <c r="S183" i="5"/>
  <c r="T183" i="5"/>
  <c r="V183" i="5"/>
  <c r="G184" i="5"/>
  <c r="H184" i="5"/>
  <c r="I184" i="5"/>
  <c r="J184" i="5"/>
  <c r="K184" i="5"/>
  <c r="L184" i="5"/>
  <c r="Q184" i="5"/>
  <c r="R184" i="5"/>
  <c r="S184" i="5"/>
  <c r="T184" i="5"/>
  <c r="V184" i="5"/>
  <c r="Y196" i="5"/>
  <c r="Y197" i="5"/>
  <c r="Y198" i="5"/>
  <c r="Y199" i="5"/>
  <c r="Y200" i="5"/>
  <c r="N201" i="5"/>
  <c r="O201" i="5"/>
  <c r="P201" i="5"/>
  <c r="Y201" i="5"/>
  <c r="N202" i="5"/>
  <c r="O202" i="5"/>
  <c r="P202" i="5"/>
  <c r="Y202" i="5"/>
  <c r="N203" i="5"/>
  <c r="O203" i="5"/>
  <c r="P203" i="5"/>
  <c r="Y203" i="5"/>
  <c r="N204" i="5"/>
  <c r="O204" i="5"/>
  <c r="P204" i="5"/>
  <c r="Y204" i="5"/>
  <c r="N205" i="5"/>
  <c r="O205" i="5"/>
  <c r="P205" i="5"/>
  <c r="Y205" i="5"/>
  <c r="N206" i="5"/>
  <c r="O206" i="5"/>
  <c r="P206" i="5"/>
  <c r="Y206" i="5"/>
  <c r="N207" i="5"/>
  <c r="O207" i="5"/>
  <c r="P207" i="5"/>
  <c r="Y207" i="5"/>
  <c r="N208" i="5"/>
  <c r="O208" i="5"/>
  <c r="P208" i="5"/>
  <c r="Y208" i="5"/>
  <c r="H209" i="5"/>
  <c r="P209" i="5" s="1"/>
  <c r="O209" i="5"/>
  <c r="N210" i="5"/>
  <c r="O210" i="5"/>
  <c r="P210" i="5"/>
  <c r="Y210" i="5"/>
  <c r="M211" i="5"/>
  <c r="N211" i="5"/>
  <c r="O211" i="5"/>
  <c r="P211" i="5"/>
  <c r="Y211" i="5"/>
  <c r="H212" i="5"/>
  <c r="Y212" i="5" s="1"/>
  <c r="M212" i="5"/>
  <c r="O212" i="5"/>
  <c r="H213" i="5"/>
  <c r="P213" i="5" s="1"/>
  <c r="J213" i="5"/>
  <c r="L213" i="5"/>
  <c r="M213" i="5"/>
  <c r="O213" i="5"/>
  <c r="H214" i="5"/>
  <c r="N214" i="5" s="1"/>
  <c r="M214" i="5"/>
  <c r="O214" i="5"/>
  <c r="H215" i="5"/>
  <c r="N215" i="5" s="1"/>
  <c r="M215" i="5"/>
  <c r="O215" i="5"/>
  <c r="H216" i="5"/>
  <c r="P216" i="5" s="1"/>
  <c r="M216" i="5"/>
  <c r="O216" i="5"/>
  <c r="H217" i="5"/>
  <c r="P217" i="5" s="1"/>
  <c r="J217" i="5"/>
  <c r="L217" i="5"/>
  <c r="M217" i="5"/>
  <c r="O217" i="5"/>
  <c r="H218" i="5"/>
  <c r="J218" i="5"/>
  <c r="L218" i="5"/>
  <c r="M218" i="5"/>
  <c r="O218" i="5"/>
  <c r="H219" i="5"/>
  <c r="Y219" i="5" s="1"/>
  <c r="M219" i="5"/>
  <c r="O219" i="5"/>
  <c r="H220" i="5"/>
  <c r="N220" i="5" s="1"/>
  <c r="M220" i="5"/>
  <c r="O220" i="5"/>
  <c r="M221" i="5"/>
  <c r="N221" i="5"/>
  <c r="O221" i="5"/>
  <c r="P221" i="5"/>
  <c r="Y221" i="5"/>
  <c r="H222" i="5"/>
  <c r="P222" i="5" s="1"/>
  <c r="M222" i="5"/>
  <c r="O222" i="5"/>
  <c r="H223" i="5"/>
  <c r="P223" i="5" s="1"/>
  <c r="J223" i="5"/>
  <c r="L223" i="5"/>
  <c r="M223" i="5"/>
  <c r="O223" i="5"/>
  <c r="G87" i="5"/>
  <c r="O87" i="5" s="1"/>
  <c r="H87" i="5"/>
  <c r="P87" i="5" s="1"/>
  <c r="I87" i="5"/>
  <c r="J87" i="5"/>
  <c r="K87" i="5"/>
  <c r="L87" i="5"/>
  <c r="Q87" i="5"/>
  <c r="R87" i="5"/>
  <c r="S87" i="5"/>
  <c r="T87" i="5"/>
  <c r="V87" i="5"/>
  <c r="G86" i="5"/>
  <c r="H86" i="5"/>
  <c r="P86" i="5" s="1"/>
  <c r="I86" i="5"/>
  <c r="J86" i="5"/>
  <c r="K86" i="5"/>
  <c r="L86" i="5"/>
  <c r="Q86" i="5"/>
  <c r="R86" i="5"/>
  <c r="S86" i="5"/>
  <c r="T86" i="5"/>
  <c r="V86" i="5"/>
  <c r="F184" i="5"/>
  <c r="F183" i="5"/>
  <c r="O194" i="5" l="1"/>
  <c r="P194" i="5"/>
  <c r="O287" i="5"/>
  <c r="P287" i="5"/>
  <c r="F288" i="5"/>
  <c r="F289" i="5" s="1"/>
  <c r="F290" i="5" s="1"/>
  <c r="F291" i="5" s="1"/>
  <c r="M677" i="5"/>
  <c r="M682" i="5"/>
  <c r="Y681" i="5"/>
  <c r="M674" i="5"/>
  <c r="N682" i="5"/>
  <c r="M681" i="5"/>
  <c r="N675" i="5"/>
  <c r="N681" i="5"/>
  <c r="N680" i="5"/>
  <c r="M683" i="5"/>
  <c r="Y682" i="5"/>
  <c r="M676" i="5"/>
  <c r="M678" i="5"/>
  <c r="N674" i="5"/>
  <c r="N683" i="5"/>
  <c r="M679" i="5"/>
  <c r="M680" i="5"/>
  <c r="M675" i="5"/>
  <c r="Y680" i="5"/>
  <c r="Y683" i="5"/>
  <c r="Y675" i="5"/>
  <c r="Y674" i="5"/>
  <c r="M573" i="5"/>
  <c r="M478" i="5"/>
  <c r="M580" i="5"/>
  <c r="O472" i="5"/>
  <c r="N479" i="5"/>
  <c r="M582" i="5"/>
  <c r="N470" i="5"/>
  <c r="M474" i="5"/>
  <c r="M479" i="5"/>
  <c r="N579" i="5"/>
  <c r="Y479" i="5"/>
  <c r="N481" i="5"/>
  <c r="M581" i="5"/>
  <c r="Y580" i="5"/>
  <c r="N575" i="5"/>
  <c r="N581" i="5"/>
  <c r="M481" i="5"/>
  <c r="N582" i="5"/>
  <c r="N580" i="5"/>
  <c r="M575" i="5"/>
  <c r="M578" i="5"/>
  <c r="M480" i="5"/>
  <c r="M571" i="5"/>
  <c r="M576" i="5"/>
  <c r="N573" i="5"/>
  <c r="M472" i="5"/>
  <c r="Y571" i="5"/>
  <c r="N574" i="5"/>
  <c r="O470" i="5"/>
  <c r="N478" i="5"/>
  <c r="Y579" i="5"/>
  <c r="M574" i="5"/>
  <c r="F573" i="5"/>
  <c r="F674" i="5" s="1"/>
  <c r="P674" i="5" s="1"/>
  <c r="M577" i="5"/>
  <c r="Y575" i="5"/>
  <c r="M579" i="5"/>
  <c r="Y582" i="5"/>
  <c r="Y574" i="5"/>
  <c r="Y581" i="5"/>
  <c r="Y573" i="5"/>
  <c r="O571" i="5"/>
  <c r="P571" i="5"/>
  <c r="N571" i="5"/>
  <c r="M470" i="5"/>
  <c r="N472" i="5"/>
  <c r="Y379" i="5"/>
  <c r="M379" i="5"/>
  <c r="N480" i="5"/>
  <c r="M475" i="5"/>
  <c r="P470" i="5"/>
  <c r="M380" i="5"/>
  <c r="N473" i="5"/>
  <c r="M381" i="5"/>
  <c r="M477" i="5"/>
  <c r="N474" i="5"/>
  <c r="M473" i="5"/>
  <c r="Y470" i="5"/>
  <c r="M476" i="5"/>
  <c r="Y474" i="5"/>
  <c r="P472" i="5"/>
  <c r="Y478" i="5"/>
  <c r="Y481" i="5"/>
  <c r="Y473" i="5"/>
  <c r="F473" i="5"/>
  <c r="F574" i="5" s="1"/>
  <c r="Y480" i="5"/>
  <c r="Y472" i="5"/>
  <c r="M372" i="5"/>
  <c r="N372" i="5"/>
  <c r="N216" i="5"/>
  <c r="N281" i="5"/>
  <c r="Y378" i="5"/>
  <c r="N279" i="5"/>
  <c r="N378" i="5"/>
  <c r="M375" i="5"/>
  <c r="M280" i="5"/>
  <c r="M272" i="5"/>
  <c r="O373" i="5"/>
  <c r="M377" i="5"/>
  <c r="N374" i="5"/>
  <c r="P372" i="5"/>
  <c r="O372" i="5"/>
  <c r="O370" i="5"/>
  <c r="M270" i="5"/>
  <c r="M276" i="5"/>
  <c r="N272" i="5"/>
  <c r="M374" i="5"/>
  <c r="N270" i="5"/>
  <c r="M281" i="5"/>
  <c r="N381" i="5"/>
  <c r="N380" i="5"/>
  <c r="N379" i="5"/>
  <c r="M274" i="5"/>
  <c r="M376" i="5"/>
  <c r="N373" i="5"/>
  <c r="Y370" i="5"/>
  <c r="N222" i="5"/>
  <c r="P270" i="5"/>
  <c r="Y280" i="5"/>
  <c r="M373" i="5"/>
  <c r="M378" i="5"/>
  <c r="P373" i="5"/>
  <c r="Y374" i="5"/>
  <c r="F374" i="5"/>
  <c r="Y381" i="5"/>
  <c r="Y373" i="5"/>
  <c r="Y380" i="5"/>
  <c r="Y372" i="5"/>
  <c r="M370" i="5"/>
  <c r="P370" i="5"/>
  <c r="N370" i="5"/>
  <c r="M277" i="5"/>
  <c r="N274" i="5"/>
  <c r="N273" i="5"/>
  <c r="Y270" i="5"/>
  <c r="M273" i="5"/>
  <c r="N280" i="5"/>
  <c r="F280" i="5"/>
  <c r="O280" i="5" s="1"/>
  <c r="M278" i="5"/>
  <c r="F281" i="5"/>
  <c r="O281" i="5" s="1"/>
  <c r="M275" i="5"/>
  <c r="Y279" i="5"/>
  <c r="Y278" i="5"/>
  <c r="N278" i="5"/>
  <c r="M279" i="5"/>
  <c r="Y274" i="5"/>
  <c r="Y281" i="5"/>
  <c r="Y273" i="5"/>
  <c r="Y272" i="5"/>
  <c r="O270" i="5"/>
  <c r="N223" i="5"/>
  <c r="Y217" i="5"/>
  <c r="M183" i="5"/>
  <c r="N209" i="5"/>
  <c r="N184" i="5"/>
  <c r="Y220" i="5"/>
  <c r="P220" i="5"/>
  <c r="P214" i="5"/>
  <c r="P212" i="5"/>
  <c r="N218" i="5"/>
  <c r="N212" i="5"/>
  <c r="M184" i="5"/>
  <c r="N183" i="5"/>
  <c r="O183" i="5"/>
  <c r="P184" i="5"/>
  <c r="P183" i="5"/>
  <c r="O184" i="5"/>
  <c r="Y184" i="5"/>
  <c r="Y183" i="5"/>
  <c r="P218" i="5"/>
  <c r="Y213" i="5"/>
  <c r="N217" i="5"/>
  <c r="Y218" i="5"/>
  <c r="N213" i="5"/>
  <c r="P219" i="5"/>
  <c r="N219" i="5"/>
  <c r="Y214" i="5"/>
  <c r="Y215" i="5"/>
  <c r="P215" i="5"/>
  <c r="Y216" i="5"/>
  <c r="Y223" i="5"/>
  <c r="Y222" i="5"/>
  <c r="Y209" i="5"/>
  <c r="M86" i="5"/>
  <c r="M87" i="5"/>
  <c r="N87" i="5"/>
  <c r="N86" i="5"/>
  <c r="Y87" i="5"/>
  <c r="O86" i="5"/>
  <c r="Y86" i="5"/>
  <c r="O291" i="5" l="1"/>
  <c r="P291" i="5"/>
  <c r="P290" i="5"/>
  <c r="O290" i="5"/>
  <c r="O289" i="5"/>
  <c r="P289" i="5"/>
  <c r="O288" i="5"/>
  <c r="P288" i="5"/>
  <c r="O574" i="5"/>
  <c r="F675" i="5"/>
  <c r="O674" i="5"/>
  <c r="O573" i="5"/>
  <c r="P573" i="5"/>
  <c r="P574" i="5"/>
  <c r="O473" i="5"/>
  <c r="F474" i="5"/>
  <c r="F575" i="5" s="1"/>
  <c r="F676" i="5" s="1"/>
  <c r="P473" i="5"/>
  <c r="P280" i="5"/>
  <c r="O374" i="5"/>
  <c r="F375" i="5"/>
  <c r="P374" i="5"/>
  <c r="P281" i="5"/>
  <c r="O675" i="5" l="1"/>
  <c r="P675" i="5"/>
  <c r="O676" i="5"/>
  <c r="P676" i="5"/>
  <c r="P575" i="5"/>
  <c r="O575" i="5"/>
  <c r="P474" i="5"/>
  <c r="O474" i="5"/>
  <c r="F475" i="5"/>
  <c r="F576" i="5" s="1"/>
  <c r="F677" i="5" s="1"/>
  <c r="F376" i="5"/>
  <c r="O375" i="5"/>
  <c r="O677" i="5" l="1"/>
  <c r="O576" i="5"/>
  <c r="O475" i="5"/>
  <c r="F476" i="5"/>
  <c r="F577" i="5" s="1"/>
  <c r="F678" i="5" s="1"/>
  <c r="F377" i="5"/>
  <c r="O376" i="5"/>
  <c r="O678" i="5" l="1"/>
  <c r="O577" i="5"/>
  <c r="F477" i="5"/>
  <c r="F578" i="5" s="1"/>
  <c r="F679" i="5" s="1"/>
  <c r="O476" i="5"/>
  <c r="F378" i="5"/>
  <c r="O377" i="5"/>
  <c r="O679" i="5" l="1"/>
  <c r="O578" i="5"/>
  <c r="O477" i="5"/>
  <c r="F478" i="5"/>
  <c r="F579" i="5" s="1"/>
  <c r="F680" i="5" s="1"/>
  <c r="P378" i="5"/>
  <c r="F379" i="5"/>
  <c r="O378" i="5"/>
  <c r="P680" i="5" l="1"/>
  <c r="O680" i="5"/>
  <c r="P579" i="5"/>
  <c r="O579" i="5"/>
  <c r="P478" i="5"/>
  <c r="F479" i="5"/>
  <c r="F580" i="5" s="1"/>
  <c r="F681" i="5" s="1"/>
  <c r="O478" i="5"/>
  <c r="O379" i="5"/>
  <c r="F380" i="5"/>
  <c r="P379" i="5"/>
  <c r="O681" i="5" l="1"/>
  <c r="P681" i="5"/>
  <c r="O580" i="5"/>
  <c r="P580" i="5"/>
  <c r="O479" i="5"/>
  <c r="F480" i="5"/>
  <c r="F581" i="5" s="1"/>
  <c r="F682" i="5" s="1"/>
  <c r="P479" i="5"/>
  <c r="O380" i="5"/>
  <c r="F381" i="5"/>
  <c r="F382" i="5" s="1"/>
  <c r="F383" i="5" s="1"/>
  <c r="F384" i="5" s="1"/>
  <c r="F385" i="5" s="1"/>
  <c r="F386" i="5" s="1"/>
  <c r="F387" i="5" s="1"/>
  <c r="F388" i="5" s="1"/>
  <c r="F389" i="5" s="1"/>
  <c r="P380" i="5"/>
  <c r="F390" i="5" l="1"/>
  <c r="P389" i="5"/>
  <c r="O389" i="5"/>
  <c r="P388" i="5"/>
  <c r="O388" i="5"/>
  <c r="O387" i="5"/>
  <c r="P387" i="5"/>
  <c r="P386" i="5"/>
  <c r="O386" i="5"/>
  <c r="P385" i="5"/>
  <c r="O385" i="5"/>
  <c r="O384" i="5"/>
  <c r="P384" i="5"/>
  <c r="O383" i="5"/>
  <c r="P383" i="5"/>
  <c r="O382" i="5"/>
  <c r="P382" i="5"/>
  <c r="P682" i="5"/>
  <c r="O682" i="5"/>
  <c r="O581" i="5"/>
  <c r="P581" i="5"/>
  <c r="O480" i="5"/>
  <c r="F481" i="5"/>
  <c r="P480" i="5"/>
  <c r="O381" i="5"/>
  <c r="P381" i="5"/>
  <c r="F391" i="5" l="1"/>
  <c r="O390" i="5"/>
  <c r="P390" i="5"/>
  <c r="F582" i="5"/>
  <c r="F683" i="5" s="1"/>
  <c r="O683" i="5" s="1"/>
  <c r="F482" i="5"/>
  <c r="O481" i="5"/>
  <c r="P481" i="5"/>
  <c r="P391" i="5" l="1"/>
  <c r="O391" i="5"/>
  <c r="P582" i="5"/>
  <c r="P683" i="5"/>
  <c r="O582" i="5"/>
  <c r="F483" i="5"/>
  <c r="F484" i="5" s="1"/>
  <c r="F485" i="5" s="1"/>
  <c r="F486" i="5" s="1"/>
  <c r="F583" i="5"/>
  <c r="O482" i="5"/>
  <c r="P482" i="5"/>
  <c r="E88" i="4"/>
  <c r="F88" i="4"/>
  <c r="G88" i="4"/>
  <c r="H88" i="4"/>
  <c r="K88" i="4"/>
  <c r="N88" i="4"/>
  <c r="P88" i="4"/>
  <c r="C217" i="4"/>
  <c r="D217" i="4"/>
  <c r="E217" i="4"/>
  <c r="F217" i="4"/>
  <c r="G217" i="4"/>
  <c r="H217" i="4"/>
  <c r="K217" i="4"/>
  <c r="M217" i="4"/>
  <c r="N217" i="4"/>
  <c r="O217" i="4"/>
  <c r="P217" i="4"/>
  <c r="V217" i="4"/>
  <c r="AG217" i="4"/>
  <c r="Y217" i="4"/>
  <c r="Z217" i="4"/>
  <c r="AA217" i="4"/>
  <c r="AB217" i="4"/>
  <c r="AC217" i="4"/>
  <c r="AD217" i="4"/>
  <c r="AI217" i="4"/>
  <c r="AJ217" i="4"/>
  <c r="AK217" i="4"/>
  <c r="AL217" i="4"/>
  <c r="AR217" i="4"/>
  <c r="AQ732" i="4"/>
  <c r="AP732" i="4"/>
  <c r="AO732" i="4"/>
  <c r="AN732" i="4"/>
  <c r="AE732" i="4"/>
  <c r="AF732" i="4"/>
  <c r="AQ603" i="4"/>
  <c r="AP603" i="4"/>
  <c r="AO603" i="4"/>
  <c r="AN603" i="4"/>
  <c r="AE603" i="4"/>
  <c r="AF603" i="4"/>
  <c r="AE474" i="4"/>
  <c r="AF474" i="4"/>
  <c r="AN474" i="4"/>
  <c r="AO474" i="4"/>
  <c r="AP474" i="4"/>
  <c r="AQ474" i="4"/>
  <c r="AN345" i="4"/>
  <c r="AO345" i="4"/>
  <c r="AP345" i="4"/>
  <c r="AQ345" i="4"/>
  <c r="AE345" i="4"/>
  <c r="AF345" i="4"/>
  <c r="R603" i="4"/>
  <c r="S603" i="4"/>
  <c r="T603" i="4"/>
  <c r="U603" i="4"/>
  <c r="I603" i="4"/>
  <c r="J603" i="4"/>
  <c r="I474" i="4"/>
  <c r="J474" i="4"/>
  <c r="R474" i="4"/>
  <c r="S474" i="4"/>
  <c r="T474" i="4"/>
  <c r="U474" i="4"/>
  <c r="U345" i="4"/>
  <c r="T345" i="4"/>
  <c r="S345" i="4"/>
  <c r="R345" i="4"/>
  <c r="J345" i="4"/>
  <c r="I345" i="4"/>
  <c r="AM474" i="4" l="1"/>
  <c r="AM732" i="4"/>
  <c r="O486" i="5"/>
  <c r="F487" i="5"/>
  <c r="F488" i="5" s="1"/>
  <c r="F489" i="5" s="1"/>
  <c r="F490" i="5" s="1"/>
  <c r="P486" i="5"/>
  <c r="O485" i="5"/>
  <c r="P485" i="5"/>
  <c r="AO217" i="4"/>
  <c r="AM603" i="4"/>
  <c r="AP217" i="4"/>
  <c r="Q345" i="4"/>
  <c r="T217" i="4"/>
  <c r="AF217" i="4"/>
  <c r="M88" i="4"/>
  <c r="T88" i="4" s="1"/>
  <c r="S217" i="4"/>
  <c r="AN217" i="4"/>
  <c r="S88" i="4"/>
  <c r="O88" i="4"/>
  <c r="U88" i="4" s="1"/>
  <c r="C88" i="4"/>
  <c r="J217" i="4"/>
  <c r="I217" i="4"/>
  <c r="AQ217" i="4"/>
  <c r="AE217" i="4"/>
  <c r="AM345" i="4"/>
  <c r="I88" i="4"/>
  <c r="V88" i="4"/>
  <c r="J88" i="4"/>
  <c r="Q603" i="4"/>
  <c r="U217" i="4"/>
  <c r="R217" i="4"/>
  <c r="D88" i="4"/>
  <c r="O484" i="5"/>
  <c r="P484" i="5"/>
  <c r="F684" i="5"/>
  <c r="O583" i="5"/>
  <c r="P583" i="5"/>
  <c r="F584" i="5"/>
  <c r="F585" i="5" s="1"/>
  <c r="F586" i="5" s="1"/>
  <c r="F587" i="5" s="1"/>
  <c r="F588" i="5" s="1"/>
  <c r="F589" i="5" s="1"/>
  <c r="F590" i="5" s="1"/>
  <c r="F591" i="5" s="1"/>
  <c r="O483" i="5"/>
  <c r="P483" i="5"/>
  <c r="Q474" i="4"/>
  <c r="F491" i="5" l="1"/>
  <c r="P490" i="5"/>
  <c r="O490" i="5"/>
  <c r="F592" i="5"/>
  <c r="P591" i="5"/>
  <c r="O591" i="5"/>
  <c r="O590" i="5"/>
  <c r="P590" i="5"/>
  <c r="O489" i="5"/>
  <c r="P489" i="5"/>
  <c r="O589" i="5"/>
  <c r="P589" i="5"/>
  <c r="O488" i="5"/>
  <c r="P488" i="5"/>
  <c r="O487" i="5"/>
  <c r="P487" i="5"/>
  <c r="O588" i="5"/>
  <c r="P588" i="5"/>
  <c r="O587" i="5"/>
  <c r="P587" i="5"/>
  <c r="P586" i="5"/>
  <c r="O586" i="5"/>
  <c r="AM217" i="4"/>
  <c r="Q217" i="4"/>
  <c r="R88" i="4"/>
  <c r="Q88" i="4" s="1"/>
  <c r="P585" i="5"/>
  <c r="O585" i="5"/>
  <c r="P684" i="5"/>
  <c r="O684" i="5"/>
  <c r="F685" i="5"/>
  <c r="F686" i="5" s="1"/>
  <c r="F687" i="5" s="1"/>
  <c r="F688" i="5" s="1"/>
  <c r="P584" i="5"/>
  <c r="O584" i="5"/>
  <c r="AR761" i="4"/>
  <c r="AL761" i="4"/>
  <c r="AK761" i="4"/>
  <c r="AJ761" i="4"/>
  <c r="AI761" i="4"/>
  <c r="AC761" i="4"/>
  <c r="AA761" i="4"/>
  <c r="Y761" i="4"/>
  <c r="AR632" i="4"/>
  <c r="AL632" i="4"/>
  <c r="AK632" i="4"/>
  <c r="AJ632" i="4"/>
  <c r="AI632" i="4"/>
  <c r="AD632" i="4"/>
  <c r="AC632" i="4"/>
  <c r="AB632" i="4"/>
  <c r="AA632" i="4"/>
  <c r="Y632" i="4"/>
  <c r="V632" i="4"/>
  <c r="P632" i="4"/>
  <c r="O632" i="4"/>
  <c r="N632" i="4"/>
  <c r="M632" i="4"/>
  <c r="H632" i="4"/>
  <c r="G632" i="4"/>
  <c r="F632" i="4"/>
  <c r="E632" i="4"/>
  <c r="C632" i="4"/>
  <c r="AR503" i="4"/>
  <c r="AL503" i="4"/>
  <c r="AK503" i="4"/>
  <c r="AJ503" i="4"/>
  <c r="AI503" i="4"/>
  <c r="AD503" i="4"/>
  <c r="AC503" i="4"/>
  <c r="AB503" i="4"/>
  <c r="AA503" i="4"/>
  <c r="Y503" i="4"/>
  <c r="V503" i="4"/>
  <c r="P503" i="4"/>
  <c r="O503" i="4"/>
  <c r="N503" i="4"/>
  <c r="M503" i="4"/>
  <c r="H503" i="4"/>
  <c r="G503" i="4"/>
  <c r="F503" i="4"/>
  <c r="E503" i="4"/>
  <c r="C503" i="4"/>
  <c r="AR374" i="4"/>
  <c r="AL374" i="4"/>
  <c r="AK374" i="4"/>
  <c r="AJ374" i="4"/>
  <c r="AI374" i="4"/>
  <c r="AD374" i="4"/>
  <c r="AC374" i="4"/>
  <c r="AB374" i="4"/>
  <c r="AA374" i="4"/>
  <c r="Y374" i="4"/>
  <c r="V374" i="4"/>
  <c r="P374" i="4"/>
  <c r="O374" i="4"/>
  <c r="N374" i="4"/>
  <c r="M374" i="4"/>
  <c r="H374" i="4"/>
  <c r="G374" i="4"/>
  <c r="F374" i="4"/>
  <c r="E374" i="4"/>
  <c r="C374" i="4"/>
  <c r="AJ216" i="4"/>
  <c r="P592" i="5" l="1"/>
  <c r="O592" i="5"/>
  <c r="O491" i="5"/>
  <c r="P491" i="5"/>
  <c r="AJ247" i="4"/>
  <c r="S374" i="4"/>
  <c r="AQ761" i="4"/>
  <c r="O688" i="5"/>
  <c r="F689" i="5"/>
  <c r="F690" i="5" s="1"/>
  <c r="F691" i="5" s="1"/>
  <c r="P688" i="5"/>
  <c r="O687" i="5"/>
  <c r="P687" i="5"/>
  <c r="T374" i="4"/>
  <c r="U374" i="4"/>
  <c r="AQ374" i="4"/>
  <c r="AP503" i="4"/>
  <c r="S632" i="4"/>
  <c r="AO374" i="4"/>
  <c r="S503" i="4"/>
  <c r="T503" i="4"/>
  <c r="U632" i="4"/>
  <c r="AO632" i="4"/>
  <c r="U503" i="4"/>
  <c r="AO503" i="4"/>
  <c r="AP632" i="4"/>
  <c r="AP761" i="4"/>
  <c r="AP374" i="4"/>
  <c r="AQ503" i="4"/>
  <c r="P686" i="5"/>
  <c r="O686" i="5"/>
  <c r="P685" i="5"/>
  <c r="O685" i="5"/>
  <c r="AQ632" i="4"/>
  <c r="T632" i="4"/>
  <c r="F692" i="5" l="1"/>
  <c r="P691" i="5"/>
  <c r="O691" i="5"/>
  <c r="O690" i="5"/>
  <c r="P690" i="5"/>
  <c r="O689" i="5"/>
  <c r="P689" i="5"/>
  <c r="E87" i="4"/>
  <c r="E118" i="4" s="1"/>
  <c r="F87" i="4"/>
  <c r="F118" i="4" s="1"/>
  <c r="G87" i="4"/>
  <c r="G118" i="4" s="1"/>
  <c r="E7" i="9" s="1"/>
  <c r="H87" i="4"/>
  <c r="H118" i="4" s="1"/>
  <c r="F7" i="9" s="1"/>
  <c r="N87" i="4"/>
  <c r="N118" i="4" s="1"/>
  <c r="F11" i="9" s="1"/>
  <c r="P87" i="4"/>
  <c r="P118" i="4" s="1"/>
  <c r="F10" i="9" s="1"/>
  <c r="Y216" i="4"/>
  <c r="Z216" i="4"/>
  <c r="AA216" i="4"/>
  <c r="AB216" i="4"/>
  <c r="AC216" i="4"/>
  <c r="AD216" i="4"/>
  <c r="AI216" i="4"/>
  <c r="AK216" i="4"/>
  <c r="AL216" i="4"/>
  <c r="AR216" i="4"/>
  <c r="C216" i="4"/>
  <c r="D216" i="4"/>
  <c r="E216" i="4"/>
  <c r="F216" i="4"/>
  <c r="G216" i="4"/>
  <c r="H216" i="4"/>
  <c r="M216" i="4"/>
  <c r="N216" i="4"/>
  <c r="O216" i="4"/>
  <c r="P216" i="4"/>
  <c r="V216" i="4"/>
  <c r="AE731" i="4"/>
  <c r="AF731" i="4"/>
  <c r="AN731" i="4"/>
  <c r="AO731" i="4"/>
  <c r="AP731" i="4"/>
  <c r="AQ731" i="4"/>
  <c r="AE602" i="4"/>
  <c r="AF602" i="4"/>
  <c r="AN602" i="4"/>
  <c r="AO602" i="4"/>
  <c r="AP602" i="4"/>
  <c r="AQ602" i="4"/>
  <c r="AE473" i="4"/>
  <c r="AF473" i="4"/>
  <c r="AN473" i="4"/>
  <c r="AO473" i="4"/>
  <c r="AP473" i="4"/>
  <c r="AQ473" i="4"/>
  <c r="I602" i="4"/>
  <c r="J602" i="4"/>
  <c r="R602" i="4"/>
  <c r="S602" i="4"/>
  <c r="T602" i="4"/>
  <c r="U602" i="4"/>
  <c r="I473" i="4"/>
  <c r="J473" i="4"/>
  <c r="R473" i="4"/>
  <c r="S473" i="4"/>
  <c r="T473" i="4"/>
  <c r="U473" i="4"/>
  <c r="AN344" i="4"/>
  <c r="AO344" i="4"/>
  <c r="AP344" i="4"/>
  <c r="AQ344" i="4"/>
  <c r="AE344" i="4"/>
  <c r="AF344" i="4"/>
  <c r="R344" i="4"/>
  <c r="S344" i="4"/>
  <c r="T344" i="4"/>
  <c r="U344" i="4"/>
  <c r="J344" i="4"/>
  <c r="I344" i="4"/>
  <c r="O692" i="5" l="1"/>
  <c r="P692" i="5"/>
  <c r="AE762" i="4"/>
  <c r="AF762" i="4"/>
  <c r="AE633" i="4"/>
  <c r="AF633" i="4"/>
  <c r="J633" i="4"/>
  <c r="I633" i="4"/>
  <c r="I504" i="4"/>
  <c r="AF504" i="4"/>
  <c r="AE504" i="4"/>
  <c r="J504" i="4"/>
  <c r="P247" i="4"/>
  <c r="U247" i="4" s="1"/>
  <c r="D247" i="4"/>
  <c r="O247" i="4"/>
  <c r="C247" i="4"/>
  <c r="AA247" i="4"/>
  <c r="AB247" i="4"/>
  <c r="N247" i="4"/>
  <c r="AR247" i="4"/>
  <c r="Z247" i="4"/>
  <c r="AF375" i="4"/>
  <c r="M247" i="4"/>
  <c r="AL247" i="4"/>
  <c r="Y247" i="4"/>
  <c r="AK247" i="4"/>
  <c r="I375" i="4"/>
  <c r="G247" i="4"/>
  <c r="AI247" i="4"/>
  <c r="AP247" i="4" s="1"/>
  <c r="H247" i="4"/>
  <c r="J375" i="4"/>
  <c r="F247" i="4"/>
  <c r="AD247" i="4"/>
  <c r="AE375" i="4"/>
  <c r="V247" i="4"/>
  <c r="E247" i="4"/>
  <c r="AC247" i="4"/>
  <c r="Q602" i="4"/>
  <c r="Q473" i="4"/>
  <c r="AM473" i="4"/>
  <c r="AM344" i="4"/>
  <c r="T216" i="4"/>
  <c r="M87" i="4"/>
  <c r="M118" i="4" s="1"/>
  <c r="S216" i="4"/>
  <c r="AP216" i="4"/>
  <c r="AM602" i="4"/>
  <c r="AO216" i="4"/>
  <c r="S87" i="4"/>
  <c r="I87" i="4"/>
  <c r="I118" i="4" s="1"/>
  <c r="E4" i="9" s="1"/>
  <c r="R216" i="4"/>
  <c r="AF216" i="4"/>
  <c r="AE216" i="4"/>
  <c r="V87" i="4"/>
  <c r="V118" i="4" s="1"/>
  <c r="F8" i="9" s="1"/>
  <c r="O87" i="4"/>
  <c r="O118" i="4" s="1"/>
  <c r="C87" i="4"/>
  <c r="C118" i="4" s="1"/>
  <c r="E6" i="9" s="1"/>
  <c r="D10" i="9" s="1"/>
  <c r="C10" i="9" s="1"/>
  <c r="I216" i="4"/>
  <c r="AQ216" i="4"/>
  <c r="AN216" i="4"/>
  <c r="U216" i="4"/>
  <c r="Q344" i="4"/>
  <c r="J87" i="4"/>
  <c r="J118" i="4" s="1"/>
  <c r="D87" i="4"/>
  <c r="D118" i="4" s="1"/>
  <c r="F6" i="9" s="1"/>
  <c r="AM731" i="4"/>
  <c r="J216" i="4"/>
  <c r="T247" i="4" l="1"/>
  <c r="AN247" i="4"/>
  <c r="R247" i="4"/>
  <c r="S247" i="4"/>
  <c r="AQ247" i="4"/>
  <c r="AE247" i="4"/>
  <c r="AF247" i="4"/>
  <c r="J247" i="4"/>
  <c r="I247" i="4"/>
  <c r="AO247" i="4"/>
  <c r="AM247" i="4" s="1"/>
  <c r="Q247" i="4"/>
  <c r="D11" i="9"/>
  <c r="C11" i="9" s="1"/>
  <c r="D8" i="9"/>
  <c r="C8" i="9" s="1"/>
  <c r="D7" i="9"/>
  <c r="C7" i="9" s="1"/>
  <c r="D6" i="9"/>
  <c r="C6" i="9"/>
  <c r="F5" i="9"/>
  <c r="D12" i="9"/>
  <c r="C12" i="9" s="1"/>
  <c r="D9" i="9"/>
  <c r="C9" i="9" s="1"/>
  <c r="Q216" i="4"/>
  <c r="T87" i="4"/>
  <c r="AM216" i="4"/>
  <c r="U87" i="4"/>
  <c r="R87" i="4"/>
  <c r="Q87" i="4" s="1"/>
  <c r="X722" i="4"/>
  <c r="X723" i="4" s="1"/>
  <c r="X724" i="4" s="1"/>
  <c r="X725" i="4" s="1"/>
  <c r="X726" i="4" s="1"/>
  <c r="X727" i="4" s="1"/>
  <c r="X728" i="4" s="1"/>
  <c r="X729" i="4" s="1"/>
  <c r="X730" i="4" s="1"/>
  <c r="X731" i="4" s="1"/>
  <c r="X593" i="4"/>
  <c r="X594" i="4" s="1"/>
  <c r="X595" i="4" s="1"/>
  <c r="X596" i="4" s="1"/>
  <c r="X597" i="4" s="1"/>
  <c r="X598" i="4" s="1"/>
  <c r="X599" i="4" s="1"/>
  <c r="X600" i="4" s="1"/>
  <c r="X601" i="4" s="1"/>
  <c r="X602" i="4" s="1"/>
  <c r="B593" i="4"/>
  <c r="B594" i="4" s="1"/>
  <c r="B595" i="4" s="1"/>
  <c r="B596" i="4" s="1"/>
  <c r="B597" i="4" s="1"/>
  <c r="B598" i="4" s="1"/>
  <c r="B599" i="4" s="1"/>
  <c r="B600" i="4" s="1"/>
  <c r="B601" i="4" s="1"/>
  <c r="B602" i="4" s="1"/>
  <c r="X464" i="4"/>
  <c r="X465" i="4" s="1"/>
  <c r="X466" i="4" s="1"/>
  <c r="X467" i="4" s="1"/>
  <c r="X468" i="4" s="1"/>
  <c r="X469" i="4" s="1"/>
  <c r="X470" i="4" s="1"/>
  <c r="X471" i="4" s="1"/>
  <c r="X472" i="4" s="1"/>
  <c r="X473" i="4" s="1"/>
  <c r="B464" i="4"/>
  <c r="B465" i="4" s="1"/>
  <c r="B466" i="4" s="1"/>
  <c r="B467" i="4" s="1"/>
  <c r="B468" i="4" s="1"/>
  <c r="B469" i="4" s="1"/>
  <c r="B470" i="4" s="1"/>
  <c r="B471" i="4" s="1"/>
  <c r="B472" i="4" s="1"/>
  <c r="B473" i="4" s="1"/>
  <c r="X335" i="4"/>
  <c r="X336" i="4" s="1"/>
  <c r="X337" i="4" s="1"/>
  <c r="X338" i="4" s="1"/>
  <c r="X339" i="4" s="1"/>
  <c r="X340" i="4" s="1"/>
  <c r="X341" i="4" s="1"/>
  <c r="X342" i="4" s="1"/>
  <c r="X343" i="4" s="1"/>
  <c r="X344" i="4" s="1"/>
  <c r="B335" i="4"/>
  <c r="B336" i="4" s="1"/>
  <c r="B337" i="4" s="1"/>
  <c r="B338" i="4" s="1"/>
  <c r="B339" i="4" s="1"/>
  <c r="B340" i="4" s="1"/>
  <c r="B341" i="4" s="1"/>
  <c r="B342" i="4" s="1"/>
  <c r="B343" i="4" s="1"/>
  <c r="B344" i="4" s="1"/>
  <c r="X207" i="4"/>
  <c r="X208" i="4" s="1"/>
  <c r="X209" i="4" s="1"/>
  <c r="X210" i="4" s="1"/>
  <c r="X211" i="4" s="1"/>
  <c r="X212" i="4" s="1"/>
  <c r="X213" i="4" s="1"/>
  <c r="X214" i="4" s="1"/>
  <c r="X215" i="4" s="1"/>
  <c r="X216" i="4" s="1"/>
  <c r="X217" i="4" s="1"/>
  <c r="X218" i="4" s="1"/>
  <c r="X219" i="4" s="1"/>
  <c r="X220" i="4" s="1"/>
  <c r="X221" i="4" s="1"/>
  <c r="X222" i="4" s="1"/>
  <c r="X223" i="4" s="1"/>
  <c r="X224" i="4" s="1"/>
  <c r="B207" i="4"/>
  <c r="B208" i="4" s="1"/>
  <c r="B209" i="4" s="1"/>
  <c r="B210" i="4" s="1"/>
  <c r="B211" i="4" s="1"/>
  <c r="B212" i="4" s="1"/>
  <c r="B213" i="4" s="1"/>
  <c r="B214" i="4" s="1"/>
  <c r="B215" i="4" s="1"/>
  <c r="B216" i="4" s="1"/>
  <c r="B217" i="4" s="1"/>
  <c r="B218" i="4" s="1"/>
  <c r="B219" i="4" s="1"/>
  <c r="B220" i="4" s="1"/>
  <c r="B221" i="4" s="1"/>
  <c r="B222" i="4" s="1"/>
  <c r="B223" i="4" s="1"/>
  <c r="B224" i="4" s="1"/>
  <c r="B78" i="4"/>
  <c r="B79" i="4" s="1"/>
  <c r="B80" i="4" s="1"/>
  <c r="B81" i="4" s="1"/>
  <c r="B82" i="4" s="1"/>
  <c r="B83" i="4" s="1"/>
  <c r="B84" i="4" s="1"/>
  <c r="B85" i="4" s="1"/>
  <c r="B86" i="4" s="1"/>
  <c r="B87" i="4" s="1"/>
  <c r="B88" i="4" s="1"/>
  <c r="B89" i="4" s="1"/>
  <c r="B90" i="4" s="1"/>
  <c r="B91" i="4" s="1"/>
  <c r="V182" i="5"/>
  <c r="V85" i="5"/>
  <c r="V181" i="5"/>
  <c r="V84" i="5"/>
  <c r="R84" i="5"/>
  <c r="S84" i="5"/>
  <c r="T84" i="5"/>
  <c r="R181" i="5"/>
  <c r="S181" i="5"/>
  <c r="T181" i="5"/>
  <c r="R85" i="5"/>
  <c r="S85" i="5"/>
  <c r="T85" i="5"/>
  <c r="R182" i="5"/>
  <c r="S182" i="5"/>
  <c r="T182" i="5"/>
  <c r="Q182" i="5"/>
  <c r="Q85" i="5"/>
  <c r="Q181" i="5"/>
  <c r="Q84" i="5"/>
  <c r="B225" i="4" l="1"/>
  <c r="B226" i="4" s="1"/>
  <c r="B227" i="4" s="1"/>
  <c r="B228" i="4" s="1"/>
  <c r="B229" i="4" s="1"/>
  <c r="B230" i="4" s="1"/>
  <c r="B231" i="4" s="1"/>
  <c r="B232" i="4" s="1"/>
  <c r="B233" i="4" s="1"/>
  <c r="B234" i="4" s="1"/>
  <c r="B235" i="4" s="1"/>
  <c r="B236" i="4" s="1"/>
  <c r="B237" i="4" s="1"/>
  <c r="B238" i="4" s="1"/>
  <c r="B239" i="4" s="1"/>
  <c r="D13" i="9"/>
  <c r="C13" i="9" s="1"/>
  <c r="C14" i="9" s="1"/>
  <c r="X225" i="4"/>
  <c r="X226" i="4" s="1"/>
  <c r="X227" i="4" s="1"/>
  <c r="X228" i="4" s="1"/>
  <c r="X229" i="4" s="1"/>
  <c r="X230" i="4" s="1"/>
  <c r="X231" i="4" s="1"/>
  <c r="X232" i="4" s="1"/>
  <c r="X233" i="4" s="1"/>
  <c r="X234" i="4" s="1"/>
  <c r="X235" i="4" s="1"/>
  <c r="X236" i="4" s="1"/>
  <c r="X237" i="4" s="1"/>
  <c r="X238" i="4" s="1"/>
  <c r="X239" i="4" s="1"/>
  <c r="B92" i="4"/>
  <c r="B93" i="4" s="1"/>
  <c r="B94" i="4" s="1"/>
  <c r="X732" i="4"/>
  <c r="AG731" i="4"/>
  <c r="AH731" i="4"/>
  <c r="B345" i="4"/>
  <c r="L344" i="4"/>
  <c r="K344" i="4"/>
  <c r="X345" i="4"/>
  <c r="AH344" i="4"/>
  <c r="AG344" i="4"/>
  <c r="B474" i="4"/>
  <c r="L473" i="4"/>
  <c r="K473" i="4"/>
  <c r="X474" i="4"/>
  <c r="AH473" i="4"/>
  <c r="AG473" i="4"/>
  <c r="B603" i="4"/>
  <c r="K602" i="4"/>
  <c r="L602" i="4"/>
  <c r="X603" i="4"/>
  <c r="AG602" i="4"/>
  <c r="AH602" i="4"/>
  <c r="I84" i="5"/>
  <c r="J84" i="5"/>
  <c r="K84" i="5"/>
  <c r="L84" i="5"/>
  <c r="H181" i="5"/>
  <c r="I181" i="5"/>
  <c r="J181" i="5"/>
  <c r="K181" i="5"/>
  <c r="L181" i="5"/>
  <c r="H85" i="5"/>
  <c r="P85" i="5" s="1"/>
  <c r="I85" i="5"/>
  <c r="J85" i="5"/>
  <c r="K85" i="5"/>
  <c r="L85" i="5"/>
  <c r="H182" i="5"/>
  <c r="I182" i="5"/>
  <c r="J182" i="5"/>
  <c r="K182" i="5"/>
  <c r="L182" i="5"/>
  <c r="G182" i="5"/>
  <c r="G181" i="5"/>
  <c r="G85" i="5"/>
  <c r="O85" i="5" s="1"/>
  <c r="G84" i="5"/>
  <c r="O84" i="5" s="1"/>
  <c r="F182" i="5"/>
  <c r="F181" i="5"/>
  <c r="F278" i="5" s="1"/>
  <c r="AE730" i="4"/>
  <c r="AF730" i="4"/>
  <c r="AN730" i="4"/>
  <c r="AO730" i="4"/>
  <c r="AP730" i="4"/>
  <c r="AQ730" i="4"/>
  <c r="AN601" i="4"/>
  <c r="AO601" i="4"/>
  <c r="AP601" i="4"/>
  <c r="AQ601" i="4"/>
  <c r="AE601" i="4"/>
  <c r="AF601" i="4"/>
  <c r="AE472" i="4"/>
  <c r="AF472" i="4"/>
  <c r="AN472" i="4"/>
  <c r="AO472" i="4"/>
  <c r="AP472" i="4"/>
  <c r="AQ472" i="4"/>
  <c r="AE343" i="4"/>
  <c r="AF343" i="4"/>
  <c r="AN343" i="4"/>
  <c r="AO343" i="4"/>
  <c r="AP343" i="4"/>
  <c r="AQ343" i="4"/>
  <c r="R601" i="4"/>
  <c r="S601" i="4"/>
  <c r="T601" i="4"/>
  <c r="U601" i="4"/>
  <c r="I601" i="4"/>
  <c r="J601" i="4"/>
  <c r="R472" i="4"/>
  <c r="S472" i="4"/>
  <c r="T472" i="4"/>
  <c r="U472" i="4"/>
  <c r="J472" i="4"/>
  <c r="I472" i="4"/>
  <c r="R343" i="4"/>
  <c r="S343" i="4"/>
  <c r="T343" i="4"/>
  <c r="U343" i="4"/>
  <c r="J343" i="4"/>
  <c r="I343" i="4"/>
  <c r="J86" i="4" l="1"/>
  <c r="B95" i="4"/>
  <c r="I86" i="4"/>
  <c r="B604" i="4"/>
  <c r="L603" i="4"/>
  <c r="X346" i="4"/>
  <c r="AH345" i="4"/>
  <c r="X475" i="4"/>
  <c r="AH474" i="4"/>
  <c r="B346" i="4"/>
  <c r="L345" i="4"/>
  <c r="X604" i="4"/>
  <c r="AH603" i="4"/>
  <c r="B475" i="4"/>
  <c r="L474" i="4"/>
  <c r="X733" i="4"/>
  <c r="AH732" i="4"/>
  <c r="O278" i="5"/>
  <c r="P278" i="5"/>
  <c r="F279" i="5"/>
  <c r="K87" i="4"/>
  <c r="L87" i="4"/>
  <c r="L216" i="4"/>
  <c r="K216" i="4"/>
  <c r="AH216" i="4"/>
  <c r="AG216" i="4"/>
  <c r="AM730" i="4"/>
  <c r="M181" i="5"/>
  <c r="N85" i="5"/>
  <c r="M85" i="5"/>
  <c r="Y181" i="5"/>
  <c r="AM601" i="4"/>
  <c r="Q601" i="4"/>
  <c r="AE215" i="4"/>
  <c r="Y182" i="5"/>
  <c r="Q472" i="4"/>
  <c r="Q343" i="4"/>
  <c r="AM343" i="4"/>
  <c r="AM472" i="4"/>
  <c r="M84" i="5"/>
  <c r="M182" i="5"/>
  <c r="P181" i="5"/>
  <c r="O182" i="5"/>
  <c r="P182" i="5"/>
  <c r="O181" i="5"/>
  <c r="Y85" i="5"/>
  <c r="N182" i="5"/>
  <c r="N181" i="5"/>
  <c r="AQ729" i="4"/>
  <c r="AP729" i="4"/>
  <c r="AO729" i="4"/>
  <c r="AN729" i="4"/>
  <c r="AF729" i="4"/>
  <c r="AE729" i="4"/>
  <c r="AQ600" i="4"/>
  <c r="AP600" i="4"/>
  <c r="AO600" i="4"/>
  <c r="AN600" i="4"/>
  <c r="AF600" i="4"/>
  <c r="AE600" i="4"/>
  <c r="AQ471" i="4"/>
  <c r="AP471" i="4"/>
  <c r="AO471" i="4"/>
  <c r="AN471" i="4"/>
  <c r="AF471" i="4"/>
  <c r="AE471" i="4"/>
  <c r="AQ342" i="4"/>
  <c r="AP342" i="4"/>
  <c r="AO342" i="4"/>
  <c r="AN342" i="4"/>
  <c r="AF342" i="4"/>
  <c r="AE342" i="4"/>
  <c r="J600" i="4"/>
  <c r="I600" i="4"/>
  <c r="J471" i="4"/>
  <c r="I471" i="4"/>
  <c r="R600" i="4"/>
  <c r="S600" i="4"/>
  <c r="T600" i="4"/>
  <c r="U600" i="4"/>
  <c r="R471" i="4"/>
  <c r="S471" i="4"/>
  <c r="T471" i="4"/>
  <c r="U471" i="4"/>
  <c r="U342" i="4"/>
  <c r="T342" i="4"/>
  <c r="S342" i="4"/>
  <c r="I342" i="4"/>
  <c r="D342" i="4"/>
  <c r="H84" i="5" s="1"/>
  <c r="P84" i="5" s="1"/>
  <c r="B96" i="4" l="1"/>
  <c r="B97" i="4" s="1"/>
  <c r="B98" i="4" s="1"/>
  <c r="B99" i="4" s="1"/>
  <c r="B100" i="4" s="1"/>
  <c r="B101" i="4" s="1"/>
  <c r="B102" i="4" s="1"/>
  <c r="B103" i="4" s="1"/>
  <c r="B104" i="4" s="1"/>
  <c r="B105" i="4" s="1"/>
  <c r="B106" i="4" s="1"/>
  <c r="B107" i="4" s="1"/>
  <c r="B108" i="4" s="1"/>
  <c r="B109" i="4" s="1"/>
  <c r="B110" i="4" s="1"/>
  <c r="I85" i="4"/>
  <c r="AM342" i="4"/>
  <c r="L88" i="4"/>
  <c r="B347" i="4"/>
  <c r="K346" i="4"/>
  <c r="L346" i="4"/>
  <c r="B476" i="4"/>
  <c r="K475" i="4"/>
  <c r="L475" i="4"/>
  <c r="X347" i="4"/>
  <c r="AH346" i="4"/>
  <c r="AG346" i="4"/>
  <c r="AH217" i="4"/>
  <c r="X734" i="4"/>
  <c r="AH733" i="4"/>
  <c r="AG733" i="4"/>
  <c r="X476" i="4"/>
  <c r="AH475" i="4"/>
  <c r="AG475" i="4"/>
  <c r="L217" i="4"/>
  <c r="X605" i="4"/>
  <c r="AH604" i="4"/>
  <c r="AG604" i="4"/>
  <c r="B605" i="4"/>
  <c r="L604" i="4"/>
  <c r="K604" i="4"/>
  <c r="P279" i="5"/>
  <c r="O279" i="5"/>
  <c r="AM600" i="4"/>
  <c r="AM471" i="4"/>
  <c r="R342" i="4"/>
  <c r="Q342" i="4" s="1"/>
  <c r="N84" i="5"/>
  <c r="J342" i="4"/>
  <c r="J85" i="4" s="1"/>
  <c r="AM729" i="4"/>
  <c r="Q471" i="4"/>
  <c r="Y84" i="5"/>
  <c r="Q600" i="4"/>
  <c r="K218" i="4" l="1"/>
  <c r="X477" i="4"/>
  <c r="AH476" i="4"/>
  <c r="AG476" i="4"/>
  <c r="L89" i="4"/>
  <c r="B477" i="4"/>
  <c r="K476" i="4"/>
  <c r="L476" i="4"/>
  <c r="AG218" i="4"/>
  <c r="K89" i="4"/>
  <c r="B606" i="4"/>
  <c r="K605" i="4"/>
  <c r="L605" i="4"/>
  <c r="X606" i="4"/>
  <c r="AH605" i="4"/>
  <c r="AG605" i="4"/>
  <c r="AH218" i="4"/>
  <c r="B348" i="4"/>
  <c r="L347" i="4"/>
  <c r="K347" i="4"/>
  <c r="X348" i="4"/>
  <c r="AG347" i="4"/>
  <c r="AH347" i="4"/>
  <c r="X735" i="4"/>
  <c r="AH734" i="4"/>
  <c r="AG734" i="4"/>
  <c r="L218" i="4"/>
  <c r="B349" i="4" l="1"/>
  <c r="K348" i="4"/>
  <c r="L348" i="4"/>
  <c r="X736" i="4"/>
  <c r="AG735" i="4"/>
  <c r="AH735" i="4"/>
  <c r="X607" i="4"/>
  <c r="AG606" i="4"/>
  <c r="AH606" i="4"/>
  <c r="X478" i="4"/>
  <c r="AG477" i="4"/>
  <c r="AH477" i="4"/>
  <c r="L219" i="4"/>
  <c r="AG219" i="4"/>
  <c r="K90" i="4"/>
  <c r="K219" i="4"/>
  <c r="X349" i="4"/>
  <c r="AG348" i="4"/>
  <c r="AH348" i="4"/>
  <c r="AH219" i="4"/>
  <c r="L90" i="4"/>
  <c r="B607" i="4"/>
  <c r="K606" i="4"/>
  <c r="L606" i="4"/>
  <c r="B478" i="4"/>
  <c r="L477" i="4"/>
  <c r="K477" i="4"/>
  <c r="V180" i="5"/>
  <c r="T180" i="5"/>
  <c r="S180" i="5"/>
  <c r="R180" i="5"/>
  <c r="Q180" i="5"/>
  <c r="L180" i="5"/>
  <c r="K180" i="5"/>
  <c r="J180" i="5"/>
  <c r="I180" i="5"/>
  <c r="G180" i="5"/>
  <c r="V83" i="5"/>
  <c r="T83" i="5"/>
  <c r="S83" i="5"/>
  <c r="R83" i="5"/>
  <c r="Q83" i="5"/>
  <c r="L83" i="5"/>
  <c r="K83" i="5"/>
  <c r="J83" i="5"/>
  <c r="I83" i="5"/>
  <c r="G83" i="5"/>
  <c r="F180" i="5"/>
  <c r="Z470" i="4"/>
  <c r="AQ341" i="4"/>
  <c r="AP341" i="4"/>
  <c r="AO341" i="4"/>
  <c r="AE341" i="4"/>
  <c r="Z341" i="4"/>
  <c r="AQ470" i="4"/>
  <c r="AP470" i="4"/>
  <c r="AO470" i="4"/>
  <c r="AE470" i="4"/>
  <c r="Z728" i="4"/>
  <c r="AE728" i="4"/>
  <c r="AQ728" i="4"/>
  <c r="AP728" i="4"/>
  <c r="AO728" i="4"/>
  <c r="AQ599" i="4"/>
  <c r="AP599" i="4"/>
  <c r="AO599" i="4"/>
  <c r="AE599" i="4"/>
  <c r="Z599" i="4"/>
  <c r="S599" i="4"/>
  <c r="T599" i="4"/>
  <c r="U599" i="4"/>
  <c r="I599" i="4"/>
  <c r="D599" i="4"/>
  <c r="D470" i="4"/>
  <c r="J470" i="4" s="1"/>
  <c r="I470" i="4"/>
  <c r="U470" i="4"/>
  <c r="T470" i="4"/>
  <c r="S470" i="4"/>
  <c r="S341" i="4"/>
  <c r="T341" i="4"/>
  <c r="U341" i="4"/>
  <c r="I341" i="4"/>
  <c r="D341" i="4"/>
  <c r="R341" i="4" s="1"/>
  <c r="X737" i="4" l="1"/>
  <c r="AG736" i="4"/>
  <c r="AH736" i="4"/>
  <c r="B608" i="4"/>
  <c r="K607" i="4"/>
  <c r="L607" i="4"/>
  <c r="X608" i="4"/>
  <c r="AH607" i="4"/>
  <c r="AG607" i="4"/>
  <c r="X479" i="4"/>
  <c r="AH478" i="4"/>
  <c r="AG478" i="4"/>
  <c r="B479" i="4"/>
  <c r="K478" i="4"/>
  <c r="L478" i="4"/>
  <c r="I84" i="4"/>
  <c r="X350" i="4"/>
  <c r="AG349" i="4"/>
  <c r="AH349" i="4"/>
  <c r="B350" i="4"/>
  <c r="L349" i="4"/>
  <c r="K349" i="4"/>
  <c r="K220" i="4"/>
  <c r="R599" i="4"/>
  <c r="Q599" i="4" s="1"/>
  <c r="H277" i="5"/>
  <c r="AF470" i="4"/>
  <c r="H477" i="5"/>
  <c r="L220" i="4"/>
  <c r="AH220" i="4"/>
  <c r="AG220" i="4"/>
  <c r="AN341" i="4"/>
  <c r="AM341" i="4" s="1"/>
  <c r="H377" i="5"/>
  <c r="AN599" i="4"/>
  <c r="AM599" i="4" s="1"/>
  <c r="H578" i="5"/>
  <c r="L91" i="4"/>
  <c r="AN728" i="4"/>
  <c r="AM728" i="4" s="1"/>
  <c r="H679" i="5"/>
  <c r="K91" i="4"/>
  <c r="F277" i="5"/>
  <c r="O180" i="5"/>
  <c r="AF728" i="4"/>
  <c r="H83" i="5"/>
  <c r="P83" i="5" s="1"/>
  <c r="J341" i="4"/>
  <c r="J599" i="4"/>
  <c r="H180" i="5"/>
  <c r="N180" i="5" s="1"/>
  <c r="AF599" i="4"/>
  <c r="AF341" i="4"/>
  <c r="M83" i="5"/>
  <c r="Q341" i="4"/>
  <c r="O83" i="5"/>
  <c r="M180" i="5"/>
  <c r="AN470" i="4"/>
  <c r="AM470" i="4" s="1"/>
  <c r="R470" i="4"/>
  <c r="Q470" i="4" s="1"/>
  <c r="AH221" i="4" l="1"/>
  <c r="X738" i="4"/>
  <c r="AG737" i="4"/>
  <c r="AH737" i="4"/>
  <c r="X609" i="4"/>
  <c r="AH608" i="4"/>
  <c r="AG608" i="4"/>
  <c r="B609" i="4"/>
  <c r="K608" i="4"/>
  <c r="L608" i="4"/>
  <c r="B480" i="4"/>
  <c r="L479" i="4"/>
  <c r="K479" i="4"/>
  <c r="X480" i="4"/>
  <c r="AG479" i="4"/>
  <c r="AH479" i="4"/>
  <c r="AG221" i="4"/>
  <c r="K221" i="4"/>
  <c r="K92" i="4"/>
  <c r="J84" i="4"/>
  <c r="L92" i="4"/>
  <c r="L221" i="4"/>
  <c r="X351" i="4"/>
  <c r="AG350" i="4"/>
  <c r="AH350" i="4"/>
  <c r="B351" i="4"/>
  <c r="L350" i="4"/>
  <c r="K350" i="4"/>
  <c r="N477" i="5"/>
  <c r="Y477" i="5"/>
  <c r="P477" i="5"/>
  <c r="N578" i="5"/>
  <c r="Y578" i="5"/>
  <c r="P578" i="5"/>
  <c r="Y277" i="5"/>
  <c r="N277" i="5"/>
  <c r="Y377" i="5"/>
  <c r="N377" i="5"/>
  <c r="P377" i="5"/>
  <c r="N679" i="5"/>
  <c r="Y679" i="5"/>
  <c r="P679" i="5"/>
  <c r="O277" i="5"/>
  <c r="P277" i="5"/>
  <c r="N83" i="5"/>
  <c r="P180" i="5"/>
  <c r="Y180" i="5"/>
  <c r="Y83" i="5"/>
  <c r="Y3" i="5"/>
  <c r="Y4" i="5"/>
  <c r="Y5" i="5"/>
  <c r="Y6" i="5"/>
  <c r="Y7" i="5"/>
  <c r="Y8" i="5"/>
  <c r="Y9" i="5"/>
  <c r="Y10" i="5"/>
  <c r="Y11" i="5"/>
  <c r="Y12" i="5"/>
  <c r="Y13" i="5"/>
  <c r="Y14" i="5"/>
  <c r="Y16" i="5"/>
  <c r="Y17" i="5"/>
  <c r="Y27" i="5"/>
  <c r="Y32" i="5"/>
  <c r="Y45" i="5"/>
  <c r="Y50" i="5"/>
  <c r="Y51" i="5"/>
  <c r="Y52" i="5"/>
  <c r="Y53" i="5"/>
  <c r="Y54" i="5"/>
  <c r="Y55" i="5"/>
  <c r="Y57" i="5"/>
  <c r="Y58" i="5"/>
  <c r="Y59" i="5"/>
  <c r="Y60" i="5"/>
  <c r="Y61" i="5"/>
  <c r="Y62" i="5"/>
  <c r="Y63" i="5"/>
  <c r="Y65" i="5"/>
  <c r="Y66" i="5"/>
  <c r="Y67" i="5"/>
  <c r="Y68" i="5"/>
  <c r="Y69" i="5"/>
  <c r="Y70" i="5"/>
  <c r="Y71" i="5"/>
  <c r="Y72" i="5"/>
  <c r="Y73" i="5"/>
  <c r="Y74" i="5"/>
  <c r="Y75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3" i="5"/>
  <c r="Y114" i="5"/>
  <c r="Y124" i="5"/>
  <c r="Y129" i="5"/>
  <c r="Y142" i="5"/>
  <c r="Y147" i="5"/>
  <c r="Y148" i="5"/>
  <c r="Y149" i="5"/>
  <c r="Y150" i="5"/>
  <c r="Y151" i="5"/>
  <c r="Y152" i="5"/>
  <c r="Y154" i="5"/>
  <c r="Y156" i="5"/>
  <c r="Y157" i="5"/>
  <c r="Y158" i="5"/>
  <c r="Y159" i="5"/>
  <c r="Y160" i="5"/>
  <c r="Y162" i="5"/>
  <c r="Y163" i="5"/>
  <c r="Y164" i="5"/>
  <c r="Y165" i="5"/>
  <c r="Y166" i="5"/>
  <c r="Y167" i="5"/>
  <c r="Y168" i="5"/>
  <c r="Y169" i="5"/>
  <c r="Y170" i="5"/>
  <c r="Y171" i="5"/>
  <c r="Y172" i="5"/>
  <c r="Y226" i="5"/>
  <c r="Y239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9" i="5"/>
  <c r="Y260" i="5"/>
  <c r="Y261" i="5"/>
  <c r="Y262" i="5"/>
  <c r="Y263" i="5"/>
  <c r="Y264" i="5"/>
  <c r="Y265" i="5"/>
  <c r="Y266" i="5"/>
  <c r="Y267" i="5"/>
  <c r="Y268" i="5"/>
  <c r="Y269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10" i="5"/>
  <c r="Y311" i="5"/>
  <c r="Y321" i="5"/>
  <c r="Y326" i="5"/>
  <c r="Y339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9" i="5"/>
  <c r="Y360" i="5"/>
  <c r="Y361" i="5"/>
  <c r="Y362" i="5"/>
  <c r="Y363" i="5"/>
  <c r="Y364" i="5"/>
  <c r="Y365" i="5"/>
  <c r="Y366" i="5"/>
  <c r="Y367" i="5"/>
  <c r="Y368" i="5"/>
  <c r="Y369" i="5"/>
  <c r="Y396" i="5"/>
  <c r="Y397" i="5"/>
  <c r="Y398" i="5"/>
  <c r="Y399" i="5"/>
  <c r="Y400" i="5"/>
  <c r="Y401" i="5"/>
  <c r="Y402" i="5"/>
  <c r="Y403" i="5"/>
  <c r="Y404" i="5"/>
  <c r="Y405" i="5"/>
  <c r="Y406" i="5"/>
  <c r="Y407" i="5"/>
  <c r="Y408" i="5"/>
  <c r="Y410" i="5"/>
  <c r="Y411" i="5"/>
  <c r="Y421" i="5"/>
  <c r="Y426" i="5"/>
  <c r="Y439" i="5"/>
  <c r="Y444" i="5"/>
  <c r="Y445" i="5"/>
  <c r="Y446" i="5"/>
  <c r="Y447" i="5"/>
  <c r="Y448" i="5"/>
  <c r="Y449" i="5"/>
  <c r="Y450" i="5"/>
  <c r="Y451" i="5"/>
  <c r="Y452" i="5"/>
  <c r="Y453" i="5"/>
  <c r="Y454" i="5"/>
  <c r="Y455" i="5"/>
  <c r="Y456" i="5"/>
  <c r="Y457" i="5"/>
  <c r="Y459" i="5"/>
  <c r="Y460" i="5"/>
  <c r="Y461" i="5"/>
  <c r="Y462" i="5"/>
  <c r="Y463" i="5"/>
  <c r="Y464" i="5"/>
  <c r="Y465" i="5"/>
  <c r="Y466" i="5"/>
  <c r="Y467" i="5"/>
  <c r="Y468" i="5"/>
  <c r="Y469" i="5"/>
  <c r="Y497" i="5"/>
  <c r="Y498" i="5"/>
  <c r="Y499" i="5"/>
  <c r="Y500" i="5"/>
  <c r="Y501" i="5"/>
  <c r="Y502" i="5"/>
  <c r="Y503" i="5"/>
  <c r="Y504" i="5"/>
  <c r="Y505" i="5"/>
  <c r="Y506" i="5"/>
  <c r="Y507" i="5"/>
  <c r="Y508" i="5"/>
  <c r="Y509" i="5"/>
  <c r="Y511" i="5"/>
  <c r="Y512" i="5"/>
  <c r="Y522" i="5"/>
  <c r="Y527" i="5"/>
  <c r="Y540" i="5"/>
  <c r="Y545" i="5"/>
  <c r="Y546" i="5"/>
  <c r="Y547" i="5"/>
  <c r="Y548" i="5"/>
  <c r="Y549" i="5"/>
  <c r="Y550" i="5"/>
  <c r="Y551" i="5"/>
  <c r="Y552" i="5"/>
  <c r="Y554" i="5"/>
  <c r="Y555" i="5"/>
  <c r="Y556" i="5"/>
  <c r="Y557" i="5"/>
  <c r="Y558" i="5"/>
  <c r="Y560" i="5"/>
  <c r="Y561" i="5"/>
  <c r="Y562" i="5"/>
  <c r="Y563" i="5"/>
  <c r="Y564" i="5"/>
  <c r="Y565" i="5"/>
  <c r="Y566" i="5"/>
  <c r="Y567" i="5"/>
  <c r="Y568" i="5"/>
  <c r="Y569" i="5"/>
  <c r="Y570" i="5"/>
  <c r="Y598" i="5"/>
  <c r="Y599" i="5"/>
  <c r="Y600" i="5"/>
  <c r="Y601" i="5"/>
  <c r="Y602" i="5"/>
  <c r="Y603" i="5"/>
  <c r="Y604" i="5"/>
  <c r="Y605" i="5"/>
  <c r="Y606" i="5"/>
  <c r="Y607" i="5"/>
  <c r="Y608" i="5"/>
  <c r="Y609" i="5"/>
  <c r="Y610" i="5"/>
  <c r="Y612" i="5"/>
  <c r="Y613" i="5"/>
  <c r="Y623" i="5"/>
  <c r="Y628" i="5"/>
  <c r="Y641" i="5"/>
  <c r="Y646" i="5"/>
  <c r="Y647" i="5"/>
  <c r="Y648" i="5"/>
  <c r="Y649" i="5"/>
  <c r="Y650" i="5"/>
  <c r="Y651" i="5"/>
  <c r="Y652" i="5"/>
  <c r="Y653" i="5"/>
  <c r="Y654" i="5"/>
  <c r="Y655" i="5"/>
  <c r="Y656" i="5"/>
  <c r="Y657" i="5"/>
  <c r="Y658" i="5"/>
  <c r="Y659" i="5"/>
  <c r="Y661" i="5"/>
  <c r="Y662" i="5"/>
  <c r="Y663" i="5"/>
  <c r="Y664" i="5"/>
  <c r="Y665" i="5"/>
  <c r="Y666" i="5"/>
  <c r="Y667" i="5"/>
  <c r="Y668" i="5"/>
  <c r="Y669" i="5"/>
  <c r="Y670" i="5"/>
  <c r="Y671" i="5"/>
  <c r="Y76" i="5"/>
  <c r="Y173" i="5"/>
  <c r="Y672" i="5"/>
  <c r="Y2" i="5"/>
  <c r="X739" i="4" l="1"/>
  <c r="AG738" i="4"/>
  <c r="AH738" i="4"/>
  <c r="B610" i="4"/>
  <c r="K609" i="4"/>
  <c r="L609" i="4"/>
  <c r="X352" i="4"/>
  <c r="AG351" i="4"/>
  <c r="AH351" i="4"/>
  <c r="B352" i="4"/>
  <c r="K351" i="4"/>
  <c r="L351" i="4"/>
  <c r="X481" i="4"/>
  <c r="AG480" i="4"/>
  <c r="AH480" i="4"/>
  <c r="X610" i="4"/>
  <c r="AG609" i="4"/>
  <c r="AH609" i="4"/>
  <c r="B481" i="4"/>
  <c r="K480" i="4"/>
  <c r="L480" i="4"/>
  <c r="L222" i="4"/>
  <c r="L93" i="4"/>
  <c r="AG222" i="4"/>
  <c r="AH222" i="4"/>
  <c r="K222" i="4"/>
  <c r="K93" i="4"/>
  <c r="V179" i="5"/>
  <c r="V82" i="5"/>
  <c r="V178" i="5"/>
  <c r="V81" i="5"/>
  <c r="T179" i="5"/>
  <c r="S179" i="5"/>
  <c r="R179" i="5"/>
  <c r="Q179" i="5"/>
  <c r="T82" i="5"/>
  <c r="S82" i="5"/>
  <c r="R82" i="5"/>
  <c r="Q82" i="5"/>
  <c r="T178" i="5"/>
  <c r="S178" i="5"/>
  <c r="R178" i="5"/>
  <c r="Q178" i="5"/>
  <c r="T81" i="5"/>
  <c r="S81" i="5"/>
  <c r="R81" i="5"/>
  <c r="Q81" i="5"/>
  <c r="M671" i="5"/>
  <c r="N671" i="5"/>
  <c r="O671" i="5"/>
  <c r="P671" i="5"/>
  <c r="M76" i="5"/>
  <c r="N76" i="5"/>
  <c r="O76" i="5"/>
  <c r="P76" i="5"/>
  <c r="M173" i="5"/>
  <c r="N173" i="5"/>
  <c r="M672" i="5"/>
  <c r="N672" i="5"/>
  <c r="P670" i="5"/>
  <c r="O670" i="5"/>
  <c r="N670" i="5"/>
  <c r="M670" i="5"/>
  <c r="P669" i="5"/>
  <c r="O669" i="5"/>
  <c r="N669" i="5"/>
  <c r="M669" i="5"/>
  <c r="P668" i="5"/>
  <c r="O668" i="5"/>
  <c r="N668" i="5"/>
  <c r="M668" i="5"/>
  <c r="P667" i="5"/>
  <c r="O667" i="5"/>
  <c r="N667" i="5"/>
  <c r="M667" i="5"/>
  <c r="P666" i="5"/>
  <c r="O666" i="5"/>
  <c r="N666" i="5"/>
  <c r="M666" i="5"/>
  <c r="P665" i="5"/>
  <c r="O665" i="5"/>
  <c r="N665" i="5"/>
  <c r="M665" i="5"/>
  <c r="P664" i="5"/>
  <c r="O664" i="5"/>
  <c r="N664" i="5"/>
  <c r="M664" i="5"/>
  <c r="P663" i="5"/>
  <c r="O663" i="5"/>
  <c r="N663" i="5"/>
  <c r="M663" i="5"/>
  <c r="P662" i="5"/>
  <c r="O662" i="5"/>
  <c r="N662" i="5"/>
  <c r="M662" i="5"/>
  <c r="P661" i="5"/>
  <c r="O661" i="5"/>
  <c r="N661" i="5"/>
  <c r="M661" i="5"/>
  <c r="O660" i="5"/>
  <c r="M660" i="5"/>
  <c r="P659" i="5"/>
  <c r="O659" i="5"/>
  <c r="N659" i="5"/>
  <c r="M659" i="5"/>
  <c r="P658" i="5"/>
  <c r="O658" i="5"/>
  <c r="N658" i="5"/>
  <c r="M658" i="5"/>
  <c r="P657" i="5"/>
  <c r="O657" i="5"/>
  <c r="N657" i="5"/>
  <c r="M657" i="5"/>
  <c r="P656" i="5"/>
  <c r="O656" i="5"/>
  <c r="N656" i="5"/>
  <c r="M656" i="5"/>
  <c r="P655" i="5"/>
  <c r="O655" i="5"/>
  <c r="N655" i="5"/>
  <c r="M655" i="5"/>
  <c r="P654" i="5"/>
  <c r="O654" i="5"/>
  <c r="N654" i="5"/>
  <c r="M654" i="5"/>
  <c r="P653" i="5"/>
  <c r="O653" i="5"/>
  <c r="N653" i="5"/>
  <c r="M653" i="5"/>
  <c r="P652" i="5"/>
  <c r="O652" i="5"/>
  <c r="N652" i="5"/>
  <c r="M652" i="5"/>
  <c r="P651" i="5"/>
  <c r="O651" i="5"/>
  <c r="N651" i="5"/>
  <c r="M651" i="5"/>
  <c r="P650" i="5"/>
  <c r="O650" i="5"/>
  <c r="N650" i="5"/>
  <c r="M650" i="5"/>
  <c r="P649" i="5"/>
  <c r="O649" i="5"/>
  <c r="N649" i="5"/>
  <c r="M649" i="5"/>
  <c r="P648" i="5"/>
  <c r="O648" i="5"/>
  <c r="N648" i="5"/>
  <c r="M648" i="5"/>
  <c r="P647" i="5"/>
  <c r="O647" i="5"/>
  <c r="N647" i="5"/>
  <c r="M647" i="5"/>
  <c r="P646" i="5"/>
  <c r="O646" i="5"/>
  <c r="N646" i="5"/>
  <c r="M646" i="5"/>
  <c r="O645" i="5"/>
  <c r="M645" i="5"/>
  <c r="O644" i="5"/>
  <c r="M644" i="5"/>
  <c r="O643" i="5"/>
  <c r="M643" i="5"/>
  <c r="O642" i="5"/>
  <c r="M642" i="5"/>
  <c r="P641" i="5"/>
  <c r="O641" i="5"/>
  <c r="N641" i="5"/>
  <c r="M641" i="5"/>
  <c r="O640" i="5"/>
  <c r="M640" i="5"/>
  <c r="O639" i="5"/>
  <c r="M639" i="5"/>
  <c r="O638" i="5"/>
  <c r="M638" i="5"/>
  <c r="O637" i="5"/>
  <c r="M637" i="5"/>
  <c r="O636" i="5"/>
  <c r="M636" i="5"/>
  <c r="O635" i="5"/>
  <c r="M635" i="5"/>
  <c r="O634" i="5"/>
  <c r="M634" i="5"/>
  <c r="O633" i="5"/>
  <c r="M633" i="5"/>
  <c r="O632" i="5"/>
  <c r="M632" i="5"/>
  <c r="O631" i="5"/>
  <c r="M631" i="5"/>
  <c r="O630" i="5"/>
  <c r="M630" i="5"/>
  <c r="O629" i="5"/>
  <c r="M629" i="5"/>
  <c r="P628" i="5"/>
  <c r="O628" i="5"/>
  <c r="N628" i="5"/>
  <c r="M628" i="5"/>
  <c r="O627" i="5"/>
  <c r="M627" i="5"/>
  <c r="O626" i="5"/>
  <c r="M626" i="5"/>
  <c r="O625" i="5"/>
  <c r="M625" i="5"/>
  <c r="O624" i="5"/>
  <c r="M624" i="5"/>
  <c r="P623" i="5"/>
  <c r="O623" i="5"/>
  <c r="N623" i="5"/>
  <c r="M623" i="5"/>
  <c r="O622" i="5"/>
  <c r="M622" i="5"/>
  <c r="O621" i="5"/>
  <c r="M621" i="5"/>
  <c r="O620" i="5"/>
  <c r="M620" i="5"/>
  <c r="O619" i="5"/>
  <c r="M619" i="5"/>
  <c r="O618" i="5"/>
  <c r="M618" i="5"/>
  <c r="O617" i="5"/>
  <c r="M617" i="5"/>
  <c r="O616" i="5"/>
  <c r="M616" i="5"/>
  <c r="O615" i="5"/>
  <c r="M615" i="5"/>
  <c r="O614" i="5"/>
  <c r="M614" i="5"/>
  <c r="P613" i="5"/>
  <c r="O613" i="5"/>
  <c r="N613" i="5"/>
  <c r="M613" i="5"/>
  <c r="P570" i="5"/>
  <c r="O570" i="5"/>
  <c r="N570" i="5"/>
  <c r="M570" i="5"/>
  <c r="P569" i="5"/>
  <c r="O569" i="5"/>
  <c r="N569" i="5"/>
  <c r="M569" i="5"/>
  <c r="P568" i="5"/>
  <c r="O568" i="5"/>
  <c r="N568" i="5"/>
  <c r="M568" i="5"/>
  <c r="P567" i="5"/>
  <c r="O567" i="5"/>
  <c r="N567" i="5"/>
  <c r="M567" i="5"/>
  <c r="P566" i="5"/>
  <c r="O566" i="5"/>
  <c r="N566" i="5"/>
  <c r="M566" i="5"/>
  <c r="P565" i="5"/>
  <c r="O565" i="5"/>
  <c r="N565" i="5"/>
  <c r="M565" i="5"/>
  <c r="P564" i="5"/>
  <c r="O564" i="5"/>
  <c r="N564" i="5"/>
  <c r="M564" i="5"/>
  <c r="P563" i="5"/>
  <c r="O563" i="5"/>
  <c r="N563" i="5"/>
  <c r="M563" i="5"/>
  <c r="P562" i="5"/>
  <c r="O562" i="5"/>
  <c r="N562" i="5"/>
  <c r="M562" i="5"/>
  <c r="P561" i="5"/>
  <c r="O561" i="5"/>
  <c r="N561" i="5"/>
  <c r="M561" i="5"/>
  <c r="P560" i="5"/>
  <c r="O560" i="5"/>
  <c r="N560" i="5"/>
  <c r="M560" i="5"/>
  <c r="O559" i="5"/>
  <c r="M559" i="5"/>
  <c r="P558" i="5"/>
  <c r="O558" i="5"/>
  <c r="N558" i="5"/>
  <c r="M558" i="5"/>
  <c r="P557" i="5"/>
  <c r="O557" i="5"/>
  <c r="N557" i="5"/>
  <c r="M557" i="5"/>
  <c r="P556" i="5"/>
  <c r="O556" i="5"/>
  <c r="N556" i="5"/>
  <c r="M556" i="5"/>
  <c r="P555" i="5"/>
  <c r="O555" i="5"/>
  <c r="N555" i="5"/>
  <c r="M555" i="5"/>
  <c r="P554" i="5"/>
  <c r="O554" i="5"/>
  <c r="N554" i="5"/>
  <c r="M554" i="5"/>
  <c r="P553" i="5"/>
  <c r="O553" i="5"/>
  <c r="M553" i="5"/>
  <c r="P552" i="5"/>
  <c r="O552" i="5"/>
  <c r="N552" i="5"/>
  <c r="M552" i="5"/>
  <c r="P551" i="5"/>
  <c r="O551" i="5"/>
  <c r="N551" i="5"/>
  <c r="M551" i="5"/>
  <c r="P550" i="5"/>
  <c r="O550" i="5"/>
  <c r="N550" i="5"/>
  <c r="M550" i="5"/>
  <c r="P549" i="5"/>
  <c r="O549" i="5"/>
  <c r="N549" i="5"/>
  <c r="M549" i="5"/>
  <c r="P548" i="5"/>
  <c r="O548" i="5"/>
  <c r="N548" i="5"/>
  <c r="M548" i="5"/>
  <c r="P547" i="5"/>
  <c r="O547" i="5"/>
  <c r="N547" i="5"/>
  <c r="M547" i="5"/>
  <c r="P546" i="5"/>
  <c r="O546" i="5"/>
  <c r="N546" i="5"/>
  <c r="M546" i="5"/>
  <c r="P545" i="5"/>
  <c r="O545" i="5"/>
  <c r="N545" i="5"/>
  <c r="M545" i="5"/>
  <c r="O544" i="5"/>
  <c r="M544" i="5"/>
  <c r="O543" i="5"/>
  <c r="M543" i="5"/>
  <c r="O542" i="5"/>
  <c r="M542" i="5"/>
  <c r="O541" i="5"/>
  <c r="M541" i="5"/>
  <c r="P540" i="5"/>
  <c r="O540" i="5"/>
  <c r="N540" i="5"/>
  <c r="M540" i="5"/>
  <c r="O539" i="5"/>
  <c r="M539" i="5"/>
  <c r="O538" i="5"/>
  <c r="M538" i="5"/>
  <c r="O537" i="5"/>
  <c r="M537" i="5"/>
  <c r="O536" i="5"/>
  <c r="M536" i="5"/>
  <c r="O535" i="5"/>
  <c r="M535" i="5"/>
  <c r="O534" i="5"/>
  <c r="M534" i="5"/>
  <c r="O533" i="5"/>
  <c r="M533" i="5"/>
  <c r="O532" i="5"/>
  <c r="M532" i="5"/>
  <c r="O531" i="5"/>
  <c r="M531" i="5"/>
  <c r="O530" i="5"/>
  <c r="M530" i="5"/>
  <c r="O529" i="5"/>
  <c r="M529" i="5"/>
  <c r="O528" i="5"/>
  <c r="M528" i="5"/>
  <c r="P527" i="5"/>
  <c r="O527" i="5"/>
  <c r="N527" i="5"/>
  <c r="M527" i="5"/>
  <c r="O526" i="5"/>
  <c r="M526" i="5"/>
  <c r="O525" i="5"/>
  <c r="M525" i="5"/>
  <c r="O524" i="5"/>
  <c r="M524" i="5"/>
  <c r="O523" i="5"/>
  <c r="M523" i="5"/>
  <c r="P522" i="5"/>
  <c r="O522" i="5"/>
  <c r="N522" i="5"/>
  <c r="M522" i="5"/>
  <c r="O521" i="5"/>
  <c r="M521" i="5"/>
  <c r="O520" i="5"/>
  <c r="M520" i="5"/>
  <c r="O519" i="5"/>
  <c r="M519" i="5"/>
  <c r="O518" i="5"/>
  <c r="M518" i="5"/>
  <c r="O517" i="5"/>
  <c r="M517" i="5"/>
  <c r="O516" i="5"/>
  <c r="M516" i="5"/>
  <c r="O515" i="5"/>
  <c r="M515" i="5"/>
  <c r="O514" i="5"/>
  <c r="M514" i="5"/>
  <c r="O513" i="5"/>
  <c r="M513" i="5"/>
  <c r="P512" i="5"/>
  <c r="O512" i="5"/>
  <c r="N512" i="5"/>
  <c r="M512" i="5"/>
  <c r="P469" i="5"/>
  <c r="O469" i="5"/>
  <c r="N469" i="5"/>
  <c r="M469" i="5"/>
  <c r="P468" i="5"/>
  <c r="O468" i="5"/>
  <c r="N468" i="5"/>
  <c r="M468" i="5"/>
  <c r="P467" i="5"/>
  <c r="O467" i="5"/>
  <c r="N467" i="5"/>
  <c r="M467" i="5"/>
  <c r="P466" i="5"/>
  <c r="O466" i="5"/>
  <c r="N466" i="5"/>
  <c r="M466" i="5"/>
  <c r="P465" i="5"/>
  <c r="O465" i="5"/>
  <c r="N465" i="5"/>
  <c r="M465" i="5"/>
  <c r="P464" i="5"/>
  <c r="O464" i="5"/>
  <c r="N464" i="5"/>
  <c r="M464" i="5"/>
  <c r="P463" i="5"/>
  <c r="O463" i="5"/>
  <c r="N463" i="5"/>
  <c r="M463" i="5"/>
  <c r="P462" i="5"/>
  <c r="O462" i="5"/>
  <c r="N462" i="5"/>
  <c r="M462" i="5"/>
  <c r="P461" i="5"/>
  <c r="O461" i="5"/>
  <c r="N461" i="5"/>
  <c r="M461" i="5"/>
  <c r="P460" i="5"/>
  <c r="O460" i="5"/>
  <c r="N460" i="5"/>
  <c r="M460" i="5"/>
  <c r="P459" i="5"/>
  <c r="O459" i="5"/>
  <c r="N459" i="5"/>
  <c r="M459" i="5"/>
  <c r="O458" i="5"/>
  <c r="M458" i="5"/>
  <c r="P457" i="5"/>
  <c r="O457" i="5"/>
  <c r="N457" i="5"/>
  <c r="M457" i="5"/>
  <c r="P456" i="5"/>
  <c r="O456" i="5"/>
  <c r="N456" i="5"/>
  <c r="M456" i="5"/>
  <c r="P455" i="5"/>
  <c r="O455" i="5"/>
  <c r="N455" i="5"/>
  <c r="M455" i="5"/>
  <c r="P454" i="5"/>
  <c r="O454" i="5"/>
  <c r="N454" i="5"/>
  <c r="M454" i="5"/>
  <c r="P453" i="5"/>
  <c r="O453" i="5"/>
  <c r="N453" i="5"/>
  <c r="M453" i="5"/>
  <c r="P452" i="5"/>
  <c r="O452" i="5"/>
  <c r="N452" i="5"/>
  <c r="M452" i="5"/>
  <c r="P451" i="5"/>
  <c r="O451" i="5"/>
  <c r="N451" i="5"/>
  <c r="M451" i="5"/>
  <c r="P450" i="5"/>
  <c r="O450" i="5"/>
  <c r="N450" i="5"/>
  <c r="M450" i="5"/>
  <c r="P449" i="5"/>
  <c r="O449" i="5"/>
  <c r="N449" i="5"/>
  <c r="M449" i="5"/>
  <c r="P448" i="5"/>
  <c r="O448" i="5"/>
  <c r="N448" i="5"/>
  <c r="M448" i="5"/>
  <c r="P447" i="5"/>
  <c r="O447" i="5"/>
  <c r="N447" i="5"/>
  <c r="M447" i="5"/>
  <c r="P446" i="5"/>
  <c r="O446" i="5"/>
  <c r="N446" i="5"/>
  <c r="M446" i="5"/>
  <c r="P445" i="5"/>
  <c r="O445" i="5"/>
  <c r="N445" i="5"/>
  <c r="M445" i="5"/>
  <c r="P444" i="5"/>
  <c r="O444" i="5"/>
  <c r="N444" i="5"/>
  <c r="M444" i="5"/>
  <c r="O443" i="5"/>
  <c r="M443" i="5"/>
  <c r="O442" i="5"/>
  <c r="M442" i="5"/>
  <c r="O441" i="5"/>
  <c r="M441" i="5"/>
  <c r="O440" i="5"/>
  <c r="M440" i="5"/>
  <c r="P439" i="5"/>
  <c r="O439" i="5"/>
  <c r="N439" i="5"/>
  <c r="M439" i="5"/>
  <c r="O438" i="5"/>
  <c r="M438" i="5"/>
  <c r="O437" i="5"/>
  <c r="M437" i="5"/>
  <c r="O436" i="5"/>
  <c r="M436" i="5"/>
  <c r="O435" i="5"/>
  <c r="M435" i="5"/>
  <c r="O434" i="5"/>
  <c r="M434" i="5"/>
  <c r="O433" i="5"/>
  <c r="M433" i="5"/>
  <c r="O432" i="5"/>
  <c r="M432" i="5"/>
  <c r="O431" i="5"/>
  <c r="M431" i="5"/>
  <c r="O430" i="5"/>
  <c r="M430" i="5"/>
  <c r="O429" i="5"/>
  <c r="M429" i="5"/>
  <c r="O428" i="5"/>
  <c r="M428" i="5"/>
  <c r="O427" i="5"/>
  <c r="M427" i="5"/>
  <c r="P426" i="5"/>
  <c r="O426" i="5"/>
  <c r="N426" i="5"/>
  <c r="M426" i="5"/>
  <c r="O425" i="5"/>
  <c r="M425" i="5"/>
  <c r="O424" i="5"/>
  <c r="M424" i="5"/>
  <c r="O423" i="5"/>
  <c r="M423" i="5"/>
  <c r="O422" i="5"/>
  <c r="M422" i="5"/>
  <c r="P421" i="5"/>
  <c r="O421" i="5"/>
  <c r="N421" i="5"/>
  <c r="M421" i="5"/>
  <c r="O420" i="5"/>
  <c r="M420" i="5"/>
  <c r="O419" i="5"/>
  <c r="M419" i="5"/>
  <c r="O418" i="5"/>
  <c r="M418" i="5"/>
  <c r="O417" i="5"/>
  <c r="M417" i="5"/>
  <c r="O416" i="5"/>
  <c r="M416" i="5"/>
  <c r="O415" i="5"/>
  <c r="M415" i="5"/>
  <c r="O414" i="5"/>
  <c r="M414" i="5"/>
  <c r="O413" i="5"/>
  <c r="M413" i="5"/>
  <c r="O412" i="5"/>
  <c r="M412" i="5"/>
  <c r="P411" i="5"/>
  <c r="O411" i="5"/>
  <c r="N411" i="5"/>
  <c r="M411" i="5"/>
  <c r="P369" i="5"/>
  <c r="O369" i="5"/>
  <c r="N369" i="5"/>
  <c r="M369" i="5"/>
  <c r="P368" i="5"/>
  <c r="O368" i="5"/>
  <c r="N368" i="5"/>
  <c r="M368" i="5"/>
  <c r="P367" i="5"/>
  <c r="O367" i="5"/>
  <c r="N367" i="5"/>
  <c r="M367" i="5"/>
  <c r="P366" i="5"/>
  <c r="O366" i="5"/>
  <c r="N366" i="5"/>
  <c r="M366" i="5"/>
  <c r="P365" i="5"/>
  <c r="O365" i="5"/>
  <c r="N365" i="5"/>
  <c r="M365" i="5"/>
  <c r="P364" i="5"/>
  <c r="O364" i="5"/>
  <c r="N364" i="5"/>
  <c r="M364" i="5"/>
  <c r="P363" i="5"/>
  <c r="O363" i="5"/>
  <c r="N363" i="5"/>
  <c r="M363" i="5"/>
  <c r="P362" i="5"/>
  <c r="O362" i="5"/>
  <c r="N362" i="5"/>
  <c r="M362" i="5"/>
  <c r="P361" i="5"/>
  <c r="O361" i="5"/>
  <c r="N361" i="5"/>
  <c r="M361" i="5"/>
  <c r="P360" i="5"/>
  <c r="O360" i="5"/>
  <c r="N360" i="5"/>
  <c r="M360" i="5"/>
  <c r="P359" i="5"/>
  <c r="O359" i="5"/>
  <c r="N359" i="5"/>
  <c r="M359" i="5"/>
  <c r="O358" i="5"/>
  <c r="M358" i="5"/>
  <c r="P357" i="5"/>
  <c r="O357" i="5"/>
  <c r="N357" i="5"/>
  <c r="M357" i="5"/>
  <c r="P356" i="5"/>
  <c r="O356" i="5"/>
  <c r="N356" i="5"/>
  <c r="M356" i="5"/>
  <c r="P355" i="5"/>
  <c r="O355" i="5"/>
  <c r="N355" i="5"/>
  <c r="M355" i="5"/>
  <c r="P354" i="5"/>
  <c r="O354" i="5"/>
  <c r="N354" i="5"/>
  <c r="M354" i="5"/>
  <c r="P353" i="5"/>
  <c r="O353" i="5"/>
  <c r="N353" i="5"/>
  <c r="M353" i="5"/>
  <c r="P352" i="5"/>
  <c r="O352" i="5"/>
  <c r="N352" i="5"/>
  <c r="M352" i="5"/>
  <c r="P351" i="5"/>
  <c r="O351" i="5"/>
  <c r="N351" i="5"/>
  <c r="M351" i="5"/>
  <c r="P350" i="5"/>
  <c r="O350" i="5"/>
  <c r="N350" i="5"/>
  <c r="M350" i="5"/>
  <c r="P349" i="5"/>
  <c r="O349" i="5"/>
  <c r="N349" i="5"/>
  <c r="M349" i="5"/>
  <c r="P348" i="5"/>
  <c r="O348" i="5"/>
  <c r="N348" i="5"/>
  <c r="M348" i="5"/>
  <c r="P347" i="5"/>
  <c r="O347" i="5"/>
  <c r="N347" i="5"/>
  <c r="M347" i="5"/>
  <c r="P346" i="5"/>
  <c r="O346" i="5"/>
  <c r="N346" i="5"/>
  <c r="M346" i="5"/>
  <c r="P345" i="5"/>
  <c r="O345" i="5"/>
  <c r="N345" i="5"/>
  <c r="M345" i="5"/>
  <c r="P344" i="5"/>
  <c r="O344" i="5"/>
  <c r="N344" i="5"/>
  <c r="M344" i="5"/>
  <c r="O343" i="5"/>
  <c r="M343" i="5"/>
  <c r="O342" i="5"/>
  <c r="M342" i="5"/>
  <c r="O341" i="5"/>
  <c r="M341" i="5"/>
  <c r="O340" i="5"/>
  <c r="M340" i="5"/>
  <c r="P339" i="5"/>
  <c r="O339" i="5"/>
  <c r="N339" i="5"/>
  <c r="M339" i="5"/>
  <c r="O338" i="5"/>
  <c r="M338" i="5"/>
  <c r="O337" i="5"/>
  <c r="M337" i="5"/>
  <c r="O336" i="5"/>
  <c r="M336" i="5"/>
  <c r="O335" i="5"/>
  <c r="M335" i="5"/>
  <c r="O334" i="5"/>
  <c r="M334" i="5"/>
  <c r="O333" i="5"/>
  <c r="M333" i="5"/>
  <c r="O332" i="5"/>
  <c r="M332" i="5"/>
  <c r="O331" i="5"/>
  <c r="M331" i="5"/>
  <c r="O330" i="5"/>
  <c r="M330" i="5"/>
  <c r="O329" i="5"/>
  <c r="M329" i="5"/>
  <c r="O328" i="5"/>
  <c r="M328" i="5"/>
  <c r="O327" i="5"/>
  <c r="M327" i="5"/>
  <c r="P326" i="5"/>
  <c r="O326" i="5"/>
  <c r="N326" i="5"/>
  <c r="M326" i="5"/>
  <c r="O325" i="5"/>
  <c r="M325" i="5"/>
  <c r="O324" i="5"/>
  <c r="M324" i="5"/>
  <c r="O323" i="5"/>
  <c r="M323" i="5"/>
  <c r="O322" i="5"/>
  <c r="M322" i="5"/>
  <c r="P321" i="5"/>
  <c r="O321" i="5"/>
  <c r="N321" i="5"/>
  <c r="M321" i="5"/>
  <c r="O320" i="5"/>
  <c r="M320" i="5"/>
  <c r="O319" i="5"/>
  <c r="M319" i="5"/>
  <c r="O318" i="5"/>
  <c r="M318" i="5"/>
  <c r="O317" i="5"/>
  <c r="M317" i="5"/>
  <c r="O316" i="5"/>
  <c r="M316" i="5"/>
  <c r="O315" i="5"/>
  <c r="M315" i="5"/>
  <c r="O314" i="5"/>
  <c r="M314" i="5"/>
  <c r="O313" i="5"/>
  <c r="M313" i="5"/>
  <c r="O312" i="5"/>
  <c r="M312" i="5"/>
  <c r="P311" i="5"/>
  <c r="O311" i="5"/>
  <c r="N311" i="5"/>
  <c r="M311" i="5"/>
  <c r="P269" i="5"/>
  <c r="O269" i="5"/>
  <c r="N269" i="5"/>
  <c r="M269" i="5"/>
  <c r="P268" i="5"/>
  <c r="O268" i="5"/>
  <c r="N268" i="5"/>
  <c r="M268" i="5"/>
  <c r="P267" i="5"/>
  <c r="O267" i="5"/>
  <c r="N267" i="5"/>
  <c r="M267" i="5"/>
  <c r="P266" i="5"/>
  <c r="O266" i="5"/>
  <c r="N266" i="5"/>
  <c r="M266" i="5"/>
  <c r="P265" i="5"/>
  <c r="O265" i="5"/>
  <c r="N265" i="5"/>
  <c r="M265" i="5"/>
  <c r="P264" i="5"/>
  <c r="O264" i="5"/>
  <c r="N264" i="5"/>
  <c r="M264" i="5"/>
  <c r="P263" i="5"/>
  <c r="O263" i="5"/>
  <c r="N263" i="5"/>
  <c r="M263" i="5"/>
  <c r="P262" i="5"/>
  <c r="O262" i="5"/>
  <c r="N262" i="5"/>
  <c r="M262" i="5"/>
  <c r="P261" i="5"/>
  <c r="O261" i="5"/>
  <c r="N261" i="5"/>
  <c r="M261" i="5"/>
  <c r="P260" i="5"/>
  <c r="O260" i="5"/>
  <c r="N260" i="5"/>
  <c r="M260" i="5"/>
  <c r="P259" i="5"/>
  <c r="O259" i="5"/>
  <c r="N259" i="5"/>
  <c r="M259" i="5"/>
  <c r="O258" i="5"/>
  <c r="M258" i="5"/>
  <c r="P257" i="5"/>
  <c r="O257" i="5"/>
  <c r="N257" i="5"/>
  <c r="M257" i="5"/>
  <c r="P256" i="5"/>
  <c r="O256" i="5"/>
  <c r="N256" i="5"/>
  <c r="M256" i="5"/>
  <c r="P255" i="5"/>
  <c r="O255" i="5"/>
  <c r="N255" i="5"/>
  <c r="M255" i="5"/>
  <c r="P254" i="5"/>
  <c r="O254" i="5"/>
  <c r="N254" i="5"/>
  <c r="M254" i="5"/>
  <c r="P253" i="5"/>
  <c r="O253" i="5"/>
  <c r="N253" i="5"/>
  <c r="M253" i="5"/>
  <c r="P252" i="5"/>
  <c r="O252" i="5"/>
  <c r="N252" i="5"/>
  <c r="M252" i="5"/>
  <c r="P251" i="5"/>
  <c r="O251" i="5"/>
  <c r="N251" i="5"/>
  <c r="M251" i="5"/>
  <c r="P250" i="5"/>
  <c r="O250" i="5"/>
  <c r="N250" i="5"/>
  <c r="M250" i="5"/>
  <c r="P249" i="5"/>
  <c r="O249" i="5"/>
  <c r="N249" i="5"/>
  <c r="M249" i="5"/>
  <c r="P248" i="5"/>
  <c r="O248" i="5"/>
  <c r="N248" i="5"/>
  <c r="M248" i="5"/>
  <c r="P247" i="5"/>
  <c r="O247" i="5"/>
  <c r="N247" i="5"/>
  <c r="M247" i="5"/>
  <c r="P246" i="5"/>
  <c r="O246" i="5"/>
  <c r="N246" i="5"/>
  <c r="M246" i="5"/>
  <c r="P245" i="5"/>
  <c r="O245" i="5"/>
  <c r="N245" i="5"/>
  <c r="M245" i="5"/>
  <c r="P244" i="5"/>
  <c r="O244" i="5"/>
  <c r="N244" i="5"/>
  <c r="M244" i="5"/>
  <c r="O243" i="5"/>
  <c r="M243" i="5"/>
  <c r="O242" i="5"/>
  <c r="M242" i="5"/>
  <c r="O241" i="5"/>
  <c r="M241" i="5"/>
  <c r="O240" i="5"/>
  <c r="M240" i="5"/>
  <c r="P239" i="5"/>
  <c r="O239" i="5"/>
  <c r="N239" i="5"/>
  <c r="M239" i="5"/>
  <c r="O238" i="5"/>
  <c r="M238" i="5"/>
  <c r="O237" i="5"/>
  <c r="M237" i="5"/>
  <c r="O236" i="5"/>
  <c r="M236" i="5"/>
  <c r="O235" i="5"/>
  <c r="M235" i="5"/>
  <c r="O234" i="5"/>
  <c r="M234" i="5"/>
  <c r="O233" i="5"/>
  <c r="M233" i="5"/>
  <c r="O232" i="5"/>
  <c r="M232" i="5"/>
  <c r="O231" i="5"/>
  <c r="M231" i="5"/>
  <c r="O230" i="5"/>
  <c r="M230" i="5"/>
  <c r="O229" i="5"/>
  <c r="M229" i="5"/>
  <c r="O228" i="5"/>
  <c r="M228" i="5"/>
  <c r="O227" i="5"/>
  <c r="M227" i="5"/>
  <c r="P226" i="5"/>
  <c r="O226" i="5"/>
  <c r="N226" i="5"/>
  <c r="M226" i="5"/>
  <c r="O225" i="5"/>
  <c r="M225" i="5"/>
  <c r="O224" i="5"/>
  <c r="M224" i="5"/>
  <c r="P172" i="5"/>
  <c r="O172" i="5"/>
  <c r="N172" i="5"/>
  <c r="M172" i="5"/>
  <c r="P171" i="5"/>
  <c r="O171" i="5"/>
  <c r="N171" i="5"/>
  <c r="M171" i="5"/>
  <c r="P170" i="5"/>
  <c r="O170" i="5"/>
  <c r="N170" i="5"/>
  <c r="M170" i="5"/>
  <c r="P169" i="5"/>
  <c r="O169" i="5"/>
  <c r="N169" i="5"/>
  <c r="M169" i="5"/>
  <c r="P168" i="5"/>
  <c r="O168" i="5"/>
  <c r="N168" i="5"/>
  <c r="M168" i="5"/>
  <c r="P167" i="5"/>
  <c r="O167" i="5"/>
  <c r="N167" i="5"/>
  <c r="M167" i="5"/>
  <c r="P166" i="5"/>
  <c r="O166" i="5"/>
  <c r="N166" i="5"/>
  <c r="M166" i="5"/>
  <c r="P165" i="5"/>
  <c r="O165" i="5"/>
  <c r="N165" i="5"/>
  <c r="M165" i="5"/>
  <c r="P164" i="5"/>
  <c r="O164" i="5"/>
  <c r="N164" i="5"/>
  <c r="M164" i="5"/>
  <c r="P163" i="5"/>
  <c r="O163" i="5"/>
  <c r="N163" i="5"/>
  <c r="M163" i="5"/>
  <c r="P162" i="5"/>
  <c r="O162" i="5"/>
  <c r="N162" i="5"/>
  <c r="M162" i="5"/>
  <c r="O161" i="5"/>
  <c r="M161" i="5"/>
  <c r="P160" i="5"/>
  <c r="O160" i="5"/>
  <c r="N160" i="5"/>
  <c r="M160" i="5"/>
  <c r="P159" i="5"/>
  <c r="O159" i="5"/>
  <c r="N159" i="5"/>
  <c r="M159" i="5"/>
  <c r="P158" i="5"/>
  <c r="O158" i="5"/>
  <c r="N158" i="5"/>
  <c r="M158" i="5"/>
  <c r="P157" i="5"/>
  <c r="O157" i="5"/>
  <c r="N157" i="5"/>
  <c r="M157" i="5"/>
  <c r="P156" i="5"/>
  <c r="O156" i="5"/>
  <c r="N156" i="5"/>
  <c r="M156" i="5"/>
  <c r="P155" i="5"/>
  <c r="O155" i="5"/>
  <c r="M155" i="5"/>
  <c r="P154" i="5"/>
  <c r="O154" i="5"/>
  <c r="N154" i="5"/>
  <c r="M154" i="5"/>
  <c r="O153" i="5"/>
  <c r="M153" i="5"/>
  <c r="P152" i="5"/>
  <c r="O152" i="5"/>
  <c r="N152" i="5"/>
  <c r="M152" i="5"/>
  <c r="P151" i="5"/>
  <c r="O151" i="5"/>
  <c r="N151" i="5"/>
  <c r="M151" i="5"/>
  <c r="P150" i="5"/>
  <c r="O150" i="5"/>
  <c r="N150" i="5"/>
  <c r="M150" i="5"/>
  <c r="P149" i="5"/>
  <c r="O149" i="5"/>
  <c r="N149" i="5"/>
  <c r="M149" i="5"/>
  <c r="P148" i="5"/>
  <c r="O148" i="5"/>
  <c r="N148" i="5"/>
  <c r="M148" i="5"/>
  <c r="P147" i="5"/>
  <c r="O147" i="5"/>
  <c r="N147" i="5"/>
  <c r="M147" i="5"/>
  <c r="O146" i="5"/>
  <c r="M146" i="5"/>
  <c r="O145" i="5"/>
  <c r="M145" i="5"/>
  <c r="O144" i="5"/>
  <c r="M144" i="5"/>
  <c r="O143" i="5"/>
  <c r="M143" i="5"/>
  <c r="P142" i="5"/>
  <c r="O142" i="5"/>
  <c r="N142" i="5"/>
  <c r="M142" i="5"/>
  <c r="O141" i="5"/>
  <c r="M141" i="5"/>
  <c r="O140" i="5"/>
  <c r="M140" i="5"/>
  <c r="O139" i="5"/>
  <c r="M139" i="5"/>
  <c r="O138" i="5"/>
  <c r="M138" i="5"/>
  <c r="O137" i="5"/>
  <c r="M137" i="5"/>
  <c r="O136" i="5"/>
  <c r="M136" i="5"/>
  <c r="O135" i="5"/>
  <c r="M135" i="5"/>
  <c r="O134" i="5"/>
  <c r="M134" i="5"/>
  <c r="O133" i="5"/>
  <c r="M133" i="5"/>
  <c r="O132" i="5"/>
  <c r="M132" i="5"/>
  <c r="O131" i="5"/>
  <c r="M131" i="5"/>
  <c r="O130" i="5"/>
  <c r="M130" i="5"/>
  <c r="P129" i="5"/>
  <c r="O129" i="5"/>
  <c r="N129" i="5"/>
  <c r="M129" i="5"/>
  <c r="O128" i="5"/>
  <c r="M128" i="5"/>
  <c r="O127" i="5"/>
  <c r="M127" i="5"/>
  <c r="O126" i="5"/>
  <c r="M126" i="5"/>
  <c r="O125" i="5"/>
  <c r="M125" i="5"/>
  <c r="P124" i="5"/>
  <c r="O124" i="5"/>
  <c r="N124" i="5"/>
  <c r="M124" i="5"/>
  <c r="O123" i="5"/>
  <c r="M123" i="5"/>
  <c r="O122" i="5"/>
  <c r="M122" i="5"/>
  <c r="O121" i="5"/>
  <c r="M121" i="5"/>
  <c r="O120" i="5"/>
  <c r="M120" i="5"/>
  <c r="O119" i="5"/>
  <c r="M119" i="5"/>
  <c r="O118" i="5"/>
  <c r="M118" i="5"/>
  <c r="O117" i="5"/>
  <c r="M117" i="5"/>
  <c r="O116" i="5"/>
  <c r="M116" i="5"/>
  <c r="O115" i="5"/>
  <c r="M115" i="5"/>
  <c r="P114" i="5"/>
  <c r="O114" i="5"/>
  <c r="N114" i="5"/>
  <c r="M114" i="5"/>
  <c r="M18" i="5"/>
  <c r="O18" i="5"/>
  <c r="M19" i="5"/>
  <c r="O19" i="5"/>
  <c r="M20" i="5"/>
  <c r="O20" i="5"/>
  <c r="M21" i="5"/>
  <c r="O21" i="5"/>
  <c r="M22" i="5"/>
  <c r="O22" i="5"/>
  <c r="M23" i="5"/>
  <c r="O23" i="5"/>
  <c r="M24" i="5"/>
  <c r="O24" i="5"/>
  <c r="M25" i="5"/>
  <c r="O25" i="5"/>
  <c r="M26" i="5"/>
  <c r="O26" i="5"/>
  <c r="M27" i="5"/>
  <c r="N27" i="5"/>
  <c r="O27" i="5"/>
  <c r="P27" i="5"/>
  <c r="M28" i="5"/>
  <c r="O28" i="5"/>
  <c r="M29" i="5"/>
  <c r="O29" i="5"/>
  <c r="M30" i="5"/>
  <c r="O30" i="5"/>
  <c r="M31" i="5"/>
  <c r="O31" i="5"/>
  <c r="M32" i="5"/>
  <c r="N32" i="5"/>
  <c r="O32" i="5"/>
  <c r="P32" i="5"/>
  <c r="M33" i="5"/>
  <c r="O33" i="5"/>
  <c r="M34" i="5"/>
  <c r="O34" i="5"/>
  <c r="M35" i="5"/>
  <c r="O35" i="5"/>
  <c r="M36" i="5"/>
  <c r="O36" i="5"/>
  <c r="M37" i="5"/>
  <c r="O37" i="5"/>
  <c r="M38" i="5"/>
  <c r="O38" i="5"/>
  <c r="M39" i="5"/>
  <c r="O39" i="5"/>
  <c r="M40" i="5"/>
  <c r="O40" i="5"/>
  <c r="M41" i="5"/>
  <c r="O41" i="5"/>
  <c r="M42" i="5"/>
  <c r="O42" i="5"/>
  <c r="M43" i="5"/>
  <c r="O43" i="5"/>
  <c r="M44" i="5"/>
  <c r="O44" i="5"/>
  <c r="M45" i="5"/>
  <c r="N45" i="5"/>
  <c r="O45" i="5"/>
  <c r="P45" i="5"/>
  <c r="M46" i="5"/>
  <c r="O46" i="5"/>
  <c r="M47" i="5"/>
  <c r="O47" i="5"/>
  <c r="M48" i="5"/>
  <c r="O48" i="5"/>
  <c r="M49" i="5"/>
  <c r="O49" i="5"/>
  <c r="M50" i="5"/>
  <c r="N50" i="5"/>
  <c r="O50" i="5"/>
  <c r="P50" i="5"/>
  <c r="M51" i="5"/>
  <c r="N51" i="5"/>
  <c r="O51" i="5"/>
  <c r="P51" i="5"/>
  <c r="M52" i="5"/>
  <c r="N52" i="5"/>
  <c r="O52" i="5"/>
  <c r="P52" i="5"/>
  <c r="M53" i="5"/>
  <c r="N53" i="5"/>
  <c r="O53" i="5"/>
  <c r="P53" i="5"/>
  <c r="M54" i="5"/>
  <c r="N54" i="5"/>
  <c r="O54" i="5"/>
  <c r="P54" i="5"/>
  <c r="M55" i="5"/>
  <c r="N55" i="5"/>
  <c r="O55" i="5"/>
  <c r="P55" i="5"/>
  <c r="M56" i="5"/>
  <c r="O56" i="5"/>
  <c r="M57" i="5"/>
  <c r="N57" i="5"/>
  <c r="O57" i="5"/>
  <c r="P57" i="5"/>
  <c r="M58" i="5"/>
  <c r="N58" i="5"/>
  <c r="O58" i="5"/>
  <c r="P58" i="5"/>
  <c r="M59" i="5"/>
  <c r="N59" i="5"/>
  <c r="O59" i="5"/>
  <c r="P59" i="5"/>
  <c r="M60" i="5"/>
  <c r="N60" i="5"/>
  <c r="O60" i="5"/>
  <c r="P60" i="5"/>
  <c r="M61" i="5"/>
  <c r="N61" i="5"/>
  <c r="O61" i="5"/>
  <c r="P61" i="5"/>
  <c r="M62" i="5"/>
  <c r="N62" i="5"/>
  <c r="O62" i="5"/>
  <c r="P62" i="5"/>
  <c r="M63" i="5"/>
  <c r="N63" i="5"/>
  <c r="O63" i="5"/>
  <c r="P63" i="5"/>
  <c r="M64" i="5"/>
  <c r="O64" i="5"/>
  <c r="M65" i="5"/>
  <c r="N65" i="5"/>
  <c r="O65" i="5"/>
  <c r="P65" i="5"/>
  <c r="M66" i="5"/>
  <c r="N66" i="5"/>
  <c r="O66" i="5"/>
  <c r="P66" i="5"/>
  <c r="M67" i="5"/>
  <c r="N67" i="5"/>
  <c r="O67" i="5"/>
  <c r="P67" i="5"/>
  <c r="M68" i="5"/>
  <c r="N68" i="5"/>
  <c r="O68" i="5"/>
  <c r="P68" i="5"/>
  <c r="M69" i="5"/>
  <c r="N69" i="5"/>
  <c r="O69" i="5"/>
  <c r="P69" i="5"/>
  <c r="M70" i="5"/>
  <c r="N70" i="5"/>
  <c r="O70" i="5"/>
  <c r="P70" i="5"/>
  <c r="M71" i="5"/>
  <c r="N71" i="5"/>
  <c r="O71" i="5"/>
  <c r="P71" i="5"/>
  <c r="M72" i="5"/>
  <c r="N72" i="5"/>
  <c r="O72" i="5"/>
  <c r="P72" i="5"/>
  <c r="M73" i="5"/>
  <c r="N73" i="5"/>
  <c r="O73" i="5"/>
  <c r="P73" i="5"/>
  <c r="M74" i="5"/>
  <c r="N74" i="5"/>
  <c r="O74" i="5"/>
  <c r="P74" i="5"/>
  <c r="M75" i="5"/>
  <c r="N75" i="5"/>
  <c r="O75" i="5"/>
  <c r="P75" i="5"/>
  <c r="P17" i="5"/>
  <c r="O17" i="5"/>
  <c r="N17" i="5"/>
  <c r="M17" i="5"/>
  <c r="I81" i="5"/>
  <c r="J81" i="5"/>
  <c r="K81" i="5"/>
  <c r="L81" i="5"/>
  <c r="I178" i="5"/>
  <c r="J178" i="5"/>
  <c r="K178" i="5"/>
  <c r="L178" i="5"/>
  <c r="H82" i="5"/>
  <c r="I82" i="5"/>
  <c r="J82" i="5"/>
  <c r="K82" i="5"/>
  <c r="L82" i="5"/>
  <c r="I179" i="5"/>
  <c r="J179" i="5"/>
  <c r="K179" i="5"/>
  <c r="L179" i="5"/>
  <c r="G82" i="5"/>
  <c r="O82" i="5" s="1"/>
  <c r="G179" i="5"/>
  <c r="F179" i="5"/>
  <c r="G178" i="5"/>
  <c r="G81" i="5"/>
  <c r="O81" i="5" s="1"/>
  <c r="F178" i="5"/>
  <c r="AG223" i="4" l="1"/>
  <c r="X740" i="4"/>
  <c r="AH739" i="4"/>
  <c r="AG739" i="4"/>
  <c r="X611" i="4"/>
  <c r="AH610" i="4"/>
  <c r="AG610" i="4"/>
  <c r="B353" i="4"/>
  <c r="K352" i="4"/>
  <c r="L352" i="4"/>
  <c r="X353" i="4"/>
  <c r="AH352" i="4"/>
  <c r="AG352" i="4"/>
  <c r="L223" i="4"/>
  <c r="X482" i="4"/>
  <c r="AH481" i="4"/>
  <c r="AG481" i="4"/>
  <c r="K223" i="4"/>
  <c r="L94" i="4"/>
  <c r="B611" i="4"/>
  <c r="L610" i="4"/>
  <c r="K610" i="4"/>
  <c r="B482" i="4"/>
  <c r="L481" i="4"/>
  <c r="K481" i="4"/>
  <c r="K94" i="4"/>
  <c r="AH223" i="4"/>
  <c r="F276" i="5"/>
  <c r="F275" i="5"/>
  <c r="M178" i="5"/>
  <c r="M81" i="5"/>
  <c r="Y82" i="5"/>
  <c r="M82" i="5"/>
  <c r="N82" i="5"/>
  <c r="P82" i="5"/>
  <c r="M179" i="5"/>
  <c r="O178" i="5"/>
  <c r="O179" i="5"/>
  <c r="AQ727" i="4"/>
  <c r="AP727" i="4"/>
  <c r="AO727" i="4"/>
  <c r="AE727" i="4"/>
  <c r="Z727" i="4"/>
  <c r="H678" i="5" s="1"/>
  <c r="AQ598" i="4"/>
  <c r="AP598" i="4"/>
  <c r="AO598" i="4"/>
  <c r="AE598" i="4"/>
  <c r="Z598" i="4"/>
  <c r="H577" i="5" s="1"/>
  <c r="AQ469" i="4"/>
  <c r="AP469" i="4"/>
  <c r="AO469" i="4"/>
  <c r="AE469" i="4"/>
  <c r="Z469" i="4"/>
  <c r="H476" i="5" s="1"/>
  <c r="AQ340" i="4"/>
  <c r="AP340" i="4"/>
  <c r="AO340" i="4"/>
  <c r="AE340" i="4"/>
  <c r="Z340" i="4"/>
  <c r="H376" i="5" s="1"/>
  <c r="U598" i="4"/>
  <c r="T598" i="4"/>
  <c r="S598" i="4"/>
  <c r="I598" i="4"/>
  <c r="D598" i="4"/>
  <c r="H276" i="5" s="1"/>
  <c r="S469" i="4"/>
  <c r="T469" i="4"/>
  <c r="U469" i="4"/>
  <c r="I469" i="4"/>
  <c r="D469" i="4"/>
  <c r="H179" i="5" s="1"/>
  <c r="P179" i="5" s="1"/>
  <c r="R340" i="4"/>
  <c r="S340" i="4"/>
  <c r="T340" i="4"/>
  <c r="U340" i="4"/>
  <c r="J340" i="4"/>
  <c r="I340" i="4"/>
  <c r="K95" i="4" l="1"/>
  <c r="B354" i="4"/>
  <c r="L353" i="4"/>
  <c r="K353" i="4"/>
  <c r="B483" i="4"/>
  <c r="K482" i="4"/>
  <c r="L482" i="4"/>
  <c r="X483" i="4"/>
  <c r="AG482" i="4"/>
  <c r="AH482" i="4"/>
  <c r="K224" i="4"/>
  <c r="L224" i="4"/>
  <c r="X612" i="4"/>
  <c r="AG611" i="4"/>
  <c r="AH611" i="4"/>
  <c r="B612" i="4"/>
  <c r="K611" i="4"/>
  <c r="L611" i="4"/>
  <c r="AG224" i="4"/>
  <c r="X354" i="4"/>
  <c r="AG353" i="4"/>
  <c r="AH353" i="4"/>
  <c r="AH224" i="4"/>
  <c r="L95" i="4"/>
  <c r="X741" i="4"/>
  <c r="AG740" i="4"/>
  <c r="AH740" i="4"/>
  <c r="I83" i="4"/>
  <c r="Y678" i="5"/>
  <c r="N678" i="5"/>
  <c r="P678" i="5"/>
  <c r="Y276" i="5"/>
  <c r="N276" i="5"/>
  <c r="N577" i="5"/>
  <c r="Y577" i="5"/>
  <c r="P577" i="5"/>
  <c r="N476" i="5"/>
  <c r="Y476" i="5"/>
  <c r="P476" i="5"/>
  <c r="N376" i="5"/>
  <c r="Y376" i="5"/>
  <c r="P376" i="5"/>
  <c r="O275" i="5"/>
  <c r="O276" i="5"/>
  <c r="P276" i="5"/>
  <c r="AF469" i="4"/>
  <c r="AN340" i="4"/>
  <c r="AM340" i="4" s="1"/>
  <c r="AF727" i="4"/>
  <c r="AN469" i="4"/>
  <c r="AM469" i="4" s="1"/>
  <c r="Q340" i="4"/>
  <c r="AN727" i="4"/>
  <c r="AM727" i="4" s="1"/>
  <c r="R469" i="4"/>
  <c r="Q469" i="4" s="1"/>
  <c r="R598" i="4"/>
  <c r="Q598" i="4" s="1"/>
  <c r="AF340" i="4"/>
  <c r="AN598" i="4"/>
  <c r="AM598" i="4" s="1"/>
  <c r="J469" i="4"/>
  <c r="Y179" i="5"/>
  <c r="N179" i="5"/>
  <c r="AF598" i="4"/>
  <c r="J598" i="4"/>
  <c r="B613" i="4" l="1"/>
  <c r="B614" i="4" s="1"/>
  <c r="L612" i="4"/>
  <c r="K612" i="4"/>
  <c r="X484" i="4"/>
  <c r="X485" i="4" s="1"/>
  <c r="AH483" i="4"/>
  <c r="AG483" i="4"/>
  <c r="X613" i="4"/>
  <c r="X614" i="4" s="1"/>
  <c r="AH612" i="4"/>
  <c r="AG612" i="4"/>
  <c r="B484" i="4"/>
  <c r="B485" i="4" s="1"/>
  <c r="L483" i="4"/>
  <c r="K483" i="4"/>
  <c r="X355" i="4"/>
  <c r="X356" i="4" s="1"/>
  <c r="AH354" i="4"/>
  <c r="AG354" i="4"/>
  <c r="K96" i="4"/>
  <c r="AH225" i="4"/>
  <c r="L96" i="4"/>
  <c r="AG225" i="4"/>
  <c r="L225" i="4"/>
  <c r="B355" i="4"/>
  <c r="B356" i="4" s="1"/>
  <c r="L354" i="4"/>
  <c r="K354" i="4"/>
  <c r="X742" i="4"/>
  <c r="X743" i="4" s="1"/>
  <c r="AH741" i="4"/>
  <c r="AG741" i="4"/>
  <c r="K225" i="4"/>
  <c r="J83" i="4"/>
  <c r="AO726" i="4"/>
  <c r="AP726" i="4"/>
  <c r="AQ726" i="4"/>
  <c r="AE726" i="4"/>
  <c r="Z726" i="4"/>
  <c r="Z771" i="4" s="1"/>
  <c r="AN771" i="4" s="1"/>
  <c r="AO597" i="4"/>
  <c r="AP597" i="4"/>
  <c r="AQ597" i="4"/>
  <c r="AE597" i="4"/>
  <c r="Z597" i="4"/>
  <c r="Z642" i="4" s="1"/>
  <c r="AN642" i="4" s="1"/>
  <c r="AM642" i="4" s="1"/>
  <c r="AO468" i="4"/>
  <c r="AP468" i="4"/>
  <c r="AQ468" i="4"/>
  <c r="AE468" i="4"/>
  <c r="Z468" i="4"/>
  <c r="Z513" i="4" s="1"/>
  <c r="AN513" i="4" s="1"/>
  <c r="AM513" i="4" s="1"/>
  <c r="AO339" i="4"/>
  <c r="AP339" i="4"/>
  <c r="AQ339" i="4"/>
  <c r="AE339" i="4"/>
  <c r="Z339" i="4"/>
  <c r="Z384" i="4" s="1"/>
  <c r="AN384" i="4" s="1"/>
  <c r="AM384" i="4" s="1"/>
  <c r="S597" i="4"/>
  <c r="T597" i="4"/>
  <c r="U597" i="4"/>
  <c r="I597" i="4"/>
  <c r="D597" i="4"/>
  <c r="D642" i="4" s="1"/>
  <c r="R642" i="4" s="1"/>
  <c r="Q642" i="4" s="1"/>
  <c r="S468" i="4"/>
  <c r="T468" i="4"/>
  <c r="U468" i="4"/>
  <c r="I468" i="4"/>
  <c r="D468" i="4"/>
  <c r="D513" i="4" s="1"/>
  <c r="R513" i="4" s="1"/>
  <c r="Q513" i="4" s="1"/>
  <c r="S339" i="4"/>
  <c r="T339" i="4"/>
  <c r="U339" i="4"/>
  <c r="I339" i="4"/>
  <c r="D339" i="4"/>
  <c r="D384" i="4" s="1"/>
  <c r="R384" i="4" s="1"/>
  <c r="Q384" i="4" s="1"/>
  <c r="V177" i="5"/>
  <c r="V80" i="5"/>
  <c r="T177" i="5"/>
  <c r="S177" i="5"/>
  <c r="R177" i="5"/>
  <c r="Q177" i="5"/>
  <c r="L177" i="5"/>
  <c r="K177" i="5"/>
  <c r="J177" i="5"/>
  <c r="I177" i="5"/>
  <c r="H177" i="5"/>
  <c r="T80" i="5"/>
  <c r="S80" i="5"/>
  <c r="R80" i="5"/>
  <c r="Q80" i="5"/>
  <c r="L80" i="5"/>
  <c r="K80" i="5"/>
  <c r="J80" i="5"/>
  <c r="I80" i="5"/>
  <c r="H80" i="5"/>
  <c r="G177" i="5"/>
  <c r="G80" i="5"/>
  <c r="F177" i="5"/>
  <c r="F274" i="5" s="1"/>
  <c r="X744" i="4" l="1"/>
  <c r="X745" i="4" s="1"/>
  <c r="X746" i="4" s="1"/>
  <c r="X747" i="4" s="1"/>
  <c r="X748" i="4" s="1"/>
  <c r="X749" i="4" s="1"/>
  <c r="X750" i="4" s="1"/>
  <c r="X751" i="4" s="1"/>
  <c r="X752" i="4" s="1"/>
  <c r="X753" i="4" s="1"/>
  <c r="X754" i="4" s="1"/>
  <c r="AH743" i="4"/>
  <c r="AG743" i="4"/>
  <c r="X615" i="4"/>
  <c r="X616" i="4" s="1"/>
  <c r="X617" i="4" s="1"/>
  <c r="X618" i="4" s="1"/>
  <c r="X619" i="4" s="1"/>
  <c r="X620" i="4" s="1"/>
  <c r="X621" i="4" s="1"/>
  <c r="X622" i="4" s="1"/>
  <c r="X623" i="4" s="1"/>
  <c r="X624" i="4" s="1"/>
  <c r="X625" i="4" s="1"/>
  <c r="AH614" i="4"/>
  <c r="AG614" i="4"/>
  <c r="B615" i="4"/>
  <c r="B616" i="4" s="1"/>
  <c r="B617" i="4" s="1"/>
  <c r="B618" i="4" s="1"/>
  <c r="B619" i="4" s="1"/>
  <c r="B620" i="4" s="1"/>
  <c r="B621" i="4" s="1"/>
  <c r="B622" i="4" s="1"/>
  <c r="B623" i="4" s="1"/>
  <c r="B624" i="4" s="1"/>
  <c r="B625" i="4" s="1"/>
  <c r="K614" i="4"/>
  <c r="L614" i="4"/>
  <c r="X486" i="4"/>
  <c r="X487" i="4" s="1"/>
  <c r="X488" i="4" s="1"/>
  <c r="X489" i="4" s="1"/>
  <c r="X490" i="4" s="1"/>
  <c r="X491" i="4" s="1"/>
  <c r="X492" i="4" s="1"/>
  <c r="X493" i="4" s="1"/>
  <c r="X494" i="4" s="1"/>
  <c r="X495" i="4" s="1"/>
  <c r="X496" i="4" s="1"/>
  <c r="AG485" i="4"/>
  <c r="AH485" i="4"/>
  <c r="B486" i="4"/>
  <c r="B487" i="4" s="1"/>
  <c r="B488" i="4" s="1"/>
  <c r="B489" i="4" s="1"/>
  <c r="B490" i="4" s="1"/>
  <c r="B491" i="4" s="1"/>
  <c r="B492" i="4" s="1"/>
  <c r="B493" i="4" s="1"/>
  <c r="B494" i="4" s="1"/>
  <c r="B495" i="4" s="1"/>
  <c r="B496" i="4" s="1"/>
  <c r="L485" i="4"/>
  <c r="K485" i="4"/>
  <c r="X357" i="4"/>
  <c r="X358" i="4" s="1"/>
  <c r="X359" i="4" s="1"/>
  <c r="X360" i="4" s="1"/>
  <c r="X361" i="4" s="1"/>
  <c r="X362" i="4" s="1"/>
  <c r="X363" i="4" s="1"/>
  <c r="X364" i="4" s="1"/>
  <c r="X365" i="4" s="1"/>
  <c r="X366" i="4" s="1"/>
  <c r="X367" i="4" s="1"/>
  <c r="AH356" i="4"/>
  <c r="AG356" i="4"/>
  <c r="B357" i="4"/>
  <c r="B358" i="4" s="1"/>
  <c r="B359" i="4" s="1"/>
  <c r="B360" i="4" s="1"/>
  <c r="B361" i="4" s="1"/>
  <c r="B362" i="4" s="1"/>
  <c r="B363" i="4" s="1"/>
  <c r="B364" i="4" s="1"/>
  <c r="B365" i="4" s="1"/>
  <c r="B366" i="4" s="1"/>
  <c r="B367" i="4" s="1"/>
  <c r="L356" i="4"/>
  <c r="K356" i="4"/>
  <c r="K97" i="4"/>
  <c r="L97" i="4"/>
  <c r="AH742" i="4"/>
  <c r="AG742" i="4"/>
  <c r="AG613" i="4"/>
  <c r="AH613" i="4"/>
  <c r="L355" i="4"/>
  <c r="K355" i="4"/>
  <c r="AH355" i="4"/>
  <c r="AH375" i="4" s="1"/>
  <c r="AG355" i="4"/>
  <c r="AG375" i="4" s="1"/>
  <c r="AG484" i="4"/>
  <c r="AH484" i="4"/>
  <c r="K226" i="4"/>
  <c r="AG226" i="4"/>
  <c r="L484" i="4"/>
  <c r="K484" i="4"/>
  <c r="L226" i="4"/>
  <c r="AH226" i="4"/>
  <c r="L613" i="4"/>
  <c r="K613" i="4"/>
  <c r="I82" i="4"/>
  <c r="AF468" i="4"/>
  <c r="H475" i="5"/>
  <c r="Z503" i="4"/>
  <c r="H677" i="5"/>
  <c r="Z761" i="4"/>
  <c r="AN761" i="4" s="1"/>
  <c r="H375" i="5"/>
  <c r="Z374" i="4"/>
  <c r="J468" i="4"/>
  <c r="D503" i="4"/>
  <c r="J339" i="4"/>
  <c r="D374" i="4"/>
  <c r="AF597" i="4"/>
  <c r="H576" i="5"/>
  <c r="Z632" i="4"/>
  <c r="H275" i="5"/>
  <c r="D632" i="4"/>
  <c r="O274" i="5"/>
  <c r="P274" i="5"/>
  <c r="R468" i="4"/>
  <c r="Q468" i="4" s="1"/>
  <c r="AF726" i="4"/>
  <c r="M177" i="5"/>
  <c r="Y80" i="5"/>
  <c r="N80" i="5"/>
  <c r="P80" i="5"/>
  <c r="R597" i="4"/>
  <c r="Q597" i="4" s="1"/>
  <c r="M80" i="5"/>
  <c r="O80" i="5"/>
  <c r="J597" i="4"/>
  <c r="AN468" i="4"/>
  <c r="AM468" i="4" s="1"/>
  <c r="AF339" i="4"/>
  <c r="AN597" i="4"/>
  <c r="AM597" i="4" s="1"/>
  <c r="H178" i="5"/>
  <c r="Y177" i="5"/>
  <c r="N177" i="5"/>
  <c r="AN339" i="4"/>
  <c r="AM339" i="4" s="1"/>
  <c r="H81" i="5"/>
  <c r="R339" i="4"/>
  <c r="Q339" i="4" s="1"/>
  <c r="AN726" i="4"/>
  <c r="AM726" i="4" s="1"/>
  <c r="O177" i="5"/>
  <c r="P177" i="5"/>
  <c r="AE725" i="4"/>
  <c r="AN725" i="4"/>
  <c r="AP725" i="4"/>
  <c r="AQ725" i="4"/>
  <c r="AD725" i="4"/>
  <c r="AB725" i="4"/>
  <c r="AE596" i="4"/>
  <c r="AF596" i="4"/>
  <c r="AN596" i="4"/>
  <c r="AO596" i="4"/>
  <c r="AP596" i="4"/>
  <c r="AQ596" i="4"/>
  <c r="L99" i="4" l="1"/>
  <c r="K99" i="4"/>
  <c r="F81" i="4"/>
  <c r="AB771" i="4"/>
  <c r="H81" i="4"/>
  <c r="S81" i="4" s="1"/>
  <c r="AD771" i="4"/>
  <c r="AO771" i="4" s="1"/>
  <c r="AM771" i="4" s="1"/>
  <c r="K228" i="4"/>
  <c r="L228" i="4"/>
  <c r="AG228" i="4"/>
  <c r="AH228" i="4"/>
  <c r="AH633" i="4"/>
  <c r="AG633" i="4"/>
  <c r="K504" i="4"/>
  <c r="L504" i="4"/>
  <c r="AH504" i="4"/>
  <c r="AG504" i="4"/>
  <c r="R374" i="4"/>
  <c r="Q374" i="4" s="1"/>
  <c r="A375" i="4"/>
  <c r="AN503" i="4"/>
  <c r="AM503" i="4" s="1"/>
  <c r="W504" i="4"/>
  <c r="K98" i="4"/>
  <c r="K375" i="4"/>
  <c r="L98" i="4"/>
  <c r="L375" i="4"/>
  <c r="R503" i="4"/>
  <c r="Q503" i="4" s="1"/>
  <c r="A504" i="4"/>
  <c r="R632" i="4"/>
  <c r="Q632" i="4" s="1"/>
  <c r="A633" i="4"/>
  <c r="AN374" i="4"/>
  <c r="AM374" i="4" s="1"/>
  <c r="W375" i="4"/>
  <c r="K227" i="4"/>
  <c r="K633" i="4"/>
  <c r="AG227" i="4"/>
  <c r="AG247" i="4" s="1"/>
  <c r="AG762" i="4"/>
  <c r="AN632" i="4"/>
  <c r="AM632" i="4" s="1"/>
  <c r="W633" i="4"/>
  <c r="L227" i="4"/>
  <c r="L633" i="4"/>
  <c r="AH227" i="4"/>
  <c r="AH247" i="4" s="1"/>
  <c r="AH762" i="4"/>
  <c r="J82" i="4"/>
  <c r="N375" i="5"/>
  <c r="Y375" i="5"/>
  <c r="P375" i="5"/>
  <c r="AB761" i="4"/>
  <c r="J676" i="5"/>
  <c r="Y576" i="5"/>
  <c r="N576" i="5"/>
  <c r="P576" i="5"/>
  <c r="Y677" i="5"/>
  <c r="N677" i="5"/>
  <c r="P677" i="5"/>
  <c r="N275" i="5"/>
  <c r="Y275" i="5"/>
  <c r="P275" i="5"/>
  <c r="AD761" i="4"/>
  <c r="AO761" i="4" s="1"/>
  <c r="AM761" i="4" s="1"/>
  <c r="L676" i="5"/>
  <c r="Y475" i="5"/>
  <c r="N475" i="5"/>
  <c r="P475" i="5"/>
  <c r="AF725" i="4"/>
  <c r="Y178" i="5"/>
  <c r="N178" i="5"/>
  <c r="P178" i="5"/>
  <c r="AO725" i="4"/>
  <c r="AM725" i="4" s="1"/>
  <c r="Y81" i="5"/>
  <c r="P81" i="5"/>
  <c r="N81" i="5"/>
  <c r="AM596" i="4"/>
  <c r="K247" i="4" l="1"/>
  <c r="L118" i="4"/>
  <c r="L247" i="4"/>
  <c r="K118" i="4"/>
  <c r="N676" i="5"/>
  <c r="Y676" i="5"/>
  <c r="AN467" i="4"/>
  <c r="AO467" i="4"/>
  <c r="AP467" i="4"/>
  <c r="AQ467" i="4"/>
  <c r="AE467" i="4"/>
  <c r="AF467" i="4"/>
  <c r="AM467" i="4" l="1"/>
  <c r="AE338" i="4"/>
  <c r="AF338" i="4"/>
  <c r="AN338" i="4"/>
  <c r="AO338" i="4"/>
  <c r="AP338" i="4"/>
  <c r="AQ338" i="4"/>
  <c r="AM338" i="4" l="1"/>
  <c r="I596" i="4" l="1"/>
  <c r="J596" i="4"/>
  <c r="R596" i="4"/>
  <c r="S596" i="4"/>
  <c r="T596" i="4"/>
  <c r="U596" i="4"/>
  <c r="Q596" i="4" l="1"/>
  <c r="R467" i="4" l="1"/>
  <c r="S467" i="4"/>
  <c r="T467" i="4"/>
  <c r="U467" i="4"/>
  <c r="I467" i="4"/>
  <c r="J467" i="4"/>
  <c r="Q467" i="4" l="1"/>
  <c r="R338" i="4"/>
  <c r="S338" i="4"/>
  <c r="T338" i="4"/>
  <c r="U338" i="4"/>
  <c r="I338" i="4"/>
  <c r="I81" i="4" s="1"/>
  <c r="J338" i="4"/>
  <c r="J81" i="4" s="1"/>
  <c r="Q338" i="4" l="1"/>
  <c r="V176" i="5"/>
  <c r="V79" i="5"/>
  <c r="H79" i="5"/>
  <c r="I79" i="5"/>
  <c r="J79" i="5"/>
  <c r="K79" i="5"/>
  <c r="L79" i="5"/>
  <c r="Q79" i="5"/>
  <c r="R79" i="5"/>
  <c r="S79" i="5"/>
  <c r="T79" i="5"/>
  <c r="H176" i="5"/>
  <c r="I176" i="5"/>
  <c r="J176" i="5"/>
  <c r="K176" i="5"/>
  <c r="L176" i="5"/>
  <c r="Q176" i="5"/>
  <c r="R176" i="5"/>
  <c r="S176" i="5"/>
  <c r="T176" i="5"/>
  <c r="G176" i="5"/>
  <c r="G79" i="5"/>
  <c r="F176" i="5"/>
  <c r="F273" i="5" s="1"/>
  <c r="AE724" i="4"/>
  <c r="AF724" i="4"/>
  <c r="AP724" i="4"/>
  <c r="AO724" i="4"/>
  <c r="AN724" i="4"/>
  <c r="AQ724" i="4"/>
  <c r="O273" i="5" l="1"/>
  <c r="P273" i="5"/>
  <c r="M79" i="5"/>
  <c r="O79" i="5"/>
  <c r="Y79" i="5"/>
  <c r="N79" i="5"/>
  <c r="P79" i="5"/>
  <c r="M176" i="5"/>
  <c r="Y176" i="5"/>
  <c r="N176" i="5"/>
  <c r="O176" i="5"/>
  <c r="P176" i="5"/>
  <c r="AM724" i="4"/>
  <c r="AQ595" i="4" l="1"/>
  <c r="AP595" i="4"/>
  <c r="AO595" i="4"/>
  <c r="AN595" i="4"/>
  <c r="AE595" i="4"/>
  <c r="AF595" i="4"/>
  <c r="AM595" i="4" l="1"/>
  <c r="AQ466" i="4"/>
  <c r="AP466" i="4"/>
  <c r="AO466" i="4"/>
  <c r="AN466" i="4"/>
  <c r="AE466" i="4"/>
  <c r="AF466" i="4"/>
  <c r="AM466" i="4" l="1"/>
  <c r="AP337" i="4"/>
  <c r="AO337" i="4"/>
  <c r="AN337" i="4"/>
  <c r="AQ337" i="4"/>
  <c r="AF337" i="4"/>
  <c r="AE337" i="4"/>
  <c r="AM337" i="4" l="1"/>
  <c r="U595" i="4"/>
  <c r="T595" i="4"/>
  <c r="S595" i="4"/>
  <c r="R595" i="4"/>
  <c r="J595" i="4"/>
  <c r="I595" i="4"/>
  <c r="Q595" i="4" l="1"/>
  <c r="U466" i="4"/>
  <c r="T466" i="4"/>
  <c r="S466" i="4"/>
  <c r="R466" i="4"/>
  <c r="J466" i="4"/>
  <c r="I466" i="4"/>
  <c r="Q466" i="4" l="1"/>
  <c r="T337" i="4"/>
  <c r="S337" i="4"/>
  <c r="R337" i="4"/>
  <c r="U337" i="4"/>
  <c r="J337" i="4"/>
  <c r="I337" i="4"/>
  <c r="Q337" i="4" l="1"/>
  <c r="V673" i="5"/>
  <c r="V572" i="5"/>
  <c r="V471" i="5"/>
  <c r="V371" i="5"/>
  <c r="V175" i="5"/>
  <c r="V78" i="5"/>
  <c r="V271" i="5"/>
  <c r="V174" i="5"/>
  <c r="V77" i="5"/>
  <c r="H77" i="5"/>
  <c r="I77" i="5"/>
  <c r="J77" i="5"/>
  <c r="K77" i="5"/>
  <c r="L77" i="5"/>
  <c r="Q77" i="5"/>
  <c r="R77" i="5"/>
  <c r="S77" i="5"/>
  <c r="T77" i="5"/>
  <c r="H174" i="5"/>
  <c r="I174" i="5"/>
  <c r="J174" i="5"/>
  <c r="K174" i="5"/>
  <c r="L174" i="5"/>
  <c r="Q174" i="5"/>
  <c r="R174" i="5"/>
  <c r="S174" i="5"/>
  <c r="T174" i="5"/>
  <c r="H271" i="5"/>
  <c r="I271" i="5"/>
  <c r="J271" i="5"/>
  <c r="K271" i="5"/>
  <c r="L271" i="5"/>
  <c r="Q271" i="5"/>
  <c r="R271" i="5"/>
  <c r="S271" i="5"/>
  <c r="T271" i="5"/>
  <c r="H371" i="5"/>
  <c r="I371" i="5"/>
  <c r="J371" i="5"/>
  <c r="K371" i="5"/>
  <c r="L371" i="5"/>
  <c r="Q371" i="5"/>
  <c r="R371" i="5"/>
  <c r="S371" i="5"/>
  <c r="T371" i="5"/>
  <c r="H471" i="5"/>
  <c r="I471" i="5"/>
  <c r="J471" i="5"/>
  <c r="K471" i="5"/>
  <c r="L471" i="5"/>
  <c r="Q471" i="5"/>
  <c r="R471" i="5"/>
  <c r="S471" i="5"/>
  <c r="T471" i="5"/>
  <c r="H572" i="5"/>
  <c r="I572" i="5"/>
  <c r="J572" i="5"/>
  <c r="K572" i="5"/>
  <c r="L572" i="5"/>
  <c r="Q572" i="5"/>
  <c r="R572" i="5"/>
  <c r="S572" i="5"/>
  <c r="T572" i="5"/>
  <c r="H673" i="5"/>
  <c r="I673" i="5"/>
  <c r="J673" i="5"/>
  <c r="K673" i="5"/>
  <c r="L673" i="5"/>
  <c r="Q673" i="5"/>
  <c r="R673" i="5"/>
  <c r="S673" i="5"/>
  <c r="T673" i="5"/>
  <c r="H78" i="5"/>
  <c r="I78" i="5"/>
  <c r="J78" i="5"/>
  <c r="K78" i="5"/>
  <c r="L78" i="5"/>
  <c r="Q78" i="5"/>
  <c r="R78" i="5"/>
  <c r="S78" i="5"/>
  <c r="T78" i="5"/>
  <c r="H175" i="5"/>
  <c r="I175" i="5"/>
  <c r="J175" i="5"/>
  <c r="K175" i="5"/>
  <c r="L175" i="5"/>
  <c r="Q175" i="5"/>
  <c r="R175" i="5"/>
  <c r="S175" i="5"/>
  <c r="T175" i="5"/>
  <c r="G673" i="5"/>
  <c r="G572" i="5"/>
  <c r="G471" i="5"/>
  <c r="G371" i="5"/>
  <c r="G271" i="5"/>
  <c r="G175" i="5"/>
  <c r="G174" i="5"/>
  <c r="G78" i="5"/>
  <c r="G77" i="5"/>
  <c r="F175" i="5"/>
  <c r="F272" i="5" s="1"/>
  <c r="F174" i="5"/>
  <c r="F173" i="5"/>
  <c r="P272" i="5" l="1"/>
  <c r="O272" i="5"/>
  <c r="M673" i="5"/>
  <c r="M175" i="5"/>
  <c r="M271" i="5"/>
  <c r="Y175" i="5"/>
  <c r="N175" i="5"/>
  <c r="Y673" i="5"/>
  <c r="N673" i="5"/>
  <c r="Y78" i="5"/>
  <c r="N78" i="5"/>
  <c r="P78" i="5"/>
  <c r="M371" i="5"/>
  <c r="Y572" i="5"/>
  <c r="N572" i="5"/>
  <c r="M77" i="5"/>
  <c r="O77" i="5"/>
  <c r="M471" i="5"/>
  <c r="Y371" i="5"/>
  <c r="N371" i="5"/>
  <c r="Y471" i="5"/>
  <c r="N471" i="5"/>
  <c r="M78" i="5"/>
  <c r="O78" i="5"/>
  <c r="Y271" i="5"/>
  <c r="N271" i="5"/>
  <c r="Y77" i="5"/>
  <c r="N77" i="5"/>
  <c r="P77" i="5"/>
  <c r="M174" i="5"/>
  <c r="M572" i="5"/>
  <c r="Y174" i="5"/>
  <c r="N174" i="5"/>
  <c r="F271" i="5"/>
  <c r="O174" i="5"/>
  <c r="P174" i="5"/>
  <c r="O175" i="5"/>
  <c r="P175" i="5"/>
  <c r="O173" i="5"/>
  <c r="P173" i="5"/>
  <c r="O371" i="5" l="1"/>
  <c r="P371" i="5"/>
  <c r="O271" i="5"/>
  <c r="P271" i="5"/>
  <c r="O471" i="5" l="1"/>
  <c r="P471" i="5"/>
  <c r="F572" i="5"/>
  <c r="O572" i="5" l="1"/>
  <c r="P572" i="5"/>
  <c r="F673" i="5"/>
  <c r="O672" i="5" l="1"/>
  <c r="P672" i="5"/>
  <c r="O673" i="5"/>
  <c r="P673" i="5"/>
  <c r="AQ723" i="4"/>
  <c r="AP723" i="4"/>
  <c r="AO723" i="4"/>
  <c r="AN723" i="4"/>
  <c r="AE723" i="4"/>
  <c r="AF723" i="4"/>
  <c r="AN594" i="4"/>
  <c r="AO594" i="4"/>
  <c r="AP594" i="4"/>
  <c r="AQ594" i="4"/>
  <c r="AM594" i="4" l="1"/>
  <c r="AM723" i="4"/>
  <c r="AE594" i="4"/>
  <c r="AF594" i="4"/>
  <c r="AN465" i="4" l="1"/>
  <c r="AO465" i="4"/>
  <c r="AP465" i="4"/>
  <c r="AQ465" i="4"/>
  <c r="AE465" i="4"/>
  <c r="AF465" i="4"/>
  <c r="AM465" i="4" l="1"/>
  <c r="AQ336" i="4"/>
  <c r="AP336" i="4"/>
  <c r="AO336" i="4"/>
  <c r="AN336" i="4"/>
  <c r="AF336" i="4"/>
  <c r="AE336" i="4"/>
  <c r="AM336" i="4" l="1"/>
  <c r="U594" i="4"/>
  <c r="T594" i="4"/>
  <c r="S594" i="4"/>
  <c r="R594" i="4"/>
  <c r="J594" i="4"/>
  <c r="I594" i="4"/>
  <c r="Q594" i="4" l="1"/>
  <c r="U465" i="4"/>
  <c r="T465" i="4"/>
  <c r="S465" i="4"/>
  <c r="R465" i="4"/>
  <c r="Q465" i="4" l="1"/>
  <c r="J465" i="4"/>
  <c r="I465" i="4"/>
  <c r="U336" i="4"/>
  <c r="T336" i="4"/>
  <c r="S336" i="4"/>
  <c r="R336" i="4"/>
  <c r="I336" i="4"/>
  <c r="J336" i="4"/>
  <c r="Q336" i="4" l="1"/>
  <c r="V207" i="4"/>
  <c r="AE593" i="4" l="1"/>
  <c r="AE642" i="4" s="1"/>
  <c r="AF593" i="4"/>
  <c r="AF642" i="4" s="1"/>
  <c r="AN593" i="4"/>
  <c r="AO593" i="4"/>
  <c r="AP593" i="4"/>
  <c r="AQ593" i="4"/>
  <c r="AM593" i="4" l="1"/>
  <c r="AN722" i="4" l="1"/>
  <c r="AO722" i="4"/>
  <c r="AP722" i="4"/>
  <c r="AQ722" i="4"/>
  <c r="AE722" i="4"/>
  <c r="AE771" i="4" s="1"/>
  <c r="AF722" i="4"/>
  <c r="AF771" i="4" s="1"/>
  <c r="AM722" i="4" l="1"/>
  <c r="AN464" i="4"/>
  <c r="AO464" i="4"/>
  <c r="AP464" i="4"/>
  <c r="AQ464" i="4"/>
  <c r="AE464" i="4"/>
  <c r="AE513" i="4" s="1"/>
  <c r="AF464" i="4"/>
  <c r="AF513" i="4" s="1"/>
  <c r="AM464" i="4" l="1"/>
  <c r="AN335" i="4"/>
  <c r="AO335" i="4"/>
  <c r="AP335" i="4"/>
  <c r="AQ335" i="4"/>
  <c r="AE335" i="4"/>
  <c r="AE384" i="4" s="1"/>
  <c r="AF335" i="4"/>
  <c r="AF384" i="4" s="1"/>
  <c r="AM335" i="4" l="1"/>
  <c r="R593" i="4"/>
  <c r="S593" i="4"/>
  <c r="T593" i="4"/>
  <c r="U593" i="4"/>
  <c r="I593" i="4"/>
  <c r="I642" i="4" s="1"/>
  <c r="J593" i="4"/>
  <c r="J642" i="4" s="1"/>
  <c r="Q593" i="4" l="1"/>
  <c r="R464" i="4"/>
  <c r="S464" i="4"/>
  <c r="T464" i="4"/>
  <c r="U464" i="4"/>
  <c r="I464" i="4"/>
  <c r="I513" i="4" s="1"/>
  <c r="J464" i="4"/>
  <c r="J513" i="4" s="1"/>
  <c r="Q464" i="4" l="1"/>
  <c r="R335" i="4"/>
  <c r="S335" i="4"/>
  <c r="T335" i="4"/>
  <c r="U335" i="4"/>
  <c r="J335" i="4"/>
  <c r="J384" i="4" s="1"/>
  <c r="I335" i="4"/>
  <c r="I384" i="4" s="1"/>
  <c r="Q335" i="4" l="1"/>
  <c r="A449" i="5"/>
  <c r="R660" i="5" l="1"/>
  <c r="H660" i="5"/>
  <c r="H645" i="5"/>
  <c r="H644" i="5"/>
  <c r="H643" i="5"/>
  <c r="H642" i="5"/>
  <c r="H640" i="5"/>
  <c r="H639" i="5"/>
  <c r="H638" i="5"/>
  <c r="H637" i="5"/>
  <c r="H636" i="5"/>
  <c r="H635" i="5"/>
  <c r="H634" i="5"/>
  <c r="H633" i="5"/>
  <c r="H632" i="5"/>
  <c r="H631" i="5"/>
  <c r="H630" i="5"/>
  <c r="H629" i="5"/>
  <c r="H627" i="5"/>
  <c r="H626" i="5"/>
  <c r="L625" i="5"/>
  <c r="J625" i="5"/>
  <c r="H625" i="5"/>
  <c r="H624" i="5"/>
  <c r="H622" i="5"/>
  <c r="H621" i="5"/>
  <c r="L620" i="5"/>
  <c r="J620" i="5"/>
  <c r="H620" i="5"/>
  <c r="L619" i="5"/>
  <c r="J619" i="5"/>
  <c r="H619" i="5"/>
  <c r="H618" i="5"/>
  <c r="H617" i="5"/>
  <c r="H616" i="5"/>
  <c r="L615" i="5"/>
  <c r="J615" i="5"/>
  <c r="H615" i="5"/>
  <c r="H614" i="5"/>
  <c r="P612" i="5"/>
  <c r="O612" i="5"/>
  <c r="N612" i="5"/>
  <c r="O611" i="5"/>
  <c r="H611" i="5"/>
  <c r="P610" i="5"/>
  <c r="O610" i="5"/>
  <c r="N610" i="5"/>
  <c r="P609" i="5"/>
  <c r="O609" i="5"/>
  <c r="N609" i="5"/>
  <c r="P608" i="5"/>
  <c r="O608" i="5"/>
  <c r="N608" i="5"/>
  <c r="P607" i="5"/>
  <c r="O607" i="5"/>
  <c r="N607" i="5"/>
  <c r="P606" i="5"/>
  <c r="O606" i="5"/>
  <c r="N606" i="5"/>
  <c r="P605" i="5"/>
  <c r="O605" i="5"/>
  <c r="N605" i="5"/>
  <c r="P604" i="5"/>
  <c r="O604" i="5"/>
  <c r="N604" i="5"/>
  <c r="P603" i="5"/>
  <c r="O603" i="5"/>
  <c r="N603" i="5"/>
  <c r="H559" i="5"/>
  <c r="H544" i="5"/>
  <c r="H543" i="5"/>
  <c r="H542" i="5"/>
  <c r="H541" i="5"/>
  <c r="H539" i="5"/>
  <c r="H538" i="5"/>
  <c r="H537" i="5"/>
  <c r="H536" i="5"/>
  <c r="H535" i="5"/>
  <c r="H534" i="5"/>
  <c r="H533" i="5"/>
  <c r="H532" i="5"/>
  <c r="H531" i="5"/>
  <c r="H530" i="5"/>
  <c r="H529" i="5"/>
  <c r="H528" i="5"/>
  <c r="H526" i="5"/>
  <c r="H525" i="5"/>
  <c r="L524" i="5"/>
  <c r="J524" i="5"/>
  <c r="H524" i="5"/>
  <c r="H523" i="5"/>
  <c r="H521" i="5"/>
  <c r="H520" i="5"/>
  <c r="L519" i="5"/>
  <c r="J519" i="5"/>
  <c r="H519" i="5"/>
  <c r="L518" i="5"/>
  <c r="J518" i="5"/>
  <c r="H518" i="5"/>
  <c r="H517" i="5"/>
  <c r="H516" i="5"/>
  <c r="H515" i="5"/>
  <c r="L514" i="5"/>
  <c r="J514" i="5"/>
  <c r="H514" i="5"/>
  <c r="H513" i="5"/>
  <c r="P511" i="5"/>
  <c r="O511" i="5"/>
  <c r="N511" i="5"/>
  <c r="O510" i="5"/>
  <c r="H510" i="5"/>
  <c r="P509" i="5"/>
  <c r="O509" i="5"/>
  <c r="N509" i="5"/>
  <c r="P508" i="5"/>
  <c r="O508" i="5"/>
  <c r="N508" i="5"/>
  <c r="P507" i="5"/>
  <c r="O507" i="5"/>
  <c r="N507" i="5"/>
  <c r="P506" i="5"/>
  <c r="O506" i="5"/>
  <c r="N506" i="5"/>
  <c r="P505" i="5"/>
  <c r="O505" i="5"/>
  <c r="N505" i="5"/>
  <c r="P504" i="5"/>
  <c r="O504" i="5"/>
  <c r="N504" i="5"/>
  <c r="P503" i="5"/>
  <c r="O503" i="5"/>
  <c r="N503" i="5"/>
  <c r="P502" i="5"/>
  <c r="O502" i="5"/>
  <c r="N502" i="5"/>
  <c r="H458" i="5"/>
  <c r="H443" i="5"/>
  <c r="H442" i="5"/>
  <c r="H441" i="5"/>
  <c r="H440" i="5"/>
  <c r="H438" i="5"/>
  <c r="H437" i="5"/>
  <c r="H436" i="5"/>
  <c r="H435" i="5"/>
  <c r="H434" i="5"/>
  <c r="H433" i="5"/>
  <c r="H432" i="5"/>
  <c r="H431" i="5"/>
  <c r="H430" i="5"/>
  <c r="H429" i="5"/>
  <c r="H428" i="5"/>
  <c r="H427" i="5"/>
  <c r="H425" i="5"/>
  <c r="H424" i="5"/>
  <c r="L423" i="5"/>
  <c r="J423" i="5"/>
  <c r="H423" i="5"/>
  <c r="H422" i="5"/>
  <c r="H420" i="5"/>
  <c r="H419" i="5"/>
  <c r="L418" i="5"/>
  <c r="J418" i="5"/>
  <c r="H418" i="5"/>
  <c r="L417" i="5"/>
  <c r="J417" i="5"/>
  <c r="H417" i="5"/>
  <c r="H416" i="5"/>
  <c r="H415" i="5"/>
  <c r="H414" i="5"/>
  <c r="L413" i="5"/>
  <c r="J413" i="5"/>
  <c r="H413" i="5"/>
  <c r="H412" i="5"/>
  <c r="P410" i="5"/>
  <c r="O410" i="5"/>
  <c r="N410" i="5"/>
  <c r="O409" i="5"/>
  <c r="H409" i="5"/>
  <c r="Y409" i="5" s="1"/>
  <c r="P408" i="5"/>
  <c r="O408" i="5"/>
  <c r="N408" i="5"/>
  <c r="P407" i="5"/>
  <c r="O407" i="5"/>
  <c r="N407" i="5"/>
  <c r="P406" i="5"/>
  <c r="O406" i="5"/>
  <c r="N406" i="5"/>
  <c r="P405" i="5"/>
  <c r="O405" i="5"/>
  <c r="N405" i="5"/>
  <c r="P404" i="5"/>
  <c r="O404" i="5"/>
  <c r="N404" i="5"/>
  <c r="P403" i="5"/>
  <c r="O403" i="5"/>
  <c r="N403" i="5"/>
  <c r="P402" i="5"/>
  <c r="O402" i="5"/>
  <c r="N402" i="5"/>
  <c r="P401" i="5"/>
  <c r="O401" i="5"/>
  <c r="N401" i="5"/>
  <c r="H358" i="5"/>
  <c r="H343" i="5"/>
  <c r="H342" i="5"/>
  <c r="H341" i="5"/>
  <c r="H340" i="5"/>
  <c r="H338" i="5"/>
  <c r="H337" i="5"/>
  <c r="H336" i="5"/>
  <c r="H335" i="5"/>
  <c r="H334" i="5"/>
  <c r="H333" i="5"/>
  <c r="H332" i="5"/>
  <c r="H331" i="5"/>
  <c r="H330" i="5"/>
  <c r="H329" i="5"/>
  <c r="H328" i="5"/>
  <c r="H327" i="5"/>
  <c r="H325" i="5"/>
  <c r="H324" i="5"/>
  <c r="L323" i="5"/>
  <c r="J323" i="5"/>
  <c r="H323" i="5"/>
  <c r="H322" i="5"/>
  <c r="H320" i="5"/>
  <c r="H319" i="5"/>
  <c r="L318" i="5"/>
  <c r="J318" i="5"/>
  <c r="H318" i="5"/>
  <c r="L317" i="5"/>
  <c r="J317" i="5"/>
  <c r="H317" i="5"/>
  <c r="H316" i="5"/>
  <c r="H315" i="5"/>
  <c r="H314" i="5"/>
  <c r="L313" i="5"/>
  <c r="J313" i="5"/>
  <c r="H313" i="5"/>
  <c r="H312" i="5"/>
  <c r="P310" i="5"/>
  <c r="O310" i="5"/>
  <c r="N310" i="5"/>
  <c r="O309" i="5"/>
  <c r="H309" i="5"/>
  <c r="N309" i="5" s="1"/>
  <c r="P308" i="5"/>
  <c r="O308" i="5"/>
  <c r="N308" i="5"/>
  <c r="P307" i="5"/>
  <c r="O307" i="5"/>
  <c r="N307" i="5"/>
  <c r="P306" i="5"/>
  <c r="O306" i="5"/>
  <c r="N306" i="5"/>
  <c r="P305" i="5"/>
  <c r="O305" i="5"/>
  <c r="N305" i="5"/>
  <c r="P304" i="5"/>
  <c r="O304" i="5"/>
  <c r="N304" i="5"/>
  <c r="P303" i="5"/>
  <c r="O303" i="5"/>
  <c r="N303" i="5"/>
  <c r="P302" i="5"/>
  <c r="O302" i="5"/>
  <c r="N302" i="5"/>
  <c r="P301" i="5"/>
  <c r="O301" i="5"/>
  <c r="N301" i="5"/>
  <c r="R258" i="5"/>
  <c r="H258" i="5"/>
  <c r="H243" i="5"/>
  <c r="H242" i="5"/>
  <c r="H241" i="5"/>
  <c r="H240" i="5"/>
  <c r="H238" i="5"/>
  <c r="H237" i="5"/>
  <c r="H236" i="5"/>
  <c r="H235" i="5"/>
  <c r="H234" i="5"/>
  <c r="H233" i="5"/>
  <c r="H232" i="5"/>
  <c r="H231" i="5"/>
  <c r="H230" i="5"/>
  <c r="H229" i="5"/>
  <c r="H228" i="5"/>
  <c r="H227" i="5"/>
  <c r="H225" i="5"/>
  <c r="H224" i="5"/>
  <c r="H161" i="5"/>
  <c r="T155" i="5"/>
  <c r="H153" i="5"/>
  <c r="H146" i="5"/>
  <c r="H145" i="5"/>
  <c r="H144" i="5"/>
  <c r="H143" i="5"/>
  <c r="H141" i="5"/>
  <c r="H140" i="5"/>
  <c r="H139" i="5"/>
  <c r="H138" i="5"/>
  <c r="H137" i="5"/>
  <c r="H136" i="5"/>
  <c r="H135" i="5"/>
  <c r="H134" i="5"/>
  <c r="H133" i="5"/>
  <c r="H132" i="5"/>
  <c r="H131" i="5"/>
  <c r="H130" i="5"/>
  <c r="H128" i="5"/>
  <c r="H127" i="5"/>
  <c r="L126" i="5"/>
  <c r="J126" i="5"/>
  <c r="H126" i="5"/>
  <c r="H125" i="5"/>
  <c r="H123" i="5"/>
  <c r="H122" i="5"/>
  <c r="L121" i="5"/>
  <c r="J121" i="5"/>
  <c r="H121" i="5"/>
  <c r="L120" i="5"/>
  <c r="J120" i="5"/>
  <c r="H120" i="5"/>
  <c r="H119" i="5"/>
  <c r="H118" i="5"/>
  <c r="H117" i="5"/>
  <c r="L116" i="5"/>
  <c r="J116" i="5"/>
  <c r="H116" i="5"/>
  <c r="H115" i="5"/>
  <c r="P113" i="5"/>
  <c r="O113" i="5"/>
  <c r="N113" i="5"/>
  <c r="O112" i="5"/>
  <c r="H112" i="5"/>
  <c r="P111" i="5"/>
  <c r="O111" i="5"/>
  <c r="N111" i="5"/>
  <c r="P110" i="5"/>
  <c r="O110" i="5"/>
  <c r="N110" i="5"/>
  <c r="P109" i="5"/>
  <c r="O109" i="5"/>
  <c r="N109" i="5"/>
  <c r="P108" i="5"/>
  <c r="O108" i="5"/>
  <c r="N108" i="5"/>
  <c r="P107" i="5"/>
  <c r="O107" i="5"/>
  <c r="N107" i="5"/>
  <c r="P106" i="5"/>
  <c r="O106" i="5"/>
  <c r="N106" i="5"/>
  <c r="P105" i="5"/>
  <c r="O105" i="5"/>
  <c r="N105" i="5"/>
  <c r="P104" i="5"/>
  <c r="O104" i="5"/>
  <c r="N104" i="5"/>
  <c r="H64" i="5"/>
  <c r="H56" i="5"/>
  <c r="H49" i="5"/>
  <c r="H48" i="5"/>
  <c r="H47" i="5"/>
  <c r="H46" i="5"/>
  <c r="H44" i="5"/>
  <c r="H43" i="5"/>
  <c r="H42" i="5"/>
  <c r="H41" i="5"/>
  <c r="H40" i="5"/>
  <c r="H39" i="5"/>
  <c r="H38" i="5"/>
  <c r="H37" i="5"/>
  <c r="H36" i="5"/>
  <c r="H35" i="5"/>
  <c r="H34" i="5"/>
  <c r="H33" i="5"/>
  <c r="H31" i="5"/>
  <c r="H30" i="5"/>
  <c r="L29" i="5"/>
  <c r="J29" i="5"/>
  <c r="H29" i="5"/>
  <c r="H28" i="5"/>
  <c r="H26" i="5"/>
  <c r="H25" i="5"/>
  <c r="L24" i="5"/>
  <c r="J24" i="5"/>
  <c r="H24" i="5"/>
  <c r="L23" i="5"/>
  <c r="J23" i="5"/>
  <c r="H23" i="5"/>
  <c r="H22" i="5"/>
  <c r="H21" i="5"/>
  <c r="H20" i="5"/>
  <c r="L19" i="5"/>
  <c r="J19" i="5"/>
  <c r="H19" i="5"/>
  <c r="H18" i="5"/>
  <c r="P16" i="5"/>
  <c r="O16" i="5"/>
  <c r="N16" i="5"/>
  <c r="O15" i="5"/>
  <c r="H15" i="5"/>
  <c r="P15" i="5" s="1"/>
  <c r="P14" i="5"/>
  <c r="O14" i="5"/>
  <c r="N14" i="5"/>
  <c r="P13" i="5"/>
  <c r="O13" i="5"/>
  <c r="N13" i="5"/>
  <c r="P12" i="5"/>
  <c r="O12" i="5"/>
  <c r="N12" i="5"/>
  <c r="P11" i="5"/>
  <c r="O11" i="5"/>
  <c r="N11" i="5"/>
  <c r="P10" i="5"/>
  <c r="O10" i="5"/>
  <c r="N10" i="5"/>
  <c r="P9" i="5"/>
  <c r="O9" i="5"/>
  <c r="N9" i="5"/>
  <c r="P8" i="5"/>
  <c r="O8" i="5"/>
  <c r="N8" i="5"/>
  <c r="P7" i="5"/>
  <c r="O7" i="5"/>
  <c r="N7" i="5"/>
  <c r="E78" i="4"/>
  <c r="F78" i="4"/>
  <c r="G78" i="4"/>
  <c r="H78" i="4"/>
  <c r="I78" i="4"/>
  <c r="J78" i="4"/>
  <c r="N78" i="4"/>
  <c r="P78" i="4"/>
  <c r="E79" i="4"/>
  <c r="F79" i="4"/>
  <c r="G79" i="4"/>
  <c r="H79" i="4"/>
  <c r="I79" i="4"/>
  <c r="J79" i="4"/>
  <c r="N79" i="4"/>
  <c r="P79" i="4"/>
  <c r="E80" i="4"/>
  <c r="F80" i="4"/>
  <c r="G80" i="4"/>
  <c r="H80" i="4"/>
  <c r="I80" i="4"/>
  <c r="J80" i="4"/>
  <c r="N80" i="4"/>
  <c r="P80" i="4"/>
  <c r="C207" i="4"/>
  <c r="D207" i="4"/>
  <c r="E207" i="4"/>
  <c r="F207" i="4"/>
  <c r="G207" i="4"/>
  <c r="H207" i="4"/>
  <c r="I207" i="4"/>
  <c r="J207" i="4"/>
  <c r="M207" i="4"/>
  <c r="N207" i="4"/>
  <c r="O207" i="4"/>
  <c r="P207" i="4"/>
  <c r="C208" i="4"/>
  <c r="D208" i="4"/>
  <c r="E208" i="4"/>
  <c r="F208" i="4"/>
  <c r="G208" i="4"/>
  <c r="H208" i="4"/>
  <c r="I208" i="4"/>
  <c r="J208" i="4"/>
  <c r="M208" i="4"/>
  <c r="N208" i="4"/>
  <c r="O208" i="4"/>
  <c r="P208" i="4"/>
  <c r="V208" i="4"/>
  <c r="C209" i="4"/>
  <c r="D209" i="4"/>
  <c r="E209" i="4"/>
  <c r="F209" i="4"/>
  <c r="G209" i="4"/>
  <c r="H209" i="4"/>
  <c r="I209" i="4"/>
  <c r="J209" i="4"/>
  <c r="M209" i="4"/>
  <c r="N209" i="4"/>
  <c r="O209" i="4"/>
  <c r="P209" i="4"/>
  <c r="V209" i="4"/>
  <c r="C210" i="4"/>
  <c r="D210" i="4"/>
  <c r="E210" i="4"/>
  <c r="F210" i="4"/>
  <c r="G210" i="4"/>
  <c r="H210" i="4"/>
  <c r="I210" i="4"/>
  <c r="J210" i="4"/>
  <c r="M210" i="4"/>
  <c r="N210" i="4"/>
  <c r="O210" i="4"/>
  <c r="P210" i="4"/>
  <c r="V210" i="4"/>
  <c r="C211" i="4"/>
  <c r="D211" i="4"/>
  <c r="E211" i="4"/>
  <c r="F211" i="4"/>
  <c r="G211" i="4"/>
  <c r="H211" i="4"/>
  <c r="I211" i="4"/>
  <c r="J211" i="4"/>
  <c r="M211" i="4"/>
  <c r="N211" i="4"/>
  <c r="O211" i="4"/>
  <c r="P211" i="4"/>
  <c r="V211" i="4"/>
  <c r="C212" i="4"/>
  <c r="D212" i="4"/>
  <c r="E212" i="4"/>
  <c r="F212" i="4"/>
  <c r="G212" i="4"/>
  <c r="H212" i="4"/>
  <c r="I212" i="4"/>
  <c r="J212" i="4"/>
  <c r="M212" i="4"/>
  <c r="N212" i="4"/>
  <c r="O212" i="4"/>
  <c r="P212" i="4"/>
  <c r="V212" i="4"/>
  <c r="C213" i="4"/>
  <c r="D213" i="4"/>
  <c r="E213" i="4"/>
  <c r="F213" i="4"/>
  <c r="G213" i="4"/>
  <c r="H213" i="4"/>
  <c r="I213" i="4"/>
  <c r="J213" i="4"/>
  <c r="M213" i="4"/>
  <c r="N213" i="4"/>
  <c r="O213" i="4"/>
  <c r="P213" i="4"/>
  <c r="V213" i="4"/>
  <c r="C214" i="4"/>
  <c r="D214" i="4"/>
  <c r="E214" i="4"/>
  <c r="F214" i="4"/>
  <c r="G214" i="4"/>
  <c r="H214" i="4"/>
  <c r="I214" i="4"/>
  <c r="J214" i="4"/>
  <c r="M214" i="4"/>
  <c r="N214" i="4"/>
  <c r="O214" i="4"/>
  <c r="P214" i="4"/>
  <c r="V214" i="4"/>
  <c r="C215" i="4"/>
  <c r="D215" i="4"/>
  <c r="E215" i="4"/>
  <c r="F215" i="4"/>
  <c r="G215" i="4"/>
  <c r="H215" i="4"/>
  <c r="I215" i="4"/>
  <c r="J215" i="4"/>
  <c r="M215" i="4"/>
  <c r="N215" i="4"/>
  <c r="O215" i="4"/>
  <c r="P215" i="4"/>
  <c r="V215" i="4"/>
  <c r="Y207" i="4"/>
  <c r="Z207" i="4"/>
  <c r="AA207" i="4"/>
  <c r="AB207" i="4"/>
  <c r="AC207" i="4"/>
  <c r="AD207" i="4"/>
  <c r="AE207" i="4"/>
  <c r="AF207" i="4"/>
  <c r="AI207" i="4"/>
  <c r="AJ207" i="4"/>
  <c r="AK207" i="4"/>
  <c r="AL207" i="4"/>
  <c r="AR207" i="4"/>
  <c r="Y208" i="4"/>
  <c r="Z208" i="4"/>
  <c r="AA208" i="4"/>
  <c r="AB208" i="4"/>
  <c r="AC208" i="4"/>
  <c r="AD208" i="4"/>
  <c r="AE208" i="4"/>
  <c r="AF208" i="4"/>
  <c r="AI208" i="4"/>
  <c r="AJ208" i="4"/>
  <c r="AK208" i="4"/>
  <c r="AL208" i="4"/>
  <c r="AR208" i="4"/>
  <c r="Y209" i="4"/>
  <c r="Z209" i="4"/>
  <c r="AA209" i="4"/>
  <c r="AB209" i="4"/>
  <c r="AC209" i="4"/>
  <c r="AD209" i="4"/>
  <c r="AE209" i="4"/>
  <c r="AF209" i="4"/>
  <c r="AI209" i="4"/>
  <c r="AJ209" i="4"/>
  <c r="AK209" i="4"/>
  <c r="AL209" i="4"/>
  <c r="AR209" i="4"/>
  <c r="Y210" i="4"/>
  <c r="Z210" i="4"/>
  <c r="AA210" i="4"/>
  <c r="AB210" i="4"/>
  <c r="AC210" i="4"/>
  <c r="AD210" i="4"/>
  <c r="AE210" i="4"/>
  <c r="AF210" i="4"/>
  <c r="AI210" i="4"/>
  <c r="AJ210" i="4"/>
  <c r="AK210" i="4"/>
  <c r="AL210" i="4"/>
  <c r="AR210" i="4"/>
  <c r="Y211" i="4"/>
  <c r="Z211" i="4"/>
  <c r="AA211" i="4"/>
  <c r="AB211" i="4"/>
  <c r="AC211" i="4"/>
  <c r="AD211" i="4"/>
  <c r="AE211" i="4"/>
  <c r="AF211" i="4"/>
  <c r="AI211" i="4"/>
  <c r="AJ211" i="4"/>
  <c r="AK211" i="4"/>
  <c r="AL211" i="4"/>
  <c r="AR211" i="4"/>
  <c r="Y212" i="4"/>
  <c r="Z212" i="4"/>
  <c r="AA212" i="4"/>
  <c r="AB212" i="4"/>
  <c r="AC212" i="4"/>
  <c r="AD212" i="4"/>
  <c r="AE212" i="4"/>
  <c r="AF212" i="4"/>
  <c r="AI212" i="4"/>
  <c r="AJ212" i="4"/>
  <c r="AK212" i="4"/>
  <c r="AL212" i="4"/>
  <c r="AR212" i="4"/>
  <c r="Y213" i="4"/>
  <c r="Z213" i="4"/>
  <c r="AA213" i="4"/>
  <c r="AB213" i="4"/>
  <c r="AC213" i="4"/>
  <c r="AD213" i="4"/>
  <c r="AE213" i="4"/>
  <c r="AF213" i="4"/>
  <c r="AI213" i="4"/>
  <c r="AJ213" i="4"/>
  <c r="AK213" i="4"/>
  <c r="AL213" i="4"/>
  <c r="AR213" i="4"/>
  <c r="Y214" i="4"/>
  <c r="Z214" i="4"/>
  <c r="AA214" i="4"/>
  <c r="AB214" i="4"/>
  <c r="AC214" i="4"/>
  <c r="AD214" i="4"/>
  <c r="AE214" i="4"/>
  <c r="AF214" i="4"/>
  <c r="AI214" i="4"/>
  <c r="AJ214" i="4"/>
  <c r="AK214" i="4"/>
  <c r="AL214" i="4"/>
  <c r="AR214" i="4"/>
  <c r="Y215" i="4"/>
  <c r="Z215" i="4"/>
  <c r="AA215" i="4"/>
  <c r="AB215" i="4"/>
  <c r="AC215" i="4"/>
  <c r="AD215" i="4"/>
  <c r="AF215" i="4"/>
  <c r="AI215" i="4"/>
  <c r="AJ215" i="4"/>
  <c r="AK215" i="4"/>
  <c r="AL215" i="4"/>
  <c r="AR215" i="4"/>
  <c r="AK256" i="4" l="1"/>
  <c r="I256" i="4"/>
  <c r="AJ256" i="4"/>
  <c r="H256" i="4"/>
  <c r="AF256" i="4"/>
  <c r="F256" i="4"/>
  <c r="AI256" i="4"/>
  <c r="AP256" i="4" s="1"/>
  <c r="G256" i="4"/>
  <c r="S256" i="4" s="1"/>
  <c r="AE256" i="4"/>
  <c r="E256" i="4"/>
  <c r="AD256" i="4"/>
  <c r="AO256" i="4" s="1"/>
  <c r="D256" i="4"/>
  <c r="R256" i="4" s="1"/>
  <c r="Q256" i="4" s="1"/>
  <c r="AB256" i="4"/>
  <c r="P256" i="4"/>
  <c r="AC256" i="4"/>
  <c r="AA256" i="4"/>
  <c r="O256" i="4"/>
  <c r="C256" i="4"/>
  <c r="Z256" i="4"/>
  <c r="N256" i="4"/>
  <c r="V256" i="4"/>
  <c r="AR256" i="4"/>
  <c r="Y256" i="4"/>
  <c r="M256" i="4"/>
  <c r="AL256" i="4"/>
  <c r="AQ256" i="4" s="1"/>
  <c r="J256" i="4"/>
  <c r="V85" i="4"/>
  <c r="D84" i="4"/>
  <c r="M81" i="4"/>
  <c r="T81" i="4" s="1"/>
  <c r="C81" i="4"/>
  <c r="O85" i="4"/>
  <c r="U85" i="4" s="1"/>
  <c r="V83" i="4"/>
  <c r="D82" i="4"/>
  <c r="M86" i="4"/>
  <c r="T86" i="4" s="1"/>
  <c r="C86" i="4"/>
  <c r="O84" i="4"/>
  <c r="U84" i="4" s="1"/>
  <c r="V82" i="4"/>
  <c r="D81" i="4"/>
  <c r="M84" i="4"/>
  <c r="T84" i="4" s="1"/>
  <c r="C84" i="4"/>
  <c r="R84" i="4" s="1"/>
  <c r="Q84" i="4" s="1"/>
  <c r="O82" i="4"/>
  <c r="U82" i="4" s="1"/>
  <c r="V86" i="4"/>
  <c r="D85" i="4"/>
  <c r="M82" i="4"/>
  <c r="T82" i="4" s="1"/>
  <c r="C82" i="4"/>
  <c r="M85" i="4"/>
  <c r="T85" i="4" s="1"/>
  <c r="C85" i="4"/>
  <c r="O83" i="4"/>
  <c r="U83" i="4" s="1"/>
  <c r="V81" i="4"/>
  <c r="O86" i="4"/>
  <c r="U86" i="4" s="1"/>
  <c r="V84" i="4"/>
  <c r="D83" i="4"/>
  <c r="D86" i="4"/>
  <c r="M83" i="4"/>
  <c r="T83" i="4" s="1"/>
  <c r="C83" i="4"/>
  <c r="O81" i="4"/>
  <c r="U81" i="4" s="1"/>
  <c r="J127" i="4"/>
  <c r="I127" i="4"/>
  <c r="H127" i="4"/>
  <c r="G127" i="4"/>
  <c r="F127" i="4"/>
  <c r="E127" i="4"/>
  <c r="P127" i="4"/>
  <c r="N127" i="4"/>
  <c r="Y30" i="5"/>
  <c r="N30" i="5"/>
  <c r="P30" i="5"/>
  <c r="Y125" i="5"/>
  <c r="P125" i="5"/>
  <c r="N125" i="5"/>
  <c r="Y230" i="5"/>
  <c r="N230" i="5"/>
  <c r="P230" i="5"/>
  <c r="Y324" i="5"/>
  <c r="N324" i="5"/>
  <c r="P324" i="5"/>
  <c r="Y420" i="5"/>
  <c r="P420" i="5"/>
  <c r="N420" i="5"/>
  <c r="Y436" i="5"/>
  <c r="P436" i="5"/>
  <c r="N436" i="5"/>
  <c r="N510" i="5"/>
  <c r="Y510" i="5"/>
  <c r="Y619" i="5"/>
  <c r="P619" i="5"/>
  <c r="N619" i="5"/>
  <c r="Y133" i="5"/>
  <c r="P133" i="5"/>
  <c r="N133" i="5"/>
  <c r="Y334" i="5"/>
  <c r="P334" i="5"/>
  <c r="N334" i="5"/>
  <c r="Y543" i="5"/>
  <c r="P543" i="5"/>
  <c r="N543" i="5"/>
  <c r="Y319" i="5"/>
  <c r="P319" i="5"/>
  <c r="N319" i="5"/>
  <c r="Y430" i="5"/>
  <c r="P430" i="5"/>
  <c r="N430" i="5"/>
  <c r="Y515" i="5"/>
  <c r="P515" i="5"/>
  <c r="N515" i="5"/>
  <c r="Y22" i="5"/>
  <c r="N22" i="5"/>
  <c r="P22" i="5"/>
  <c r="Y42" i="5"/>
  <c r="N42" i="5"/>
  <c r="P42" i="5"/>
  <c r="Y135" i="5"/>
  <c r="P135" i="5"/>
  <c r="N135" i="5"/>
  <c r="Y242" i="5"/>
  <c r="N242" i="5"/>
  <c r="P242" i="5"/>
  <c r="Y328" i="5"/>
  <c r="N328" i="5"/>
  <c r="P328" i="5"/>
  <c r="Y516" i="5"/>
  <c r="P516" i="5"/>
  <c r="N516" i="5"/>
  <c r="Y23" i="5"/>
  <c r="N23" i="5"/>
  <c r="P23" i="5"/>
  <c r="Y28" i="5"/>
  <c r="N28" i="5"/>
  <c r="P28" i="5"/>
  <c r="Y35" i="5"/>
  <c r="N35" i="5"/>
  <c r="P35" i="5"/>
  <c r="Y43" i="5"/>
  <c r="N43" i="5"/>
  <c r="P43" i="5"/>
  <c r="P112" i="5"/>
  <c r="Y112" i="5"/>
  <c r="Y127" i="5"/>
  <c r="P127" i="5"/>
  <c r="N127" i="5"/>
  <c r="Y136" i="5"/>
  <c r="N136" i="5"/>
  <c r="P136" i="5"/>
  <c r="Y145" i="5"/>
  <c r="P145" i="5"/>
  <c r="N145" i="5"/>
  <c r="Y225" i="5"/>
  <c r="P225" i="5"/>
  <c r="N225" i="5"/>
  <c r="Y234" i="5"/>
  <c r="N234" i="5"/>
  <c r="P234" i="5"/>
  <c r="Y243" i="5"/>
  <c r="P243" i="5"/>
  <c r="N243" i="5"/>
  <c r="Y317" i="5"/>
  <c r="P317" i="5"/>
  <c r="N317" i="5"/>
  <c r="Y322" i="5"/>
  <c r="N322" i="5"/>
  <c r="P322" i="5"/>
  <c r="Y329" i="5"/>
  <c r="P329" i="5"/>
  <c r="N329" i="5"/>
  <c r="Y337" i="5"/>
  <c r="P337" i="5"/>
  <c r="N337" i="5"/>
  <c r="N409" i="5"/>
  <c r="Y418" i="5"/>
  <c r="P418" i="5"/>
  <c r="N418" i="5"/>
  <c r="Y432" i="5"/>
  <c r="P432" i="5"/>
  <c r="N432" i="5"/>
  <c r="Y441" i="5"/>
  <c r="N441" i="5"/>
  <c r="P441" i="5"/>
  <c r="Y517" i="5"/>
  <c r="P517" i="5"/>
  <c r="N517" i="5"/>
  <c r="Y521" i="5"/>
  <c r="P521" i="5"/>
  <c r="N521" i="5"/>
  <c r="Y529" i="5"/>
  <c r="P529" i="5"/>
  <c r="N529" i="5"/>
  <c r="Y537" i="5"/>
  <c r="P537" i="5"/>
  <c r="N537" i="5"/>
  <c r="P611" i="5"/>
  <c r="Y611" i="5"/>
  <c r="Y626" i="5"/>
  <c r="P626" i="5"/>
  <c r="N626" i="5"/>
  <c r="Y635" i="5"/>
  <c r="P635" i="5"/>
  <c r="N635" i="5"/>
  <c r="Y644" i="5"/>
  <c r="P644" i="5"/>
  <c r="N644" i="5"/>
  <c r="Y39" i="5"/>
  <c r="P39" i="5"/>
  <c r="N39" i="5"/>
  <c r="Y140" i="5"/>
  <c r="N140" i="5"/>
  <c r="P140" i="5"/>
  <c r="Y416" i="5"/>
  <c r="P416" i="5"/>
  <c r="N416" i="5"/>
  <c r="Y533" i="5"/>
  <c r="P533" i="5"/>
  <c r="N533" i="5"/>
  <c r="Y624" i="5"/>
  <c r="P624" i="5"/>
  <c r="N624" i="5"/>
  <c r="Y20" i="5"/>
  <c r="N20" i="5"/>
  <c r="P20" i="5"/>
  <c r="Y325" i="5"/>
  <c r="P325" i="5"/>
  <c r="N325" i="5"/>
  <c r="Y429" i="5"/>
  <c r="N429" i="5"/>
  <c r="P429" i="5"/>
  <c r="Y625" i="5"/>
  <c r="P625" i="5"/>
  <c r="N625" i="5"/>
  <c r="Y56" i="5"/>
  <c r="N56" i="5"/>
  <c r="P56" i="5"/>
  <c r="Y232" i="5"/>
  <c r="N232" i="5"/>
  <c r="P232" i="5"/>
  <c r="Y327" i="5"/>
  <c r="P327" i="5"/>
  <c r="N327" i="5"/>
  <c r="Y438" i="5"/>
  <c r="P438" i="5"/>
  <c r="N438" i="5"/>
  <c r="Y144" i="5"/>
  <c r="P144" i="5"/>
  <c r="N144" i="5"/>
  <c r="Y224" i="5"/>
  <c r="N224" i="5"/>
  <c r="P224" i="5"/>
  <c r="Y320" i="5"/>
  <c r="N320" i="5"/>
  <c r="P320" i="5"/>
  <c r="Y336" i="5"/>
  <c r="N336" i="5"/>
  <c r="P336" i="5"/>
  <c r="Y520" i="5"/>
  <c r="N520" i="5"/>
  <c r="P520" i="5"/>
  <c r="Y620" i="5"/>
  <c r="P620" i="5"/>
  <c r="N620" i="5"/>
  <c r="Y18" i="5"/>
  <c r="N18" i="5"/>
  <c r="P18" i="5"/>
  <c r="Y29" i="5"/>
  <c r="P29" i="5"/>
  <c r="N29" i="5"/>
  <c r="Y36" i="5"/>
  <c r="N36" i="5"/>
  <c r="P36" i="5"/>
  <c r="Y44" i="5"/>
  <c r="N44" i="5"/>
  <c r="P44" i="5"/>
  <c r="Y117" i="5"/>
  <c r="P117" i="5"/>
  <c r="N117" i="5"/>
  <c r="Y128" i="5"/>
  <c r="P128" i="5"/>
  <c r="N128" i="5"/>
  <c r="Y137" i="5"/>
  <c r="P137" i="5"/>
  <c r="N137" i="5"/>
  <c r="Y146" i="5"/>
  <c r="N146" i="5"/>
  <c r="P146" i="5"/>
  <c r="Y227" i="5"/>
  <c r="P227" i="5"/>
  <c r="N227" i="5"/>
  <c r="Y235" i="5"/>
  <c r="P235" i="5"/>
  <c r="N235" i="5"/>
  <c r="Y312" i="5"/>
  <c r="P312" i="5"/>
  <c r="N312" i="5"/>
  <c r="Y323" i="5"/>
  <c r="P323" i="5"/>
  <c r="N323" i="5"/>
  <c r="Y330" i="5"/>
  <c r="P330" i="5"/>
  <c r="N330" i="5"/>
  <c r="Y338" i="5"/>
  <c r="N338" i="5"/>
  <c r="P338" i="5"/>
  <c r="Y424" i="5"/>
  <c r="P424" i="5"/>
  <c r="N424" i="5"/>
  <c r="Y433" i="5"/>
  <c r="N433" i="5"/>
  <c r="P433" i="5"/>
  <c r="Y442" i="5"/>
  <c r="P442" i="5"/>
  <c r="N442" i="5"/>
  <c r="Y518" i="5"/>
  <c r="P518" i="5"/>
  <c r="N518" i="5"/>
  <c r="Y523" i="5"/>
  <c r="P523" i="5"/>
  <c r="N523" i="5"/>
  <c r="Y530" i="5"/>
  <c r="N530" i="5"/>
  <c r="P530" i="5"/>
  <c r="Y538" i="5"/>
  <c r="N538" i="5"/>
  <c r="P538" i="5"/>
  <c r="Y616" i="5"/>
  <c r="P616" i="5"/>
  <c r="N616" i="5"/>
  <c r="Y627" i="5"/>
  <c r="P627" i="5"/>
  <c r="N627" i="5"/>
  <c r="Y636" i="5"/>
  <c r="P636" i="5"/>
  <c r="N636" i="5"/>
  <c r="Y645" i="5"/>
  <c r="N645" i="5"/>
  <c r="P645" i="5"/>
  <c r="Y120" i="5"/>
  <c r="N120" i="5"/>
  <c r="P120" i="5"/>
  <c r="Y238" i="5"/>
  <c r="N238" i="5"/>
  <c r="P238" i="5"/>
  <c r="Y333" i="5"/>
  <c r="P333" i="5"/>
  <c r="N333" i="5"/>
  <c r="Y631" i="5"/>
  <c r="P631" i="5"/>
  <c r="N631" i="5"/>
  <c r="Y31" i="5"/>
  <c r="N31" i="5"/>
  <c r="P31" i="5"/>
  <c r="Y49" i="5"/>
  <c r="N49" i="5"/>
  <c r="P49" i="5"/>
  <c r="Y115" i="5"/>
  <c r="P115" i="5"/>
  <c r="N115" i="5"/>
  <c r="Y240" i="5"/>
  <c r="N240" i="5"/>
  <c r="P240" i="5"/>
  <c r="Y343" i="5"/>
  <c r="P343" i="5"/>
  <c r="N343" i="5"/>
  <c r="Y422" i="5"/>
  <c r="P422" i="5"/>
  <c r="N422" i="5"/>
  <c r="Y534" i="5"/>
  <c r="P534" i="5"/>
  <c r="N534" i="5"/>
  <c r="Y640" i="5"/>
  <c r="P640" i="5"/>
  <c r="N640" i="5"/>
  <c r="Y25" i="5"/>
  <c r="N25" i="5"/>
  <c r="P25" i="5"/>
  <c r="Y41" i="5"/>
  <c r="N41" i="5"/>
  <c r="P41" i="5"/>
  <c r="Y134" i="5"/>
  <c r="P134" i="5"/>
  <c r="N134" i="5"/>
  <c r="Y315" i="5"/>
  <c r="P315" i="5"/>
  <c r="N315" i="5"/>
  <c r="Y412" i="5"/>
  <c r="P412" i="5"/>
  <c r="N412" i="5"/>
  <c r="Y423" i="5"/>
  <c r="N423" i="5"/>
  <c r="P423" i="5"/>
  <c r="Y526" i="5"/>
  <c r="N526" i="5"/>
  <c r="P526" i="5"/>
  <c r="Y544" i="5"/>
  <c r="N544" i="5"/>
  <c r="P544" i="5"/>
  <c r="Y615" i="5"/>
  <c r="P615" i="5"/>
  <c r="N615" i="5"/>
  <c r="Y633" i="5"/>
  <c r="P633" i="5"/>
  <c r="N633" i="5"/>
  <c r="Y26" i="5"/>
  <c r="N26" i="5"/>
  <c r="P26" i="5"/>
  <c r="Y121" i="5"/>
  <c r="P121" i="5"/>
  <c r="N121" i="5"/>
  <c r="Y316" i="5"/>
  <c r="P316" i="5"/>
  <c r="N316" i="5"/>
  <c r="Y413" i="5"/>
  <c r="N413" i="5"/>
  <c r="P413" i="5"/>
  <c r="Y440" i="5"/>
  <c r="P440" i="5"/>
  <c r="N440" i="5"/>
  <c r="Y528" i="5"/>
  <c r="P528" i="5"/>
  <c r="N528" i="5"/>
  <c r="Y536" i="5"/>
  <c r="N536" i="5"/>
  <c r="P536" i="5"/>
  <c r="Y643" i="5"/>
  <c r="P643" i="5"/>
  <c r="N643" i="5"/>
  <c r="Y19" i="5"/>
  <c r="P19" i="5"/>
  <c r="N19" i="5"/>
  <c r="Y37" i="5"/>
  <c r="P37" i="5"/>
  <c r="N37" i="5"/>
  <c r="Y46" i="5"/>
  <c r="N46" i="5"/>
  <c r="P46" i="5"/>
  <c r="Y118" i="5"/>
  <c r="N118" i="5"/>
  <c r="P118" i="5"/>
  <c r="Y122" i="5"/>
  <c r="N122" i="5"/>
  <c r="P122" i="5"/>
  <c r="Y130" i="5"/>
  <c r="P130" i="5"/>
  <c r="N130" i="5"/>
  <c r="Y138" i="5"/>
  <c r="N138" i="5"/>
  <c r="P138" i="5"/>
  <c r="Y153" i="5"/>
  <c r="P153" i="5"/>
  <c r="N153" i="5"/>
  <c r="Y228" i="5"/>
  <c r="N228" i="5"/>
  <c r="P228" i="5"/>
  <c r="Y236" i="5"/>
  <c r="N236" i="5"/>
  <c r="P236" i="5"/>
  <c r="Y313" i="5"/>
  <c r="P313" i="5"/>
  <c r="N313" i="5"/>
  <c r="Y331" i="5"/>
  <c r="P331" i="5"/>
  <c r="N331" i="5"/>
  <c r="Y340" i="5"/>
  <c r="P340" i="5"/>
  <c r="N340" i="5"/>
  <c r="P409" i="5"/>
  <c r="Y414" i="5"/>
  <c r="P414" i="5"/>
  <c r="N414" i="5"/>
  <c r="Y425" i="5"/>
  <c r="N425" i="5"/>
  <c r="P425" i="5"/>
  <c r="Y434" i="5"/>
  <c r="P434" i="5"/>
  <c r="N434" i="5"/>
  <c r="Y443" i="5"/>
  <c r="N443" i="5"/>
  <c r="P443" i="5"/>
  <c r="Y513" i="5"/>
  <c r="P513" i="5"/>
  <c r="N513" i="5"/>
  <c r="Y524" i="5"/>
  <c r="P524" i="5"/>
  <c r="N524" i="5"/>
  <c r="Y531" i="5"/>
  <c r="P531" i="5"/>
  <c r="N531" i="5"/>
  <c r="Y539" i="5"/>
  <c r="P539" i="5"/>
  <c r="N539" i="5"/>
  <c r="Y617" i="5"/>
  <c r="N617" i="5"/>
  <c r="P617" i="5"/>
  <c r="Y621" i="5"/>
  <c r="P621" i="5"/>
  <c r="N621" i="5"/>
  <c r="Y629" i="5"/>
  <c r="P629" i="5"/>
  <c r="N629" i="5"/>
  <c r="Y637" i="5"/>
  <c r="P637" i="5"/>
  <c r="N637" i="5"/>
  <c r="Y48" i="5"/>
  <c r="N48" i="5"/>
  <c r="P48" i="5"/>
  <c r="Y132" i="5"/>
  <c r="P132" i="5"/>
  <c r="N132" i="5"/>
  <c r="Y342" i="5"/>
  <c r="N342" i="5"/>
  <c r="P342" i="5"/>
  <c r="Y428" i="5"/>
  <c r="P428" i="5"/>
  <c r="N428" i="5"/>
  <c r="Y519" i="5"/>
  <c r="P519" i="5"/>
  <c r="N519" i="5"/>
  <c r="Y542" i="5"/>
  <c r="P542" i="5"/>
  <c r="N542" i="5"/>
  <c r="Y639" i="5"/>
  <c r="P639" i="5"/>
  <c r="N639" i="5"/>
  <c r="Y40" i="5"/>
  <c r="N40" i="5"/>
  <c r="P40" i="5"/>
  <c r="Y126" i="5"/>
  <c r="P126" i="5"/>
  <c r="N126" i="5"/>
  <c r="Y141" i="5"/>
  <c r="P141" i="5"/>
  <c r="N141" i="5"/>
  <c r="Y231" i="5"/>
  <c r="P231" i="5"/>
  <c r="N231" i="5"/>
  <c r="Y314" i="5"/>
  <c r="N314" i="5"/>
  <c r="P314" i="5"/>
  <c r="Y417" i="5"/>
  <c r="N417" i="5"/>
  <c r="P417" i="5"/>
  <c r="Y437" i="5"/>
  <c r="N437" i="5"/>
  <c r="P437" i="5"/>
  <c r="Y525" i="5"/>
  <c r="P525" i="5"/>
  <c r="N525" i="5"/>
  <c r="Y614" i="5"/>
  <c r="P614" i="5"/>
  <c r="N614" i="5"/>
  <c r="Y632" i="5"/>
  <c r="P632" i="5"/>
  <c r="N632" i="5"/>
  <c r="Y21" i="5"/>
  <c r="P21" i="5"/>
  <c r="N21" i="5"/>
  <c r="Y33" i="5"/>
  <c r="N33" i="5"/>
  <c r="P33" i="5"/>
  <c r="Y116" i="5"/>
  <c r="P116" i="5"/>
  <c r="N116" i="5"/>
  <c r="Y143" i="5"/>
  <c r="P143" i="5"/>
  <c r="N143" i="5"/>
  <c r="Y241" i="5"/>
  <c r="P241" i="5"/>
  <c r="N241" i="5"/>
  <c r="Y335" i="5"/>
  <c r="P335" i="5"/>
  <c r="N335" i="5"/>
  <c r="P510" i="5"/>
  <c r="Y535" i="5"/>
  <c r="P535" i="5"/>
  <c r="N535" i="5"/>
  <c r="Y642" i="5"/>
  <c r="P642" i="5"/>
  <c r="N642" i="5"/>
  <c r="Y34" i="5"/>
  <c r="N34" i="5"/>
  <c r="P34" i="5"/>
  <c r="Y233" i="5"/>
  <c r="P233" i="5"/>
  <c r="N233" i="5"/>
  <c r="Y431" i="5"/>
  <c r="N431" i="5"/>
  <c r="P431" i="5"/>
  <c r="Y634" i="5"/>
  <c r="P634" i="5"/>
  <c r="N634" i="5"/>
  <c r="N15" i="5"/>
  <c r="Y15" i="5"/>
  <c r="Y24" i="5"/>
  <c r="N24" i="5"/>
  <c r="P24" i="5"/>
  <c r="Y38" i="5"/>
  <c r="N38" i="5"/>
  <c r="P38" i="5"/>
  <c r="Y47" i="5"/>
  <c r="N47" i="5"/>
  <c r="P47" i="5"/>
  <c r="Y119" i="5"/>
  <c r="P119" i="5"/>
  <c r="N119" i="5"/>
  <c r="Y123" i="5"/>
  <c r="P123" i="5"/>
  <c r="N123" i="5"/>
  <c r="Y131" i="5"/>
  <c r="P131" i="5"/>
  <c r="N131" i="5"/>
  <c r="Y139" i="5"/>
  <c r="P139" i="5"/>
  <c r="N139" i="5"/>
  <c r="Y229" i="5"/>
  <c r="P229" i="5"/>
  <c r="N229" i="5"/>
  <c r="Y237" i="5"/>
  <c r="P237" i="5"/>
  <c r="N237" i="5"/>
  <c r="P309" i="5"/>
  <c r="Y309" i="5"/>
  <c r="Y318" i="5"/>
  <c r="P318" i="5"/>
  <c r="N318" i="5"/>
  <c r="Y332" i="5"/>
  <c r="N332" i="5"/>
  <c r="P332" i="5"/>
  <c r="Y341" i="5"/>
  <c r="P341" i="5"/>
  <c r="N341" i="5"/>
  <c r="Y415" i="5"/>
  <c r="N415" i="5"/>
  <c r="P415" i="5"/>
  <c r="Y419" i="5"/>
  <c r="N419" i="5"/>
  <c r="P419" i="5"/>
  <c r="Y427" i="5"/>
  <c r="N427" i="5"/>
  <c r="P427" i="5"/>
  <c r="Y435" i="5"/>
  <c r="N435" i="5"/>
  <c r="P435" i="5"/>
  <c r="Y514" i="5"/>
  <c r="P514" i="5"/>
  <c r="N514" i="5"/>
  <c r="Y532" i="5"/>
  <c r="P532" i="5"/>
  <c r="N532" i="5"/>
  <c r="Y541" i="5"/>
  <c r="P541" i="5"/>
  <c r="N541" i="5"/>
  <c r="Y618" i="5"/>
  <c r="P618" i="5"/>
  <c r="N618" i="5"/>
  <c r="Y622" i="5"/>
  <c r="P622" i="5"/>
  <c r="N622" i="5"/>
  <c r="Y630" i="5"/>
  <c r="P630" i="5"/>
  <c r="N630" i="5"/>
  <c r="Y638" i="5"/>
  <c r="P638" i="5"/>
  <c r="N638" i="5"/>
  <c r="AN211" i="4"/>
  <c r="R212" i="4"/>
  <c r="AO215" i="4"/>
  <c r="AP213" i="4"/>
  <c r="Y458" i="5"/>
  <c r="P458" i="5"/>
  <c r="N458" i="5"/>
  <c r="Y161" i="5"/>
  <c r="N161" i="5"/>
  <c r="P161" i="5"/>
  <c r="Y358" i="5"/>
  <c r="N358" i="5"/>
  <c r="P358" i="5"/>
  <c r="Y64" i="5"/>
  <c r="P64" i="5"/>
  <c r="N64" i="5"/>
  <c r="Y559" i="5"/>
  <c r="N559" i="5"/>
  <c r="P559" i="5"/>
  <c r="Y258" i="5"/>
  <c r="P258" i="5"/>
  <c r="N258" i="5"/>
  <c r="Y660" i="5"/>
  <c r="P660" i="5"/>
  <c r="N660" i="5"/>
  <c r="N553" i="5"/>
  <c r="Y553" i="5"/>
  <c r="N155" i="5"/>
  <c r="Y155" i="5"/>
  <c r="V80" i="4"/>
  <c r="O80" i="4"/>
  <c r="U80" i="4" s="1"/>
  <c r="M80" i="4"/>
  <c r="T80" i="4" s="1"/>
  <c r="AN214" i="4"/>
  <c r="AQ210" i="4"/>
  <c r="T209" i="4"/>
  <c r="V79" i="4"/>
  <c r="M79" i="4"/>
  <c r="T79" i="4" s="1"/>
  <c r="O79" i="4"/>
  <c r="U79" i="4" s="1"/>
  <c r="O78" i="4"/>
  <c r="V78" i="4"/>
  <c r="M78" i="4"/>
  <c r="AO210" i="4"/>
  <c r="S79" i="4"/>
  <c r="AQ214" i="4"/>
  <c r="AO214" i="4"/>
  <c r="U212" i="4"/>
  <c r="S80" i="4"/>
  <c r="N611" i="5"/>
  <c r="N112" i="5"/>
  <c r="S208" i="4"/>
  <c r="S210" i="4"/>
  <c r="AP208" i="4"/>
  <c r="AQ211" i="4"/>
  <c r="AO211" i="4"/>
  <c r="AP209" i="4"/>
  <c r="S212" i="4"/>
  <c r="D79" i="4"/>
  <c r="AQ212" i="4"/>
  <c r="AO212" i="4"/>
  <c r="AP210" i="4"/>
  <c r="AP211" i="4"/>
  <c r="U214" i="4"/>
  <c r="S214" i="4"/>
  <c r="T212" i="4"/>
  <c r="R210" i="4"/>
  <c r="S78" i="4"/>
  <c r="AP212" i="4"/>
  <c r="AN210" i="4"/>
  <c r="T213" i="4"/>
  <c r="R211" i="4"/>
  <c r="T208" i="4"/>
  <c r="AN207" i="4"/>
  <c r="C80" i="4"/>
  <c r="AO207" i="4"/>
  <c r="T215" i="4"/>
  <c r="U208" i="4"/>
  <c r="D80" i="4"/>
  <c r="AQ209" i="4"/>
  <c r="AO209" i="4"/>
  <c r="AP207" i="4"/>
  <c r="R214" i="4"/>
  <c r="U209" i="4"/>
  <c r="S209" i="4"/>
  <c r="T207" i="4"/>
  <c r="AP215" i="4"/>
  <c r="AN213" i="4"/>
  <c r="R213" i="4"/>
  <c r="R207" i="4"/>
  <c r="C79" i="4"/>
  <c r="C78" i="4"/>
  <c r="AN215" i="4"/>
  <c r="U211" i="4"/>
  <c r="S211" i="4"/>
  <c r="U210" i="4"/>
  <c r="R209" i="4"/>
  <c r="AQ207" i="4"/>
  <c r="U215" i="4"/>
  <c r="S215" i="4"/>
  <c r="T211" i="4"/>
  <c r="T210" i="4"/>
  <c r="U207" i="4"/>
  <c r="S207" i="4"/>
  <c r="AO208" i="4"/>
  <c r="R215" i="4"/>
  <c r="AN212" i="4"/>
  <c r="D78" i="4"/>
  <c r="AN208" i="4"/>
  <c r="U213" i="4"/>
  <c r="S213" i="4"/>
  <c r="AP214" i="4"/>
  <c r="AQ208" i="4"/>
  <c r="AQ215" i="4"/>
  <c r="AQ213" i="4"/>
  <c r="AO213" i="4"/>
  <c r="AN209" i="4"/>
  <c r="T214" i="4"/>
  <c r="R208" i="4"/>
  <c r="U256" i="4" l="1"/>
  <c r="T256" i="4"/>
  <c r="AN256" i="4"/>
  <c r="AM256" i="4" s="1"/>
  <c r="R86" i="4"/>
  <c r="Q86" i="4" s="1"/>
  <c r="Q212" i="4"/>
  <c r="R81" i="4"/>
  <c r="Q81" i="4" s="1"/>
  <c r="R82" i="4"/>
  <c r="Q82" i="4" s="1"/>
  <c r="R83" i="4"/>
  <c r="Q83" i="4" s="1"/>
  <c r="R85" i="4"/>
  <c r="Q85" i="4" s="1"/>
  <c r="M127" i="4"/>
  <c r="T127" i="4" s="1"/>
  <c r="C127" i="4"/>
  <c r="O127" i="4"/>
  <c r="U127" i="4" s="1"/>
  <c r="D127" i="4"/>
  <c r="V127" i="4"/>
  <c r="T78" i="4"/>
  <c r="U78" i="4"/>
  <c r="AM211" i="4"/>
  <c r="AM209" i="4"/>
  <c r="AM215" i="4"/>
  <c r="S127" i="4"/>
  <c r="AM213" i="4"/>
  <c r="AM207" i="4"/>
  <c r="AM214" i="4"/>
  <c r="AM212" i="4"/>
  <c r="AM210" i="4"/>
  <c r="AM208" i="4"/>
  <c r="R79" i="4"/>
  <c r="Q79" i="4" s="1"/>
  <c r="Q215" i="4"/>
  <c r="Q210" i="4"/>
  <c r="Q209" i="4"/>
  <c r="Q208" i="4"/>
  <c r="Q214" i="4"/>
  <c r="Q211" i="4"/>
  <c r="R80" i="4"/>
  <c r="Q80" i="4" s="1"/>
  <c r="R78" i="4"/>
  <c r="Q78" i="4" s="1"/>
  <c r="Q207" i="4"/>
  <c r="Q213" i="4"/>
  <c r="AR760" i="4"/>
  <c r="AL760" i="4"/>
  <c r="AK760" i="4"/>
  <c r="AI760" i="4"/>
  <c r="AD760" i="4"/>
  <c r="AC760" i="4"/>
  <c r="AB760" i="4"/>
  <c r="AA760" i="4"/>
  <c r="Y760" i="4"/>
  <c r="AR759" i="4"/>
  <c r="AL759" i="4"/>
  <c r="AK759" i="4"/>
  <c r="AJ759" i="4"/>
  <c r="AI759" i="4"/>
  <c r="AC759" i="4"/>
  <c r="AA759" i="4"/>
  <c r="Z759" i="4"/>
  <c r="Y759" i="4"/>
  <c r="AR758" i="4"/>
  <c r="AL758" i="4"/>
  <c r="AK758" i="4"/>
  <c r="AJ758" i="4"/>
  <c r="AI758" i="4"/>
  <c r="AD758" i="4"/>
  <c r="AC758" i="4"/>
  <c r="AB758" i="4"/>
  <c r="AA758" i="4"/>
  <c r="Y758" i="4"/>
  <c r="AR757" i="4"/>
  <c r="AL757" i="4"/>
  <c r="AK757" i="4"/>
  <c r="AJ757" i="4"/>
  <c r="AI757" i="4"/>
  <c r="AC757" i="4"/>
  <c r="AA757" i="4"/>
  <c r="Y757" i="4"/>
  <c r="AR756" i="4"/>
  <c r="AL756" i="4"/>
  <c r="AK756" i="4"/>
  <c r="AJ756" i="4"/>
  <c r="AI756" i="4"/>
  <c r="AC756" i="4"/>
  <c r="AA756" i="4"/>
  <c r="Y756" i="4"/>
  <c r="AR755" i="4"/>
  <c r="AL755" i="4"/>
  <c r="AK755" i="4"/>
  <c r="AJ755" i="4"/>
  <c r="AI755" i="4"/>
  <c r="AE755" i="4"/>
  <c r="AD755" i="4"/>
  <c r="AC755" i="4"/>
  <c r="AB755" i="4"/>
  <c r="AA755" i="4"/>
  <c r="Z755" i="4"/>
  <c r="Y755" i="4"/>
  <c r="V631" i="4"/>
  <c r="P631" i="4"/>
  <c r="O631" i="4"/>
  <c r="M631" i="4"/>
  <c r="H631" i="4"/>
  <c r="G631" i="4"/>
  <c r="F631" i="4"/>
  <c r="E631" i="4"/>
  <c r="C631" i="4"/>
  <c r="V630" i="4"/>
  <c r="P630" i="4"/>
  <c r="O630" i="4"/>
  <c r="N630" i="4"/>
  <c r="M630" i="4"/>
  <c r="H630" i="4"/>
  <c r="G630" i="4"/>
  <c r="F630" i="4"/>
  <c r="E630" i="4"/>
  <c r="D630" i="4"/>
  <c r="C630" i="4"/>
  <c r="V629" i="4"/>
  <c r="P629" i="4"/>
  <c r="O629" i="4"/>
  <c r="N629" i="4"/>
  <c r="M629" i="4"/>
  <c r="H629" i="4"/>
  <c r="G629" i="4"/>
  <c r="F629" i="4"/>
  <c r="E629" i="4"/>
  <c r="C629" i="4"/>
  <c r="V628" i="4"/>
  <c r="P628" i="4"/>
  <c r="O628" i="4"/>
  <c r="N628" i="4"/>
  <c r="M628" i="4"/>
  <c r="G628" i="4"/>
  <c r="E628" i="4"/>
  <c r="C628" i="4"/>
  <c r="V627" i="4"/>
  <c r="P627" i="4"/>
  <c r="O627" i="4"/>
  <c r="N627" i="4"/>
  <c r="M627" i="4"/>
  <c r="G627" i="4"/>
  <c r="E627" i="4"/>
  <c r="C627" i="4"/>
  <c r="V626" i="4"/>
  <c r="P626" i="4"/>
  <c r="O626" i="4"/>
  <c r="N626" i="4"/>
  <c r="M626" i="4"/>
  <c r="I626" i="4"/>
  <c r="H626" i="4"/>
  <c r="G626" i="4"/>
  <c r="F626" i="4"/>
  <c r="E626" i="4"/>
  <c r="D626" i="4"/>
  <c r="C626" i="4"/>
  <c r="AR631" i="4"/>
  <c r="AL631" i="4"/>
  <c r="AK631" i="4"/>
  <c r="AJ631" i="4"/>
  <c r="AI631" i="4"/>
  <c r="AD631" i="4"/>
  <c r="AC631" i="4"/>
  <c r="AB631" i="4"/>
  <c r="AA631" i="4"/>
  <c r="Y631" i="4"/>
  <c r="AR630" i="4"/>
  <c r="AL630" i="4"/>
  <c r="AK630" i="4"/>
  <c r="AJ630" i="4"/>
  <c r="AI630" i="4"/>
  <c r="AC630" i="4"/>
  <c r="AA630" i="4"/>
  <c r="Z630" i="4"/>
  <c r="Y630" i="4"/>
  <c r="AR629" i="4"/>
  <c r="AL629" i="4"/>
  <c r="AK629" i="4"/>
  <c r="AJ629" i="4"/>
  <c r="AI629" i="4"/>
  <c r="AD629" i="4"/>
  <c r="AC629" i="4"/>
  <c r="AB629" i="4"/>
  <c r="AA629" i="4"/>
  <c r="Y629" i="4"/>
  <c r="AR628" i="4"/>
  <c r="AL628" i="4"/>
  <c r="AK628" i="4"/>
  <c r="AJ628" i="4"/>
  <c r="AI628" i="4"/>
  <c r="AC628" i="4"/>
  <c r="AA628" i="4"/>
  <c r="Y628" i="4"/>
  <c r="AR627" i="4"/>
  <c r="AL627" i="4"/>
  <c r="AK627" i="4"/>
  <c r="AJ627" i="4"/>
  <c r="AI627" i="4"/>
  <c r="AC627" i="4"/>
  <c r="AA627" i="4"/>
  <c r="Y627" i="4"/>
  <c r="AR626" i="4"/>
  <c r="AL626" i="4"/>
  <c r="AK626" i="4"/>
  <c r="AJ626" i="4"/>
  <c r="AI626" i="4"/>
  <c r="AE626" i="4"/>
  <c r="AD626" i="4"/>
  <c r="AC626" i="4"/>
  <c r="AB626" i="4"/>
  <c r="AA626" i="4"/>
  <c r="Z626" i="4"/>
  <c r="Y626" i="4"/>
  <c r="AR243" i="4"/>
  <c r="AR242" i="4"/>
  <c r="AC242" i="4"/>
  <c r="AA242" i="4"/>
  <c r="AR241" i="4"/>
  <c r="AC241" i="4"/>
  <c r="AA241" i="4"/>
  <c r="AR240" i="4"/>
  <c r="AC240" i="4"/>
  <c r="AA240" i="4"/>
  <c r="V243" i="4"/>
  <c r="V242" i="4"/>
  <c r="G242" i="4"/>
  <c r="E242" i="4"/>
  <c r="V241" i="4"/>
  <c r="G241" i="4"/>
  <c r="E241" i="4"/>
  <c r="V240" i="4"/>
  <c r="G240" i="4"/>
  <c r="E240" i="4"/>
  <c r="AR502" i="4"/>
  <c r="AL502" i="4"/>
  <c r="AK502" i="4"/>
  <c r="AJ502" i="4"/>
  <c r="AI502" i="4"/>
  <c r="AD502" i="4"/>
  <c r="AC502" i="4"/>
  <c r="AB502" i="4"/>
  <c r="AA502" i="4"/>
  <c r="Y502" i="4"/>
  <c r="AR501" i="4"/>
  <c r="AL501" i="4"/>
  <c r="AK501" i="4"/>
  <c r="AJ501" i="4"/>
  <c r="AI501" i="4"/>
  <c r="AD501" i="4"/>
  <c r="AC501" i="4"/>
  <c r="AB501" i="4"/>
  <c r="AA501" i="4"/>
  <c r="Z501" i="4"/>
  <c r="Y501" i="4"/>
  <c r="AR500" i="4"/>
  <c r="AL500" i="4"/>
  <c r="AK500" i="4"/>
  <c r="AJ500" i="4"/>
  <c r="AI500" i="4"/>
  <c r="AD500" i="4"/>
  <c r="AC500" i="4"/>
  <c r="AB500" i="4"/>
  <c r="AA500" i="4"/>
  <c r="Y500" i="4"/>
  <c r="AR499" i="4"/>
  <c r="AL499" i="4"/>
  <c r="AK499" i="4"/>
  <c r="AJ499" i="4"/>
  <c r="AI499" i="4"/>
  <c r="AC499" i="4"/>
  <c r="AA499" i="4"/>
  <c r="Y499" i="4"/>
  <c r="AR498" i="4"/>
  <c r="AL498" i="4"/>
  <c r="AK498" i="4"/>
  <c r="AJ498" i="4"/>
  <c r="AI498" i="4"/>
  <c r="AC498" i="4"/>
  <c r="AA498" i="4"/>
  <c r="Y498" i="4"/>
  <c r="AR497" i="4"/>
  <c r="AL497" i="4"/>
  <c r="AK497" i="4"/>
  <c r="AJ497" i="4"/>
  <c r="AI497" i="4"/>
  <c r="AE497" i="4"/>
  <c r="AD497" i="4"/>
  <c r="AC497" i="4"/>
  <c r="AB497" i="4"/>
  <c r="AA497" i="4"/>
  <c r="Z497" i="4"/>
  <c r="Y497" i="4"/>
  <c r="V502" i="4"/>
  <c r="P502" i="4"/>
  <c r="O502" i="4"/>
  <c r="N502" i="4"/>
  <c r="M502" i="4"/>
  <c r="H502" i="4"/>
  <c r="G502" i="4"/>
  <c r="F502" i="4"/>
  <c r="E502" i="4"/>
  <c r="C502" i="4"/>
  <c r="V501" i="4"/>
  <c r="O501" i="4"/>
  <c r="N501" i="4"/>
  <c r="M501" i="4"/>
  <c r="G501" i="4"/>
  <c r="E501" i="4"/>
  <c r="C501" i="4"/>
  <c r="V500" i="4"/>
  <c r="P500" i="4"/>
  <c r="O500" i="4"/>
  <c r="N500" i="4"/>
  <c r="M500" i="4"/>
  <c r="H500" i="4"/>
  <c r="G500" i="4"/>
  <c r="F500" i="4"/>
  <c r="E500" i="4"/>
  <c r="C500" i="4"/>
  <c r="V499" i="4"/>
  <c r="P499" i="4"/>
  <c r="O499" i="4"/>
  <c r="N499" i="4"/>
  <c r="M499" i="4"/>
  <c r="G499" i="4"/>
  <c r="E499" i="4"/>
  <c r="C499" i="4"/>
  <c r="V498" i="4"/>
  <c r="P498" i="4"/>
  <c r="O498" i="4"/>
  <c r="N498" i="4"/>
  <c r="M498" i="4"/>
  <c r="G498" i="4"/>
  <c r="E498" i="4"/>
  <c r="C498" i="4"/>
  <c r="V497" i="4"/>
  <c r="P497" i="4"/>
  <c r="O497" i="4"/>
  <c r="N497" i="4"/>
  <c r="M497" i="4"/>
  <c r="I497" i="4"/>
  <c r="H497" i="4"/>
  <c r="G497" i="4"/>
  <c r="F497" i="4"/>
  <c r="E497" i="4"/>
  <c r="D497" i="4"/>
  <c r="C497" i="4"/>
  <c r="V114" i="4"/>
  <c r="V113" i="4"/>
  <c r="V112" i="4"/>
  <c r="V111" i="4"/>
  <c r="AR373" i="4"/>
  <c r="AL373" i="4"/>
  <c r="AK373" i="4"/>
  <c r="AJ373" i="4"/>
  <c r="AI373" i="4"/>
  <c r="AD373" i="4"/>
  <c r="AC373" i="4"/>
  <c r="AB373" i="4"/>
  <c r="AA373" i="4"/>
  <c r="Y373" i="4"/>
  <c r="AR372" i="4"/>
  <c r="AL372" i="4"/>
  <c r="AK372" i="4"/>
  <c r="AJ372" i="4"/>
  <c r="AI372" i="4"/>
  <c r="AD372" i="4"/>
  <c r="AC372" i="4"/>
  <c r="AB372" i="4"/>
  <c r="AA372" i="4"/>
  <c r="Z372" i="4"/>
  <c r="Y372" i="4"/>
  <c r="AR371" i="4"/>
  <c r="AL371" i="4"/>
  <c r="AK371" i="4"/>
  <c r="AJ371" i="4"/>
  <c r="AI371" i="4"/>
  <c r="AD371" i="4"/>
  <c r="AC371" i="4"/>
  <c r="AB371" i="4"/>
  <c r="AA371" i="4"/>
  <c r="Y371" i="4"/>
  <c r="AR370" i="4"/>
  <c r="AL370" i="4"/>
  <c r="AK370" i="4"/>
  <c r="AJ370" i="4"/>
  <c r="AI370" i="4"/>
  <c r="AC370" i="4"/>
  <c r="AA370" i="4"/>
  <c r="Y370" i="4"/>
  <c r="AR369" i="4"/>
  <c r="AL369" i="4"/>
  <c r="AK369" i="4"/>
  <c r="AJ369" i="4"/>
  <c r="AI369" i="4"/>
  <c r="AC369" i="4"/>
  <c r="AA369" i="4"/>
  <c r="Y369" i="4"/>
  <c r="AR368" i="4"/>
  <c r="AL368" i="4"/>
  <c r="AK368" i="4"/>
  <c r="AJ368" i="4"/>
  <c r="AI368" i="4"/>
  <c r="AE368" i="4"/>
  <c r="AD368" i="4"/>
  <c r="AC368" i="4"/>
  <c r="AB368" i="4"/>
  <c r="AA368" i="4"/>
  <c r="Z368" i="4"/>
  <c r="Y368" i="4"/>
  <c r="V373" i="4"/>
  <c r="V372" i="4"/>
  <c r="V371" i="4"/>
  <c r="V370" i="4"/>
  <c r="V369" i="4"/>
  <c r="V368" i="4"/>
  <c r="M368" i="4"/>
  <c r="N368" i="4"/>
  <c r="O368" i="4"/>
  <c r="P368" i="4"/>
  <c r="M369" i="4"/>
  <c r="N369" i="4"/>
  <c r="O369" i="4"/>
  <c r="P369" i="4"/>
  <c r="M370" i="4"/>
  <c r="N370" i="4"/>
  <c r="O370" i="4"/>
  <c r="P370" i="4"/>
  <c r="M371" i="4"/>
  <c r="N371" i="4"/>
  <c r="O371" i="4"/>
  <c r="P371" i="4"/>
  <c r="M372" i="4"/>
  <c r="N372" i="4"/>
  <c r="O372" i="4"/>
  <c r="P372" i="4"/>
  <c r="M373" i="4"/>
  <c r="N373" i="4"/>
  <c r="O373" i="4"/>
  <c r="P373" i="4"/>
  <c r="I368" i="4"/>
  <c r="D368" i="4"/>
  <c r="E368" i="4"/>
  <c r="F368" i="4"/>
  <c r="G368" i="4"/>
  <c r="H368" i="4"/>
  <c r="E369" i="4"/>
  <c r="G369" i="4"/>
  <c r="E370" i="4"/>
  <c r="G370" i="4"/>
  <c r="E371" i="4"/>
  <c r="F371" i="4"/>
  <c r="G371" i="4"/>
  <c r="H371" i="4"/>
  <c r="E372" i="4"/>
  <c r="F372" i="4"/>
  <c r="G372" i="4"/>
  <c r="H372" i="4"/>
  <c r="E373" i="4"/>
  <c r="F373" i="4"/>
  <c r="G373" i="4"/>
  <c r="H373" i="4"/>
  <c r="C373" i="4"/>
  <c r="C372" i="4"/>
  <c r="C371" i="4"/>
  <c r="C370" i="4"/>
  <c r="C369" i="4"/>
  <c r="C368" i="4"/>
  <c r="AB634" i="4" l="1"/>
  <c r="AB643" i="4"/>
  <c r="AJ772" i="4"/>
  <c r="AJ763" i="4"/>
  <c r="AC643" i="4"/>
  <c r="AC634" i="4"/>
  <c r="AK772" i="4"/>
  <c r="AK763" i="4"/>
  <c r="AL385" i="4"/>
  <c r="AL376" i="4"/>
  <c r="AQ376" i="4" s="1"/>
  <c r="M505" i="4"/>
  <c r="M514" i="4"/>
  <c r="Y505" i="4"/>
  <c r="Y514" i="4"/>
  <c r="G248" i="4"/>
  <c r="G257" i="4"/>
  <c r="AD634" i="4"/>
  <c r="AD643" i="4"/>
  <c r="AO643" i="4" s="1"/>
  <c r="N643" i="4"/>
  <c r="T643" i="4" s="1"/>
  <c r="N634" i="4"/>
  <c r="T634" i="4" s="1"/>
  <c r="AL772" i="4"/>
  <c r="AL763" i="4"/>
  <c r="H514" i="4"/>
  <c r="S514" i="4" s="1"/>
  <c r="H505" i="4"/>
  <c r="AC248" i="4"/>
  <c r="AC257" i="4"/>
  <c r="E248" i="4"/>
  <c r="E257" i="4"/>
  <c r="M643" i="4"/>
  <c r="M634" i="4"/>
  <c r="AR385" i="4"/>
  <c r="AR376" i="4"/>
  <c r="N514" i="4"/>
  <c r="N505" i="4"/>
  <c r="Z514" i="4"/>
  <c r="AN514" i="4" s="1"/>
  <c r="Z505" i="4"/>
  <c r="AN505" i="4" s="1"/>
  <c r="V248" i="4"/>
  <c r="V257" i="4"/>
  <c r="AE634" i="4"/>
  <c r="AE643" i="4"/>
  <c r="O634" i="4"/>
  <c r="O643" i="4"/>
  <c r="AR772" i="4"/>
  <c r="AR763" i="4"/>
  <c r="O514" i="4"/>
  <c r="O505" i="4"/>
  <c r="U505" i="4" s="1"/>
  <c r="G385" i="4"/>
  <c r="G376" i="4"/>
  <c r="P514" i="4"/>
  <c r="P505" i="4"/>
  <c r="Z772" i="4"/>
  <c r="Z763" i="4"/>
  <c r="C385" i="4"/>
  <c r="C376" i="4"/>
  <c r="F376" i="4"/>
  <c r="F385" i="4"/>
  <c r="P385" i="4"/>
  <c r="U385" i="4" s="1"/>
  <c r="P376" i="4"/>
  <c r="AA385" i="4"/>
  <c r="AA376" i="4"/>
  <c r="V505" i="4"/>
  <c r="V514" i="4"/>
  <c r="AC505" i="4"/>
  <c r="AC514" i="4"/>
  <c r="AK643" i="4"/>
  <c r="AK634" i="4"/>
  <c r="C643" i="4"/>
  <c r="C634" i="4"/>
  <c r="AA772" i="4"/>
  <c r="AA763" i="4"/>
  <c r="AJ376" i="4"/>
  <c r="AJ385" i="4"/>
  <c r="AP385" i="4" s="1"/>
  <c r="AL514" i="4"/>
  <c r="AL505" i="4"/>
  <c r="AK376" i="4"/>
  <c r="AK385" i="4"/>
  <c r="I505" i="4"/>
  <c r="I514" i="4"/>
  <c r="AR248" i="4"/>
  <c r="AR257" i="4"/>
  <c r="Y376" i="4"/>
  <c r="Y385" i="4"/>
  <c r="P643" i="4"/>
  <c r="U643" i="4" s="1"/>
  <c r="P634" i="4"/>
  <c r="U634" i="4" s="1"/>
  <c r="AJ643" i="4"/>
  <c r="AJ634" i="4"/>
  <c r="E376" i="4"/>
  <c r="E385" i="4"/>
  <c r="O385" i="4"/>
  <c r="O376" i="4"/>
  <c r="AB376" i="4"/>
  <c r="AB385" i="4"/>
  <c r="C505" i="4"/>
  <c r="C514" i="4"/>
  <c r="AD514" i="4"/>
  <c r="AO514" i="4" s="1"/>
  <c r="AD505" i="4"/>
  <c r="AO505" i="4" s="1"/>
  <c r="AL634" i="4"/>
  <c r="AL643" i="4"/>
  <c r="D643" i="4"/>
  <c r="D634" i="4"/>
  <c r="AB772" i="4"/>
  <c r="AB763" i="4"/>
  <c r="D385" i="4"/>
  <c r="R385" i="4" s="1"/>
  <c r="D376" i="4"/>
  <c r="R376" i="4" s="1"/>
  <c r="N376" i="4"/>
  <c r="T376" i="4" s="1"/>
  <c r="N385" i="4"/>
  <c r="T385" i="4" s="1"/>
  <c r="AC385" i="4"/>
  <c r="AC376" i="4"/>
  <c r="D514" i="4"/>
  <c r="D505" i="4"/>
  <c r="AE505" i="4"/>
  <c r="AE514" i="4"/>
  <c r="AR634" i="4"/>
  <c r="AR643" i="4"/>
  <c r="E643" i="4"/>
  <c r="E634" i="4"/>
  <c r="AC772" i="4"/>
  <c r="AC763" i="4"/>
  <c r="I634" i="4"/>
  <c r="I643" i="4"/>
  <c r="AI643" i="4"/>
  <c r="AI634" i="4"/>
  <c r="I376" i="4"/>
  <c r="I385" i="4"/>
  <c r="M376" i="4"/>
  <c r="M385" i="4"/>
  <c r="AD385" i="4"/>
  <c r="AO385" i="4" s="1"/>
  <c r="AD376" i="4"/>
  <c r="E505" i="4"/>
  <c r="E514" i="4"/>
  <c r="AI514" i="4"/>
  <c r="AI505" i="4"/>
  <c r="Y634" i="4"/>
  <c r="Y643" i="4"/>
  <c r="F643" i="4"/>
  <c r="F634" i="4"/>
  <c r="AD772" i="4"/>
  <c r="AD763" i="4"/>
  <c r="AR514" i="4"/>
  <c r="AR505" i="4"/>
  <c r="Z385" i="4"/>
  <c r="AN385" i="4" s="1"/>
  <c r="Z376" i="4"/>
  <c r="AN376" i="4" s="1"/>
  <c r="AB505" i="4"/>
  <c r="AB514" i="4"/>
  <c r="V385" i="4"/>
  <c r="V376" i="4"/>
  <c r="AE376" i="4"/>
  <c r="AE385" i="4"/>
  <c r="F505" i="4"/>
  <c r="F514" i="4"/>
  <c r="AJ505" i="4"/>
  <c r="AJ514" i="4"/>
  <c r="Z634" i="4"/>
  <c r="AN634" i="4" s="1"/>
  <c r="Z643" i="4"/>
  <c r="AN643" i="4" s="1"/>
  <c r="AM643" i="4" s="1"/>
  <c r="G634" i="4"/>
  <c r="G643" i="4"/>
  <c r="S643" i="4" s="1"/>
  <c r="AE763" i="4"/>
  <c r="AE772" i="4"/>
  <c r="H385" i="4"/>
  <c r="H376" i="4"/>
  <c r="AA514" i="4"/>
  <c r="AA505" i="4"/>
  <c r="Y772" i="4"/>
  <c r="Y763" i="4"/>
  <c r="V634" i="4"/>
  <c r="V643" i="4"/>
  <c r="AI385" i="4"/>
  <c r="AI376" i="4"/>
  <c r="G514" i="4"/>
  <c r="G505" i="4"/>
  <c r="AK514" i="4"/>
  <c r="AK505" i="4"/>
  <c r="AA248" i="4"/>
  <c r="AA257" i="4"/>
  <c r="AA634" i="4"/>
  <c r="AA643" i="4"/>
  <c r="H643" i="4"/>
  <c r="H634" i="4"/>
  <c r="AI772" i="4"/>
  <c r="AI763" i="4"/>
  <c r="V119" i="4"/>
  <c r="V128" i="4"/>
  <c r="R127" i="4"/>
  <c r="Q127" i="4" s="1"/>
  <c r="L593" i="4"/>
  <c r="K593" i="4"/>
  <c r="AH722" i="4"/>
  <c r="AG722" i="4"/>
  <c r="K335" i="4"/>
  <c r="L335" i="4"/>
  <c r="L464" i="4"/>
  <c r="K464" i="4"/>
  <c r="AP626" i="4"/>
  <c r="U631" i="4"/>
  <c r="AN626" i="4"/>
  <c r="S502" i="4"/>
  <c r="AQ370" i="4"/>
  <c r="AP371" i="4"/>
  <c r="AQ628" i="4"/>
  <c r="AP497" i="4"/>
  <c r="AQ760" i="4"/>
  <c r="AQ631" i="4"/>
  <c r="AP758" i="4"/>
  <c r="S631" i="4"/>
  <c r="AQ757" i="4"/>
  <c r="AN497" i="4"/>
  <c r="R497" i="4"/>
  <c r="AQ502" i="4"/>
  <c r="AP372" i="4"/>
  <c r="T501" i="4"/>
  <c r="U502" i="4"/>
  <c r="AP499" i="4"/>
  <c r="AP629" i="4"/>
  <c r="U630" i="4"/>
  <c r="U628" i="4"/>
  <c r="AP756" i="4"/>
  <c r="AP370" i="4"/>
  <c r="AO373" i="4"/>
  <c r="AP368" i="4"/>
  <c r="AN372" i="4"/>
  <c r="AQ368" i="4"/>
  <c r="AO368" i="4"/>
  <c r="AQ372" i="4"/>
  <c r="AP373" i="4"/>
  <c r="AQ373" i="4"/>
  <c r="AO760" i="4"/>
  <c r="AN755" i="4"/>
  <c r="AQ758" i="4"/>
  <c r="AP759" i="4"/>
  <c r="AP757" i="4"/>
  <c r="AQ759" i="4"/>
  <c r="AP755" i="4"/>
  <c r="AO758" i="4"/>
  <c r="AO755" i="4"/>
  <c r="AN759" i="4"/>
  <c r="AQ756" i="4"/>
  <c r="AQ755" i="4"/>
  <c r="T626" i="4"/>
  <c r="R626" i="4"/>
  <c r="AP628" i="4"/>
  <c r="AO631" i="4"/>
  <c r="AQ630" i="4"/>
  <c r="U627" i="4"/>
  <c r="AP627" i="4"/>
  <c r="AP630" i="4"/>
  <c r="AP631" i="4"/>
  <c r="T628" i="4"/>
  <c r="AO626" i="4"/>
  <c r="R630" i="4"/>
  <c r="AO629" i="4"/>
  <c r="AQ629" i="4"/>
  <c r="T627" i="4"/>
  <c r="S626" i="4"/>
  <c r="U626" i="4"/>
  <c r="T629" i="4"/>
  <c r="T630" i="4"/>
  <c r="AQ626" i="4"/>
  <c r="AN630" i="4"/>
  <c r="AQ627" i="4"/>
  <c r="S629" i="4"/>
  <c r="U629" i="4"/>
  <c r="S630" i="4"/>
  <c r="AQ497" i="4"/>
  <c r="AQ499" i="4"/>
  <c r="AN501" i="4"/>
  <c r="T497" i="4"/>
  <c r="AP500" i="4"/>
  <c r="AQ501" i="4"/>
  <c r="T499" i="4"/>
  <c r="AP502" i="4"/>
  <c r="AO502" i="4"/>
  <c r="AO497" i="4"/>
  <c r="AQ498" i="4"/>
  <c r="T498" i="4"/>
  <c r="T500" i="4"/>
  <c r="AP501" i="4"/>
  <c r="S497" i="4"/>
  <c r="U499" i="4"/>
  <c r="AQ500" i="4"/>
  <c r="U498" i="4"/>
  <c r="U500" i="4"/>
  <c r="AO501" i="4"/>
  <c r="U497" i="4"/>
  <c r="AO500" i="4"/>
  <c r="S500" i="4"/>
  <c r="T502" i="4"/>
  <c r="AP498" i="4"/>
  <c r="AQ371" i="4"/>
  <c r="AN368" i="4"/>
  <c r="AO371" i="4"/>
  <c r="AO372" i="4"/>
  <c r="AP369" i="4"/>
  <c r="AQ369" i="4"/>
  <c r="U372" i="4"/>
  <c r="T369" i="4"/>
  <c r="T371" i="4"/>
  <c r="U368" i="4"/>
  <c r="U370" i="4"/>
  <c r="S371" i="4"/>
  <c r="U371" i="4"/>
  <c r="S372" i="4"/>
  <c r="S373" i="4"/>
  <c r="U373" i="4"/>
  <c r="T368" i="4"/>
  <c r="T372" i="4"/>
  <c r="U369" i="4"/>
  <c r="T370" i="4"/>
  <c r="T373" i="4"/>
  <c r="S368" i="4"/>
  <c r="S634" i="4" l="1"/>
  <c r="AQ643" i="4"/>
  <c r="T505" i="4"/>
  <c r="AP514" i="4"/>
  <c r="AP376" i="4"/>
  <c r="AM514" i="4"/>
  <c r="U376" i="4"/>
  <c r="AQ763" i="4"/>
  <c r="AM385" i="4"/>
  <c r="Q376" i="4"/>
  <c r="T514" i="4"/>
  <c r="AQ772" i="4"/>
  <c r="AQ385" i="4"/>
  <c r="AO376" i="4"/>
  <c r="AM376" i="4" s="1"/>
  <c r="AO763" i="4"/>
  <c r="AO772" i="4"/>
  <c r="AM772" i="4" s="1"/>
  <c r="AO634" i="4"/>
  <c r="AP505" i="4"/>
  <c r="S376" i="4"/>
  <c r="R634" i="4"/>
  <c r="Q634" i="4" s="1"/>
  <c r="A634" i="4"/>
  <c r="AN763" i="4"/>
  <c r="AM763" i="4" s="1"/>
  <c r="AP763" i="4"/>
  <c r="AM505" i="4"/>
  <c r="S385" i="4"/>
  <c r="Q385" i="4" s="1"/>
  <c r="R643" i="4"/>
  <c r="Q643" i="4" s="1"/>
  <c r="AN772" i="4"/>
  <c r="AP772" i="4"/>
  <c r="R505" i="4"/>
  <c r="A505" i="4"/>
  <c r="AP634" i="4"/>
  <c r="AM634" i="4" s="1"/>
  <c r="AQ505" i="4"/>
  <c r="S505" i="4"/>
  <c r="R514" i="4"/>
  <c r="Q514" i="4" s="1"/>
  <c r="AQ634" i="4"/>
  <c r="AP643" i="4"/>
  <c r="AQ514" i="4"/>
  <c r="U514" i="4"/>
  <c r="AM626" i="4"/>
  <c r="AM372" i="4"/>
  <c r="L337" i="4"/>
  <c r="L466" i="4"/>
  <c r="K466" i="4"/>
  <c r="L336" i="4"/>
  <c r="K336" i="4"/>
  <c r="AH336" i="4"/>
  <c r="AG336" i="4"/>
  <c r="AH335" i="4"/>
  <c r="AG335" i="4"/>
  <c r="AH464" i="4"/>
  <c r="AG464" i="4"/>
  <c r="AG723" i="4"/>
  <c r="AH723" i="4"/>
  <c r="AG465" i="4"/>
  <c r="AH465" i="4"/>
  <c r="L465" i="4"/>
  <c r="K465" i="4"/>
  <c r="K207" i="4"/>
  <c r="L207" i="4"/>
  <c r="K594" i="4"/>
  <c r="L594" i="4"/>
  <c r="AH593" i="4"/>
  <c r="AG593" i="4"/>
  <c r="AM368" i="4"/>
  <c r="Q630" i="4"/>
  <c r="AM497" i="4"/>
  <c r="Q626" i="4"/>
  <c r="Q497" i="4"/>
  <c r="AM755" i="4"/>
  <c r="AM501" i="4"/>
  <c r="Q505" i="4" l="1"/>
  <c r="K337" i="4"/>
  <c r="AH337" i="4"/>
  <c r="L338" i="4"/>
  <c r="L595" i="4"/>
  <c r="L209" i="4" s="1"/>
  <c r="K595" i="4"/>
  <c r="AG466" i="4"/>
  <c r="AH466" i="4"/>
  <c r="AG337" i="4"/>
  <c r="L467" i="4"/>
  <c r="K467" i="4"/>
  <c r="AG724" i="4"/>
  <c r="AH724" i="4"/>
  <c r="AG594" i="4"/>
  <c r="AH594" i="4"/>
  <c r="L208" i="4"/>
  <c r="AH207" i="4"/>
  <c r="K78" i="4"/>
  <c r="K208" i="4"/>
  <c r="L78" i="4"/>
  <c r="AG207" i="4"/>
  <c r="AG208" i="4" l="1"/>
  <c r="AH208" i="4"/>
  <c r="K209" i="4"/>
  <c r="L79" i="4"/>
  <c r="K338" i="4"/>
  <c r="AG338" i="4"/>
  <c r="K468" i="4"/>
  <c r="L468" i="4"/>
  <c r="AG467" i="4"/>
  <c r="AH467" i="4"/>
  <c r="K596" i="4"/>
  <c r="L596" i="4"/>
  <c r="AG595" i="4"/>
  <c r="K80" i="4" s="1"/>
  <c r="AH595" i="4"/>
  <c r="L80" i="4" s="1"/>
  <c r="AG725" i="4"/>
  <c r="AH725" i="4"/>
  <c r="K339" i="4"/>
  <c r="L339" i="4"/>
  <c r="K79" i="4"/>
  <c r="L210" i="4" l="1"/>
  <c r="AH209" i="4"/>
  <c r="AH338" i="4"/>
  <c r="K210" i="4"/>
  <c r="AG339" i="4"/>
  <c r="AH339" i="4"/>
  <c r="L340" i="4"/>
  <c r="K340" i="4"/>
  <c r="AG468" i="4"/>
  <c r="AH468" i="4"/>
  <c r="AG726" i="4"/>
  <c r="AH726" i="4"/>
  <c r="AG209" i="4"/>
  <c r="K469" i="4"/>
  <c r="L469" i="4"/>
  <c r="AG596" i="4"/>
  <c r="AG210" i="4" s="1"/>
  <c r="AH596" i="4"/>
  <c r="L597" i="4"/>
  <c r="L211" i="4" s="1"/>
  <c r="K597" i="4"/>
  <c r="K211" i="4" s="1"/>
  <c r="K81" i="4" l="1"/>
  <c r="L81" i="4"/>
  <c r="AH469" i="4"/>
  <c r="AG469" i="4"/>
  <c r="K598" i="4"/>
  <c r="K212" i="4" s="1"/>
  <c r="L598" i="4"/>
  <c r="L212" i="4" s="1"/>
  <c r="AH727" i="4"/>
  <c r="AG727" i="4"/>
  <c r="K341" i="4"/>
  <c r="L341" i="4"/>
  <c r="K470" i="4"/>
  <c r="L470" i="4"/>
  <c r="AH597" i="4"/>
  <c r="L82" i="4" s="1"/>
  <c r="AG597" i="4"/>
  <c r="AG211" i="4" s="1"/>
  <c r="AH210" i="4"/>
  <c r="AG340" i="4"/>
  <c r="AH340" i="4"/>
  <c r="K82" i="4" l="1"/>
  <c r="K471" i="4"/>
  <c r="L471" i="4"/>
  <c r="AG470" i="4"/>
  <c r="AH470" i="4"/>
  <c r="AG598" i="4"/>
  <c r="K83" i="4" s="1"/>
  <c r="AH598" i="4"/>
  <c r="L83" i="4" s="1"/>
  <c r="K599" i="4"/>
  <c r="K213" i="4" s="1"/>
  <c r="L599" i="4"/>
  <c r="L213" i="4" s="1"/>
  <c r="AG728" i="4"/>
  <c r="AH728" i="4"/>
  <c r="AH211" i="4"/>
  <c r="AG341" i="4"/>
  <c r="AH341" i="4"/>
  <c r="K342" i="4"/>
  <c r="L342" i="4"/>
  <c r="AG342" i="4" l="1"/>
  <c r="AH342" i="4"/>
  <c r="AH471" i="4"/>
  <c r="AG471" i="4"/>
  <c r="AG212" i="4"/>
  <c r="L600" i="4"/>
  <c r="L214" i="4" s="1"/>
  <c r="K600" i="4"/>
  <c r="K214" i="4" s="1"/>
  <c r="L343" i="4"/>
  <c r="L384" i="4" s="1"/>
  <c r="K343" i="4"/>
  <c r="K384" i="4" s="1"/>
  <c r="K472" i="4"/>
  <c r="K513" i="4" s="1"/>
  <c r="L472" i="4"/>
  <c r="L513" i="4" s="1"/>
  <c r="AG599" i="4"/>
  <c r="K84" i="4" s="1"/>
  <c r="AH599" i="4"/>
  <c r="AH213" i="4" s="1"/>
  <c r="AH212" i="4"/>
  <c r="AG729" i="4"/>
  <c r="AH729" i="4"/>
  <c r="L84" i="4" l="1"/>
  <c r="AG213" i="4"/>
  <c r="AG472" i="4"/>
  <c r="AG513" i="4" s="1"/>
  <c r="AH472" i="4"/>
  <c r="AH513" i="4" s="1"/>
  <c r="AG343" i="4"/>
  <c r="AG384" i="4" s="1"/>
  <c r="AH343" i="4"/>
  <c r="AH384" i="4" s="1"/>
  <c r="AG600" i="4"/>
  <c r="AG214" i="4" s="1"/>
  <c r="AH600" i="4"/>
  <c r="AH214" i="4" s="1"/>
  <c r="K601" i="4"/>
  <c r="L601" i="4"/>
  <c r="AG730" i="4"/>
  <c r="AG771" i="4" s="1"/>
  <c r="AH730" i="4"/>
  <c r="AH771" i="4" s="1"/>
  <c r="L215" i="4" l="1"/>
  <c r="L256" i="4" s="1"/>
  <c r="L642" i="4"/>
  <c r="K215" i="4"/>
  <c r="K256" i="4" s="1"/>
  <c r="K642" i="4"/>
  <c r="K85" i="4"/>
  <c r="L85" i="4"/>
  <c r="AG601" i="4"/>
  <c r="AH601" i="4"/>
  <c r="AH331" i="4"/>
  <c r="AG331" i="4"/>
  <c r="AF331" i="4"/>
  <c r="AE331" i="4"/>
  <c r="K86" i="4" l="1"/>
  <c r="K127" i="4" s="1"/>
  <c r="AG642" i="4"/>
  <c r="AH215" i="4"/>
  <c r="AH256" i="4" s="1"/>
  <c r="AH642" i="4"/>
  <c r="L86" i="4"/>
  <c r="L127" i="4" s="1"/>
  <c r="AG215" i="4"/>
  <c r="AG256" i="4" s="1"/>
  <c r="D200" i="4"/>
  <c r="E69" i="4" l="1"/>
  <c r="F69" i="4"/>
  <c r="G69" i="4"/>
  <c r="H69" i="4"/>
  <c r="N69" i="4"/>
  <c r="P69" i="4"/>
  <c r="AB196" i="4" l="1"/>
  <c r="AR206" i="4" l="1"/>
  <c r="AR205" i="4"/>
  <c r="AR204" i="4"/>
  <c r="AR203" i="4"/>
  <c r="AR202" i="4"/>
  <c r="AR201" i="4"/>
  <c r="AR200" i="4"/>
  <c r="AR199" i="4"/>
  <c r="AR198" i="4"/>
  <c r="AR197" i="4"/>
  <c r="AR196" i="4"/>
  <c r="AR195" i="4"/>
  <c r="AR255" i="4" s="1"/>
  <c r="AR246" i="4" l="1"/>
  <c r="P77" i="4"/>
  <c r="N77" i="4"/>
  <c r="H77" i="4"/>
  <c r="G77" i="4"/>
  <c r="F77" i="4"/>
  <c r="E77" i="4"/>
  <c r="P76" i="4"/>
  <c r="N76" i="4"/>
  <c r="H76" i="4"/>
  <c r="G76" i="4"/>
  <c r="F76" i="4"/>
  <c r="E76" i="4"/>
  <c r="P75" i="4"/>
  <c r="N75" i="4"/>
  <c r="H75" i="4"/>
  <c r="G75" i="4"/>
  <c r="F75" i="4"/>
  <c r="E75" i="4"/>
  <c r="P74" i="4"/>
  <c r="N74" i="4"/>
  <c r="H74" i="4"/>
  <c r="G74" i="4"/>
  <c r="F74" i="4"/>
  <c r="E74" i="4"/>
  <c r="P73" i="4"/>
  <c r="N73" i="4"/>
  <c r="H73" i="4"/>
  <c r="G73" i="4"/>
  <c r="F73" i="4"/>
  <c r="E73" i="4"/>
  <c r="P72" i="4"/>
  <c r="N72" i="4"/>
  <c r="H72" i="4"/>
  <c r="G72" i="4"/>
  <c r="F72" i="4"/>
  <c r="E72" i="4"/>
  <c r="P71" i="4"/>
  <c r="N71" i="4"/>
  <c r="H71" i="4"/>
  <c r="G71" i="4"/>
  <c r="F71" i="4"/>
  <c r="E71" i="4"/>
  <c r="P70" i="4"/>
  <c r="N70" i="4"/>
  <c r="H70" i="4"/>
  <c r="G70" i="4"/>
  <c r="F70" i="4"/>
  <c r="E70" i="4"/>
  <c r="P68" i="4"/>
  <c r="N68" i="4"/>
  <c r="H68" i="4"/>
  <c r="G68" i="4"/>
  <c r="F68" i="4"/>
  <c r="E68" i="4"/>
  <c r="P67" i="4"/>
  <c r="N67" i="4"/>
  <c r="H67" i="4"/>
  <c r="G67" i="4"/>
  <c r="F67" i="4"/>
  <c r="E67" i="4"/>
  <c r="P66" i="4"/>
  <c r="N66" i="4"/>
  <c r="H66" i="4"/>
  <c r="G66" i="4"/>
  <c r="F66" i="4"/>
  <c r="E66" i="4"/>
  <c r="AL206" i="4"/>
  <c r="AK206" i="4"/>
  <c r="AJ206" i="4"/>
  <c r="AI206" i="4"/>
  <c r="AD206" i="4"/>
  <c r="AC206" i="4"/>
  <c r="AB206" i="4"/>
  <c r="AA206" i="4"/>
  <c r="Z206" i="4"/>
  <c r="Y206" i="4"/>
  <c r="AL205" i="4"/>
  <c r="AK205" i="4"/>
  <c r="AJ205" i="4"/>
  <c r="AI205" i="4"/>
  <c r="AD205" i="4"/>
  <c r="AC205" i="4"/>
  <c r="AB205" i="4"/>
  <c r="AA205" i="4"/>
  <c r="Z205" i="4"/>
  <c r="Y205" i="4"/>
  <c r="AL204" i="4"/>
  <c r="AK204" i="4"/>
  <c r="AJ204" i="4"/>
  <c r="AI204" i="4"/>
  <c r="AD204" i="4"/>
  <c r="AC204" i="4"/>
  <c r="AB204" i="4"/>
  <c r="AA204" i="4"/>
  <c r="Z204" i="4"/>
  <c r="Y204" i="4"/>
  <c r="AL203" i="4"/>
  <c r="AK203" i="4"/>
  <c r="AJ203" i="4"/>
  <c r="AI203" i="4"/>
  <c r="AD203" i="4"/>
  <c r="AC203" i="4"/>
  <c r="AB203" i="4"/>
  <c r="AA203" i="4"/>
  <c r="Z203" i="4"/>
  <c r="Y203" i="4"/>
  <c r="AL202" i="4"/>
  <c r="AK202" i="4"/>
  <c r="AJ202" i="4"/>
  <c r="AI202" i="4"/>
  <c r="AD202" i="4"/>
  <c r="AC202" i="4"/>
  <c r="AB202" i="4"/>
  <c r="AA202" i="4"/>
  <c r="Z202" i="4"/>
  <c r="Y202" i="4"/>
  <c r="AL201" i="4"/>
  <c r="AK201" i="4"/>
  <c r="AJ201" i="4"/>
  <c r="AI201" i="4"/>
  <c r="AD201" i="4"/>
  <c r="AC201" i="4"/>
  <c r="AB201" i="4"/>
  <c r="AA201" i="4"/>
  <c r="Z201" i="4"/>
  <c r="Y201" i="4"/>
  <c r="AL200" i="4"/>
  <c r="AK200" i="4"/>
  <c r="AJ200" i="4"/>
  <c r="AI200" i="4"/>
  <c r="AD200" i="4"/>
  <c r="AC200" i="4"/>
  <c r="AB200" i="4"/>
  <c r="AA200" i="4"/>
  <c r="Z200" i="4"/>
  <c r="D71" i="4" s="1"/>
  <c r="Y200" i="4"/>
  <c r="AL199" i="4"/>
  <c r="AK199" i="4"/>
  <c r="AJ199" i="4"/>
  <c r="AI199" i="4"/>
  <c r="AD199" i="4"/>
  <c r="AC199" i="4"/>
  <c r="AB199" i="4"/>
  <c r="AA199" i="4"/>
  <c r="Z199" i="4"/>
  <c r="Y199" i="4"/>
  <c r="AL198" i="4"/>
  <c r="AK198" i="4"/>
  <c r="AJ198" i="4"/>
  <c r="AI198" i="4"/>
  <c r="AD198" i="4"/>
  <c r="AC198" i="4"/>
  <c r="AB198" i="4"/>
  <c r="AA198" i="4"/>
  <c r="Z198" i="4"/>
  <c r="Y198" i="4"/>
  <c r="AL197" i="4"/>
  <c r="AK197" i="4"/>
  <c r="AJ197" i="4"/>
  <c r="AI197" i="4"/>
  <c r="AD197" i="4"/>
  <c r="AC197" i="4"/>
  <c r="AB197" i="4"/>
  <c r="AA197" i="4"/>
  <c r="Z197" i="4"/>
  <c r="Y197" i="4"/>
  <c r="AL196" i="4"/>
  <c r="AK196" i="4"/>
  <c r="AJ196" i="4"/>
  <c r="AI196" i="4"/>
  <c r="AD196" i="4"/>
  <c r="AC196" i="4"/>
  <c r="AA196" i="4"/>
  <c r="Z196" i="4"/>
  <c r="Y196" i="4"/>
  <c r="AL195" i="4"/>
  <c r="AK195" i="4"/>
  <c r="AJ195" i="4"/>
  <c r="AI195" i="4"/>
  <c r="AI255" i="4" s="1"/>
  <c r="AD195" i="4"/>
  <c r="AC195" i="4"/>
  <c r="AB195" i="4"/>
  <c r="AA195" i="4"/>
  <c r="Z195" i="4"/>
  <c r="Y195" i="4"/>
  <c r="AQ592" i="4"/>
  <c r="AP592" i="4"/>
  <c r="AO592" i="4"/>
  <c r="AG592" i="4"/>
  <c r="AE592" i="4"/>
  <c r="AN592" i="4"/>
  <c r="AQ591" i="4"/>
  <c r="AP591" i="4"/>
  <c r="AO591" i="4"/>
  <c r="AN591" i="4"/>
  <c r="AH591" i="4"/>
  <c r="AG591" i="4"/>
  <c r="AF591" i="4"/>
  <c r="AE591" i="4"/>
  <c r="AQ590" i="4"/>
  <c r="AP590" i="4"/>
  <c r="AO590" i="4"/>
  <c r="AN590" i="4"/>
  <c r="AH590" i="4"/>
  <c r="AG590" i="4"/>
  <c r="AF590" i="4"/>
  <c r="AE590" i="4"/>
  <c r="AQ589" i="4"/>
  <c r="AP589" i="4"/>
  <c r="AO589" i="4"/>
  <c r="AN589" i="4"/>
  <c r="AH589" i="4"/>
  <c r="AG589" i="4"/>
  <c r="AF589" i="4"/>
  <c r="AE589" i="4"/>
  <c r="AQ588" i="4"/>
  <c r="AP588" i="4"/>
  <c r="AO588" i="4"/>
  <c r="AN588" i="4"/>
  <c r="AH588" i="4"/>
  <c r="AG588" i="4"/>
  <c r="AF588" i="4"/>
  <c r="AE588" i="4"/>
  <c r="AQ587" i="4"/>
  <c r="AP587" i="4"/>
  <c r="AO587" i="4"/>
  <c r="AN587" i="4"/>
  <c r="AH587" i="4"/>
  <c r="AG587" i="4"/>
  <c r="AF587" i="4"/>
  <c r="AE587" i="4"/>
  <c r="AQ586" i="4"/>
  <c r="AP586" i="4"/>
  <c r="AN586" i="4"/>
  <c r="AH586" i="4"/>
  <c r="AG586" i="4"/>
  <c r="AF586" i="4"/>
  <c r="AE586" i="4"/>
  <c r="AO586" i="4"/>
  <c r="AQ585" i="4"/>
  <c r="AP585" i="4"/>
  <c r="AO585" i="4"/>
  <c r="AN585" i="4"/>
  <c r="AH585" i="4"/>
  <c r="AG585" i="4"/>
  <c r="AF585" i="4"/>
  <c r="AE585" i="4"/>
  <c r="AQ584" i="4"/>
  <c r="AP584" i="4"/>
  <c r="AO584" i="4"/>
  <c r="AN584" i="4"/>
  <c r="AH584" i="4"/>
  <c r="AG584" i="4"/>
  <c r="AF584" i="4"/>
  <c r="AE584" i="4"/>
  <c r="AQ583" i="4"/>
  <c r="AP583" i="4"/>
  <c r="AO583" i="4"/>
  <c r="AN583" i="4"/>
  <c r="AH583" i="4"/>
  <c r="AG583" i="4"/>
  <c r="AF583" i="4"/>
  <c r="AE583" i="4"/>
  <c r="AQ582" i="4"/>
  <c r="AP582" i="4"/>
  <c r="AO582" i="4"/>
  <c r="AN582" i="4"/>
  <c r="AH582" i="4"/>
  <c r="AG582" i="4"/>
  <c r="AF582" i="4"/>
  <c r="AE582" i="4"/>
  <c r="AQ581" i="4"/>
  <c r="AP581" i="4"/>
  <c r="AO581" i="4"/>
  <c r="AN581" i="4"/>
  <c r="AH581" i="4"/>
  <c r="AG581" i="4"/>
  <c r="AF581" i="4"/>
  <c r="AE581" i="4"/>
  <c r="AQ721" i="4"/>
  <c r="AO721" i="4"/>
  <c r="AN721" i="4"/>
  <c r="AF721" i="4"/>
  <c r="AH721" i="4"/>
  <c r="AG721" i="4"/>
  <c r="AE721" i="4"/>
  <c r="AQ334" i="4"/>
  <c r="AP334" i="4"/>
  <c r="AO334" i="4"/>
  <c r="AG334" i="4"/>
  <c r="AF334" i="4"/>
  <c r="AE334" i="4"/>
  <c r="AN334" i="4"/>
  <c r="AQ463" i="4"/>
  <c r="AP463" i="4"/>
  <c r="AO463" i="4"/>
  <c r="AN463" i="4"/>
  <c r="AH463" i="4"/>
  <c r="AG463" i="4"/>
  <c r="AE463" i="4"/>
  <c r="AF463" i="4"/>
  <c r="AQ720" i="4"/>
  <c r="AP720" i="4"/>
  <c r="AO720" i="4"/>
  <c r="AN720" i="4"/>
  <c r="AH720" i="4"/>
  <c r="AG720" i="4"/>
  <c r="AF720" i="4"/>
  <c r="AE720" i="4"/>
  <c r="AQ333" i="4"/>
  <c r="AP333" i="4"/>
  <c r="AO333" i="4"/>
  <c r="AN333" i="4"/>
  <c r="AH333" i="4"/>
  <c r="AG333" i="4"/>
  <c r="AF333" i="4"/>
  <c r="AE333" i="4"/>
  <c r="AQ462" i="4"/>
  <c r="AP462" i="4"/>
  <c r="AO462" i="4"/>
  <c r="AN462" i="4"/>
  <c r="AH462" i="4"/>
  <c r="AG462" i="4"/>
  <c r="AF462" i="4"/>
  <c r="AE462" i="4"/>
  <c r="AQ719" i="4"/>
  <c r="AP719" i="4"/>
  <c r="AO719" i="4"/>
  <c r="AN719" i="4"/>
  <c r="AH719" i="4"/>
  <c r="AG719" i="4"/>
  <c r="AF719" i="4"/>
  <c r="AE719" i="4"/>
  <c r="AQ332" i="4"/>
  <c r="AP332" i="4"/>
  <c r="AO332" i="4"/>
  <c r="AN332" i="4"/>
  <c r="AH332" i="4"/>
  <c r="AG332" i="4"/>
  <c r="AF332" i="4"/>
  <c r="AE332" i="4"/>
  <c r="AQ461" i="4"/>
  <c r="AP461" i="4"/>
  <c r="AO461" i="4"/>
  <c r="AN461" i="4"/>
  <c r="AH461" i="4"/>
  <c r="AH503" i="4" s="1"/>
  <c r="AG461" i="4"/>
  <c r="AG503" i="4" s="1"/>
  <c r="AF461" i="4"/>
  <c r="AE461" i="4"/>
  <c r="AQ718" i="4"/>
  <c r="AP718" i="4"/>
  <c r="AO718" i="4"/>
  <c r="AN718" i="4"/>
  <c r="AH718" i="4"/>
  <c r="AG718" i="4"/>
  <c r="AF718" i="4"/>
  <c r="AE718" i="4"/>
  <c r="AQ331" i="4"/>
  <c r="AP331" i="4"/>
  <c r="AO331" i="4"/>
  <c r="AN331" i="4"/>
  <c r="AQ460" i="4"/>
  <c r="AP460" i="4"/>
  <c r="AO460" i="4"/>
  <c r="AN460" i="4"/>
  <c r="AH460" i="4"/>
  <c r="AG460" i="4"/>
  <c r="AF460" i="4"/>
  <c r="AE460" i="4"/>
  <c r="AQ717" i="4"/>
  <c r="AP717" i="4"/>
  <c r="AO717" i="4"/>
  <c r="AN717" i="4"/>
  <c r="AH717" i="4"/>
  <c r="AG717" i="4"/>
  <c r="AF717" i="4"/>
  <c r="AE717" i="4"/>
  <c r="AQ330" i="4"/>
  <c r="AP330" i="4"/>
  <c r="AO330" i="4"/>
  <c r="AN330" i="4"/>
  <c r="AH330" i="4"/>
  <c r="AG330" i="4"/>
  <c r="AF330" i="4"/>
  <c r="AE330" i="4"/>
  <c r="AQ459" i="4"/>
  <c r="AP459" i="4"/>
  <c r="AO459" i="4"/>
  <c r="AN459" i="4"/>
  <c r="AH459" i="4"/>
  <c r="AG459" i="4"/>
  <c r="AF459" i="4"/>
  <c r="AE459" i="4"/>
  <c r="AQ716" i="4"/>
  <c r="AP716" i="4"/>
  <c r="AO716" i="4"/>
  <c r="AN716" i="4"/>
  <c r="AH716" i="4"/>
  <c r="AG716" i="4"/>
  <c r="AF716" i="4"/>
  <c r="AE716" i="4"/>
  <c r="AQ329" i="4"/>
  <c r="AP329" i="4"/>
  <c r="AO329" i="4"/>
  <c r="AN329" i="4"/>
  <c r="AH329" i="4"/>
  <c r="AG329" i="4"/>
  <c r="AF329" i="4"/>
  <c r="AE329" i="4"/>
  <c r="AQ458" i="4"/>
  <c r="AP458" i="4"/>
  <c r="AO458" i="4"/>
  <c r="AN458" i="4"/>
  <c r="AH458" i="4"/>
  <c r="AG458" i="4"/>
  <c r="AF458" i="4"/>
  <c r="AE458" i="4"/>
  <c r="AQ715" i="4"/>
  <c r="AP715" i="4"/>
  <c r="AN715" i="4"/>
  <c r="AH715" i="4"/>
  <c r="AG715" i="4"/>
  <c r="AE715" i="4"/>
  <c r="AQ328" i="4"/>
  <c r="AP328" i="4"/>
  <c r="AO328" i="4"/>
  <c r="AN328" i="4"/>
  <c r="AH328" i="4"/>
  <c r="AG328" i="4"/>
  <c r="AF328" i="4"/>
  <c r="AE328" i="4"/>
  <c r="AQ457" i="4"/>
  <c r="AP457" i="4"/>
  <c r="AO457" i="4"/>
  <c r="AN457" i="4"/>
  <c r="AH457" i="4"/>
  <c r="AG457" i="4"/>
  <c r="AF457" i="4"/>
  <c r="AE457" i="4"/>
  <c r="AQ714" i="4"/>
  <c r="AP714" i="4"/>
  <c r="AO714" i="4"/>
  <c r="AN714" i="4"/>
  <c r="AH714" i="4"/>
  <c r="AG714" i="4"/>
  <c r="AF714" i="4"/>
  <c r="AE714" i="4"/>
  <c r="AQ327" i="4"/>
  <c r="AP327" i="4"/>
  <c r="AO327" i="4"/>
  <c r="AN327" i="4"/>
  <c r="AH327" i="4"/>
  <c r="AG327" i="4"/>
  <c r="AF327" i="4"/>
  <c r="AE327" i="4"/>
  <c r="AQ456" i="4"/>
  <c r="AP456" i="4"/>
  <c r="AO456" i="4"/>
  <c r="AN456" i="4"/>
  <c r="AH456" i="4"/>
  <c r="AG456" i="4"/>
  <c r="AF456" i="4"/>
  <c r="AE456" i="4"/>
  <c r="AQ713" i="4"/>
  <c r="AP713" i="4"/>
  <c r="AO713" i="4"/>
  <c r="AN713" i="4"/>
  <c r="AH713" i="4"/>
  <c r="AG713" i="4"/>
  <c r="AF713" i="4"/>
  <c r="AE713" i="4"/>
  <c r="AQ326" i="4"/>
  <c r="AP326" i="4"/>
  <c r="AO326" i="4"/>
  <c r="AN326" i="4"/>
  <c r="AH326" i="4"/>
  <c r="AG326" i="4"/>
  <c r="AF326" i="4"/>
  <c r="AE326" i="4"/>
  <c r="AQ455" i="4"/>
  <c r="AP455" i="4"/>
  <c r="AO455" i="4"/>
  <c r="AN455" i="4"/>
  <c r="AH455" i="4"/>
  <c r="AG455" i="4"/>
  <c r="AF455" i="4"/>
  <c r="AE455" i="4"/>
  <c r="AQ712" i="4"/>
  <c r="AP712" i="4"/>
  <c r="AO712" i="4"/>
  <c r="AN712" i="4"/>
  <c r="AH712" i="4"/>
  <c r="AG712" i="4"/>
  <c r="AF712" i="4"/>
  <c r="AE712" i="4"/>
  <c r="AQ325" i="4"/>
  <c r="AP325" i="4"/>
  <c r="AO325" i="4"/>
  <c r="AN325" i="4"/>
  <c r="AH325" i="4"/>
  <c r="AG325" i="4"/>
  <c r="AF325" i="4"/>
  <c r="AE325" i="4"/>
  <c r="AQ454" i="4"/>
  <c r="AP454" i="4"/>
  <c r="AO454" i="4"/>
  <c r="AN454" i="4"/>
  <c r="AH454" i="4"/>
  <c r="AG454" i="4"/>
  <c r="AF454" i="4"/>
  <c r="AE454" i="4"/>
  <c r="AQ711" i="4"/>
  <c r="AP711" i="4"/>
  <c r="AO711" i="4"/>
  <c r="AN711" i="4"/>
  <c r="AH711" i="4"/>
  <c r="AG711" i="4"/>
  <c r="AF711" i="4"/>
  <c r="AE711" i="4"/>
  <c r="AQ324" i="4"/>
  <c r="AP324" i="4"/>
  <c r="AO324" i="4"/>
  <c r="AN324" i="4"/>
  <c r="AH324" i="4"/>
  <c r="AG324" i="4"/>
  <c r="AF324" i="4"/>
  <c r="AE324" i="4"/>
  <c r="AQ453" i="4"/>
  <c r="AP453" i="4"/>
  <c r="AO453" i="4"/>
  <c r="AN453" i="4"/>
  <c r="AH453" i="4"/>
  <c r="AG453" i="4"/>
  <c r="AF453" i="4"/>
  <c r="AE453" i="4"/>
  <c r="AQ710" i="4"/>
  <c r="AP710" i="4"/>
  <c r="AO710" i="4"/>
  <c r="AN710" i="4"/>
  <c r="AH710" i="4"/>
  <c r="AG710" i="4"/>
  <c r="AF710" i="4"/>
  <c r="AE710" i="4"/>
  <c r="AQ323" i="4"/>
  <c r="AP323" i="4"/>
  <c r="AO323" i="4"/>
  <c r="AN323" i="4"/>
  <c r="AH323" i="4"/>
  <c r="AG323" i="4"/>
  <c r="AF323" i="4"/>
  <c r="AF383" i="4" s="1"/>
  <c r="AE323" i="4"/>
  <c r="AE383" i="4" s="1"/>
  <c r="AQ452" i="4"/>
  <c r="AP452" i="4"/>
  <c r="AO452" i="4"/>
  <c r="AN452" i="4"/>
  <c r="AH452" i="4"/>
  <c r="AG452" i="4"/>
  <c r="AF452" i="4"/>
  <c r="AE452" i="4"/>
  <c r="V206" i="4"/>
  <c r="P206" i="4"/>
  <c r="O206" i="4"/>
  <c r="M206" i="4"/>
  <c r="H206" i="4"/>
  <c r="G206" i="4"/>
  <c r="F206" i="4"/>
  <c r="E206" i="4"/>
  <c r="D206" i="4"/>
  <c r="C206" i="4"/>
  <c r="U592" i="4"/>
  <c r="S592" i="4"/>
  <c r="K592" i="4"/>
  <c r="I592" i="4"/>
  <c r="L592" i="4"/>
  <c r="U463" i="4"/>
  <c r="T463" i="4"/>
  <c r="S463" i="4"/>
  <c r="R463" i="4"/>
  <c r="L463" i="4"/>
  <c r="K463" i="4"/>
  <c r="I463" i="4"/>
  <c r="J463" i="4"/>
  <c r="U334" i="4"/>
  <c r="T334" i="4"/>
  <c r="S334" i="4"/>
  <c r="R334" i="4"/>
  <c r="L334" i="4"/>
  <c r="K334" i="4"/>
  <c r="J334" i="4"/>
  <c r="I334" i="4"/>
  <c r="V205" i="4"/>
  <c r="V76" i="4" s="1"/>
  <c r="P205" i="4"/>
  <c r="O205" i="4"/>
  <c r="N205" i="4"/>
  <c r="M205" i="4"/>
  <c r="H205" i="4"/>
  <c r="G205" i="4"/>
  <c r="F205" i="4"/>
  <c r="E205" i="4"/>
  <c r="D205" i="4"/>
  <c r="C205" i="4"/>
  <c r="U591" i="4"/>
  <c r="T591" i="4"/>
  <c r="S591" i="4"/>
  <c r="R591" i="4"/>
  <c r="L591" i="4"/>
  <c r="K591" i="4"/>
  <c r="J591" i="4"/>
  <c r="I591" i="4"/>
  <c r="U462" i="4"/>
  <c r="T462" i="4"/>
  <c r="S462" i="4"/>
  <c r="R462" i="4"/>
  <c r="L462" i="4"/>
  <c r="K462" i="4"/>
  <c r="J462" i="4"/>
  <c r="I462" i="4"/>
  <c r="U333" i="4"/>
  <c r="T333" i="4"/>
  <c r="S333" i="4"/>
  <c r="R333" i="4"/>
  <c r="L333" i="4"/>
  <c r="K333" i="4"/>
  <c r="J333" i="4"/>
  <c r="I333" i="4"/>
  <c r="V204" i="4"/>
  <c r="P204" i="4"/>
  <c r="O204" i="4"/>
  <c r="N204" i="4"/>
  <c r="M204" i="4"/>
  <c r="H204" i="4"/>
  <c r="G204" i="4"/>
  <c r="F204" i="4"/>
  <c r="E204" i="4"/>
  <c r="D204" i="4"/>
  <c r="C204" i="4"/>
  <c r="U590" i="4"/>
  <c r="T590" i="4"/>
  <c r="S590" i="4"/>
  <c r="R590" i="4"/>
  <c r="L590" i="4"/>
  <c r="K590" i="4"/>
  <c r="J590" i="4"/>
  <c r="I590" i="4"/>
  <c r="U461" i="4"/>
  <c r="T461" i="4"/>
  <c r="S461" i="4"/>
  <c r="R461" i="4"/>
  <c r="L461" i="4"/>
  <c r="K461" i="4"/>
  <c r="J461" i="4"/>
  <c r="I461" i="4"/>
  <c r="U332" i="4"/>
  <c r="T332" i="4"/>
  <c r="S332" i="4"/>
  <c r="R332" i="4"/>
  <c r="L332" i="4"/>
  <c r="K332" i="4"/>
  <c r="J332" i="4"/>
  <c r="I332" i="4"/>
  <c r="V203" i="4"/>
  <c r="V74" i="4" s="1"/>
  <c r="P203" i="4"/>
  <c r="O203" i="4"/>
  <c r="N203" i="4"/>
  <c r="M203" i="4"/>
  <c r="H203" i="4"/>
  <c r="G203" i="4"/>
  <c r="F203" i="4"/>
  <c r="E203" i="4"/>
  <c r="D203" i="4"/>
  <c r="C203" i="4"/>
  <c r="U589" i="4"/>
  <c r="T589" i="4"/>
  <c r="S589" i="4"/>
  <c r="R589" i="4"/>
  <c r="L589" i="4"/>
  <c r="K589" i="4"/>
  <c r="J589" i="4"/>
  <c r="I589" i="4"/>
  <c r="U460" i="4"/>
  <c r="T460" i="4"/>
  <c r="S460" i="4"/>
  <c r="R460" i="4"/>
  <c r="L460" i="4"/>
  <c r="K460" i="4"/>
  <c r="J460" i="4"/>
  <c r="I460" i="4"/>
  <c r="U331" i="4"/>
  <c r="T331" i="4"/>
  <c r="S331" i="4"/>
  <c r="R331" i="4"/>
  <c r="L331" i="4"/>
  <c r="K331" i="4"/>
  <c r="J331" i="4"/>
  <c r="I331" i="4"/>
  <c r="V202" i="4"/>
  <c r="V73" i="4" s="1"/>
  <c r="P202" i="4"/>
  <c r="O202" i="4"/>
  <c r="N202" i="4"/>
  <c r="M202" i="4"/>
  <c r="H202" i="4"/>
  <c r="G202" i="4"/>
  <c r="F202" i="4"/>
  <c r="E202" i="4"/>
  <c r="D202" i="4"/>
  <c r="C202" i="4"/>
  <c r="U588" i="4"/>
  <c r="T588" i="4"/>
  <c r="S588" i="4"/>
  <c r="R588" i="4"/>
  <c r="L588" i="4"/>
  <c r="K588" i="4"/>
  <c r="J588" i="4"/>
  <c r="I588" i="4"/>
  <c r="U459" i="4"/>
  <c r="T459" i="4"/>
  <c r="S459" i="4"/>
  <c r="R459" i="4"/>
  <c r="L459" i="4"/>
  <c r="K459" i="4"/>
  <c r="J459" i="4"/>
  <c r="I459" i="4"/>
  <c r="U330" i="4"/>
  <c r="T330" i="4"/>
  <c r="S330" i="4"/>
  <c r="R330" i="4"/>
  <c r="L330" i="4"/>
  <c r="K330" i="4"/>
  <c r="J330" i="4"/>
  <c r="I330" i="4"/>
  <c r="V201" i="4"/>
  <c r="V72" i="4" s="1"/>
  <c r="P201" i="4"/>
  <c r="O201" i="4"/>
  <c r="N201" i="4"/>
  <c r="M201" i="4"/>
  <c r="H201" i="4"/>
  <c r="G201" i="4"/>
  <c r="F201" i="4"/>
  <c r="E201" i="4"/>
  <c r="D201" i="4"/>
  <c r="C201" i="4"/>
  <c r="U587" i="4"/>
  <c r="T587" i="4"/>
  <c r="S587" i="4"/>
  <c r="R587" i="4"/>
  <c r="L587" i="4"/>
  <c r="K587" i="4"/>
  <c r="J587" i="4"/>
  <c r="I587" i="4"/>
  <c r="U458" i="4"/>
  <c r="T458" i="4"/>
  <c r="S458" i="4"/>
  <c r="R458" i="4"/>
  <c r="L458" i="4"/>
  <c r="K458" i="4"/>
  <c r="J458" i="4"/>
  <c r="I458" i="4"/>
  <c r="U329" i="4"/>
  <c r="T329" i="4"/>
  <c r="S329" i="4"/>
  <c r="R329" i="4"/>
  <c r="L329" i="4"/>
  <c r="K329" i="4"/>
  <c r="J329" i="4"/>
  <c r="I329" i="4"/>
  <c r="V200" i="4"/>
  <c r="V71" i="4" s="1"/>
  <c r="O200" i="4"/>
  <c r="N200" i="4"/>
  <c r="M200" i="4"/>
  <c r="G200" i="4"/>
  <c r="E200" i="4"/>
  <c r="C200" i="4"/>
  <c r="U586" i="4"/>
  <c r="T586" i="4"/>
  <c r="S586" i="4"/>
  <c r="R586" i="4"/>
  <c r="L586" i="4"/>
  <c r="K586" i="4"/>
  <c r="J586" i="4"/>
  <c r="I586" i="4"/>
  <c r="T457" i="4"/>
  <c r="R457" i="4"/>
  <c r="L457" i="4"/>
  <c r="K457" i="4"/>
  <c r="I457" i="4"/>
  <c r="F200" i="4"/>
  <c r="U328" i="4"/>
  <c r="T328" i="4"/>
  <c r="S328" i="4"/>
  <c r="R328" i="4"/>
  <c r="L328" i="4"/>
  <c r="K328" i="4"/>
  <c r="J328" i="4"/>
  <c r="I328" i="4"/>
  <c r="V199" i="4"/>
  <c r="V70" i="4" s="1"/>
  <c r="P199" i="4"/>
  <c r="O199" i="4"/>
  <c r="N199" i="4"/>
  <c r="M199" i="4"/>
  <c r="H199" i="4"/>
  <c r="G199" i="4"/>
  <c r="F199" i="4"/>
  <c r="E199" i="4"/>
  <c r="D199" i="4"/>
  <c r="C199" i="4"/>
  <c r="U585" i="4"/>
  <c r="T585" i="4"/>
  <c r="S585" i="4"/>
  <c r="R585" i="4"/>
  <c r="L585" i="4"/>
  <c r="K585" i="4"/>
  <c r="J585" i="4"/>
  <c r="I585" i="4"/>
  <c r="U456" i="4"/>
  <c r="T456" i="4"/>
  <c r="S456" i="4"/>
  <c r="R456" i="4"/>
  <c r="L456" i="4"/>
  <c r="K456" i="4"/>
  <c r="J456" i="4"/>
  <c r="I456" i="4"/>
  <c r="U327" i="4"/>
  <c r="T327" i="4"/>
  <c r="S327" i="4"/>
  <c r="R327" i="4"/>
  <c r="L327" i="4"/>
  <c r="K327" i="4"/>
  <c r="J327" i="4"/>
  <c r="I327" i="4"/>
  <c r="V198" i="4"/>
  <c r="V69" i="4" s="1"/>
  <c r="P198" i="4"/>
  <c r="O198" i="4"/>
  <c r="N198" i="4"/>
  <c r="M198" i="4"/>
  <c r="H198" i="4"/>
  <c r="G198" i="4"/>
  <c r="F198" i="4"/>
  <c r="E198" i="4"/>
  <c r="D198" i="4"/>
  <c r="C198" i="4"/>
  <c r="U584" i="4"/>
  <c r="T584" i="4"/>
  <c r="S584" i="4"/>
  <c r="R584" i="4"/>
  <c r="L584" i="4"/>
  <c r="K584" i="4"/>
  <c r="J584" i="4"/>
  <c r="I584" i="4"/>
  <c r="U455" i="4"/>
  <c r="T455" i="4"/>
  <c r="S455" i="4"/>
  <c r="K455" i="4"/>
  <c r="J455" i="4"/>
  <c r="I455" i="4"/>
  <c r="R455" i="4"/>
  <c r="U326" i="4"/>
  <c r="T326" i="4"/>
  <c r="S326" i="4"/>
  <c r="L326" i="4"/>
  <c r="K326" i="4"/>
  <c r="J326" i="4"/>
  <c r="I326" i="4"/>
  <c r="R326" i="4"/>
  <c r="V197" i="4"/>
  <c r="V68" i="4" s="1"/>
  <c r="P197" i="4"/>
  <c r="O197" i="4"/>
  <c r="N197" i="4"/>
  <c r="M197" i="4"/>
  <c r="H197" i="4"/>
  <c r="G197" i="4"/>
  <c r="F197" i="4"/>
  <c r="E197" i="4"/>
  <c r="D197" i="4"/>
  <c r="C197" i="4"/>
  <c r="U583" i="4"/>
  <c r="T583" i="4"/>
  <c r="S583" i="4"/>
  <c r="R583" i="4"/>
  <c r="L583" i="4"/>
  <c r="K583" i="4"/>
  <c r="J583" i="4"/>
  <c r="I583" i="4"/>
  <c r="U454" i="4"/>
  <c r="T454" i="4"/>
  <c r="S454" i="4"/>
  <c r="R454" i="4"/>
  <c r="L454" i="4"/>
  <c r="K454" i="4"/>
  <c r="J454" i="4"/>
  <c r="I454" i="4"/>
  <c r="U325" i="4"/>
  <c r="T325" i="4"/>
  <c r="S325" i="4"/>
  <c r="R325" i="4"/>
  <c r="L325" i="4"/>
  <c r="K325" i="4"/>
  <c r="J325" i="4"/>
  <c r="I325" i="4"/>
  <c r="V196" i="4"/>
  <c r="V67" i="4" s="1"/>
  <c r="P196" i="4"/>
  <c r="O196" i="4"/>
  <c r="N196" i="4"/>
  <c r="M196" i="4"/>
  <c r="H196" i="4"/>
  <c r="G196" i="4"/>
  <c r="F196" i="4"/>
  <c r="E196" i="4"/>
  <c r="D196" i="4"/>
  <c r="C196" i="4"/>
  <c r="U582" i="4"/>
  <c r="T582" i="4"/>
  <c r="S582" i="4"/>
  <c r="R582" i="4"/>
  <c r="L582" i="4"/>
  <c r="K582" i="4"/>
  <c r="J582" i="4"/>
  <c r="I582" i="4"/>
  <c r="U453" i="4"/>
  <c r="T453" i="4"/>
  <c r="S453" i="4"/>
  <c r="R453" i="4"/>
  <c r="L453" i="4"/>
  <c r="K453" i="4"/>
  <c r="J453" i="4"/>
  <c r="I453" i="4"/>
  <c r="U324" i="4"/>
  <c r="T324" i="4"/>
  <c r="S324" i="4"/>
  <c r="R324" i="4"/>
  <c r="L324" i="4"/>
  <c r="K324" i="4"/>
  <c r="J324" i="4"/>
  <c r="I324" i="4"/>
  <c r="V195" i="4"/>
  <c r="P195" i="4"/>
  <c r="O195" i="4"/>
  <c r="N195" i="4"/>
  <c r="M195" i="4"/>
  <c r="H195" i="4"/>
  <c r="G195" i="4"/>
  <c r="F195" i="4"/>
  <c r="E195" i="4"/>
  <c r="D195" i="4"/>
  <c r="C195" i="4"/>
  <c r="U581" i="4"/>
  <c r="T581" i="4"/>
  <c r="S581" i="4"/>
  <c r="R581" i="4"/>
  <c r="L581" i="4"/>
  <c r="K581" i="4"/>
  <c r="J581" i="4"/>
  <c r="I581" i="4"/>
  <c r="U452" i="4"/>
  <c r="T452" i="4"/>
  <c r="S452" i="4"/>
  <c r="R452" i="4"/>
  <c r="L452" i="4"/>
  <c r="K452" i="4"/>
  <c r="J452" i="4"/>
  <c r="I452" i="4"/>
  <c r="U323" i="4"/>
  <c r="T323" i="4"/>
  <c r="S323" i="4"/>
  <c r="R323" i="4"/>
  <c r="L323" i="4"/>
  <c r="K323" i="4"/>
  <c r="J323" i="4"/>
  <c r="I323" i="4"/>
  <c r="AR194" i="4"/>
  <c r="V194" i="4"/>
  <c r="E65" i="4"/>
  <c r="F65" i="4"/>
  <c r="G65" i="4"/>
  <c r="H65" i="4"/>
  <c r="P65" i="4"/>
  <c r="E64" i="4"/>
  <c r="F64" i="4"/>
  <c r="G64" i="4"/>
  <c r="H64" i="4"/>
  <c r="N64" i="4"/>
  <c r="P64" i="4"/>
  <c r="J197" i="4" l="1"/>
  <c r="AE512" i="4"/>
  <c r="I512" i="4"/>
  <c r="AG383" i="4"/>
  <c r="AK255" i="4"/>
  <c r="AJ255" i="4"/>
  <c r="AP255" i="4" s="1"/>
  <c r="I383" i="4"/>
  <c r="C255" i="4"/>
  <c r="AH383" i="4"/>
  <c r="AL255" i="4"/>
  <c r="AQ255" i="4" s="1"/>
  <c r="AF512" i="4"/>
  <c r="L383" i="4"/>
  <c r="Y255" i="4"/>
  <c r="E255" i="4"/>
  <c r="F255" i="4"/>
  <c r="AG512" i="4"/>
  <c r="I641" i="4"/>
  <c r="G255" i="4"/>
  <c r="AH512" i="4"/>
  <c r="Z255" i="4"/>
  <c r="J383" i="4"/>
  <c r="AE770" i="4"/>
  <c r="AE641" i="4"/>
  <c r="AA255" i="4"/>
  <c r="K512" i="4"/>
  <c r="D255" i="4"/>
  <c r="K641" i="4"/>
  <c r="M255" i="4"/>
  <c r="AF641" i="4"/>
  <c r="AB255" i="4"/>
  <c r="V255" i="4"/>
  <c r="L641" i="4"/>
  <c r="I205" i="4"/>
  <c r="AG770" i="4"/>
  <c r="AG641" i="4"/>
  <c r="AG632" i="4"/>
  <c r="AC255" i="4"/>
  <c r="K383" i="4"/>
  <c r="O255" i="4"/>
  <c r="C246" i="4"/>
  <c r="AH770" i="4"/>
  <c r="AD255" i="4"/>
  <c r="AM334" i="4"/>
  <c r="AF374" i="4"/>
  <c r="AE503" i="4"/>
  <c r="K374" i="4"/>
  <c r="H246" i="4"/>
  <c r="AF761" i="4"/>
  <c r="AH761" i="4"/>
  <c r="I632" i="4"/>
  <c r="D246" i="4"/>
  <c r="P246" i="4"/>
  <c r="M246" i="4"/>
  <c r="AA246" i="4"/>
  <c r="N126" i="4"/>
  <c r="N117" i="4"/>
  <c r="I503" i="4"/>
  <c r="O246" i="4"/>
  <c r="AF503" i="4"/>
  <c r="AC246" i="4"/>
  <c r="L503" i="4"/>
  <c r="J503" i="4"/>
  <c r="AE374" i="4"/>
  <c r="P126" i="4"/>
  <c r="I374" i="4"/>
  <c r="J374" i="4"/>
  <c r="E126" i="4"/>
  <c r="L374" i="4"/>
  <c r="F126" i="4"/>
  <c r="G246" i="4"/>
  <c r="G126" i="4"/>
  <c r="H126" i="4"/>
  <c r="AE761" i="4"/>
  <c r="AG374" i="4"/>
  <c r="AM590" i="4"/>
  <c r="AM591" i="4"/>
  <c r="AE632" i="4"/>
  <c r="V66" i="4"/>
  <c r="Z246" i="4"/>
  <c r="AL246" i="4"/>
  <c r="AG761" i="4"/>
  <c r="K632" i="4"/>
  <c r="L632" i="4"/>
  <c r="F246" i="4"/>
  <c r="AB246" i="4"/>
  <c r="AD246" i="4"/>
  <c r="K503" i="4"/>
  <c r="E246" i="4"/>
  <c r="V246" i="4"/>
  <c r="AI246" i="4"/>
  <c r="AJ246" i="4"/>
  <c r="Y246" i="4"/>
  <c r="AK246" i="4"/>
  <c r="O70" i="4"/>
  <c r="U70" i="4" s="1"/>
  <c r="H117" i="4"/>
  <c r="Q333" i="4"/>
  <c r="Q591" i="4"/>
  <c r="P117" i="4"/>
  <c r="G117" i="4"/>
  <c r="S118" i="4"/>
  <c r="D74" i="4"/>
  <c r="E117" i="4"/>
  <c r="AM461" i="4"/>
  <c r="AM719" i="4"/>
  <c r="AM462" i="4"/>
  <c r="AM720" i="4"/>
  <c r="AM463" i="4"/>
  <c r="F117" i="4"/>
  <c r="AM592" i="4"/>
  <c r="V65" i="4"/>
  <c r="Q334" i="4"/>
  <c r="AM721" i="4"/>
  <c r="V77" i="4"/>
  <c r="Q463" i="4"/>
  <c r="Q461" i="4"/>
  <c r="Q462" i="4"/>
  <c r="AM332" i="4"/>
  <c r="AM333" i="4"/>
  <c r="I201" i="4"/>
  <c r="Q590" i="4"/>
  <c r="M75" i="4"/>
  <c r="V75" i="4"/>
  <c r="Q332" i="4"/>
  <c r="AF205" i="4"/>
  <c r="J76" i="4"/>
  <c r="J74" i="4"/>
  <c r="L76" i="4"/>
  <c r="M71" i="4"/>
  <c r="T71" i="4" s="1"/>
  <c r="O72" i="4"/>
  <c r="U72" i="4" s="1"/>
  <c r="AH198" i="4"/>
  <c r="T202" i="4"/>
  <c r="U204" i="4"/>
  <c r="J75" i="4"/>
  <c r="I73" i="4"/>
  <c r="AF203" i="4"/>
  <c r="D76" i="4"/>
  <c r="AE200" i="4"/>
  <c r="M73" i="4"/>
  <c r="T73" i="4" s="1"/>
  <c r="L74" i="4"/>
  <c r="AP202" i="4"/>
  <c r="O73" i="4"/>
  <c r="U73" i="4" s="1"/>
  <c r="AQ202" i="4"/>
  <c r="M76" i="4"/>
  <c r="M70" i="4"/>
  <c r="K73" i="4"/>
  <c r="AF204" i="4"/>
  <c r="D75" i="4"/>
  <c r="M69" i="4"/>
  <c r="M67" i="4"/>
  <c r="I74" i="4"/>
  <c r="O68" i="4"/>
  <c r="O69" i="4"/>
  <c r="M74" i="4"/>
  <c r="T74" i="4" s="1"/>
  <c r="AH203" i="4"/>
  <c r="AH204" i="4"/>
  <c r="AP205" i="4"/>
  <c r="D68" i="4"/>
  <c r="AO205" i="4"/>
  <c r="D72" i="4"/>
  <c r="D73" i="4"/>
  <c r="D69" i="4"/>
  <c r="AH205" i="4"/>
  <c r="AO206" i="4"/>
  <c r="O71" i="4"/>
  <c r="U71" i="4" s="1"/>
  <c r="M72" i="4"/>
  <c r="T72" i="4" s="1"/>
  <c r="O74" i="4"/>
  <c r="U74" i="4" s="1"/>
  <c r="AF197" i="4"/>
  <c r="M68" i="4"/>
  <c r="AH200" i="4"/>
  <c r="O67" i="4"/>
  <c r="AH199" i="4"/>
  <c r="J73" i="4"/>
  <c r="O76" i="4"/>
  <c r="AF196" i="4"/>
  <c r="J67" i="4"/>
  <c r="D67" i="4"/>
  <c r="S76" i="4"/>
  <c r="L75" i="4"/>
  <c r="J69" i="4"/>
  <c r="T201" i="4"/>
  <c r="K69" i="4"/>
  <c r="I69" i="4"/>
  <c r="AF202" i="4"/>
  <c r="L73" i="4"/>
  <c r="AH202" i="4"/>
  <c r="AF201" i="4"/>
  <c r="AQ201" i="4"/>
  <c r="J72" i="4"/>
  <c r="AO201" i="4"/>
  <c r="AH201" i="4"/>
  <c r="L72" i="4"/>
  <c r="AF199" i="4"/>
  <c r="J70" i="4"/>
  <c r="L70" i="4"/>
  <c r="D70" i="4"/>
  <c r="AF198" i="4"/>
  <c r="L71" i="4"/>
  <c r="T196" i="4"/>
  <c r="T199" i="4"/>
  <c r="U199" i="4"/>
  <c r="O66" i="4"/>
  <c r="O75" i="4"/>
  <c r="AH197" i="4"/>
  <c r="L68" i="4"/>
  <c r="J68" i="4"/>
  <c r="L195" i="4"/>
  <c r="D66" i="4"/>
  <c r="M66" i="4"/>
  <c r="AH196" i="4"/>
  <c r="L67" i="4"/>
  <c r="AF195" i="4"/>
  <c r="AH195" i="4"/>
  <c r="J66" i="4"/>
  <c r="L66" i="4"/>
  <c r="M77" i="4"/>
  <c r="T77" i="4" s="1"/>
  <c r="D77" i="4"/>
  <c r="O77" i="4"/>
  <c r="U77" i="4" s="1"/>
  <c r="K74" i="4"/>
  <c r="K70" i="4"/>
  <c r="C72" i="4"/>
  <c r="AE198" i="4"/>
  <c r="AG205" i="4"/>
  <c r="AG206" i="4"/>
  <c r="AG197" i="4"/>
  <c r="C70" i="4"/>
  <c r="K71" i="4"/>
  <c r="AG201" i="4"/>
  <c r="AE202" i="4"/>
  <c r="AG199" i="4"/>
  <c r="I67" i="4"/>
  <c r="I70" i="4"/>
  <c r="K67" i="4"/>
  <c r="K77" i="4"/>
  <c r="AE206" i="4"/>
  <c r="AG203" i="4"/>
  <c r="AE197" i="4"/>
  <c r="AG204" i="4"/>
  <c r="AG195" i="4"/>
  <c r="AG196" i="4"/>
  <c r="AE201" i="4"/>
  <c r="AE196" i="4"/>
  <c r="C69" i="4"/>
  <c r="C77" i="4"/>
  <c r="AG198" i="4"/>
  <c r="AG200" i="4"/>
  <c r="AE199" i="4"/>
  <c r="AG202" i="4"/>
  <c r="AE203" i="4"/>
  <c r="AE195" i="4"/>
  <c r="AE204" i="4"/>
  <c r="AE205" i="4"/>
  <c r="I75" i="4"/>
  <c r="I66" i="4"/>
  <c r="C66" i="4"/>
  <c r="K75" i="4"/>
  <c r="C76" i="4"/>
  <c r="K66" i="4"/>
  <c r="C74" i="4"/>
  <c r="I68" i="4"/>
  <c r="C68" i="4"/>
  <c r="K72" i="4"/>
  <c r="K76" i="4"/>
  <c r="I77" i="4"/>
  <c r="K197" i="4"/>
  <c r="I71" i="4"/>
  <c r="K68" i="4"/>
  <c r="C67" i="4"/>
  <c r="C71" i="4"/>
  <c r="C75" i="4"/>
  <c r="I72" i="4"/>
  <c r="C73" i="4"/>
  <c r="I76" i="4"/>
  <c r="AO200" i="4"/>
  <c r="S71" i="4"/>
  <c r="AP203" i="4"/>
  <c r="AQ206" i="4"/>
  <c r="AF592" i="4"/>
  <c r="AF206" i="4" s="1"/>
  <c r="U198" i="4"/>
  <c r="AP201" i="4"/>
  <c r="AQ203" i="4"/>
  <c r="AH592" i="4"/>
  <c r="AH632" i="4" s="1"/>
  <c r="T200" i="4"/>
  <c r="AO202" i="4"/>
  <c r="AP204" i="4"/>
  <c r="S204" i="4"/>
  <c r="AO203" i="4"/>
  <c r="AQ204" i="4"/>
  <c r="S199" i="4"/>
  <c r="U203" i="4"/>
  <c r="AO204" i="4"/>
  <c r="AQ205" i="4"/>
  <c r="AN204" i="4"/>
  <c r="AN202" i="4"/>
  <c r="AN200" i="4"/>
  <c r="AN201" i="4"/>
  <c r="AN203" i="4"/>
  <c r="AN205" i="4"/>
  <c r="AP199" i="4"/>
  <c r="AQ199" i="4"/>
  <c r="AP206" i="4"/>
  <c r="R201" i="4"/>
  <c r="U201" i="4"/>
  <c r="T205" i="4"/>
  <c r="AF715" i="4"/>
  <c r="AF200" i="4" s="1"/>
  <c r="U197" i="4"/>
  <c r="AP721" i="4"/>
  <c r="S201" i="4"/>
  <c r="S72" i="4"/>
  <c r="S202" i="4"/>
  <c r="S74" i="4"/>
  <c r="AO715" i="4"/>
  <c r="AH334" i="4"/>
  <c r="AH374" i="4" s="1"/>
  <c r="AN206" i="4"/>
  <c r="S75" i="4"/>
  <c r="S205" i="4"/>
  <c r="S206" i="4"/>
  <c r="S77" i="4"/>
  <c r="S197" i="4"/>
  <c r="S203" i="4"/>
  <c r="R205" i="4"/>
  <c r="U205" i="4"/>
  <c r="U206" i="4"/>
  <c r="K200" i="4"/>
  <c r="T197" i="4"/>
  <c r="S198" i="4"/>
  <c r="I199" i="4"/>
  <c r="T203" i="4"/>
  <c r="L206" i="4"/>
  <c r="T195" i="4"/>
  <c r="I203" i="4"/>
  <c r="I206" i="4"/>
  <c r="U195" i="4"/>
  <c r="L199" i="4"/>
  <c r="U202" i="4"/>
  <c r="T204" i="4"/>
  <c r="K195" i="4"/>
  <c r="I204" i="4"/>
  <c r="U196" i="4"/>
  <c r="R206" i="4"/>
  <c r="R200" i="4"/>
  <c r="R204" i="4"/>
  <c r="J196" i="4"/>
  <c r="T198" i="4"/>
  <c r="R203" i="4"/>
  <c r="I198" i="4"/>
  <c r="L200" i="4"/>
  <c r="I196" i="4"/>
  <c r="I202" i="4"/>
  <c r="R196" i="4"/>
  <c r="K201" i="4"/>
  <c r="U457" i="4"/>
  <c r="P200" i="4"/>
  <c r="U200" i="4" s="1"/>
  <c r="S196" i="4"/>
  <c r="H200" i="4"/>
  <c r="S200" i="4" s="1"/>
  <c r="S195" i="4"/>
  <c r="S457" i="4"/>
  <c r="J195" i="4"/>
  <c r="R195" i="4"/>
  <c r="L197" i="4"/>
  <c r="K205" i="4"/>
  <c r="K206" i="4"/>
  <c r="K196" i="4"/>
  <c r="L201" i="4"/>
  <c r="R202" i="4"/>
  <c r="L205" i="4"/>
  <c r="J199" i="4"/>
  <c r="J198" i="4"/>
  <c r="R198" i="4"/>
  <c r="K199" i="4"/>
  <c r="I200" i="4"/>
  <c r="J204" i="4"/>
  <c r="I195" i="4"/>
  <c r="L202" i="4"/>
  <c r="L196" i="4"/>
  <c r="K198" i="4"/>
  <c r="J202" i="4"/>
  <c r="I197" i="4"/>
  <c r="R197" i="4"/>
  <c r="J203" i="4"/>
  <c r="K203" i="4"/>
  <c r="K204" i="4"/>
  <c r="J201" i="4"/>
  <c r="K202" i="4"/>
  <c r="L203" i="4"/>
  <c r="L204" i="4"/>
  <c r="J205" i="4"/>
  <c r="L455" i="4"/>
  <c r="L512" i="4" s="1"/>
  <c r="R199" i="4"/>
  <c r="J457" i="4"/>
  <c r="J200" i="4" s="1"/>
  <c r="R592" i="4"/>
  <c r="Q592" i="4" s="1"/>
  <c r="N206" i="4"/>
  <c r="T206" i="4" s="1"/>
  <c r="T592" i="4"/>
  <c r="J592" i="4"/>
  <c r="J206" i="4" s="1"/>
  <c r="S65" i="4"/>
  <c r="AF255" i="4" l="1"/>
  <c r="AO255" i="4"/>
  <c r="AH641" i="4"/>
  <c r="H255" i="4"/>
  <c r="S255" i="4" s="1"/>
  <c r="P255" i="4"/>
  <c r="U255" i="4" s="1"/>
  <c r="AN255" i="4"/>
  <c r="AF770" i="4"/>
  <c r="I255" i="4"/>
  <c r="K255" i="4"/>
  <c r="N255" i="4"/>
  <c r="T255" i="4" s="1"/>
  <c r="J641" i="4"/>
  <c r="AG255" i="4"/>
  <c r="R255" i="4"/>
  <c r="J512" i="4"/>
  <c r="J255" i="4"/>
  <c r="AE255" i="4"/>
  <c r="W247" i="4"/>
  <c r="R246" i="4"/>
  <c r="V117" i="4"/>
  <c r="U246" i="4"/>
  <c r="K126" i="4"/>
  <c r="I126" i="4"/>
  <c r="O126" i="4"/>
  <c r="U126" i="4" s="1"/>
  <c r="V126" i="4"/>
  <c r="M126" i="4"/>
  <c r="T126" i="4" s="1"/>
  <c r="C126" i="4"/>
  <c r="D126" i="4"/>
  <c r="J246" i="4"/>
  <c r="K246" i="4"/>
  <c r="AF632" i="4"/>
  <c r="L246" i="4"/>
  <c r="J632" i="4"/>
  <c r="AE246" i="4"/>
  <c r="AG246" i="4"/>
  <c r="I246" i="4"/>
  <c r="AF246" i="4"/>
  <c r="N246" i="4"/>
  <c r="T246" i="4" s="1"/>
  <c r="S246" i="4"/>
  <c r="K117" i="4"/>
  <c r="C117" i="4"/>
  <c r="U76" i="4"/>
  <c r="U118" i="4"/>
  <c r="T76" i="4"/>
  <c r="T118" i="4"/>
  <c r="AP246" i="4"/>
  <c r="D117" i="4"/>
  <c r="AO246" i="4"/>
  <c r="AN246" i="4"/>
  <c r="O117" i="4"/>
  <c r="U117" i="4" s="1"/>
  <c r="M117" i="4"/>
  <c r="T117" i="4" s="1"/>
  <c r="I117" i="4"/>
  <c r="AM206" i="4"/>
  <c r="AQ246" i="4"/>
  <c r="Q195" i="4"/>
  <c r="T75" i="4"/>
  <c r="J77" i="4"/>
  <c r="Q206" i="4"/>
  <c r="Q205" i="4"/>
  <c r="S117" i="4"/>
  <c r="AM205" i="4"/>
  <c r="AM204" i="4"/>
  <c r="U75" i="4"/>
  <c r="Q204" i="4"/>
  <c r="Q197" i="4"/>
  <c r="R73" i="4"/>
  <c r="AM203" i="4"/>
  <c r="J71" i="4"/>
  <c r="L69" i="4"/>
  <c r="AM202" i="4"/>
  <c r="Q202" i="4"/>
  <c r="AM201" i="4"/>
  <c r="S126" i="4"/>
  <c r="Q199" i="4"/>
  <c r="Q201" i="4"/>
  <c r="Q203" i="4"/>
  <c r="L198" i="4"/>
  <c r="L255" i="4" s="1"/>
  <c r="Q198" i="4"/>
  <c r="Q200" i="4"/>
  <c r="Q196" i="4"/>
  <c r="AH206" i="4"/>
  <c r="AH246" i="4" s="1"/>
  <c r="L77" i="4"/>
  <c r="L117" i="4" s="1"/>
  <c r="R75" i="4"/>
  <c r="Q75" i="4" s="1"/>
  <c r="AQ200" i="4"/>
  <c r="AP200" i="4"/>
  <c r="AM200" i="4" s="1"/>
  <c r="R71" i="4"/>
  <c r="Q71" i="4" s="1"/>
  <c r="R76" i="4"/>
  <c r="Q76" i="4" s="1"/>
  <c r="R77" i="4"/>
  <c r="Q77" i="4" s="1"/>
  <c r="R74" i="4"/>
  <c r="Q74" i="4" s="1"/>
  <c r="R72" i="4"/>
  <c r="Q72" i="4" s="1"/>
  <c r="Q255" i="4" l="1"/>
  <c r="AM255" i="4"/>
  <c r="AH255" i="4"/>
  <c r="Q246" i="4"/>
  <c r="A247" i="4"/>
  <c r="J126" i="4"/>
  <c r="L126" i="4"/>
  <c r="J117" i="4"/>
  <c r="R118" i="4"/>
  <c r="Q118" i="4" s="1"/>
  <c r="AM246" i="4"/>
  <c r="R117" i="4"/>
  <c r="Q117" i="4" s="1"/>
  <c r="R126" i="4"/>
  <c r="Q126" i="4" s="1"/>
  <c r="S322" i="4" l="1"/>
  <c r="T322" i="4"/>
  <c r="U322" i="4"/>
  <c r="N580" i="4"/>
  <c r="AJ709" i="4"/>
  <c r="AJ769" i="4" s="1"/>
  <c r="AP769" i="4" s="1"/>
  <c r="N631" i="4" l="1"/>
  <c r="T631" i="4" s="1"/>
  <c r="N640" i="4"/>
  <c r="T640" i="4" s="1"/>
  <c r="AJ760" i="4"/>
  <c r="AP760" i="4" s="1"/>
  <c r="T70" i="4"/>
  <c r="N65" i="4"/>
  <c r="Z709" i="4"/>
  <c r="Z769" i="4" s="1"/>
  <c r="AN769" i="4" s="1"/>
  <c r="Z580" i="4"/>
  <c r="Z640" i="4" s="1"/>
  <c r="AN640" i="4" s="1"/>
  <c r="Z451" i="4"/>
  <c r="Z322" i="4"/>
  <c r="D580" i="4"/>
  <c r="D451" i="4"/>
  <c r="D502" i="4" s="1"/>
  <c r="R502" i="4" s="1"/>
  <c r="Q502" i="4" s="1"/>
  <c r="D322" i="4"/>
  <c r="Z373" i="4" l="1"/>
  <c r="AN373" i="4" s="1"/>
  <c r="AM373" i="4" s="1"/>
  <c r="Z382" i="4"/>
  <c r="AN382" i="4" s="1"/>
  <c r="AM382" i="4" s="1"/>
  <c r="D631" i="4"/>
  <c r="R631" i="4" s="1"/>
  <c r="Q631" i="4" s="1"/>
  <c r="D640" i="4"/>
  <c r="R640" i="4" s="1"/>
  <c r="Q640" i="4" s="1"/>
  <c r="Z502" i="4"/>
  <c r="AN502" i="4" s="1"/>
  <c r="AM502" i="4" s="1"/>
  <c r="Z511" i="4"/>
  <c r="AN511" i="4" s="1"/>
  <c r="AM511" i="4" s="1"/>
  <c r="D373" i="4"/>
  <c r="R373" i="4" s="1"/>
  <c r="Q373" i="4" s="1"/>
  <c r="Z631" i="4"/>
  <c r="AN631" i="4" s="1"/>
  <c r="AM631" i="4" s="1"/>
  <c r="Z760" i="4"/>
  <c r="AN760" i="4" s="1"/>
  <c r="AM760" i="4" s="1"/>
  <c r="J451" i="4"/>
  <c r="R322" i="4"/>
  <c r="AN199" i="4"/>
  <c r="P63" i="4"/>
  <c r="P116" i="4" s="1"/>
  <c r="N63" i="4"/>
  <c r="N116" i="4" s="1"/>
  <c r="H63" i="4"/>
  <c r="H116" i="4" s="1"/>
  <c r="G63" i="4"/>
  <c r="G116" i="4" s="1"/>
  <c r="F63" i="4"/>
  <c r="F116" i="4" s="1"/>
  <c r="E63" i="4"/>
  <c r="E116" i="4" s="1"/>
  <c r="AR193" i="4"/>
  <c r="V193" i="4"/>
  <c r="V64" i="4" l="1"/>
  <c r="S116" i="4"/>
  <c r="S63" i="4"/>
  <c r="S64" i="4"/>
  <c r="R321" i="4"/>
  <c r="S321" i="4"/>
  <c r="T321" i="4"/>
  <c r="U321" i="4"/>
  <c r="H62" i="4" l="1"/>
  <c r="G62" i="4"/>
  <c r="F62" i="4"/>
  <c r="C192" i="4"/>
  <c r="D192" i="4"/>
  <c r="E192" i="4"/>
  <c r="F192" i="4"/>
  <c r="G192" i="4"/>
  <c r="H192" i="4"/>
  <c r="M192" i="4"/>
  <c r="M63" i="4" s="1"/>
  <c r="N192" i="4"/>
  <c r="AR192" i="4"/>
  <c r="AR245" i="4" s="1"/>
  <c r="Y192" i="4"/>
  <c r="Z192" i="4"/>
  <c r="AL192" i="4"/>
  <c r="AK192" i="4"/>
  <c r="AJ192" i="4"/>
  <c r="AI192" i="4"/>
  <c r="AA192" i="4"/>
  <c r="AB192" i="4"/>
  <c r="AC192" i="4"/>
  <c r="AD192" i="4"/>
  <c r="AA191" i="4"/>
  <c r="AB191" i="4"/>
  <c r="AD191" i="4"/>
  <c r="AI191" i="4"/>
  <c r="AJ191" i="4"/>
  <c r="AK191" i="4"/>
  <c r="AL191" i="4"/>
  <c r="AR191" i="4"/>
  <c r="D63" i="4" l="1"/>
  <c r="C63" i="4"/>
  <c r="V192" i="4"/>
  <c r="V63" i="4" s="1"/>
  <c r="V245" i="4" l="1"/>
  <c r="T63" i="4"/>
  <c r="R63" i="4"/>
  <c r="Q63" i="4" s="1"/>
  <c r="U320" i="4"/>
  <c r="T320" i="4"/>
  <c r="S320" i="4"/>
  <c r="R320" i="4"/>
  <c r="S62" i="4" l="1"/>
  <c r="E62" i="4"/>
  <c r="N62" i="4"/>
  <c r="P62" i="4"/>
  <c r="V191" i="4"/>
  <c r="V62" i="4" s="1"/>
  <c r="D191" i="4"/>
  <c r="R319" i="4"/>
  <c r="S319" i="4"/>
  <c r="T319" i="4"/>
  <c r="U319" i="4"/>
  <c r="E61" i="4" l="1"/>
  <c r="F61" i="4"/>
  <c r="G61" i="4"/>
  <c r="H61" i="4"/>
  <c r="N61" i="4"/>
  <c r="P61" i="4"/>
  <c r="V190" i="4"/>
  <c r="S61" i="4" l="1"/>
  <c r="G190" i="4"/>
  <c r="H190" i="4"/>
  <c r="C190" i="4"/>
  <c r="D190" i="4"/>
  <c r="E190" i="4"/>
  <c r="F190" i="4"/>
  <c r="M190" i="4"/>
  <c r="N190" i="4"/>
  <c r="O190" i="4"/>
  <c r="P190" i="4"/>
  <c r="AR190" i="4"/>
  <c r="V61" i="4" s="1"/>
  <c r="L447" i="4"/>
  <c r="K447" i="4"/>
  <c r="J447" i="4"/>
  <c r="I447" i="4"/>
  <c r="L318" i="4"/>
  <c r="K318" i="4"/>
  <c r="J318" i="4"/>
  <c r="I318" i="4"/>
  <c r="O61" i="4" l="1"/>
  <c r="U61" i="4" s="1"/>
  <c r="M61" i="4"/>
  <c r="T61" i="4" s="1"/>
  <c r="G60" i="4"/>
  <c r="E60" i="4"/>
  <c r="P60" i="4"/>
  <c r="N60" i="4"/>
  <c r="H60" i="4"/>
  <c r="F60" i="4"/>
  <c r="AR189" i="4"/>
  <c r="M189" i="4"/>
  <c r="M60" i="4" s="1"/>
  <c r="N189" i="4"/>
  <c r="O189" i="4"/>
  <c r="O60" i="4" s="1"/>
  <c r="P189" i="4"/>
  <c r="H189" i="4"/>
  <c r="G189" i="4"/>
  <c r="F189" i="4"/>
  <c r="E189" i="4"/>
  <c r="D189" i="4"/>
  <c r="S60" i="4" l="1"/>
  <c r="V189" i="4"/>
  <c r="V60" i="4" s="1"/>
  <c r="E59" i="4" l="1"/>
  <c r="G59" i="4"/>
  <c r="N59" i="4"/>
  <c r="Y188" i="4"/>
  <c r="Z188" i="4"/>
  <c r="AA188" i="4"/>
  <c r="AC188" i="4"/>
  <c r="AI188" i="4"/>
  <c r="AJ188" i="4"/>
  <c r="AK188" i="4"/>
  <c r="AL188" i="4"/>
  <c r="AR188" i="4"/>
  <c r="V188" i="4"/>
  <c r="O188" i="4"/>
  <c r="O59" i="4" s="1"/>
  <c r="N188" i="4"/>
  <c r="M188" i="4"/>
  <c r="M59" i="4" s="1"/>
  <c r="G188" i="4"/>
  <c r="E188" i="4"/>
  <c r="D188" i="4"/>
  <c r="C188" i="4"/>
  <c r="AB574" i="4"/>
  <c r="AB640" i="4" s="1"/>
  <c r="AD574" i="4"/>
  <c r="AD640" i="4" s="1"/>
  <c r="AO640" i="4" s="1"/>
  <c r="AM640" i="4" s="1"/>
  <c r="V59" i="4" l="1"/>
  <c r="AB630" i="4"/>
  <c r="AD630" i="4"/>
  <c r="AO630" i="4" s="1"/>
  <c r="AM630" i="4" s="1"/>
  <c r="T59" i="4"/>
  <c r="C59" i="4"/>
  <c r="AQ188" i="4"/>
  <c r="AN188" i="4"/>
  <c r="T188" i="4"/>
  <c r="D59" i="4"/>
  <c r="AP188" i="4"/>
  <c r="R188" i="4"/>
  <c r="AD703" i="4"/>
  <c r="AD769" i="4" s="1"/>
  <c r="AO769" i="4" s="1"/>
  <c r="AM769" i="4" s="1"/>
  <c r="AB703" i="4"/>
  <c r="AB769" i="4" s="1"/>
  <c r="AB759" i="4" l="1"/>
  <c r="AD759" i="4"/>
  <c r="AO759" i="4" s="1"/>
  <c r="AM759" i="4" s="1"/>
  <c r="R59" i="4"/>
  <c r="AO199" i="4"/>
  <c r="AM199" i="4" s="1"/>
  <c r="AB188" i="4"/>
  <c r="S70" i="4"/>
  <c r="AD188" i="4"/>
  <c r="AO188" i="4" s="1"/>
  <c r="AM188" i="4" s="1"/>
  <c r="P445" i="4"/>
  <c r="H445" i="4"/>
  <c r="F445" i="4"/>
  <c r="F501" i="4" l="1"/>
  <c r="F511" i="4"/>
  <c r="H501" i="4"/>
  <c r="S501" i="4" s="1"/>
  <c r="H511" i="4"/>
  <c r="S511" i="4" s="1"/>
  <c r="P501" i="4"/>
  <c r="U501" i="4" s="1"/>
  <c r="P511" i="4"/>
  <c r="U511" i="4" s="1"/>
  <c r="H188" i="4"/>
  <c r="S188" i="4" s="1"/>
  <c r="Q188" i="4" s="1"/>
  <c r="H59" i="4"/>
  <c r="F59" i="4"/>
  <c r="F188" i="4"/>
  <c r="P59" i="4"/>
  <c r="U59" i="4" s="1"/>
  <c r="P188" i="4"/>
  <c r="U188" i="4" s="1"/>
  <c r="P58" i="4"/>
  <c r="N58" i="4"/>
  <c r="H58" i="4"/>
  <c r="F58" i="4"/>
  <c r="AR187" i="4"/>
  <c r="V187" i="4"/>
  <c r="V58" i="4" l="1"/>
  <c r="S59" i="4"/>
  <c r="Q59" i="4" s="1"/>
  <c r="G58" i="4"/>
  <c r="S58" i="4" s="1"/>
  <c r="E58" i="4"/>
  <c r="K544" i="4"/>
  <c r="L543" i="4"/>
  <c r="K543" i="4"/>
  <c r="K542" i="4"/>
  <c r="K541" i="4"/>
  <c r="K540" i="4"/>
  <c r="K539" i="4"/>
  <c r="K538" i="4"/>
  <c r="K537" i="4"/>
  <c r="K536" i="4"/>
  <c r="K535" i="4"/>
  <c r="K534" i="4"/>
  <c r="L533" i="4"/>
  <c r="K533" i="4"/>
  <c r="K556" i="4"/>
  <c r="K555" i="4"/>
  <c r="K554" i="4"/>
  <c r="K553" i="4"/>
  <c r="K552" i="4"/>
  <c r="K551" i="4"/>
  <c r="K550" i="4"/>
  <c r="K549" i="4"/>
  <c r="L548" i="4"/>
  <c r="K548" i="4"/>
  <c r="K547" i="4"/>
  <c r="K546" i="4"/>
  <c r="K545" i="4"/>
  <c r="L568" i="4"/>
  <c r="K568" i="4"/>
  <c r="L567" i="4"/>
  <c r="K567" i="4"/>
  <c r="L566" i="4"/>
  <c r="K566" i="4"/>
  <c r="K565" i="4"/>
  <c r="K564" i="4"/>
  <c r="K563" i="4"/>
  <c r="K562" i="4"/>
  <c r="L561" i="4"/>
  <c r="K561" i="4"/>
  <c r="K560" i="4"/>
  <c r="K559" i="4"/>
  <c r="K558" i="4"/>
  <c r="K557" i="4"/>
  <c r="L572" i="4"/>
  <c r="K572" i="4"/>
  <c r="P57" i="4"/>
  <c r="N57" i="4"/>
  <c r="G57" i="4"/>
  <c r="H57" i="4"/>
  <c r="F57" i="4"/>
  <c r="E57" i="4"/>
  <c r="V186" i="4"/>
  <c r="AR186" i="4"/>
  <c r="K637" i="4" l="1"/>
  <c r="K639" i="4"/>
  <c r="K638" i="4"/>
  <c r="K628" i="4"/>
  <c r="V57" i="4"/>
  <c r="K629" i="4"/>
  <c r="S57" i="4"/>
  <c r="D443" i="4"/>
  <c r="D314" i="4"/>
  <c r="D372" i="4" l="1"/>
  <c r="R372" i="4" s="1"/>
  <c r="Q372" i="4" s="1"/>
  <c r="D382" i="4"/>
  <c r="R382" i="4" s="1"/>
  <c r="Q382" i="4" s="1"/>
  <c r="D501" i="4"/>
  <c r="R501" i="4" s="1"/>
  <c r="Q501" i="4" s="1"/>
  <c r="D511" i="4"/>
  <c r="R511" i="4" s="1"/>
  <c r="Q511" i="4" s="1"/>
  <c r="R368" i="4"/>
  <c r="Q368" i="4" s="1"/>
  <c r="E56" i="4"/>
  <c r="F56" i="4"/>
  <c r="G56" i="4"/>
  <c r="H56" i="4"/>
  <c r="N56" i="4"/>
  <c r="P56" i="4"/>
  <c r="V185" i="4"/>
  <c r="AR185" i="4"/>
  <c r="V56" i="4" l="1"/>
  <c r="S56" i="4"/>
  <c r="AI184" i="4"/>
  <c r="P55" i="4" l="1"/>
  <c r="N55" i="4"/>
  <c r="H55" i="4"/>
  <c r="G55" i="4"/>
  <c r="F55" i="4"/>
  <c r="E55" i="4"/>
  <c r="AR184" i="4"/>
  <c r="V184" i="4"/>
  <c r="V55" i="4" l="1"/>
  <c r="S55" i="4"/>
  <c r="Y184" i="4"/>
  <c r="Y183" i="4"/>
  <c r="C184" i="4"/>
  <c r="C55" i="4" l="1"/>
  <c r="R311" i="4"/>
  <c r="AR183" i="4"/>
  <c r="AR254" i="4" s="1"/>
  <c r="V183" i="4"/>
  <c r="V254" i="4" s="1"/>
  <c r="P54" i="4"/>
  <c r="P125" i="4" s="1"/>
  <c r="N54" i="4"/>
  <c r="N125" i="4" s="1"/>
  <c r="H54" i="4"/>
  <c r="H125" i="4" s="1"/>
  <c r="G54" i="4"/>
  <c r="G125" i="4" s="1"/>
  <c r="F54" i="4"/>
  <c r="F125" i="4" s="1"/>
  <c r="E54" i="4"/>
  <c r="E125" i="4" s="1"/>
  <c r="AL194" i="4"/>
  <c r="AK194" i="4"/>
  <c r="AJ194" i="4"/>
  <c r="AI194" i="4"/>
  <c r="AD194" i="4"/>
  <c r="AC194" i="4"/>
  <c r="AB194" i="4"/>
  <c r="AA194" i="4"/>
  <c r="AL193" i="4"/>
  <c r="AK193" i="4"/>
  <c r="AJ193" i="4"/>
  <c r="AI193" i="4"/>
  <c r="AD193" i="4"/>
  <c r="AD245" i="4" s="1"/>
  <c r="AC193" i="4"/>
  <c r="AB193" i="4"/>
  <c r="AA193" i="4"/>
  <c r="AC191" i="4"/>
  <c r="AL190" i="4"/>
  <c r="AK190" i="4"/>
  <c r="AJ190" i="4"/>
  <c r="AI190" i="4"/>
  <c r="AD190" i="4"/>
  <c r="AC190" i="4"/>
  <c r="AB190" i="4"/>
  <c r="AA190" i="4"/>
  <c r="AL189" i="4"/>
  <c r="AK189" i="4"/>
  <c r="AJ189" i="4"/>
  <c r="AI189" i="4"/>
  <c r="AD189" i="4"/>
  <c r="AC189" i="4"/>
  <c r="AB189" i="4"/>
  <c r="AA189" i="4"/>
  <c r="AL187" i="4"/>
  <c r="AK187" i="4"/>
  <c r="AJ187" i="4"/>
  <c r="AI187" i="4"/>
  <c r="AD187" i="4"/>
  <c r="AC187" i="4"/>
  <c r="AB187" i="4"/>
  <c r="AA187" i="4"/>
  <c r="AL186" i="4"/>
  <c r="AK186" i="4"/>
  <c r="AJ186" i="4"/>
  <c r="AI186" i="4"/>
  <c r="AD186" i="4"/>
  <c r="AC186" i="4"/>
  <c r="AB186" i="4"/>
  <c r="AA186" i="4"/>
  <c r="AL185" i="4"/>
  <c r="AK185" i="4"/>
  <c r="AJ185" i="4"/>
  <c r="AI185" i="4"/>
  <c r="AD185" i="4"/>
  <c r="AC185" i="4"/>
  <c r="AB185" i="4"/>
  <c r="AA185" i="4"/>
  <c r="AL184" i="4"/>
  <c r="AK184" i="4"/>
  <c r="AJ184" i="4"/>
  <c r="AP184" i="4" s="1"/>
  <c r="AD184" i="4"/>
  <c r="AC184" i="4"/>
  <c r="AB184" i="4"/>
  <c r="AA184" i="4"/>
  <c r="AL183" i="4"/>
  <c r="AK183" i="4"/>
  <c r="AJ183" i="4"/>
  <c r="AI183" i="4"/>
  <c r="AD183" i="4"/>
  <c r="AC183" i="4"/>
  <c r="AB183" i="4"/>
  <c r="AA183" i="4"/>
  <c r="Z194" i="4"/>
  <c r="Z193" i="4"/>
  <c r="Z191" i="4"/>
  <c r="D62" i="4" s="1"/>
  <c r="Z190" i="4"/>
  <c r="D61" i="4" s="1"/>
  <c r="Z189" i="4"/>
  <c r="D60" i="4" s="1"/>
  <c r="Z187" i="4"/>
  <c r="Z186" i="4"/>
  <c r="Z185" i="4"/>
  <c r="Z184" i="4"/>
  <c r="Z183" i="4"/>
  <c r="Y194" i="4"/>
  <c r="Y193" i="4"/>
  <c r="Y191" i="4"/>
  <c r="Y190" i="4"/>
  <c r="C61" i="4" s="1"/>
  <c r="Y189" i="4"/>
  <c r="Y187" i="4"/>
  <c r="Y186" i="4"/>
  <c r="Y185" i="4"/>
  <c r="AL245" i="4" l="1"/>
  <c r="AK245" i="4"/>
  <c r="Y254" i="4"/>
  <c r="AC254" i="4"/>
  <c r="AB254" i="4"/>
  <c r="AI254" i="4"/>
  <c r="AA254" i="4"/>
  <c r="Z254" i="4"/>
  <c r="AN254" i="4" s="1"/>
  <c r="AK254" i="4"/>
  <c r="AL254" i="4"/>
  <c r="AD254" i="4"/>
  <c r="AO254" i="4" s="1"/>
  <c r="AJ254" i="4"/>
  <c r="AP254" i="4" s="1"/>
  <c r="AA245" i="4"/>
  <c r="AB245" i="4"/>
  <c r="AI245" i="4"/>
  <c r="V54" i="4"/>
  <c r="AJ245" i="4"/>
  <c r="AC245" i="4"/>
  <c r="AO245" i="4" s="1"/>
  <c r="Y245" i="4"/>
  <c r="Z245" i="4"/>
  <c r="V244" i="4"/>
  <c r="AQ245" i="4"/>
  <c r="AR244" i="4"/>
  <c r="R61" i="4"/>
  <c r="Q61" i="4" s="1"/>
  <c r="AE440" i="4"/>
  <c r="AF440" i="4"/>
  <c r="AG440" i="4"/>
  <c r="AH440" i="4"/>
  <c r="AE698" i="4"/>
  <c r="AF698" i="4"/>
  <c r="AG698" i="4"/>
  <c r="AH698" i="4"/>
  <c r="I311" i="4"/>
  <c r="J311" i="4"/>
  <c r="K311" i="4"/>
  <c r="L311" i="4"/>
  <c r="AM254" i="4" l="1"/>
  <c r="AQ254" i="4"/>
  <c r="I382" i="4"/>
  <c r="W246" i="4"/>
  <c r="AP245" i="4"/>
  <c r="AN245" i="4"/>
  <c r="AM245" i="4" s="1"/>
  <c r="V116" i="4"/>
  <c r="V125" i="4"/>
  <c r="V115" i="4"/>
  <c r="R70" i="4"/>
  <c r="Q70" i="4" s="1"/>
  <c r="AQ567" i="4"/>
  <c r="AP567" i="4"/>
  <c r="AO567" i="4"/>
  <c r="AN567" i="4"/>
  <c r="AH567" i="4"/>
  <c r="AG567" i="4"/>
  <c r="AF567" i="4"/>
  <c r="AE567" i="4"/>
  <c r="AL181" i="4"/>
  <c r="AK181" i="4"/>
  <c r="AJ181" i="4"/>
  <c r="AI181" i="4"/>
  <c r="AD181" i="4"/>
  <c r="AC181" i="4"/>
  <c r="AB181" i="4"/>
  <c r="AA181" i="4"/>
  <c r="Z181" i="4"/>
  <c r="Y181" i="4"/>
  <c r="Z412" i="4"/>
  <c r="Z660" i="4"/>
  <c r="Z765" i="4" s="1"/>
  <c r="AN765" i="4" s="1"/>
  <c r="AM765" i="4" s="1"/>
  <c r="P52" i="4"/>
  <c r="N52" i="4"/>
  <c r="H52" i="4"/>
  <c r="G52" i="4"/>
  <c r="F52" i="4"/>
  <c r="E52" i="4"/>
  <c r="AQ580" i="4"/>
  <c r="AP580" i="4"/>
  <c r="AO580" i="4"/>
  <c r="AN580" i="4"/>
  <c r="AH580" i="4"/>
  <c r="AG580" i="4"/>
  <c r="AF580" i="4"/>
  <c r="AE580" i="4"/>
  <c r="AQ579" i="4"/>
  <c r="AP579" i="4"/>
  <c r="AO579" i="4"/>
  <c r="AN579" i="4"/>
  <c r="AH579" i="4"/>
  <c r="AG579" i="4"/>
  <c r="AF579" i="4"/>
  <c r="AE579" i="4"/>
  <c r="AQ578" i="4"/>
  <c r="AP578" i="4"/>
  <c r="AO578" i="4"/>
  <c r="AN578" i="4"/>
  <c r="AH578" i="4"/>
  <c r="AG578" i="4"/>
  <c r="AF578" i="4"/>
  <c r="AF631" i="4" s="1"/>
  <c r="AE578" i="4"/>
  <c r="AE631" i="4" s="1"/>
  <c r="AQ577" i="4"/>
  <c r="AP577" i="4"/>
  <c r="AO577" i="4"/>
  <c r="AG577" i="4"/>
  <c r="AE577" i="4"/>
  <c r="AN577" i="4"/>
  <c r="AQ576" i="4"/>
  <c r="AP576" i="4"/>
  <c r="AO576" i="4"/>
  <c r="AN576" i="4"/>
  <c r="AG576" i="4"/>
  <c r="AF576" i="4"/>
  <c r="AE576" i="4"/>
  <c r="AH576" i="4"/>
  <c r="AQ575" i="4"/>
  <c r="AP575" i="4"/>
  <c r="AO575" i="4"/>
  <c r="AG575" i="4"/>
  <c r="AE575" i="4"/>
  <c r="AN575" i="4"/>
  <c r="AQ574" i="4"/>
  <c r="AP574" i="4"/>
  <c r="AO574" i="4"/>
  <c r="AG574" i="4"/>
  <c r="AE574" i="4"/>
  <c r="AN574" i="4"/>
  <c r="AQ573" i="4"/>
  <c r="AP573" i="4"/>
  <c r="AO573" i="4"/>
  <c r="AN573" i="4"/>
  <c r="AH573" i="4"/>
  <c r="AG573" i="4"/>
  <c r="AF573" i="4"/>
  <c r="AE573" i="4"/>
  <c r="AQ572" i="4"/>
  <c r="AP572" i="4"/>
  <c r="AO572" i="4"/>
  <c r="AG572" i="4"/>
  <c r="AE572" i="4"/>
  <c r="AH572" i="4"/>
  <c r="AQ571" i="4"/>
  <c r="AP571" i="4"/>
  <c r="AO571" i="4"/>
  <c r="AG571" i="4"/>
  <c r="AE571" i="4"/>
  <c r="AF571" i="4"/>
  <c r="AQ570" i="4"/>
  <c r="AP570" i="4"/>
  <c r="AO570" i="4"/>
  <c r="AH570" i="4"/>
  <c r="AG570" i="4"/>
  <c r="AF570" i="4"/>
  <c r="AE570" i="4"/>
  <c r="AN570" i="4"/>
  <c r="AQ569" i="4"/>
  <c r="AP569" i="4"/>
  <c r="AO569" i="4"/>
  <c r="AG569" i="4"/>
  <c r="AE569" i="4"/>
  <c r="AN569" i="4"/>
  <c r="AQ709" i="4"/>
  <c r="AP709" i="4"/>
  <c r="AO709" i="4"/>
  <c r="AN709" i="4"/>
  <c r="AH709" i="4"/>
  <c r="AG709" i="4"/>
  <c r="AF709" i="4"/>
  <c r="AE709" i="4"/>
  <c r="AQ322" i="4"/>
  <c r="AP322" i="4"/>
  <c r="AO322" i="4"/>
  <c r="AN322" i="4"/>
  <c r="AH322" i="4"/>
  <c r="AG322" i="4"/>
  <c r="AF322" i="4"/>
  <c r="AE322" i="4"/>
  <c r="AQ451" i="4"/>
  <c r="AP451" i="4"/>
  <c r="AO451" i="4"/>
  <c r="AN451" i="4"/>
  <c r="AH451" i="4"/>
  <c r="AG451" i="4"/>
  <c r="AF451" i="4"/>
  <c r="AE451" i="4"/>
  <c r="AQ708" i="4"/>
  <c r="AP708" i="4"/>
  <c r="AO708" i="4"/>
  <c r="AN708" i="4"/>
  <c r="AH708" i="4"/>
  <c r="AG708" i="4"/>
  <c r="AF708" i="4"/>
  <c r="AE708" i="4"/>
  <c r="AQ321" i="4"/>
  <c r="AP321" i="4"/>
  <c r="AO321" i="4"/>
  <c r="AN321" i="4"/>
  <c r="AH321" i="4"/>
  <c r="AG321" i="4"/>
  <c r="AF321" i="4"/>
  <c r="AE321" i="4"/>
  <c r="AQ450" i="4"/>
  <c r="AP450" i="4"/>
  <c r="AO450" i="4"/>
  <c r="AN450" i="4"/>
  <c r="AH450" i="4"/>
  <c r="AG450" i="4"/>
  <c r="AF450" i="4"/>
  <c r="AE450" i="4"/>
  <c r="AQ707" i="4"/>
  <c r="AP707" i="4"/>
  <c r="AO707" i="4"/>
  <c r="AN707" i="4"/>
  <c r="AH707" i="4"/>
  <c r="AH760" i="4" s="1"/>
  <c r="AG707" i="4"/>
  <c r="AG760" i="4" s="1"/>
  <c r="AF707" i="4"/>
  <c r="AE707" i="4"/>
  <c r="AE760" i="4" s="1"/>
  <c r="AQ320" i="4"/>
  <c r="AP320" i="4"/>
  <c r="AO320" i="4"/>
  <c r="AN320" i="4"/>
  <c r="AH320" i="4"/>
  <c r="AH373" i="4" s="1"/>
  <c r="AG320" i="4"/>
  <c r="AF320" i="4"/>
  <c r="AF373" i="4" s="1"/>
  <c r="AE320" i="4"/>
  <c r="AE373" i="4" s="1"/>
  <c r="AQ449" i="4"/>
  <c r="AP449" i="4"/>
  <c r="AO449" i="4"/>
  <c r="AN449" i="4"/>
  <c r="AH449" i="4"/>
  <c r="AG449" i="4"/>
  <c r="AF449" i="4"/>
  <c r="AE449" i="4"/>
  <c r="AE502" i="4" s="1"/>
  <c r="AQ706" i="4"/>
  <c r="AP706" i="4"/>
  <c r="AO706" i="4"/>
  <c r="AN706" i="4"/>
  <c r="AH706" i="4"/>
  <c r="AG706" i="4"/>
  <c r="AF706" i="4"/>
  <c r="AE706" i="4"/>
  <c r="AQ319" i="4"/>
  <c r="AP319" i="4"/>
  <c r="AO319" i="4"/>
  <c r="AG319" i="4"/>
  <c r="AF319" i="4"/>
  <c r="AE319" i="4"/>
  <c r="AN319" i="4"/>
  <c r="AQ448" i="4"/>
  <c r="AP448" i="4"/>
  <c r="AO448" i="4"/>
  <c r="AH448" i="4"/>
  <c r="AG448" i="4"/>
  <c r="AE448" i="4"/>
  <c r="AF448" i="4"/>
  <c r="AQ705" i="4"/>
  <c r="AP705" i="4"/>
  <c r="AO705" i="4"/>
  <c r="AH705" i="4"/>
  <c r="AG705" i="4"/>
  <c r="AE705" i="4"/>
  <c r="AN705" i="4"/>
  <c r="AQ318" i="4"/>
  <c r="AP318" i="4"/>
  <c r="AO318" i="4"/>
  <c r="AG318" i="4"/>
  <c r="AE318" i="4"/>
  <c r="AN318" i="4"/>
  <c r="AQ447" i="4"/>
  <c r="AP447" i="4"/>
  <c r="AO447" i="4"/>
  <c r="AG447" i="4"/>
  <c r="AE447" i="4"/>
  <c r="AN447" i="4"/>
  <c r="AQ704" i="4"/>
  <c r="AP704" i="4"/>
  <c r="AO704" i="4"/>
  <c r="AH704" i="4"/>
  <c r="AG704" i="4"/>
  <c r="AE704" i="4"/>
  <c r="AQ317" i="4"/>
  <c r="AP317" i="4"/>
  <c r="AO317" i="4"/>
  <c r="AN317" i="4"/>
  <c r="AH317" i="4"/>
  <c r="AG317" i="4"/>
  <c r="AF317" i="4"/>
  <c r="AE317" i="4"/>
  <c r="AQ446" i="4"/>
  <c r="AP446" i="4"/>
  <c r="AO446" i="4"/>
  <c r="AN446" i="4"/>
  <c r="AG446" i="4"/>
  <c r="AF446" i="4"/>
  <c r="AE446" i="4"/>
  <c r="AH446" i="4"/>
  <c r="AQ703" i="4"/>
  <c r="AP703" i="4"/>
  <c r="AO703" i="4"/>
  <c r="AG703" i="4"/>
  <c r="AE703" i="4"/>
  <c r="AN703" i="4"/>
  <c r="AQ316" i="4"/>
  <c r="AP316" i="4"/>
  <c r="AO316" i="4"/>
  <c r="AN316" i="4"/>
  <c r="AH316" i="4"/>
  <c r="AG316" i="4"/>
  <c r="AF316" i="4"/>
  <c r="AE316" i="4"/>
  <c r="AQ445" i="4"/>
  <c r="AP445" i="4"/>
  <c r="AO445" i="4"/>
  <c r="AG445" i="4"/>
  <c r="AF445" i="4"/>
  <c r="AE445" i="4"/>
  <c r="AN445" i="4"/>
  <c r="AQ702" i="4"/>
  <c r="AP702" i="4"/>
  <c r="AO702" i="4"/>
  <c r="AN702" i="4"/>
  <c r="AH702" i="4"/>
  <c r="AG702" i="4"/>
  <c r="AF702" i="4"/>
  <c r="AE702" i="4"/>
  <c r="AQ315" i="4"/>
  <c r="AP315" i="4"/>
  <c r="AO315" i="4"/>
  <c r="AN315" i="4"/>
  <c r="AH315" i="4"/>
  <c r="AG315" i="4"/>
  <c r="AF315" i="4"/>
  <c r="AE315" i="4"/>
  <c r="AQ444" i="4"/>
  <c r="AP444" i="4"/>
  <c r="AO444" i="4"/>
  <c r="AN444" i="4"/>
  <c r="AH444" i="4"/>
  <c r="AG444" i="4"/>
  <c r="AF444" i="4"/>
  <c r="AE444" i="4"/>
  <c r="AQ701" i="4"/>
  <c r="AP701" i="4"/>
  <c r="AO701" i="4"/>
  <c r="AG701" i="4"/>
  <c r="AE701" i="4"/>
  <c r="AN701" i="4"/>
  <c r="AQ314" i="4"/>
  <c r="AP314" i="4"/>
  <c r="AO314" i="4"/>
  <c r="AG314" i="4"/>
  <c r="AE314" i="4"/>
  <c r="AN314" i="4"/>
  <c r="AQ443" i="4"/>
  <c r="AP443" i="4"/>
  <c r="AO443" i="4"/>
  <c r="AN443" i="4"/>
  <c r="AG443" i="4"/>
  <c r="AF443" i="4"/>
  <c r="AE443" i="4"/>
  <c r="AH443" i="4"/>
  <c r="AQ700" i="4"/>
  <c r="AP700" i="4"/>
  <c r="AO700" i="4"/>
  <c r="AN700" i="4"/>
  <c r="AH700" i="4"/>
  <c r="AG700" i="4"/>
  <c r="AF700" i="4"/>
  <c r="AE700" i="4"/>
  <c r="AQ313" i="4"/>
  <c r="AP313" i="4"/>
  <c r="AO313" i="4"/>
  <c r="AN313" i="4"/>
  <c r="AH313" i="4"/>
  <c r="AG313" i="4"/>
  <c r="AF313" i="4"/>
  <c r="AE313" i="4"/>
  <c r="AQ442" i="4"/>
  <c r="AP442" i="4"/>
  <c r="AO442" i="4"/>
  <c r="AN442" i="4"/>
  <c r="AH442" i="4"/>
  <c r="AG442" i="4"/>
  <c r="AF442" i="4"/>
  <c r="AE442" i="4"/>
  <c r="AQ699" i="4"/>
  <c r="AP699" i="4"/>
  <c r="AO699" i="4"/>
  <c r="AN699" i="4"/>
  <c r="AH699" i="4"/>
  <c r="AG699" i="4"/>
  <c r="AG769" i="4" s="1"/>
  <c r="AF699" i="4"/>
  <c r="AE699" i="4"/>
  <c r="AE769" i="4" s="1"/>
  <c r="AQ312" i="4"/>
  <c r="AP312" i="4"/>
  <c r="AO312" i="4"/>
  <c r="AG312" i="4"/>
  <c r="AF312" i="4"/>
  <c r="AE312" i="4"/>
  <c r="AN312" i="4"/>
  <c r="AQ441" i="4"/>
  <c r="AP441" i="4"/>
  <c r="AO441" i="4"/>
  <c r="AH441" i="4"/>
  <c r="AG441" i="4"/>
  <c r="AE441" i="4"/>
  <c r="AF441" i="4"/>
  <c r="AQ698" i="4"/>
  <c r="AP698" i="4"/>
  <c r="AO698" i="4"/>
  <c r="AN698" i="4"/>
  <c r="AQ311" i="4"/>
  <c r="AP311" i="4"/>
  <c r="AO311" i="4"/>
  <c r="AG311" i="4"/>
  <c r="AG382" i="4" s="1"/>
  <c r="AE311" i="4"/>
  <c r="AN311" i="4"/>
  <c r="AQ440" i="4"/>
  <c r="AP440" i="4"/>
  <c r="AO440" i="4"/>
  <c r="AN440" i="4"/>
  <c r="P194" i="4"/>
  <c r="O194" i="4"/>
  <c r="O65" i="4" s="1"/>
  <c r="N194" i="4"/>
  <c r="M194" i="4"/>
  <c r="M65" i="4" s="1"/>
  <c r="H194" i="4"/>
  <c r="G194" i="4"/>
  <c r="F194" i="4"/>
  <c r="E194" i="4"/>
  <c r="D194" i="4"/>
  <c r="C194" i="4"/>
  <c r="U580" i="4"/>
  <c r="T580" i="4"/>
  <c r="S580" i="4"/>
  <c r="R580" i="4"/>
  <c r="L580" i="4"/>
  <c r="K580" i="4"/>
  <c r="J580" i="4"/>
  <c r="I580" i="4"/>
  <c r="U451" i="4"/>
  <c r="T451" i="4"/>
  <c r="S451" i="4"/>
  <c r="R451" i="4"/>
  <c r="L451" i="4"/>
  <c r="K451" i="4"/>
  <c r="I451" i="4"/>
  <c r="L322" i="4"/>
  <c r="K322" i="4"/>
  <c r="J322" i="4"/>
  <c r="I322" i="4"/>
  <c r="P193" i="4"/>
  <c r="O193" i="4"/>
  <c r="N193" i="4"/>
  <c r="M193" i="4"/>
  <c r="M64" i="4" s="1"/>
  <c r="H193" i="4"/>
  <c r="G193" i="4"/>
  <c r="F193" i="4"/>
  <c r="E193" i="4"/>
  <c r="D193" i="4"/>
  <c r="C193" i="4"/>
  <c r="U579" i="4"/>
  <c r="T579" i="4"/>
  <c r="S579" i="4"/>
  <c r="R579" i="4"/>
  <c r="L579" i="4"/>
  <c r="K579" i="4"/>
  <c r="J579" i="4"/>
  <c r="I579" i="4"/>
  <c r="U450" i="4"/>
  <c r="T450" i="4"/>
  <c r="S450" i="4"/>
  <c r="R450" i="4"/>
  <c r="L450" i="4"/>
  <c r="K450" i="4"/>
  <c r="J450" i="4"/>
  <c r="I450" i="4"/>
  <c r="L321" i="4"/>
  <c r="K321" i="4"/>
  <c r="J321" i="4"/>
  <c r="I321" i="4"/>
  <c r="P192" i="4"/>
  <c r="O192" i="4"/>
  <c r="O63" i="4" s="1"/>
  <c r="U578" i="4"/>
  <c r="T578" i="4"/>
  <c r="S578" i="4"/>
  <c r="R578" i="4"/>
  <c r="L578" i="4"/>
  <c r="K578" i="4"/>
  <c r="J578" i="4"/>
  <c r="I578" i="4"/>
  <c r="U449" i="4"/>
  <c r="T449" i="4"/>
  <c r="S449" i="4"/>
  <c r="R449" i="4"/>
  <c r="L449" i="4"/>
  <c r="K449" i="4"/>
  <c r="J449" i="4"/>
  <c r="I449" i="4"/>
  <c r="L320" i="4"/>
  <c r="K320" i="4"/>
  <c r="J320" i="4"/>
  <c r="I320" i="4"/>
  <c r="P191" i="4"/>
  <c r="O191" i="4"/>
  <c r="N191" i="4"/>
  <c r="M191" i="4"/>
  <c r="H191" i="4"/>
  <c r="G191" i="4"/>
  <c r="F191" i="4"/>
  <c r="E191" i="4"/>
  <c r="C191" i="4"/>
  <c r="C62" i="4" s="1"/>
  <c r="U577" i="4"/>
  <c r="T577" i="4"/>
  <c r="S577" i="4"/>
  <c r="L577" i="4"/>
  <c r="K577" i="4"/>
  <c r="I577" i="4"/>
  <c r="R577" i="4"/>
  <c r="U448" i="4"/>
  <c r="T448" i="4"/>
  <c r="S448" i="4"/>
  <c r="R448" i="4"/>
  <c r="L448" i="4"/>
  <c r="K448" i="4"/>
  <c r="I448" i="4"/>
  <c r="J448" i="4"/>
  <c r="K319" i="4"/>
  <c r="I319" i="4"/>
  <c r="U576" i="4"/>
  <c r="T576" i="4"/>
  <c r="S576" i="4"/>
  <c r="R576" i="4"/>
  <c r="K576" i="4"/>
  <c r="I576" i="4"/>
  <c r="L576" i="4"/>
  <c r="U447" i="4"/>
  <c r="T447" i="4"/>
  <c r="S447" i="4"/>
  <c r="R447" i="4"/>
  <c r="U318" i="4"/>
  <c r="T318" i="4"/>
  <c r="S318" i="4"/>
  <c r="U60" i="4"/>
  <c r="T60" i="4"/>
  <c r="C189" i="4"/>
  <c r="C60" i="4" s="1"/>
  <c r="U575" i="4"/>
  <c r="T575" i="4"/>
  <c r="S575" i="4"/>
  <c r="L575" i="4"/>
  <c r="K575" i="4"/>
  <c r="I575" i="4"/>
  <c r="U446" i="4"/>
  <c r="T446" i="4"/>
  <c r="S446" i="4"/>
  <c r="R446" i="4"/>
  <c r="L446" i="4"/>
  <c r="K446" i="4"/>
  <c r="J446" i="4"/>
  <c r="I446" i="4"/>
  <c r="U317" i="4"/>
  <c r="T317" i="4"/>
  <c r="S317" i="4"/>
  <c r="L317" i="4"/>
  <c r="K317" i="4"/>
  <c r="J317" i="4"/>
  <c r="I317" i="4"/>
  <c r="R317" i="4"/>
  <c r="U574" i="4"/>
  <c r="T574" i="4"/>
  <c r="S574" i="4"/>
  <c r="R574" i="4"/>
  <c r="L574" i="4"/>
  <c r="K574" i="4"/>
  <c r="I574" i="4"/>
  <c r="U445" i="4"/>
  <c r="T445" i="4"/>
  <c r="S445" i="4"/>
  <c r="K445" i="4"/>
  <c r="I445" i="4"/>
  <c r="R445" i="4"/>
  <c r="U316" i="4"/>
  <c r="T316" i="4"/>
  <c r="S316" i="4"/>
  <c r="R316" i="4"/>
  <c r="K316" i="4"/>
  <c r="I316" i="4"/>
  <c r="L316" i="4"/>
  <c r="P187" i="4"/>
  <c r="O187" i="4"/>
  <c r="N187" i="4"/>
  <c r="M187" i="4"/>
  <c r="M58" i="4" s="1"/>
  <c r="H187" i="4"/>
  <c r="G187" i="4"/>
  <c r="F187" i="4"/>
  <c r="E187" i="4"/>
  <c r="D187" i="4"/>
  <c r="D58" i="4" s="1"/>
  <c r="C187" i="4"/>
  <c r="C58" i="4" s="1"/>
  <c r="U573" i="4"/>
  <c r="T573" i="4"/>
  <c r="S573" i="4"/>
  <c r="R573" i="4"/>
  <c r="L573" i="4"/>
  <c r="K573" i="4"/>
  <c r="J573" i="4"/>
  <c r="I573" i="4"/>
  <c r="U444" i="4"/>
  <c r="T444" i="4"/>
  <c r="S444" i="4"/>
  <c r="R444" i="4"/>
  <c r="L444" i="4"/>
  <c r="K444" i="4"/>
  <c r="J444" i="4"/>
  <c r="I444" i="4"/>
  <c r="U315" i="4"/>
  <c r="T315" i="4"/>
  <c r="S315" i="4"/>
  <c r="R315" i="4"/>
  <c r="L315" i="4"/>
  <c r="K315" i="4"/>
  <c r="J315" i="4"/>
  <c r="I315" i="4"/>
  <c r="P186" i="4"/>
  <c r="O186" i="4"/>
  <c r="N186" i="4"/>
  <c r="M186" i="4"/>
  <c r="H186" i="4"/>
  <c r="G186" i="4"/>
  <c r="F186" i="4"/>
  <c r="E186" i="4"/>
  <c r="D186" i="4"/>
  <c r="D57" i="4" s="1"/>
  <c r="C186" i="4"/>
  <c r="C57" i="4" s="1"/>
  <c r="U572" i="4"/>
  <c r="T572" i="4"/>
  <c r="S572" i="4"/>
  <c r="J572" i="4"/>
  <c r="I572" i="4"/>
  <c r="R572" i="4"/>
  <c r="U443" i="4"/>
  <c r="T443" i="4"/>
  <c r="S443" i="4"/>
  <c r="K443" i="4"/>
  <c r="I443" i="4"/>
  <c r="J443" i="4"/>
  <c r="U314" i="4"/>
  <c r="T314" i="4"/>
  <c r="S314" i="4"/>
  <c r="L314" i="4"/>
  <c r="K314" i="4"/>
  <c r="I314" i="4"/>
  <c r="J314" i="4"/>
  <c r="P185" i="4"/>
  <c r="O185" i="4"/>
  <c r="O56" i="4" s="1"/>
  <c r="U56" i="4" s="1"/>
  <c r="N185" i="4"/>
  <c r="M185" i="4"/>
  <c r="M56" i="4" s="1"/>
  <c r="T56" i="4" s="1"/>
  <c r="H185" i="4"/>
  <c r="G185" i="4"/>
  <c r="F185" i="4"/>
  <c r="E185" i="4"/>
  <c r="C185" i="4"/>
  <c r="C56" i="4" s="1"/>
  <c r="U571" i="4"/>
  <c r="T571" i="4"/>
  <c r="S571" i="4"/>
  <c r="R571" i="4"/>
  <c r="L571" i="4"/>
  <c r="K571" i="4"/>
  <c r="J571" i="4"/>
  <c r="I571" i="4"/>
  <c r="U442" i="4"/>
  <c r="T442" i="4"/>
  <c r="S442" i="4"/>
  <c r="R442" i="4"/>
  <c r="L442" i="4"/>
  <c r="K442" i="4"/>
  <c r="J442" i="4"/>
  <c r="I442" i="4"/>
  <c r="U313" i="4"/>
  <c r="T313" i="4"/>
  <c r="S313" i="4"/>
  <c r="R313" i="4"/>
  <c r="L313" i="4"/>
  <c r="K313" i="4"/>
  <c r="I313" i="4"/>
  <c r="D185" i="4"/>
  <c r="D56" i="4" s="1"/>
  <c r="P184" i="4"/>
  <c r="O184" i="4"/>
  <c r="O55" i="4" s="1"/>
  <c r="U55" i="4" s="1"/>
  <c r="N184" i="4"/>
  <c r="M184" i="4"/>
  <c r="M55" i="4" s="1"/>
  <c r="H184" i="4"/>
  <c r="G184" i="4"/>
  <c r="F184" i="4"/>
  <c r="E184" i="4"/>
  <c r="U570" i="4"/>
  <c r="T570" i="4"/>
  <c r="S570" i="4"/>
  <c r="K570" i="4"/>
  <c r="I570" i="4"/>
  <c r="R570" i="4"/>
  <c r="U441" i="4"/>
  <c r="T441" i="4"/>
  <c r="S441" i="4"/>
  <c r="R441" i="4"/>
  <c r="K441" i="4"/>
  <c r="I441" i="4"/>
  <c r="L441" i="4"/>
  <c r="U312" i="4"/>
  <c r="T312" i="4"/>
  <c r="S312" i="4"/>
  <c r="K312" i="4"/>
  <c r="K382" i="4" s="1"/>
  <c r="J312" i="4"/>
  <c r="I312" i="4"/>
  <c r="R312" i="4"/>
  <c r="P183" i="4"/>
  <c r="O183" i="4"/>
  <c r="N183" i="4"/>
  <c r="M183" i="4"/>
  <c r="H183" i="4"/>
  <c r="G183" i="4"/>
  <c r="F183" i="4"/>
  <c r="E183" i="4"/>
  <c r="C183" i="4"/>
  <c r="U569" i="4"/>
  <c r="T569" i="4"/>
  <c r="S569" i="4"/>
  <c r="L569" i="4"/>
  <c r="K569" i="4"/>
  <c r="I569" i="4"/>
  <c r="D183" i="4"/>
  <c r="U440" i="4"/>
  <c r="T440" i="4"/>
  <c r="S440" i="4"/>
  <c r="R440" i="4"/>
  <c r="L440" i="4"/>
  <c r="K440" i="4"/>
  <c r="J440" i="4"/>
  <c r="I440" i="4"/>
  <c r="U311" i="4"/>
  <c r="T311" i="4"/>
  <c r="S311" i="4"/>
  <c r="E53" i="4"/>
  <c r="F53" i="4"/>
  <c r="G53" i="4"/>
  <c r="H53" i="4"/>
  <c r="N53" i="4"/>
  <c r="P53" i="4"/>
  <c r="Z182" i="4"/>
  <c r="AB182" i="4"/>
  <c r="AD182" i="4"/>
  <c r="AJ182" i="4"/>
  <c r="AL182" i="4"/>
  <c r="P182" i="4"/>
  <c r="O182" i="4"/>
  <c r="N182" i="4"/>
  <c r="M182" i="4"/>
  <c r="H182" i="4"/>
  <c r="F182" i="4"/>
  <c r="D182" i="4"/>
  <c r="AH439" i="4"/>
  <c r="AG439" i="4"/>
  <c r="AE439" i="4"/>
  <c r="AF439" i="4"/>
  <c r="AN439" i="4"/>
  <c r="AO439" i="4"/>
  <c r="AP439" i="4"/>
  <c r="AQ439" i="4"/>
  <c r="AH310" i="4"/>
  <c r="AG310" i="4"/>
  <c r="AE310" i="4"/>
  <c r="AF310" i="4"/>
  <c r="AN310" i="4"/>
  <c r="AO310" i="4"/>
  <c r="AP310" i="4"/>
  <c r="AQ310" i="4"/>
  <c r="AH697" i="4"/>
  <c r="AG697" i="4"/>
  <c r="AE697" i="4"/>
  <c r="AF697" i="4"/>
  <c r="AN697" i="4"/>
  <c r="AO697" i="4"/>
  <c r="AP697" i="4"/>
  <c r="AQ697" i="4"/>
  <c r="R568" i="4"/>
  <c r="S568" i="4"/>
  <c r="T568" i="4"/>
  <c r="U568" i="4"/>
  <c r="I568" i="4"/>
  <c r="J568" i="4"/>
  <c r="R439" i="4"/>
  <c r="S439" i="4"/>
  <c r="T439" i="4"/>
  <c r="U439" i="4"/>
  <c r="K439" i="4"/>
  <c r="L439" i="4"/>
  <c r="J439" i="4"/>
  <c r="I439" i="4"/>
  <c r="R310" i="4"/>
  <c r="S310" i="4"/>
  <c r="T310" i="4"/>
  <c r="U310" i="4"/>
  <c r="L310" i="4"/>
  <c r="K310" i="4"/>
  <c r="I310" i="4"/>
  <c r="J310" i="4"/>
  <c r="AH568" i="4"/>
  <c r="AG568" i="4"/>
  <c r="AE568" i="4"/>
  <c r="AF568" i="4"/>
  <c r="AE511" i="4" l="1"/>
  <c r="AG511" i="4"/>
  <c r="M254" i="4"/>
  <c r="N254" i="4"/>
  <c r="T254" i="4"/>
  <c r="K640" i="4"/>
  <c r="O254" i="4"/>
  <c r="I640" i="4"/>
  <c r="P254" i="4"/>
  <c r="AE640" i="4"/>
  <c r="K511" i="4"/>
  <c r="C254" i="4"/>
  <c r="E254" i="4"/>
  <c r="I511" i="4"/>
  <c r="F254" i="4"/>
  <c r="AG631" i="4"/>
  <c r="AG640" i="4"/>
  <c r="G254" i="4"/>
  <c r="H254" i="4"/>
  <c r="AE382" i="4"/>
  <c r="AG502" i="4"/>
  <c r="AH502" i="4"/>
  <c r="J502" i="4"/>
  <c r="G245" i="4"/>
  <c r="AF502" i="4"/>
  <c r="AH631" i="4"/>
  <c r="AF760" i="4"/>
  <c r="J631" i="4"/>
  <c r="P245" i="4"/>
  <c r="AG373" i="4"/>
  <c r="I502" i="4"/>
  <c r="I631" i="4"/>
  <c r="E245" i="4"/>
  <c r="O58" i="4"/>
  <c r="U58" i="4" s="1"/>
  <c r="O62" i="4"/>
  <c r="U62" i="4" s="1"/>
  <c r="M116" i="4"/>
  <c r="T116" i="4" s="1"/>
  <c r="O64" i="4"/>
  <c r="U64" i="4" s="1"/>
  <c r="M62" i="4"/>
  <c r="T62" i="4" s="1"/>
  <c r="K630" i="4"/>
  <c r="L631" i="4"/>
  <c r="K631" i="4"/>
  <c r="K502" i="4"/>
  <c r="L502" i="4"/>
  <c r="I373" i="4"/>
  <c r="T64" i="4"/>
  <c r="M245" i="4"/>
  <c r="O245" i="4"/>
  <c r="H245" i="4"/>
  <c r="J373" i="4"/>
  <c r="N245" i="4"/>
  <c r="F245" i="4"/>
  <c r="K373" i="4"/>
  <c r="C64" i="4"/>
  <c r="C245" i="4"/>
  <c r="L373" i="4"/>
  <c r="D64" i="4"/>
  <c r="D245" i="4"/>
  <c r="K58" i="4"/>
  <c r="AP198" i="4"/>
  <c r="AO198" i="4"/>
  <c r="T69" i="4"/>
  <c r="AQ198" i="4"/>
  <c r="J58" i="4"/>
  <c r="L63" i="4"/>
  <c r="L58" i="4"/>
  <c r="I192" i="4"/>
  <c r="J192" i="4"/>
  <c r="AE192" i="4"/>
  <c r="U69" i="4"/>
  <c r="K192" i="4"/>
  <c r="R56" i="4"/>
  <c r="Q56" i="4" s="1"/>
  <c r="I64" i="4"/>
  <c r="I57" i="4"/>
  <c r="R60" i="4"/>
  <c r="Q60" i="4" s="1"/>
  <c r="AE191" i="4"/>
  <c r="AF194" i="4"/>
  <c r="K62" i="4"/>
  <c r="L192" i="4"/>
  <c r="AG192" i="4"/>
  <c r="T55" i="4"/>
  <c r="R57" i="4"/>
  <c r="Q57" i="4" s="1"/>
  <c r="I188" i="4"/>
  <c r="I60" i="4"/>
  <c r="K189" i="4"/>
  <c r="I190" i="4"/>
  <c r="I61" i="4"/>
  <c r="I63" i="4"/>
  <c r="K64" i="4"/>
  <c r="AH192" i="4"/>
  <c r="I62" i="4"/>
  <c r="I189" i="4"/>
  <c r="J64" i="4"/>
  <c r="AG191" i="4"/>
  <c r="I58" i="4"/>
  <c r="K188" i="4"/>
  <c r="L189" i="4"/>
  <c r="K190" i="4"/>
  <c r="K61" i="4"/>
  <c r="J63" i="4"/>
  <c r="L64" i="4"/>
  <c r="AE188" i="4"/>
  <c r="I59" i="4"/>
  <c r="K59" i="4"/>
  <c r="AF192" i="4"/>
  <c r="L190" i="4"/>
  <c r="R62" i="4"/>
  <c r="Q62" i="4" s="1"/>
  <c r="K60" i="4"/>
  <c r="K63" i="4"/>
  <c r="AG188" i="4"/>
  <c r="I65" i="4"/>
  <c r="J65" i="4"/>
  <c r="K65" i="4"/>
  <c r="L65" i="4"/>
  <c r="C65" i="4"/>
  <c r="D65" i="4"/>
  <c r="AF193" i="4"/>
  <c r="K57" i="4"/>
  <c r="AF187" i="4"/>
  <c r="AG190" i="4"/>
  <c r="R58" i="4"/>
  <c r="Q58" i="4" s="1"/>
  <c r="AF184" i="4"/>
  <c r="AG189" i="4"/>
  <c r="I56" i="4"/>
  <c r="K56" i="4"/>
  <c r="K55" i="4"/>
  <c r="AF185" i="4"/>
  <c r="I55" i="4"/>
  <c r="AE186" i="4"/>
  <c r="AH187" i="4"/>
  <c r="AG187" i="4"/>
  <c r="AE184" i="4"/>
  <c r="AE185" i="4"/>
  <c r="AG186" i="4"/>
  <c r="AE193" i="4"/>
  <c r="AE194" i="4"/>
  <c r="AG184" i="4"/>
  <c r="AG185" i="4"/>
  <c r="AG193" i="4"/>
  <c r="AG194" i="4"/>
  <c r="AG183" i="4"/>
  <c r="AH193" i="4"/>
  <c r="AH194" i="4"/>
  <c r="AE189" i="4"/>
  <c r="AE187" i="4"/>
  <c r="AE190" i="4"/>
  <c r="K54" i="4"/>
  <c r="AE183" i="4"/>
  <c r="I54" i="4"/>
  <c r="O54" i="4"/>
  <c r="C54" i="4"/>
  <c r="D54" i="4"/>
  <c r="M54" i="4"/>
  <c r="AQ187" i="4"/>
  <c r="AN187" i="4"/>
  <c r="AN194" i="4"/>
  <c r="R186" i="4"/>
  <c r="U186" i="4"/>
  <c r="S190" i="4"/>
  <c r="R193" i="4"/>
  <c r="AQ194" i="4"/>
  <c r="AQ186" i="4"/>
  <c r="AO187" i="4"/>
  <c r="AP189" i="4"/>
  <c r="AN192" i="4"/>
  <c r="AP193" i="4"/>
  <c r="AO194" i="4"/>
  <c r="AH571" i="4"/>
  <c r="AH185" i="4" s="1"/>
  <c r="AN572" i="4"/>
  <c r="AH574" i="4"/>
  <c r="AN571" i="4"/>
  <c r="T192" i="4"/>
  <c r="AQ193" i="4"/>
  <c r="AP194" i="4"/>
  <c r="AN189" i="4"/>
  <c r="AO186" i="4"/>
  <c r="AO189" i="4"/>
  <c r="AQ190" i="4"/>
  <c r="AN191" i="4"/>
  <c r="AQ191" i="4"/>
  <c r="AP192" i="4"/>
  <c r="AO193" i="4"/>
  <c r="AF574" i="4"/>
  <c r="AF575" i="4"/>
  <c r="S183" i="4"/>
  <c r="I193" i="4"/>
  <c r="AP187" i="4"/>
  <c r="AQ192" i="4"/>
  <c r="AH575" i="4"/>
  <c r="L60" i="4" s="1"/>
  <c r="AF577" i="4"/>
  <c r="AF191" i="4" s="1"/>
  <c r="U192" i="4"/>
  <c r="AQ189" i="4"/>
  <c r="AO190" i="4"/>
  <c r="AO191" i="4"/>
  <c r="AF569" i="4"/>
  <c r="AH577" i="4"/>
  <c r="AP190" i="4"/>
  <c r="AP191" i="4"/>
  <c r="AO192" i="4"/>
  <c r="AN193" i="4"/>
  <c r="AH569" i="4"/>
  <c r="AF572" i="4"/>
  <c r="AP186" i="4"/>
  <c r="AN441" i="4"/>
  <c r="AH312" i="4"/>
  <c r="AF314" i="4"/>
  <c r="AH445" i="4"/>
  <c r="AF703" i="4"/>
  <c r="AN704" i="4"/>
  <c r="AF447" i="4"/>
  <c r="AF511" i="4" s="1"/>
  <c r="AN448" i="4"/>
  <c r="AH319" i="4"/>
  <c r="AH191" i="4" s="1"/>
  <c r="AF311" i="4"/>
  <c r="AF382" i="4" s="1"/>
  <c r="AF701" i="4"/>
  <c r="AF769" i="4" s="1"/>
  <c r="AF318" i="4"/>
  <c r="S187" i="4"/>
  <c r="AH314" i="4"/>
  <c r="AH703" i="4"/>
  <c r="AH447" i="4"/>
  <c r="AF705" i="4"/>
  <c r="AN190" i="4"/>
  <c r="T185" i="4"/>
  <c r="AH311" i="4"/>
  <c r="AH701" i="4"/>
  <c r="AH769" i="4" s="1"/>
  <c r="AH318" i="4"/>
  <c r="U189" i="4"/>
  <c r="U184" i="4"/>
  <c r="AF704" i="4"/>
  <c r="I183" i="4"/>
  <c r="S184" i="4"/>
  <c r="L185" i="4"/>
  <c r="S186" i="4"/>
  <c r="S191" i="4"/>
  <c r="S192" i="4"/>
  <c r="S53" i="4"/>
  <c r="T193" i="4"/>
  <c r="T194" i="4"/>
  <c r="I187" i="4"/>
  <c r="AH182" i="4"/>
  <c r="U183" i="4"/>
  <c r="R187" i="4"/>
  <c r="T190" i="4"/>
  <c r="R194" i="4"/>
  <c r="U194" i="4"/>
  <c r="K194" i="4"/>
  <c r="I184" i="4"/>
  <c r="I186" i="4"/>
  <c r="K186" i="4"/>
  <c r="K187" i="4"/>
  <c r="U187" i="4"/>
  <c r="S189" i="4"/>
  <c r="T191" i="4"/>
  <c r="S193" i="4"/>
  <c r="K53" i="4"/>
  <c r="K183" i="4"/>
  <c r="S185" i="4"/>
  <c r="T189" i="4"/>
  <c r="U191" i="4"/>
  <c r="S194" i="4"/>
  <c r="T184" i="4"/>
  <c r="AF182" i="4"/>
  <c r="I191" i="4"/>
  <c r="AE182" i="4"/>
  <c r="T183" i="4"/>
  <c r="U190" i="4"/>
  <c r="K191" i="4"/>
  <c r="K193" i="4"/>
  <c r="U193" i="4"/>
  <c r="I194" i="4"/>
  <c r="AG182" i="4"/>
  <c r="L193" i="4"/>
  <c r="L53" i="4"/>
  <c r="I182" i="4"/>
  <c r="U185" i="4"/>
  <c r="T187" i="4"/>
  <c r="T186" i="4"/>
  <c r="J193" i="4"/>
  <c r="L194" i="4"/>
  <c r="L183" i="4"/>
  <c r="L187" i="4"/>
  <c r="J187" i="4"/>
  <c r="J194" i="4"/>
  <c r="R185" i="4"/>
  <c r="J186" i="4"/>
  <c r="R183" i="4"/>
  <c r="R189" i="4"/>
  <c r="R569" i="4"/>
  <c r="J441" i="4"/>
  <c r="J511" i="4" s="1"/>
  <c r="K184" i="4"/>
  <c r="R314" i="4"/>
  <c r="L443" i="4"/>
  <c r="J316" i="4"/>
  <c r="R575" i="4"/>
  <c r="J576" i="4"/>
  <c r="R192" i="4"/>
  <c r="L182" i="4"/>
  <c r="L312" i="4"/>
  <c r="L382" i="4" s="1"/>
  <c r="J570" i="4"/>
  <c r="D184" i="4"/>
  <c r="D55" i="4" s="1"/>
  <c r="I185" i="4"/>
  <c r="R443" i="4"/>
  <c r="J445" i="4"/>
  <c r="R318" i="4"/>
  <c r="J319" i="4"/>
  <c r="J313" i="4"/>
  <c r="J382" i="4" s="1"/>
  <c r="T58" i="4"/>
  <c r="J574" i="4"/>
  <c r="T182" i="4"/>
  <c r="L570" i="4"/>
  <c r="L630" i="4" s="1"/>
  <c r="K185" i="4"/>
  <c r="L445" i="4"/>
  <c r="L319" i="4"/>
  <c r="J577" i="4"/>
  <c r="D53" i="4"/>
  <c r="J569" i="4"/>
  <c r="J575" i="4"/>
  <c r="I53" i="4"/>
  <c r="K182" i="4"/>
  <c r="J53" i="4"/>
  <c r="J182" i="4"/>
  <c r="U182" i="4"/>
  <c r="AN568" i="4"/>
  <c r="AO568" i="4"/>
  <c r="AP568" i="4"/>
  <c r="AQ568" i="4"/>
  <c r="AH640" i="4" l="1"/>
  <c r="AG254" i="4"/>
  <c r="U254" i="4"/>
  <c r="D254" i="4"/>
  <c r="AF640" i="4"/>
  <c r="L511" i="4"/>
  <c r="R254" i="4"/>
  <c r="AH382" i="4"/>
  <c r="S254" i="4"/>
  <c r="L640" i="4"/>
  <c r="Q254" i="4"/>
  <c r="AE254" i="4"/>
  <c r="K254" i="4"/>
  <c r="AH511" i="4"/>
  <c r="I254" i="4"/>
  <c r="J640" i="4"/>
  <c r="S245" i="4"/>
  <c r="A246" i="4"/>
  <c r="Q183" i="4"/>
  <c r="U245" i="4"/>
  <c r="L116" i="4"/>
  <c r="D116" i="4"/>
  <c r="K245" i="4"/>
  <c r="C125" i="4"/>
  <c r="T245" i="4"/>
  <c r="R64" i="4"/>
  <c r="Q64" i="4" s="1"/>
  <c r="R245" i="4"/>
  <c r="AF245" i="4"/>
  <c r="U63" i="4"/>
  <c r="O116" i="4"/>
  <c r="U116" i="4" s="1"/>
  <c r="AE245" i="4"/>
  <c r="C116" i="4"/>
  <c r="I116" i="4"/>
  <c r="J116" i="4"/>
  <c r="K116" i="4"/>
  <c r="AG245" i="4"/>
  <c r="J245" i="4"/>
  <c r="AH245" i="4"/>
  <c r="L245" i="4"/>
  <c r="I245" i="4"/>
  <c r="AM190" i="4"/>
  <c r="AM193" i="4"/>
  <c r="AM191" i="4"/>
  <c r="AM187" i="4"/>
  <c r="AM192" i="4"/>
  <c r="AM189" i="4"/>
  <c r="Q185" i="4"/>
  <c r="Q187" i="4"/>
  <c r="Q193" i="4"/>
  <c r="Q192" i="4"/>
  <c r="Q189" i="4"/>
  <c r="Q186" i="4"/>
  <c r="AH184" i="4"/>
  <c r="AF188" i="4"/>
  <c r="S69" i="4"/>
  <c r="L59" i="4"/>
  <c r="J60" i="4"/>
  <c r="J59" i="4"/>
  <c r="L57" i="4"/>
  <c r="J191" i="4"/>
  <c r="R55" i="4"/>
  <c r="Q55" i="4" s="1"/>
  <c r="L61" i="4"/>
  <c r="AH188" i="4"/>
  <c r="K125" i="4"/>
  <c r="L188" i="4"/>
  <c r="AF189" i="4"/>
  <c r="J189" i="4"/>
  <c r="J188" i="4"/>
  <c r="J62" i="4"/>
  <c r="D125" i="4"/>
  <c r="L62" i="4"/>
  <c r="J61" i="4"/>
  <c r="J57" i="4"/>
  <c r="AH189" i="4"/>
  <c r="I125" i="4"/>
  <c r="R65" i="4"/>
  <c r="Q65" i="4" s="1"/>
  <c r="U65" i="4"/>
  <c r="T65" i="4"/>
  <c r="J190" i="4"/>
  <c r="AF190" i="4"/>
  <c r="AH190" i="4"/>
  <c r="L56" i="4"/>
  <c r="J56" i="4"/>
  <c r="AF186" i="4"/>
  <c r="L55" i="4"/>
  <c r="J55" i="4"/>
  <c r="AF183" i="4"/>
  <c r="L186" i="4"/>
  <c r="L54" i="4"/>
  <c r="AH186" i="4"/>
  <c r="AH183" i="4"/>
  <c r="J54" i="4"/>
  <c r="J183" i="4"/>
  <c r="J184" i="4"/>
  <c r="R190" i="4"/>
  <c r="Q190" i="4" s="1"/>
  <c r="L191" i="4"/>
  <c r="J185" i="4"/>
  <c r="L184" i="4"/>
  <c r="R191" i="4"/>
  <c r="Q191" i="4" s="1"/>
  <c r="R184" i="4"/>
  <c r="Q184" i="4" s="1"/>
  <c r="L254" i="4" l="1"/>
  <c r="AF254" i="4"/>
  <c r="J254" i="4"/>
  <c r="AH254" i="4"/>
  <c r="Q245" i="4"/>
  <c r="R116" i="4"/>
  <c r="Q116" i="4" s="1"/>
  <c r="R125" i="4"/>
  <c r="L125" i="4"/>
  <c r="J125" i="4"/>
  <c r="S52" i="4"/>
  <c r="AN696" i="4"/>
  <c r="AO696" i="4"/>
  <c r="AP696" i="4"/>
  <c r="AQ696" i="4"/>
  <c r="M181" i="4" l="1"/>
  <c r="N181" i="4"/>
  <c r="O181" i="4"/>
  <c r="P181" i="4"/>
  <c r="H181" i="4"/>
  <c r="F181" i="4"/>
  <c r="D181" i="4"/>
  <c r="R567" i="4"/>
  <c r="S567" i="4"/>
  <c r="T567" i="4"/>
  <c r="U567" i="4"/>
  <c r="R438" i="4"/>
  <c r="S438" i="4"/>
  <c r="T438" i="4"/>
  <c r="U438" i="4"/>
  <c r="R309" i="4"/>
  <c r="S309" i="4"/>
  <c r="T309" i="4"/>
  <c r="U309" i="4"/>
  <c r="L309" i="4"/>
  <c r="K309" i="4"/>
  <c r="J309" i="4"/>
  <c r="I309" i="4"/>
  <c r="J438" i="4"/>
  <c r="I438" i="4"/>
  <c r="L438" i="4"/>
  <c r="K438" i="4"/>
  <c r="J567" i="4"/>
  <c r="I567" i="4"/>
  <c r="AG696" i="4"/>
  <c r="AH696" i="4"/>
  <c r="AF696" i="4"/>
  <c r="AE696" i="4"/>
  <c r="I181" i="4" l="1"/>
  <c r="J181" i="4"/>
  <c r="K181" i="4"/>
  <c r="L181" i="4"/>
  <c r="T181" i="4"/>
  <c r="U181" i="4"/>
  <c r="D52" i="4"/>
  <c r="AN309" i="4"/>
  <c r="AO309" i="4"/>
  <c r="AP309" i="4"/>
  <c r="AQ309" i="4"/>
  <c r="AH309" i="4"/>
  <c r="AG309" i="4"/>
  <c r="AF309" i="4"/>
  <c r="AE309" i="4"/>
  <c r="AN438" i="4" l="1"/>
  <c r="AO438" i="4"/>
  <c r="AP438" i="4"/>
  <c r="AQ438" i="4"/>
  <c r="AH438" i="4"/>
  <c r="L52" i="4" s="1"/>
  <c r="AG438" i="4"/>
  <c r="K52" i="4" s="1"/>
  <c r="AF438" i="4"/>
  <c r="J52" i="4" s="1"/>
  <c r="AE438" i="4"/>
  <c r="I52" i="4" s="1"/>
  <c r="AH181" i="4" l="1"/>
  <c r="AE181" i="4"/>
  <c r="AG181" i="4"/>
  <c r="AF181" i="4"/>
  <c r="AL180" i="4"/>
  <c r="AL244" i="4" s="1"/>
  <c r="AJ180" i="4"/>
  <c r="AJ244" i="4" s="1"/>
  <c r="AD180" i="4"/>
  <c r="AD244" i="4" s="1"/>
  <c r="AB180" i="4"/>
  <c r="AB244" i="4" s="1"/>
  <c r="Z180" i="4"/>
  <c r="Z244" i="4" s="1"/>
  <c r="P51" i="4"/>
  <c r="P115" i="4" s="1"/>
  <c r="N51" i="4"/>
  <c r="N115" i="4" s="1"/>
  <c r="H51" i="4"/>
  <c r="H115" i="4" s="1"/>
  <c r="G51" i="4"/>
  <c r="G115" i="4" s="1"/>
  <c r="F51" i="4"/>
  <c r="F115" i="4" s="1"/>
  <c r="E51" i="4"/>
  <c r="E115" i="4" s="1"/>
  <c r="O180" i="4"/>
  <c r="O244" i="4" s="1"/>
  <c r="N180" i="4"/>
  <c r="N244" i="4" s="1"/>
  <c r="M180" i="4"/>
  <c r="M244" i="4" s="1"/>
  <c r="H180" i="4"/>
  <c r="H244" i="4" s="1"/>
  <c r="F180" i="4"/>
  <c r="F244" i="4" s="1"/>
  <c r="D180" i="4"/>
  <c r="D244" i="4" s="1"/>
  <c r="AN566" i="4"/>
  <c r="AO566" i="4"/>
  <c r="AP566" i="4"/>
  <c r="AE566" i="4"/>
  <c r="AE630" i="4" s="1"/>
  <c r="AF566" i="4"/>
  <c r="AF630" i="4" s="1"/>
  <c r="AG566" i="4"/>
  <c r="AG630" i="4" s="1"/>
  <c r="AH566" i="4"/>
  <c r="AH630" i="4" s="1"/>
  <c r="AN695" i="4"/>
  <c r="AO695" i="4"/>
  <c r="AP695" i="4"/>
  <c r="AQ695" i="4"/>
  <c r="AE695" i="4"/>
  <c r="AE759" i="4" s="1"/>
  <c r="AF695" i="4"/>
  <c r="AF759" i="4" s="1"/>
  <c r="AG695" i="4"/>
  <c r="AG759" i="4" s="1"/>
  <c r="AH695" i="4"/>
  <c r="AH759" i="4" s="1"/>
  <c r="AN308" i="4"/>
  <c r="AO308" i="4"/>
  <c r="AP308" i="4"/>
  <c r="AQ308" i="4"/>
  <c r="AE308" i="4"/>
  <c r="AE372" i="4" s="1"/>
  <c r="AF308" i="4"/>
  <c r="AF372" i="4" s="1"/>
  <c r="AG308" i="4"/>
  <c r="AG372" i="4" s="1"/>
  <c r="AH308" i="4"/>
  <c r="AH372" i="4" s="1"/>
  <c r="AN437" i="4"/>
  <c r="AO437" i="4"/>
  <c r="AP437" i="4"/>
  <c r="AQ437" i="4"/>
  <c r="AE437" i="4"/>
  <c r="AE501" i="4" s="1"/>
  <c r="AF437" i="4"/>
  <c r="AF501" i="4" s="1"/>
  <c r="AG437" i="4"/>
  <c r="AG501" i="4" s="1"/>
  <c r="AH437" i="4"/>
  <c r="AH501" i="4" s="1"/>
  <c r="R566" i="4"/>
  <c r="S566" i="4"/>
  <c r="T566" i="4"/>
  <c r="U566" i="4"/>
  <c r="I566" i="4"/>
  <c r="I630" i="4" s="1"/>
  <c r="J566" i="4"/>
  <c r="J630" i="4" s="1"/>
  <c r="R437" i="4"/>
  <c r="S437" i="4"/>
  <c r="T437" i="4"/>
  <c r="U437" i="4"/>
  <c r="I437" i="4"/>
  <c r="I501" i="4" s="1"/>
  <c r="J437" i="4"/>
  <c r="J501" i="4" s="1"/>
  <c r="K437" i="4"/>
  <c r="K501" i="4" s="1"/>
  <c r="L437" i="4"/>
  <c r="L501" i="4" s="1"/>
  <c r="R308" i="4"/>
  <c r="S308" i="4"/>
  <c r="T308" i="4"/>
  <c r="I308" i="4"/>
  <c r="I372" i="4" s="1"/>
  <c r="J308" i="4"/>
  <c r="J372" i="4" s="1"/>
  <c r="K308" i="4"/>
  <c r="K372" i="4" s="1"/>
  <c r="L308" i="4"/>
  <c r="L372" i="4" s="1"/>
  <c r="U308" i="4"/>
  <c r="P180" i="4"/>
  <c r="P244" i="4" s="1"/>
  <c r="AQ566" i="4"/>
  <c r="A245" i="4" l="1"/>
  <c r="W245" i="4"/>
  <c r="S115" i="4"/>
  <c r="U244" i="4"/>
  <c r="T244" i="4"/>
  <c r="AH180" i="4"/>
  <c r="AH244" i="4" s="1"/>
  <c r="AF180" i="4"/>
  <c r="AF244" i="4" s="1"/>
  <c r="AE180" i="4"/>
  <c r="AE244" i="4" s="1"/>
  <c r="L51" i="4"/>
  <c r="L115" i="4" s="1"/>
  <c r="D51" i="4"/>
  <c r="D115" i="4" s="1"/>
  <c r="AG180" i="4"/>
  <c r="AG244" i="4" s="1"/>
  <c r="I51" i="4"/>
  <c r="I115" i="4" s="1"/>
  <c r="S51" i="4"/>
  <c r="K51" i="4"/>
  <c r="K115" i="4" s="1"/>
  <c r="U180" i="4"/>
  <c r="L180" i="4"/>
  <c r="L244" i="4" s="1"/>
  <c r="K180" i="4"/>
  <c r="K244" i="4" s="1"/>
  <c r="J180" i="4"/>
  <c r="J244" i="4" s="1"/>
  <c r="J51" i="4"/>
  <c r="J115" i="4" s="1"/>
  <c r="I180" i="4"/>
  <c r="I244" i="4" s="1"/>
  <c r="T180" i="4"/>
  <c r="AG565" i="4"/>
  <c r="AE565" i="4"/>
  <c r="AG694" i="4"/>
  <c r="AE694" i="4"/>
  <c r="AG307" i="4"/>
  <c r="AE307" i="4"/>
  <c r="AG436" i="4"/>
  <c r="AE436" i="4"/>
  <c r="I565" i="4"/>
  <c r="K436" i="4"/>
  <c r="I436" i="4"/>
  <c r="K307" i="4"/>
  <c r="I307" i="4"/>
  <c r="K179" i="4" l="1"/>
  <c r="AG179" i="4"/>
  <c r="AE179" i="4"/>
  <c r="I179" i="4"/>
  <c r="K50" i="4"/>
  <c r="I50" i="4"/>
  <c r="N50" i="4" l="1"/>
  <c r="P50" i="4"/>
  <c r="E50" i="4"/>
  <c r="F50" i="4"/>
  <c r="G50" i="4"/>
  <c r="H50" i="4"/>
  <c r="AO565" i="4"/>
  <c r="AD179" i="4"/>
  <c r="AB179" i="4"/>
  <c r="AO694" i="4"/>
  <c r="AO307" i="4"/>
  <c r="AO436" i="4"/>
  <c r="S565" i="4"/>
  <c r="H179" i="4"/>
  <c r="F179" i="4"/>
  <c r="S436" i="4"/>
  <c r="S50" i="4" l="1"/>
  <c r="AL179" i="4"/>
  <c r="AJ179" i="4"/>
  <c r="Z565" i="4"/>
  <c r="AP565" i="4"/>
  <c r="AQ565" i="4"/>
  <c r="AP694" i="4"/>
  <c r="AQ694" i="4"/>
  <c r="Z694" i="4"/>
  <c r="AN694" i="4" s="1"/>
  <c r="Z307" i="4"/>
  <c r="AP307" i="4"/>
  <c r="AQ307" i="4"/>
  <c r="AQ436" i="4"/>
  <c r="AP436" i="4"/>
  <c r="Z436" i="4"/>
  <c r="AN436" i="4" s="1"/>
  <c r="O179" i="4"/>
  <c r="M179" i="4"/>
  <c r="D565" i="4"/>
  <c r="T565" i="4"/>
  <c r="N179" i="4"/>
  <c r="U565" i="4"/>
  <c r="P179" i="4"/>
  <c r="U436" i="4"/>
  <c r="T436" i="4"/>
  <c r="D436" i="4"/>
  <c r="R436" i="4" s="1"/>
  <c r="S307" i="4"/>
  <c r="U307" i="4"/>
  <c r="T307" i="4"/>
  <c r="D307" i="4"/>
  <c r="R565" i="4" l="1"/>
  <c r="L565" i="4"/>
  <c r="U179" i="4"/>
  <c r="T179" i="4"/>
  <c r="Z179" i="4"/>
  <c r="L307" i="4"/>
  <c r="J307" i="4"/>
  <c r="L436" i="4"/>
  <c r="J436" i="4"/>
  <c r="AH307" i="4"/>
  <c r="AF307" i="4"/>
  <c r="AH565" i="4"/>
  <c r="AN565" i="4"/>
  <c r="AF565" i="4"/>
  <c r="AN307" i="4"/>
  <c r="J565" i="4"/>
  <c r="D179" i="4"/>
  <c r="AH436" i="4"/>
  <c r="AF436" i="4"/>
  <c r="AH694" i="4"/>
  <c r="AF694" i="4"/>
  <c r="R307" i="4"/>
  <c r="E49" i="4"/>
  <c r="F49" i="4"/>
  <c r="G49" i="4"/>
  <c r="H49" i="4"/>
  <c r="N49" i="4"/>
  <c r="P49" i="4"/>
  <c r="AO564" i="4"/>
  <c r="AG564" i="4"/>
  <c r="AE564" i="4"/>
  <c r="AP564" i="4"/>
  <c r="AQ564" i="4"/>
  <c r="J179" i="4" l="1"/>
  <c r="L179" i="4"/>
  <c r="S49" i="4"/>
  <c r="AF179" i="4"/>
  <c r="L50" i="4"/>
  <c r="AH179" i="4"/>
  <c r="D50" i="4"/>
  <c r="J50" i="4"/>
  <c r="AL178" i="4"/>
  <c r="AO693" i="4"/>
  <c r="AG693" i="4"/>
  <c r="AE693" i="4"/>
  <c r="AP693" i="4"/>
  <c r="AQ693" i="4"/>
  <c r="AO306" i="4"/>
  <c r="AG306" i="4"/>
  <c r="AE306" i="4"/>
  <c r="AP306" i="4"/>
  <c r="AQ306" i="4"/>
  <c r="AG435" i="4"/>
  <c r="AP435" i="4"/>
  <c r="AQ435" i="4"/>
  <c r="AE435" i="4"/>
  <c r="AJ178" i="4"/>
  <c r="AD178" i="4"/>
  <c r="AB178" i="4"/>
  <c r="AG178" i="4" l="1"/>
  <c r="AE178" i="4"/>
  <c r="O178" i="4"/>
  <c r="M178" i="4"/>
  <c r="I564" i="4"/>
  <c r="S435" i="4"/>
  <c r="K435" i="4"/>
  <c r="I435" i="4"/>
  <c r="K306" i="4"/>
  <c r="I306" i="4"/>
  <c r="T564" i="4"/>
  <c r="N178" i="4"/>
  <c r="U564" i="4"/>
  <c r="P178" i="4"/>
  <c r="U435" i="4"/>
  <c r="T435" i="4"/>
  <c r="U306" i="4"/>
  <c r="T306" i="4"/>
  <c r="AO435" i="4"/>
  <c r="S564" i="4"/>
  <c r="H178" i="4"/>
  <c r="F178" i="4"/>
  <c r="S306" i="4"/>
  <c r="Z564" i="4"/>
  <c r="Z693" i="4"/>
  <c r="Z306" i="4"/>
  <c r="Z435" i="4"/>
  <c r="D564" i="4"/>
  <c r="D435" i="4"/>
  <c r="R435" i="4" s="1"/>
  <c r="D306" i="4"/>
  <c r="J306" i="4" s="1"/>
  <c r="R564" i="4" l="1"/>
  <c r="L564" i="4"/>
  <c r="U178" i="4"/>
  <c r="T178" i="4"/>
  <c r="J564" i="4"/>
  <c r="I178" i="4"/>
  <c r="K178" i="4"/>
  <c r="J435" i="4"/>
  <c r="D178" i="4"/>
  <c r="L435" i="4"/>
  <c r="AF435" i="4"/>
  <c r="AH435" i="4"/>
  <c r="AN435" i="4"/>
  <c r="I49" i="4"/>
  <c r="AH693" i="4"/>
  <c r="AF693" i="4"/>
  <c r="AN693" i="4"/>
  <c r="Z178" i="4"/>
  <c r="K49" i="4"/>
  <c r="L306" i="4"/>
  <c r="AH306" i="4"/>
  <c r="AF306" i="4"/>
  <c r="AN306" i="4"/>
  <c r="R306" i="4"/>
  <c r="AN564" i="4"/>
  <c r="AH564" i="4"/>
  <c r="AF564" i="4"/>
  <c r="J178" i="4" l="1"/>
  <c r="AF178" i="4"/>
  <c r="L49" i="4"/>
  <c r="J49" i="4"/>
  <c r="L178" i="4"/>
  <c r="AH178" i="4"/>
  <c r="D49" i="4"/>
  <c r="AG563" i="4"/>
  <c r="AE563" i="4"/>
  <c r="AG692" i="4"/>
  <c r="AE692" i="4"/>
  <c r="AG305" i="4"/>
  <c r="AE305" i="4"/>
  <c r="AG434" i="4"/>
  <c r="AE434" i="4"/>
  <c r="I563" i="4"/>
  <c r="K434" i="4"/>
  <c r="I434" i="4"/>
  <c r="K305" i="4"/>
  <c r="K304" i="4"/>
  <c r="I305" i="4"/>
  <c r="AG177" i="4" l="1"/>
  <c r="AE177" i="4"/>
  <c r="K48" i="4"/>
  <c r="I177" i="4"/>
  <c r="I48" i="4"/>
  <c r="K177" i="4"/>
  <c r="P48" i="4"/>
  <c r="N48" i="4"/>
  <c r="E48" i="4"/>
  <c r="F48" i="4"/>
  <c r="G48" i="4"/>
  <c r="H48" i="4"/>
  <c r="S48" i="4" l="1"/>
  <c r="M177" i="4"/>
  <c r="O177" i="4"/>
  <c r="AL177" i="4"/>
  <c r="AJ177" i="4"/>
  <c r="AD177" i="4"/>
  <c r="AB177" i="4"/>
  <c r="AQ563" i="4"/>
  <c r="AP563" i="4"/>
  <c r="AO563" i="4"/>
  <c r="Z563" i="4"/>
  <c r="AH563" i="4" s="1"/>
  <c r="AQ692" i="4"/>
  <c r="AP692" i="4"/>
  <c r="AO692" i="4"/>
  <c r="Z692" i="4"/>
  <c r="AH692" i="4" s="1"/>
  <c r="AO305" i="4"/>
  <c r="AQ305" i="4"/>
  <c r="AP305" i="4"/>
  <c r="AP434" i="4"/>
  <c r="AQ434" i="4"/>
  <c r="Z305" i="4"/>
  <c r="AH305" i="4" s="1"/>
  <c r="AO434" i="4"/>
  <c r="Z434" i="4"/>
  <c r="AH434" i="4" s="1"/>
  <c r="T563" i="4"/>
  <c r="N177" i="4"/>
  <c r="U563" i="4"/>
  <c r="P177" i="4"/>
  <c r="S563" i="4"/>
  <c r="H177" i="4"/>
  <c r="F177" i="4"/>
  <c r="D563" i="4"/>
  <c r="L563" i="4" s="1"/>
  <c r="S434" i="4"/>
  <c r="T434" i="4"/>
  <c r="U434" i="4"/>
  <c r="D434" i="4"/>
  <c r="T305" i="4"/>
  <c r="U305" i="4"/>
  <c r="S305" i="4"/>
  <c r="AN434" i="4" l="1"/>
  <c r="AF563" i="4"/>
  <c r="AF434" i="4"/>
  <c r="AH177" i="4"/>
  <c r="R563" i="4"/>
  <c r="L434" i="4"/>
  <c r="J434" i="4"/>
  <c r="AF692" i="4"/>
  <c r="AN563" i="4"/>
  <c r="AF305" i="4"/>
  <c r="Z177" i="4"/>
  <c r="J563" i="4"/>
  <c r="AN692" i="4"/>
  <c r="U177" i="4"/>
  <c r="T177" i="4"/>
  <c r="R434" i="4"/>
  <c r="AN305" i="4"/>
  <c r="AF177" i="4" l="1"/>
  <c r="D305" i="4"/>
  <c r="L305" i="4" l="1"/>
  <c r="J305" i="4"/>
  <c r="R305" i="4"/>
  <c r="D177" i="4"/>
  <c r="P47" i="4"/>
  <c r="N47" i="4"/>
  <c r="G47" i="4"/>
  <c r="H47" i="4"/>
  <c r="F47" i="4"/>
  <c r="E47" i="4"/>
  <c r="AL176" i="4"/>
  <c r="AJ176" i="4"/>
  <c r="AD176" i="4"/>
  <c r="AB176" i="4"/>
  <c r="AG562" i="4"/>
  <c r="AE562" i="4"/>
  <c r="AP562" i="4"/>
  <c r="AQ562" i="4"/>
  <c r="AO562" i="4"/>
  <c r="Z562" i="4"/>
  <c r="AN562" i="4" s="1"/>
  <c r="AG691" i="4"/>
  <c r="AE691" i="4"/>
  <c r="AP691" i="4"/>
  <c r="AQ691" i="4"/>
  <c r="AO691" i="4"/>
  <c r="Z691" i="4"/>
  <c r="AG304" i="4"/>
  <c r="AE304" i="4"/>
  <c r="AP304" i="4"/>
  <c r="AQ304" i="4"/>
  <c r="AO304" i="4"/>
  <c r="Z304" i="4"/>
  <c r="AN304" i="4" s="1"/>
  <c r="AG433" i="4"/>
  <c r="AE433" i="4"/>
  <c r="AP433" i="4"/>
  <c r="AQ433" i="4"/>
  <c r="AO433" i="4"/>
  <c r="Z433" i="4"/>
  <c r="AN433" i="4" s="1"/>
  <c r="O176" i="4"/>
  <c r="M176" i="4"/>
  <c r="I562" i="4"/>
  <c r="T562" i="4"/>
  <c r="N176" i="4"/>
  <c r="U562" i="4"/>
  <c r="P176" i="4"/>
  <c r="S562" i="4"/>
  <c r="H176" i="4"/>
  <c r="F176" i="4"/>
  <c r="D562" i="4"/>
  <c r="K433" i="4"/>
  <c r="I433" i="4"/>
  <c r="T433" i="4"/>
  <c r="U433" i="4"/>
  <c r="S433" i="4"/>
  <c r="D433" i="4"/>
  <c r="R433" i="4" s="1"/>
  <c r="I304" i="4"/>
  <c r="T304" i="4"/>
  <c r="U304" i="4"/>
  <c r="S304" i="4"/>
  <c r="D304" i="4"/>
  <c r="R304" i="4" s="1"/>
  <c r="R562" i="4" l="1"/>
  <c r="L562" i="4"/>
  <c r="K47" i="4"/>
  <c r="S47" i="4"/>
  <c r="T176" i="4"/>
  <c r="I176" i="4"/>
  <c r="I47" i="4"/>
  <c r="K176" i="4"/>
  <c r="Z176" i="4"/>
  <c r="AE176" i="4"/>
  <c r="AF304" i="4"/>
  <c r="AG176" i="4"/>
  <c r="U176" i="4"/>
  <c r="AF433" i="4"/>
  <c r="AH304" i="4"/>
  <c r="AH433" i="4"/>
  <c r="AF691" i="4"/>
  <c r="J562" i="4"/>
  <c r="AF562" i="4"/>
  <c r="AH691" i="4"/>
  <c r="L304" i="4"/>
  <c r="J433" i="4"/>
  <c r="AN691" i="4"/>
  <c r="AH562" i="4"/>
  <c r="D48" i="4"/>
  <c r="J304" i="4"/>
  <c r="D176" i="4"/>
  <c r="L433" i="4"/>
  <c r="J48" i="4"/>
  <c r="J177" i="4"/>
  <c r="L48" i="4"/>
  <c r="L177" i="4"/>
  <c r="E46" i="4"/>
  <c r="F46" i="4"/>
  <c r="G46" i="4"/>
  <c r="H46" i="4"/>
  <c r="N46" i="4"/>
  <c r="P46" i="4"/>
  <c r="Z175" i="4"/>
  <c r="AA175" i="4"/>
  <c r="AB175" i="4"/>
  <c r="AC175" i="4"/>
  <c r="AD175" i="4"/>
  <c r="AI175" i="4"/>
  <c r="AJ175" i="4"/>
  <c r="AK175" i="4"/>
  <c r="AL175" i="4"/>
  <c r="O175" i="4"/>
  <c r="M175" i="4"/>
  <c r="D175" i="4"/>
  <c r="AQ175" i="4" l="1"/>
  <c r="AP175" i="4"/>
  <c r="O46" i="4"/>
  <c r="U46" i="4" s="1"/>
  <c r="M46" i="4"/>
  <c r="T46" i="4" s="1"/>
  <c r="D46" i="4"/>
  <c r="AO175" i="4"/>
  <c r="S46" i="4"/>
  <c r="L176" i="4"/>
  <c r="AH176" i="4"/>
  <c r="J47" i="4"/>
  <c r="J176" i="4"/>
  <c r="D47" i="4"/>
  <c r="AF176" i="4"/>
  <c r="L47" i="4"/>
  <c r="AN561" i="4"/>
  <c r="AG561" i="4"/>
  <c r="AH561" i="4"/>
  <c r="AE561" i="4"/>
  <c r="AF561" i="4"/>
  <c r="AQ561" i="4"/>
  <c r="AP561" i="4"/>
  <c r="AN690" i="4"/>
  <c r="AH690" i="4"/>
  <c r="AG690" i="4"/>
  <c r="AF690" i="4"/>
  <c r="AE690" i="4"/>
  <c r="AQ690" i="4"/>
  <c r="AP690" i="4"/>
  <c r="AH303" i="4"/>
  <c r="AG303" i="4"/>
  <c r="AF303" i="4"/>
  <c r="AE303" i="4"/>
  <c r="AQ303" i="4"/>
  <c r="AP303" i="4"/>
  <c r="AH432" i="4"/>
  <c r="AG432" i="4"/>
  <c r="AF432" i="4"/>
  <c r="AE432" i="4"/>
  <c r="AQ432" i="4"/>
  <c r="AP432" i="4"/>
  <c r="R561" i="4"/>
  <c r="J561" i="4"/>
  <c r="I561" i="4"/>
  <c r="U561" i="4"/>
  <c r="P175" i="4"/>
  <c r="U175" i="4" s="1"/>
  <c r="T561" i="4"/>
  <c r="N175" i="4"/>
  <c r="T175" i="4" s="1"/>
  <c r="L432" i="4"/>
  <c r="K432" i="4"/>
  <c r="J432" i="4"/>
  <c r="I432" i="4"/>
  <c r="U432" i="4"/>
  <c r="T432" i="4"/>
  <c r="L303" i="4"/>
  <c r="K303" i="4"/>
  <c r="J303" i="4"/>
  <c r="I303" i="4"/>
  <c r="U303" i="4"/>
  <c r="T303" i="4"/>
  <c r="AO561" i="4"/>
  <c r="AO690" i="4"/>
  <c r="AN303" i="4"/>
  <c r="AO303" i="4"/>
  <c r="AN432" i="4"/>
  <c r="AO432" i="4"/>
  <c r="S561" i="4"/>
  <c r="H175" i="4"/>
  <c r="F175" i="4"/>
  <c r="R432" i="4"/>
  <c r="S432" i="4"/>
  <c r="R303" i="4"/>
  <c r="S303" i="4"/>
  <c r="K175" i="4" l="1"/>
  <c r="L175" i="4"/>
  <c r="I175" i="4"/>
  <c r="AE175" i="4"/>
  <c r="I46" i="4"/>
  <c r="AF175" i="4"/>
  <c r="J46" i="4"/>
  <c r="AG175" i="4"/>
  <c r="J175" i="4"/>
  <c r="AH175" i="4"/>
  <c r="K46" i="4"/>
  <c r="L46" i="4"/>
  <c r="AO560" i="4"/>
  <c r="AP560" i="4"/>
  <c r="S560" i="4" l="1"/>
  <c r="S302" i="4" l="1"/>
  <c r="P45" i="4" l="1"/>
  <c r="N45" i="4"/>
  <c r="H45" i="4"/>
  <c r="G45" i="4"/>
  <c r="F45" i="4"/>
  <c r="E45" i="4"/>
  <c r="AL174" i="4"/>
  <c r="AK174" i="4"/>
  <c r="AK176" i="4"/>
  <c r="AK177" i="4"/>
  <c r="AK178" i="4"/>
  <c r="AK179" i="4"/>
  <c r="AK180" i="4"/>
  <c r="AK182" i="4"/>
  <c r="AJ174" i="4"/>
  <c r="AI174" i="4"/>
  <c r="AI176" i="4"/>
  <c r="AI177" i="4"/>
  <c r="AI178" i="4"/>
  <c r="AI179" i="4"/>
  <c r="AI180" i="4"/>
  <c r="AI182" i="4"/>
  <c r="AD174" i="4"/>
  <c r="AB174" i="4"/>
  <c r="AG560" i="4"/>
  <c r="AE560" i="4"/>
  <c r="AQ560" i="4"/>
  <c r="Z560" i="4"/>
  <c r="AN560" i="4" s="1"/>
  <c r="AO689" i="4"/>
  <c r="AG689" i="4"/>
  <c r="AE689" i="4"/>
  <c r="AQ689" i="4"/>
  <c r="AP689" i="4"/>
  <c r="Z689" i="4"/>
  <c r="AN689" i="4" s="1"/>
  <c r="AO302" i="4"/>
  <c r="AG302" i="4"/>
  <c r="AE302" i="4"/>
  <c r="AQ302" i="4"/>
  <c r="AP302" i="4"/>
  <c r="Z302" i="4"/>
  <c r="AN302" i="4" s="1"/>
  <c r="AO431" i="4"/>
  <c r="AG431" i="4"/>
  <c r="AE431" i="4"/>
  <c r="AQ431" i="4"/>
  <c r="AP431" i="4"/>
  <c r="Z431" i="4"/>
  <c r="AH431" i="4" s="1"/>
  <c r="P174" i="4"/>
  <c r="O174" i="4"/>
  <c r="N174" i="4"/>
  <c r="M174" i="4"/>
  <c r="H174" i="4"/>
  <c r="F174" i="4"/>
  <c r="I560" i="4"/>
  <c r="U560" i="4"/>
  <c r="T560" i="4"/>
  <c r="D560" i="4"/>
  <c r="S431" i="4"/>
  <c r="K431" i="4"/>
  <c r="I431" i="4"/>
  <c r="U431" i="4"/>
  <c r="T431" i="4"/>
  <c r="D431" i="4"/>
  <c r="R431" i="4" s="1"/>
  <c r="K302" i="4"/>
  <c r="I302" i="4"/>
  <c r="U302" i="4"/>
  <c r="T302" i="4"/>
  <c r="AK244" i="4" l="1"/>
  <c r="AI244" i="4"/>
  <c r="R560" i="4"/>
  <c r="L560" i="4"/>
  <c r="M45" i="4"/>
  <c r="T45" i="4" s="1"/>
  <c r="M53" i="4"/>
  <c r="T53" i="4" s="1"/>
  <c r="AP182" i="4"/>
  <c r="AP181" i="4"/>
  <c r="M52" i="4"/>
  <c r="T52" i="4" s="1"/>
  <c r="AQ182" i="4"/>
  <c r="O53" i="4"/>
  <c r="M51" i="4"/>
  <c r="AP180" i="4"/>
  <c r="AQ181" i="4"/>
  <c r="O52" i="4"/>
  <c r="U52" i="4" s="1"/>
  <c r="AQ180" i="4"/>
  <c r="O51" i="4"/>
  <c r="M50" i="4"/>
  <c r="T50" i="4" s="1"/>
  <c r="AP179" i="4"/>
  <c r="AP178" i="4"/>
  <c r="M49" i="4"/>
  <c r="T49" i="4" s="1"/>
  <c r="O50" i="4"/>
  <c r="U50" i="4" s="1"/>
  <c r="AQ179" i="4"/>
  <c r="M48" i="4"/>
  <c r="T48" i="4" s="1"/>
  <c r="AP177" i="4"/>
  <c r="AQ178" i="4"/>
  <c r="O49" i="4"/>
  <c r="U49" i="4" s="1"/>
  <c r="M47" i="4"/>
  <c r="T47" i="4" s="1"/>
  <c r="AP176" i="4"/>
  <c r="AQ177" i="4"/>
  <c r="O48" i="4"/>
  <c r="U48" i="4" s="1"/>
  <c r="AQ176" i="4"/>
  <c r="O47" i="4"/>
  <c r="U47" i="4" s="1"/>
  <c r="U174" i="4"/>
  <c r="I174" i="4"/>
  <c r="AP174" i="4"/>
  <c r="AQ174" i="4"/>
  <c r="K45" i="4"/>
  <c r="O45" i="4"/>
  <c r="U45" i="4" s="1"/>
  <c r="K174" i="4"/>
  <c r="AH302" i="4"/>
  <c r="AF689" i="4"/>
  <c r="AH689" i="4"/>
  <c r="AG174" i="4"/>
  <c r="T174" i="4"/>
  <c r="I45" i="4"/>
  <c r="J431" i="4"/>
  <c r="L431" i="4"/>
  <c r="AE174" i="4"/>
  <c r="Z174" i="4"/>
  <c r="AN431" i="4"/>
  <c r="AH560" i="4"/>
  <c r="J560" i="4"/>
  <c r="AF302" i="4"/>
  <c r="AF431" i="4"/>
  <c r="AF560" i="4"/>
  <c r="S45" i="4"/>
  <c r="D302" i="4"/>
  <c r="AP244" i="4" l="1"/>
  <c r="AQ244" i="4"/>
  <c r="T51" i="4"/>
  <c r="U51" i="4"/>
  <c r="U53" i="4"/>
  <c r="AH174" i="4"/>
  <c r="D174" i="4"/>
  <c r="D45" i="4" s="1"/>
  <c r="R302" i="4"/>
  <c r="AF174" i="4"/>
  <c r="J302" i="4"/>
  <c r="L302" i="4"/>
  <c r="L45" i="4" s="1"/>
  <c r="AC174" i="4"/>
  <c r="AO174" i="4" s="1"/>
  <c r="AC176" i="4"/>
  <c r="AO176" i="4" s="1"/>
  <c r="AC177" i="4"/>
  <c r="AO177" i="4" s="1"/>
  <c r="AC178" i="4"/>
  <c r="AO178" i="4" s="1"/>
  <c r="AC179" i="4"/>
  <c r="AO179" i="4" s="1"/>
  <c r="AC180" i="4"/>
  <c r="AO181" i="4"/>
  <c r="AC182" i="4"/>
  <c r="AO182" i="4" s="1"/>
  <c r="AA174" i="4"/>
  <c r="AA176" i="4"/>
  <c r="AA177" i="4"/>
  <c r="AA178" i="4"/>
  <c r="AA179" i="4"/>
  <c r="AA180" i="4"/>
  <c r="AA182" i="4"/>
  <c r="AA244" i="4" l="1"/>
  <c r="AO180" i="4"/>
  <c r="AC244" i="4"/>
  <c r="AO244" i="4" s="1"/>
  <c r="L174" i="4"/>
  <c r="J174" i="4"/>
  <c r="J45" i="4"/>
  <c r="N44" i="4" l="1"/>
  <c r="P44" i="4"/>
  <c r="E44" i="4"/>
  <c r="F44" i="4"/>
  <c r="G44" i="4"/>
  <c r="H44" i="4"/>
  <c r="AI173" i="4"/>
  <c r="AJ173" i="4"/>
  <c r="AK173" i="4"/>
  <c r="AL173" i="4"/>
  <c r="AD173" i="4"/>
  <c r="AC173" i="4"/>
  <c r="AB173" i="4"/>
  <c r="AA173" i="4"/>
  <c r="AO559" i="4"/>
  <c r="AE559" i="4"/>
  <c r="AG559" i="4"/>
  <c r="AQ559" i="4"/>
  <c r="AP559" i="4"/>
  <c r="AO688" i="4"/>
  <c r="AE688" i="4"/>
  <c r="AG688" i="4"/>
  <c r="AQ688" i="4"/>
  <c r="AP688" i="4"/>
  <c r="AE301" i="4"/>
  <c r="AG301" i="4"/>
  <c r="AO301" i="4"/>
  <c r="AQ301" i="4"/>
  <c r="AP301" i="4"/>
  <c r="AO430" i="4"/>
  <c r="AE430" i="4"/>
  <c r="AG430" i="4"/>
  <c r="AQ430" i="4"/>
  <c r="AP430" i="4"/>
  <c r="O173" i="4"/>
  <c r="M173" i="4"/>
  <c r="H173" i="4"/>
  <c r="F173" i="4"/>
  <c r="S559" i="4"/>
  <c r="I559" i="4"/>
  <c r="U559" i="4"/>
  <c r="P173" i="4"/>
  <c r="T559" i="4"/>
  <c r="N173" i="4"/>
  <c r="S430" i="4"/>
  <c r="I430" i="4"/>
  <c r="K430" i="4"/>
  <c r="K429" i="4"/>
  <c r="U430" i="4"/>
  <c r="T430" i="4"/>
  <c r="S301" i="4"/>
  <c r="I301" i="4"/>
  <c r="K301" i="4"/>
  <c r="U301" i="4"/>
  <c r="T301" i="4"/>
  <c r="O44" i="4" l="1"/>
  <c r="U44" i="4" s="1"/>
  <c r="AQ173" i="4"/>
  <c r="U173" i="4"/>
  <c r="AO173" i="4"/>
  <c r="AP173" i="4"/>
  <c r="K44" i="4"/>
  <c r="T173" i="4"/>
  <c r="AG173" i="4"/>
  <c r="AE173" i="4"/>
  <c r="I44" i="4"/>
  <c r="K173" i="4"/>
  <c r="M44" i="4"/>
  <c r="T44" i="4" s="1"/>
  <c r="I173" i="4"/>
  <c r="S44" i="4"/>
  <c r="Z559" i="4" l="1"/>
  <c r="Z688" i="4"/>
  <c r="Z301" i="4"/>
  <c r="Z430" i="4"/>
  <c r="D559" i="4"/>
  <c r="L559" i="4" s="1"/>
  <c r="D430" i="4"/>
  <c r="D301" i="4"/>
  <c r="R301" i="4" l="1"/>
  <c r="J301" i="4"/>
  <c r="L301" i="4"/>
  <c r="J430" i="4"/>
  <c r="L430" i="4"/>
  <c r="R430" i="4"/>
  <c r="AF688" i="4"/>
  <c r="Z173" i="4"/>
  <c r="AH688" i="4"/>
  <c r="AN688" i="4"/>
  <c r="AF430" i="4"/>
  <c r="AH430" i="4"/>
  <c r="AN430" i="4"/>
  <c r="AF301" i="4"/>
  <c r="AN301" i="4"/>
  <c r="AH301" i="4"/>
  <c r="J559" i="4"/>
  <c r="D173" i="4"/>
  <c r="R559" i="4"/>
  <c r="AF559" i="4"/>
  <c r="AH559" i="4"/>
  <c r="AN559" i="4"/>
  <c r="K4" i="4"/>
  <c r="K3" i="4"/>
  <c r="K111" i="4" s="1"/>
  <c r="I539" i="4"/>
  <c r="AG687" i="4"/>
  <c r="AG686" i="4"/>
  <c r="AG768" i="4" s="1"/>
  <c r="AG685" i="4"/>
  <c r="AG684" i="4"/>
  <c r="AG683" i="4"/>
  <c r="AG682" i="4"/>
  <c r="AG681" i="4"/>
  <c r="AG680" i="4"/>
  <c r="AG679" i="4"/>
  <c r="AG678" i="4"/>
  <c r="AG677" i="4"/>
  <c r="AG676" i="4"/>
  <c r="AG675" i="4"/>
  <c r="AG674" i="4"/>
  <c r="AG673" i="4"/>
  <c r="AG672" i="4"/>
  <c r="AG671" i="4"/>
  <c r="AG670" i="4"/>
  <c r="AG669" i="4"/>
  <c r="AG668" i="4"/>
  <c r="AG667" i="4"/>
  <c r="AG666" i="4"/>
  <c r="AG665" i="4"/>
  <c r="AG664" i="4"/>
  <c r="AG663" i="4"/>
  <c r="AG662" i="4"/>
  <c r="AG661" i="4"/>
  <c r="AG660" i="4"/>
  <c r="AG659" i="4"/>
  <c r="AG658" i="4"/>
  <c r="AG657" i="4"/>
  <c r="AG656" i="4"/>
  <c r="AG655" i="4"/>
  <c r="AG654" i="4"/>
  <c r="AG653" i="4"/>
  <c r="AG652" i="4"/>
  <c r="K532" i="4"/>
  <c r="K531" i="4"/>
  <c r="K530" i="4"/>
  <c r="K529" i="4"/>
  <c r="K528" i="4"/>
  <c r="K527" i="4"/>
  <c r="K526" i="4"/>
  <c r="K525" i="4"/>
  <c r="K524" i="4"/>
  <c r="K523" i="4"/>
  <c r="I409" i="4"/>
  <c r="K408" i="4"/>
  <c r="AG300" i="4"/>
  <c r="AG299" i="4"/>
  <c r="AG381" i="4" s="1"/>
  <c r="AG298" i="4"/>
  <c r="AG297" i="4"/>
  <c r="AG296" i="4"/>
  <c r="AG295" i="4"/>
  <c r="AG294" i="4"/>
  <c r="AG293" i="4"/>
  <c r="AG292" i="4"/>
  <c r="AG291" i="4"/>
  <c r="AG290" i="4"/>
  <c r="AG289" i="4"/>
  <c r="AG288" i="4"/>
  <c r="AG287" i="4"/>
  <c r="AG286" i="4"/>
  <c r="AG285" i="4"/>
  <c r="AG284" i="4"/>
  <c r="AG283" i="4"/>
  <c r="AG282" i="4"/>
  <c r="AG281" i="4"/>
  <c r="AG280" i="4"/>
  <c r="AG279" i="4"/>
  <c r="AG278" i="4"/>
  <c r="AG277" i="4"/>
  <c r="AG276" i="4"/>
  <c r="AG275" i="4"/>
  <c r="AG274" i="4"/>
  <c r="AG273" i="4"/>
  <c r="AG272" i="4"/>
  <c r="AG271" i="4"/>
  <c r="AG270" i="4"/>
  <c r="AG269" i="4"/>
  <c r="AG268" i="4"/>
  <c r="AG267" i="4"/>
  <c r="AG266" i="4"/>
  <c r="AG265" i="4"/>
  <c r="K428" i="4"/>
  <c r="K510" i="4" s="1"/>
  <c r="K427" i="4"/>
  <c r="K426" i="4"/>
  <c r="K425" i="4"/>
  <c r="K424" i="4"/>
  <c r="K423" i="4"/>
  <c r="K422" i="4"/>
  <c r="K421" i="4"/>
  <c r="K420" i="4"/>
  <c r="K419" i="4"/>
  <c r="K418" i="4"/>
  <c r="K417" i="4"/>
  <c r="K416" i="4"/>
  <c r="K415" i="4"/>
  <c r="K414" i="4"/>
  <c r="K413" i="4"/>
  <c r="K412" i="4"/>
  <c r="K411" i="4"/>
  <c r="K410" i="4"/>
  <c r="K409" i="4"/>
  <c r="K407" i="4"/>
  <c r="K406" i="4"/>
  <c r="K405" i="4"/>
  <c r="K404" i="4"/>
  <c r="K403" i="4"/>
  <c r="K402" i="4"/>
  <c r="K401" i="4"/>
  <c r="K400" i="4"/>
  <c r="K399" i="4"/>
  <c r="K398" i="4"/>
  <c r="K397" i="4"/>
  <c r="K396" i="4"/>
  <c r="K395" i="4"/>
  <c r="K394" i="4"/>
  <c r="K276" i="4"/>
  <c r="J275" i="4"/>
  <c r="I275" i="4"/>
  <c r="AG558" i="4"/>
  <c r="AG557" i="4"/>
  <c r="AG639" i="4" s="1"/>
  <c r="AG556" i="4"/>
  <c r="AG555" i="4"/>
  <c r="AG554" i="4"/>
  <c r="AG553" i="4"/>
  <c r="AG552" i="4"/>
  <c r="AG551" i="4"/>
  <c r="AG550" i="4"/>
  <c r="AG549" i="4"/>
  <c r="AG548" i="4"/>
  <c r="AG547" i="4"/>
  <c r="AG546" i="4"/>
  <c r="AG545" i="4"/>
  <c r="AG544" i="4"/>
  <c r="AG543" i="4"/>
  <c r="AG542" i="4"/>
  <c r="AG541" i="4"/>
  <c r="AG540" i="4"/>
  <c r="AG539" i="4"/>
  <c r="AG538" i="4"/>
  <c r="AG537" i="4"/>
  <c r="AG536" i="4"/>
  <c r="AG535" i="4"/>
  <c r="AG534" i="4"/>
  <c r="AG533" i="4"/>
  <c r="AG532" i="4"/>
  <c r="AG531" i="4"/>
  <c r="AG530" i="4"/>
  <c r="AG529" i="4"/>
  <c r="AG528" i="4"/>
  <c r="AG527" i="4"/>
  <c r="AG526" i="4"/>
  <c r="AG525" i="4"/>
  <c r="AG524" i="4"/>
  <c r="AG523" i="4"/>
  <c r="AG429" i="4"/>
  <c r="AG428" i="4"/>
  <c r="AG510" i="4" s="1"/>
  <c r="AG427" i="4"/>
  <c r="AG426" i="4"/>
  <c r="AG425" i="4"/>
  <c r="AG424" i="4"/>
  <c r="AG423" i="4"/>
  <c r="AG422" i="4"/>
  <c r="AG421" i="4"/>
  <c r="AG420" i="4"/>
  <c r="AG419" i="4"/>
  <c r="AG418" i="4"/>
  <c r="AG417" i="4"/>
  <c r="AG416" i="4"/>
  <c r="AG415" i="4"/>
  <c r="AG414" i="4"/>
  <c r="AG413" i="4"/>
  <c r="AG412" i="4"/>
  <c r="AG411" i="4"/>
  <c r="AG410" i="4"/>
  <c r="AG409" i="4"/>
  <c r="AG408" i="4"/>
  <c r="AG407" i="4"/>
  <c r="AG406" i="4"/>
  <c r="AG405" i="4"/>
  <c r="AG404" i="4"/>
  <c r="AG403" i="4"/>
  <c r="AG402" i="4"/>
  <c r="AG401" i="4"/>
  <c r="AG400" i="4"/>
  <c r="AG399" i="4"/>
  <c r="AG398" i="4"/>
  <c r="AG397" i="4"/>
  <c r="AG396" i="4"/>
  <c r="AG395" i="4"/>
  <c r="AG394" i="4"/>
  <c r="K300" i="4"/>
  <c r="K299" i="4"/>
  <c r="K381" i="4" s="1"/>
  <c r="K298" i="4"/>
  <c r="K297" i="4"/>
  <c r="K296" i="4"/>
  <c r="K295" i="4"/>
  <c r="K294" i="4"/>
  <c r="K293" i="4"/>
  <c r="K292" i="4"/>
  <c r="K291" i="4"/>
  <c r="K290" i="4"/>
  <c r="K289" i="4"/>
  <c r="K288" i="4"/>
  <c r="K287" i="4"/>
  <c r="K286" i="4"/>
  <c r="K285" i="4"/>
  <c r="K284" i="4"/>
  <c r="K283" i="4"/>
  <c r="K282" i="4"/>
  <c r="K281" i="4"/>
  <c r="K280" i="4"/>
  <c r="K279" i="4"/>
  <c r="K278" i="4"/>
  <c r="K277" i="4"/>
  <c r="K275" i="4"/>
  <c r="K274" i="4"/>
  <c r="K273" i="4"/>
  <c r="K272" i="4"/>
  <c r="K271" i="4"/>
  <c r="K270" i="4"/>
  <c r="K269" i="4"/>
  <c r="K268" i="4"/>
  <c r="K267" i="4"/>
  <c r="K266" i="4"/>
  <c r="K265" i="4"/>
  <c r="K507" i="4" l="1"/>
  <c r="K636" i="4"/>
  <c r="AG509" i="4"/>
  <c r="AG637" i="4"/>
  <c r="AG638" i="4"/>
  <c r="AG508" i="4"/>
  <c r="K379" i="4"/>
  <c r="AG379" i="4"/>
  <c r="AG380" i="4"/>
  <c r="AG766" i="4"/>
  <c r="AG767" i="4"/>
  <c r="K380" i="4"/>
  <c r="AG507" i="4"/>
  <c r="AG636" i="4"/>
  <c r="K509" i="4"/>
  <c r="K378" i="4"/>
  <c r="K508" i="4"/>
  <c r="AG378" i="4"/>
  <c r="AG765" i="4"/>
  <c r="K119" i="4"/>
  <c r="K128" i="4"/>
  <c r="K368" i="4"/>
  <c r="K499" i="4"/>
  <c r="AG500" i="4"/>
  <c r="K500" i="4"/>
  <c r="AG368" i="4"/>
  <c r="K627" i="4"/>
  <c r="AG757" i="4"/>
  <c r="AG755" i="4"/>
  <c r="AG756" i="4"/>
  <c r="AG758" i="4"/>
  <c r="AG628" i="4"/>
  <c r="AG627" i="4"/>
  <c r="AG629" i="4"/>
  <c r="K626" i="4"/>
  <c r="AG626" i="4"/>
  <c r="AG498" i="4"/>
  <c r="K498" i="4"/>
  <c r="AG497" i="4"/>
  <c r="AG499" i="4"/>
  <c r="K497" i="4"/>
  <c r="AG370" i="4"/>
  <c r="K370" i="4"/>
  <c r="K371" i="4"/>
  <c r="K369" i="4"/>
  <c r="AG369" i="4"/>
  <c r="AG371" i="4"/>
  <c r="J44" i="4"/>
  <c r="K35" i="4"/>
  <c r="K39" i="4"/>
  <c r="L173" i="4"/>
  <c r="AG158" i="4"/>
  <c r="AG162" i="4"/>
  <c r="AG166" i="4"/>
  <c r="AG170" i="4"/>
  <c r="D44" i="4"/>
  <c r="AF173" i="4"/>
  <c r="L44" i="4"/>
  <c r="AG163" i="4"/>
  <c r="AG167" i="4"/>
  <c r="J173" i="4"/>
  <c r="AG157" i="4"/>
  <c r="AG161" i="4"/>
  <c r="AG165" i="4"/>
  <c r="AG169" i="4"/>
  <c r="K42" i="4"/>
  <c r="AG156" i="4"/>
  <c r="AG160" i="4"/>
  <c r="AG164" i="4"/>
  <c r="AG168" i="4"/>
  <c r="AH173" i="4"/>
  <c r="AG142" i="4"/>
  <c r="AG139" i="4"/>
  <c r="AG143" i="4"/>
  <c r="AG147" i="4"/>
  <c r="AG151" i="4"/>
  <c r="AG155" i="4"/>
  <c r="AG138" i="4"/>
  <c r="AG146" i="4"/>
  <c r="AG154" i="4"/>
  <c r="AG140" i="4"/>
  <c r="AG144" i="4"/>
  <c r="AG148" i="4"/>
  <c r="AG152" i="4"/>
  <c r="AG141" i="4"/>
  <c r="AG145" i="4"/>
  <c r="AG149" i="4"/>
  <c r="AG153" i="4"/>
  <c r="AG159" i="4"/>
  <c r="AG171" i="4"/>
  <c r="AG253" i="4" s="1"/>
  <c r="AG137" i="4"/>
  <c r="AG150" i="4"/>
  <c r="K24" i="4"/>
  <c r="K28" i="4"/>
  <c r="K25" i="4"/>
  <c r="K29" i="4"/>
  <c r="K33" i="4"/>
  <c r="K37" i="4"/>
  <c r="K41" i="4"/>
  <c r="K9" i="4"/>
  <c r="K13" i="4"/>
  <c r="K17" i="4"/>
  <c r="K26" i="4"/>
  <c r="K34" i="4"/>
  <c r="K38" i="4"/>
  <c r="K19" i="4"/>
  <c r="K14" i="4"/>
  <c r="K18" i="4"/>
  <c r="K23" i="4"/>
  <c r="K27" i="4"/>
  <c r="K10" i="4"/>
  <c r="K31" i="4"/>
  <c r="K21" i="4"/>
  <c r="K171" i="4"/>
  <c r="K253" i="4" s="1"/>
  <c r="K40" i="4"/>
  <c r="K36" i="4"/>
  <c r="K32" i="4"/>
  <c r="K22" i="4"/>
  <c r="K140" i="4"/>
  <c r="K15" i="4"/>
  <c r="K148" i="4"/>
  <c r="K138" i="4"/>
  <c r="K142" i="4"/>
  <c r="K146" i="4"/>
  <c r="K150" i="4"/>
  <c r="K155" i="4"/>
  <c r="K163" i="4"/>
  <c r="K167" i="4"/>
  <c r="K139" i="4"/>
  <c r="K143" i="4"/>
  <c r="K147" i="4"/>
  <c r="K152" i="4"/>
  <c r="K156" i="4"/>
  <c r="K160" i="4"/>
  <c r="K164" i="4"/>
  <c r="K168" i="4"/>
  <c r="K12" i="4"/>
  <c r="K16" i="4"/>
  <c r="K20" i="4"/>
  <c r="K153" i="4"/>
  <c r="K157" i="4"/>
  <c r="K161" i="4"/>
  <c r="K165" i="4"/>
  <c r="K169" i="4"/>
  <c r="K137" i="4"/>
  <c r="K141" i="4"/>
  <c r="K145" i="4"/>
  <c r="K149" i="4"/>
  <c r="K154" i="4"/>
  <c r="K158" i="4"/>
  <c r="K162" i="4"/>
  <c r="K166" i="4"/>
  <c r="K170" i="4"/>
  <c r="K151" i="4"/>
  <c r="K8" i="4"/>
  <c r="K144" i="4"/>
  <c r="K11" i="4"/>
  <c r="K159" i="4"/>
  <c r="K30" i="4"/>
  <c r="K172" i="4"/>
  <c r="AG172" i="4"/>
  <c r="K43" i="4"/>
  <c r="Y173" i="4"/>
  <c r="AN173" i="4" s="1"/>
  <c r="Y174" i="4"/>
  <c r="AN174" i="4" s="1"/>
  <c r="Y175" i="4"/>
  <c r="AN175" i="4" s="1"/>
  <c r="Y176" i="4"/>
  <c r="AN176" i="4" s="1"/>
  <c r="Y177" i="4"/>
  <c r="AN177" i="4" s="1"/>
  <c r="Y178" i="4"/>
  <c r="AN178" i="4" s="1"/>
  <c r="Y179" i="4"/>
  <c r="AN179" i="4" s="1"/>
  <c r="Y180" i="4"/>
  <c r="AN181" i="4"/>
  <c r="Y182" i="4"/>
  <c r="AN182" i="4" s="1"/>
  <c r="K251" i="4" l="1"/>
  <c r="AG250" i="4"/>
  <c r="K376" i="4"/>
  <c r="K385" i="4"/>
  <c r="K634" i="4"/>
  <c r="K643" i="4"/>
  <c r="AG252" i="4"/>
  <c r="K505" i="4"/>
  <c r="K514" i="4"/>
  <c r="AG763" i="4"/>
  <c r="AG772" i="4"/>
  <c r="AG251" i="4"/>
  <c r="AG505" i="4"/>
  <c r="AG514" i="4"/>
  <c r="K252" i="4"/>
  <c r="AG376" i="4"/>
  <c r="AG385" i="4"/>
  <c r="K250" i="4"/>
  <c r="AG634" i="4"/>
  <c r="AG643" i="4"/>
  <c r="K121" i="4"/>
  <c r="K243" i="4"/>
  <c r="AG240" i="4"/>
  <c r="K112" i="4"/>
  <c r="AG243" i="4"/>
  <c r="K113" i="4"/>
  <c r="K241" i="4"/>
  <c r="K242" i="4"/>
  <c r="AG242" i="4"/>
  <c r="K114" i="4"/>
  <c r="AG241" i="4"/>
  <c r="AN180" i="4"/>
  <c r="Y244" i="4"/>
  <c r="AN244" i="4" s="1"/>
  <c r="AM244" i="4" s="1"/>
  <c r="K240" i="4"/>
  <c r="K124" i="4"/>
  <c r="K122" i="4"/>
  <c r="K123" i="4"/>
  <c r="AG248" i="4" l="1"/>
  <c r="AG257" i="4"/>
  <c r="K248" i="4"/>
  <c r="K257" i="4"/>
  <c r="P42" i="4"/>
  <c r="N42" i="4"/>
  <c r="H42" i="4"/>
  <c r="G42" i="4"/>
  <c r="F42" i="4"/>
  <c r="E42" i="4"/>
  <c r="AO557" i="4"/>
  <c r="AE557" i="4"/>
  <c r="AE639" i="4" s="1"/>
  <c r="AE558" i="4"/>
  <c r="AL171" i="4"/>
  <c r="AL172" i="4"/>
  <c r="AK171" i="4"/>
  <c r="AK172" i="4"/>
  <c r="AJ171" i="4"/>
  <c r="AJ172" i="4"/>
  <c r="AI171" i="4"/>
  <c r="AI253" i="4" s="1"/>
  <c r="AI172" i="4"/>
  <c r="AD171" i="4"/>
  <c r="AC171" i="4"/>
  <c r="AB171" i="4"/>
  <c r="AA171" i="4"/>
  <c r="Y171" i="4"/>
  <c r="AO686" i="4"/>
  <c r="AE686" i="4"/>
  <c r="AE687" i="4"/>
  <c r="AO299" i="4"/>
  <c r="AE299" i="4"/>
  <c r="AE300" i="4"/>
  <c r="AO428" i="4"/>
  <c r="AE428" i="4"/>
  <c r="AE429" i="4"/>
  <c r="O171" i="4"/>
  <c r="M171" i="4"/>
  <c r="M172" i="4"/>
  <c r="S557" i="4"/>
  <c r="I557" i="4"/>
  <c r="I558" i="4"/>
  <c r="S428" i="4"/>
  <c r="I429" i="4"/>
  <c r="I428" i="4"/>
  <c r="I510" i="4" s="1"/>
  <c r="T299" i="4"/>
  <c r="S299" i="4"/>
  <c r="I299" i="4"/>
  <c r="I300" i="4"/>
  <c r="AQ557" i="4"/>
  <c r="AP557" i="4"/>
  <c r="AQ686" i="4"/>
  <c r="AP686" i="4"/>
  <c r="AQ299" i="4"/>
  <c r="AP299" i="4"/>
  <c r="AQ428" i="4"/>
  <c r="AP428" i="4"/>
  <c r="U557" i="4"/>
  <c r="P171" i="4"/>
  <c r="T557" i="4"/>
  <c r="N171" i="4"/>
  <c r="U428" i="4"/>
  <c r="T428" i="4"/>
  <c r="U299" i="4"/>
  <c r="AE510" i="4" l="1"/>
  <c r="AJ253" i="4"/>
  <c r="AP253" i="4" s="1"/>
  <c r="I639" i="4"/>
  <c r="AE768" i="4"/>
  <c r="AK253" i="4"/>
  <c r="I381" i="4"/>
  <c r="AL253" i="4"/>
  <c r="AQ253" i="4" s="1"/>
  <c r="AE381" i="4"/>
  <c r="M253" i="4"/>
  <c r="M57" i="4"/>
  <c r="M115" i="4" s="1"/>
  <c r="T115" i="4" s="1"/>
  <c r="M43" i="4"/>
  <c r="AE172" i="4"/>
  <c r="I172" i="4"/>
  <c r="O42" i="4"/>
  <c r="T171" i="4"/>
  <c r="AQ171" i="4"/>
  <c r="AO171" i="4"/>
  <c r="AE171" i="4"/>
  <c r="AP171" i="4"/>
  <c r="I42" i="4"/>
  <c r="I171" i="4"/>
  <c r="S42" i="4"/>
  <c r="U171" i="4"/>
  <c r="M42" i="4"/>
  <c r="I43" i="4"/>
  <c r="Z557" i="4"/>
  <c r="Z686" i="4"/>
  <c r="Z299" i="4"/>
  <c r="Z428" i="4"/>
  <c r="G173" i="4"/>
  <c r="S173" i="4" s="1"/>
  <c r="G174" i="4"/>
  <c r="S174" i="4" s="1"/>
  <c r="G175" i="4"/>
  <c r="S175" i="4" s="1"/>
  <c r="G176" i="4"/>
  <c r="S176" i="4" s="1"/>
  <c r="G177" i="4"/>
  <c r="S177" i="4" s="1"/>
  <c r="G178" i="4"/>
  <c r="S178" i="4" s="1"/>
  <c r="G179" i="4"/>
  <c r="S179" i="4" s="1"/>
  <c r="G180" i="4"/>
  <c r="G181" i="4"/>
  <c r="S181" i="4" s="1"/>
  <c r="G182" i="4"/>
  <c r="E174" i="4"/>
  <c r="E175" i="4"/>
  <c r="E176" i="4"/>
  <c r="E177" i="4"/>
  <c r="E178" i="4"/>
  <c r="E179" i="4"/>
  <c r="E180" i="4"/>
  <c r="E181" i="4"/>
  <c r="E182" i="4"/>
  <c r="H171" i="4"/>
  <c r="G171" i="4"/>
  <c r="F171" i="4"/>
  <c r="E171" i="4"/>
  <c r="E173" i="4"/>
  <c r="D557" i="4"/>
  <c r="D428" i="4"/>
  <c r="D299" i="4"/>
  <c r="I253" i="4" l="1"/>
  <c r="L557" i="4"/>
  <c r="AE253" i="4"/>
  <c r="O57" i="4"/>
  <c r="U57" i="4" s="1"/>
  <c r="E244" i="4"/>
  <c r="S180" i="4"/>
  <c r="G244" i="4"/>
  <c r="S244" i="4" s="1"/>
  <c r="M125" i="4"/>
  <c r="T125" i="4" s="1"/>
  <c r="M124" i="4"/>
  <c r="T57" i="4"/>
  <c r="I124" i="4"/>
  <c r="S182" i="4"/>
  <c r="U42" i="4"/>
  <c r="Z171" i="4"/>
  <c r="AH686" i="4"/>
  <c r="AF686" i="4"/>
  <c r="AN686" i="4"/>
  <c r="R428" i="4"/>
  <c r="L428" i="4"/>
  <c r="J428" i="4"/>
  <c r="R557" i="4"/>
  <c r="J557" i="4"/>
  <c r="D171" i="4"/>
  <c r="AH557" i="4"/>
  <c r="AN557" i="4"/>
  <c r="AF557" i="4"/>
  <c r="AF299" i="4"/>
  <c r="AN299" i="4"/>
  <c r="AH299" i="4"/>
  <c r="L299" i="4"/>
  <c r="J299" i="4"/>
  <c r="R299" i="4"/>
  <c r="AN428" i="4"/>
  <c r="AH428" i="4"/>
  <c r="AF428" i="4"/>
  <c r="S171" i="4"/>
  <c r="T42" i="4"/>
  <c r="P43" i="4"/>
  <c r="P124" i="4" s="1"/>
  <c r="N43" i="4"/>
  <c r="N124" i="4" s="1"/>
  <c r="H43" i="4"/>
  <c r="H124" i="4" s="1"/>
  <c r="G43" i="4"/>
  <c r="G124" i="4" s="1"/>
  <c r="F43" i="4"/>
  <c r="F124" i="4" s="1"/>
  <c r="E43" i="4"/>
  <c r="E124" i="4" s="1"/>
  <c r="AQ172" i="4"/>
  <c r="AP172" i="4"/>
  <c r="AC172" i="4"/>
  <c r="AC253" i="4" s="1"/>
  <c r="AA172" i="4"/>
  <c r="AA253" i="4" s="1"/>
  <c r="AD172" i="4"/>
  <c r="AD253" i="4" s="1"/>
  <c r="AO253" i="4" s="1"/>
  <c r="AB172" i="4"/>
  <c r="AB253" i="4" s="1"/>
  <c r="AB170" i="4"/>
  <c r="AQ558" i="4"/>
  <c r="AP558" i="4"/>
  <c r="AO558" i="4"/>
  <c r="Y172" i="4"/>
  <c r="Y253" i="4" s="1"/>
  <c r="AQ687" i="4"/>
  <c r="AP687" i="4"/>
  <c r="AO687" i="4"/>
  <c r="AQ300" i="4"/>
  <c r="AP300" i="4"/>
  <c r="AO300" i="4"/>
  <c r="AP429" i="4"/>
  <c r="AO429" i="4"/>
  <c r="AQ429" i="4"/>
  <c r="P172" i="4"/>
  <c r="P253" i="4" s="1"/>
  <c r="O172" i="4"/>
  <c r="O253" i="4" s="1"/>
  <c r="N172" i="4"/>
  <c r="N253" i="4" s="1"/>
  <c r="T253" i="4" s="1"/>
  <c r="H172" i="4"/>
  <c r="H253" i="4" s="1"/>
  <c r="G172" i="4"/>
  <c r="G253" i="4" s="1"/>
  <c r="E172" i="4"/>
  <c r="E253" i="4" s="1"/>
  <c r="F172" i="4"/>
  <c r="F253" i="4" s="1"/>
  <c r="U558" i="4"/>
  <c r="T558" i="4"/>
  <c r="S558" i="4"/>
  <c r="U429" i="4"/>
  <c r="T429" i="4"/>
  <c r="S429" i="4"/>
  <c r="U300" i="4"/>
  <c r="T300" i="4"/>
  <c r="S300" i="4"/>
  <c r="S253" i="4" l="1"/>
  <c r="U253" i="4"/>
  <c r="O115" i="4"/>
  <c r="U115" i="4" s="1"/>
  <c r="O125" i="4"/>
  <c r="AA243" i="4"/>
  <c r="AC243" i="4"/>
  <c r="G243" i="4"/>
  <c r="E243" i="4"/>
  <c r="D42" i="4"/>
  <c r="J42" i="4"/>
  <c r="L42" i="4"/>
  <c r="L171" i="4"/>
  <c r="AH171" i="4"/>
  <c r="AO172" i="4"/>
  <c r="AN171" i="4"/>
  <c r="AM171" i="4" s="1"/>
  <c r="AF171" i="4"/>
  <c r="J171" i="4"/>
  <c r="O43" i="4"/>
  <c r="O124" i="4" s="1"/>
  <c r="U172" i="4"/>
  <c r="S172" i="4"/>
  <c r="S43" i="4"/>
  <c r="T172" i="4"/>
  <c r="T43" i="4"/>
  <c r="U43" i="4" l="1"/>
  <c r="Z558" i="4"/>
  <c r="Z639" i="4" s="1"/>
  <c r="AN639" i="4" s="1"/>
  <c r="AM639" i="4" s="1"/>
  <c r="Z687" i="4"/>
  <c r="Z768" i="4" s="1"/>
  <c r="AN768" i="4" s="1"/>
  <c r="AM768" i="4" s="1"/>
  <c r="Z300" i="4"/>
  <c r="Z381" i="4" s="1"/>
  <c r="AN381" i="4" s="1"/>
  <c r="AM381" i="4" s="1"/>
  <c r="Z429" i="4"/>
  <c r="Z510" i="4" s="1"/>
  <c r="AN510" i="4" s="1"/>
  <c r="AM510" i="4" s="1"/>
  <c r="D558" i="4"/>
  <c r="D639" i="4" s="1"/>
  <c r="R639" i="4" s="1"/>
  <c r="Q639" i="4" s="1"/>
  <c r="D429" i="4"/>
  <c r="D510" i="4" s="1"/>
  <c r="R510" i="4" s="1"/>
  <c r="Q510" i="4" s="1"/>
  <c r="D300" i="4"/>
  <c r="D381" i="4" s="1"/>
  <c r="R381" i="4" s="1"/>
  <c r="Q381" i="4" s="1"/>
  <c r="L558" i="4" l="1"/>
  <c r="L639" i="4" s="1"/>
  <c r="AN186" i="4"/>
  <c r="AM186" i="4" s="1"/>
  <c r="AN198" i="4"/>
  <c r="AM198" i="4" s="1"/>
  <c r="J429" i="4"/>
  <c r="J510" i="4" s="1"/>
  <c r="L429" i="4"/>
  <c r="L510" i="4" s="1"/>
  <c r="R429" i="4"/>
  <c r="AH687" i="4"/>
  <c r="AH768" i="4" s="1"/>
  <c r="AF687" i="4"/>
  <c r="AF768" i="4" s="1"/>
  <c r="Z172" i="4"/>
  <c r="Z253" i="4" s="1"/>
  <c r="AN253" i="4" s="1"/>
  <c r="AM253" i="4" s="1"/>
  <c r="AN687" i="4"/>
  <c r="J558" i="4"/>
  <c r="J639" i="4" s="1"/>
  <c r="D172" i="4"/>
  <c r="D253" i="4" s="1"/>
  <c r="R558" i="4"/>
  <c r="AH558" i="4"/>
  <c r="AH639" i="4" s="1"/>
  <c r="AF558" i="4"/>
  <c r="AF639" i="4" s="1"/>
  <c r="AN558" i="4"/>
  <c r="AF429" i="4"/>
  <c r="AF510" i="4" s="1"/>
  <c r="AH429" i="4"/>
  <c r="AH510" i="4" s="1"/>
  <c r="AN429" i="4"/>
  <c r="L300" i="4"/>
  <c r="L381" i="4" s="1"/>
  <c r="J300" i="4"/>
  <c r="J381" i="4" s="1"/>
  <c r="R300" i="4"/>
  <c r="AH300" i="4"/>
  <c r="AH381" i="4" s="1"/>
  <c r="AF300" i="4"/>
  <c r="AF381" i="4" s="1"/>
  <c r="AN30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253" i="4" l="1"/>
  <c r="R253" i="4" s="1"/>
  <c r="Q253" i="4" s="1"/>
  <c r="C244" i="4"/>
  <c r="C52" i="4"/>
  <c r="R181" i="4"/>
  <c r="C51" i="4"/>
  <c r="R180" i="4"/>
  <c r="C53" i="4"/>
  <c r="R182" i="4"/>
  <c r="R178" i="4"/>
  <c r="Q178" i="4" s="1"/>
  <c r="C49" i="4"/>
  <c r="R177" i="4"/>
  <c r="C48" i="4"/>
  <c r="C47" i="4"/>
  <c r="R176" i="4"/>
  <c r="C46" i="4"/>
  <c r="R175" i="4"/>
  <c r="R179" i="4"/>
  <c r="C50" i="4"/>
  <c r="AN172" i="4"/>
  <c r="L43" i="4"/>
  <c r="L124" i="4" s="1"/>
  <c r="L172" i="4"/>
  <c r="L253" i="4" s="1"/>
  <c r="J172" i="4"/>
  <c r="J253" i="4" s="1"/>
  <c r="AF172" i="4"/>
  <c r="AF253" i="4" s="1"/>
  <c r="J43" i="4"/>
  <c r="J124" i="4" s="1"/>
  <c r="D43" i="4"/>
  <c r="D124" i="4" s="1"/>
  <c r="C45" i="4"/>
  <c r="R174" i="4"/>
  <c r="C44" i="4"/>
  <c r="R173" i="4"/>
  <c r="AH172" i="4"/>
  <c r="AH253" i="4" s="1"/>
  <c r="C42" i="4"/>
  <c r="R171" i="4"/>
  <c r="Q171" i="4" s="1"/>
  <c r="C43" i="4"/>
  <c r="R172" i="4"/>
  <c r="R244" i="4" l="1"/>
  <c r="Q244" i="4" s="1"/>
  <c r="C115" i="4"/>
  <c r="R115" i="4" s="1"/>
  <c r="Q115" i="4" s="1"/>
  <c r="R69" i="4"/>
  <c r="Q69" i="4" s="1"/>
  <c r="R52" i="4"/>
  <c r="C124" i="4"/>
  <c r="R51" i="4"/>
  <c r="R53" i="4"/>
  <c r="Q53" i="4" s="1"/>
  <c r="R46" i="4"/>
  <c r="R47" i="4"/>
  <c r="R48" i="4"/>
  <c r="R50" i="4"/>
  <c r="R49" i="4"/>
  <c r="R44" i="4"/>
  <c r="Q44" i="4" s="1"/>
  <c r="R45" i="4"/>
  <c r="R43" i="4"/>
  <c r="R42" i="4"/>
  <c r="N41" i="4"/>
  <c r="P41" i="4"/>
  <c r="H41" i="4"/>
  <c r="F41" i="4"/>
  <c r="AI170" i="4"/>
  <c r="AI252" i="4" s="1"/>
  <c r="AJ170" i="4"/>
  <c r="AK170" i="4"/>
  <c r="AL170" i="4"/>
  <c r="AP556" i="4"/>
  <c r="AQ556" i="4"/>
  <c r="AE556" i="4"/>
  <c r="AP685" i="4"/>
  <c r="AQ685" i="4"/>
  <c r="AE685" i="4"/>
  <c r="AP298" i="4"/>
  <c r="AQ298" i="4"/>
  <c r="AE298" i="4"/>
  <c r="AP427" i="4"/>
  <c r="AQ427" i="4"/>
  <c r="AE427" i="4"/>
  <c r="M170" i="4"/>
  <c r="M252" i="4" s="1"/>
  <c r="N170" i="4"/>
  <c r="O170" i="4"/>
  <c r="P170" i="4"/>
  <c r="F170" i="4"/>
  <c r="T556" i="4"/>
  <c r="U556" i="4"/>
  <c r="I556" i="4"/>
  <c r="T427" i="4"/>
  <c r="U427" i="4"/>
  <c r="I427" i="4"/>
  <c r="AQ197" i="4" l="1"/>
  <c r="AP197" i="4"/>
  <c r="AP185" i="4"/>
  <c r="AQ185" i="4"/>
  <c r="O41" i="4"/>
  <c r="M41" i="4"/>
  <c r="M123" i="4" s="1"/>
  <c r="T170" i="4"/>
  <c r="AQ170" i="4"/>
  <c r="AP170" i="4"/>
  <c r="U170" i="4"/>
  <c r="AE170" i="4"/>
  <c r="I298" i="4"/>
  <c r="U298" i="4"/>
  <c r="T298" i="4"/>
  <c r="U41" i="4" l="1"/>
  <c r="U124" i="4"/>
  <c r="T41" i="4"/>
  <c r="T124" i="4"/>
  <c r="I41" i="4"/>
  <c r="I170" i="4"/>
  <c r="AD170" i="4"/>
  <c r="AO556" i="4"/>
  <c r="Z556" i="4"/>
  <c r="AO685" i="4"/>
  <c r="Z685" i="4"/>
  <c r="AO298" i="4"/>
  <c r="Z298" i="4"/>
  <c r="AO427" i="4"/>
  <c r="Z427" i="4"/>
  <c r="H170" i="4"/>
  <c r="S556" i="4"/>
  <c r="D556" i="4"/>
  <c r="L556" i="4" s="1"/>
  <c r="S427" i="4"/>
  <c r="D427" i="4"/>
  <c r="S298" i="4"/>
  <c r="D298" i="4"/>
  <c r="AN427" i="4" l="1"/>
  <c r="AN298" i="4"/>
  <c r="AN556" i="4"/>
  <c r="S170" i="4"/>
  <c r="R427" i="4"/>
  <c r="R298" i="4"/>
  <c r="R556" i="4"/>
  <c r="AO170" i="4"/>
  <c r="D170" i="4"/>
  <c r="AH685" i="4"/>
  <c r="AF685" i="4"/>
  <c r="J556" i="4"/>
  <c r="AF298" i="4"/>
  <c r="AH298" i="4"/>
  <c r="L427" i="4"/>
  <c r="J427" i="4"/>
  <c r="AH427" i="4"/>
  <c r="AF427" i="4"/>
  <c r="AN685" i="4"/>
  <c r="Z170" i="4"/>
  <c r="J298" i="4"/>
  <c r="L298" i="4"/>
  <c r="AF556" i="4"/>
  <c r="AH556" i="4"/>
  <c r="L41" i="4" l="1"/>
  <c r="D41" i="4"/>
  <c r="L170" i="4"/>
  <c r="J170" i="4"/>
  <c r="J41" i="4"/>
  <c r="AF170" i="4"/>
  <c r="AH170" i="4"/>
  <c r="P40" i="4"/>
  <c r="N40" i="4"/>
  <c r="H37" i="4"/>
  <c r="H38" i="4"/>
  <c r="H39" i="4"/>
  <c r="H40" i="4"/>
  <c r="F38" i="4"/>
  <c r="F39" i="4"/>
  <c r="F40" i="4"/>
  <c r="AL169" i="4"/>
  <c r="AK169" i="4"/>
  <c r="AJ169" i="4"/>
  <c r="AI169" i="4"/>
  <c r="AI251" i="4" s="1"/>
  <c r="AD169" i="4"/>
  <c r="AO169" i="4" s="1"/>
  <c r="AB169" i="4"/>
  <c r="AE555" i="4"/>
  <c r="AQ555" i="4"/>
  <c r="AP555" i="4"/>
  <c r="AO555" i="4"/>
  <c r="Z555" i="4"/>
  <c r="AH555" i="4" s="1"/>
  <c r="AE684" i="4"/>
  <c r="AQ684" i="4"/>
  <c r="AP684" i="4"/>
  <c r="AO684" i="4"/>
  <c r="Z684" i="4"/>
  <c r="AN684" i="4" s="1"/>
  <c r="AE297" i="4"/>
  <c r="AQ297" i="4"/>
  <c r="AP297" i="4"/>
  <c r="AO297" i="4"/>
  <c r="Z297" i="4"/>
  <c r="AN297" i="4" s="1"/>
  <c r="AO426" i="4"/>
  <c r="AE426" i="4"/>
  <c r="AQ426" i="4"/>
  <c r="AP426" i="4"/>
  <c r="Z426" i="4"/>
  <c r="AF426" i="4" s="1"/>
  <c r="H114" i="4" l="1"/>
  <c r="F114" i="4"/>
  <c r="AN555" i="4"/>
  <c r="AH297" i="4"/>
  <c r="AN426" i="4"/>
  <c r="AH426" i="4"/>
  <c r="AH684" i="4"/>
  <c r="AQ169" i="4"/>
  <c r="AF297" i="4"/>
  <c r="AF684" i="4"/>
  <c r="AF555" i="4"/>
  <c r="AE169" i="4"/>
  <c r="AP169" i="4"/>
  <c r="Z169" i="4"/>
  <c r="O169" i="4"/>
  <c r="O40" i="4" s="1"/>
  <c r="U40" i="4" s="1"/>
  <c r="M169" i="4"/>
  <c r="M251" i="4" s="1"/>
  <c r="I555" i="4"/>
  <c r="U555" i="4"/>
  <c r="P169" i="4"/>
  <c r="T555" i="4"/>
  <c r="N169" i="4"/>
  <c r="S555" i="4"/>
  <c r="H169" i="4"/>
  <c r="S169" i="4" s="1"/>
  <c r="F169" i="4"/>
  <c r="D555" i="4"/>
  <c r="L555" i="4" s="1"/>
  <c r="I426" i="4"/>
  <c r="U426" i="4"/>
  <c r="T426" i="4"/>
  <c r="S426" i="4"/>
  <c r="D426" i="4"/>
  <c r="R426" i="4" s="1"/>
  <c r="I297" i="4"/>
  <c r="U297" i="4"/>
  <c r="T297" i="4"/>
  <c r="M40" i="4" l="1"/>
  <c r="M122" i="4" s="1"/>
  <c r="AH169" i="4"/>
  <c r="L426" i="4"/>
  <c r="J426" i="4"/>
  <c r="J555" i="4"/>
  <c r="AF169" i="4"/>
  <c r="U169" i="4"/>
  <c r="I40" i="4"/>
  <c r="R555" i="4"/>
  <c r="T169" i="4"/>
  <c r="I169" i="4"/>
  <c r="S297" i="4"/>
  <c r="D297" i="4"/>
  <c r="T40" i="4" l="1"/>
  <c r="R297" i="4"/>
  <c r="J297" i="4"/>
  <c r="L297" i="4"/>
  <c r="D169" i="4"/>
  <c r="D40" i="4" s="1"/>
  <c r="N39" i="4"/>
  <c r="N114" i="4" s="1"/>
  <c r="P39" i="4"/>
  <c r="P114" i="4" s="1"/>
  <c r="AE554" i="4"/>
  <c r="AE629" i="4" s="1"/>
  <c r="AQ554" i="4"/>
  <c r="AP554" i="4"/>
  <c r="AO554" i="4"/>
  <c r="Z554" i="4"/>
  <c r="AL168" i="4"/>
  <c r="AL243" i="4" s="1"/>
  <c r="AK168" i="4"/>
  <c r="AK243" i="4" s="1"/>
  <c r="AJ168" i="4"/>
  <c r="AJ243" i="4" s="1"/>
  <c r="AI168" i="4"/>
  <c r="AI250" i="4" s="1"/>
  <c r="AD168" i="4"/>
  <c r="AB168" i="4"/>
  <c r="AB243" i="4" s="1"/>
  <c r="AE683" i="4"/>
  <c r="AE758" i="4" s="1"/>
  <c r="AQ683" i="4"/>
  <c r="AP683" i="4"/>
  <c r="AO683" i="4"/>
  <c r="Z683" i="4"/>
  <c r="AQ296" i="4"/>
  <c r="AP296" i="4"/>
  <c r="AE296" i="4"/>
  <c r="AE371" i="4" s="1"/>
  <c r="AO296" i="4"/>
  <c r="Z296" i="4"/>
  <c r="AE425" i="4"/>
  <c r="AE500" i="4" s="1"/>
  <c r="AQ425" i="4"/>
  <c r="AP425" i="4"/>
  <c r="AO425" i="4"/>
  <c r="Z425" i="4"/>
  <c r="O168" i="4"/>
  <c r="O243" i="4" s="1"/>
  <c r="M168" i="4"/>
  <c r="M250" i="4" s="1"/>
  <c r="I554" i="4"/>
  <c r="I629" i="4" s="1"/>
  <c r="U554" i="4"/>
  <c r="P168" i="4"/>
  <c r="P243" i="4" s="1"/>
  <c r="T554" i="4"/>
  <c r="N168" i="4"/>
  <c r="N243" i="4" s="1"/>
  <c r="S554" i="4"/>
  <c r="H168" i="4"/>
  <c r="F168" i="4"/>
  <c r="F243" i="4" s="1"/>
  <c r="D554" i="4"/>
  <c r="I425" i="4"/>
  <c r="I500" i="4" s="1"/>
  <c r="U425" i="4"/>
  <c r="T425" i="4"/>
  <c r="S425" i="4"/>
  <c r="D425" i="4"/>
  <c r="I296" i="4"/>
  <c r="I371" i="4" s="1"/>
  <c r="U296" i="4"/>
  <c r="T296" i="4"/>
  <c r="S296" i="4"/>
  <c r="AI243" i="4" l="1"/>
  <c r="AP243" i="4" s="1"/>
  <c r="M243" i="4"/>
  <c r="T243" i="4" s="1"/>
  <c r="AN683" i="4"/>
  <c r="Z758" i="4"/>
  <c r="AN758" i="4" s="1"/>
  <c r="AM758" i="4" s="1"/>
  <c r="AH554" i="4"/>
  <c r="AH629" i="4" s="1"/>
  <c r="Z629" i="4"/>
  <c r="AN629" i="4" s="1"/>
  <c r="AM629" i="4" s="1"/>
  <c r="R425" i="4"/>
  <c r="D500" i="4"/>
  <c r="R500" i="4" s="1"/>
  <c r="Q500" i="4" s="1"/>
  <c r="AN425" i="4"/>
  <c r="Z500" i="4"/>
  <c r="AN500" i="4" s="1"/>
  <c r="AM500" i="4" s="1"/>
  <c r="L554" i="4"/>
  <c r="L629" i="4" s="1"/>
  <c r="D629" i="4"/>
  <c r="R629" i="4" s="1"/>
  <c r="Q629" i="4" s="1"/>
  <c r="AF296" i="4"/>
  <c r="AF371" i="4" s="1"/>
  <c r="Z371" i="4"/>
  <c r="AN371" i="4" s="1"/>
  <c r="AM371" i="4" s="1"/>
  <c r="U243" i="4"/>
  <c r="AQ243" i="4"/>
  <c r="AO168" i="4"/>
  <c r="AD243" i="4"/>
  <c r="AO243" i="4" s="1"/>
  <c r="S168" i="4"/>
  <c r="H243" i="4"/>
  <c r="S243" i="4" s="1"/>
  <c r="M39" i="4"/>
  <c r="M114" i="4" s="1"/>
  <c r="T114" i="4" s="1"/>
  <c r="AN554" i="4"/>
  <c r="AF554" i="4"/>
  <c r="AF629" i="4" s="1"/>
  <c r="J425" i="4"/>
  <c r="J500" i="4" s="1"/>
  <c r="U168" i="4"/>
  <c r="I39" i="4"/>
  <c r="I114" i="4" s="1"/>
  <c r="R554" i="4"/>
  <c r="AH425" i="4"/>
  <c r="AH500" i="4" s="1"/>
  <c r="AH296" i="4"/>
  <c r="AH371" i="4" s="1"/>
  <c r="AN296" i="4"/>
  <c r="L425" i="4"/>
  <c r="L500" i="4" s="1"/>
  <c r="AF425" i="4"/>
  <c r="AF500" i="4" s="1"/>
  <c r="Z168" i="4"/>
  <c r="Z243" i="4" s="1"/>
  <c r="AQ168" i="4"/>
  <c r="O39" i="4"/>
  <c r="AE168" i="4"/>
  <c r="AE243" i="4" s="1"/>
  <c r="J554" i="4"/>
  <c r="J629" i="4" s="1"/>
  <c r="AF683" i="4"/>
  <c r="AF758" i="4" s="1"/>
  <c r="L40" i="4"/>
  <c r="L169" i="4"/>
  <c r="AP168" i="4"/>
  <c r="J40" i="4"/>
  <c r="J169" i="4"/>
  <c r="AH683" i="4"/>
  <c r="AH758" i="4" s="1"/>
  <c r="T168" i="4"/>
  <c r="I168" i="4"/>
  <c r="I243" i="4" s="1"/>
  <c r="D296" i="4"/>
  <c r="D371" i="4" s="1"/>
  <c r="R371" i="4" s="1"/>
  <c r="Q371" i="4" s="1"/>
  <c r="W244" i="4" l="1"/>
  <c r="U39" i="4"/>
  <c r="O114" i="4"/>
  <c r="U114" i="4" s="1"/>
  <c r="T39" i="4"/>
  <c r="M121" i="4"/>
  <c r="AF168" i="4"/>
  <c r="AF243" i="4" s="1"/>
  <c r="AH168" i="4"/>
  <c r="AH243" i="4" s="1"/>
  <c r="J296" i="4"/>
  <c r="J371" i="4" s="1"/>
  <c r="R296" i="4"/>
  <c r="L296" i="4"/>
  <c r="L371" i="4" s="1"/>
  <c r="D168" i="4"/>
  <c r="E39" i="4"/>
  <c r="E40" i="4"/>
  <c r="E41" i="4"/>
  <c r="D39" i="4" l="1"/>
  <c r="D114" i="4" s="1"/>
  <c r="D243" i="4"/>
  <c r="A244" i="4" s="1"/>
  <c r="E114" i="4"/>
  <c r="L39" i="4"/>
  <c r="L114" i="4" s="1"/>
  <c r="L168" i="4"/>
  <c r="L243" i="4" s="1"/>
  <c r="J39" i="4"/>
  <c r="J114" i="4" s="1"/>
  <c r="J168" i="4"/>
  <c r="J243" i="4" s="1"/>
  <c r="N38" i="4"/>
  <c r="P38" i="4"/>
  <c r="AO553" i="4"/>
  <c r="AE553" i="4"/>
  <c r="AQ553" i="4"/>
  <c r="AP553" i="4"/>
  <c r="AI167" i="4"/>
  <c r="AJ167" i="4"/>
  <c r="AK167" i="4"/>
  <c r="AL167" i="4"/>
  <c r="AD167" i="4"/>
  <c r="AO167" i="4" s="1"/>
  <c r="AB167" i="4"/>
  <c r="AO682" i="4"/>
  <c r="AE682" i="4"/>
  <c r="AQ682" i="4"/>
  <c r="AP682" i="4"/>
  <c r="AO295" i="4"/>
  <c r="AE295" i="4"/>
  <c r="AQ295" i="4"/>
  <c r="AP295" i="4"/>
  <c r="AO424" i="4"/>
  <c r="AE424" i="4"/>
  <c r="AQ424" i="4"/>
  <c r="AP424" i="4"/>
  <c r="O167" i="4"/>
  <c r="M167" i="4"/>
  <c r="H167" i="4"/>
  <c r="S167" i="4" s="1"/>
  <c r="F167" i="4"/>
  <c r="S553" i="4"/>
  <c r="I553" i="4"/>
  <c r="U553" i="4"/>
  <c r="P167" i="4"/>
  <c r="T553" i="4"/>
  <c r="N167" i="4"/>
  <c r="S424" i="4"/>
  <c r="I424" i="4"/>
  <c r="U424" i="4"/>
  <c r="T424" i="4"/>
  <c r="S295" i="4"/>
  <c r="I295" i="4"/>
  <c r="U295" i="4"/>
  <c r="T295" i="4"/>
  <c r="AQ167" i="4" l="1"/>
  <c r="O38" i="4"/>
  <c r="U38" i="4" s="1"/>
  <c r="AP167" i="4"/>
  <c r="M38" i="4"/>
  <c r="T38" i="4" s="1"/>
  <c r="AE167" i="4"/>
  <c r="T167" i="4"/>
  <c r="U167" i="4"/>
  <c r="I38" i="4"/>
  <c r="I167" i="4"/>
  <c r="Z553" i="4" l="1"/>
  <c r="Z682" i="4"/>
  <c r="Z295" i="4"/>
  <c r="Z424" i="4"/>
  <c r="D553" i="4"/>
  <c r="L553" i="4" s="1"/>
  <c r="D424" i="4"/>
  <c r="D295" i="4"/>
  <c r="AH295" i="4" l="1"/>
  <c r="AF295" i="4"/>
  <c r="AN295" i="4"/>
  <c r="AH424" i="4"/>
  <c r="AN424" i="4"/>
  <c r="AF424" i="4"/>
  <c r="L295" i="4"/>
  <c r="R295" i="4"/>
  <c r="J295" i="4"/>
  <c r="J424" i="4"/>
  <c r="L424" i="4"/>
  <c r="R424" i="4"/>
  <c r="AF682" i="4"/>
  <c r="AH682" i="4"/>
  <c r="AN682" i="4"/>
  <c r="Z167" i="4"/>
  <c r="J553" i="4"/>
  <c r="D167" i="4"/>
  <c r="R553" i="4"/>
  <c r="AN553" i="4"/>
  <c r="AF553" i="4"/>
  <c r="AH553" i="4"/>
  <c r="E38" i="4"/>
  <c r="J167" i="4" l="1"/>
  <c r="D38" i="4"/>
  <c r="L38" i="4"/>
  <c r="AF167" i="4"/>
  <c r="AH167" i="4"/>
  <c r="L167" i="4"/>
  <c r="J38" i="4"/>
  <c r="N37" i="4"/>
  <c r="P37" i="4"/>
  <c r="AI166" i="4"/>
  <c r="AJ166" i="4"/>
  <c r="AK166" i="4"/>
  <c r="AL166" i="4"/>
  <c r="AD166" i="4"/>
  <c r="AO166" i="4" s="1"/>
  <c r="AB166" i="4"/>
  <c r="AQ552" i="4"/>
  <c r="AP552" i="4"/>
  <c r="AE552" i="4"/>
  <c r="AO552" i="4"/>
  <c r="Z552" i="4"/>
  <c r="AN552" i="4" s="1"/>
  <c r="AE681" i="4"/>
  <c r="AQ681" i="4"/>
  <c r="AP681" i="4"/>
  <c r="AO681" i="4"/>
  <c r="Z681" i="4"/>
  <c r="AN681" i="4" s="1"/>
  <c r="AE294" i="4"/>
  <c r="AQ294" i="4"/>
  <c r="AP294" i="4"/>
  <c r="AO294" i="4"/>
  <c r="Z294" i="4"/>
  <c r="AN294" i="4" s="1"/>
  <c r="AE423" i="4"/>
  <c r="AQ423" i="4"/>
  <c r="AP423" i="4"/>
  <c r="AO423" i="4"/>
  <c r="Z423" i="4"/>
  <c r="AN423" i="4" s="1"/>
  <c r="O166" i="4"/>
  <c r="M166" i="4"/>
  <c r="I552" i="4"/>
  <c r="U552" i="4"/>
  <c r="P166" i="4"/>
  <c r="T552" i="4"/>
  <c r="N166" i="4"/>
  <c r="S552" i="4"/>
  <c r="H166" i="4"/>
  <c r="S166" i="4" s="1"/>
  <c r="F166" i="4"/>
  <c r="D552" i="4"/>
  <c r="S423" i="4"/>
  <c r="I423" i="4"/>
  <c r="U423" i="4"/>
  <c r="T423" i="4"/>
  <c r="D423" i="4"/>
  <c r="L423" i="4" s="1"/>
  <c r="S294" i="4"/>
  <c r="U294" i="4"/>
  <c r="T294" i="4"/>
  <c r="I294" i="4"/>
  <c r="D294" i="4"/>
  <c r="J294" i="4" s="1"/>
  <c r="M37" i="4" l="1"/>
  <c r="T37" i="4" s="1"/>
  <c r="O37" i="4"/>
  <c r="U37" i="4" s="1"/>
  <c r="AP166" i="4"/>
  <c r="R552" i="4"/>
  <c r="L552" i="4"/>
  <c r="R294" i="4"/>
  <c r="L294" i="4"/>
  <c r="AQ166" i="4"/>
  <c r="J552" i="4"/>
  <c r="J423" i="4"/>
  <c r="R423" i="4"/>
  <c r="D166" i="4"/>
  <c r="AH423" i="4"/>
  <c r="AH294" i="4"/>
  <c r="AH681" i="4"/>
  <c r="AH552" i="4"/>
  <c r="AF423" i="4"/>
  <c r="AF294" i="4"/>
  <c r="AF681" i="4"/>
  <c r="AF552" i="4"/>
  <c r="Z166" i="4"/>
  <c r="T166" i="4"/>
  <c r="AE166" i="4"/>
  <c r="I166" i="4"/>
  <c r="U166" i="4"/>
  <c r="I37" i="4"/>
  <c r="L166" i="4" l="1"/>
  <c r="J37" i="4"/>
  <c r="J166" i="4"/>
  <c r="AH166" i="4"/>
  <c r="AF166" i="4"/>
  <c r="L37" i="4"/>
  <c r="D37" i="4"/>
  <c r="F37" i="4"/>
  <c r="E37" i="4"/>
  <c r="I422" i="4" l="1"/>
  <c r="E36" i="4" l="1"/>
  <c r="F36" i="4"/>
  <c r="G36" i="4"/>
  <c r="H36" i="4"/>
  <c r="N36" i="4"/>
  <c r="P36" i="4"/>
  <c r="AI165" i="4"/>
  <c r="AJ165" i="4"/>
  <c r="AK165" i="4"/>
  <c r="AL165" i="4"/>
  <c r="AD165" i="4"/>
  <c r="AO165" i="4" s="1"/>
  <c r="AB165" i="4"/>
  <c r="AE551" i="4"/>
  <c r="AQ551" i="4"/>
  <c r="AP551" i="4"/>
  <c r="AE680" i="4"/>
  <c r="AQ680" i="4"/>
  <c r="AP680" i="4"/>
  <c r="AE293" i="4"/>
  <c r="AQ293" i="4"/>
  <c r="AP293" i="4"/>
  <c r="AE422" i="4"/>
  <c r="AQ422" i="4"/>
  <c r="AP422" i="4"/>
  <c r="O165" i="4"/>
  <c r="M165" i="4"/>
  <c r="I551" i="4"/>
  <c r="U551" i="4"/>
  <c r="P165" i="4"/>
  <c r="T551" i="4"/>
  <c r="N165" i="4"/>
  <c r="U422" i="4"/>
  <c r="T422" i="4"/>
  <c r="I293" i="4"/>
  <c r="U293" i="4"/>
  <c r="T293" i="4"/>
  <c r="O36" i="4" l="1"/>
  <c r="U36" i="4" s="1"/>
  <c r="U165" i="4"/>
  <c r="AP165" i="4"/>
  <c r="T165" i="4"/>
  <c r="I165" i="4"/>
  <c r="AQ165" i="4"/>
  <c r="AE165" i="4"/>
  <c r="M36" i="4"/>
  <c r="T36" i="4" s="1"/>
  <c r="S36" i="4"/>
  <c r="I36" i="4"/>
  <c r="AO551" i="4"/>
  <c r="Z551" i="4"/>
  <c r="AN551" i="4" s="1"/>
  <c r="AO680" i="4"/>
  <c r="Z680" i="4"/>
  <c r="AN680" i="4" s="1"/>
  <c r="AO293" i="4"/>
  <c r="Z293" i="4"/>
  <c r="AO422" i="4"/>
  <c r="Z422" i="4"/>
  <c r="AN422" i="4" s="1"/>
  <c r="S551" i="4"/>
  <c r="H165" i="4"/>
  <c r="S165" i="4" s="1"/>
  <c r="F165" i="4"/>
  <c r="D551" i="4"/>
  <c r="S422" i="4"/>
  <c r="D422" i="4"/>
  <c r="R422" i="4" s="1"/>
  <c r="S293" i="4"/>
  <c r="D293" i="4"/>
  <c r="R293" i="4" s="1"/>
  <c r="R551" i="4" l="1"/>
  <c r="L551" i="4"/>
  <c r="J551" i="4"/>
  <c r="D165" i="4"/>
  <c r="AH293" i="4"/>
  <c r="AF293" i="4"/>
  <c r="J422" i="4"/>
  <c r="L422" i="4"/>
  <c r="AF422" i="4"/>
  <c r="AH422" i="4"/>
  <c r="AF680" i="4"/>
  <c r="Z165" i="4"/>
  <c r="AH680" i="4"/>
  <c r="L293" i="4"/>
  <c r="J293" i="4"/>
  <c r="AN293" i="4"/>
  <c r="AH551" i="4"/>
  <c r="AF551" i="4"/>
  <c r="N35" i="4"/>
  <c r="P35" i="4"/>
  <c r="AJ164" i="4"/>
  <c r="AK164" i="4"/>
  <c r="AL164" i="4"/>
  <c r="AI164" i="4"/>
  <c r="AE550" i="4"/>
  <c r="AE679" i="4"/>
  <c r="AE292" i="4"/>
  <c r="AE421" i="4"/>
  <c r="O164" i="4"/>
  <c r="M164" i="4"/>
  <c r="I550" i="4"/>
  <c r="I421" i="4"/>
  <c r="AQ550" i="4"/>
  <c r="AP550" i="4"/>
  <c r="AQ679" i="4"/>
  <c r="AP679" i="4"/>
  <c r="AQ292" i="4"/>
  <c r="AP292" i="4"/>
  <c r="AQ421" i="4"/>
  <c r="AP421" i="4"/>
  <c r="U550" i="4"/>
  <c r="P164" i="4"/>
  <c r="T550" i="4"/>
  <c r="N164" i="4"/>
  <c r="U421" i="4"/>
  <c r="T421" i="4"/>
  <c r="I292" i="4"/>
  <c r="U292" i="4"/>
  <c r="T292" i="4"/>
  <c r="U164" i="4" l="1"/>
  <c r="AQ164" i="4"/>
  <c r="T164" i="4"/>
  <c r="M35" i="4"/>
  <c r="T35" i="4" s="1"/>
  <c r="O35" i="4"/>
  <c r="U35" i="4" s="1"/>
  <c r="I35" i="4"/>
  <c r="I164" i="4"/>
  <c r="AE164" i="4"/>
  <c r="AH165" i="4"/>
  <c r="D36" i="4"/>
  <c r="AP164" i="4"/>
  <c r="J36" i="4"/>
  <c r="AF165" i="4"/>
  <c r="J165" i="4"/>
  <c r="L36" i="4"/>
  <c r="L165" i="4"/>
  <c r="AO550" i="4"/>
  <c r="AD164" i="4"/>
  <c r="AO164" i="4" s="1"/>
  <c r="AB164" i="4"/>
  <c r="AO679" i="4"/>
  <c r="AO292" i="4"/>
  <c r="AO421" i="4"/>
  <c r="H35" i="4"/>
  <c r="F35" i="4"/>
  <c r="E35" i="4"/>
  <c r="H164" i="4"/>
  <c r="S164" i="4" s="1"/>
  <c r="F164" i="4"/>
  <c r="S550" i="4"/>
  <c r="S421" i="4"/>
  <c r="S292" i="4"/>
  <c r="Z550" i="4"/>
  <c r="AN550" i="4" s="1"/>
  <c r="Z679" i="4"/>
  <c r="AN679" i="4" s="1"/>
  <c r="Z292" i="4"/>
  <c r="AN292" i="4" s="1"/>
  <c r="Z421" i="4"/>
  <c r="D550" i="4"/>
  <c r="L550" i="4" s="1"/>
  <c r="D421" i="4"/>
  <c r="D292" i="4"/>
  <c r="D164" i="4" l="1"/>
  <c r="R550" i="4"/>
  <c r="L292" i="4"/>
  <c r="J292" i="4"/>
  <c r="J421" i="4"/>
  <c r="L421" i="4"/>
  <c r="AF679" i="4"/>
  <c r="AH679" i="4"/>
  <c r="AH421" i="4"/>
  <c r="AF421" i="4"/>
  <c r="AN421" i="4"/>
  <c r="AF292" i="4"/>
  <c r="AH292" i="4"/>
  <c r="R292" i="4"/>
  <c r="Z164" i="4"/>
  <c r="J550" i="4"/>
  <c r="AH550" i="4"/>
  <c r="AF550" i="4"/>
  <c r="R421" i="4"/>
  <c r="L164" i="4" l="1"/>
  <c r="J164" i="4"/>
  <c r="AH164" i="4"/>
  <c r="AF164" i="4"/>
  <c r="L35" i="4"/>
  <c r="J35" i="4"/>
  <c r="D35" i="4"/>
  <c r="N34" i="4" l="1"/>
  <c r="P34" i="4"/>
  <c r="H34" i="4"/>
  <c r="F34" i="4"/>
  <c r="E34" i="4"/>
  <c r="AL163" i="4"/>
  <c r="AK163" i="4"/>
  <c r="AJ163" i="4"/>
  <c r="AI163" i="4"/>
  <c r="AD163" i="4"/>
  <c r="AO163" i="4" s="1"/>
  <c r="AB163" i="4"/>
  <c r="AE549" i="4"/>
  <c r="AO549" i="4"/>
  <c r="Z549" i="4"/>
  <c r="AN549" i="4" s="1"/>
  <c r="AQ549" i="4"/>
  <c r="AP549" i="4"/>
  <c r="AE678" i="4"/>
  <c r="AQ678" i="4"/>
  <c r="AP678" i="4"/>
  <c r="AO678" i="4"/>
  <c r="Z678" i="4"/>
  <c r="AN678" i="4" s="1"/>
  <c r="AE291" i="4"/>
  <c r="AO291" i="4"/>
  <c r="Z291" i="4"/>
  <c r="AN291" i="4" s="1"/>
  <c r="AQ291" i="4"/>
  <c r="AP291" i="4"/>
  <c r="AE420" i="4"/>
  <c r="AQ420" i="4"/>
  <c r="AP420" i="4"/>
  <c r="AO420" i="4"/>
  <c r="Z420" i="4"/>
  <c r="AN420" i="4" s="1"/>
  <c r="O163" i="4"/>
  <c r="M163" i="4"/>
  <c r="I549" i="4"/>
  <c r="U549" i="4"/>
  <c r="P163" i="4"/>
  <c r="T549" i="4"/>
  <c r="N163" i="4"/>
  <c r="S549" i="4"/>
  <c r="H163" i="4"/>
  <c r="S163" i="4" s="1"/>
  <c r="F163" i="4"/>
  <c r="D549" i="4"/>
  <c r="I420" i="4"/>
  <c r="U420" i="4"/>
  <c r="T420" i="4"/>
  <c r="S420" i="4"/>
  <c r="D420" i="4"/>
  <c r="J420" i="4" s="1"/>
  <c r="I291" i="4"/>
  <c r="U291" i="4"/>
  <c r="T291" i="4"/>
  <c r="J549" i="4" l="1"/>
  <c r="L549" i="4"/>
  <c r="AQ163" i="4"/>
  <c r="O34" i="4"/>
  <c r="U34" i="4" s="1"/>
  <c r="M34" i="4"/>
  <c r="T34" i="4" s="1"/>
  <c r="U163" i="4"/>
  <c r="AP163" i="4"/>
  <c r="L420" i="4"/>
  <c r="I163" i="4"/>
  <c r="I34" i="4"/>
  <c r="T163" i="4"/>
  <c r="AE163" i="4"/>
  <c r="Z163" i="4"/>
  <c r="R420" i="4"/>
  <c r="AF420" i="4"/>
  <c r="AF291" i="4"/>
  <c r="AF678" i="4"/>
  <c r="AF549" i="4"/>
  <c r="AH420" i="4"/>
  <c r="AH291" i="4"/>
  <c r="AH678" i="4"/>
  <c r="AH549" i="4"/>
  <c r="R549" i="4"/>
  <c r="S291" i="4"/>
  <c r="D291" i="4"/>
  <c r="D163" i="4" s="1"/>
  <c r="L291" i="4" l="1"/>
  <c r="L34" i="4" s="1"/>
  <c r="J291" i="4"/>
  <c r="R291" i="4"/>
  <c r="AF163" i="4"/>
  <c r="D34" i="4"/>
  <c r="AH163" i="4"/>
  <c r="G29" i="4"/>
  <c r="G30" i="4"/>
  <c r="G31" i="4"/>
  <c r="G32" i="4"/>
  <c r="G33" i="4"/>
  <c r="G34" i="4"/>
  <c r="G35" i="4"/>
  <c r="S35" i="4" s="1"/>
  <c r="G37" i="4"/>
  <c r="S37" i="4" s="1"/>
  <c r="G38" i="4"/>
  <c r="S38" i="4" s="1"/>
  <c r="G39" i="4"/>
  <c r="G40" i="4"/>
  <c r="G41" i="4"/>
  <c r="S124" i="4" s="1"/>
  <c r="S39" i="4" l="1"/>
  <c r="G114" i="4"/>
  <c r="S114" i="4" s="1"/>
  <c r="S41" i="4"/>
  <c r="G123" i="4"/>
  <c r="S40" i="4"/>
  <c r="J34" i="4"/>
  <c r="J163" i="4"/>
  <c r="S34" i="4"/>
  <c r="L163" i="4"/>
  <c r="AH548" i="4"/>
  <c r="AF548" i="4"/>
  <c r="AE548" i="4"/>
  <c r="P33" i="4" l="1"/>
  <c r="N33" i="4"/>
  <c r="H33" i="4"/>
  <c r="S33" i="4" s="1"/>
  <c r="F33" i="4"/>
  <c r="E33" i="4"/>
  <c r="AL161" i="4"/>
  <c r="AL162" i="4"/>
  <c r="AK162" i="4"/>
  <c r="AJ162" i="4"/>
  <c r="AI162" i="4"/>
  <c r="AD162" i="4"/>
  <c r="AO162" i="4" s="1"/>
  <c r="AB162" i="4"/>
  <c r="Z162" i="4"/>
  <c r="O161" i="4"/>
  <c r="O162" i="4"/>
  <c r="M161" i="4"/>
  <c r="M162" i="4"/>
  <c r="H162" i="4"/>
  <c r="S162" i="4" s="1"/>
  <c r="F162" i="4"/>
  <c r="D162" i="4"/>
  <c r="S548" i="4"/>
  <c r="R548" i="4"/>
  <c r="J548" i="4"/>
  <c r="I548" i="4"/>
  <c r="AO548" i="4"/>
  <c r="AN548" i="4"/>
  <c r="AQ548" i="4"/>
  <c r="AP548" i="4"/>
  <c r="AQ547" i="4"/>
  <c r="AP547" i="4"/>
  <c r="AO677" i="4"/>
  <c r="AN677" i="4"/>
  <c r="AH677" i="4"/>
  <c r="AF677" i="4"/>
  <c r="AE677" i="4"/>
  <c r="AQ677" i="4"/>
  <c r="AP677" i="4"/>
  <c r="AQ676" i="4"/>
  <c r="AP676" i="4"/>
  <c r="AO290" i="4"/>
  <c r="AN290" i="4"/>
  <c r="AH290" i="4"/>
  <c r="AF290" i="4"/>
  <c r="AE290" i="4"/>
  <c r="AQ290" i="4"/>
  <c r="AP290" i="4"/>
  <c r="AQ289" i="4"/>
  <c r="AP289" i="4"/>
  <c r="AP419" i="4"/>
  <c r="AO419" i="4"/>
  <c r="AN419" i="4"/>
  <c r="AH419" i="4"/>
  <c r="AF419" i="4"/>
  <c r="AE419" i="4"/>
  <c r="AQ419" i="4"/>
  <c r="AQ418" i="4"/>
  <c r="AP418" i="4"/>
  <c r="U548" i="4"/>
  <c r="P162" i="4"/>
  <c r="T548" i="4"/>
  <c r="N162" i="4"/>
  <c r="U547" i="4"/>
  <c r="P161" i="4"/>
  <c r="T547" i="4"/>
  <c r="N161" i="4"/>
  <c r="S419" i="4"/>
  <c r="R419" i="4"/>
  <c r="L419" i="4"/>
  <c r="J419" i="4"/>
  <c r="I419" i="4"/>
  <c r="U419" i="4"/>
  <c r="T419" i="4"/>
  <c r="U418" i="4"/>
  <c r="T418" i="4"/>
  <c r="R290" i="4"/>
  <c r="J290" i="4"/>
  <c r="U290" i="4"/>
  <c r="T290" i="4"/>
  <c r="U289" i="4"/>
  <c r="T289" i="4"/>
  <c r="O33" i="4" l="1"/>
  <c r="U33" i="4" s="1"/>
  <c r="D33" i="4"/>
  <c r="U161" i="4"/>
  <c r="AQ162" i="4"/>
  <c r="T162" i="4"/>
  <c r="U162" i="4"/>
  <c r="AP162" i="4"/>
  <c r="J33" i="4"/>
  <c r="AE162" i="4"/>
  <c r="AH162" i="4"/>
  <c r="AF162" i="4"/>
  <c r="J162" i="4"/>
  <c r="T161" i="4"/>
  <c r="M33" i="4"/>
  <c r="T33" i="4" s="1"/>
  <c r="Z547" i="4"/>
  <c r="AF547" i="4" s="1"/>
  <c r="I290" i="4" l="1"/>
  <c r="I289" i="4"/>
  <c r="L290" i="4"/>
  <c r="S290" i="4"/>
  <c r="L33" i="4" l="1"/>
  <c r="L162" i="4"/>
  <c r="I33" i="4"/>
  <c r="I162" i="4"/>
  <c r="P32" i="4"/>
  <c r="N32" i="4"/>
  <c r="H32" i="4"/>
  <c r="S32" i="4" s="1"/>
  <c r="F32" i="4"/>
  <c r="E32" i="4"/>
  <c r="AK161" i="4"/>
  <c r="AQ161" i="4" s="1"/>
  <c r="AJ161" i="4"/>
  <c r="AI161" i="4"/>
  <c r="M32" i="4" s="1"/>
  <c r="AD161" i="4"/>
  <c r="AO161" i="4" s="1"/>
  <c r="AB161" i="4"/>
  <c r="AO676" i="4"/>
  <c r="AO547" i="4"/>
  <c r="AN547" i="4"/>
  <c r="AH547" i="4"/>
  <c r="AE547" i="4"/>
  <c r="AE546" i="4"/>
  <c r="AE676" i="4"/>
  <c r="Z676" i="4"/>
  <c r="AF676" i="4" s="1"/>
  <c r="AO289" i="4"/>
  <c r="AE289" i="4"/>
  <c r="Z289" i="4"/>
  <c r="AF289" i="4" s="1"/>
  <c r="AO418" i="4"/>
  <c r="AE418" i="4"/>
  <c r="Z418" i="4"/>
  <c r="AF418" i="4" s="1"/>
  <c r="H161" i="4"/>
  <c r="S161" i="4" s="1"/>
  <c r="F161" i="4"/>
  <c r="S547" i="4"/>
  <c r="I547" i="4"/>
  <c r="D547" i="4"/>
  <c r="L547" i="4" s="1"/>
  <c r="S418" i="4"/>
  <c r="I418" i="4"/>
  <c r="D418" i="4"/>
  <c r="R418" i="4" s="1"/>
  <c r="S289" i="4"/>
  <c r="D289" i="4"/>
  <c r="L289" i="4" s="1"/>
  <c r="AH289" i="4" l="1"/>
  <c r="AN418" i="4"/>
  <c r="R547" i="4"/>
  <c r="R289" i="4"/>
  <c r="J418" i="4"/>
  <c r="D161" i="4"/>
  <c r="AH418" i="4"/>
  <c r="I161" i="4"/>
  <c r="AF161" i="4"/>
  <c r="I32" i="4"/>
  <c r="AE161" i="4"/>
  <c r="O32" i="4"/>
  <c r="U32" i="4" s="1"/>
  <c r="T32" i="4"/>
  <c r="AN676" i="4"/>
  <c r="AP161" i="4"/>
  <c r="J289" i="4"/>
  <c r="L418" i="4"/>
  <c r="L161" i="4" s="1"/>
  <c r="AN289" i="4"/>
  <c r="AH676" i="4"/>
  <c r="J547" i="4"/>
  <c r="AH161" i="4" l="1"/>
  <c r="J32" i="4"/>
  <c r="J161" i="4"/>
  <c r="L32" i="4"/>
  <c r="AE537" i="4"/>
  <c r="AE545" i="4"/>
  <c r="AE638" i="4" s="1"/>
  <c r="AE544" i="4"/>
  <c r="AE543" i="4"/>
  <c r="AE542" i="4"/>
  <c r="AE541" i="4"/>
  <c r="AE540" i="4"/>
  <c r="AE539" i="4"/>
  <c r="AE538" i="4"/>
  <c r="AE536" i="4"/>
  <c r="AE535" i="4"/>
  <c r="AE534" i="4"/>
  <c r="AE533" i="4"/>
  <c r="AE675" i="4"/>
  <c r="AE674" i="4"/>
  <c r="AE767" i="4" s="1"/>
  <c r="AE673" i="4"/>
  <c r="AE672" i="4"/>
  <c r="AE671" i="4"/>
  <c r="AE670" i="4"/>
  <c r="AE669" i="4"/>
  <c r="AE668" i="4"/>
  <c r="AE667" i="4"/>
  <c r="AE666" i="4"/>
  <c r="AE665" i="4"/>
  <c r="AE664" i="4"/>
  <c r="AE663" i="4"/>
  <c r="AE662" i="4"/>
  <c r="AE285" i="4"/>
  <c r="AE288" i="4"/>
  <c r="AE287" i="4"/>
  <c r="AE380" i="4" s="1"/>
  <c r="AE286" i="4"/>
  <c r="AE284" i="4"/>
  <c r="AE283" i="4"/>
  <c r="AE282" i="4"/>
  <c r="AE281" i="4"/>
  <c r="AE280" i="4"/>
  <c r="AE279" i="4"/>
  <c r="AE278" i="4"/>
  <c r="AE277" i="4"/>
  <c r="AE276" i="4"/>
  <c r="AE275" i="4"/>
  <c r="AE417" i="4"/>
  <c r="AE416" i="4"/>
  <c r="AE509" i="4" s="1"/>
  <c r="AE415" i="4"/>
  <c r="AE414" i="4"/>
  <c r="AE413" i="4"/>
  <c r="AE412" i="4"/>
  <c r="AE411" i="4"/>
  <c r="AE410" i="4"/>
  <c r="AE409" i="4"/>
  <c r="AE408" i="4"/>
  <c r="AE407" i="4"/>
  <c r="AE406" i="4"/>
  <c r="AE405" i="4"/>
  <c r="AE404" i="4"/>
  <c r="I546" i="4"/>
  <c r="I545" i="4"/>
  <c r="I544" i="4"/>
  <c r="I543" i="4"/>
  <c r="I542" i="4"/>
  <c r="I541" i="4"/>
  <c r="I540" i="4"/>
  <c r="I538" i="4"/>
  <c r="I537" i="4"/>
  <c r="I536" i="4"/>
  <c r="I535" i="4"/>
  <c r="I534" i="4"/>
  <c r="I533" i="4"/>
  <c r="I637" i="4" s="1"/>
  <c r="I406" i="4"/>
  <c r="I417" i="4"/>
  <c r="I416" i="4"/>
  <c r="I509" i="4" s="1"/>
  <c r="I415" i="4"/>
  <c r="I414" i="4"/>
  <c r="I413" i="4"/>
  <c r="I412" i="4"/>
  <c r="I411" i="4"/>
  <c r="I410" i="4"/>
  <c r="I408" i="4"/>
  <c r="I407" i="4"/>
  <c r="I405" i="4"/>
  <c r="I404" i="4"/>
  <c r="I288" i="4"/>
  <c r="I287" i="4"/>
  <c r="I380" i="4" s="1"/>
  <c r="I286" i="4"/>
  <c r="I285" i="4"/>
  <c r="I284" i="4"/>
  <c r="I283" i="4"/>
  <c r="I282" i="4"/>
  <c r="I281" i="4"/>
  <c r="I280" i="4"/>
  <c r="I279" i="4"/>
  <c r="I278" i="4"/>
  <c r="I277" i="4"/>
  <c r="I276" i="4"/>
  <c r="AF533" i="4"/>
  <c r="AF543" i="4"/>
  <c r="AF672" i="4"/>
  <c r="AF662" i="4"/>
  <c r="AF285" i="4"/>
  <c r="AF275" i="4"/>
  <c r="AF404" i="4"/>
  <c r="AF414" i="4"/>
  <c r="J543" i="4"/>
  <c r="J533" i="4"/>
  <c r="J414" i="4"/>
  <c r="J404" i="4"/>
  <c r="J285" i="4"/>
  <c r="AE508" i="4" l="1"/>
  <c r="AE379" i="4"/>
  <c r="AE637" i="4"/>
  <c r="AE766" i="4"/>
  <c r="I379" i="4"/>
  <c r="I508" i="4"/>
  <c r="I638" i="4"/>
  <c r="AE757" i="4"/>
  <c r="I627" i="4"/>
  <c r="I628" i="4"/>
  <c r="I499" i="4"/>
  <c r="I369" i="4"/>
  <c r="AE756" i="4"/>
  <c r="AE627" i="4"/>
  <c r="AE628" i="4"/>
  <c r="I498" i="4"/>
  <c r="AE498" i="4"/>
  <c r="AE499" i="4"/>
  <c r="AE370" i="4"/>
  <c r="AE369" i="4"/>
  <c r="I370" i="4"/>
  <c r="Z287" i="4"/>
  <c r="Z380" i="4" l="1"/>
  <c r="AN380" i="4" s="1"/>
  <c r="Z288" i="4"/>
  <c r="AF288" i="4" s="1"/>
  <c r="AI159" i="4" l="1"/>
  <c r="AJ159" i="4"/>
  <c r="AK159" i="4"/>
  <c r="AL159" i="4"/>
  <c r="AI160" i="4"/>
  <c r="AJ160" i="4"/>
  <c r="AK160" i="4"/>
  <c r="AL160" i="4"/>
  <c r="AE159" i="4"/>
  <c r="AE160" i="4"/>
  <c r="AH288" i="4"/>
  <c r="AH287" i="4"/>
  <c r="I160" i="4"/>
  <c r="I159" i="4"/>
  <c r="I252" i="4" s="1"/>
  <c r="E31" i="4"/>
  <c r="F31" i="4"/>
  <c r="H31" i="4"/>
  <c r="N31" i="4"/>
  <c r="P31" i="4"/>
  <c r="I30" i="4"/>
  <c r="N30" i="4"/>
  <c r="P30" i="4"/>
  <c r="I29" i="4"/>
  <c r="E30" i="4"/>
  <c r="AK252" i="4" l="1"/>
  <c r="AE252" i="4"/>
  <c r="AJ252" i="4"/>
  <c r="AP252" i="4" s="1"/>
  <c r="AL252" i="4"/>
  <c r="AQ252" i="4" s="1"/>
  <c r="AH380" i="4"/>
  <c r="E123" i="4"/>
  <c r="S31" i="4"/>
  <c r="T68" i="4"/>
  <c r="U68" i="4"/>
  <c r="P123" i="4"/>
  <c r="N123" i="4"/>
  <c r="I31" i="4"/>
  <c r="AP545" i="4"/>
  <c r="AQ545" i="4"/>
  <c r="AO546" i="4"/>
  <c r="AP546" i="4"/>
  <c r="AQ546" i="4"/>
  <c r="M159" i="4"/>
  <c r="M160" i="4"/>
  <c r="O159" i="4"/>
  <c r="O160" i="4"/>
  <c r="P160" i="4"/>
  <c r="P159" i="4"/>
  <c r="P252" i="4" s="1"/>
  <c r="N160" i="4"/>
  <c r="N159" i="4"/>
  <c r="O252" i="4" l="1"/>
  <c r="U252" i="4" s="1"/>
  <c r="N252" i="4"/>
  <c r="T252" i="4" s="1"/>
  <c r="O31" i="4"/>
  <c r="M31" i="4"/>
  <c r="I123" i="4"/>
  <c r="O30" i="4"/>
  <c r="M30" i="4"/>
  <c r="T30" i="4" s="1"/>
  <c r="AP159" i="4"/>
  <c r="AQ159" i="4"/>
  <c r="AP160" i="4"/>
  <c r="AQ160" i="4"/>
  <c r="AD160" i="4"/>
  <c r="AB160" i="4"/>
  <c r="Z161" i="4"/>
  <c r="Y159" i="4"/>
  <c r="Y160" i="4"/>
  <c r="Y161" i="4"/>
  <c r="Y162" i="4"/>
  <c r="AN162" i="4" s="1"/>
  <c r="Y163" i="4"/>
  <c r="AN163" i="4" s="1"/>
  <c r="Y164" i="4"/>
  <c r="AN164" i="4" s="1"/>
  <c r="Y165" i="4"/>
  <c r="AN165" i="4" s="1"/>
  <c r="Y166" i="4"/>
  <c r="AN166" i="4" s="1"/>
  <c r="Y167" i="4"/>
  <c r="AN167" i="4" s="1"/>
  <c r="Y168" i="4"/>
  <c r="Y169" i="4"/>
  <c r="AN169" i="4" s="1"/>
  <c r="Y170" i="4"/>
  <c r="AP674" i="4"/>
  <c r="AQ674" i="4"/>
  <c r="AO675" i="4"/>
  <c r="AP675" i="4"/>
  <c r="AQ675" i="4"/>
  <c r="AN288" i="4"/>
  <c r="AO288" i="4"/>
  <c r="AP288" i="4"/>
  <c r="AQ288" i="4"/>
  <c r="AN287" i="4"/>
  <c r="AP287" i="4"/>
  <c r="AQ287" i="4"/>
  <c r="AO417" i="4"/>
  <c r="AP417" i="4"/>
  <c r="AQ417" i="4"/>
  <c r="AP416" i="4"/>
  <c r="AQ416" i="4"/>
  <c r="T160" i="4"/>
  <c r="U160" i="4"/>
  <c r="T159" i="4"/>
  <c r="U159" i="4"/>
  <c r="H160" i="4"/>
  <c r="F160" i="4"/>
  <c r="C159" i="4"/>
  <c r="C160" i="4"/>
  <c r="C161" i="4"/>
  <c r="C162" i="4"/>
  <c r="R162" i="4" s="1"/>
  <c r="C163" i="4"/>
  <c r="R163" i="4" s="1"/>
  <c r="C164" i="4"/>
  <c r="C165" i="4"/>
  <c r="C166" i="4"/>
  <c r="R166" i="4" s="1"/>
  <c r="Q166" i="4" s="1"/>
  <c r="C167" i="4"/>
  <c r="R167" i="4" s="1"/>
  <c r="C168" i="4"/>
  <c r="C169" i="4"/>
  <c r="R169" i="4" s="1"/>
  <c r="C170" i="4"/>
  <c r="S546" i="4"/>
  <c r="T546" i="4"/>
  <c r="U546" i="4"/>
  <c r="T545" i="4"/>
  <c r="U545" i="4"/>
  <c r="S417" i="4"/>
  <c r="T417" i="4"/>
  <c r="U417" i="4"/>
  <c r="T416" i="4"/>
  <c r="U416" i="4"/>
  <c r="S288" i="4"/>
  <c r="T288" i="4"/>
  <c r="U288" i="4"/>
  <c r="T287" i="4"/>
  <c r="U287" i="4"/>
  <c r="Z546" i="4"/>
  <c r="AD545" i="4"/>
  <c r="AB545" i="4"/>
  <c r="AB638" i="4" s="1"/>
  <c r="Z545" i="4"/>
  <c r="Z638" i="4" s="1"/>
  <c r="AN638" i="4" s="1"/>
  <c r="Z675" i="4"/>
  <c r="AF675" i="4" s="1"/>
  <c r="AD674" i="4"/>
  <c r="AD767" i="4" s="1"/>
  <c r="AO767" i="4" s="1"/>
  <c r="AB674" i="4"/>
  <c r="AB767" i="4" s="1"/>
  <c r="Z674" i="4"/>
  <c r="AD287" i="4"/>
  <c r="AD380" i="4" s="1"/>
  <c r="AO380" i="4" s="1"/>
  <c r="AM380" i="4" s="1"/>
  <c r="AB287" i="4"/>
  <c r="AB380" i="4" s="1"/>
  <c r="AD416" i="4"/>
  <c r="AD509" i="4" s="1"/>
  <c r="AO509" i="4" s="1"/>
  <c r="AB416" i="4"/>
  <c r="AB509" i="4" s="1"/>
  <c r="Z417" i="4"/>
  <c r="AF417" i="4" s="1"/>
  <c r="Z416" i="4"/>
  <c r="Z509" i="4" s="1"/>
  <c r="AN509" i="4" s="1"/>
  <c r="H545" i="4"/>
  <c r="H638" i="4" s="1"/>
  <c r="S638" i="4" s="1"/>
  <c r="F545" i="4"/>
  <c r="F638" i="4" s="1"/>
  <c r="D546" i="4"/>
  <c r="D545" i="4"/>
  <c r="H416" i="4"/>
  <c r="H509" i="4" s="1"/>
  <c r="S509" i="4" s="1"/>
  <c r="F416" i="4"/>
  <c r="F509" i="4" s="1"/>
  <c r="D417" i="4"/>
  <c r="D416" i="4"/>
  <c r="D509" i="4" s="1"/>
  <c r="R509" i="4" s="1"/>
  <c r="H287" i="4"/>
  <c r="H380" i="4" s="1"/>
  <c r="S380" i="4" s="1"/>
  <c r="F287" i="4"/>
  <c r="F380" i="4" s="1"/>
  <c r="D288" i="4"/>
  <c r="J288" i="4" s="1"/>
  <c r="D287" i="4"/>
  <c r="D380" i="4" s="1"/>
  <c r="R380" i="4" s="1"/>
  <c r="Q380" i="4" s="1"/>
  <c r="AD628" i="4" l="1"/>
  <c r="AO628" i="4" s="1"/>
  <c r="AD638" i="4"/>
  <c r="AO638" i="4" s="1"/>
  <c r="AM638" i="4" s="1"/>
  <c r="AM509" i="4"/>
  <c r="Y252" i="4"/>
  <c r="C252" i="4"/>
  <c r="L545" i="4"/>
  <c r="L638" i="4" s="1"/>
  <c r="D638" i="4"/>
  <c r="R638" i="4" s="1"/>
  <c r="Q638" i="4" s="1"/>
  <c r="Q509" i="4"/>
  <c r="Z767" i="4"/>
  <c r="AN767" i="4" s="1"/>
  <c r="AM767" i="4" s="1"/>
  <c r="F499" i="4"/>
  <c r="AB499" i="4"/>
  <c r="H499" i="4"/>
  <c r="S499" i="4" s="1"/>
  <c r="AD499" i="4"/>
  <c r="AO499" i="4" s="1"/>
  <c r="AB628" i="4"/>
  <c r="AD757" i="4"/>
  <c r="AO757" i="4" s="1"/>
  <c r="AB370" i="4"/>
  <c r="AD370" i="4"/>
  <c r="AO370" i="4" s="1"/>
  <c r="F370" i="4"/>
  <c r="F628" i="4"/>
  <c r="H370" i="4"/>
  <c r="S370" i="4" s="1"/>
  <c r="H628" i="4"/>
  <c r="S628" i="4" s="1"/>
  <c r="AB757" i="4"/>
  <c r="AN168" i="4"/>
  <c r="Y243" i="4"/>
  <c r="AN243" i="4" s="1"/>
  <c r="AM243" i="4" s="1"/>
  <c r="C243" i="4"/>
  <c r="R243" i="4" s="1"/>
  <c r="Q243" i="4" s="1"/>
  <c r="R546" i="4"/>
  <c r="L546" i="4"/>
  <c r="R170" i="4"/>
  <c r="U31" i="4"/>
  <c r="O123" i="4"/>
  <c r="AO160" i="4"/>
  <c r="AN170" i="4"/>
  <c r="T31" i="4"/>
  <c r="AO197" i="4"/>
  <c r="AN197" i="4"/>
  <c r="AN416" i="4"/>
  <c r="S160" i="4"/>
  <c r="C39" i="4"/>
  <c r="R168" i="4"/>
  <c r="Z159" i="4"/>
  <c r="AF674" i="4"/>
  <c r="AF767" i="4" s="1"/>
  <c r="AF545" i="4"/>
  <c r="AF638" i="4" s="1"/>
  <c r="C40" i="4"/>
  <c r="C36" i="4"/>
  <c r="R165" i="4"/>
  <c r="C32" i="4"/>
  <c r="R161" i="4"/>
  <c r="AN417" i="4"/>
  <c r="AH546" i="4"/>
  <c r="AF546" i="4"/>
  <c r="AN675" i="4"/>
  <c r="S545" i="4"/>
  <c r="C35" i="4"/>
  <c r="R164" i="4"/>
  <c r="L417" i="4"/>
  <c r="J417" i="4"/>
  <c r="D160" i="4"/>
  <c r="J546" i="4"/>
  <c r="AF287" i="4"/>
  <c r="AF380" i="4" s="1"/>
  <c r="AN161" i="4"/>
  <c r="D32" i="4"/>
  <c r="J287" i="4"/>
  <c r="J380" i="4" s="1"/>
  <c r="J416" i="4"/>
  <c r="J545" i="4"/>
  <c r="AF416" i="4"/>
  <c r="AF509" i="4" s="1"/>
  <c r="R545" i="4"/>
  <c r="Z160" i="4"/>
  <c r="AH545" i="4"/>
  <c r="AH638" i="4" s="1"/>
  <c r="AN545" i="4"/>
  <c r="H30" i="4"/>
  <c r="H123" i="4" s="1"/>
  <c r="C38" i="4"/>
  <c r="F159" i="4"/>
  <c r="F252" i="4" s="1"/>
  <c r="S287" i="4"/>
  <c r="C41" i="4"/>
  <c r="C37" i="4"/>
  <c r="C33" i="4"/>
  <c r="F30" i="4"/>
  <c r="F123" i="4" s="1"/>
  <c r="AH674" i="4"/>
  <c r="AH767" i="4" s="1"/>
  <c r="AN674" i="4"/>
  <c r="C34" i="4"/>
  <c r="AB159" i="4"/>
  <c r="AB252" i="4" s="1"/>
  <c r="L287" i="4"/>
  <c r="L380" i="4" s="1"/>
  <c r="L416" i="4"/>
  <c r="L509" i="4" s="1"/>
  <c r="AH416" i="4"/>
  <c r="AH509" i="4" s="1"/>
  <c r="AO545" i="4"/>
  <c r="S416" i="4"/>
  <c r="L288" i="4"/>
  <c r="AH417" i="4"/>
  <c r="AH675" i="4"/>
  <c r="AN546" i="4"/>
  <c r="R287" i="4"/>
  <c r="R288" i="4"/>
  <c r="R416" i="4"/>
  <c r="R417" i="4"/>
  <c r="D159" i="4"/>
  <c r="D252" i="4" s="1"/>
  <c r="R252" i="4" s="1"/>
  <c r="H159" i="4"/>
  <c r="H252" i="4" s="1"/>
  <c r="S252" i="4" s="1"/>
  <c r="AO416" i="4"/>
  <c r="AO287" i="4"/>
  <c r="AO674" i="4"/>
  <c r="AD159" i="4"/>
  <c r="AD252" i="4" s="1"/>
  <c r="AO252" i="4" s="1"/>
  <c r="C30" i="4"/>
  <c r="C31" i="4"/>
  <c r="U30" i="4"/>
  <c r="AF523" i="4"/>
  <c r="AF532" i="4"/>
  <c r="AF530" i="4"/>
  <c r="AF529" i="4"/>
  <c r="AF528" i="4"/>
  <c r="AF527" i="4"/>
  <c r="AF526" i="4"/>
  <c r="AF525" i="4"/>
  <c r="AF524" i="4"/>
  <c r="AF653" i="4"/>
  <c r="AF654" i="4"/>
  <c r="AF655" i="4"/>
  <c r="AF656" i="4"/>
  <c r="AF657" i="4"/>
  <c r="AF658" i="4"/>
  <c r="AF659" i="4"/>
  <c r="AF661" i="4"/>
  <c r="AF652" i="4"/>
  <c r="AF274" i="4"/>
  <c r="AF272" i="4"/>
  <c r="AF271" i="4"/>
  <c r="AF270" i="4"/>
  <c r="AF269" i="4"/>
  <c r="AF268" i="4"/>
  <c r="AF267" i="4"/>
  <c r="AF266" i="4"/>
  <c r="AF265" i="4"/>
  <c r="AF395" i="4"/>
  <c r="AF396" i="4"/>
  <c r="AF397" i="4"/>
  <c r="AF398" i="4"/>
  <c r="AF399" i="4"/>
  <c r="AF400" i="4"/>
  <c r="AF401" i="4"/>
  <c r="AF403" i="4"/>
  <c r="AF394" i="4"/>
  <c r="J523" i="4"/>
  <c r="J394" i="4"/>
  <c r="J265" i="4"/>
  <c r="Q252" i="4" l="1"/>
  <c r="J638" i="4"/>
  <c r="Z252" i="4"/>
  <c r="AN252" i="4" s="1"/>
  <c r="AM252" i="4" s="1"/>
  <c r="J509" i="4"/>
  <c r="AF626" i="4"/>
  <c r="AF755" i="4"/>
  <c r="AF497" i="4"/>
  <c r="C114" i="4"/>
  <c r="R114" i="4" s="1"/>
  <c r="Q114" i="4" s="1"/>
  <c r="AF368" i="4"/>
  <c r="AM197" i="4"/>
  <c r="R124" i="4"/>
  <c r="Q124" i="4" s="1"/>
  <c r="AN185" i="4"/>
  <c r="AO185" i="4"/>
  <c r="C123" i="4"/>
  <c r="AF160" i="4"/>
  <c r="AN160" i="4"/>
  <c r="AN159" i="4"/>
  <c r="D31" i="4"/>
  <c r="R39" i="4"/>
  <c r="R37" i="4"/>
  <c r="R38" i="4"/>
  <c r="R40" i="4"/>
  <c r="R41" i="4"/>
  <c r="Q41" i="4" s="1"/>
  <c r="S123" i="4"/>
  <c r="L160" i="4"/>
  <c r="R160" i="4"/>
  <c r="R32" i="4"/>
  <c r="Q32" i="4" s="1"/>
  <c r="AO159" i="4"/>
  <c r="R33" i="4"/>
  <c r="R36" i="4"/>
  <c r="J30" i="4"/>
  <c r="R35" i="4"/>
  <c r="R34" i="4"/>
  <c r="R159" i="4"/>
  <c r="S159" i="4"/>
  <c r="L159" i="4"/>
  <c r="AH159" i="4"/>
  <c r="D30" i="4"/>
  <c r="AH160" i="4"/>
  <c r="L31" i="4"/>
  <c r="L30" i="4"/>
  <c r="J160" i="4"/>
  <c r="J31" i="4"/>
  <c r="J159" i="4"/>
  <c r="AF159" i="4"/>
  <c r="S30" i="4"/>
  <c r="J532" i="4"/>
  <c r="J530" i="4"/>
  <c r="J529" i="4"/>
  <c r="J528" i="4"/>
  <c r="J527" i="4"/>
  <c r="J526" i="4"/>
  <c r="J525" i="4"/>
  <c r="J524" i="4"/>
  <c r="J403" i="4"/>
  <c r="J401" i="4"/>
  <c r="J400" i="4"/>
  <c r="J399" i="4"/>
  <c r="J398" i="4"/>
  <c r="J397" i="4"/>
  <c r="J396" i="4"/>
  <c r="J395" i="4"/>
  <c r="J266" i="4"/>
  <c r="J267" i="4"/>
  <c r="J268" i="4"/>
  <c r="J269" i="4"/>
  <c r="J270" i="4"/>
  <c r="J271" i="4"/>
  <c r="J272" i="4"/>
  <c r="J274" i="4"/>
  <c r="AQ544" i="4"/>
  <c r="AP544" i="4"/>
  <c r="AO544" i="4"/>
  <c r="Z544" i="4"/>
  <c r="AF544" i="4" s="1"/>
  <c r="AQ543" i="4"/>
  <c r="AP543" i="4"/>
  <c r="AO543" i="4"/>
  <c r="AN543" i="4"/>
  <c r="AH543" i="4"/>
  <c r="AQ542" i="4"/>
  <c r="AP542" i="4"/>
  <c r="AO542" i="4"/>
  <c r="Z542" i="4"/>
  <c r="AQ541" i="4"/>
  <c r="AP541" i="4"/>
  <c r="AO541" i="4"/>
  <c r="Z541" i="4"/>
  <c r="AQ540" i="4"/>
  <c r="AP540" i="4"/>
  <c r="AD540" i="4"/>
  <c r="AO540" i="4" s="1"/>
  <c r="AB540" i="4"/>
  <c r="Z540" i="4"/>
  <c r="AQ539" i="4"/>
  <c r="AP539" i="4"/>
  <c r="AD539" i="4"/>
  <c r="AO539" i="4" s="1"/>
  <c r="AB539" i="4"/>
  <c r="Z539" i="4"/>
  <c r="AQ538" i="4"/>
  <c r="AP538" i="4"/>
  <c r="AO538" i="4"/>
  <c r="Z538" i="4"/>
  <c r="AQ537" i="4"/>
  <c r="AP537" i="4"/>
  <c r="AO537" i="4"/>
  <c r="Z537" i="4"/>
  <c r="AF537" i="4" s="1"/>
  <c r="AQ536" i="4"/>
  <c r="AP536" i="4"/>
  <c r="AO536" i="4"/>
  <c r="Z536" i="4"/>
  <c r="AQ535" i="4"/>
  <c r="AP535" i="4"/>
  <c r="AD535" i="4"/>
  <c r="AB535" i="4"/>
  <c r="AB637" i="4" s="1"/>
  <c r="Z535" i="4"/>
  <c r="AQ534" i="4"/>
  <c r="AP534" i="4"/>
  <c r="AO534" i="4"/>
  <c r="Z534" i="4"/>
  <c r="AQ533" i="4"/>
  <c r="AP533" i="4"/>
  <c r="AO533" i="4"/>
  <c r="AN533" i="4"/>
  <c r="AH533" i="4"/>
  <c r="AQ532" i="4"/>
  <c r="AP532" i="4"/>
  <c r="AO532" i="4"/>
  <c r="AN532" i="4"/>
  <c r="AH532" i="4"/>
  <c r="AQ531" i="4"/>
  <c r="AP531" i="4"/>
  <c r="AO531" i="4"/>
  <c r="Z531" i="4"/>
  <c r="Z636" i="4" s="1"/>
  <c r="AN636" i="4" s="1"/>
  <c r="AM636" i="4" s="1"/>
  <c r="AQ530" i="4"/>
  <c r="AP530" i="4"/>
  <c r="AO530" i="4"/>
  <c r="AN530" i="4"/>
  <c r="AH530" i="4"/>
  <c r="AQ529" i="4"/>
  <c r="AP529" i="4"/>
  <c r="AO529" i="4"/>
  <c r="AN529" i="4"/>
  <c r="AH529" i="4"/>
  <c r="AQ528" i="4"/>
  <c r="AP528" i="4"/>
  <c r="AO528" i="4"/>
  <c r="AN528" i="4"/>
  <c r="AH528" i="4"/>
  <c r="AQ527" i="4"/>
  <c r="AP527" i="4"/>
  <c r="AO527" i="4"/>
  <c r="AN527" i="4"/>
  <c r="AH527" i="4"/>
  <c r="AQ526" i="4"/>
  <c r="AP526" i="4"/>
  <c r="AO526" i="4"/>
  <c r="AN526" i="4"/>
  <c r="AH526" i="4"/>
  <c r="AQ525" i="4"/>
  <c r="AP525" i="4"/>
  <c r="AO525" i="4"/>
  <c r="AN525" i="4"/>
  <c r="AH525" i="4"/>
  <c r="AQ524" i="4"/>
  <c r="AP524" i="4"/>
  <c r="AO524" i="4"/>
  <c r="AN524" i="4"/>
  <c r="AH524" i="4"/>
  <c r="AQ523" i="4"/>
  <c r="AP523" i="4"/>
  <c r="AO523" i="4"/>
  <c r="AN523" i="4"/>
  <c r="AH523" i="4"/>
  <c r="AN522" i="4"/>
  <c r="AN521" i="4"/>
  <c r="AN520" i="4"/>
  <c r="AL158" i="4"/>
  <c r="AK158" i="4"/>
  <c r="AJ158" i="4"/>
  <c r="AI158" i="4"/>
  <c r="AE158" i="4"/>
  <c r="AD158" i="4"/>
  <c r="AO158" i="4" s="1"/>
  <c r="AB158" i="4"/>
  <c r="Y158" i="4"/>
  <c r="AQ673" i="4"/>
  <c r="AP673" i="4"/>
  <c r="AO673" i="4"/>
  <c r="Z673" i="4"/>
  <c r="AF673" i="4" s="1"/>
  <c r="AQ286" i="4"/>
  <c r="AP286" i="4"/>
  <c r="AO286" i="4"/>
  <c r="Z286" i="4"/>
  <c r="AQ415" i="4"/>
  <c r="AP415" i="4"/>
  <c r="AO415" i="4"/>
  <c r="Z415" i="4"/>
  <c r="AF415" i="4" s="1"/>
  <c r="AL157" i="4"/>
  <c r="AK157" i="4"/>
  <c r="AJ157" i="4"/>
  <c r="AI157" i="4"/>
  <c r="AF157" i="4"/>
  <c r="AE157" i="4"/>
  <c r="AD157" i="4"/>
  <c r="AO157" i="4" s="1"/>
  <c r="AB157" i="4"/>
  <c r="Z157" i="4"/>
  <c r="Y157" i="4"/>
  <c r="AQ672" i="4"/>
  <c r="AP672" i="4"/>
  <c r="AO672" i="4"/>
  <c r="AN672" i="4"/>
  <c r="AH672" i="4"/>
  <c r="AQ285" i="4"/>
  <c r="AP285" i="4"/>
  <c r="AO285" i="4"/>
  <c r="AN285" i="4"/>
  <c r="AH285" i="4"/>
  <c r="AQ414" i="4"/>
  <c r="AP414" i="4"/>
  <c r="AO414" i="4"/>
  <c r="AN414" i="4"/>
  <c r="AH414" i="4"/>
  <c r="AL156" i="4"/>
  <c r="AK156" i="4"/>
  <c r="AJ156" i="4"/>
  <c r="AI156" i="4"/>
  <c r="AE156" i="4"/>
  <c r="AD156" i="4"/>
  <c r="AB156" i="4"/>
  <c r="Y156" i="4"/>
  <c r="AQ671" i="4"/>
  <c r="AP671" i="4"/>
  <c r="AO671" i="4"/>
  <c r="Z671" i="4"/>
  <c r="AQ284" i="4"/>
  <c r="AP284" i="4"/>
  <c r="AO284" i="4"/>
  <c r="Z284" i="4"/>
  <c r="AQ413" i="4"/>
  <c r="AP413" i="4"/>
  <c r="AO413" i="4"/>
  <c r="Z413" i="4"/>
  <c r="AL155" i="4"/>
  <c r="AK155" i="4"/>
  <c r="AJ155" i="4"/>
  <c r="AI155" i="4"/>
  <c r="AE155" i="4"/>
  <c r="AD155" i="4"/>
  <c r="AO155" i="4" s="1"/>
  <c r="AB155" i="4"/>
  <c r="Y155" i="4"/>
  <c r="AQ670" i="4"/>
  <c r="AP670" i="4"/>
  <c r="AO670" i="4"/>
  <c r="Z670" i="4"/>
  <c r="AQ283" i="4"/>
  <c r="AP283" i="4"/>
  <c r="AO283" i="4"/>
  <c r="Z283" i="4"/>
  <c r="AQ412" i="4"/>
  <c r="AP412" i="4"/>
  <c r="AO412" i="4"/>
  <c r="AF412" i="4"/>
  <c r="AL154" i="4"/>
  <c r="AK154" i="4"/>
  <c r="AJ154" i="4"/>
  <c r="AI154" i="4"/>
  <c r="AE154" i="4"/>
  <c r="Y154" i="4"/>
  <c r="AQ669" i="4"/>
  <c r="AP669" i="4"/>
  <c r="AD669" i="4"/>
  <c r="AO669" i="4" s="1"/>
  <c r="AB669" i="4"/>
  <c r="Z669" i="4"/>
  <c r="AQ282" i="4"/>
  <c r="AP282" i="4"/>
  <c r="AD282" i="4"/>
  <c r="AB282" i="4"/>
  <c r="Z282" i="4"/>
  <c r="AQ411" i="4"/>
  <c r="AP411" i="4"/>
  <c r="AD411" i="4"/>
  <c r="AO411" i="4" s="1"/>
  <c r="AB411" i="4"/>
  <c r="Z411" i="4"/>
  <c r="AL153" i="4"/>
  <c r="AK153" i="4"/>
  <c r="AJ153" i="4"/>
  <c r="AI153" i="4"/>
  <c r="AE153" i="4"/>
  <c r="Y153" i="4"/>
  <c r="AQ668" i="4"/>
  <c r="AP668" i="4"/>
  <c r="AD668" i="4"/>
  <c r="AB668" i="4"/>
  <c r="Z668" i="4"/>
  <c r="AQ281" i="4"/>
  <c r="AP281" i="4"/>
  <c r="AD281" i="4"/>
  <c r="AO281" i="4" s="1"/>
  <c r="AB281" i="4"/>
  <c r="Z281" i="4"/>
  <c r="AQ410" i="4"/>
  <c r="AP410" i="4"/>
  <c r="AD410" i="4"/>
  <c r="AO410" i="4" s="1"/>
  <c r="AB410" i="4"/>
  <c r="Z410" i="4"/>
  <c r="AL152" i="4"/>
  <c r="AK152" i="4"/>
  <c r="AJ152" i="4"/>
  <c r="AI152" i="4"/>
  <c r="AE152" i="4"/>
  <c r="AD152" i="4"/>
  <c r="AO152" i="4" s="1"/>
  <c r="AB152" i="4"/>
  <c r="Y152" i="4"/>
  <c r="AQ667" i="4"/>
  <c r="AP667" i="4"/>
  <c r="AO667" i="4"/>
  <c r="Z667" i="4"/>
  <c r="AF667" i="4" s="1"/>
  <c r="AQ280" i="4"/>
  <c r="AP280" i="4"/>
  <c r="AO280" i="4"/>
  <c r="Z280" i="4"/>
  <c r="AQ409" i="4"/>
  <c r="AP409" i="4"/>
  <c r="AO409" i="4"/>
  <c r="Z409" i="4"/>
  <c r="AF409" i="4" s="1"/>
  <c r="AL151" i="4"/>
  <c r="AK151" i="4"/>
  <c r="AJ151" i="4"/>
  <c r="AI151" i="4"/>
  <c r="AE151" i="4"/>
  <c r="AD151" i="4"/>
  <c r="AO151" i="4" s="1"/>
  <c r="AB151" i="4"/>
  <c r="Y151" i="4"/>
  <c r="AQ666" i="4"/>
  <c r="AP666" i="4"/>
  <c r="AO666" i="4"/>
  <c r="Z666" i="4"/>
  <c r="AF666" i="4" s="1"/>
  <c r="AQ279" i="4"/>
  <c r="AP279" i="4"/>
  <c r="AO279" i="4"/>
  <c r="Z279" i="4"/>
  <c r="AQ408" i="4"/>
  <c r="AP408" i="4"/>
  <c r="AO408" i="4"/>
  <c r="Z408" i="4"/>
  <c r="AL150" i="4"/>
  <c r="AK150" i="4"/>
  <c r="AJ150" i="4"/>
  <c r="AI150" i="4"/>
  <c r="AE150" i="4"/>
  <c r="AD150" i="4"/>
  <c r="AO150" i="4" s="1"/>
  <c r="AB150" i="4"/>
  <c r="Y150" i="4"/>
  <c r="AQ665" i="4"/>
  <c r="AP665" i="4"/>
  <c r="AO665" i="4"/>
  <c r="Z665" i="4"/>
  <c r="AQ278" i="4"/>
  <c r="AP278" i="4"/>
  <c r="AO278" i="4"/>
  <c r="Z278" i="4"/>
  <c r="AQ407" i="4"/>
  <c r="AP407" i="4"/>
  <c r="AO407" i="4"/>
  <c r="Z407" i="4"/>
  <c r="AL149" i="4"/>
  <c r="AK149" i="4"/>
  <c r="AJ149" i="4"/>
  <c r="AI149" i="4"/>
  <c r="AE149" i="4"/>
  <c r="Y149" i="4"/>
  <c r="AQ664" i="4"/>
  <c r="AP664" i="4"/>
  <c r="AD664" i="4"/>
  <c r="AB664" i="4"/>
  <c r="Z664" i="4"/>
  <c r="AQ277" i="4"/>
  <c r="AP277" i="4"/>
  <c r="AD277" i="4"/>
  <c r="AD379" i="4" s="1"/>
  <c r="AO379" i="4" s="1"/>
  <c r="AB277" i="4"/>
  <c r="AB379" i="4" s="1"/>
  <c r="Z277" i="4"/>
  <c r="AQ406" i="4"/>
  <c r="AP406" i="4"/>
  <c r="AD406" i="4"/>
  <c r="AB406" i="4"/>
  <c r="Z406" i="4"/>
  <c r="AH406" i="4" s="1"/>
  <c r="AL148" i="4"/>
  <c r="AK148" i="4"/>
  <c r="AJ148" i="4"/>
  <c r="AI148" i="4"/>
  <c r="AE148" i="4"/>
  <c r="AD148" i="4"/>
  <c r="AO148" i="4" s="1"/>
  <c r="AB148" i="4"/>
  <c r="Y148" i="4"/>
  <c r="AQ663" i="4"/>
  <c r="AP663" i="4"/>
  <c r="AO663" i="4"/>
  <c r="AM663" i="4"/>
  <c r="Z663" i="4"/>
  <c r="AQ276" i="4"/>
  <c r="AP276" i="4"/>
  <c r="AO276" i="4"/>
  <c r="Z276" i="4"/>
  <c r="AQ405" i="4"/>
  <c r="AP405" i="4"/>
  <c r="AO405" i="4"/>
  <c r="Z405" i="4"/>
  <c r="AL147" i="4"/>
  <c r="AK147" i="4"/>
  <c r="AJ147" i="4"/>
  <c r="AI147" i="4"/>
  <c r="AE147" i="4"/>
  <c r="AD147" i="4"/>
  <c r="AB147" i="4"/>
  <c r="Z147" i="4"/>
  <c r="Y147" i="4"/>
  <c r="AQ662" i="4"/>
  <c r="AP662" i="4"/>
  <c r="AO662" i="4"/>
  <c r="AN662" i="4"/>
  <c r="AM662" i="4"/>
  <c r="AH662" i="4"/>
  <c r="AQ275" i="4"/>
  <c r="AP275" i="4"/>
  <c r="AO275" i="4"/>
  <c r="AN275" i="4"/>
  <c r="AH275" i="4"/>
  <c r="AQ404" i="4"/>
  <c r="AP404" i="4"/>
  <c r="AO404" i="4"/>
  <c r="AN404" i="4"/>
  <c r="AH404" i="4"/>
  <c r="AL146" i="4"/>
  <c r="AK146" i="4"/>
  <c r="AJ146" i="4"/>
  <c r="AI146" i="4"/>
  <c r="AE146" i="4"/>
  <c r="AD146" i="4"/>
  <c r="AO146" i="4" s="1"/>
  <c r="AB146" i="4"/>
  <c r="Z146" i="4"/>
  <c r="Y146" i="4"/>
  <c r="AQ661" i="4"/>
  <c r="AP661" i="4"/>
  <c r="AO661" i="4"/>
  <c r="AN661" i="4"/>
  <c r="AM661" i="4"/>
  <c r="AH661" i="4"/>
  <c r="AQ274" i="4"/>
  <c r="AP274" i="4"/>
  <c r="AO274" i="4"/>
  <c r="AN274" i="4"/>
  <c r="AH274" i="4"/>
  <c r="AQ403" i="4"/>
  <c r="AP403" i="4"/>
  <c r="AO403" i="4"/>
  <c r="AN403" i="4"/>
  <c r="AH403" i="4"/>
  <c r="AL145" i="4"/>
  <c r="AK145" i="4"/>
  <c r="AJ145" i="4"/>
  <c r="AI145" i="4"/>
  <c r="AE145" i="4"/>
  <c r="AD145" i="4"/>
  <c r="AO145" i="4" s="1"/>
  <c r="AB145" i="4"/>
  <c r="Y145" i="4"/>
  <c r="AQ660" i="4"/>
  <c r="AP660" i="4"/>
  <c r="AO660" i="4"/>
  <c r="AM660" i="4"/>
  <c r="AQ273" i="4"/>
  <c r="AP273" i="4"/>
  <c r="AO273" i="4"/>
  <c r="Z273" i="4"/>
  <c r="Z378" i="4" s="1"/>
  <c r="AN378" i="4" s="1"/>
  <c r="AM378" i="4" s="1"/>
  <c r="AQ402" i="4"/>
  <c r="AP402" i="4"/>
  <c r="AO402" i="4"/>
  <c r="Z402" i="4"/>
  <c r="Z507" i="4" s="1"/>
  <c r="AN507" i="4" s="1"/>
  <c r="AM507" i="4" s="1"/>
  <c r="AL144" i="4"/>
  <c r="AK144" i="4"/>
  <c r="AJ144" i="4"/>
  <c r="AI144" i="4"/>
  <c r="AE144" i="4"/>
  <c r="AD144" i="4"/>
  <c r="AB144" i="4"/>
  <c r="Z144" i="4"/>
  <c r="Y144" i="4"/>
  <c r="AQ659" i="4"/>
  <c r="AP659" i="4"/>
  <c r="AO659" i="4"/>
  <c r="AN659" i="4"/>
  <c r="AM659" i="4"/>
  <c r="AH659" i="4"/>
  <c r="AQ272" i="4"/>
  <c r="AP272" i="4"/>
  <c r="AO272" i="4"/>
  <c r="AN272" i="4"/>
  <c r="AH272" i="4"/>
  <c r="AQ401" i="4"/>
  <c r="AP401" i="4"/>
  <c r="AO401" i="4"/>
  <c r="AN401" i="4"/>
  <c r="AH401" i="4"/>
  <c r="AL143" i="4"/>
  <c r="AK143" i="4"/>
  <c r="AJ143" i="4"/>
  <c r="AI143" i="4"/>
  <c r="AE143" i="4"/>
  <c r="AD143" i="4"/>
  <c r="AO143" i="4" s="1"/>
  <c r="AB143" i="4"/>
  <c r="Z143" i="4"/>
  <c r="Y143" i="4"/>
  <c r="AQ658" i="4"/>
  <c r="AP658" i="4"/>
  <c r="AO658" i="4"/>
  <c r="AN658" i="4"/>
  <c r="AM658" i="4"/>
  <c r="AH658" i="4"/>
  <c r="AQ271" i="4"/>
  <c r="AP271" i="4"/>
  <c r="AO271" i="4"/>
  <c r="AN271" i="4"/>
  <c r="AH271" i="4"/>
  <c r="AQ400" i="4"/>
  <c r="AP400" i="4"/>
  <c r="AO400" i="4"/>
  <c r="AN400" i="4"/>
  <c r="AH400" i="4"/>
  <c r="AL142" i="4"/>
  <c r="AK142" i="4"/>
  <c r="AJ142" i="4"/>
  <c r="AI142" i="4"/>
  <c r="AE142" i="4"/>
  <c r="AD142" i="4"/>
  <c r="AO142" i="4" s="1"/>
  <c r="AB142" i="4"/>
  <c r="Z142" i="4"/>
  <c r="Y142" i="4"/>
  <c r="AQ657" i="4"/>
  <c r="AP657" i="4"/>
  <c r="AO657" i="4"/>
  <c r="AN657" i="4"/>
  <c r="AM657" i="4"/>
  <c r="AH657" i="4"/>
  <c r="AQ270" i="4"/>
  <c r="AP270" i="4"/>
  <c r="AO270" i="4"/>
  <c r="AN270" i="4"/>
  <c r="AH270" i="4"/>
  <c r="AQ399" i="4"/>
  <c r="AP399" i="4"/>
  <c r="AO399" i="4"/>
  <c r="AN399" i="4"/>
  <c r="AH399" i="4"/>
  <c r="AL141" i="4"/>
  <c r="AK141" i="4"/>
  <c r="AJ141" i="4"/>
  <c r="AI141" i="4"/>
  <c r="AE141" i="4"/>
  <c r="AD141" i="4"/>
  <c r="AO141" i="4" s="1"/>
  <c r="AB141" i="4"/>
  <c r="Z141" i="4"/>
  <c r="Y141" i="4"/>
  <c r="AQ656" i="4"/>
  <c r="AP656" i="4"/>
  <c r="AO656" i="4"/>
  <c r="AN656" i="4"/>
  <c r="AM656" i="4"/>
  <c r="AH656" i="4"/>
  <c r="AQ269" i="4"/>
  <c r="AP269" i="4"/>
  <c r="AO269" i="4"/>
  <c r="AN269" i="4"/>
  <c r="AH269" i="4"/>
  <c r="AQ398" i="4"/>
  <c r="AP398" i="4"/>
  <c r="AO398" i="4"/>
  <c r="AN398" i="4"/>
  <c r="AH398" i="4"/>
  <c r="AL140" i="4"/>
  <c r="AK140" i="4"/>
  <c r="AJ140" i="4"/>
  <c r="AI140" i="4"/>
  <c r="AE140" i="4"/>
  <c r="AD140" i="4"/>
  <c r="AO140" i="4" s="1"/>
  <c r="AB140" i="4"/>
  <c r="Z140" i="4"/>
  <c r="Y140" i="4"/>
  <c r="AQ655" i="4"/>
  <c r="AP655" i="4"/>
  <c r="AO655" i="4"/>
  <c r="AN655" i="4"/>
  <c r="AM655" i="4"/>
  <c r="AH655" i="4"/>
  <c r="AQ268" i="4"/>
  <c r="AP268" i="4"/>
  <c r="AO268" i="4"/>
  <c r="AN268" i="4"/>
  <c r="AH268" i="4"/>
  <c r="AQ397" i="4"/>
  <c r="AP397" i="4"/>
  <c r="AO397" i="4"/>
  <c r="AN397" i="4"/>
  <c r="AH397" i="4"/>
  <c r="AL139" i="4"/>
  <c r="AK139" i="4"/>
  <c r="AJ139" i="4"/>
  <c r="AI139" i="4"/>
  <c r="AE139" i="4"/>
  <c r="AD139" i="4"/>
  <c r="AO139" i="4" s="1"/>
  <c r="AB139" i="4"/>
  <c r="Z139" i="4"/>
  <c r="Y139" i="4"/>
  <c r="AQ654" i="4"/>
  <c r="AP654" i="4"/>
  <c r="AO654" i="4"/>
  <c r="AN654" i="4"/>
  <c r="AM654" i="4"/>
  <c r="AH654" i="4"/>
  <c r="AQ267" i="4"/>
  <c r="AP267" i="4"/>
  <c r="AO267" i="4"/>
  <c r="AN267" i="4"/>
  <c r="AH267" i="4"/>
  <c r="AQ396" i="4"/>
  <c r="AP396" i="4"/>
  <c r="AO396" i="4"/>
  <c r="AN396" i="4"/>
  <c r="AH396" i="4"/>
  <c r="AL138" i="4"/>
  <c r="AK138" i="4"/>
  <c r="AJ138" i="4"/>
  <c r="AI138" i="4"/>
  <c r="AE138" i="4"/>
  <c r="AD138" i="4"/>
  <c r="AO138" i="4" s="1"/>
  <c r="AB138" i="4"/>
  <c r="Z138" i="4"/>
  <c r="Y138" i="4"/>
  <c r="AQ653" i="4"/>
  <c r="AP653" i="4"/>
  <c r="AO653" i="4"/>
  <c r="AN653" i="4"/>
  <c r="AM653" i="4"/>
  <c r="AH653" i="4"/>
  <c r="AQ266" i="4"/>
  <c r="AP266" i="4"/>
  <c r="AO266" i="4"/>
  <c r="AN266" i="4"/>
  <c r="AH266" i="4"/>
  <c r="AQ395" i="4"/>
  <c r="AP395" i="4"/>
  <c r="AO395" i="4"/>
  <c r="AN395" i="4"/>
  <c r="AH395" i="4"/>
  <c r="AL137" i="4"/>
  <c r="AK137" i="4"/>
  <c r="AJ137" i="4"/>
  <c r="AI137" i="4"/>
  <c r="AE137" i="4"/>
  <c r="AD137" i="4"/>
  <c r="AB137" i="4"/>
  <c r="Z137" i="4"/>
  <c r="Y137" i="4"/>
  <c r="AQ652" i="4"/>
  <c r="AP652" i="4"/>
  <c r="AO652" i="4"/>
  <c r="AN652" i="4"/>
  <c r="AM652" i="4"/>
  <c r="AH652" i="4"/>
  <c r="AQ265" i="4"/>
  <c r="AP265" i="4"/>
  <c r="AO265" i="4"/>
  <c r="AN265" i="4"/>
  <c r="AH265" i="4"/>
  <c r="AQ394" i="4"/>
  <c r="AP394" i="4"/>
  <c r="AO394" i="4"/>
  <c r="AN394" i="4"/>
  <c r="AH394" i="4"/>
  <c r="AL136" i="4"/>
  <c r="AK136" i="4"/>
  <c r="AJ136" i="4"/>
  <c r="AI136" i="4"/>
  <c r="AF136" i="4"/>
  <c r="AE136" i="4"/>
  <c r="AD136" i="4"/>
  <c r="AB136" i="4"/>
  <c r="Z136" i="4"/>
  <c r="Y136" i="4"/>
  <c r="AN651" i="4"/>
  <c r="AN264" i="4"/>
  <c r="AN393" i="4"/>
  <c r="AL135" i="4"/>
  <c r="AL250" i="4" s="1"/>
  <c r="AK135" i="4"/>
  <c r="AJ135" i="4"/>
  <c r="AJ250" i="4" s="1"/>
  <c r="AP250" i="4" s="1"/>
  <c r="AI135" i="4"/>
  <c r="AF135" i="4"/>
  <c r="AF250" i="4" s="1"/>
  <c r="AE135" i="4"/>
  <c r="AD135" i="4"/>
  <c r="AD250" i="4" s="1"/>
  <c r="AO250" i="4" s="1"/>
  <c r="AB135" i="4"/>
  <c r="AB250" i="4" s="1"/>
  <c r="Z135" i="4"/>
  <c r="Y135" i="4"/>
  <c r="AN650" i="4"/>
  <c r="AN263" i="4"/>
  <c r="AN392" i="4"/>
  <c r="AL134" i="4"/>
  <c r="AK134" i="4"/>
  <c r="AJ134" i="4"/>
  <c r="AI134" i="4"/>
  <c r="AF134" i="4"/>
  <c r="AE134" i="4"/>
  <c r="AD134" i="4"/>
  <c r="AB134" i="4"/>
  <c r="Z134" i="4"/>
  <c r="Y134" i="4"/>
  <c r="AN649" i="4"/>
  <c r="AN262" i="4"/>
  <c r="AN391" i="4"/>
  <c r="AL133" i="4"/>
  <c r="AK133" i="4"/>
  <c r="AJ133" i="4"/>
  <c r="AI133" i="4"/>
  <c r="AF133" i="4"/>
  <c r="AE133" i="4"/>
  <c r="AD133" i="4"/>
  <c r="AB133" i="4"/>
  <c r="Z133" i="4"/>
  <c r="Y133" i="4"/>
  <c r="AL132" i="4"/>
  <c r="AL240" i="4" s="1"/>
  <c r="AK132" i="4"/>
  <c r="AJ132" i="4"/>
  <c r="AJ240" i="4" s="1"/>
  <c r="AI132" i="4"/>
  <c r="AF132" i="4"/>
  <c r="AF240" i="4" s="1"/>
  <c r="AE132" i="4"/>
  <c r="AD132" i="4"/>
  <c r="AD240" i="4" s="1"/>
  <c r="AB132" i="4"/>
  <c r="AB240" i="4" s="1"/>
  <c r="Z132" i="4"/>
  <c r="Y132" i="4"/>
  <c r="P29" i="4"/>
  <c r="N29" i="4"/>
  <c r="H29" i="4"/>
  <c r="F29" i="4"/>
  <c r="E29" i="4"/>
  <c r="E122" i="4" s="1"/>
  <c r="P158" i="4"/>
  <c r="O158" i="4"/>
  <c r="N158" i="4"/>
  <c r="M158" i="4"/>
  <c r="I158" i="4"/>
  <c r="H158" i="4"/>
  <c r="S158" i="4" s="1"/>
  <c r="F158" i="4"/>
  <c r="C158" i="4"/>
  <c r="U544" i="4"/>
  <c r="T544" i="4"/>
  <c r="S544" i="4"/>
  <c r="D544" i="4"/>
  <c r="L544" i="4" s="1"/>
  <c r="U415" i="4"/>
  <c r="T415" i="4"/>
  <c r="S415" i="4"/>
  <c r="D415" i="4"/>
  <c r="R415" i="4" s="1"/>
  <c r="U286" i="4"/>
  <c r="T286" i="4"/>
  <c r="S286" i="4"/>
  <c r="D286" i="4"/>
  <c r="J286" i="4" s="1"/>
  <c r="P28" i="4"/>
  <c r="O28" i="4"/>
  <c r="N28" i="4"/>
  <c r="M28" i="4"/>
  <c r="I28" i="4"/>
  <c r="H28" i="4"/>
  <c r="G28" i="4"/>
  <c r="F28" i="4"/>
  <c r="E28" i="4"/>
  <c r="P157" i="4"/>
  <c r="O157" i="4"/>
  <c r="N157" i="4"/>
  <c r="M157" i="4"/>
  <c r="I157" i="4"/>
  <c r="H157" i="4"/>
  <c r="S157" i="4" s="1"/>
  <c r="F157" i="4"/>
  <c r="D157" i="4"/>
  <c r="C157" i="4"/>
  <c r="U543" i="4"/>
  <c r="T543" i="4"/>
  <c r="S543" i="4"/>
  <c r="R543" i="4"/>
  <c r="U414" i="4"/>
  <c r="T414" i="4"/>
  <c r="S414" i="4"/>
  <c r="R414" i="4"/>
  <c r="L414" i="4"/>
  <c r="U285" i="4"/>
  <c r="T285" i="4"/>
  <c r="S285" i="4"/>
  <c r="R285" i="4"/>
  <c r="L285" i="4"/>
  <c r="P27" i="4"/>
  <c r="O27" i="4"/>
  <c r="N27" i="4"/>
  <c r="M27" i="4"/>
  <c r="I27" i="4"/>
  <c r="H27" i="4"/>
  <c r="G27" i="4"/>
  <c r="F27" i="4"/>
  <c r="E27" i="4"/>
  <c r="P156" i="4"/>
  <c r="O156" i="4"/>
  <c r="N156" i="4"/>
  <c r="M156" i="4"/>
  <c r="I156" i="4"/>
  <c r="H156" i="4"/>
  <c r="F156" i="4"/>
  <c r="C156" i="4"/>
  <c r="U542" i="4"/>
  <c r="T542" i="4"/>
  <c r="S542" i="4"/>
  <c r="D542" i="4"/>
  <c r="U413" i="4"/>
  <c r="T413" i="4"/>
  <c r="S413" i="4"/>
  <c r="D413" i="4"/>
  <c r="U284" i="4"/>
  <c r="T284" i="4"/>
  <c r="S284" i="4"/>
  <c r="D284" i="4"/>
  <c r="P26" i="4"/>
  <c r="O26" i="4"/>
  <c r="N26" i="4"/>
  <c r="M26" i="4"/>
  <c r="I26" i="4"/>
  <c r="H26" i="4"/>
  <c r="G26" i="4"/>
  <c r="F26" i="4"/>
  <c r="E26" i="4"/>
  <c r="P155" i="4"/>
  <c r="O155" i="4"/>
  <c r="N155" i="4"/>
  <c r="M155" i="4"/>
  <c r="I155" i="4"/>
  <c r="H155" i="4"/>
  <c r="S155" i="4" s="1"/>
  <c r="F155" i="4"/>
  <c r="C155" i="4"/>
  <c r="U541" i="4"/>
  <c r="T541" i="4"/>
  <c r="S541" i="4"/>
  <c r="D541" i="4"/>
  <c r="L541" i="4" s="1"/>
  <c r="U412" i="4"/>
  <c r="T412" i="4"/>
  <c r="S412" i="4"/>
  <c r="D412" i="4"/>
  <c r="U283" i="4"/>
  <c r="T283" i="4"/>
  <c r="S283" i="4"/>
  <c r="D283" i="4"/>
  <c r="P25" i="4"/>
  <c r="O25" i="4"/>
  <c r="N25" i="4"/>
  <c r="M25" i="4"/>
  <c r="I25" i="4"/>
  <c r="G25" i="4"/>
  <c r="E25" i="4"/>
  <c r="P154" i="4"/>
  <c r="O154" i="4"/>
  <c r="N154" i="4"/>
  <c r="M154" i="4"/>
  <c r="I154" i="4"/>
  <c r="C154" i="4"/>
  <c r="U540" i="4"/>
  <c r="T540" i="4"/>
  <c r="H540" i="4"/>
  <c r="F540" i="4"/>
  <c r="D540" i="4"/>
  <c r="L540" i="4" s="1"/>
  <c r="U411" i="4"/>
  <c r="T411" i="4"/>
  <c r="H411" i="4"/>
  <c r="S411" i="4" s="1"/>
  <c r="F411" i="4"/>
  <c r="D411" i="4"/>
  <c r="U282" i="4"/>
  <c r="T282" i="4"/>
  <c r="H282" i="4"/>
  <c r="S282" i="4" s="1"/>
  <c r="F282" i="4"/>
  <c r="D282" i="4"/>
  <c r="P24" i="4"/>
  <c r="O24" i="4"/>
  <c r="N24" i="4"/>
  <c r="M24" i="4"/>
  <c r="I24" i="4"/>
  <c r="G24" i="4"/>
  <c r="E24" i="4"/>
  <c r="P153" i="4"/>
  <c r="O153" i="4"/>
  <c r="N153" i="4"/>
  <c r="M153" i="4"/>
  <c r="I153" i="4"/>
  <c r="C153" i="4"/>
  <c r="U539" i="4"/>
  <c r="T539" i="4"/>
  <c r="H539" i="4"/>
  <c r="S539" i="4" s="1"/>
  <c r="F539" i="4"/>
  <c r="D539" i="4"/>
  <c r="L539" i="4" s="1"/>
  <c r="U410" i="4"/>
  <c r="T410" i="4"/>
  <c r="H410" i="4"/>
  <c r="S410" i="4" s="1"/>
  <c r="F410" i="4"/>
  <c r="D410" i="4"/>
  <c r="U281" i="4"/>
  <c r="T281" i="4"/>
  <c r="H281" i="4"/>
  <c r="S281" i="4" s="1"/>
  <c r="F281" i="4"/>
  <c r="D281" i="4"/>
  <c r="P23" i="4"/>
  <c r="O23" i="4"/>
  <c r="N23" i="4"/>
  <c r="M23" i="4"/>
  <c r="I23" i="4"/>
  <c r="H23" i="4"/>
  <c r="G23" i="4"/>
  <c r="F23" i="4"/>
  <c r="E23" i="4"/>
  <c r="P152" i="4"/>
  <c r="O152" i="4"/>
  <c r="N152" i="4"/>
  <c r="M152" i="4"/>
  <c r="I152" i="4"/>
  <c r="H152" i="4"/>
  <c r="S152" i="4" s="1"/>
  <c r="F152" i="4"/>
  <c r="C152" i="4"/>
  <c r="U538" i="4"/>
  <c r="T538" i="4"/>
  <c r="S538" i="4"/>
  <c r="D538" i="4"/>
  <c r="U409" i="4"/>
  <c r="T409" i="4"/>
  <c r="S409" i="4"/>
  <c r="D409" i="4"/>
  <c r="L409" i="4" s="1"/>
  <c r="U280" i="4"/>
  <c r="T280" i="4"/>
  <c r="S280" i="4"/>
  <c r="D280" i="4"/>
  <c r="P22" i="4"/>
  <c r="O22" i="4"/>
  <c r="N22" i="4"/>
  <c r="M22" i="4"/>
  <c r="I22" i="4"/>
  <c r="H22" i="4"/>
  <c r="G22" i="4"/>
  <c r="F22" i="4"/>
  <c r="E22" i="4"/>
  <c r="P151" i="4"/>
  <c r="O151" i="4"/>
  <c r="N151" i="4"/>
  <c r="M151" i="4"/>
  <c r="I151" i="4"/>
  <c r="H151" i="4"/>
  <c r="F151" i="4"/>
  <c r="C151" i="4"/>
  <c r="U537" i="4"/>
  <c r="T537" i="4"/>
  <c r="S537" i="4"/>
  <c r="D537" i="4"/>
  <c r="L537" i="4" s="1"/>
  <c r="U408" i="4"/>
  <c r="T408" i="4"/>
  <c r="S408" i="4"/>
  <c r="D408" i="4"/>
  <c r="J408" i="4" s="1"/>
  <c r="U279" i="4"/>
  <c r="T279" i="4"/>
  <c r="S279" i="4"/>
  <c r="D279" i="4"/>
  <c r="P21" i="4"/>
  <c r="O21" i="4"/>
  <c r="N21" i="4"/>
  <c r="M21" i="4"/>
  <c r="I21" i="4"/>
  <c r="H21" i="4"/>
  <c r="G21" i="4"/>
  <c r="F21" i="4"/>
  <c r="E21" i="4"/>
  <c r="P150" i="4"/>
  <c r="O150" i="4"/>
  <c r="N150" i="4"/>
  <c r="M150" i="4"/>
  <c r="I150" i="4"/>
  <c r="H150" i="4"/>
  <c r="F150" i="4"/>
  <c r="C150" i="4"/>
  <c r="U536" i="4"/>
  <c r="T536" i="4"/>
  <c r="S536" i="4"/>
  <c r="D536" i="4"/>
  <c r="U407" i="4"/>
  <c r="T407" i="4"/>
  <c r="S407" i="4"/>
  <c r="D407" i="4"/>
  <c r="J407" i="4" s="1"/>
  <c r="U278" i="4"/>
  <c r="T278" i="4"/>
  <c r="S278" i="4"/>
  <c r="D278" i="4"/>
  <c r="P20" i="4"/>
  <c r="O20" i="4"/>
  <c r="N20" i="4"/>
  <c r="M20" i="4"/>
  <c r="I20" i="4"/>
  <c r="G20" i="4"/>
  <c r="E20" i="4"/>
  <c r="P149" i="4"/>
  <c r="O149" i="4"/>
  <c r="N149" i="4"/>
  <c r="M149" i="4"/>
  <c r="I149" i="4"/>
  <c r="C149" i="4"/>
  <c r="U535" i="4"/>
  <c r="T535" i="4"/>
  <c r="H535" i="4"/>
  <c r="F535" i="4"/>
  <c r="D535" i="4"/>
  <c r="L535" i="4" s="1"/>
  <c r="U406" i="4"/>
  <c r="T406" i="4"/>
  <c r="H406" i="4"/>
  <c r="F406" i="4"/>
  <c r="D406" i="4"/>
  <c r="U277" i="4"/>
  <c r="T277" i="4"/>
  <c r="H277" i="4"/>
  <c r="H379" i="4" s="1"/>
  <c r="S379" i="4" s="1"/>
  <c r="F277" i="4"/>
  <c r="D277" i="4"/>
  <c r="L277" i="4" s="1"/>
  <c r="P19" i="4"/>
  <c r="O19" i="4"/>
  <c r="N19" i="4"/>
  <c r="M19" i="4"/>
  <c r="I19" i="4"/>
  <c r="H19" i="4"/>
  <c r="G19" i="4"/>
  <c r="F19" i="4"/>
  <c r="E19" i="4"/>
  <c r="P148" i="4"/>
  <c r="O148" i="4"/>
  <c r="N148" i="4"/>
  <c r="M148" i="4"/>
  <c r="I148" i="4"/>
  <c r="H148" i="4"/>
  <c r="F148" i="4"/>
  <c r="C148" i="4"/>
  <c r="U534" i="4"/>
  <c r="T534" i="4"/>
  <c r="S534" i="4"/>
  <c r="Q534" i="4"/>
  <c r="D534" i="4"/>
  <c r="U405" i="4"/>
  <c r="T405" i="4"/>
  <c r="S405" i="4"/>
  <c r="D405" i="4"/>
  <c r="U276" i="4"/>
  <c r="T276" i="4"/>
  <c r="S276" i="4"/>
  <c r="D276" i="4"/>
  <c r="D379" i="4" s="1"/>
  <c r="R379" i="4" s="1"/>
  <c r="Q379" i="4" s="1"/>
  <c r="P18" i="4"/>
  <c r="O18" i="4"/>
  <c r="N18" i="4"/>
  <c r="M18" i="4"/>
  <c r="I18" i="4"/>
  <c r="H18" i="4"/>
  <c r="G18" i="4"/>
  <c r="F18" i="4"/>
  <c r="E18" i="4"/>
  <c r="P147" i="4"/>
  <c r="O147" i="4"/>
  <c r="N147" i="4"/>
  <c r="M147" i="4"/>
  <c r="I147" i="4"/>
  <c r="H147" i="4"/>
  <c r="F147" i="4"/>
  <c r="D147" i="4"/>
  <c r="C147" i="4"/>
  <c r="U533" i="4"/>
  <c r="T533" i="4"/>
  <c r="S533" i="4"/>
  <c r="R533" i="4"/>
  <c r="Q533" i="4"/>
  <c r="U404" i="4"/>
  <c r="T404" i="4"/>
  <c r="S404" i="4"/>
  <c r="R404" i="4"/>
  <c r="L404" i="4"/>
  <c r="U275" i="4"/>
  <c r="T275" i="4"/>
  <c r="S275" i="4"/>
  <c r="R275" i="4"/>
  <c r="L275" i="4"/>
  <c r="P17" i="4"/>
  <c r="O17" i="4"/>
  <c r="N17" i="4"/>
  <c r="M17" i="4"/>
  <c r="I17" i="4"/>
  <c r="H17" i="4"/>
  <c r="G17" i="4"/>
  <c r="F17" i="4"/>
  <c r="E17" i="4"/>
  <c r="P146" i="4"/>
  <c r="O146" i="4"/>
  <c r="N146" i="4"/>
  <c r="M146" i="4"/>
  <c r="I146" i="4"/>
  <c r="H146" i="4"/>
  <c r="F146" i="4"/>
  <c r="D146" i="4"/>
  <c r="C146" i="4"/>
  <c r="U532" i="4"/>
  <c r="T532" i="4"/>
  <c r="S532" i="4"/>
  <c r="R532" i="4"/>
  <c r="Q532" i="4"/>
  <c r="L532" i="4"/>
  <c r="U403" i="4"/>
  <c r="T403" i="4"/>
  <c r="S403" i="4"/>
  <c r="R403" i="4"/>
  <c r="L403" i="4"/>
  <c r="U274" i="4"/>
  <c r="T274" i="4"/>
  <c r="S274" i="4"/>
  <c r="R274" i="4"/>
  <c r="L274" i="4"/>
  <c r="P16" i="4"/>
  <c r="O16" i="4"/>
  <c r="N16" i="4"/>
  <c r="M16" i="4"/>
  <c r="I16" i="4"/>
  <c r="H16" i="4"/>
  <c r="G16" i="4"/>
  <c r="F16" i="4"/>
  <c r="E16" i="4"/>
  <c r="P145" i="4"/>
  <c r="O145" i="4"/>
  <c r="N145" i="4"/>
  <c r="M145" i="4"/>
  <c r="I145" i="4"/>
  <c r="H145" i="4"/>
  <c r="S145" i="4" s="1"/>
  <c r="F145" i="4"/>
  <c r="C145" i="4"/>
  <c r="U531" i="4"/>
  <c r="T531" i="4"/>
  <c r="S531" i="4"/>
  <c r="Q531" i="4"/>
  <c r="D531" i="4"/>
  <c r="D636" i="4" s="1"/>
  <c r="R636" i="4" s="1"/>
  <c r="Q636" i="4" s="1"/>
  <c r="U402" i="4"/>
  <c r="T402" i="4"/>
  <c r="S402" i="4"/>
  <c r="D402" i="4"/>
  <c r="D507" i="4" s="1"/>
  <c r="R507" i="4" s="1"/>
  <c r="Q507" i="4" s="1"/>
  <c r="U273" i="4"/>
  <c r="T273" i="4"/>
  <c r="S273" i="4"/>
  <c r="D273" i="4"/>
  <c r="D378" i="4" s="1"/>
  <c r="R378" i="4" s="1"/>
  <c r="Q378" i="4" s="1"/>
  <c r="P15" i="4"/>
  <c r="O15" i="4"/>
  <c r="N15" i="4"/>
  <c r="M15" i="4"/>
  <c r="I15" i="4"/>
  <c r="H15" i="4"/>
  <c r="G15" i="4"/>
  <c r="F15" i="4"/>
  <c r="E15" i="4"/>
  <c r="P144" i="4"/>
  <c r="O144" i="4"/>
  <c r="N144" i="4"/>
  <c r="M144" i="4"/>
  <c r="I144" i="4"/>
  <c r="H144" i="4"/>
  <c r="F144" i="4"/>
  <c r="D144" i="4"/>
  <c r="C144" i="4"/>
  <c r="U530" i="4"/>
  <c r="T530" i="4"/>
  <c r="S530" i="4"/>
  <c r="R530" i="4"/>
  <c r="Q530" i="4"/>
  <c r="L530" i="4"/>
  <c r="U401" i="4"/>
  <c r="T401" i="4"/>
  <c r="S401" i="4"/>
  <c r="R401" i="4"/>
  <c r="L401" i="4"/>
  <c r="U272" i="4"/>
  <c r="T272" i="4"/>
  <c r="S272" i="4"/>
  <c r="R272" i="4"/>
  <c r="L272" i="4"/>
  <c r="P14" i="4"/>
  <c r="O14" i="4"/>
  <c r="N14" i="4"/>
  <c r="M14" i="4"/>
  <c r="I14" i="4"/>
  <c r="H14" i="4"/>
  <c r="G14" i="4"/>
  <c r="F14" i="4"/>
  <c r="E14" i="4"/>
  <c r="P143" i="4"/>
  <c r="O143" i="4"/>
  <c r="N143" i="4"/>
  <c r="M143" i="4"/>
  <c r="I143" i="4"/>
  <c r="H143" i="4"/>
  <c r="F143" i="4"/>
  <c r="D143" i="4"/>
  <c r="C143" i="4"/>
  <c r="U529" i="4"/>
  <c r="T529" i="4"/>
  <c r="S529" i="4"/>
  <c r="R529" i="4"/>
  <c r="Q529" i="4"/>
  <c r="L529" i="4"/>
  <c r="U400" i="4"/>
  <c r="T400" i="4"/>
  <c r="S400" i="4"/>
  <c r="R400" i="4"/>
  <c r="L400" i="4"/>
  <c r="U271" i="4"/>
  <c r="T271" i="4"/>
  <c r="S271" i="4"/>
  <c r="R271" i="4"/>
  <c r="L271" i="4"/>
  <c r="P13" i="4"/>
  <c r="O13" i="4"/>
  <c r="N13" i="4"/>
  <c r="M13" i="4"/>
  <c r="I13" i="4"/>
  <c r="H13" i="4"/>
  <c r="G13" i="4"/>
  <c r="F13" i="4"/>
  <c r="E13" i="4"/>
  <c r="P142" i="4"/>
  <c r="O142" i="4"/>
  <c r="N142" i="4"/>
  <c r="M142" i="4"/>
  <c r="I142" i="4"/>
  <c r="H142" i="4"/>
  <c r="F142" i="4"/>
  <c r="D142" i="4"/>
  <c r="C142" i="4"/>
  <c r="U528" i="4"/>
  <c r="T528" i="4"/>
  <c r="S528" i="4"/>
  <c r="R528" i="4"/>
  <c r="Q528" i="4"/>
  <c r="L528" i="4"/>
  <c r="U399" i="4"/>
  <c r="T399" i="4"/>
  <c r="S399" i="4"/>
  <c r="R399" i="4"/>
  <c r="L399" i="4"/>
  <c r="U270" i="4"/>
  <c r="T270" i="4"/>
  <c r="S270" i="4"/>
  <c r="R270" i="4"/>
  <c r="L270" i="4"/>
  <c r="P12" i="4"/>
  <c r="O12" i="4"/>
  <c r="N12" i="4"/>
  <c r="M12" i="4"/>
  <c r="I12" i="4"/>
  <c r="H12" i="4"/>
  <c r="G12" i="4"/>
  <c r="F12" i="4"/>
  <c r="E12" i="4"/>
  <c r="P141" i="4"/>
  <c r="O141" i="4"/>
  <c r="N141" i="4"/>
  <c r="M141" i="4"/>
  <c r="I141" i="4"/>
  <c r="H141" i="4"/>
  <c r="F141" i="4"/>
  <c r="D141" i="4"/>
  <c r="C141" i="4"/>
  <c r="U527" i="4"/>
  <c r="T527" i="4"/>
  <c r="S527" i="4"/>
  <c r="R527" i="4"/>
  <c r="Q527" i="4"/>
  <c r="L527" i="4"/>
  <c r="U398" i="4"/>
  <c r="T398" i="4"/>
  <c r="S398" i="4"/>
  <c r="R398" i="4"/>
  <c r="L398" i="4"/>
  <c r="U269" i="4"/>
  <c r="T269" i="4"/>
  <c r="S269" i="4"/>
  <c r="R269" i="4"/>
  <c r="L269" i="4"/>
  <c r="P11" i="4"/>
  <c r="O11" i="4"/>
  <c r="N11" i="4"/>
  <c r="M11" i="4"/>
  <c r="I11" i="4"/>
  <c r="H11" i="4"/>
  <c r="G11" i="4"/>
  <c r="F11" i="4"/>
  <c r="E11" i="4"/>
  <c r="P140" i="4"/>
  <c r="O140" i="4"/>
  <c r="N140" i="4"/>
  <c r="M140" i="4"/>
  <c r="I140" i="4"/>
  <c r="H140" i="4"/>
  <c r="F140" i="4"/>
  <c r="D140" i="4"/>
  <c r="C140" i="4"/>
  <c r="U526" i="4"/>
  <c r="T526" i="4"/>
  <c r="S526" i="4"/>
  <c r="R526" i="4"/>
  <c r="Q526" i="4"/>
  <c r="L526" i="4"/>
  <c r="U397" i="4"/>
  <c r="T397" i="4"/>
  <c r="S397" i="4"/>
  <c r="R397" i="4"/>
  <c r="L397" i="4"/>
  <c r="U268" i="4"/>
  <c r="T268" i="4"/>
  <c r="S268" i="4"/>
  <c r="R268" i="4"/>
  <c r="L268" i="4"/>
  <c r="P10" i="4"/>
  <c r="O10" i="4"/>
  <c r="N10" i="4"/>
  <c r="M10" i="4"/>
  <c r="I10" i="4"/>
  <c r="H10" i="4"/>
  <c r="G10" i="4"/>
  <c r="F10" i="4"/>
  <c r="E10" i="4"/>
  <c r="P139" i="4"/>
  <c r="O139" i="4"/>
  <c r="N139" i="4"/>
  <c r="M139" i="4"/>
  <c r="I139" i="4"/>
  <c r="H139" i="4"/>
  <c r="F139" i="4"/>
  <c r="D139" i="4"/>
  <c r="C139" i="4"/>
  <c r="U525" i="4"/>
  <c r="T525" i="4"/>
  <c r="S525" i="4"/>
  <c r="R525" i="4"/>
  <c r="Q525" i="4"/>
  <c r="L525" i="4"/>
  <c r="U396" i="4"/>
  <c r="T396" i="4"/>
  <c r="S396" i="4"/>
  <c r="R396" i="4"/>
  <c r="L396" i="4"/>
  <c r="U267" i="4"/>
  <c r="T267" i="4"/>
  <c r="S267" i="4"/>
  <c r="R267" i="4"/>
  <c r="L267" i="4"/>
  <c r="P9" i="4"/>
  <c r="O9" i="4"/>
  <c r="N9" i="4"/>
  <c r="M9" i="4"/>
  <c r="I9" i="4"/>
  <c r="H9" i="4"/>
  <c r="G9" i="4"/>
  <c r="F9" i="4"/>
  <c r="E9" i="4"/>
  <c r="P138" i="4"/>
  <c r="O138" i="4"/>
  <c r="N138" i="4"/>
  <c r="M138" i="4"/>
  <c r="I138" i="4"/>
  <c r="H138" i="4"/>
  <c r="F138" i="4"/>
  <c r="D138" i="4"/>
  <c r="C138" i="4"/>
  <c r="U524" i="4"/>
  <c r="T524" i="4"/>
  <c r="S524" i="4"/>
  <c r="R524" i="4"/>
  <c r="Q524" i="4"/>
  <c r="L524" i="4"/>
  <c r="U395" i="4"/>
  <c r="T395" i="4"/>
  <c r="S395" i="4"/>
  <c r="R395" i="4"/>
  <c r="L395" i="4"/>
  <c r="U266" i="4"/>
  <c r="T266" i="4"/>
  <c r="S266" i="4"/>
  <c r="R266" i="4"/>
  <c r="L266" i="4"/>
  <c r="P8" i="4"/>
  <c r="O8" i="4"/>
  <c r="N8" i="4"/>
  <c r="M8" i="4"/>
  <c r="I8" i="4"/>
  <c r="H8" i="4"/>
  <c r="G8" i="4"/>
  <c r="F8" i="4"/>
  <c r="E8" i="4"/>
  <c r="P137" i="4"/>
  <c r="O137" i="4"/>
  <c r="N137" i="4"/>
  <c r="M137" i="4"/>
  <c r="I137" i="4"/>
  <c r="H137" i="4"/>
  <c r="F137" i="4"/>
  <c r="D137" i="4"/>
  <c r="C137" i="4"/>
  <c r="U523" i="4"/>
  <c r="T523" i="4"/>
  <c r="S523" i="4"/>
  <c r="R523" i="4"/>
  <c r="Q523" i="4"/>
  <c r="L523" i="4"/>
  <c r="U394" i="4"/>
  <c r="T394" i="4"/>
  <c r="S394" i="4"/>
  <c r="R394" i="4"/>
  <c r="L394" i="4"/>
  <c r="U265" i="4"/>
  <c r="T265" i="4"/>
  <c r="S265" i="4"/>
  <c r="R265" i="4"/>
  <c r="L265" i="4"/>
  <c r="P7" i="4"/>
  <c r="O7" i="4"/>
  <c r="N7" i="4"/>
  <c r="M7" i="4"/>
  <c r="L7" i="4"/>
  <c r="I7" i="4"/>
  <c r="H7" i="4"/>
  <c r="G7" i="4"/>
  <c r="F7" i="4"/>
  <c r="E7" i="4"/>
  <c r="P136" i="4"/>
  <c r="O136" i="4"/>
  <c r="N136" i="4"/>
  <c r="M136" i="4"/>
  <c r="J136" i="4"/>
  <c r="I136" i="4"/>
  <c r="H136" i="4"/>
  <c r="F136" i="4"/>
  <c r="D136" i="4"/>
  <c r="C136" i="4"/>
  <c r="R522" i="4"/>
  <c r="R393" i="4"/>
  <c r="R264" i="4"/>
  <c r="P6" i="4"/>
  <c r="P121" i="4" s="1"/>
  <c r="O6" i="4"/>
  <c r="N6" i="4"/>
  <c r="N121" i="4" s="1"/>
  <c r="M6" i="4"/>
  <c r="L6" i="4"/>
  <c r="J121" i="4"/>
  <c r="I6" i="4"/>
  <c r="H6" i="4"/>
  <c r="H121" i="4" s="1"/>
  <c r="G6" i="4"/>
  <c r="F6" i="4"/>
  <c r="F121" i="4" s="1"/>
  <c r="E6" i="4"/>
  <c r="P135" i="4"/>
  <c r="P250" i="4" s="1"/>
  <c r="O135" i="4"/>
  <c r="N135" i="4"/>
  <c r="N250" i="4" s="1"/>
  <c r="T250" i="4" s="1"/>
  <c r="M135" i="4"/>
  <c r="J135" i="4"/>
  <c r="J250" i="4" s="1"/>
  <c r="I135" i="4"/>
  <c r="H135" i="4"/>
  <c r="H250" i="4" s="1"/>
  <c r="S250" i="4" s="1"/>
  <c r="F135" i="4"/>
  <c r="F250" i="4" s="1"/>
  <c r="D135" i="4"/>
  <c r="C135" i="4"/>
  <c r="R521" i="4"/>
  <c r="R392" i="4"/>
  <c r="R263" i="4"/>
  <c r="P5" i="4"/>
  <c r="O5" i="4"/>
  <c r="N5" i="4"/>
  <c r="M5" i="4"/>
  <c r="L5" i="4"/>
  <c r="I5" i="4"/>
  <c r="H5" i="4"/>
  <c r="G5" i="4"/>
  <c r="F5" i="4"/>
  <c r="E5" i="4"/>
  <c r="P134" i="4"/>
  <c r="O134" i="4"/>
  <c r="N134" i="4"/>
  <c r="M134" i="4"/>
  <c r="J134" i="4"/>
  <c r="I134" i="4"/>
  <c r="H134" i="4"/>
  <c r="F134" i="4"/>
  <c r="D134" i="4"/>
  <c r="C134" i="4"/>
  <c r="R520" i="4"/>
  <c r="R391" i="4"/>
  <c r="R262" i="4"/>
  <c r="P4" i="4"/>
  <c r="O4" i="4"/>
  <c r="N4" i="4"/>
  <c r="M4" i="4"/>
  <c r="L4" i="4"/>
  <c r="J4" i="4"/>
  <c r="I4" i="4"/>
  <c r="H4" i="4"/>
  <c r="G4" i="4"/>
  <c r="F4" i="4"/>
  <c r="E4" i="4"/>
  <c r="P133" i="4"/>
  <c r="O133" i="4"/>
  <c r="N133" i="4"/>
  <c r="M133" i="4"/>
  <c r="J133" i="4"/>
  <c r="I133" i="4"/>
  <c r="H133" i="4"/>
  <c r="F133" i="4"/>
  <c r="D133" i="4"/>
  <c r="C133" i="4"/>
  <c r="P3" i="4"/>
  <c r="P111" i="4" s="1"/>
  <c r="O3" i="4"/>
  <c r="N3" i="4"/>
  <c r="N111" i="4" s="1"/>
  <c r="M3" i="4"/>
  <c r="L3" i="4"/>
  <c r="L111" i="4" s="1"/>
  <c r="J3" i="4"/>
  <c r="J111" i="4" s="1"/>
  <c r="I3" i="4"/>
  <c r="H3" i="4"/>
  <c r="H111" i="4" s="1"/>
  <c r="G3" i="4"/>
  <c r="F3" i="4"/>
  <c r="F111" i="4" s="1"/>
  <c r="E3" i="4"/>
  <c r="P132" i="4"/>
  <c r="P240" i="4" s="1"/>
  <c r="O132" i="4"/>
  <c r="N132" i="4"/>
  <c r="N240" i="4" s="1"/>
  <c r="M132" i="4"/>
  <c r="J132" i="4"/>
  <c r="J240" i="4" s="1"/>
  <c r="I132" i="4"/>
  <c r="H132" i="4"/>
  <c r="H240" i="4" s="1"/>
  <c r="F132" i="4"/>
  <c r="F240" i="4" s="1"/>
  <c r="D132" i="4"/>
  <c r="C132" i="4"/>
  <c r="G113" i="4" l="1"/>
  <c r="AK250" i="4"/>
  <c r="I250" i="4"/>
  <c r="P251" i="4"/>
  <c r="AH252" i="4"/>
  <c r="O251" i="4"/>
  <c r="U251" i="4" s="1"/>
  <c r="H508" i="4"/>
  <c r="S508" i="4" s="1"/>
  <c r="AL248" i="4"/>
  <c r="AL257" i="4"/>
  <c r="AQ250" i="4"/>
  <c r="AF276" i="4"/>
  <c r="Z379" i="4"/>
  <c r="AN379" i="4" s="1"/>
  <c r="AM379" i="4" s="1"/>
  <c r="AD637" i="4"/>
  <c r="AO637" i="4" s="1"/>
  <c r="AF634" i="4"/>
  <c r="AF643" i="4"/>
  <c r="S240" i="4"/>
  <c r="H248" i="4"/>
  <c r="S248" i="4" s="1"/>
  <c r="H257" i="4"/>
  <c r="S257" i="4" s="1"/>
  <c r="F248" i="4"/>
  <c r="F257" i="4"/>
  <c r="O250" i="4"/>
  <c r="U250" i="4" s="1"/>
  <c r="AH507" i="4"/>
  <c r="AF763" i="4"/>
  <c r="AF772" i="4"/>
  <c r="F508" i="4"/>
  <c r="L405" i="4"/>
  <c r="D508" i="4"/>
  <c r="R508" i="4" s="1"/>
  <c r="Y250" i="4"/>
  <c r="AE251" i="4"/>
  <c r="J248" i="4"/>
  <c r="J257" i="4"/>
  <c r="F637" i="4"/>
  <c r="Z766" i="4"/>
  <c r="AN766" i="4" s="1"/>
  <c r="AM766" i="4" s="1"/>
  <c r="AB766" i="4"/>
  <c r="L252" i="4"/>
  <c r="AJ248" i="4"/>
  <c r="AJ257" i="4"/>
  <c r="C251" i="4"/>
  <c r="H637" i="4"/>
  <c r="S637" i="4" s="1"/>
  <c r="AB248" i="4"/>
  <c r="AB257" i="4"/>
  <c r="AJ251" i="4"/>
  <c r="AP251" i="4" s="1"/>
  <c r="AD766" i="4"/>
  <c r="AO766" i="4" s="1"/>
  <c r="N251" i="4"/>
  <c r="T251" i="4" s="1"/>
  <c r="Y251" i="4"/>
  <c r="C250" i="4"/>
  <c r="F379" i="4"/>
  <c r="AO240" i="4"/>
  <c r="AD248" i="4"/>
  <c r="AO248" i="4" s="1"/>
  <c r="AD257" i="4"/>
  <c r="AO257" i="4" s="1"/>
  <c r="AK251" i="4"/>
  <c r="AB508" i="4"/>
  <c r="Z637" i="4"/>
  <c r="AN637" i="4" s="1"/>
  <c r="AM637" i="4" s="1"/>
  <c r="N248" i="4"/>
  <c r="N257" i="4"/>
  <c r="D637" i="4"/>
  <c r="R637" i="4" s="1"/>
  <c r="Q637" i="4" s="1"/>
  <c r="AE250" i="4"/>
  <c r="AL251" i="4"/>
  <c r="AD508" i="4"/>
  <c r="AO508" i="4" s="1"/>
  <c r="AF252" i="4"/>
  <c r="AF376" i="4"/>
  <c r="AF385" i="4"/>
  <c r="P248" i="4"/>
  <c r="P257" i="4"/>
  <c r="D250" i="4"/>
  <c r="AF248" i="4"/>
  <c r="AF257" i="4"/>
  <c r="Z508" i="4"/>
  <c r="AN508" i="4" s="1"/>
  <c r="J252" i="4"/>
  <c r="I251" i="4"/>
  <c r="AF505" i="4"/>
  <c r="AF514" i="4"/>
  <c r="I113" i="4"/>
  <c r="P119" i="4"/>
  <c r="P128" i="4"/>
  <c r="H119" i="4"/>
  <c r="H128" i="4"/>
  <c r="J119" i="4"/>
  <c r="J128" i="4"/>
  <c r="F4" i="9" s="1"/>
  <c r="C4" i="9" s="1"/>
  <c r="L119" i="4"/>
  <c r="L128" i="4"/>
  <c r="N119" i="4"/>
  <c r="N128" i="4"/>
  <c r="F119" i="4"/>
  <c r="F128" i="4"/>
  <c r="H498" i="4"/>
  <c r="S498" i="4" s="1"/>
  <c r="AM159" i="4"/>
  <c r="Q159" i="4"/>
  <c r="D369" i="4"/>
  <c r="R369" i="4" s="1"/>
  <c r="F369" i="4"/>
  <c r="AB627" i="4"/>
  <c r="F627" i="4"/>
  <c r="AD756" i="4"/>
  <c r="AO756" i="4" s="1"/>
  <c r="J284" i="4"/>
  <c r="J370" i="4" s="1"/>
  <c r="D370" i="4"/>
  <c r="R370" i="4" s="1"/>
  <c r="Q370" i="4" s="1"/>
  <c r="L542" i="4"/>
  <c r="L628" i="4" s="1"/>
  <c r="D628" i="4"/>
  <c r="R628" i="4" s="1"/>
  <c r="Q628" i="4" s="1"/>
  <c r="D627" i="4"/>
  <c r="R627" i="4" s="1"/>
  <c r="Z757" i="4"/>
  <c r="AN757" i="4" s="1"/>
  <c r="AM757" i="4" s="1"/>
  <c r="H627" i="4"/>
  <c r="S627" i="4" s="1"/>
  <c r="D499" i="4"/>
  <c r="R499" i="4" s="1"/>
  <c r="Q499" i="4" s="1"/>
  <c r="AN273" i="4"/>
  <c r="Z369" i="4"/>
  <c r="AN369" i="4" s="1"/>
  <c r="AB498" i="4"/>
  <c r="AN402" i="4"/>
  <c r="Z498" i="4"/>
  <c r="AN498" i="4" s="1"/>
  <c r="AB369" i="4"/>
  <c r="AO277" i="4"/>
  <c r="AD369" i="4"/>
  <c r="AO369" i="4" s="1"/>
  <c r="AF413" i="4"/>
  <c r="AF499" i="4" s="1"/>
  <c r="Z499" i="4"/>
  <c r="AN499" i="4" s="1"/>
  <c r="AM499" i="4" s="1"/>
  <c r="AO535" i="4"/>
  <c r="AD627" i="4"/>
  <c r="AO627" i="4" s="1"/>
  <c r="L402" i="4"/>
  <c r="L507" i="4" s="1"/>
  <c r="D498" i="4"/>
  <c r="R498" i="4" s="1"/>
  <c r="AD498" i="4"/>
  <c r="AO498" i="4" s="1"/>
  <c r="J497" i="4"/>
  <c r="J626" i="4"/>
  <c r="AF542" i="4"/>
  <c r="AF628" i="4" s="1"/>
  <c r="Z628" i="4"/>
  <c r="AN628" i="4" s="1"/>
  <c r="AM628" i="4" s="1"/>
  <c r="S277" i="4"/>
  <c r="H369" i="4"/>
  <c r="S369" i="4" s="1"/>
  <c r="L497" i="4"/>
  <c r="F498" i="4"/>
  <c r="Z756" i="4"/>
  <c r="AN756" i="4" s="1"/>
  <c r="AB756" i="4"/>
  <c r="Z370" i="4"/>
  <c r="AN370" i="4" s="1"/>
  <c r="AM370" i="4" s="1"/>
  <c r="AN531" i="4"/>
  <c r="Z627" i="4"/>
  <c r="AN627" i="4" s="1"/>
  <c r="J368" i="4"/>
  <c r="AH368" i="4"/>
  <c r="AH755" i="4"/>
  <c r="H113" i="4"/>
  <c r="S113" i="4" s="1"/>
  <c r="AH626" i="4"/>
  <c r="L626" i="4"/>
  <c r="F242" i="4"/>
  <c r="F113" i="4"/>
  <c r="AJ241" i="4"/>
  <c r="AL242" i="4"/>
  <c r="AK240" i="4"/>
  <c r="AK241" i="4"/>
  <c r="N112" i="4"/>
  <c r="C240" i="4"/>
  <c r="O241" i="4"/>
  <c r="Y240" i="4"/>
  <c r="M242" i="4"/>
  <c r="AB242" i="4"/>
  <c r="AH497" i="4"/>
  <c r="N113" i="4"/>
  <c r="I242" i="4"/>
  <c r="P113" i="4"/>
  <c r="S156" i="4"/>
  <c r="H242" i="4"/>
  <c r="S242" i="4" s="1"/>
  <c r="O112" i="4"/>
  <c r="Z240" i="4"/>
  <c r="P112" i="4"/>
  <c r="E111" i="4"/>
  <c r="AO156" i="4"/>
  <c r="AD242" i="4"/>
  <c r="AO242" i="4" s="1"/>
  <c r="O111" i="4"/>
  <c r="G112" i="4"/>
  <c r="O242" i="4"/>
  <c r="AE240" i="4"/>
  <c r="AE242" i="4"/>
  <c r="O240" i="4"/>
  <c r="C241" i="4"/>
  <c r="D240" i="4"/>
  <c r="AL241" i="4"/>
  <c r="I240" i="4"/>
  <c r="G111" i="4"/>
  <c r="I241" i="4"/>
  <c r="P242" i="4"/>
  <c r="AO144" i="4"/>
  <c r="AI242" i="4"/>
  <c r="Y242" i="4"/>
  <c r="M111" i="4"/>
  <c r="E112" i="4"/>
  <c r="Y241" i="4"/>
  <c r="M241" i="4"/>
  <c r="I112" i="4"/>
  <c r="C242" i="4"/>
  <c r="E113" i="4"/>
  <c r="AI240" i="4"/>
  <c r="AE241" i="4"/>
  <c r="AJ242" i="4"/>
  <c r="P241" i="4"/>
  <c r="L368" i="4"/>
  <c r="N242" i="4"/>
  <c r="M240" i="4"/>
  <c r="I111" i="4"/>
  <c r="N241" i="4"/>
  <c r="M112" i="4"/>
  <c r="AI241" i="4"/>
  <c r="AK242" i="4"/>
  <c r="D5" i="4"/>
  <c r="AM185" i="4"/>
  <c r="AO195" i="4"/>
  <c r="AQ195" i="4"/>
  <c r="E121" i="4"/>
  <c r="AP196" i="4"/>
  <c r="AQ196" i="4"/>
  <c r="AP195" i="4"/>
  <c r="S73" i="4"/>
  <c r="Q73" i="4" s="1"/>
  <c r="R68" i="4"/>
  <c r="J534" i="4"/>
  <c r="L534" i="4"/>
  <c r="J536" i="4"/>
  <c r="L536" i="4"/>
  <c r="J538" i="4"/>
  <c r="L538" i="4"/>
  <c r="AQ183" i="4"/>
  <c r="AQ184" i="4"/>
  <c r="AO183" i="4"/>
  <c r="AP183" i="4"/>
  <c r="AF535" i="4"/>
  <c r="AF281" i="4"/>
  <c r="AF411" i="4"/>
  <c r="AN409" i="4"/>
  <c r="J278" i="4"/>
  <c r="L278" i="4"/>
  <c r="D123" i="4"/>
  <c r="R123" i="4" s="1"/>
  <c r="Q123" i="4" s="1"/>
  <c r="R31" i="4"/>
  <c r="R536" i="4"/>
  <c r="J282" i="4"/>
  <c r="L415" i="4"/>
  <c r="AD154" i="4"/>
  <c r="AO154" i="4" s="1"/>
  <c r="L123" i="4"/>
  <c r="J276" i="4"/>
  <c r="AF669" i="4"/>
  <c r="AF540" i="4"/>
  <c r="L531" i="4"/>
  <c r="L636" i="4" s="1"/>
  <c r="AF405" i="4"/>
  <c r="AF410" i="4"/>
  <c r="J123" i="4"/>
  <c r="J405" i="4"/>
  <c r="AN196" i="4"/>
  <c r="C17" i="4"/>
  <c r="C21" i="4"/>
  <c r="D10" i="4"/>
  <c r="D12" i="4"/>
  <c r="R30" i="4"/>
  <c r="L406" i="4"/>
  <c r="J406" i="4"/>
  <c r="L410" i="4"/>
  <c r="J410" i="4"/>
  <c r="J283" i="4"/>
  <c r="J412" i="4"/>
  <c r="J541" i="4"/>
  <c r="J415" i="4"/>
  <c r="AQ146" i="4"/>
  <c r="AF668" i="4"/>
  <c r="AF282" i="4"/>
  <c r="AF534" i="4"/>
  <c r="AN541" i="4"/>
  <c r="AF541" i="4"/>
  <c r="J535" i="4"/>
  <c r="J279" i="4"/>
  <c r="L408" i="4"/>
  <c r="J537" i="4"/>
  <c r="R539" i="4"/>
  <c r="J539" i="4"/>
  <c r="L411" i="4"/>
  <c r="J411" i="4"/>
  <c r="AN277" i="4"/>
  <c r="AF277" i="4"/>
  <c r="AN407" i="4"/>
  <c r="AF407" i="4"/>
  <c r="AF278" i="4"/>
  <c r="AF665" i="4"/>
  <c r="AN408" i="4"/>
  <c r="AF408" i="4"/>
  <c r="AF279" i="4"/>
  <c r="AF283" i="4"/>
  <c r="AF670" i="4"/>
  <c r="AF284" i="4"/>
  <c r="AF671" i="4"/>
  <c r="AF757" i="4" s="1"/>
  <c r="J280" i="4"/>
  <c r="J540" i="4"/>
  <c r="J413" i="4"/>
  <c r="AF536" i="4"/>
  <c r="AF538" i="4"/>
  <c r="AN539" i="4"/>
  <c r="AF539" i="4"/>
  <c r="R409" i="4"/>
  <c r="J409" i="4"/>
  <c r="R284" i="4"/>
  <c r="J542" i="4"/>
  <c r="J544" i="4"/>
  <c r="AH663" i="4"/>
  <c r="AH766" i="4" s="1"/>
  <c r="AF663" i="4"/>
  <c r="AH664" i="4"/>
  <c r="AF664" i="4"/>
  <c r="AF280" i="4"/>
  <c r="AN286" i="4"/>
  <c r="AF286" i="4"/>
  <c r="C5" i="4"/>
  <c r="R531" i="4"/>
  <c r="R277" i="4"/>
  <c r="J277" i="4"/>
  <c r="R281" i="4"/>
  <c r="J281" i="4"/>
  <c r="AF406" i="4"/>
  <c r="AH282" i="4"/>
  <c r="AN535" i="4"/>
  <c r="C28" i="4"/>
  <c r="C24" i="4"/>
  <c r="C25" i="4"/>
  <c r="AP157" i="4"/>
  <c r="AP158" i="4"/>
  <c r="L141" i="4"/>
  <c r="AH402" i="4"/>
  <c r="AB154" i="4"/>
  <c r="AH531" i="4"/>
  <c r="AH636" i="4" s="1"/>
  <c r="L280" i="4"/>
  <c r="L279" i="4"/>
  <c r="L10" i="4"/>
  <c r="L144" i="4"/>
  <c r="L157" i="4"/>
  <c r="AQ147" i="4"/>
  <c r="AB149" i="4"/>
  <c r="AB251" i="4" s="1"/>
  <c r="AN157" i="4"/>
  <c r="J18" i="4"/>
  <c r="J13" i="4"/>
  <c r="AQ154" i="4"/>
  <c r="J138" i="4"/>
  <c r="C7" i="4"/>
  <c r="AP150" i="4"/>
  <c r="T139" i="4"/>
  <c r="T22" i="4"/>
  <c r="S26" i="4"/>
  <c r="T23" i="4"/>
  <c r="T26" i="4"/>
  <c r="U158" i="4"/>
  <c r="S13" i="4"/>
  <c r="L14" i="4"/>
  <c r="S12" i="4"/>
  <c r="R137" i="4"/>
  <c r="T138" i="4"/>
  <c r="J142" i="4"/>
  <c r="AP138" i="4"/>
  <c r="AP142" i="4"/>
  <c r="T14" i="4"/>
  <c r="U143" i="4"/>
  <c r="U154" i="4"/>
  <c r="U155" i="4"/>
  <c r="C27" i="4"/>
  <c r="AP155" i="4"/>
  <c r="D4" i="4"/>
  <c r="D17" i="4"/>
  <c r="C23" i="4"/>
  <c r="C26" i="4"/>
  <c r="D28" i="4"/>
  <c r="U140" i="4"/>
  <c r="U153" i="4"/>
  <c r="U157" i="4"/>
  <c r="AP156" i="4"/>
  <c r="C22" i="4"/>
  <c r="O29" i="4"/>
  <c r="O122" i="4" s="1"/>
  <c r="U23" i="4"/>
  <c r="U26" i="4"/>
  <c r="T156" i="4"/>
  <c r="S150" i="4"/>
  <c r="U22" i="4"/>
  <c r="T153" i="4"/>
  <c r="T154" i="4"/>
  <c r="T27" i="4"/>
  <c r="T157" i="4"/>
  <c r="U151" i="4"/>
  <c r="S28" i="4"/>
  <c r="J140" i="4"/>
  <c r="T144" i="4"/>
  <c r="T151" i="4"/>
  <c r="U156" i="4"/>
  <c r="S27" i="4"/>
  <c r="C29" i="4"/>
  <c r="U11" i="4"/>
  <c r="R143" i="4"/>
  <c r="U138" i="4"/>
  <c r="T140" i="4"/>
  <c r="U141" i="4"/>
  <c r="L143" i="4"/>
  <c r="U144" i="4"/>
  <c r="S15" i="4"/>
  <c r="J146" i="4"/>
  <c r="R135" i="4"/>
  <c r="S11" i="4"/>
  <c r="L142" i="4"/>
  <c r="T142" i="4"/>
  <c r="L146" i="4"/>
  <c r="T146" i="4"/>
  <c r="AH668" i="4"/>
  <c r="AN668" i="4"/>
  <c r="Z158" i="4"/>
  <c r="AN158" i="4" s="1"/>
  <c r="U139" i="4"/>
  <c r="S10" i="4"/>
  <c r="T145" i="4"/>
  <c r="T148" i="4"/>
  <c r="R535" i="4"/>
  <c r="U149" i="4"/>
  <c r="T150" i="4"/>
  <c r="U21" i="4"/>
  <c r="R280" i="4"/>
  <c r="U152" i="4"/>
  <c r="S23" i="4"/>
  <c r="D153" i="4"/>
  <c r="R153" i="4" s="1"/>
  <c r="T24" i="4"/>
  <c r="F25" i="4"/>
  <c r="R411" i="4"/>
  <c r="T25" i="4"/>
  <c r="L412" i="4"/>
  <c r="R542" i="4"/>
  <c r="U27" i="4"/>
  <c r="U28" i="4"/>
  <c r="C8" i="4"/>
  <c r="C9" i="4"/>
  <c r="AQ138" i="4"/>
  <c r="C10" i="4"/>
  <c r="AN666" i="4"/>
  <c r="AH666" i="4"/>
  <c r="AQ152" i="4"/>
  <c r="AH412" i="4"/>
  <c r="AN412" i="4"/>
  <c r="AH413" i="4"/>
  <c r="AN413" i="4"/>
  <c r="L282" i="4"/>
  <c r="C19" i="4"/>
  <c r="R139" i="4"/>
  <c r="R406" i="4"/>
  <c r="S406" i="4"/>
  <c r="R410" i="4"/>
  <c r="H154" i="4"/>
  <c r="S154" i="4" s="1"/>
  <c r="H25" i="4"/>
  <c r="S25" i="4" s="1"/>
  <c r="R412" i="4"/>
  <c r="L284" i="4"/>
  <c r="C3" i="4"/>
  <c r="AH146" i="4"/>
  <c r="AH276" i="4"/>
  <c r="AH379" i="4" s="1"/>
  <c r="AH277" i="4"/>
  <c r="AN667" i="4"/>
  <c r="AH667" i="4"/>
  <c r="AH410" i="4"/>
  <c r="AN410" i="4"/>
  <c r="Z154" i="4"/>
  <c r="AN154" i="4" s="1"/>
  <c r="AN669" i="4"/>
  <c r="AH542" i="4"/>
  <c r="J402" i="4"/>
  <c r="J507" i="4" s="1"/>
  <c r="R408" i="4"/>
  <c r="T137" i="4"/>
  <c r="L138" i="4"/>
  <c r="L139" i="4"/>
  <c r="L140" i="4"/>
  <c r="T141" i="4"/>
  <c r="R141" i="4"/>
  <c r="U142" i="4"/>
  <c r="T143" i="4"/>
  <c r="S144" i="4"/>
  <c r="U145" i="4"/>
  <c r="U146" i="4"/>
  <c r="T17" i="4"/>
  <c r="R405" i="4"/>
  <c r="U148" i="4"/>
  <c r="T149" i="4"/>
  <c r="R278" i="4"/>
  <c r="U150" i="4"/>
  <c r="R537" i="4"/>
  <c r="S22" i="4"/>
  <c r="T152" i="4"/>
  <c r="F24" i="4"/>
  <c r="U24" i="4"/>
  <c r="R282" i="4"/>
  <c r="U25" i="4"/>
  <c r="T155" i="4"/>
  <c r="L28" i="4"/>
  <c r="D3" i="4"/>
  <c r="L12" i="4"/>
  <c r="AH407" i="4"/>
  <c r="AH411" i="4"/>
  <c r="AN411" i="4"/>
  <c r="J273" i="4"/>
  <c r="J378" i="4" s="1"/>
  <c r="J531" i="4"/>
  <c r="J636" i="4" s="1"/>
  <c r="AQ151" i="4"/>
  <c r="AB153" i="4"/>
  <c r="AP153" i="4"/>
  <c r="AP154" i="4"/>
  <c r="AQ156" i="4"/>
  <c r="AH157" i="4"/>
  <c r="AH537" i="4"/>
  <c r="AN540" i="4"/>
  <c r="AO196" i="4"/>
  <c r="C14" i="4"/>
  <c r="AH273" i="4"/>
  <c r="AH378" i="4" s="1"/>
  <c r="AF273" i="4"/>
  <c r="AF378" i="4" s="1"/>
  <c r="AN663" i="4"/>
  <c r="Z148" i="4"/>
  <c r="AN148" i="4" s="1"/>
  <c r="AH665" i="4"/>
  <c r="AD153" i="4"/>
  <c r="AO153" i="4" s="1"/>
  <c r="AH670" i="4"/>
  <c r="AQ155" i="4"/>
  <c r="AN671" i="4"/>
  <c r="AH415" i="4"/>
  <c r="AH286" i="4"/>
  <c r="AN537" i="4"/>
  <c r="AH544" i="4"/>
  <c r="C11" i="4"/>
  <c r="C12" i="4"/>
  <c r="AQ142" i="4"/>
  <c r="AF402" i="4"/>
  <c r="AF507" i="4" s="1"/>
  <c r="AN660" i="4"/>
  <c r="AF660" i="4"/>
  <c r="AF765" i="4" s="1"/>
  <c r="AN665" i="4"/>
  <c r="AH408" i="4"/>
  <c r="AP151" i="4"/>
  <c r="AH409" i="4"/>
  <c r="AP152" i="4"/>
  <c r="AQ153" i="4"/>
  <c r="AN670" i="4"/>
  <c r="AF531" i="4"/>
  <c r="AF636" i="4" s="1"/>
  <c r="AH535" i="4"/>
  <c r="AH538" i="4"/>
  <c r="AH539" i="4"/>
  <c r="AH541" i="4"/>
  <c r="AN544" i="4"/>
  <c r="J144" i="4"/>
  <c r="D7" i="4"/>
  <c r="L15" i="4"/>
  <c r="C15" i="4"/>
  <c r="AF143" i="4"/>
  <c r="J14" i="4"/>
  <c r="J9" i="4"/>
  <c r="S9" i="4"/>
  <c r="L11" i="4"/>
  <c r="D11" i="4"/>
  <c r="D15" i="4"/>
  <c r="J17" i="4"/>
  <c r="AN134" i="4"/>
  <c r="AH139" i="4"/>
  <c r="AH141" i="4"/>
  <c r="AP144" i="4"/>
  <c r="L8" i="4"/>
  <c r="L13" i="4"/>
  <c r="T20" i="4"/>
  <c r="AN137" i="4"/>
  <c r="AN139" i="4"/>
  <c r="AN141" i="4"/>
  <c r="AN143" i="4"/>
  <c r="AQ145" i="4"/>
  <c r="AP146" i="4"/>
  <c r="D8" i="4"/>
  <c r="J12" i="4"/>
  <c r="D14" i="4"/>
  <c r="L17" i="4"/>
  <c r="S19" i="4"/>
  <c r="AH140" i="4"/>
  <c r="AP140" i="4"/>
  <c r="AH143" i="4"/>
  <c r="AH144" i="4"/>
  <c r="S17" i="4"/>
  <c r="N122" i="4"/>
  <c r="U19" i="4"/>
  <c r="C20" i="4"/>
  <c r="AN146" i="4"/>
  <c r="AQ149" i="4"/>
  <c r="J15" i="4"/>
  <c r="I122" i="4"/>
  <c r="AQ158" i="4"/>
  <c r="T13" i="4"/>
  <c r="U14" i="4"/>
  <c r="T16" i="4"/>
  <c r="U17" i="4"/>
  <c r="AQ139" i="4"/>
  <c r="AP141" i="4"/>
  <c r="AN142" i="4"/>
  <c r="C6" i="4"/>
  <c r="L9" i="4"/>
  <c r="S16" i="4"/>
  <c r="U20" i="4"/>
  <c r="T21" i="4"/>
  <c r="AH142" i="4"/>
  <c r="AP145" i="4"/>
  <c r="AF146" i="4"/>
  <c r="AQ148" i="4"/>
  <c r="AP149" i="4"/>
  <c r="AQ150" i="4"/>
  <c r="U67" i="4"/>
  <c r="J11" i="4"/>
  <c r="U9" i="4"/>
  <c r="T10" i="4"/>
  <c r="T12" i="4"/>
  <c r="C13" i="4"/>
  <c r="T15" i="4"/>
  <c r="AF138" i="4"/>
  <c r="AN138" i="4"/>
  <c r="AF142" i="4"/>
  <c r="AQ143" i="4"/>
  <c r="C4" i="4"/>
  <c r="D9" i="4"/>
  <c r="T11" i="4"/>
  <c r="D13" i="4"/>
  <c r="C16" i="4"/>
  <c r="I121" i="4"/>
  <c r="T9" i="4"/>
  <c r="U10" i="4"/>
  <c r="U12" i="4"/>
  <c r="U13" i="4"/>
  <c r="S14" i="4"/>
  <c r="U15" i="4"/>
  <c r="U16" i="4"/>
  <c r="T18" i="4"/>
  <c r="T19" i="4"/>
  <c r="S21" i="4"/>
  <c r="AN136" i="4"/>
  <c r="AF140" i="4"/>
  <c r="AN140" i="4"/>
  <c r="AQ141" i="4"/>
  <c r="AF144" i="4"/>
  <c r="AN144" i="4"/>
  <c r="AP148" i="4"/>
  <c r="J147" i="4"/>
  <c r="J10" i="4"/>
  <c r="L18" i="4"/>
  <c r="C18" i="4"/>
  <c r="L276" i="4"/>
  <c r="L379" i="4" s="1"/>
  <c r="F149" i="4"/>
  <c r="D152" i="4"/>
  <c r="R538" i="4"/>
  <c r="D154" i="4"/>
  <c r="AO137" i="4"/>
  <c r="R134" i="4"/>
  <c r="O121" i="4"/>
  <c r="U121" i="4" s="1"/>
  <c r="R136" i="4"/>
  <c r="S137" i="4"/>
  <c r="S139" i="4"/>
  <c r="S141" i="4"/>
  <c r="S143" i="4"/>
  <c r="R402" i="4"/>
  <c r="D145" i="4"/>
  <c r="R146" i="4"/>
  <c r="R147" i="4"/>
  <c r="U147" i="4"/>
  <c r="S148" i="4"/>
  <c r="F20" i="4"/>
  <c r="H149" i="4"/>
  <c r="H251" i="4" s="1"/>
  <c r="S251" i="4" s="1"/>
  <c r="S151" i="4"/>
  <c r="F154" i="4"/>
  <c r="R157" i="4"/>
  <c r="T28" i="4"/>
  <c r="R286" i="4"/>
  <c r="L286" i="4"/>
  <c r="T158" i="4"/>
  <c r="M29" i="4"/>
  <c r="T29" i="4" s="1"/>
  <c r="R142" i="4"/>
  <c r="J143" i="4"/>
  <c r="R144" i="4"/>
  <c r="L273" i="4"/>
  <c r="L378" i="4" s="1"/>
  <c r="S146" i="4"/>
  <c r="L147" i="4"/>
  <c r="D18" i="4"/>
  <c r="S18" i="4"/>
  <c r="R276" i="4"/>
  <c r="R534" i="4"/>
  <c r="R413" i="4"/>
  <c r="L413" i="4"/>
  <c r="D156" i="4"/>
  <c r="J28" i="4"/>
  <c r="J157" i="4"/>
  <c r="S29" i="4"/>
  <c r="U8" i="4"/>
  <c r="T147" i="4"/>
  <c r="H20" i="4"/>
  <c r="G121" i="4"/>
  <c r="S121" i="4" s="1"/>
  <c r="J137" i="4"/>
  <c r="S8" i="4"/>
  <c r="R138" i="4"/>
  <c r="J139" i="4"/>
  <c r="R140" i="4"/>
  <c r="J141" i="4"/>
  <c r="D6" i="4"/>
  <c r="L137" i="4"/>
  <c r="U137" i="4"/>
  <c r="J8" i="4"/>
  <c r="T8" i="4"/>
  <c r="S138" i="4"/>
  <c r="S140" i="4"/>
  <c r="S142" i="4"/>
  <c r="R273" i="4"/>
  <c r="S147" i="4"/>
  <c r="D148" i="4"/>
  <c r="R407" i="4"/>
  <c r="L407" i="4"/>
  <c r="H24" i="4"/>
  <c r="S24" i="4" s="1"/>
  <c r="H153" i="4"/>
  <c r="S153" i="4" s="1"/>
  <c r="F153" i="4"/>
  <c r="F251" i="4" s="1"/>
  <c r="R540" i="4"/>
  <c r="R283" i="4"/>
  <c r="L283" i="4"/>
  <c r="AH147" i="4"/>
  <c r="S535" i="4"/>
  <c r="D149" i="4"/>
  <c r="D150" i="4"/>
  <c r="R279" i="4"/>
  <c r="S540" i="4"/>
  <c r="R541" i="4"/>
  <c r="R544" i="4"/>
  <c r="AH138" i="4"/>
  <c r="AF141" i="4"/>
  <c r="AP143" i="4"/>
  <c r="AQ144" i="4"/>
  <c r="D151" i="4"/>
  <c r="L281" i="4"/>
  <c r="D155" i="4"/>
  <c r="D158" i="4"/>
  <c r="AF139" i="4"/>
  <c r="AN278" i="4"/>
  <c r="AH278" i="4"/>
  <c r="AN534" i="4"/>
  <c r="AH534" i="4"/>
  <c r="AH637" i="4" s="1"/>
  <c r="G122" i="4"/>
  <c r="P122" i="4"/>
  <c r="U18" i="4"/>
  <c r="Q535" i="4"/>
  <c r="AP137" i="4"/>
  <c r="AP139" i="4"/>
  <c r="AQ140" i="4"/>
  <c r="AH660" i="4"/>
  <c r="AH765" i="4" s="1"/>
  <c r="Z145" i="4"/>
  <c r="AN145" i="4" s="1"/>
  <c r="AN281" i="4"/>
  <c r="AH281" i="4"/>
  <c r="AF147" i="4"/>
  <c r="AH405" i="4"/>
  <c r="Z149" i="4"/>
  <c r="AN149" i="4" s="1"/>
  <c r="AN664" i="4"/>
  <c r="Z150" i="4"/>
  <c r="AN150" i="4" s="1"/>
  <c r="AN279" i="4"/>
  <c r="AN283" i="4"/>
  <c r="AF137" i="4"/>
  <c r="T67" i="4"/>
  <c r="AN147" i="4"/>
  <c r="AH279" i="4"/>
  <c r="Z151" i="4"/>
  <c r="AN151" i="4" s="1"/>
  <c r="AN280" i="4"/>
  <c r="AH283" i="4"/>
  <c r="Z155" i="4"/>
  <c r="AN155" i="4" s="1"/>
  <c r="AN284" i="4"/>
  <c r="AH284" i="4"/>
  <c r="Z156" i="4"/>
  <c r="AQ157" i="4"/>
  <c r="AN135" i="4"/>
  <c r="AH137" i="4"/>
  <c r="AQ137" i="4"/>
  <c r="AP147" i="4"/>
  <c r="AO147" i="4"/>
  <c r="AN405" i="4"/>
  <c r="AN276" i="4"/>
  <c r="AN406" i="4"/>
  <c r="AO406" i="4"/>
  <c r="AO664" i="4"/>
  <c r="AD149" i="4"/>
  <c r="AO149" i="4" s="1"/>
  <c r="AH280" i="4"/>
  <c r="Z152" i="4"/>
  <c r="AN152" i="4" s="1"/>
  <c r="AN282" i="4"/>
  <c r="AO282" i="4"/>
  <c r="AN673" i="4"/>
  <c r="AH673" i="4"/>
  <c r="AN536" i="4"/>
  <c r="AH536" i="4"/>
  <c r="AM664" i="4"/>
  <c r="AO668" i="4"/>
  <c r="Z153" i="4"/>
  <c r="AN153" i="4" s="1"/>
  <c r="AH669" i="4"/>
  <c r="AH671" i="4"/>
  <c r="AN415" i="4"/>
  <c r="AN538" i="4"/>
  <c r="AN542" i="4"/>
  <c r="AH540" i="4"/>
  <c r="AF508" i="4" l="1"/>
  <c r="D251" i="4"/>
  <c r="R251" i="4" s="1"/>
  <c r="Q251" i="4" s="1"/>
  <c r="L508" i="4"/>
  <c r="AH508" i="4"/>
  <c r="AQ251" i="4"/>
  <c r="R250" i="4"/>
  <c r="Q250" i="4" s="1"/>
  <c r="AF766" i="4"/>
  <c r="L637" i="4"/>
  <c r="AH634" i="4"/>
  <c r="AH643" i="4"/>
  <c r="L634" i="4"/>
  <c r="L643" i="4"/>
  <c r="AF637" i="4"/>
  <c r="J637" i="4"/>
  <c r="I248" i="4"/>
  <c r="I257" i="4"/>
  <c r="Y248" i="4"/>
  <c r="Y257" i="4"/>
  <c r="J379" i="4"/>
  <c r="AH505" i="4"/>
  <c r="AH514" i="4"/>
  <c r="AF379" i="4"/>
  <c r="AP240" i="4"/>
  <c r="AI248" i="4"/>
  <c r="AP248" i="4" s="1"/>
  <c r="AI257" i="4"/>
  <c r="AP257" i="4" s="1"/>
  <c r="L505" i="4"/>
  <c r="L514" i="4"/>
  <c r="Z251" i="4"/>
  <c r="AN251" i="4" s="1"/>
  <c r="AH763" i="4"/>
  <c r="AH772" i="4"/>
  <c r="D248" i="4"/>
  <c r="D257" i="4"/>
  <c r="Z248" i="4"/>
  <c r="Z257" i="4"/>
  <c r="AN257" i="4" s="1"/>
  <c r="AM257" i="4" s="1"/>
  <c r="C248" i="4"/>
  <c r="C257" i="4"/>
  <c r="AH376" i="4"/>
  <c r="AH385" i="4"/>
  <c r="Z250" i="4"/>
  <c r="AN250" i="4" s="1"/>
  <c r="AM250" i="4" s="1"/>
  <c r="AD251" i="4"/>
  <c r="AO251" i="4" s="1"/>
  <c r="J376" i="4"/>
  <c r="J385" i="4"/>
  <c r="J634" i="4"/>
  <c r="J643" i="4"/>
  <c r="T240" i="4"/>
  <c r="M248" i="4"/>
  <c r="T248" i="4" s="1"/>
  <c r="M257" i="4"/>
  <c r="T257" i="4" s="1"/>
  <c r="U240" i="4"/>
  <c r="O248" i="4"/>
  <c r="U248" i="4" s="1"/>
  <c r="O257" i="4"/>
  <c r="U257" i="4" s="1"/>
  <c r="J505" i="4"/>
  <c r="J514" i="4"/>
  <c r="AQ240" i="4"/>
  <c r="AK248" i="4"/>
  <c r="AQ248" i="4" s="1"/>
  <c r="AK257" i="4"/>
  <c r="AQ257" i="4" s="1"/>
  <c r="J508" i="4"/>
  <c r="L376" i="4"/>
  <c r="L385" i="4"/>
  <c r="AE248" i="4"/>
  <c r="AE257" i="4"/>
  <c r="AM508" i="4"/>
  <c r="Q508" i="4"/>
  <c r="J499" i="4"/>
  <c r="S111" i="4"/>
  <c r="G119" i="4"/>
  <c r="S119" i="4" s="1"/>
  <c r="G128" i="4"/>
  <c r="S128" i="4" s="1"/>
  <c r="T111" i="4"/>
  <c r="M119" i="4"/>
  <c r="T119" i="4" s="1"/>
  <c r="M128" i="4"/>
  <c r="T128" i="4" s="1"/>
  <c r="U111" i="4"/>
  <c r="O119" i="4"/>
  <c r="U119" i="4" s="1"/>
  <c r="O128" i="4"/>
  <c r="U128" i="4" s="1"/>
  <c r="I119" i="4"/>
  <c r="I128" i="4"/>
  <c r="E119" i="4"/>
  <c r="E128" i="4"/>
  <c r="Q498" i="4"/>
  <c r="AM369" i="4"/>
  <c r="AM147" i="4"/>
  <c r="Q147" i="4"/>
  <c r="AF498" i="4"/>
  <c r="J498" i="4"/>
  <c r="AM498" i="4"/>
  <c r="J369" i="4"/>
  <c r="Q627" i="4"/>
  <c r="AM627" i="4"/>
  <c r="Q369" i="4"/>
  <c r="AM756" i="4"/>
  <c r="L369" i="4"/>
  <c r="AH370" i="4"/>
  <c r="T241" i="4"/>
  <c r="R240" i="4"/>
  <c r="Q240" i="4" s="1"/>
  <c r="AH757" i="4"/>
  <c r="AF756" i="4"/>
  <c r="T112" i="4"/>
  <c r="AH756" i="4"/>
  <c r="AH628" i="4"/>
  <c r="J627" i="4"/>
  <c r="AF627" i="4"/>
  <c r="J628" i="4"/>
  <c r="AH627" i="4"/>
  <c r="AQ242" i="4"/>
  <c r="AP241" i="4"/>
  <c r="L627" i="4"/>
  <c r="U241" i="4"/>
  <c r="AP242" i="4"/>
  <c r="AN240" i="4"/>
  <c r="AM240" i="4" s="1"/>
  <c r="F241" i="4"/>
  <c r="F112" i="4"/>
  <c r="L498" i="4"/>
  <c r="AQ241" i="4"/>
  <c r="D241" i="4"/>
  <c r="R241" i="4" s="1"/>
  <c r="AH499" i="4"/>
  <c r="AH240" i="4"/>
  <c r="C112" i="4"/>
  <c r="T242" i="4"/>
  <c r="AD241" i="4"/>
  <c r="AO241" i="4" s="1"/>
  <c r="D242" i="4"/>
  <c r="R242" i="4" s="1"/>
  <c r="Q242" i="4" s="1"/>
  <c r="H112" i="4"/>
  <c r="S112" i="4" s="1"/>
  <c r="L499" i="4"/>
  <c r="AB241" i="4"/>
  <c r="U242" i="4"/>
  <c r="AH498" i="4"/>
  <c r="AN156" i="4"/>
  <c r="Z242" i="4"/>
  <c r="AN242" i="4" s="1"/>
  <c r="AM242" i="4" s="1"/>
  <c r="L240" i="4"/>
  <c r="AH369" i="4"/>
  <c r="M113" i="4"/>
  <c r="T113" i="4" s="1"/>
  <c r="D111" i="4"/>
  <c r="H241" i="4"/>
  <c r="S241" i="4" s="1"/>
  <c r="C111" i="4"/>
  <c r="Z241" i="4"/>
  <c r="AN241" i="4" s="1"/>
  <c r="O113" i="4"/>
  <c r="U113" i="4" s="1"/>
  <c r="AF369" i="4"/>
  <c r="C113" i="4"/>
  <c r="L370" i="4"/>
  <c r="AF370" i="4"/>
  <c r="U112" i="4"/>
  <c r="R5" i="4"/>
  <c r="AM196" i="4"/>
  <c r="S66" i="4"/>
  <c r="AN195" i="4"/>
  <c r="AM195" i="4" s="1"/>
  <c r="T66" i="4"/>
  <c r="U66" i="4"/>
  <c r="U125" i="4"/>
  <c r="T54" i="4"/>
  <c r="S54" i="4"/>
  <c r="U54" i="4"/>
  <c r="AO184" i="4"/>
  <c r="AN184" i="4"/>
  <c r="T122" i="4"/>
  <c r="T121" i="4"/>
  <c r="C122" i="4"/>
  <c r="AH149" i="4"/>
  <c r="L151" i="4"/>
  <c r="AF154" i="4"/>
  <c r="L153" i="4"/>
  <c r="AH153" i="4"/>
  <c r="AF156" i="4"/>
  <c r="J152" i="4"/>
  <c r="J151" i="4"/>
  <c r="J26" i="4"/>
  <c r="AH145" i="4"/>
  <c r="AH250" i="4" s="1"/>
  <c r="AH152" i="4"/>
  <c r="R12" i="4"/>
  <c r="R10" i="4"/>
  <c r="J158" i="4"/>
  <c r="L154" i="4"/>
  <c r="L152" i="4"/>
  <c r="AH151" i="4"/>
  <c r="L20" i="4"/>
  <c r="L156" i="4"/>
  <c r="R17" i="4"/>
  <c r="R7" i="4"/>
  <c r="R28" i="4"/>
  <c r="L25" i="4"/>
  <c r="L150" i="4"/>
  <c r="F122" i="4"/>
  <c r="T123" i="4"/>
  <c r="U123" i="4"/>
  <c r="R8" i="4"/>
  <c r="Q8" i="4" s="1"/>
  <c r="AF153" i="4"/>
  <c r="U29" i="4"/>
  <c r="J25" i="4"/>
  <c r="J154" i="4"/>
  <c r="J27" i="4"/>
  <c r="C121" i="4"/>
  <c r="R14" i="4"/>
  <c r="R11" i="4"/>
  <c r="AH155" i="4"/>
  <c r="AH148" i="4"/>
  <c r="AH251" i="4" s="1"/>
  <c r="L26" i="4"/>
  <c r="J22" i="4"/>
  <c r="R9" i="4"/>
  <c r="AF155" i="4"/>
  <c r="H122" i="4"/>
  <c r="S122" i="4" s="1"/>
  <c r="AF150" i="4"/>
  <c r="AH158" i="4"/>
  <c r="AF151" i="4"/>
  <c r="J23" i="4"/>
  <c r="R15" i="4"/>
  <c r="R13" i="4"/>
  <c r="AF158" i="4"/>
  <c r="U122" i="4"/>
  <c r="AF148" i="4"/>
  <c r="AH150" i="4"/>
  <c r="D29" i="4"/>
  <c r="R158" i="4"/>
  <c r="L23" i="4"/>
  <c r="L29" i="4"/>
  <c r="S149" i="4"/>
  <c r="L19" i="4"/>
  <c r="J20" i="4"/>
  <c r="J149" i="4"/>
  <c r="AH156" i="4"/>
  <c r="AF149" i="4"/>
  <c r="AF145" i="4"/>
  <c r="L24" i="4"/>
  <c r="R149" i="4"/>
  <c r="D20" i="4"/>
  <c r="J156" i="4"/>
  <c r="D19" i="4"/>
  <c r="R148" i="4"/>
  <c r="L21" i="4"/>
  <c r="L158" i="4"/>
  <c r="J16" i="4"/>
  <c r="J145" i="4"/>
  <c r="AF152" i="4"/>
  <c r="J21" i="4"/>
  <c r="J150" i="4"/>
  <c r="S20" i="4"/>
  <c r="L16" i="4"/>
  <c r="L121" i="4" s="1"/>
  <c r="R145" i="4"/>
  <c r="D16" i="4"/>
  <c r="D121" i="4" s="1"/>
  <c r="D26" i="4"/>
  <c r="R155" i="4"/>
  <c r="R150" i="4"/>
  <c r="D21" i="4"/>
  <c r="R6" i="4"/>
  <c r="J19" i="4"/>
  <c r="J148" i="4"/>
  <c r="L27" i="4"/>
  <c r="L145" i="4"/>
  <c r="L250" i="4" s="1"/>
  <c r="AH154" i="4"/>
  <c r="D22" i="4"/>
  <c r="R151" i="4"/>
  <c r="J24" i="4"/>
  <c r="J153" i="4"/>
  <c r="L155" i="4"/>
  <c r="D27" i="4"/>
  <c r="R156" i="4"/>
  <c r="J155" i="4"/>
  <c r="D24" i="4"/>
  <c r="L149" i="4"/>
  <c r="R18" i="4"/>
  <c r="J29" i="4"/>
  <c r="R154" i="4"/>
  <c r="D25" i="4"/>
  <c r="D23" i="4"/>
  <c r="R152" i="4"/>
  <c r="L148" i="4"/>
  <c r="L22" i="4"/>
  <c r="L251" i="4" l="1"/>
  <c r="J251" i="4"/>
  <c r="AF251" i="4"/>
  <c r="R257" i="4"/>
  <c r="Q257" i="4" s="1"/>
  <c r="AM251" i="4"/>
  <c r="R248" i="4"/>
  <c r="Q248" i="4" s="1"/>
  <c r="L248" i="4"/>
  <c r="L257" i="4"/>
  <c r="AH248" i="4"/>
  <c r="AH257" i="4"/>
  <c r="AN248" i="4"/>
  <c r="AM248" i="4" s="1"/>
  <c r="C119" i="4"/>
  <c r="C128" i="4"/>
  <c r="D119" i="4"/>
  <c r="D128" i="4"/>
  <c r="Q241" i="4"/>
  <c r="AM241" i="4"/>
  <c r="D113" i="4"/>
  <c r="R113" i="4" s="1"/>
  <c r="Q113" i="4" s="1"/>
  <c r="L112" i="4"/>
  <c r="J112" i="4"/>
  <c r="AH241" i="4"/>
  <c r="J113" i="4"/>
  <c r="L242" i="4"/>
  <c r="AF242" i="4"/>
  <c r="L241" i="4"/>
  <c r="AF241" i="4"/>
  <c r="J241" i="4"/>
  <c r="L113" i="4"/>
  <c r="AH242" i="4"/>
  <c r="J242" i="4"/>
  <c r="D112" i="4"/>
  <c r="R112" i="4" s="1"/>
  <c r="Q112" i="4" s="1"/>
  <c r="R111" i="4"/>
  <c r="Q111" i="4" s="1"/>
  <c r="AM184" i="4"/>
  <c r="S67" i="4"/>
  <c r="R67" i="4"/>
  <c r="R66" i="4"/>
  <c r="Q66" i="4" s="1"/>
  <c r="S68" i="4"/>
  <c r="Q68" i="4" s="1"/>
  <c r="AN183" i="4"/>
  <c r="AM183" i="4" s="1"/>
  <c r="S125" i="4"/>
  <c r="Q125" i="4" s="1"/>
  <c r="R27" i="4"/>
  <c r="R22" i="4"/>
  <c r="R26" i="4"/>
  <c r="R23" i="4"/>
  <c r="R24" i="4"/>
  <c r="R21" i="4"/>
  <c r="R25" i="4"/>
  <c r="R29" i="4"/>
  <c r="R121" i="4"/>
  <c r="Q121" i="4" s="1"/>
  <c r="L122" i="4"/>
  <c r="R20" i="4"/>
  <c r="Q20" i="4" s="1"/>
  <c r="D122" i="4"/>
  <c r="R122" i="4" s="1"/>
  <c r="Q122" i="4" s="1"/>
  <c r="R19" i="4"/>
  <c r="R16" i="4"/>
  <c r="J122" i="4"/>
  <c r="R128" i="4" l="1"/>
  <c r="Q128" i="4" s="1"/>
  <c r="R119" i="4"/>
  <c r="Q119" i="4" s="1"/>
  <c r="Q67" i="4"/>
  <c r="R54" i="4"/>
  <c r="Q54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B528" authorId="0" shapeId="0" xr:uid="{2ABD3BAD-6DF4-4905-A421-0E7583A33F9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PROBLEME PYRANOMETER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J507" authorId="0" shapeId="0" xr:uid="{3AF26873-FE7D-4165-A4EF-46F7D52E865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PROBLEME PYRANOMETER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507" authorId="0" shapeId="0" xr:uid="{A00FEC2E-CC67-4C58-A875-B6CF9C641DE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PROBLEME PYRANOMETER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6" authorId="0" shapeId="0" xr:uid="{71A51F4C-54B9-470C-BF13-4E4CF63690D4}">
      <text>
        <r>
          <rPr>
            <sz val="9"/>
            <color indexed="81"/>
            <rFont val="Tahoma"/>
            <family val="2"/>
          </rPr>
          <t xml:space="preserve">
Standby Meter Reading</t>
        </r>
      </text>
    </comment>
  </commentList>
</comments>
</file>

<file path=xl/sharedStrings.xml><?xml version="1.0" encoding="utf-8"?>
<sst xmlns="http://schemas.openxmlformats.org/spreadsheetml/2006/main" count="3164" uniqueCount="108">
  <si>
    <t>Months</t>
  </si>
  <si>
    <t>Budget  Gen
(MWHr)</t>
  </si>
  <si>
    <t>Actual  Gen
(MWHr)</t>
  </si>
  <si>
    <t>Actual GHI
(KWHr/m2)</t>
  </si>
  <si>
    <t>Budget GHI
(KWHr/m2)</t>
  </si>
  <si>
    <t>Budget GTI
(KWHr/m2)</t>
  </si>
  <si>
    <t>Actual GTI
(KWHr/m2)</t>
  </si>
  <si>
    <t>UTT- P4-2 -Shakumbari 2017</t>
  </si>
  <si>
    <t>UTT- BALLUPUR P3-1</t>
  </si>
  <si>
    <t>UTT-1</t>
  </si>
  <si>
    <t>UTT- P1-Haridwar 2</t>
  </si>
  <si>
    <t>UTT- P2 -HARIDWAR 1</t>
  </si>
  <si>
    <t>P3-2 BHAGWANPUR</t>
  </si>
  <si>
    <t>P2 Bindookhadak</t>
  </si>
  <si>
    <t>UTT-2</t>
  </si>
  <si>
    <t xml:space="preserve">UTT Total </t>
  </si>
  <si>
    <t>Budget Gen
(MWHr)</t>
  </si>
  <si>
    <t>UTT- P4-1 Chudiyala</t>
  </si>
  <si>
    <t>PR Achieved(%)</t>
  </si>
  <si>
    <t>Budgeted PR(%)</t>
  </si>
  <si>
    <t>Budgeted Plant Av(%)</t>
  </si>
  <si>
    <t>Actual Plant Av(%)</t>
  </si>
  <si>
    <t>Budgeted Grid Av(%)</t>
  </si>
  <si>
    <t>Actual Grid Av(%)</t>
  </si>
  <si>
    <t>CUF Achieved
(%)</t>
  </si>
  <si>
    <t>Shortfall in Gen(%)</t>
  </si>
  <si>
    <t>Shortfall in Rad(%)</t>
  </si>
  <si>
    <t>Shortfall in Plant Av(%)</t>
  </si>
  <si>
    <t>Shortfall in Grid Av(%)</t>
  </si>
  <si>
    <t>Chudiyala Short fall-Analysis</t>
  </si>
  <si>
    <t>Haridwar2 Short fall-Analysis</t>
  </si>
  <si>
    <t>Bindookhadak Short fall-Analysis</t>
  </si>
  <si>
    <t>Shakumbari Short fall-Analysis</t>
  </si>
  <si>
    <t>Haridwar1 Short fall-Analysis</t>
  </si>
  <si>
    <t>Bhagwanpur Short fall-Analysis</t>
  </si>
  <si>
    <t>UTT1 Short fall-Analysis</t>
  </si>
  <si>
    <t>UTT2 Short fall-Analysis</t>
  </si>
  <si>
    <t>UTT Short fall-Analysis</t>
  </si>
  <si>
    <t>YTD FY17-18</t>
  </si>
  <si>
    <t>YTD FY18-19</t>
  </si>
  <si>
    <t>Soil Loss</t>
  </si>
  <si>
    <t>Budgeted CUF
(%)</t>
  </si>
  <si>
    <t>Ballupur Short fall-Analysis</t>
  </si>
  <si>
    <t>CY-17</t>
  </si>
  <si>
    <t>CY-18</t>
  </si>
  <si>
    <t>CY-19</t>
  </si>
  <si>
    <t>CY-20</t>
  </si>
  <si>
    <t>CY-21</t>
  </si>
  <si>
    <t>CY-22</t>
  </si>
  <si>
    <t>CY-23</t>
  </si>
  <si>
    <t>Plant</t>
  </si>
  <si>
    <t>SPV</t>
  </si>
  <si>
    <t>AC Capacity (MW)</t>
  </si>
  <si>
    <t>Connected DC Capacity (MWp)</t>
  </si>
  <si>
    <t>PR Budgeted(%)</t>
  </si>
  <si>
    <t>CUF Budgeted
(%)</t>
  </si>
  <si>
    <t>Budgeted Soil loss%</t>
  </si>
  <si>
    <t>Actaul Soil Loss(%)</t>
  </si>
  <si>
    <t>Budgeted Grid Compliance%</t>
  </si>
  <si>
    <t>Actual Grid Compliacne %</t>
  </si>
  <si>
    <t xml:space="preserve"> </t>
  </si>
  <si>
    <t>Chudiala</t>
  </si>
  <si>
    <t>Shakumbhari</t>
  </si>
  <si>
    <t>Ballupur</t>
  </si>
  <si>
    <t>Haridwar-1</t>
  </si>
  <si>
    <t>Haridwar-2</t>
  </si>
  <si>
    <t>Bindookhadak</t>
  </si>
  <si>
    <t>Bhagwanpur</t>
  </si>
  <si>
    <t>YTD FY19-20</t>
  </si>
  <si>
    <t>YTD FY20-21</t>
  </si>
  <si>
    <t>YTD FY21-22</t>
  </si>
  <si>
    <t>YTD FY22-23</t>
  </si>
  <si>
    <t>YTD FY23-24</t>
  </si>
  <si>
    <t>Performance gap</t>
  </si>
  <si>
    <t>CY-24</t>
  </si>
  <si>
    <t>YTD FY24-25</t>
  </si>
  <si>
    <t>Mod Temp(Deg C)</t>
  </si>
  <si>
    <t>Cells to edit monthly</t>
  </si>
  <si>
    <t>Period</t>
  </si>
  <si>
    <t>Waterfall</t>
  </si>
  <si>
    <t>Gain/losses (MWh)</t>
  </si>
  <si>
    <t>Budget</t>
  </si>
  <si>
    <t>Real</t>
  </si>
  <si>
    <t>Comment</t>
  </si>
  <si>
    <t>Temperature Coefficients of Pmax</t>
  </si>
  <si>
    <t>PR %</t>
  </si>
  <si>
    <t>DC Capacity (MWp)</t>
  </si>
  <si>
    <t>PR% (Temp Currected)</t>
  </si>
  <si>
    <t>Number of Modules</t>
  </si>
  <si>
    <t>Actual generation</t>
  </si>
  <si>
    <t>405 Wp</t>
  </si>
  <si>
    <t>GTI [kW/m2]</t>
  </si>
  <si>
    <t>400Wp</t>
  </si>
  <si>
    <t>Soiling losses (%)</t>
  </si>
  <si>
    <t>Module Eff.</t>
  </si>
  <si>
    <t>Temp. Loss (%)</t>
  </si>
  <si>
    <t>Grid uptime (%)</t>
  </si>
  <si>
    <t>Plant uptime (%)</t>
  </si>
  <si>
    <t>Module Size (Sqm)</t>
  </si>
  <si>
    <t>Budget generation</t>
  </si>
  <si>
    <t>320Wp Jinko</t>
  </si>
  <si>
    <t>320Wp Talesun</t>
  </si>
  <si>
    <t>Temp as per Doc(Deg C)</t>
  </si>
  <si>
    <t>Module Degradation</t>
  </si>
  <si>
    <t>Shadow/Veg. Loss (%)</t>
  </si>
  <si>
    <t>Jan-Jul'24</t>
  </si>
  <si>
    <t>SPV name</t>
  </si>
  <si>
    <t>CY-25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</si>
</sst>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_ * #,##0.00_ ;_ * \-#,##0.00_ ;_ * &quot;-&quot;??_ ;_ @_ "/>
    <numFmt numFmtId="165" formatCode="[$-409]mmm/yy;@"/>
    <numFmt numFmtId="166" formatCode="_-* #,##0.00_-;\-* #,##0.00_-;_-* &quot;-&quot;??_-;_-@_-"/>
    <numFmt numFmtId="167" formatCode="0.0%"/>
    <numFmt numFmtId="168" formatCode="0.0000%"/>
    <numFmt numFmtId="169" formatCode="_-* #,##0.00\ _€_-;\-* #,##0.00\ _€_-;_-* &quot;-&quot;??\ _€_-;_-@_-"/>
    <numFmt numFmtId="170" formatCode="_-* #,##0.00\ _€_-;\-* #,##0.00\ _€_-;_-* &quot;-&quot;\ _€_-;_-@_-"/>
    <numFmt numFmtId="171" formatCode="[$-409]d\-mmm\-yy;@"/>
    <numFmt numFmtId="172" formatCode="0_);[Red]\(0\)"/>
    <numFmt numFmtId="173" formatCode="0.00_);[Red]\(0.00\)"/>
    <numFmt numFmtId="174" formatCode="0.00000000000;[Red]0.00000000000"/>
  </numFmts>
  <fonts count="2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  <scheme val="minor"/>
    </font>
    <font>
      <sz val="11"/>
      <color theme="1"/>
      <name val="Arial Unicode MS"/>
      <family val="2"/>
    </font>
    <font>
      <sz val="10"/>
      <name val="Geneva"/>
      <family val="2"/>
    </font>
    <font>
      <sz val="11"/>
      <color rgb="FF000000"/>
      <name val="Calibri"/>
      <family val="2"/>
    </font>
    <font>
      <sz val="11"/>
      <color theme="1"/>
      <name val="Arial Narrow"/>
      <family val="2"/>
    </font>
    <font>
      <sz val="11"/>
      <color rgb="FF0000FF"/>
      <name val="Arial Narrow"/>
      <family val="2"/>
    </font>
    <font>
      <b/>
      <sz val="14"/>
      <color theme="1"/>
      <name val="Arial Narrow"/>
      <family val="2"/>
    </font>
    <font>
      <sz val="11"/>
      <color theme="0"/>
      <name val="Arial Narrow"/>
      <family val="2"/>
    </font>
    <font>
      <b/>
      <sz val="11"/>
      <color theme="0"/>
      <name val="Arial Narrow"/>
      <family val="2"/>
    </font>
    <font>
      <b/>
      <sz val="11"/>
      <color theme="1"/>
      <name val="Arial Narrow"/>
      <family val="2"/>
    </font>
    <font>
      <sz val="11"/>
      <name val="Arial Narrow"/>
      <family val="2"/>
    </font>
    <font>
      <b/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00B0F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749992370372631"/>
        <bgColor indexed="64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60509">
    <xf numFmtId="0" fontId="0" fillId="0" borderId="0"/>
    <xf numFmtId="0" fontId="3" fillId="0" borderId="0"/>
    <xf numFmtId="166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6" fillId="0" borderId="0" applyFont="0" applyFill="0" applyBorder="0" applyAlignment="0" applyProtection="0"/>
    <xf numFmtId="169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9" fillId="0" borderId="0"/>
    <xf numFmtId="0" fontId="10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1" fillId="0" borderId="0" applyBorder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1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1" fontId="9" fillId="0" borderId="0"/>
    <xf numFmtId="171" fontId="10" fillId="0" borderId="0"/>
    <xf numFmtId="164" fontId="6" fillId="0" borderId="0" applyFont="0" applyFill="0" applyBorder="0" applyAlignment="0" applyProtection="0"/>
    <xf numFmtId="171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71" fontId="6" fillId="0" borderId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12" fillId="0" borderId="0"/>
  </cellStyleXfs>
  <cellXfs count="236">
    <xf numFmtId="0" fontId="0" fillId="0" borderId="0" xfId="0"/>
    <xf numFmtId="0" fontId="0" fillId="0" borderId="0" xfId="0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165" fontId="1" fillId="0" borderId="5" xfId="0" applyNumberFormat="1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 wrapText="1"/>
    </xf>
    <xf numFmtId="0" fontId="1" fillId="4" borderId="5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vertical="center" wrapText="1"/>
    </xf>
    <xf numFmtId="0" fontId="1" fillId="4" borderId="6" xfId="0" applyFont="1" applyFill="1" applyBorder="1" applyAlignment="1">
      <alignment vertical="center" wrapText="1"/>
    </xf>
    <xf numFmtId="10" fontId="0" fillId="0" borderId="1" xfId="4" applyNumberFormat="1" applyFon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167" fontId="1" fillId="0" borderId="1" xfId="0" applyNumberFormat="1" applyFont="1" applyBorder="1" applyAlignment="1">
      <alignment horizontal="center" vertical="center"/>
    </xf>
    <xf numFmtId="10" fontId="1" fillId="0" borderId="1" xfId="0" applyNumberFormat="1" applyFon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0" fontId="7" fillId="0" borderId="1" xfId="0" applyNumberFormat="1" applyFont="1" applyBorder="1" applyAlignment="1">
      <alignment horizontal="center" vertical="center" wrapText="1"/>
    </xf>
    <xf numFmtId="10" fontId="7" fillId="0" borderId="6" xfId="0" applyNumberFormat="1" applyFont="1" applyBorder="1" applyAlignment="1">
      <alignment horizontal="center" vertical="center" wrapText="1"/>
    </xf>
    <xf numFmtId="10" fontId="0" fillId="0" borderId="6" xfId="0" applyNumberFormat="1" applyBorder="1" applyAlignment="1">
      <alignment horizontal="center" vertical="center"/>
    </xf>
    <xf numFmtId="10" fontId="0" fillId="0" borderId="7" xfId="0" applyNumberFormat="1" applyBorder="1" applyAlignment="1">
      <alignment horizontal="center" vertical="center"/>
    </xf>
    <xf numFmtId="10" fontId="0" fillId="0" borderId="7" xfId="4" applyNumberFormat="1" applyFon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68" fontId="7" fillId="5" borderId="1" xfId="0" applyNumberFormat="1" applyFont="1" applyFill="1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/>
    </xf>
    <xf numFmtId="10" fontId="0" fillId="0" borderId="6" xfId="4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/>
    </xf>
    <xf numFmtId="165" fontId="1" fillId="4" borderId="5" xfId="0" applyNumberFormat="1" applyFon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167" fontId="0" fillId="4" borderId="1" xfId="0" applyNumberFormat="1" applyFill="1" applyBorder="1" applyAlignment="1">
      <alignment horizontal="center" vertical="center"/>
    </xf>
    <xf numFmtId="10" fontId="0" fillId="4" borderId="1" xfId="0" applyNumberFormat="1" applyFill="1" applyBorder="1" applyAlignment="1">
      <alignment horizontal="center" vertical="center"/>
    </xf>
    <xf numFmtId="10" fontId="0" fillId="4" borderId="1" xfId="4" applyNumberFormat="1" applyFont="1" applyFill="1" applyBorder="1" applyAlignment="1">
      <alignment horizontal="center" vertical="center"/>
    </xf>
    <xf numFmtId="10" fontId="0" fillId="4" borderId="6" xfId="0" applyNumberFormat="1" applyFill="1" applyBorder="1" applyAlignment="1">
      <alignment horizontal="center" vertical="center"/>
    </xf>
    <xf numFmtId="167" fontId="1" fillId="4" borderId="1" xfId="0" applyNumberFormat="1" applyFont="1" applyFill="1" applyBorder="1" applyAlignment="1">
      <alignment horizontal="center" vertical="center"/>
    </xf>
    <xf numFmtId="10" fontId="0" fillId="4" borderId="6" xfId="4" applyNumberFormat="1" applyFont="1" applyFill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10" fontId="0" fillId="0" borderId="10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2" fontId="0" fillId="4" borderId="10" xfId="0" applyNumberFormat="1" applyFill="1" applyBorder="1" applyAlignment="1">
      <alignment horizontal="center" vertical="center"/>
    </xf>
    <xf numFmtId="10" fontId="0" fillId="4" borderId="10" xfId="0" applyNumberFormat="1" applyFill="1" applyBorder="1" applyAlignment="1">
      <alignment horizontal="center" vertical="center"/>
    </xf>
    <xf numFmtId="10" fontId="0" fillId="4" borderId="11" xfId="0" applyNumberFormat="1" applyFill="1" applyBorder="1" applyAlignment="1">
      <alignment horizontal="center" vertical="center"/>
    </xf>
    <xf numFmtId="2" fontId="0" fillId="4" borderId="7" xfId="0" applyNumberFormat="1" applyFill="1" applyBorder="1" applyAlignment="1">
      <alignment horizontal="center" vertical="center"/>
    </xf>
    <xf numFmtId="10" fontId="0" fillId="4" borderId="7" xfId="4" applyNumberFormat="1" applyFont="1" applyFill="1" applyBorder="1" applyAlignment="1">
      <alignment horizontal="center" vertical="center"/>
    </xf>
    <xf numFmtId="167" fontId="0" fillId="0" borderId="13" xfId="0" applyNumberFormat="1" applyBorder="1" applyAlignment="1">
      <alignment horizontal="center" vertical="center"/>
    </xf>
    <xf numFmtId="0" fontId="1" fillId="4" borderId="0" xfId="0" applyFont="1" applyFill="1" applyAlignment="1">
      <alignment vertical="center" wrapText="1"/>
    </xf>
    <xf numFmtId="164" fontId="0" fillId="0" borderId="1" xfId="6" applyFont="1" applyBorder="1" applyAlignment="1">
      <alignment vertical="center"/>
    </xf>
    <xf numFmtId="164" fontId="0" fillId="4" borderId="1" xfId="6" applyFont="1" applyFill="1" applyBorder="1" applyAlignment="1">
      <alignment vertical="center"/>
    </xf>
    <xf numFmtId="167" fontId="0" fillId="4" borderId="13" xfId="0" applyNumberFormat="1" applyFill="1" applyBorder="1" applyAlignment="1">
      <alignment horizontal="center" vertical="center"/>
    </xf>
    <xf numFmtId="165" fontId="1" fillId="6" borderId="5" xfId="0" applyNumberFormat="1" applyFon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0" fontId="0" fillId="6" borderId="1" xfId="0" applyNumberFormat="1" applyFill="1" applyBorder="1" applyAlignment="1">
      <alignment horizontal="center" vertical="center"/>
    </xf>
    <xf numFmtId="10" fontId="0" fillId="6" borderId="1" xfId="4" applyNumberFormat="1" applyFont="1" applyFill="1" applyBorder="1" applyAlignment="1">
      <alignment horizontal="center" vertical="center"/>
    </xf>
    <xf numFmtId="10" fontId="0" fillId="6" borderId="6" xfId="0" applyNumberFormat="1" applyFill="1" applyBorder="1" applyAlignment="1">
      <alignment horizontal="center" vertical="center"/>
    </xf>
    <xf numFmtId="167" fontId="1" fillId="6" borderId="1" xfId="0" applyNumberFormat="1" applyFont="1" applyFill="1" applyBorder="1" applyAlignment="1">
      <alignment horizontal="center" vertical="center"/>
    </xf>
    <xf numFmtId="10" fontId="0" fillId="6" borderId="6" xfId="4" applyNumberFormat="1" applyFont="1" applyFill="1" applyBorder="1" applyAlignment="1">
      <alignment horizontal="center" vertical="center"/>
    </xf>
    <xf numFmtId="167" fontId="0" fillId="6" borderId="13" xfId="0" applyNumberFormat="1" applyFill="1" applyBorder="1" applyAlignment="1">
      <alignment horizontal="center" vertical="center"/>
    </xf>
    <xf numFmtId="2" fontId="0" fillId="6" borderId="7" xfId="0" applyNumberFormat="1" applyFill="1" applyBorder="1" applyAlignment="1">
      <alignment horizontal="center" vertical="center"/>
    </xf>
    <xf numFmtId="10" fontId="0" fillId="6" borderId="10" xfId="0" applyNumberFormat="1" applyFill="1" applyBorder="1" applyAlignment="1">
      <alignment horizontal="center" vertical="center"/>
    </xf>
    <xf numFmtId="10" fontId="0" fillId="6" borderId="11" xfId="0" applyNumberFormat="1" applyFill="1" applyBorder="1" applyAlignment="1">
      <alignment horizontal="center" vertical="center"/>
    </xf>
    <xf numFmtId="167" fontId="0" fillId="6" borderId="1" xfId="0" applyNumberFormat="1" applyFill="1" applyBorder="1" applyAlignment="1">
      <alignment horizontal="center" vertical="center"/>
    </xf>
    <xf numFmtId="2" fontId="1" fillId="4" borderId="1" xfId="0" applyNumberFormat="1" applyFont="1" applyFill="1" applyBorder="1" applyAlignment="1">
      <alignment horizontal="center" vertical="center"/>
    </xf>
    <xf numFmtId="10" fontId="1" fillId="4" borderId="1" xfId="4" applyNumberFormat="1" applyFont="1" applyFill="1" applyBorder="1" applyAlignment="1">
      <alignment horizontal="center" vertical="center"/>
    </xf>
    <xf numFmtId="167" fontId="1" fillId="4" borderId="5" xfId="0" applyNumberFormat="1" applyFont="1" applyFill="1" applyBorder="1" applyAlignment="1">
      <alignment horizontal="center" vertical="center" wrapText="1"/>
    </xf>
    <xf numFmtId="10" fontId="1" fillId="4" borderId="6" xfId="4" applyNumberFormat="1" applyFont="1" applyFill="1" applyBorder="1" applyAlignment="1">
      <alignment horizontal="center" vertical="center"/>
    </xf>
    <xf numFmtId="170" fontId="1" fillId="0" borderId="12" xfId="5" applyNumberFormat="1" applyFont="1" applyBorder="1" applyAlignment="1">
      <alignment horizontal="center" vertical="center"/>
    </xf>
    <xf numFmtId="170" fontId="6" fillId="4" borderId="1" xfId="6" applyNumberFormat="1" applyFont="1" applyFill="1" applyBorder="1" applyAlignment="1">
      <alignment vertical="center"/>
    </xf>
    <xf numFmtId="170" fontId="6" fillId="0" borderId="1" xfId="6" applyNumberFormat="1" applyFont="1" applyBorder="1" applyAlignment="1">
      <alignment vertical="center"/>
    </xf>
    <xf numFmtId="10" fontId="1" fillId="4" borderId="5" xfId="4" applyNumberFormat="1" applyFont="1" applyFill="1" applyBorder="1" applyAlignment="1">
      <alignment horizontal="center" vertical="center"/>
    </xf>
    <xf numFmtId="0" fontId="1" fillId="4" borderId="2" xfId="0" applyFont="1" applyFill="1" applyBorder="1" applyAlignment="1">
      <alignment vertical="center" wrapText="1"/>
    </xf>
    <xf numFmtId="0" fontId="1" fillId="4" borderId="3" xfId="0" applyFont="1" applyFill="1" applyBorder="1" applyAlignment="1">
      <alignment vertical="center" wrapText="1"/>
    </xf>
    <xf numFmtId="0" fontId="1" fillId="4" borderId="4" xfId="0" applyFont="1" applyFill="1" applyBorder="1" applyAlignment="1">
      <alignment vertical="center" wrapText="1"/>
    </xf>
    <xf numFmtId="2" fontId="0" fillId="0" borderId="12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10" fontId="1" fillId="0" borderId="12" xfId="4" applyNumberFormat="1" applyFont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164" fontId="0" fillId="0" borderId="1" xfId="6" applyFont="1" applyFill="1" applyBorder="1" applyAlignment="1">
      <alignment vertical="center"/>
    </xf>
    <xf numFmtId="10" fontId="0" fillId="0" borderId="1" xfId="4" applyNumberFormat="1" applyFont="1" applyFill="1" applyBorder="1" applyAlignment="1">
      <alignment horizontal="center" vertical="center"/>
    </xf>
    <xf numFmtId="10" fontId="0" fillId="0" borderId="6" xfId="4" applyNumberFormat="1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2" fontId="0" fillId="0" borderId="1" xfId="0" applyNumberFormat="1" applyBorder="1" applyAlignment="1">
      <alignment vertical="center"/>
    </xf>
    <xf numFmtId="10" fontId="0" fillId="0" borderId="5" xfId="4" applyNumberFormat="1" applyFont="1" applyBorder="1" applyAlignment="1">
      <alignment horizontal="center" vertical="center"/>
    </xf>
    <xf numFmtId="10" fontId="0" fillId="0" borderId="1" xfId="0" applyNumberFormat="1" applyBorder="1" applyAlignment="1">
      <alignment vertical="center"/>
    </xf>
    <xf numFmtId="10" fontId="0" fillId="0" borderId="0" xfId="4" applyNumberFormat="1" applyFont="1" applyAlignment="1">
      <alignment horizontal="center" vertical="center"/>
    </xf>
    <xf numFmtId="10" fontId="0" fillId="0" borderId="6" xfId="0" applyNumberFormat="1" applyBorder="1" applyAlignment="1">
      <alignment vertical="center"/>
    </xf>
    <xf numFmtId="10" fontId="0" fillId="4" borderId="1" xfId="0" applyNumberFormat="1" applyFill="1" applyBorder="1" applyAlignment="1">
      <alignment vertical="center"/>
    </xf>
    <xf numFmtId="10" fontId="0" fillId="4" borderId="0" xfId="4" applyNumberFormat="1" applyFont="1" applyFill="1" applyAlignment="1">
      <alignment horizontal="center" vertical="center"/>
    </xf>
    <xf numFmtId="10" fontId="0" fillId="4" borderId="5" xfId="4" applyNumberFormat="1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vertical="center"/>
    </xf>
    <xf numFmtId="10" fontId="0" fillId="6" borderId="1" xfId="0" applyNumberFormat="1" applyFill="1" applyBorder="1" applyAlignment="1">
      <alignment vertical="center"/>
    </xf>
    <xf numFmtId="10" fontId="0" fillId="6" borderId="0" xfId="4" applyNumberFormat="1" applyFont="1" applyFill="1" applyAlignment="1">
      <alignment horizontal="center" vertical="center"/>
    </xf>
    <xf numFmtId="10" fontId="0" fillId="6" borderId="5" xfId="4" applyNumberFormat="1" applyFont="1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6" borderId="0" xfId="0" applyFill="1" applyAlignment="1">
      <alignment vertical="center"/>
    </xf>
    <xf numFmtId="10" fontId="0" fillId="4" borderId="0" xfId="0" applyNumberFormat="1" applyFill="1" applyAlignment="1">
      <alignment vertical="center"/>
    </xf>
    <xf numFmtId="10" fontId="0" fillId="0" borderId="0" xfId="4" applyNumberFormat="1" applyFont="1" applyFill="1" applyAlignment="1">
      <alignment horizontal="center" vertical="center"/>
    </xf>
    <xf numFmtId="10" fontId="0" fillId="0" borderId="5" xfId="4" applyNumberFormat="1" applyFont="1" applyFill="1" applyBorder="1" applyAlignment="1">
      <alignment horizontal="center" vertical="center"/>
    </xf>
    <xf numFmtId="10" fontId="0" fillId="0" borderId="0" xfId="0" applyNumberFormat="1" applyAlignment="1">
      <alignment vertical="center"/>
    </xf>
    <xf numFmtId="10" fontId="1" fillId="0" borderId="0" xfId="4" applyNumberFormat="1" applyFont="1" applyAlignment="1">
      <alignment vertical="center"/>
    </xf>
    <xf numFmtId="0" fontId="1" fillId="0" borderId="0" xfId="0" applyFont="1" applyAlignment="1">
      <alignment vertical="center"/>
    </xf>
    <xf numFmtId="10" fontId="0" fillId="0" borderId="0" xfId="4" applyNumberFormat="1" applyFont="1" applyFill="1" applyAlignment="1">
      <alignment vertical="center"/>
    </xf>
    <xf numFmtId="10" fontId="0" fillId="0" borderId="0" xfId="4" applyNumberFormat="1" applyFont="1" applyAlignment="1">
      <alignment vertical="center"/>
    </xf>
    <xf numFmtId="10" fontId="0" fillId="4" borderId="0" xfId="4" applyNumberFormat="1" applyFont="1" applyFill="1" applyAlignment="1">
      <alignment vertical="center"/>
    </xf>
    <xf numFmtId="10" fontId="0" fillId="6" borderId="0" xfId="4" applyNumberFormat="1" applyFont="1" applyFill="1" applyAlignment="1">
      <alignment vertical="center"/>
    </xf>
    <xf numFmtId="10" fontId="0" fillId="0" borderId="12" xfId="4" applyNumberFormat="1" applyFont="1" applyBorder="1" applyAlignment="1">
      <alignment horizontal="center" vertical="center"/>
    </xf>
    <xf numFmtId="10" fontId="0" fillId="6" borderId="12" xfId="4" applyNumberFormat="1" applyFont="1" applyFill="1" applyBorder="1" applyAlignment="1">
      <alignment horizontal="center" vertical="center"/>
    </xf>
    <xf numFmtId="10" fontId="0" fillId="4" borderId="12" xfId="4" applyNumberFormat="1" applyFont="1" applyFill="1" applyBorder="1" applyAlignment="1">
      <alignment horizontal="center" vertical="center"/>
    </xf>
    <xf numFmtId="10" fontId="0" fillId="0" borderId="12" xfId="4" applyNumberFormat="1" applyFont="1" applyFill="1" applyBorder="1" applyAlignment="1">
      <alignment horizontal="center" vertical="center"/>
    </xf>
    <xf numFmtId="0" fontId="1" fillId="4" borderId="6" xfId="0" applyFont="1" applyFill="1" applyBorder="1" applyAlignment="1">
      <alignment horizontal="center" vertical="center" wrapText="1"/>
    </xf>
    <xf numFmtId="10" fontId="0" fillId="0" borderId="0" xfId="4" applyNumberFormat="1" applyFont="1"/>
    <xf numFmtId="10" fontId="0" fillId="5" borderId="1" xfId="0" applyNumberFormat="1" applyFill="1" applyBorder="1" applyAlignment="1">
      <alignment vertical="center"/>
    </xf>
    <xf numFmtId="10" fontId="0" fillId="4" borderId="0" xfId="0" applyNumberFormat="1" applyFill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64" fontId="0" fillId="0" borderId="1" xfId="6" applyFont="1" applyBorder="1" applyAlignment="1">
      <alignment horizontal="center" vertical="center"/>
    </xf>
    <xf numFmtId="164" fontId="0" fillId="4" borderId="1" xfId="6" applyFont="1" applyFill="1" applyBorder="1" applyAlignment="1">
      <alignment horizontal="center" vertical="center"/>
    </xf>
    <xf numFmtId="164" fontId="0" fillId="0" borderId="1" xfId="6" applyFont="1" applyFill="1" applyBorder="1" applyAlignment="1">
      <alignment horizontal="center" vertical="center"/>
    </xf>
    <xf numFmtId="0" fontId="12" fillId="0" borderId="0" xfId="60508"/>
    <xf numFmtId="17" fontId="14" fillId="6" borderId="1" xfId="60508" applyNumberFormat="1" applyFont="1" applyFill="1" applyBorder="1" applyAlignment="1">
      <alignment horizontal="left"/>
    </xf>
    <xf numFmtId="172" fontId="15" fillId="9" borderId="0" xfId="60508" applyNumberFormat="1" applyFont="1" applyFill="1" applyAlignment="1">
      <alignment horizontal="center"/>
    </xf>
    <xf numFmtId="172" fontId="16" fillId="9" borderId="0" xfId="60508" applyNumberFormat="1" applyFont="1" applyFill="1" applyAlignment="1">
      <alignment horizontal="center"/>
    </xf>
    <xf numFmtId="0" fontId="17" fillId="0" borderId="0" xfId="60508" applyFont="1"/>
    <xf numFmtId="10" fontId="17" fillId="4" borderId="0" xfId="60508" applyNumberFormat="1" applyFont="1" applyFill="1" applyAlignment="1">
      <alignment horizontal="center"/>
    </xf>
    <xf numFmtId="172" fontId="12" fillId="0" borderId="24" xfId="60508" applyNumberFormat="1" applyBorder="1"/>
    <xf numFmtId="167" fontId="18" fillId="0" borderId="25" xfId="4" applyNumberFormat="1" applyFont="1" applyFill="1" applyBorder="1"/>
    <xf numFmtId="172" fontId="13" fillId="0" borderId="26" xfId="4" applyNumberFormat="1" applyFont="1" applyFill="1" applyBorder="1"/>
    <xf numFmtId="10" fontId="18" fillId="8" borderId="24" xfId="4" applyNumberFormat="1" applyFont="1" applyFill="1" applyBorder="1"/>
    <xf numFmtId="10" fontId="18" fillId="8" borderId="25" xfId="4" applyNumberFormat="1" applyFont="1" applyFill="1" applyBorder="1"/>
    <xf numFmtId="0" fontId="13" fillId="8" borderId="26" xfId="4" applyNumberFormat="1" applyFont="1" applyFill="1" applyBorder="1"/>
    <xf numFmtId="2" fontId="17" fillId="4" borderId="0" xfId="60508" applyNumberFormat="1" applyFont="1" applyFill="1" applyAlignment="1">
      <alignment horizontal="center"/>
    </xf>
    <xf numFmtId="172" fontId="12" fillId="0" borderId="27" xfId="60508" applyNumberFormat="1" applyBorder="1"/>
    <xf numFmtId="167" fontId="18" fillId="0" borderId="0" xfId="4" applyNumberFormat="1" applyFont="1" applyFill="1" applyBorder="1"/>
    <xf numFmtId="172" fontId="13" fillId="0" borderId="28" xfId="4" applyNumberFormat="1" applyFont="1" applyFill="1" applyBorder="1"/>
    <xf numFmtId="172" fontId="13" fillId="8" borderId="27" xfId="4" applyNumberFormat="1" applyFont="1" applyFill="1" applyBorder="1"/>
    <xf numFmtId="10" fontId="18" fillId="8" borderId="0" xfId="4" applyNumberFormat="1" applyFont="1" applyFill="1" applyBorder="1"/>
    <xf numFmtId="10" fontId="13" fillId="8" borderId="28" xfId="4" applyNumberFormat="1" applyFont="1" applyFill="1" applyBorder="1"/>
    <xf numFmtId="0" fontId="12" fillId="0" borderId="0" xfId="60508" applyAlignment="1">
      <alignment horizontal="center"/>
    </xf>
    <xf numFmtId="173" fontId="13" fillId="8" borderId="24" xfId="4" applyNumberFormat="1" applyFont="1" applyFill="1" applyBorder="1"/>
    <xf numFmtId="173" fontId="13" fillId="8" borderId="25" xfId="4" applyNumberFormat="1" applyFont="1" applyFill="1" applyBorder="1"/>
    <xf numFmtId="10" fontId="13" fillId="8" borderId="26" xfId="4" applyNumberFormat="1" applyFont="1" applyFill="1" applyBorder="1"/>
    <xf numFmtId="1" fontId="17" fillId="4" borderId="0" xfId="60508" applyNumberFormat="1" applyFont="1" applyFill="1" applyAlignment="1">
      <alignment horizontal="center"/>
    </xf>
    <xf numFmtId="173" fontId="13" fillId="0" borderId="28" xfId="4" applyNumberFormat="1" applyFont="1" applyFill="1" applyBorder="1"/>
    <xf numFmtId="173" fontId="13" fillId="8" borderId="27" xfId="4" applyNumberFormat="1" applyFont="1" applyFill="1" applyBorder="1"/>
    <xf numFmtId="173" fontId="13" fillId="8" borderId="0" xfId="4" applyNumberFormat="1" applyFont="1" applyFill="1" applyBorder="1"/>
    <xf numFmtId="0" fontId="13" fillId="8" borderId="28" xfId="4" applyNumberFormat="1" applyFont="1" applyFill="1" applyBorder="1"/>
    <xf numFmtId="10" fontId="18" fillId="8" borderId="27" xfId="4" applyNumberFormat="1" applyFont="1" applyFill="1" applyBorder="1"/>
    <xf numFmtId="10" fontId="13" fillId="8" borderId="0" xfId="4" applyNumberFormat="1" applyFont="1" applyFill="1" applyBorder="1"/>
    <xf numFmtId="2" fontId="13" fillId="8" borderId="27" xfId="4" applyNumberFormat="1" applyFont="1" applyFill="1" applyBorder="1"/>
    <xf numFmtId="2" fontId="13" fillId="8" borderId="0" xfId="4" applyNumberFormat="1" applyFont="1" applyFill="1" applyBorder="1"/>
    <xf numFmtId="2" fontId="13" fillId="8" borderId="28" xfId="4" applyNumberFormat="1" applyFont="1" applyFill="1" applyBorder="1"/>
    <xf numFmtId="10" fontId="18" fillId="8" borderId="27" xfId="4" applyNumberFormat="1" applyFont="1" applyFill="1" applyBorder="1" applyAlignment="1"/>
    <xf numFmtId="10" fontId="13" fillId="8" borderId="0" xfId="4" applyNumberFormat="1" applyFont="1" applyFill="1" applyBorder="1" applyAlignment="1"/>
    <xf numFmtId="0" fontId="13" fillId="8" borderId="28" xfId="4" applyNumberFormat="1" applyFont="1" applyFill="1" applyBorder="1" applyAlignment="1"/>
    <xf numFmtId="172" fontId="12" fillId="0" borderId="22" xfId="60508" applyNumberFormat="1" applyBorder="1"/>
    <xf numFmtId="167" fontId="18" fillId="0" borderId="29" xfId="4" applyNumberFormat="1" applyFont="1" applyFill="1" applyBorder="1"/>
    <xf numFmtId="173" fontId="13" fillId="0" borderId="30" xfId="4" applyNumberFormat="1" applyFont="1" applyFill="1" applyBorder="1"/>
    <xf numFmtId="10" fontId="13" fillId="8" borderId="22" xfId="4" applyNumberFormat="1" applyFont="1" applyFill="1" applyBorder="1" applyAlignment="1"/>
    <xf numFmtId="10" fontId="13" fillId="8" borderId="29" xfId="4" applyNumberFormat="1" applyFont="1" applyFill="1" applyBorder="1" applyAlignment="1"/>
    <xf numFmtId="0" fontId="13" fillId="8" borderId="30" xfId="4" applyNumberFormat="1" applyFont="1" applyFill="1" applyBorder="1" applyAlignment="1"/>
    <xf numFmtId="167" fontId="18" fillId="0" borderId="30" xfId="4" applyNumberFormat="1" applyFont="1" applyFill="1" applyBorder="1"/>
    <xf numFmtId="172" fontId="13" fillId="0" borderId="0" xfId="4" applyNumberFormat="1" applyFont="1" applyFill="1" applyBorder="1"/>
    <xf numFmtId="174" fontId="12" fillId="0" borderId="0" xfId="60508" applyNumberFormat="1"/>
    <xf numFmtId="2" fontId="0" fillId="0" borderId="0" xfId="0" applyNumberFormat="1"/>
    <xf numFmtId="10" fontId="0" fillId="5" borderId="0" xfId="4" applyNumberFormat="1" applyFont="1" applyFill="1" applyAlignment="1">
      <alignment horizontal="center" vertical="center"/>
    </xf>
    <xf numFmtId="10" fontId="0" fillId="5" borderId="6" xfId="4" applyNumberFormat="1" applyFont="1" applyFill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5" fontId="1" fillId="0" borderId="0" xfId="0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6" fillId="0" borderId="0" xfId="4" applyNumberFormat="1" applyFill="1" applyBorder="1" applyAlignment="1">
      <alignment horizontal="center"/>
    </xf>
    <xf numFmtId="10" fontId="0" fillId="0" borderId="0" xfId="0" applyNumberFormat="1"/>
    <xf numFmtId="10" fontId="6" fillId="0" borderId="0" xfId="4" applyNumberForma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169" fontId="0" fillId="4" borderId="1" xfId="6" applyNumberFormat="1" applyFont="1" applyFill="1" applyBorder="1" applyAlignment="1">
      <alignment horizontal="center" vertical="center"/>
    </xf>
    <xf numFmtId="169" fontId="0" fillId="0" borderId="1" xfId="6" applyNumberFormat="1" applyFont="1" applyBorder="1" applyAlignment="1">
      <alignment horizontal="center" vertical="center"/>
    </xf>
    <xf numFmtId="169" fontId="0" fillId="4" borderId="0" xfId="6" applyNumberFormat="1" applyFont="1" applyFill="1" applyAlignment="1">
      <alignment horizontal="center" vertical="center"/>
    </xf>
    <xf numFmtId="169" fontId="0" fillId="0" borderId="0" xfId="6" applyNumberFormat="1" applyFont="1" applyAlignment="1">
      <alignment horizontal="center" vertical="center"/>
    </xf>
    <xf numFmtId="0" fontId="19" fillId="4" borderId="30" xfId="0" applyFont="1" applyFill="1" applyBorder="1" applyAlignment="1">
      <alignment horizontal="center" vertical="center"/>
    </xf>
    <xf numFmtId="0" fontId="19" fillId="4" borderId="31" xfId="0" applyFont="1" applyFill="1" applyBorder="1" applyAlignment="1">
      <alignment horizontal="center" vertical="center"/>
    </xf>
    <xf numFmtId="0" fontId="19" fillId="4" borderId="31" xfId="0" applyFont="1" applyFill="1" applyBorder="1" applyAlignment="1">
      <alignment horizontal="center" vertical="center" wrapText="1"/>
    </xf>
    <xf numFmtId="0" fontId="19" fillId="4" borderId="32" xfId="0" applyFont="1" applyFill="1" applyBorder="1" applyAlignment="1">
      <alignment horizontal="center" vertical="center" wrapText="1"/>
    </xf>
    <xf numFmtId="0" fontId="19" fillId="4" borderId="33" xfId="0" applyFont="1" applyFill="1" applyBorder="1" applyAlignment="1">
      <alignment horizontal="center" vertical="center"/>
    </xf>
    <xf numFmtId="0" fontId="19" fillId="4" borderId="12" xfId="0" applyFont="1" applyFill="1" applyBorder="1" applyAlignment="1">
      <alignment horizontal="center" vertical="center" wrapText="1"/>
    </xf>
    <xf numFmtId="0" fontId="19" fillId="4" borderId="34" xfId="0" applyFont="1" applyFill="1" applyBorder="1" applyAlignment="1">
      <alignment horizontal="center" vertical="center" wrapText="1"/>
    </xf>
    <xf numFmtId="0" fontId="19" fillId="4" borderId="22" xfId="0" applyFont="1" applyFill="1" applyBorder="1" applyAlignment="1">
      <alignment horizontal="center" vertical="center" wrapText="1"/>
    </xf>
    <xf numFmtId="0" fontId="19" fillId="7" borderId="22" xfId="0" applyFont="1" applyFill="1" applyBorder="1" applyAlignment="1">
      <alignment horizontal="center" vertical="center" wrapText="1"/>
    </xf>
    <xf numFmtId="0" fontId="8" fillId="0" borderId="23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165" fontId="19" fillId="0" borderId="5" xfId="0" applyNumberFormat="1" applyFont="1" applyBorder="1" applyAlignment="1">
      <alignment horizontal="center" vertical="center"/>
    </xf>
    <xf numFmtId="2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10" fontId="8" fillId="0" borderId="1" xfId="4" applyNumberFormat="1" applyFont="1" applyFill="1" applyBorder="1" applyAlignment="1">
      <alignment horizontal="center"/>
    </xf>
    <xf numFmtId="10" fontId="8" fillId="0" borderId="1" xfId="4" applyNumberFormat="1" applyFont="1" applyFill="1" applyBorder="1" applyAlignment="1">
      <alignment horizontal="center" vertical="center"/>
    </xf>
    <xf numFmtId="10" fontId="8" fillId="0" borderId="6" xfId="4" applyNumberFormat="1" applyFont="1" applyFill="1" applyBorder="1" applyAlignment="1">
      <alignment horizontal="center" vertical="center"/>
    </xf>
    <xf numFmtId="10" fontId="8" fillId="0" borderId="5" xfId="0" applyNumberFormat="1" applyFont="1" applyBorder="1"/>
    <xf numFmtId="10" fontId="8" fillId="0" borderId="19" xfId="4" applyNumberFormat="1" applyFont="1" applyFill="1" applyBorder="1" applyAlignment="1">
      <alignment horizontal="center" vertical="center"/>
    </xf>
    <xf numFmtId="1" fontId="8" fillId="0" borderId="1" xfId="0" applyNumberFormat="1" applyFont="1" applyBorder="1" applyAlignment="1">
      <alignment horizontal="center"/>
    </xf>
    <xf numFmtId="2" fontId="8" fillId="0" borderId="19" xfId="0" applyNumberFormat="1" applyFont="1" applyBorder="1" applyAlignment="1">
      <alignment horizontal="center"/>
    </xf>
    <xf numFmtId="10" fontId="8" fillId="0" borderId="1" xfId="4" applyNumberFormat="1" applyFont="1" applyBorder="1" applyAlignment="1">
      <alignment horizontal="center" vertical="center"/>
    </xf>
    <xf numFmtId="10" fontId="8" fillId="0" borderId="19" xfId="4" applyNumberFormat="1" applyFont="1" applyBorder="1" applyAlignment="1">
      <alignment horizontal="center" vertical="center"/>
    </xf>
    <xf numFmtId="10" fontId="8" fillId="0" borderId="19" xfId="4" applyNumberFormat="1" applyFont="1" applyFill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8" fillId="0" borderId="13" xfId="0" applyFont="1" applyBorder="1" applyAlignment="1">
      <alignment horizontal="center"/>
    </xf>
    <xf numFmtId="1" fontId="8" fillId="0" borderId="13" xfId="0" applyNumberFormat="1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165" fontId="19" fillId="0" borderId="20" xfId="0" applyNumberFormat="1" applyFont="1" applyBorder="1" applyAlignment="1">
      <alignment horizontal="center" vertical="center"/>
    </xf>
    <xf numFmtId="2" fontId="8" fillId="0" borderId="13" xfId="0" applyNumberFormat="1" applyFont="1" applyBorder="1" applyAlignment="1">
      <alignment horizontal="center" vertical="center"/>
    </xf>
    <xf numFmtId="10" fontId="8" fillId="0" borderId="13" xfId="4" applyNumberFormat="1" applyFont="1" applyFill="1" applyBorder="1" applyAlignment="1">
      <alignment horizontal="center"/>
    </xf>
    <xf numFmtId="10" fontId="8" fillId="0" borderId="20" xfId="0" applyNumberFormat="1" applyFont="1" applyBorder="1"/>
    <xf numFmtId="10" fontId="8" fillId="0" borderId="21" xfId="4" applyNumberFormat="1" applyFont="1" applyFill="1" applyBorder="1" applyAlignment="1">
      <alignment horizontal="center" vertical="center"/>
    </xf>
    <xf numFmtId="10" fontId="8" fillId="0" borderId="24" xfId="4" applyNumberFormat="1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7" xfId="0" applyFont="1" applyFill="1" applyBorder="1" applyAlignment="1">
      <alignment horizontal="center" vertical="center"/>
    </xf>
    <xf numFmtId="0" fontId="2" fillId="2" borderId="18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" fillId="3" borderId="16" xfId="0" applyFont="1" applyFill="1" applyBorder="1" applyAlignment="1">
      <alignment horizontal="center" vertical="center"/>
    </xf>
    <xf numFmtId="0" fontId="2" fillId="3" borderId="17" xfId="0" applyFont="1" applyFill="1" applyBorder="1" applyAlignment="1">
      <alignment horizontal="center" vertical="center"/>
    </xf>
    <xf numFmtId="0" fontId="2" fillId="3" borderId="18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17" fontId="1" fillId="0" borderId="0" xfId="0" applyNumberFormat="1" applyFont="1" applyAlignment="1">
      <alignment horizontal="center"/>
    </xf>
    <xf numFmtId="172" fontId="13" fillId="8" borderId="19" xfId="4" applyNumberFormat="1" applyFont="1" applyFill="1" applyBorder="1" applyAlignment="1">
      <alignment horizontal="center"/>
    </xf>
    <xf numFmtId="172" fontId="13" fillId="8" borderId="23" xfId="4" applyNumberFormat="1" applyFont="1" applyFill="1" applyBorder="1" applyAlignment="1">
      <alignment horizontal="center"/>
    </xf>
  </cellXfs>
  <cellStyles count="60509">
    <cellStyle name="Comma" xfId="6" builtinId="3"/>
    <cellStyle name="Comma 10" xfId="25" xr:uid="{AC7580C2-1054-4309-943F-B0F1199581E2}"/>
    <cellStyle name="Comma 10 10" xfId="1537" xr:uid="{6B1C75A9-DAFC-4418-B403-4BF14034E91D}"/>
    <cellStyle name="Comma 10 10 2" xfId="10609" xr:uid="{96A7370E-07B8-4F4A-A9C9-E741EBB90924}"/>
    <cellStyle name="Comma 10 10 2 2" xfId="25729" xr:uid="{9864A517-E9B0-4C47-9C25-54CE1D661FB8}"/>
    <cellStyle name="Comma 10 10 2 2 2" xfId="55969" xr:uid="{C4B534B4-AE73-4360-8595-BDF17F8547DB}"/>
    <cellStyle name="Comma 10 10 2 3" xfId="40849" xr:uid="{5574A469-9A3A-4758-A7E7-81C05C40E6EE}"/>
    <cellStyle name="Comma 10 10 3" xfId="16657" xr:uid="{02AE3D10-AA3A-4E2A-B08B-6FA9D0D79BEF}"/>
    <cellStyle name="Comma 10 10 3 2" xfId="46897" xr:uid="{87A0BF31-9197-439A-9E3F-F6A8AD1B2245}"/>
    <cellStyle name="Comma 10 10 4" xfId="31777" xr:uid="{F0A3911A-88AA-4DCF-8D8C-7038847ACB3D}"/>
    <cellStyle name="Comma 10 11" xfId="3049" xr:uid="{00F01E35-DFF4-4E18-BFF0-E157C8A156AC}"/>
    <cellStyle name="Comma 10 11 2" xfId="12121" xr:uid="{150E243F-643A-4554-8FD9-273A5CAC03AE}"/>
    <cellStyle name="Comma 10 11 2 2" xfId="27241" xr:uid="{6545FDDD-A28C-4160-8D1F-B2663DB82205}"/>
    <cellStyle name="Comma 10 11 2 2 2" xfId="57481" xr:uid="{78BCB5F2-C0E4-4C2E-BAAA-DE6D95A733E1}"/>
    <cellStyle name="Comma 10 11 2 3" xfId="42361" xr:uid="{B3A4E170-F50B-4875-B423-84D34CF5CD72}"/>
    <cellStyle name="Comma 10 11 3" xfId="18169" xr:uid="{5668E152-779D-44CC-A832-B0101B31622E}"/>
    <cellStyle name="Comma 10 11 3 2" xfId="48409" xr:uid="{3A4D47DC-701F-4312-A416-1E639448C200}"/>
    <cellStyle name="Comma 10 11 4" xfId="33289" xr:uid="{3303976D-E077-4041-98A7-D5B58B7143B0}"/>
    <cellStyle name="Comma 10 12" xfId="4561" xr:uid="{2FA6F62C-FE53-4E1F-A28E-1D7B8D33C617}"/>
    <cellStyle name="Comma 10 12 2" xfId="13633" xr:uid="{28333B5A-9810-41F6-BDD0-3F29F47D724B}"/>
    <cellStyle name="Comma 10 12 2 2" xfId="28753" xr:uid="{B798FD22-9923-43E8-9050-6E12364A8836}"/>
    <cellStyle name="Comma 10 12 2 2 2" xfId="58993" xr:uid="{E9541B98-6FDB-458D-9A8E-E7508AA52E37}"/>
    <cellStyle name="Comma 10 12 2 3" xfId="43873" xr:uid="{7013B06A-0245-44D9-BDCD-349154287951}"/>
    <cellStyle name="Comma 10 12 3" xfId="19681" xr:uid="{C2413DF8-B11C-404B-A7ED-EF060357B913}"/>
    <cellStyle name="Comma 10 12 3 2" xfId="49921" xr:uid="{0A2E2615-77C2-45A2-8CD8-69E1D5E44C1E}"/>
    <cellStyle name="Comma 10 12 4" xfId="34801" xr:uid="{30F9A17E-BEA6-4CC1-A5B3-DE22E75E7DA3}"/>
    <cellStyle name="Comma 10 13" xfId="6073" xr:uid="{8507EA27-4226-4A94-904D-F46D73C90055}"/>
    <cellStyle name="Comma 10 13 2" xfId="21193" xr:uid="{EF37DA3F-6856-41E2-BB9A-FD9EBF1A9D7D}"/>
    <cellStyle name="Comma 10 13 2 2" xfId="51433" xr:uid="{1B88D357-FD6F-4087-8AD3-994477734F0D}"/>
    <cellStyle name="Comma 10 13 3" xfId="36313" xr:uid="{96CBBE01-041F-404C-B5E2-9741E85DEF8D}"/>
    <cellStyle name="Comma 10 14" xfId="7585" xr:uid="{ECE42515-2D67-4907-9EBC-23F86F66C14E}"/>
    <cellStyle name="Comma 10 14 2" xfId="22705" xr:uid="{F486FAEF-83BB-4895-BFC8-86729B576A68}"/>
    <cellStyle name="Comma 10 14 2 2" xfId="52945" xr:uid="{CA97441C-8846-4682-BE66-1B1D062331C7}"/>
    <cellStyle name="Comma 10 14 3" xfId="37825" xr:uid="{FBAAFDA1-0D4C-4FE9-A9FB-E5CD82CA511D}"/>
    <cellStyle name="Comma 10 15" xfId="9097" xr:uid="{709A7C4C-8B32-4560-A609-E5C5A7AAF64F}"/>
    <cellStyle name="Comma 10 15 2" xfId="24217" xr:uid="{D7E61712-4AC1-410E-9065-CB1B52970FA4}"/>
    <cellStyle name="Comma 10 15 2 2" xfId="54457" xr:uid="{656BF964-017A-4ABE-AE20-2469D842B03E}"/>
    <cellStyle name="Comma 10 15 3" xfId="39337" xr:uid="{5E8172EE-B538-4BE5-BFD6-0AD91AB36637}"/>
    <cellStyle name="Comma 10 16" xfId="15145" xr:uid="{DE734833-43E8-4961-9312-4CD491E8EEB3}"/>
    <cellStyle name="Comma 10 16 2" xfId="45385" xr:uid="{EFD6766E-59F4-46F3-AD5E-13575812E209}"/>
    <cellStyle name="Comma 10 17" xfId="30265" xr:uid="{D0D2AD45-560D-4CB5-A4A8-6A8CD6B10A4A}"/>
    <cellStyle name="Comma 10 2" xfId="39" xr:uid="{62663674-415F-426A-8D59-F2D1FD465EE7}"/>
    <cellStyle name="Comma 10 2 10" xfId="4575" xr:uid="{DE6C6EDA-A0EF-4713-A819-50D6FE3F987C}"/>
    <cellStyle name="Comma 10 2 10 2" xfId="13647" xr:uid="{4974A5A6-B81A-46E2-8A98-9F29225B5A2E}"/>
    <cellStyle name="Comma 10 2 10 2 2" xfId="28767" xr:uid="{9A6EFD08-EDA9-49F6-994D-587A34CA5887}"/>
    <cellStyle name="Comma 10 2 10 2 2 2" xfId="59007" xr:uid="{120AFC59-86A0-45A5-8A46-7D90620FAC3E}"/>
    <cellStyle name="Comma 10 2 10 2 3" xfId="43887" xr:uid="{DFAC5D8C-FDA6-4BDF-8B83-1D36659265BE}"/>
    <cellStyle name="Comma 10 2 10 3" xfId="19695" xr:uid="{11C161C7-252F-4986-910D-EEE6B580CB79}"/>
    <cellStyle name="Comma 10 2 10 3 2" xfId="49935" xr:uid="{74C30842-54CE-4019-9257-02E317CA165A}"/>
    <cellStyle name="Comma 10 2 10 4" xfId="34815" xr:uid="{4291DEF7-07DC-48ED-AA01-FBDE67D04BE1}"/>
    <cellStyle name="Comma 10 2 11" xfId="6087" xr:uid="{34F7781E-F0EF-4ACB-A7D8-278C8F2DC4A8}"/>
    <cellStyle name="Comma 10 2 11 2" xfId="21207" xr:uid="{4856A74E-937F-42B5-AC35-019092FA2525}"/>
    <cellStyle name="Comma 10 2 11 2 2" xfId="51447" xr:uid="{13C7DB0E-01F9-42C7-B476-5B83757232E7}"/>
    <cellStyle name="Comma 10 2 11 3" xfId="36327" xr:uid="{D1E95067-4EBA-46B1-B9B4-C7A38E39DD8E}"/>
    <cellStyle name="Comma 10 2 12" xfId="7599" xr:uid="{B5D88689-1F15-476A-A28F-B85003198A26}"/>
    <cellStyle name="Comma 10 2 12 2" xfId="22719" xr:uid="{55B72EFE-0D01-4EB7-94C2-A22E6C28F756}"/>
    <cellStyle name="Comma 10 2 12 2 2" xfId="52959" xr:uid="{8CCDA596-EE90-4C8A-8514-0E01A3CE653D}"/>
    <cellStyle name="Comma 10 2 12 3" xfId="37839" xr:uid="{F1DFA8EF-CBFF-4B89-91ED-E4ABD044D5AA}"/>
    <cellStyle name="Comma 10 2 13" xfId="9111" xr:uid="{D28DE06F-BB0B-488C-961B-37DF59D5B97B}"/>
    <cellStyle name="Comma 10 2 13 2" xfId="24231" xr:uid="{E311DC5A-A60C-4805-ABA3-898C6D85A3A4}"/>
    <cellStyle name="Comma 10 2 13 2 2" xfId="54471" xr:uid="{B79DFB81-EC8D-4D59-BD4F-CEE9EE47FDE8}"/>
    <cellStyle name="Comma 10 2 13 3" xfId="39351" xr:uid="{688C204A-027B-4413-A927-3641D4670D2C}"/>
    <cellStyle name="Comma 10 2 14" xfId="15159" xr:uid="{8F3EFBA9-E6C3-442D-A099-581002B9AD9C}"/>
    <cellStyle name="Comma 10 2 14 2" xfId="45399" xr:uid="{89C41848-AF52-403F-B915-E3E1FBC01BA7}"/>
    <cellStyle name="Comma 10 2 15" xfId="30279" xr:uid="{F2ECB5F5-DD9D-4669-84DF-5E87F4735AFC}"/>
    <cellStyle name="Comma 10 2 2" xfId="81" xr:uid="{AC1CFDFA-BE59-414D-B97D-22C48B865D8B}"/>
    <cellStyle name="Comma 10 2 2 10" xfId="6129" xr:uid="{82880D26-112A-4568-97B5-50BD83253034}"/>
    <cellStyle name="Comma 10 2 2 10 2" xfId="21249" xr:uid="{DFF6ACFA-5D8E-4F20-B775-6D246826B09A}"/>
    <cellStyle name="Comma 10 2 2 10 2 2" xfId="51489" xr:uid="{9B9B935F-B852-40DE-83B7-96266D245876}"/>
    <cellStyle name="Comma 10 2 2 10 3" xfId="36369" xr:uid="{071D2E80-FDE6-421B-80CA-6151D9A06797}"/>
    <cellStyle name="Comma 10 2 2 11" xfId="7641" xr:uid="{DE2529F4-5A5A-4212-92CA-93FAB037F921}"/>
    <cellStyle name="Comma 10 2 2 11 2" xfId="22761" xr:uid="{7BB2AF21-03DD-4E93-AA7A-B39F56464712}"/>
    <cellStyle name="Comma 10 2 2 11 2 2" xfId="53001" xr:uid="{A6436A8F-016F-46B0-BB43-3340D358FD41}"/>
    <cellStyle name="Comma 10 2 2 11 3" xfId="37881" xr:uid="{3C5F1B8F-A9C1-4AE8-B285-E61A181763DB}"/>
    <cellStyle name="Comma 10 2 2 12" xfId="9153" xr:uid="{D117A2C5-68A2-45F1-9E08-A22917639997}"/>
    <cellStyle name="Comma 10 2 2 12 2" xfId="24273" xr:uid="{CACF9A3C-C516-4AB9-9C88-C1BD62E717B3}"/>
    <cellStyle name="Comma 10 2 2 12 2 2" xfId="54513" xr:uid="{838AA2FF-780E-44AA-8863-9A6B0E398F68}"/>
    <cellStyle name="Comma 10 2 2 12 3" xfId="39393" xr:uid="{3C3F6112-981B-4FC9-989D-3B6BBB397A97}"/>
    <cellStyle name="Comma 10 2 2 13" xfId="15201" xr:uid="{0F4BADA3-45A6-4390-A57E-5B751462F42C}"/>
    <cellStyle name="Comma 10 2 2 13 2" xfId="45441" xr:uid="{896B3BE0-9C22-4DD8-ADD2-CA0447CD0FA4}"/>
    <cellStyle name="Comma 10 2 2 14" xfId="30321" xr:uid="{DBEF670F-0C3B-43A2-9E53-212DB339F3A0}"/>
    <cellStyle name="Comma 10 2 2 2" xfId="165" xr:uid="{1CA89E9C-A428-4D51-87C7-D8B8A649099F}"/>
    <cellStyle name="Comma 10 2 2 2 10" xfId="9237" xr:uid="{C81E80A9-5CA7-4395-AE1A-49A9B7DDE426}"/>
    <cellStyle name="Comma 10 2 2 2 10 2" xfId="24357" xr:uid="{C221259B-539C-4F4D-8086-ED52684C1091}"/>
    <cellStyle name="Comma 10 2 2 2 10 2 2" xfId="54597" xr:uid="{CBF60E02-4458-46D7-95FA-D0EA144361C1}"/>
    <cellStyle name="Comma 10 2 2 2 10 3" xfId="39477" xr:uid="{362AF45D-4DEC-4DE2-9073-B0F10A79C4D0}"/>
    <cellStyle name="Comma 10 2 2 2 11" xfId="15285" xr:uid="{1942F354-6B38-4F0D-8E3A-6934BE62A883}"/>
    <cellStyle name="Comma 10 2 2 2 11 2" xfId="45525" xr:uid="{8F58D0F9-2602-42C0-965A-7E0AEEF0B923}"/>
    <cellStyle name="Comma 10 2 2 2 12" xfId="30405" xr:uid="{2210417D-F10A-43CF-A8C4-A45EBA422A0A}"/>
    <cellStyle name="Comma 10 2 2 2 2" xfId="417" xr:uid="{83B08C5A-B440-407C-B09E-31656FBD77BB}"/>
    <cellStyle name="Comma 10 2 2 2 2 10" xfId="30657" xr:uid="{47BBBFFE-B8BD-41F5-9318-B5E826659985}"/>
    <cellStyle name="Comma 10 2 2 2 2 2" xfId="1173" xr:uid="{8FFFC6A3-0810-4226-AAE1-68D2D4167CF5}"/>
    <cellStyle name="Comma 10 2 2 2 2 2 2" xfId="2685" xr:uid="{420FE7E8-4EFB-4A1E-B2D4-D7F070F47B9C}"/>
    <cellStyle name="Comma 10 2 2 2 2 2 2 2" xfId="11757" xr:uid="{882F0A4F-FA69-4C5F-B5EC-6D9DFDEB3347}"/>
    <cellStyle name="Comma 10 2 2 2 2 2 2 2 2" xfId="26877" xr:uid="{27194A18-875E-4466-AF2F-912323A85B20}"/>
    <cellStyle name="Comma 10 2 2 2 2 2 2 2 2 2" xfId="57117" xr:uid="{58D3B8A6-30F2-4D74-BA75-5D442ED430BD}"/>
    <cellStyle name="Comma 10 2 2 2 2 2 2 2 3" xfId="41997" xr:uid="{613AEF06-3F37-47E9-885E-6642681596CC}"/>
    <cellStyle name="Comma 10 2 2 2 2 2 2 3" xfId="17805" xr:uid="{99F5BB8C-C2E8-4FD9-839C-9BCA9FA0B5F9}"/>
    <cellStyle name="Comma 10 2 2 2 2 2 2 3 2" xfId="48045" xr:uid="{3519615D-668C-449A-897A-AEA6F952836C}"/>
    <cellStyle name="Comma 10 2 2 2 2 2 2 4" xfId="32925" xr:uid="{173E4B67-968E-49F2-A64C-DC090A28AFD9}"/>
    <cellStyle name="Comma 10 2 2 2 2 2 3" xfId="4197" xr:uid="{22C7B448-3B90-4563-871E-E50CD2AD30D3}"/>
    <cellStyle name="Comma 10 2 2 2 2 2 3 2" xfId="13269" xr:uid="{34CEFE29-774B-40AA-873D-702692D6E0F4}"/>
    <cellStyle name="Comma 10 2 2 2 2 2 3 2 2" xfId="28389" xr:uid="{8F720840-E257-4160-B819-7767EC609985}"/>
    <cellStyle name="Comma 10 2 2 2 2 2 3 2 2 2" xfId="58629" xr:uid="{1806D0F1-FC06-4E53-ADB8-E0E5C2D00744}"/>
    <cellStyle name="Comma 10 2 2 2 2 2 3 2 3" xfId="43509" xr:uid="{698D9808-E7C0-4135-83BC-D672296BC84C}"/>
    <cellStyle name="Comma 10 2 2 2 2 2 3 3" xfId="19317" xr:uid="{96A02401-8812-4E84-B95B-7B456346B11C}"/>
    <cellStyle name="Comma 10 2 2 2 2 2 3 3 2" xfId="49557" xr:uid="{D4CDE4A9-E4F8-4236-94F7-31E9917C9F3E}"/>
    <cellStyle name="Comma 10 2 2 2 2 2 3 4" xfId="34437" xr:uid="{AC3A73D2-BDD6-412D-A24B-A17DAB52C5A0}"/>
    <cellStyle name="Comma 10 2 2 2 2 2 4" xfId="5709" xr:uid="{FCE886D0-ABE8-426E-B02F-4A844D249F47}"/>
    <cellStyle name="Comma 10 2 2 2 2 2 4 2" xfId="14781" xr:uid="{7A25FF47-4521-45E1-9717-613F4F122A72}"/>
    <cellStyle name="Comma 10 2 2 2 2 2 4 2 2" xfId="29901" xr:uid="{8FA97FD2-91B2-47FE-B923-249D8853C7CA}"/>
    <cellStyle name="Comma 10 2 2 2 2 2 4 2 2 2" xfId="60141" xr:uid="{890605C8-8CA3-4E87-ADC6-6F26D77F893D}"/>
    <cellStyle name="Comma 10 2 2 2 2 2 4 2 3" xfId="45021" xr:uid="{966B4D78-6965-4505-92FC-CC01AAF3C8AB}"/>
    <cellStyle name="Comma 10 2 2 2 2 2 4 3" xfId="20829" xr:uid="{FD8320D4-64EC-4789-916F-962DFCF74E0A}"/>
    <cellStyle name="Comma 10 2 2 2 2 2 4 3 2" xfId="51069" xr:uid="{65DB9BC7-CADE-4A68-942B-4BC3BB3959A2}"/>
    <cellStyle name="Comma 10 2 2 2 2 2 4 4" xfId="35949" xr:uid="{B314902F-D517-4DF1-BD43-17539DD9D329}"/>
    <cellStyle name="Comma 10 2 2 2 2 2 5" xfId="7221" xr:uid="{9A221AB6-6111-46BA-AC9C-7C6A16759A43}"/>
    <cellStyle name="Comma 10 2 2 2 2 2 5 2" xfId="22341" xr:uid="{1AF0E6C9-9667-43FA-AD78-74B197E3DC6D}"/>
    <cellStyle name="Comma 10 2 2 2 2 2 5 2 2" xfId="52581" xr:uid="{6A2919F4-F7AD-43D5-BE28-4C1D3E1E6738}"/>
    <cellStyle name="Comma 10 2 2 2 2 2 5 3" xfId="37461" xr:uid="{FDEB9F2B-5555-420A-88BF-6D8C20C68E9C}"/>
    <cellStyle name="Comma 10 2 2 2 2 2 6" xfId="8733" xr:uid="{B781AE00-9198-4AD8-8B22-C7A5151B0569}"/>
    <cellStyle name="Comma 10 2 2 2 2 2 6 2" xfId="23853" xr:uid="{3B6F67D5-9973-444B-BEE1-DC57B73E9143}"/>
    <cellStyle name="Comma 10 2 2 2 2 2 6 2 2" xfId="54093" xr:uid="{F561BEFB-9C65-47E0-AAF1-022870F4AED8}"/>
    <cellStyle name="Comma 10 2 2 2 2 2 6 3" xfId="38973" xr:uid="{3DC8FABA-B118-44BE-8576-6562578A9553}"/>
    <cellStyle name="Comma 10 2 2 2 2 2 7" xfId="10245" xr:uid="{1128CE71-1B00-4089-8B65-5018347AE97C}"/>
    <cellStyle name="Comma 10 2 2 2 2 2 7 2" xfId="25365" xr:uid="{1D7AEC4E-7C03-44C2-BBA3-9A9382E2839A}"/>
    <cellStyle name="Comma 10 2 2 2 2 2 7 2 2" xfId="55605" xr:uid="{6FFD91A7-00F3-45C0-83E7-202B6A4C5B7B}"/>
    <cellStyle name="Comma 10 2 2 2 2 2 7 3" xfId="40485" xr:uid="{29B58054-4107-472B-B191-646C22A79182}"/>
    <cellStyle name="Comma 10 2 2 2 2 2 8" xfId="16293" xr:uid="{7C586981-51D2-46E8-8C2F-FD25B1A4F6F8}"/>
    <cellStyle name="Comma 10 2 2 2 2 2 8 2" xfId="46533" xr:uid="{36F4F93E-443D-4E2D-80DB-45132E697819}"/>
    <cellStyle name="Comma 10 2 2 2 2 2 9" xfId="31413" xr:uid="{20CF5C44-F974-4665-A74A-3BBF12F864EA}"/>
    <cellStyle name="Comma 10 2 2 2 2 3" xfId="1929" xr:uid="{256D9106-BB47-4C80-95BC-958F53BC955F}"/>
    <cellStyle name="Comma 10 2 2 2 2 3 2" xfId="11001" xr:uid="{3208A0B1-C93F-4DB0-A75B-510B0FCDBCEF}"/>
    <cellStyle name="Comma 10 2 2 2 2 3 2 2" xfId="26121" xr:uid="{1406D7B4-2D5C-4A38-B1C7-83DA466CED7F}"/>
    <cellStyle name="Comma 10 2 2 2 2 3 2 2 2" xfId="56361" xr:uid="{69D21ADA-12D1-4509-B9A7-EDB05C4E8ACD}"/>
    <cellStyle name="Comma 10 2 2 2 2 3 2 3" xfId="41241" xr:uid="{747CE473-ECFA-4FC1-ADA6-331FF6AD93A0}"/>
    <cellStyle name="Comma 10 2 2 2 2 3 3" xfId="17049" xr:uid="{AD86A49F-F60D-401A-99B8-DA82C637EDDC}"/>
    <cellStyle name="Comma 10 2 2 2 2 3 3 2" xfId="47289" xr:uid="{9F604ED7-822F-43F0-9229-96ADF2C4AEF6}"/>
    <cellStyle name="Comma 10 2 2 2 2 3 4" xfId="32169" xr:uid="{D7EC7B8A-EABC-4717-9C09-0AB152A9A284}"/>
    <cellStyle name="Comma 10 2 2 2 2 4" xfId="3441" xr:uid="{6BB39871-D88D-4CEA-A31A-DE7C987B7204}"/>
    <cellStyle name="Comma 10 2 2 2 2 4 2" xfId="12513" xr:uid="{D3B33C58-B57B-4D25-8E83-C401B48F5E91}"/>
    <cellStyle name="Comma 10 2 2 2 2 4 2 2" xfId="27633" xr:uid="{0940C0F1-72C8-4FBA-8226-DBFBCE2CA6C0}"/>
    <cellStyle name="Comma 10 2 2 2 2 4 2 2 2" xfId="57873" xr:uid="{CB369AD3-B424-4CB8-B540-D10C325F8ECA}"/>
    <cellStyle name="Comma 10 2 2 2 2 4 2 3" xfId="42753" xr:uid="{93685C53-9298-4962-9043-B8CC970F4EEE}"/>
    <cellStyle name="Comma 10 2 2 2 2 4 3" xfId="18561" xr:uid="{AEA9B3F7-AB4A-4DB8-A6B9-D3C147E0ED30}"/>
    <cellStyle name="Comma 10 2 2 2 2 4 3 2" xfId="48801" xr:uid="{C29B2640-288A-4A18-9853-26270B513916}"/>
    <cellStyle name="Comma 10 2 2 2 2 4 4" xfId="33681" xr:uid="{09F7E99B-85E3-4BF8-B55F-9B540039A20D}"/>
    <cellStyle name="Comma 10 2 2 2 2 5" xfId="4953" xr:uid="{4E938C35-8458-45ED-8615-80329980FD19}"/>
    <cellStyle name="Comma 10 2 2 2 2 5 2" xfId="14025" xr:uid="{DD639799-8D1F-4F70-A08A-CE1BFE083AAD}"/>
    <cellStyle name="Comma 10 2 2 2 2 5 2 2" xfId="29145" xr:uid="{100DA972-CC47-4E48-A764-5028A969147A}"/>
    <cellStyle name="Comma 10 2 2 2 2 5 2 2 2" xfId="59385" xr:uid="{9E057DC2-A2EA-4184-ADF6-CB02362CDB63}"/>
    <cellStyle name="Comma 10 2 2 2 2 5 2 3" xfId="44265" xr:uid="{7942C6EA-A130-4C3B-922D-70AF114AA8E5}"/>
    <cellStyle name="Comma 10 2 2 2 2 5 3" xfId="20073" xr:uid="{EB335A2F-3AD6-467E-895F-45C56E98AA42}"/>
    <cellStyle name="Comma 10 2 2 2 2 5 3 2" xfId="50313" xr:uid="{858DDD1D-249D-416D-811B-DB59195D4BDE}"/>
    <cellStyle name="Comma 10 2 2 2 2 5 4" xfId="35193" xr:uid="{2ECD0782-C5A2-4992-AE9E-E365F77274CE}"/>
    <cellStyle name="Comma 10 2 2 2 2 6" xfId="6465" xr:uid="{41DB9838-D82E-451C-8112-00D43A816C9D}"/>
    <cellStyle name="Comma 10 2 2 2 2 6 2" xfId="21585" xr:uid="{782A3DFA-12FA-476A-9A62-D794B871E259}"/>
    <cellStyle name="Comma 10 2 2 2 2 6 2 2" xfId="51825" xr:uid="{6CB76F3C-A3BF-45C3-822A-9B5E62EA282A}"/>
    <cellStyle name="Comma 10 2 2 2 2 6 3" xfId="36705" xr:uid="{80DF8F32-2843-4A8C-95B7-402373CACFC8}"/>
    <cellStyle name="Comma 10 2 2 2 2 7" xfId="7977" xr:uid="{8A166458-6B0A-491F-86DF-62F4453A814E}"/>
    <cellStyle name="Comma 10 2 2 2 2 7 2" xfId="23097" xr:uid="{F4C9120C-AC65-4927-AD31-BA21DD5656DD}"/>
    <cellStyle name="Comma 10 2 2 2 2 7 2 2" xfId="53337" xr:uid="{0CC52B45-0AE5-4A65-8295-9CF0A730454A}"/>
    <cellStyle name="Comma 10 2 2 2 2 7 3" xfId="38217" xr:uid="{DA51F572-3F20-4FAF-BE9D-8F48B1096A8B}"/>
    <cellStyle name="Comma 10 2 2 2 2 8" xfId="9489" xr:uid="{2174AD8F-4A8E-4195-BB06-34988A2FE9DB}"/>
    <cellStyle name="Comma 10 2 2 2 2 8 2" xfId="24609" xr:uid="{FE0A7F23-AB9F-4D91-81B4-D557A383A4CC}"/>
    <cellStyle name="Comma 10 2 2 2 2 8 2 2" xfId="54849" xr:uid="{0DBD3DD0-A667-41F2-A89B-DF5502F240B4}"/>
    <cellStyle name="Comma 10 2 2 2 2 8 3" xfId="39729" xr:uid="{EEC13EF2-27FE-4DE3-9FA6-7118955B1AA5}"/>
    <cellStyle name="Comma 10 2 2 2 2 9" xfId="15537" xr:uid="{60A30125-6268-4FFE-A440-2834930EAC3E}"/>
    <cellStyle name="Comma 10 2 2 2 2 9 2" xfId="45777" xr:uid="{CAEBCCDC-9399-4243-87CA-61F6722C8376}"/>
    <cellStyle name="Comma 10 2 2 2 3" xfId="669" xr:uid="{EC430129-4A52-4AF6-96EE-4A0EC3BF35D0}"/>
    <cellStyle name="Comma 10 2 2 2 3 10" xfId="30909" xr:uid="{C3A48385-CC9C-4C5B-BC48-07E8D039D019}"/>
    <cellStyle name="Comma 10 2 2 2 3 2" xfId="1425" xr:uid="{06391082-F8D1-4DD5-919C-779276702CC5}"/>
    <cellStyle name="Comma 10 2 2 2 3 2 2" xfId="2937" xr:uid="{28AAE461-CCEF-433F-AF5F-AA262225120E}"/>
    <cellStyle name="Comma 10 2 2 2 3 2 2 2" xfId="12009" xr:uid="{178C389F-09BD-4D87-81BD-C2F7CEE9B238}"/>
    <cellStyle name="Comma 10 2 2 2 3 2 2 2 2" xfId="27129" xr:uid="{DBC447C2-5EFC-468E-9D33-20F4DEB20BA6}"/>
    <cellStyle name="Comma 10 2 2 2 3 2 2 2 2 2" xfId="57369" xr:uid="{BB11F260-85C6-4B70-84DA-CD805A9EEF90}"/>
    <cellStyle name="Comma 10 2 2 2 3 2 2 2 3" xfId="42249" xr:uid="{EE71DE6C-C8C6-4D96-815C-0E6427E19805}"/>
    <cellStyle name="Comma 10 2 2 2 3 2 2 3" xfId="18057" xr:uid="{58A221EA-CE1A-479B-8419-9776D4D2421D}"/>
    <cellStyle name="Comma 10 2 2 2 3 2 2 3 2" xfId="48297" xr:uid="{D857A28A-0389-4337-AFA0-DADD323BA2F8}"/>
    <cellStyle name="Comma 10 2 2 2 3 2 2 4" xfId="33177" xr:uid="{FD560102-E4F5-41D5-BECF-8C2F957C678C}"/>
    <cellStyle name="Comma 10 2 2 2 3 2 3" xfId="4449" xr:uid="{17D0567B-BD04-4EFD-ACCE-A0086312B32A}"/>
    <cellStyle name="Comma 10 2 2 2 3 2 3 2" xfId="13521" xr:uid="{60A51EF9-060B-4627-BECA-FCF5D2DC2C56}"/>
    <cellStyle name="Comma 10 2 2 2 3 2 3 2 2" xfId="28641" xr:uid="{7E8FF5D6-C9C4-403C-AEBC-98767ED30E3A}"/>
    <cellStyle name="Comma 10 2 2 2 3 2 3 2 2 2" xfId="58881" xr:uid="{72A1B453-C3F4-4367-9A66-8248E35355B9}"/>
    <cellStyle name="Comma 10 2 2 2 3 2 3 2 3" xfId="43761" xr:uid="{A9E3E183-5A7C-4E3B-AF78-D8B370F7FA6B}"/>
    <cellStyle name="Comma 10 2 2 2 3 2 3 3" xfId="19569" xr:uid="{8FB90EBF-FC8D-483C-B3E0-0CB986DBBD38}"/>
    <cellStyle name="Comma 10 2 2 2 3 2 3 3 2" xfId="49809" xr:uid="{370B4574-4BDF-4303-810A-C991C462FD4A}"/>
    <cellStyle name="Comma 10 2 2 2 3 2 3 4" xfId="34689" xr:uid="{E9A84396-74BA-4DC3-A038-4879E7B1C641}"/>
    <cellStyle name="Comma 10 2 2 2 3 2 4" xfId="5961" xr:uid="{634A049F-6918-44FE-B09B-526C061357E6}"/>
    <cellStyle name="Comma 10 2 2 2 3 2 4 2" xfId="15033" xr:uid="{35ED5FAE-235D-45CF-A21E-D2CC0A865B3C}"/>
    <cellStyle name="Comma 10 2 2 2 3 2 4 2 2" xfId="30153" xr:uid="{A408A916-3B63-4002-8F59-4295DECF7700}"/>
    <cellStyle name="Comma 10 2 2 2 3 2 4 2 2 2" xfId="60393" xr:uid="{ECB9C45F-6FE7-47B6-8FB4-B0D3C9959D3B}"/>
    <cellStyle name="Comma 10 2 2 2 3 2 4 2 3" xfId="45273" xr:uid="{C35C637C-11B8-4946-80AE-8FF05C402370}"/>
    <cellStyle name="Comma 10 2 2 2 3 2 4 3" xfId="21081" xr:uid="{55A03702-ECF7-4544-82EA-D62087BA2F7F}"/>
    <cellStyle name="Comma 10 2 2 2 3 2 4 3 2" xfId="51321" xr:uid="{D660DBE6-C212-47E4-99AB-8ADD849CCF1F}"/>
    <cellStyle name="Comma 10 2 2 2 3 2 4 4" xfId="36201" xr:uid="{8BD3B705-E30C-4190-8F62-E200017E8F0B}"/>
    <cellStyle name="Comma 10 2 2 2 3 2 5" xfId="7473" xr:uid="{F502A614-EA14-4621-AC05-E3329C59ACBD}"/>
    <cellStyle name="Comma 10 2 2 2 3 2 5 2" xfId="22593" xr:uid="{8F0E8152-11B0-4A82-BC49-09892049E69C}"/>
    <cellStyle name="Comma 10 2 2 2 3 2 5 2 2" xfId="52833" xr:uid="{0D00DB46-3B8C-4539-8174-1A0B1E4BE1E6}"/>
    <cellStyle name="Comma 10 2 2 2 3 2 5 3" xfId="37713" xr:uid="{7D83BD14-60AA-45FD-919D-DA0FF3A5867B}"/>
    <cellStyle name="Comma 10 2 2 2 3 2 6" xfId="8985" xr:uid="{FFA74D8A-4FF2-4268-AC1C-B4C6D9DF985C}"/>
    <cellStyle name="Comma 10 2 2 2 3 2 6 2" xfId="24105" xr:uid="{163DCF23-E299-47D8-9666-7840AC95B1FE}"/>
    <cellStyle name="Comma 10 2 2 2 3 2 6 2 2" xfId="54345" xr:uid="{B877C0E3-2566-4C07-AFDA-77FD5E95314E}"/>
    <cellStyle name="Comma 10 2 2 2 3 2 6 3" xfId="39225" xr:uid="{02001FC4-75E7-4451-80F0-E2F57E63F884}"/>
    <cellStyle name="Comma 10 2 2 2 3 2 7" xfId="10497" xr:uid="{AC2D57FD-FD6B-4227-A7B5-F933958BFE36}"/>
    <cellStyle name="Comma 10 2 2 2 3 2 7 2" xfId="25617" xr:uid="{EAABFD57-0E21-463C-8A3A-49EA224CE07D}"/>
    <cellStyle name="Comma 10 2 2 2 3 2 7 2 2" xfId="55857" xr:uid="{30B109DF-0944-4610-B2EB-5C198A361645}"/>
    <cellStyle name="Comma 10 2 2 2 3 2 7 3" xfId="40737" xr:uid="{3724A96A-9DA1-40E6-B05E-9DE090E0F2FF}"/>
    <cellStyle name="Comma 10 2 2 2 3 2 8" xfId="16545" xr:uid="{FEABB328-8052-4899-9210-EA38B26CD84C}"/>
    <cellStyle name="Comma 10 2 2 2 3 2 8 2" xfId="46785" xr:uid="{6750DF12-83C2-4A51-A6F4-FF9E611D1F48}"/>
    <cellStyle name="Comma 10 2 2 2 3 2 9" xfId="31665" xr:uid="{BF1CE690-90EE-4AEB-9D80-9183F1028E6F}"/>
    <cellStyle name="Comma 10 2 2 2 3 3" xfId="2181" xr:uid="{B96B0990-D756-494D-B00C-BAD3916EA407}"/>
    <cellStyle name="Comma 10 2 2 2 3 3 2" xfId="11253" xr:uid="{D2DAA2F6-9265-4A50-A10C-6231C8308374}"/>
    <cellStyle name="Comma 10 2 2 2 3 3 2 2" xfId="26373" xr:uid="{8699A65B-5A94-4DC0-B27F-0C620E9A3E0C}"/>
    <cellStyle name="Comma 10 2 2 2 3 3 2 2 2" xfId="56613" xr:uid="{8D32BF44-6C7F-4E97-A26B-B61CC8A1E72A}"/>
    <cellStyle name="Comma 10 2 2 2 3 3 2 3" xfId="41493" xr:uid="{87995769-7F96-4EBC-86C6-0C178F3EF280}"/>
    <cellStyle name="Comma 10 2 2 2 3 3 3" xfId="17301" xr:uid="{20BC0439-59A8-4CEF-8CA0-3491975BBF7E}"/>
    <cellStyle name="Comma 10 2 2 2 3 3 3 2" xfId="47541" xr:uid="{C52BA175-BAD7-4F54-84BA-855491F40975}"/>
    <cellStyle name="Comma 10 2 2 2 3 3 4" xfId="32421" xr:uid="{3DD9FEC0-EDB8-4BAA-9FC2-33B99DCB24DD}"/>
    <cellStyle name="Comma 10 2 2 2 3 4" xfId="3693" xr:uid="{21FE2382-FEA1-4F54-9D93-6776FBE45538}"/>
    <cellStyle name="Comma 10 2 2 2 3 4 2" xfId="12765" xr:uid="{DE4C1441-01AC-486F-888F-26649D501EAB}"/>
    <cellStyle name="Comma 10 2 2 2 3 4 2 2" xfId="27885" xr:uid="{8FE0C36E-B2A8-44F8-9EA8-D1EFE1CF0727}"/>
    <cellStyle name="Comma 10 2 2 2 3 4 2 2 2" xfId="58125" xr:uid="{9689C0FB-3F2D-4DD6-8DC3-C286D63AAFE4}"/>
    <cellStyle name="Comma 10 2 2 2 3 4 2 3" xfId="43005" xr:uid="{53E181F8-7185-43E5-A274-E39C04E5C75F}"/>
    <cellStyle name="Comma 10 2 2 2 3 4 3" xfId="18813" xr:uid="{72BDA4AA-DC10-4B4B-B7F6-8082D07A235E}"/>
    <cellStyle name="Comma 10 2 2 2 3 4 3 2" xfId="49053" xr:uid="{743BBAF1-626E-4330-81AF-DE6D7B551592}"/>
    <cellStyle name="Comma 10 2 2 2 3 4 4" xfId="33933" xr:uid="{E85546C7-FE33-4E76-8CCD-70DADB3A91A5}"/>
    <cellStyle name="Comma 10 2 2 2 3 5" xfId="5205" xr:uid="{C64AE6F8-E9CF-462D-8F89-BDDFE6B3AA38}"/>
    <cellStyle name="Comma 10 2 2 2 3 5 2" xfId="14277" xr:uid="{87142E3B-CE13-4982-9570-52704FF60B81}"/>
    <cellStyle name="Comma 10 2 2 2 3 5 2 2" xfId="29397" xr:uid="{7E6E6955-0C9B-4FE2-82C6-B7FDC3D5BCC8}"/>
    <cellStyle name="Comma 10 2 2 2 3 5 2 2 2" xfId="59637" xr:uid="{224C2D56-28E0-48A1-B5CE-6C548A4B5803}"/>
    <cellStyle name="Comma 10 2 2 2 3 5 2 3" xfId="44517" xr:uid="{A0964DA7-62A8-499B-9D6E-C700EDBD083C}"/>
    <cellStyle name="Comma 10 2 2 2 3 5 3" xfId="20325" xr:uid="{FD9D466F-C4BA-4275-9834-9C6778758031}"/>
    <cellStyle name="Comma 10 2 2 2 3 5 3 2" xfId="50565" xr:uid="{4CACB50E-46D3-482E-AF64-3F5D6E21621B}"/>
    <cellStyle name="Comma 10 2 2 2 3 5 4" xfId="35445" xr:uid="{DC646BCC-B883-45FC-A979-3E29ABC41F77}"/>
    <cellStyle name="Comma 10 2 2 2 3 6" xfId="6717" xr:uid="{B2929A9B-FE76-4483-8AE1-B8F8B796BD75}"/>
    <cellStyle name="Comma 10 2 2 2 3 6 2" xfId="21837" xr:uid="{C3ECB134-01B1-46B9-B078-9E1A7F108F88}"/>
    <cellStyle name="Comma 10 2 2 2 3 6 2 2" xfId="52077" xr:uid="{9054ABBE-FE38-4C35-AC55-8229C85A6901}"/>
    <cellStyle name="Comma 10 2 2 2 3 6 3" xfId="36957" xr:uid="{B68C2DB6-5C31-4DD9-B7F5-DCA982949BC7}"/>
    <cellStyle name="Comma 10 2 2 2 3 7" xfId="8229" xr:uid="{288DE95E-7F85-4F89-9EFB-296FBFE71484}"/>
    <cellStyle name="Comma 10 2 2 2 3 7 2" xfId="23349" xr:uid="{C2B8BFCC-F90D-4868-B9EE-0745A4C91A8D}"/>
    <cellStyle name="Comma 10 2 2 2 3 7 2 2" xfId="53589" xr:uid="{5CCF748F-FD82-4301-A3EE-4B2FC18D2B99}"/>
    <cellStyle name="Comma 10 2 2 2 3 7 3" xfId="38469" xr:uid="{209C2EF5-FEF3-4E34-8205-D9364C8435BE}"/>
    <cellStyle name="Comma 10 2 2 2 3 8" xfId="9741" xr:uid="{C713B008-7ACA-421F-90C5-5AFAA29E8B1D}"/>
    <cellStyle name="Comma 10 2 2 2 3 8 2" xfId="24861" xr:uid="{59996271-2BE2-492C-B2F3-E9C16FE9EDB6}"/>
    <cellStyle name="Comma 10 2 2 2 3 8 2 2" xfId="55101" xr:uid="{0AB4EA6E-F14C-4BB3-BB4F-9171245C0334}"/>
    <cellStyle name="Comma 10 2 2 2 3 8 3" xfId="39981" xr:uid="{CCFFCAEB-384F-48C8-92D3-5E98B5D4A464}"/>
    <cellStyle name="Comma 10 2 2 2 3 9" xfId="15789" xr:uid="{5B8E0A84-DF10-4343-9AB9-86CA4AF8B0AA}"/>
    <cellStyle name="Comma 10 2 2 2 3 9 2" xfId="46029" xr:uid="{F2DA573E-61C2-47B0-9C12-07E25574FEA3}"/>
    <cellStyle name="Comma 10 2 2 2 4" xfId="921" xr:uid="{C5783809-7E9B-4680-8D0B-4A4E1DFEB5ED}"/>
    <cellStyle name="Comma 10 2 2 2 4 2" xfId="2433" xr:uid="{CCB003FD-47B3-4528-BABF-382DBB1AD84E}"/>
    <cellStyle name="Comma 10 2 2 2 4 2 2" xfId="11505" xr:uid="{AF9E42A1-4E2F-4C2D-9AD0-403D3A1E39A4}"/>
    <cellStyle name="Comma 10 2 2 2 4 2 2 2" xfId="26625" xr:uid="{292EE9B1-60B6-44C7-BF1A-A465BA37F11D}"/>
    <cellStyle name="Comma 10 2 2 2 4 2 2 2 2" xfId="56865" xr:uid="{441A3438-2400-4951-9474-054E42144B90}"/>
    <cellStyle name="Comma 10 2 2 2 4 2 2 3" xfId="41745" xr:uid="{E492395F-76E1-4987-A19F-CB3D7858B6D4}"/>
    <cellStyle name="Comma 10 2 2 2 4 2 3" xfId="17553" xr:uid="{62F4BAC1-F8E7-4269-923E-4F9DBFC3007B}"/>
    <cellStyle name="Comma 10 2 2 2 4 2 3 2" xfId="47793" xr:uid="{7C851F0A-8F65-4399-AC38-51F9B223CFBA}"/>
    <cellStyle name="Comma 10 2 2 2 4 2 4" xfId="32673" xr:uid="{6A858030-FD34-4264-9BD8-455CCAFD814A}"/>
    <cellStyle name="Comma 10 2 2 2 4 3" xfId="3945" xr:uid="{BAFA9D3A-EDA3-42F8-8C70-8D8312FA687A}"/>
    <cellStyle name="Comma 10 2 2 2 4 3 2" xfId="13017" xr:uid="{B569FEFE-B36F-4E77-92CD-C93702853A8E}"/>
    <cellStyle name="Comma 10 2 2 2 4 3 2 2" xfId="28137" xr:uid="{15A61844-5565-46EC-BF5A-30B7E2220677}"/>
    <cellStyle name="Comma 10 2 2 2 4 3 2 2 2" xfId="58377" xr:uid="{5394FDF5-BE81-4E4C-94C8-95C5CE4FB7D4}"/>
    <cellStyle name="Comma 10 2 2 2 4 3 2 3" xfId="43257" xr:uid="{72024676-D4AD-4B70-9E61-FFE717EAB324}"/>
    <cellStyle name="Comma 10 2 2 2 4 3 3" xfId="19065" xr:uid="{49C69FF5-DDB5-4887-9E7F-A6E928C75055}"/>
    <cellStyle name="Comma 10 2 2 2 4 3 3 2" xfId="49305" xr:uid="{3DB97F86-E5CC-400E-B862-3AD3DFC0DF6D}"/>
    <cellStyle name="Comma 10 2 2 2 4 3 4" xfId="34185" xr:uid="{8CE7C87E-F048-4F77-B0ED-3088F2F2CE3D}"/>
    <cellStyle name="Comma 10 2 2 2 4 4" xfId="5457" xr:uid="{A3DB7614-210D-41E8-9F9D-F21598BFDD6A}"/>
    <cellStyle name="Comma 10 2 2 2 4 4 2" xfId="14529" xr:uid="{C763F8ED-D486-4CDA-97DC-90DDBEA747D7}"/>
    <cellStyle name="Comma 10 2 2 2 4 4 2 2" xfId="29649" xr:uid="{B19141A5-F9D5-42E9-80D8-6A47AEB07586}"/>
    <cellStyle name="Comma 10 2 2 2 4 4 2 2 2" xfId="59889" xr:uid="{44F396F7-0958-4503-BB9C-33F9C2887765}"/>
    <cellStyle name="Comma 10 2 2 2 4 4 2 3" xfId="44769" xr:uid="{7D084C2E-4A8B-439E-AB88-E5BE2E6FB281}"/>
    <cellStyle name="Comma 10 2 2 2 4 4 3" xfId="20577" xr:uid="{5A08A046-F7D5-4198-B0EF-50C1A9CC6AB0}"/>
    <cellStyle name="Comma 10 2 2 2 4 4 3 2" xfId="50817" xr:uid="{02FA96EA-CFE8-46F1-BD1D-ACD6803F2839}"/>
    <cellStyle name="Comma 10 2 2 2 4 4 4" xfId="35697" xr:uid="{80575171-BEA8-4999-8F62-ECE3F97BBEAC}"/>
    <cellStyle name="Comma 10 2 2 2 4 5" xfId="6969" xr:uid="{1D2E44CC-8E1D-4AEE-9E33-FCEA80D6C820}"/>
    <cellStyle name="Comma 10 2 2 2 4 5 2" xfId="22089" xr:uid="{CD4B254C-98FC-4538-A126-A00A4CE16EF5}"/>
    <cellStyle name="Comma 10 2 2 2 4 5 2 2" xfId="52329" xr:uid="{48457991-43EF-4AF8-A0AA-F1CD99E3CAE4}"/>
    <cellStyle name="Comma 10 2 2 2 4 5 3" xfId="37209" xr:uid="{2B839229-F934-435E-AFA1-62CFAF38F521}"/>
    <cellStyle name="Comma 10 2 2 2 4 6" xfId="8481" xr:uid="{52AEACE0-7FE2-4B00-BF74-AAFD68B69D9F}"/>
    <cellStyle name="Comma 10 2 2 2 4 6 2" xfId="23601" xr:uid="{7E095CC8-487F-4AB5-948C-6D43CCD437E6}"/>
    <cellStyle name="Comma 10 2 2 2 4 6 2 2" xfId="53841" xr:uid="{D17367D0-8805-4238-B9BF-A9546B0EC863}"/>
    <cellStyle name="Comma 10 2 2 2 4 6 3" xfId="38721" xr:uid="{46BA0FCE-65A5-4860-BBE5-B0C6A11EDD1C}"/>
    <cellStyle name="Comma 10 2 2 2 4 7" xfId="9993" xr:uid="{80360068-C414-4EEE-BD35-70AC1268BFA1}"/>
    <cellStyle name="Comma 10 2 2 2 4 7 2" xfId="25113" xr:uid="{7925BD6C-F67F-447B-87C3-304B27EB3462}"/>
    <cellStyle name="Comma 10 2 2 2 4 7 2 2" xfId="55353" xr:uid="{0C7C4205-5548-4BED-A6D8-B400236DBBAF}"/>
    <cellStyle name="Comma 10 2 2 2 4 7 3" xfId="40233" xr:uid="{1B0BB313-1974-4CF2-8D9C-57EE42EECE76}"/>
    <cellStyle name="Comma 10 2 2 2 4 8" xfId="16041" xr:uid="{601FF6CB-F8BB-46A8-8E86-3D59649807E0}"/>
    <cellStyle name="Comma 10 2 2 2 4 8 2" xfId="46281" xr:uid="{7619142A-FCB7-40ED-907D-75AE6BB2BA53}"/>
    <cellStyle name="Comma 10 2 2 2 4 9" xfId="31161" xr:uid="{2CED4391-87B1-438F-AD3C-9937DFE7C387}"/>
    <cellStyle name="Comma 10 2 2 2 5" xfId="1677" xr:uid="{09AFB0C6-8F7D-4407-87F4-1DBD68D66A88}"/>
    <cellStyle name="Comma 10 2 2 2 5 2" xfId="10749" xr:uid="{C34E1B5D-A1D9-4489-B882-FEEC01A17CB0}"/>
    <cellStyle name="Comma 10 2 2 2 5 2 2" xfId="25869" xr:uid="{0877755B-1716-40C6-9140-4B4D6BEA1C27}"/>
    <cellStyle name="Comma 10 2 2 2 5 2 2 2" xfId="56109" xr:uid="{6027D74A-F9E8-4180-9524-98B3968F65F4}"/>
    <cellStyle name="Comma 10 2 2 2 5 2 3" xfId="40989" xr:uid="{33D84F1E-E6FF-4E5D-BD60-804CCF3AE201}"/>
    <cellStyle name="Comma 10 2 2 2 5 3" xfId="16797" xr:uid="{AD33F046-69F7-4BA3-8A5C-55467CF5D12E}"/>
    <cellStyle name="Comma 10 2 2 2 5 3 2" xfId="47037" xr:uid="{8AA1BA5F-DEB9-4235-84A6-106E8C617B85}"/>
    <cellStyle name="Comma 10 2 2 2 5 4" xfId="31917" xr:uid="{E5434CC5-59E8-4659-BF13-5A5409AC624D}"/>
    <cellStyle name="Comma 10 2 2 2 6" xfId="3189" xr:uid="{381C409B-88FE-47B9-B8B8-45324B90D2B9}"/>
    <cellStyle name="Comma 10 2 2 2 6 2" xfId="12261" xr:uid="{305C6424-809D-4579-B2BE-5C1FFD476E30}"/>
    <cellStyle name="Comma 10 2 2 2 6 2 2" xfId="27381" xr:uid="{F381CBEF-142E-4EEA-B4F8-1EB3891EAD36}"/>
    <cellStyle name="Comma 10 2 2 2 6 2 2 2" xfId="57621" xr:uid="{82A4D7E7-9132-4388-BE2F-BE25485CB948}"/>
    <cellStyle name="Comma 10 2 2 2 6 2 3" xfId="42501" xr:uid="{7B2A26C8-EA65-4F18-AEFE-F14232C94E38}"/>
    <cellStyle name="Comma 10 2 2 2 6 3" xfId="18309" xr:uid="{83F3467E-C4FD-4717-9275-8BCFC263D66B}"/>
    <cellStyle name="Comma 10 2 2 2 6 3 2" xfId="48549" xr:uid="{DDA503E4-C161-4273-8560-7A2CCFA3523E}"/>
    <cellStyle name="Comma 10 2 2 2 6 4" xfId="33429" xr:uid="{799A5AFA-EA44-4F10-9541-4891E9830A1E}"/>
    <cellStyle name="Comma 10 2 2 2 7" xfId="4701" xr:uid="{C9D7C8F8-C580-4A1A-89E2-55D826511958}"/>
    <cellStyle name="Comma 10 2 2 2 7 2" xfId="13773" xr:uid="{22941798-8487-4594-87EA-78BAA8947831}"/>
    <cellStyle name="Comma 10 2 2 2 7 2 2" xfId="28893" xr:uid="{1CDD8C92-1BAB-46DE-B6CA-B3013E5A68DA}"/>
    <cellStyle name="Comma 10 2 2 2 7 2 2 2" xfId="59133" xr:uid="{0590EA90-957A-4D5F-9764-24D5B8841B7B}"/>
    <cellStyle name="Comma 10 2 2 2 7 2 3" xfId="44013" xr:uid="{1F891E6F-F6A3-4508-BB55-8BA9F435B6E0}"/>
    <cellStyle name="Comma 10 2 2 2 7 3" xfId="19821" xr:uid="{A612D6F5-699A-4A47-8E50-87EA665C7E37}"/>
    <cellStyle name="Comma 10 2 2 2 7 3 2" xfId="50061" xr:uid="{1689EDF7-2C8F-42BD-921A-7FF2277C3549}"/>
    <cellStyle name="Comma 10 2 2 2 7 4" xfId="34941" xr:uid="{79FE27C8-2E00-4A01-901C-92720DEFC00A}"/>
    <cellStyle name="Comma 10 2 2 2 8" xfId="6213" xr:uid="{298BAA1A-B968-4763-8724-4108B595C68C}"/>
    <cellStyle name="Comma 10 2 2 2 8 2" xfId="21333" xr:uid="{FEF188C4-3CA4-440D-8885-8E0710DA8CE2}"/>
    <cellStyle name="Comma 10 2 2 2 8 2 2" xfId="51573" xr:uid="{91DB23B3-AEE8-4046-AEF1-C0C9E377C1B7}"/>
    <cellStyle name="Comma 10 2 2 2 8 3" xfId="36453" xr:uid="{B18725CE-E0BB-46BB-825D-BD80C972D22C}"/>
    <cellStyle name="Comma 10 2 2 2 9" xfId="7725" xr:uid="{79B0AB36-DE8E-4C2F-9FAB-56801D015B21}"/>
    <cellStyle name="Comma 10 2 2 2 9 2" xfId="22845" xr:uid="{AD819639-A8F8-42EF-956F-CBF163E257F0}"/>
    <cellStyle name="Comma 10 2 2 2 9 2 2" xfId="53085" xr:uid="{7E6BF878-8909-4C17-818C-F45B12DE4E7F}"/>
    <cellStyle name="Comma 10 2 2 2 9 3" xfId="37965" xr:uid="{605429B7-1A4B-4585-9466-0CBF32F18937}"/>
    <cellStyle name="Comma 10 2 2 3" xfId="249" xr:uid="{6AC15FDD-851B-4B11-866A-4DD0568BFC02}"/>
    <cellStyle name="Comma 10 2 2 3 10" xfId="9321" xr:uid="{A5A52F89-4749-4DCD-AA56-280AE4FF0170}"/>
    <cellStyle name="Comma 10 2 2 3 10 2" xfId="24441" xr:uid="{B9302338-E722-4DE8-97DD-F5EFFDF66DAE}"/>
    <cellStyle name="Comma 10 2 2 3 10 2 2" xfId="54681" xr:uid="{8868EC8B-F154-4F51-A07D-818E3C364D3D}"/>
    <cellStyle name="Comma 10 2 2 3 10 3" xfId="39561" xr:uid="{02532662-26A8-448B-907A-E6F05A8F17D5}"/>
    <cellStyle name="Comma 10 2 2 3 11" xfId="15369" xr:uid="{A466BDAF-866D-49D9-97CF-9C26C855C85D}"/>
    <cellStyle name="Comma 10 2 2 3 11 2" xfId="45609" xr:uid="{5A71FB19-7CB7-4549-AB79-61A68C83A8CC}"/>
    <cellStyle name="Comma 10 2 2 3 12" xfId="30489" xr:uid="{9010B879-711B-416F-B64B-B35FB4D3BBE3}"/>
    <cellStyle name="Comma 10 2 2 3 2" xfId="501" xr:uid="{425B1C19-78D4-4030-BB92-6BF64B3B551B}"/>
    <cellStyle name="Comma 10 2 2 3 2 10" xfId="30741" xr:uid="{E2ECC108-51C0-4F53-8617-321B38757502}"/>
    <cellStyle name="Comma 10 2 2 3 2 2" xfId="1257" xr:uid="{F095AF96-BFB0-4202-8FF6-CFE77F342912}"/>
    <cellStyle name="Comma 10 2 2 3 2 2 2" xfId="2769" xr:uid="{F06749F4-E660-4804-89A5-4F4D66660F97}"/>
    <cellStyle name="Comma 10 2 2 3 2 2 2 2" xfId="11841" xr:uid="{22A88ACC-7C97-4EF5-BC4E-BC65A303F19E}"/>
    <cellStyle name="Comma 10 2 2 3 2 2 2 2 2" xfId="26961" xr:uid="{338F4360-E7A7-46B1-BB97-E023AE4B92DB}"/>
    <cellStyle name="Comma 10 2 2 3 2 2 2 2 2 2" xfId="57201" xr:uid="{F9EE817C-8F22-4197-82D2-E7E2A5CF6E29}"/>
    <cellStyle name="Comma 10 2 2 3 2 2 2 2 3" xfId="42081" xr:uid="{871BE866-EE5E-47BA-8FFF-1F129D7FB332}"/>
    <cellStyle name="Comma 10 2 2 3 2 2 2 3" xfId="17889" xr:uid="{8F75B599-90D4-444C-93B2-AEE5E823FDD8}"/>
    <cellStyle name="Comma 10 2 2 3 2 2 2 3 2" xfId="48129" xr:uid="{7E7ABFB1-6227-4A96-BDAD-288EAB51EDD8}"/>
    <cellStyle name="Comma 10 2 2 3 2 2 2 4" xfId="33009" xr:uid="{02C012EB-0560-480E-A9AF-483D2AEF2CA6}"/>
    <cellStyle name="Comma 10 2 2 3 2 2 3" xfId="4281" xr:uid="{0820F501-EE14-4462-814E-A1C651155CBF}"/>
    <cellStyle name="Comma 10 2 2 3 2 2 3 2" xfId="13353" xr:uid="{4D9BF014-B035-4206-A255-97B191FE32CE}"/>
    <cellStyle name="Comma 10 2 2 3 2 2 3 2 2" xfId="28473" xr:uid="{0B854B9A-5D78-4CE0-9A1D-AED57B0C70D0}"/>
    <cellStyle name="Comma 10 2 2 3 2 2 3 2 2 2" xfId="58713" xr:uid="{1B77F607-1172-4D32-AFE7-4CA3D9EB3669}"/>
    <cellStyle name="Comma 10 2 2 3 2 2 3 2 3" xfId="43593" xr:uid="{9747331C-1817-4B8D-9CA0-337F72F0B483}"/>
    <cellStyle name="Comma 10 2 2 3 2 2 3 3" xfId="19401" xr:uid="{FE850B32-6812-46BD-9CAE-503C31F02DDF}"/>
    <cellStyle name="Comma 10 2 2 3 2 2 3 3 2" xfId="49641" xr:uid="{1833C6A6-589F-4E4A-A4D8-E86E02E051FF}"/>
    <cellStyle name="Comma 10 2 2 3 2 2 3 4" xfId="34521" xr:uid="{D18E4AA8-A7B1-46B9-9DE2-B4E6264200EC}"/>
    <cellStyle name="Comma 10 2 2 3 2 2 4" xfId="5793" xr:uid="{AFD39085-9D5C-4460-8DD3-C42EDD5DB646}"/>
    <cellStyle name="Comma 10 2 2 3 2 2 4 2" xfId="14865" xr:uid="{B7B1059F-A85A-4021-9901-13F55A8A1026}"/>
    <cellStyle name="Comma 10 2 2 3 2 2 4 2 2" xfId="29985" xr:uid="{FD3A43B8-FC4E-409C-8632-B7FEEA20D188}"/>
    <cellStyle name="Comma 10 2 2 3 2 2 4 2 2 2" xfId="60225" xr:uid="{99279EAC-3318-4C2E-BC97-17904488B281}"/>
    <cellStyle name="Comma 10 2 2 3 2 2 4 2 3" xfId="45105" xr:uid="{84906C52-680C-4B72-AB80-C597643AEBE7}"/>
    <cellStyle name="Comma 10 2 2 3 2 2 4 3" xfId="20913" xr:uid="{5718750E-CC26-4BFC-92B6-A3A7CE9EC574}"/>
    <cellStyle name="Comma 10 2 2 3 2 2 4 3 2" xfId="51153" xr:uid="{90FC59CE-CC12-43B8-95CF-59414712D0A7}"/>
    <cellStyle name="Comma 10 2 2 3 2 2 4 4" xfId="36033" xr:uid="{984855E0-9361-479D-A27B-F5145344792A}"/>
    <cellStyle name="Comma 10 2 2 3 2 2 5" xfId="7305" xr:uid="{B6793F4C-C4D9-40EC-801B-B18BF20BBB83}"/>
    <cellStyle name="Comma 10 2 2 3 2 2 5 2" xfId="22425" xr:uid="{5AA6DF17-D8EA-43C5-8B44-1CB24E27BE1B}"/>
    <cellStyle name="Comma 10 2 2 3 2 2 5 2 2" xfId="52665" xr:uid="{5A31EA26-AD84-445D-9CDA-8EF1A2711753}"/>
    <cellStyle name="Comma 10 2 2 3 2 2 5 3" xfId="37545" xr:uid="{77E898A2-D14E-4588-90E7-FCF41A047EA6}"/>
    <cellStyle name="Comma 10 2 2 3 2 2 6" xfId="8817" xr:uid="{37A72AF1-B66D-4AB6-A686-E2AA2A7270D5}"/>
    <cellStyle name="Comma 10 2 2 3 2 2 6 2" xfId="23937" xr:uid="{D587B369-B540-4E51-BC13-22649B2E1484}"/>
    <cellStyle name="Comma 10 2 2 3 2 2 6 2 2" xfId="54177" xr:uid="{8A30F893-B303-4D5B-A804-A3C34469F37A}"/>
    <cellStyle name="Comma 10 2 2 3 2 2 6 3" xfId="39057" xr:uid="{167282AA-38AC-4F3D-B6D6-98DD2311CDE5}"/>
    <cellStyle name="Comma 10 2 2 3 2 2 7" xfId="10329" xr:uid="{288EE0DE-FF62-4BC5-94D1-5394B7DC7EAF}"/>
    <cellStyle name="Comma 10 2 2 3 2 2 7 2" xfId="25449" xr:uid="{AA9FFDA2-97F8-4936-9707-A67E1F5B3300}"/>
    <cellStyle name="Comma 10 2 2 3 2 2 7 2 2" xfId="55689" xr:uid="{F080BC87-2723-4209-B1E8-B3326EF573C8}"/>
    <cellStyle name="Comma 10 2 2 3 2 2 7 3" xfId="40569" xr:uid="{E2A32A90-8816-4EB5-9694-18C542DB72B7}"/>
    <cellStyle name="Comma 10 2 2 3 2 2 8" xfId="16377" xr:uid="{3CC5A792-20B1-4564-94A7-31C841227DCD}"/>
    <cellStyle name="Comma 10 2 2 3 2 2 8 2" xfId="46617" xr:uid="{7BDEFF29-82A1-44B5-B37D-2E700D954E22}"/>
    <cellStyle name="Comma 10 2 2 3 2 2 9" xfId="31497" xr:uid="{5CA9D229-4729-461B-9978-23CDDBA695D4}"/>
    <cellStyle name="Comma 10 2 2 3 2 3" xfId="2013" xr:uid="{96A2C048-DC92-48C1-B9CD-722D56650B0E}"/>
    <cellStyle name="Comma 10 2 2 3 2 3 2" xfId="11085" xr:uid="{4E9E7007-7587-4DE5-ACA6-ED50DA1A5724}"/>
    <cellStyle name="Comma 10 2 2 3 2 3 2 2" xfId="26205" xr:uid="{D3212326-544B-414E-B869-4D9BB48F6C97}"/>
    <cellStyle name="Comma 10 2 2 3 2 3 2 2 2" xfId="56445" xr:uid="{D98023B5-9244-4090-B52C-74CCE31F0D56}"/>
    <cellStyle name="Comma 10 2 2 3 2 3 2 3" xfId="41325" xr:uid="{0D078F55-72D4-40EA-BABF-57B3BD252876}"/>
    <cellStyle name="Comma 10 2 2 3 2 3 3" xfId="17133" xr:uid="{42E5BEFB-A13F-4CFA-84EB-4ADD60D62487}"/>
    <cellStyle name="Comma 10 2 2 3 2 3 3 2" xfId="47373" xr:uid="{9940E6A5-65E6-453F-848B-8A9912198ED3}"/>
    <cellStyle name="Comma 10 2 2 3 2 3 4" xfId="32253" xr:uid="{6C35E613-4255-4860-AFD3-F3F68FFF6314}"/>
    <cellStyle name="Comma 10 2 2 3 2 4" xfId="3525" xr:uid="{803B60AE-9A6D-4E32-ADD8-58556F1D49D0}"/>
    <cellStyle name="Comma 10 2 2 3 2 4 2" xfId="12597" xr:uid="{22E2E8E7-A4CF-41D5-AA14-DDEBA3021E02}"/>
    <cellStyle name="Comma 10 2 2 3 2 4 2 2" xfId="27717" xr:uid="{912A7126-9BE9-4EB7-B5F0-C13B6DDAF9D7}"/>
    <cellStyle name="Comma 10 2 2 3 2 4 2 2 2" xfId="57957" xr:uid="{2BAEAE89-4A23-486E-A2B4-B48A46AE4CE7}"/>
    <cellStyle name="Comma 10 2 2 3 2 4 2 3" xfId="42837" xr:uid="{CE9EB5F5-ACC1-46EC-A7B7-696D634E6FC2}"/>
    <cellStyle name="Comma 10 2 2 3 2 4 3" xfId="18645" xr:uid="{784F91D0-EE5F-4005-A012-0AB44FC1546A}"/>
    <cellStyle name="Comma 10 2 2 3 2 4 3 2" xfId="48885" xr:uid="{02FBDDA1-49F9-4EFA-B9C1-38046221E79D}"/>
    <cellStyle name="Comma 10 2 2 3 2 4 4" xfId="33765" xr:uid="{78767D92-3D1D-4983-BA07-EA040CD3E0DC}"/>
    <cellStyle name="Comma 10 2 2 3 2 5" xfId="5037" xr:uid="{A0C9A59B-41F4-40D1-92C7-FADE99137DA8}"/>
    <cellStyle name="Comma 10 2 2 3 2 5 2" xfId="14109" xr:uid="{9ACD70AA-70F5-4C37-9969-EF563955CF00}"/>
    <cellStyle name="Comma 10 2 2 3 2 5 2 2" xfId="29229" xr:uid="{D69A9AB5-2202-4E1F-B1EE-FCC59F061B74}"/>
    <cellStyle name="Comma 10 2 2 3 2 5 2 2 2" xfId="59469" xr:uid="{98D95717-7970-4739-8E16-24C83C948384}"/>
    <cellStyle name="Comma 10 2 2 3 2 5 2 3" xfId="44349" xr:uid="{E20894AF-5F02-4231-A481-1302A53B18A6}"/>
    <cellStyle name="Comma 10 2 2 3 2 5 3" xfId="20157" xr:uid="{B6F1E87A-710D-431D-9F50-327A8ED3DB21}"/>
    <cellStyle name="Comma 10 2 2 3 2 5 3 2" xfId="50397" xr:uid="{1C5171AE-94C4-4FDA-A36B-600A0A6A09EB}"/>
    <cellStyle name="Comma 10 2 2 3 2 5 4" xfId="35277" xr:uid="{9DDEF0F8-3BA1-4284-88A6-76828DC43280}"/>
    <cellStyle name="Comma 10 2 2 3 2 6" xfId="6549" xr:uid="{06542022-5AE5-438C-B991-356528C61A56}"/>
    <cellStyle name="Comma 10 2 2 3 2 6 2" xfId="21669" xr:uid="{620E2056-6839-42D1-A010-8F8E85DC7BD9}"/>
    <cellStyle name="Comma 10 2 2 3 2 6 2 2" xfId="51909" xr:uid="{B986F46E-43A0-43C3-87D8-0276B18CB674}"/>
    <cellStyle name="Comma 10 2 2 3 2 6 3" xfId="36789" xr:uid="{B1828012-3266-4D07-91C5-4F2AAD04A783}"/>
    <cellStyle name="Comma 10 2 2 3 2 7" xfId="8061" xr:uid="{02E85307-DCBF-4D06-B241-F109EE6C3A99}"/>
    <cellStyle name="Comma 10 2 2 3 2 7 2" xfId="23181" xr:uid="{5E7AF05E-5A9F-41D3-B1E8-A1258220280D}"/>
    <cellStyle name="Comma 10 2 2 3 2 7 2 2" xfId="53421" xr:uid="{D5884A3F-F562-44A2-B68E-8A1744A3F167}"/>
    <cellStyle name="Comma 10 2 2 3 2 7 3" xfId="38301" xr:uid="{666D40B7-87C8-4ACA-95EF-0800EC3111FB}"/>
    <cellStyle name="Comma 10 2 2 3 2 8" xfId="9573" xr:uid="{7DE0ED6C-2D1F-45C0-8010-709892CDA03B}"/>
    <cellStyle name="Comma 10 2 2 3 2 8 2" xfId="24693" xr:uid="{EA0456D0-94D1-4D65-BDFB-260F5B5AA942}"/>
    <cellStyle name="Comma 10 2 2 3 2 8 2 2" xfId="54933" xr:uid="{13A5F42B-4C6B-452F-BCF0-19F7C897B1D7}"/>
    <cellStyle name="Comma 10 2 2 3 2 8 3" xfId="39813" xr:uid="{40DABF2D-C67C-4582-BFA7-C3C7673443BF}"/>
    <cellStyle name="Comma 10 2 2 3 2 9" xfId="15621" xr:uid="{6BBCDF01-7458-4DE6-BCB3-AB26406ABE22}"/>
    <cellStyle name="Comma 10 2 2 3 2 9 2" xfId="45861" xr:uid="{D8AEEDA4-1E0D-49EE-A8BF-0E667FC5F633}"/>
    <cellStyle name="Comma 10 2 2 3 3" xfId="753" xr:uid="{0AADEF6E-65FA-444C-A9D2-865B8D9F9F23}"/>
    <cellStyle name="Comma 10 2 2 3 3 10" xfId="30993" xr:uid="{B8337454-7818-4C4B-8CCB-969D560BB9AE}"/>
    <cellStyle name="Comma 10 2 2 3 3 2" xfId="1509" xr:uid="{257EC4A9-4802-4520-A4E1-56F0872442D5}"/>
    <cellStyle name="Comma 10 2 2 3 3 2 2" xfId="3021" xr:uid="{D76D0578-BFDF-417D-A18B-985B175EC263}"/>
    <cellStyle name="Comma 10 2 2 3 3 2 2 2" xfId="12093" xr:uid="{F396662C-4490-464D-A0A8-A34BE3F8CB00}"/>
    <cellStyle name="Comma 10 2 2 3 3 2 2 2 2" xfId="27213" xr:uid="{8702C581-42BE-4E92-A0CA-DC1D378DB311}"/>
    <cellStyle name="Comma 10 2 2 3 3 2 2 2 2 2" xfId="57453" xr:uid="{FB480CAE-430A-40F0-AF13-E1AD6D2D4E57}"/>
    <cellStyle name="Comma 10 2 2 3 3 2 2 2 3" xfId="42333" xr:uid="{37FDDC7F-D915-40F6-AE9C-A71E3A9E9706}"/>
    <cellStyle name="Comma 10 2 2 3 3 2 2 3" xfId="18141" xr:uid="{F0FFB8C9-6FBC-49F6-B257-D6B436EDC682}"/>
    <cellStyle name="Comma 10 2 2 3 3 2 2 3 2" xfId="48381" xr:uid="{1B0EE869-8ED7-4D61-A380-00207613A0ED}"/>
    <cellStyle name="Comma 10 2 2 3 3 2 2 4" xfId="33261" xr:uid="{AB99ED2F-747A-4AF1-803A-E29FB2A692D7}"/>
    <cellStyle name="Comma 10 2 2 3 3 2 3" xfId="4533" xr:uid="{1F1C3C47-539C-44D2-BA6D-A87A28396B51}"/>
    <cellStyle name="Comma 10 2 2 3 3 2 3 2" xfId="13605" xr:uid="{C7D4395A-8294-46AF-8AEB-0A84287A45E5}"/>
    <cellStyle name="Comma 10 2 2 3 3 2 3 2 2" xfId="28725" xr:uid="{16D918A8-99A9-40A8-8334-11E9F9C1F637}"/>
    <cellStyle name="Comma 10 2 2 3 3 2 3 2 2 2" xfId="58965" xr:uid="{0F2783C2-946F-4DEC-A7C6-4B113DC77AF2}"/>
    <cellStyle name="Comma 10 2 2 3 3 2 3 2 3" xfId="43845" xr:uid="{E1919670-5DC6-49D0-936E-8ED2539102DB}"/>
    <cellStyle name="Comma 10 2 2 3 3 2 3 3" xfId="19653" xr:uid="{C5DF58D7-BECB-4970-868E-9724FC32FA35}"/>
    <cellStyle name="Comma 10 2 2 3 3 2 3 3 2" xfId="49893" xr:uid="{5F4A8615-2A46-4AC1-9D1C-D6A91AAA17FF}"/>
    <cellStyle name="Comma 10 2 2 3 3 2 3 4" xfId="34773" xr:uid="{EC4EB340-0AC5-4511-8AA4-49A16E402FBD}"/>
    <cellStyle name="Comma 10 2 2 3 3 2 4" xfId="6045" xr:uid="{C28E16D9-FB5A-4669-B3EB-459729FCCF0F}"/>
    <cellStyle name="Comma 10 2 2 3 3 2 4 2" xfId="15117" xr:uid="{BBC45AE8-F13C-4E5C-8905-952E8133573E}"/>
    <cellStyle name="Comma 10 2 2 3 3 2 4 2 2" xfId="30237" xr:uid="{D6FFDBAC-DFF8-449B-9E6E-F60EC22B7306}"/>
    <cellStyle name="Comma 10 2 2 3 3 2 4 2 2 2" xfId="60477" xr:uid="{D8AB63E9-79E7-4FF0-B3E3-7C0D4EF27ED8}"/>
    <cellStyle name="Comma 10 2 2 3 3 2 4 2 3" xfId="45357" xr:uid="{C1B09355-2FCA-4045-9E6A-46A0A1CC7C58}"/>
    <cellStyle name="Comma 10 2 2 3 3 2 4 3" xfId="21165" xr:uid="{3C86E8CB-4743-4F1E-A2D0-F7EE357E10A3}"/>
    <cellStyle name="Comma 10 2 2 3 3 2 4 3 2" xfId="51405" xr:uid="{23C9E29C-1D85-4122-8A7E-571DF6DCDBD1}"/>
    <cellStyle name="Comma 10 2 2 3 3 2 4 4" xfId="36285" xr:uid="{96BAA1FF-A49D-45A9-AFE9-BE473499F9B2}"/>
    <cellStyle name="Comma 10 2 2 3 3 2 5" xfId="7557" xr:uid="{DF4C6396-99F4-4B12-B0BA-7254024F2B9C}"/>
    <cellStyle name="Comma 10 2 2 3 3 2 5 2" xfId="22677" xr:uid="{D974A8F3-FCED-4DA5-A523-BBBDFE78F19E}"/>
    <cellStyle name="Comma 10 2 2 3 3 2 5 2 2" xfId="52917" xr:uid="{B6D72D65-F471-4600-8619-F2953FD14A0D}"/>
    <cellStyle name="Comma 10 2 2 3 3 2 5 3" xfId="37797" xr:uid="{BB28B1A7-4BF8-4E3A-9B95-4C8BBEF557B9}"/>
    <cellStyle name="Comma 10 2 2 3 3 2 6" xfId="9069" xr:uid="{71AFE62E-18EF-410F-A8FB-7A9521D8FD0D}"/>
    <cellStyle name="Comma 10 2 2 3 3 2 6 2" xfId="24189" xr:uid="{488CF447-65E0-47E3-AAF1-6AA42A1C1005}"/>
    <cellStyle name="Comma 10 2 2 3 3 2 6 2 2" xfId="54429" xr:uid="{223A8A66-EC8C-4E9F-A327-861EC3188126}"/>
    <cellStyle name="Comma 10 2 2 3 3 2 6 3" xfId="39309" xr:uid="{D04C9E92-F0CC-41BA-99AC-58B90B1224D5}"/>
    <cellStyle name="Comma 10 2 2 3 3 2 7" xfId="10581" xr:uid="{CD65526E-ED1B-4130-8661-6CC973538CBB}"/>
    <cellStyle name="Comma 10 2 2 3 3 2 7 2" xfId="25701" xr:uid="{0844D7C6-76ED-4A74-8BA1-E013DE1E2862}"/>
    <cellStyle name="Comma 10 2 2 3 3 2 7 2 2" xfId="55941" xr:uid="{1C55DAA7-9636-48E1-AF45-CD18C659F93D}"/>
    <cellStyle name="Comma 10 2 2 3 3 2 7 3" xfId="40821" xr:uid="{46B42781-EBFA-496E-BCAB-37D83B29A34B}"/>
    <cellStyle name="Comma 10 2 2 3 3 2 8" xfId="16629" xr:uid="{EBA9DC84-63EF-436E-80BE-2CA16CE45CF4}"/>
    <cellStyle name="Comma 10 2 2 3 3 2 8 2" xfId="46869" xr:uid="{3A949631-8258-469B-BF96-3BBB8A99B274}"/>
    <cellStyle name="Comma 10 2 2 3 3 2 9" xfId="31749" xr:uid="{427B79EF-8D51-4410-8D6C-B692656BD1C2}"/>
    <cellStyle name="Comma 10 2 2 3 3 3" xfId="2265" xr:uid="{C4F75888-F0E7-4A22-98A0-040570046F9D}"/>
    <cellStyle name="Comma 10 2 2 3 3 3 2" xfId="11337" xr:uid="{854D5093-E5B1-4BF1-A022-61426D1A4453}"/>
    <cellStyle name="Comma 10 2 2 3 3 3 2 2" xfId="26457" xr:uid="{742ABF42-B0BF-4A33-AEC4-24117D113737}"/>
    <cellStyle name="Comma 10 2 2 3 3 3 2 2 2" xfId="56697" xr:uid="{D2455713-7CF7-4382-9142-7240A4C7A9AE}"/>
    <cellStyle name="Comma 10 2 2 3 3 3 2 3" xfId="41577" xr:uid="{A1A7A6C3-E26B-4713-B4BB-8D8F391FD8C7}"/>
    <cellStyle name="Comma 10 2 2 3 3 3 3" xfId="17385" xr:uid="{296F53CE-CABA-481F-9642-562B56D61584}"/>
    <cellStyle name="Comma 10 2 2 3 3 3 3 2" xfId="47625" xr:uid="{0D12DD68-FDD7-4506-B29F-9E2B862D1950}"/>
    <cellStyle name="Comma 10 2 2 3 3 3 4" xfId="32505" xr:uid="{EE6F80B5-D7BB-4D2B-8787-8F2DB18BE423}"/>
    <cellStyle name="Comma 10 2 2 3 3 4" xfId="3777" xr:uid="{8EF589C1-0F07-4417-8F25-1E29854D5821}"/>
    <cellStyle name="Comma 10 2 2 3 3 4 2" xfId="12849" xr:uid="{CC30CF51-B773-4913-AC68-09D9793149C0}"/>
    <cellStyle name="Comma 10 2 2 3 3 4 2 2" xfId="27969" xr:uid="{77BF6B64-B342-4ADE-9CFC-0EEFE9D1E84B}"/>
    <cellStyle name="Comma 10 2 2 3 3 4 2 2 2" xfId="58209" xr:uid="{E45D4963-A58D-4FF4-9720-0BF7A1B71F58}"/>
    <cellStyle name="Comma 10 2 2 3 3 4 2 3" xfId="43089" xr:uid="{A4616915-8EF6-43DB-89BC-FCEFA485A732}"/>
    <cellStyle name="Comma 10 2 2 3 3 4 3" xfId="18897" xr:uid="{6DF5174E-18E3-4F09-BA78-FCA3604B1820}"/>
    <cellStyle name="Comma 10 2 2 3 3 4 3 2" xfId="49137" xr:uid="{F76917CC-52B2-4E2D-B412-575EB9234B47}"/>
    <cellStyle name="Comma 10 2 2 3 3 4 4" xfId="34017" xr:uid="{EB8C3D28-4716-4B3E-8EC4-EB0F7CA0BC40}"/>
    <cellStyle name="Comma 10 2 2 3 3 5" xfId="5289" xr:uid="{4AA4D02A-C96F-4A78-A186-80C466A64754}"/>
    <cellStyle name="Comma 10 2 2 3 3 5 2" xfId="14361" xr:uid="{D914F1D1-BDA8-4D90-9FB1-A0F2A3CB83D2}"/>
    <cellStyle name="Comma 10 2 2 3 3 5 2 2" xfId="29481" xr:uid="{93B2FE81-8EE9-4989-AF50-7537DD076A59}"/>
    <cellStyle name="Comma 10 2 2 3 3 5 2 2 2" xfId="59721" xr:uid="{E41EC298-11A2-40DC-993F-769235F7F31D}"/>
    <cellStyle name="Comma 10 2 2 3 3 5 2 3" xfId="44601" xr:uid="{3C991A4C-9E20-4B7D-8F3D-0414FA24588C}"/>
    <cellStyle name="Comma 10 2 2 3 3 5 3" xfId="20409" xr:uid="{CFF60374-C321-44B9-9BFC-ED8B1DF4A720}"/>
    <cellStyle name="Comma 10 2 2 3 3 5 3 2" xfId="50649" xr:uid="{98406E40-072D-44AF-9725-C08859B34CFF}"/>
    <cellStyle name="Comma 10 2 2 3 3 5 4" xfId="35529" xr:uid="{03AEFB93-7DB9-4FE0-AF2E-AD1CF09CA731}"/>
    <cellStyle name="Comma 10 2 2 3 3 6" xfId="6801" xr:uid="{A0FB4F87-9FD4-4283-9962-F2223DBC3886}"/>
    <cellStyle name="Comma 10 2 2 3 3 6 2" xfId="21921" xr:uid="{52B43157-B5E5-4CD0-9B4F-C1F06A98100C}"/>
    <cellStyle name="Comma 10 2 2 3 3 6 2 2" xfId="52161" xr:uid="{F4F7DD01-2C17-4196-B8C9-BEAB19445465}"/>
    <cellStyle name="Comma 10 2 2 3 3 6 3" xfId="37041" xr:uid="{F9630D27-3D6E-41EB-A323-DAAD243634F8}"/>
    <cellStyle name="Comma 10 2 2 3 3 7" xfId="8313" xr:uid="{8299FCF0-282B-4432-A5A5-F45E615B1F8B}"/>
    <cellStyle name="Comma 10 2 2 3 3 7 2" xfId="23433" xr:uid="{52845865-61BD-4E6F-8A04-1451193B804D}"/>
    <cellStyle name="Comma 10 2 2 3 3 7 2 2" xfId="53673" xr:uid="{BAB0B69F-A2DC-4C2F-AA3F-BA2A16CF14DA}"/>
    <cellStyle name="Comma 10 2 2 3 3 7 3" xfId="38553" xr:uid="{EA1A864E-254A-4557-A430-FF00F1EE1595}"/>
    <cellStyle name="Comma 10 2 2 3 3 8" xfId="9825" xr:uid="{F4676B1F-633A-48B3-87B5-D30B460BD383}"/>
    <cellStyle name="Comma 10 2 2 3 3 8 2" xfId="24945" xr:uid="{E3CA15DF-4C9D-4FFF-98BC-1CE7113B7846}"/>
    <cellStyle name="Comma 10 2 2 3 3 8 2 2" xfId="55185" xr:uid="{5C714F75-F0AA-4F06-B1B1-BC32306C58C4}"/>
    <cellStyle name="Comma 10 2 2 3 3 8 3" xfId="40065" xr:uid="{39900FA9-90F3-4FD3-B27E-B6B6ADD74AFA}"/>
    <cellStyle name="Comma 10 2 2 3 3 9" xfId="15873" xr:uid="{F5721A36-35EA-459B-AA3B-CFA55323E78C}"/>
    <cellStyle name="Comma 10 2 2 3 3 9 2" xfId="46113" xr:uid="{0B1DE193-2758-4008-9C0F-7CC471D90909}"/>
    <cellStyle name="Comma 10 2 2 3 4" xfId="1005" xr:uid="{DF5A7756-2EE9-4683-9553-FD280E01ADAA}"/>
    <cellStyle name="Comma 10 2 2 3 4 2" xfId="2517" xr:uid="{F5883DE7-1E6F-40DC-A037-812ED66D12E1}"/>
    <cellStyle name="Comma 10 2 2 3 4 2 2" xfId="11589" xr:uid="{2EFF0AA5-4FF2-4F2C-80CC-1AC6DCB710D1}"/>
    <cellStyle name="Comma 10 2 2 3 4 2 2 2" xfId="26709" xr:uid="{6F2C8A6E-D34A-448D-8959-8AC4B9B33A70}"/>
    <cellStyle name="Comma 10 2 2 3 4 2 2 2 2" xfId="56949" xr:uid="{8579D478-1992-4926-90DB-E9C8D0809525}"/>
    <cellStyle name="Comma 10 2 2 3 4 2 2 3" xfId="41829" xr:uid="{81F32CC2-D599-44D7-8362-FC74312FC523}"/>
    <cellStyle name="Comma 10 2 2 3 4 2 3" xfId="17637" xr:uid="{26EF7D52-39C1-4690-AAFE-22CD078547E5}"/>
    <cellStyle name="Comma 10 2 2 3 4 2 3 2" xfId="47877" xr:uid="{A35BBD95-D35E-4E3B-B02D-C3260AF8B6A5}"/>
    <cellStyle name="Comma 10 2 2 3 4 2 4" xfId="32757" xr:uid="{94BF3A76-A810-44B0-A47C-709A6C16BC3C}"/>
    <cellStyle name="Comma 10 2 2 3 4 3" xfId="4029" xr:uid="{5FD4618D-EFCF-45D8-B321-ECEA36C35A9D}"/>
    <cellStyle name="Comma 10 2 2 3 4 3 2" xfId="13101" xr:uid="{C2F0226E-06F3-46CB-A466-72A5A06190EA}"/>
    <cellStyle name="Comma 10 2 2 3 4 3 2 2" xfId="28221" xr:uid="{2FDCBC1E-4716-477C-8E1A-4F2C08D20397}"/>
    <cellStyle name="Comma 10 2 2 3 4 3 2 2 2" xfId="58461" xr:uid="{2BF3C7DD-5016-48C7-B479-BD3CF1B1A1C7}"/>
    <cellStyle name="Comma 10 2 2 3 4 3 2 3" xfId="43341" xr:uid="{BAE4B553-594C-46C9-B352-E37389C0F732}"/>
    <cellStyle name="Comma 10 2 2 3 4 3 3" xfId="19149" xr:uid="{84120858-92F2-4D9A-9F6C-F6CDF9F8C22E}"/>
    <cellStyle name="Comma 10 2 2 3 4 3 3 2" xfId="49389" xr:uid="{3BA16851-A851-49BA-BF08-AA0A1B6E6CEC}"/>
    <cellStyle name="Comma 10 2 2 3 4 3 4" xfId="34269" xr:uid="{847ACFAB-8B09-4238-8551-66DCFA302304}"/>
    <cellStyle name="Comma 10 2 2 3 4 4" xfId="5541" xr:uid="{583FE6C6-B82C-41E0-B959-4D9F1E57E126}"/>
    <cellStyle name="Comma 10 2 2 3 4 4 2" xfId="14613" xr:uid="{E39C5E4D-63A8-4B22-9C83-AC6CBEE4F026}"/>
    <cellStyle name="Comma 10 2 2 3 4 4 2 2" xfId="29733" xr:uid="{0C535575-8272-4731-A511-517BB4FEA33E}"/>
    <cellStyle name="Comma 10 2 2 3 4 4 2 2 2" xfId="59973" xr:uid="{8A81E939-0811-445B-8980-6296DA677A1E}"/>
    <cellStyle name="Comma 10 2 2 3 4 4 2 3" xfId="44853" xr:uid="{A98DDC17-4040-4D0E-87C4-6248AB117F64}"/>
    <cellStyle name="Comma 10 2 2 3 4 4 3" xfId="20661" xr:uid="{75695B82-E3F2-409F-8582-CF5B620E0D86}"/>
    <cellStyle name="Comma 10 2 2 3 4 4 3 2" xfId="50901" xr:uid="{97D050C4-B772-4D58-ADF0-C41EB18CC478}"/>
    <cellStyle name="Comma 10 2 2 3 4 4 4" xfId="35781" xr:uid="{2AF0AA3D-B190-43B6-BFC5-8C6BB311CB21}"/>
    <cellStyle name="Comma 10 2 2 3 4 5" xfId="7053" xr:uid="{DC289A89-9406-4B68-9DBF-02F782D939C2}"/>
    <cellStyle name="Comma 10 2 2 3 4 5 2" xfId="22173" xr:uid="{BA48A562-4FD0-4CD4-89CD-5C4F6AFB369D}"/>
    <cellStyle name="Comma 10 2 2 3 4 5 2 2" xfId="52413" xr:uid="{5B02D58F-D812-4FA8-9F16-B7E52E193A62}"/>
    <cellStyle name="Comma 10 2 2 3 4 5 3" xfId="37293" xr:uid="{C23F7D49-5895-4116-9D81-D185C2BC72F5}"/>
    <cellStyle name="Comma 10 2 2 3 4 6" xfId="8565" xr:uid="{4CD767A1-3F93-431E-AF5E-793865168A85}"/>
    <cellStyle name="Comma 10 2 2 3 4 6 2" xfId="23685" xr:uid="{1FD32058-5ADD-49E6-818F-D4B037193B7E}"/>
    <cellStyle name="Comma 10 2 2 3 4 6 2 2" xfId="53925" xr:uid="{5ED68DF9-FE9F-47EC-87DE-9FC35B5C241A}"/>
    <cellStyle name="Comma 10 2 2 3 4 6 3" xfId="38805" xr:uid="{2C1BEC67-6113-428E-AEEC-B0D73143DC31}"/>
    <cellStyle name="Comma 10 2 2 3 4 7" xfId="10077" xr:uid="{4854F40E-4C58-4A2A-89BA-DC96BBF5C216}"/>
    <cellStyle name="Comma 10 2 2 3 4 7 2" xfId="25197" xr:uid="{B523EB1F-B81A-47DE-9FF6-225E5413AA8E}"/>
    <cellStyle name="Comma 10 2 2 3 4 7 2 2" xfId="55437" xr:uid="{B81ECB14-A477-4E4D-9F61-8D20268A4B05}"/>
    <cellStyle name="Comma 10 2 2 3 4 7 3" xfId="40317" xr:uid="{B6C212B8-99E6-40B7-B0D1-56E0D4109B88}"/>
    <cellStyle name="Comma 10 2 2 3 4 8" xfId="16125" xr:uid="{227BC49F-05FB-461B-96B0-015990C0EBAF}"/>
    <cellStyle name="Comma 10 2 2 3 4 8 2" xfId="46365" xr:uid="{5B529C04-2573-4474-ACED-0BE9EF69BD57}"/>
    <cellStyle name="Comma 10 2 2 3 4 9" xfId="31245" xr:uid="{617E86DD-44BA-4C7C-898A-F1F1CD60816B}"/>
    <cellStyle name="Comma 10 2 2 3 5" xfId="1761" xr:uid="{FC8B181F-2B2A-45A4-AB90-6C926B5A701B}"/>
    <cellStyle name="Comma 10 2 2 3 5 2" xfId="10833" xr:uid="{DB3F186C-AAA7-4D89-A77E-0D8183173178}"/>
    <cellStyle name="Comma 10 2 2 3 5 2 2" xfId="25953" xr:uid="{9D461CF5-790F-4028-A627-4C2032ABC562}"/>
    <cellStyle name="Comma 10 2 2 3 5 2 2 2" xfId="56193" xr:uid="{2F761FAC-CEB4-453E-AF07-5AD37C3C7DE2}"/>
    <cellStyle name="Comma 10 2 2 3 5 2 3" xfId="41073" xr:uid="{04CEFF87-3E65-42A1-9189-305E69E18829}"/>
    <cellStyle name="Comma 10 2 2 3 5 3" xfId="16881" xr:uid="{30016EB4-B8B0-4DA5-BFD7-F68789682ED0}"/>
    <cellStyle name="Comma 10 2 2 3 5 3 2" xfId="47121" xr:uid="{70598846-C3C5-48F8-B3E5-95DFCCA14F91}"/>
    <cellStyle name="Comma 10 2 2 3 5 4" xfId="32001" xr:uid="{F91F30C1-0F44-414A-8EBE-A8359AA1D5FD}"/>
    <cellStyle name="Comma 10 2 2 3 6" xfId="3273" xr:uid="{DDD8B996-2A8B-454E-9BE1-6EB2F5CD9903}"/>
    <cellStyle name="Comma 10 2 2 3 6 2" xfId="12345" xr:uid="{FDF8AFBA-AB34-413F-8814-E3E5296CE938}"/>
    <cellStyle name="Comma 10 2 2 3 6 2 2" xfId="27465" xr:uid="{B1F06827-2F9D-4F00-9833-19ED12AC3F5C}"/>
    <cellStyle name="Comma 10 2 2 3 6 2 2 2" xfId="57705" xr:uid="{4BFB051B-03BE-4BAC-9668-C1C0201F94EE}"/>
    <cellStyle name="Comma 10 2 2 3 6 2 3" xfId="42585" xr:uid="{4ACBDD13-4052-46D0-AC95-0421499DBFED}"/>
    <cellStyle name="Comma 10 2 2 3 6 3" xfId="18393" xr:uid="{1BB804B9-A9F1-4162-8FFA-6955C4A9FAFD}"/>
    <cellStyle name="Comma 10 2 2 3 6 3 2" xfId="48633" xr:uid="{4099DECB-0FAB-4D1A-905A-6700B3AB4373}"/>
    <cellStyle name="Comma 10 2 2 3 6 4" xfId="33513" xr:uid="{66CA1EB7-0CB7-4415-90A9-77E1D865E9F0}"/>
    <cellStyle name="Comma 10 2 2 3 7" xfId="4785" xr:uid="{0CAF99E8-8EC3-4EAD-AB75-C17AD02C8142}"/>
    <cellStyle name="Comma 10 2 2 3 7 2" xfId="13857" xr:uid="{78980BC0-A894-4374-8BF3-28A137F780CE}"/>
    <cellStyle name="Comma 10 2 2 3 7 2 2" xfId="28977" xr:uid="{50BFAE64-C417-4F69-ADAB-468C9A07A38F}"/>
    <cellStyle name="Comma 10 2 2 3 7 2 2 2" xfId="59217" xr:uid="{3F4D3E2C-9E09-47D3-8A8A-CE483CA25125}"/>
    <cellStyle name="Comma 10 2 2 3 7 2 3" xfId="44097" xr:uid="{14E7B230-2B4A-45A8-A9B9-EA5FA72EE9E1}"/>
    <cellStyle name="Comma 10 2 2 3 7 3" xfId="19905" xr:uid="{320638CF-36E5-4354-A497-1702D94B5DB0}"/>
    <cellStyle name="Comma 10 2 2 3 7 3 2" xfId="50145" xr:uid="{A9364013-CE40-4433-B440-2038EED86370}"/>
    <cellStyle name="Comma 10 2 2 3 7 4" xfId="35025" xr:uid="{8317319E-3E43-4DF4-B401-10A2A51A172F}"/>
    <cellStyle name="Comma 10 2 2 3 8" xfId="6297" xr:uid="{56AF5722-9E1D-4563-8B2C-73315E645F30}"/>
    <cellStyle name="Comma 10 2 2 3 8 2" xfId="21417" xr:uid="{24F7CF82-CF5F-4394-9804-DD48B2E23E07}"/>
    <cellStyle name="Comma 10 2 2 3 8 2 2" xfId="51657" xr:uid="{B715F2A2-E339-4C7A-B15D-478AE04EDD2E}"/>
    <cellStyle name="Comma 10 2 2 3 8 3" xfId="36537" xr:uid="{23E8A7D0-255F-4DC5-8113-966D7A2908A4}"/>
    <cellStyle name="Comma 10 2 2 3 9" xfId="7809" xr:uid="{07659C5C-E89E-4B91-862C-9700B02D338A}"/>
    <cellStyle name="Comma 10 2 2 3 9 2" xfId="22929" xr:uid="{365BFCB4-D21B-43E9-88CF-09B1C10B60C9}"/>
    <cellStyle name="Comma 10 2 2 3 9 2 2" xfId="53169" xr:uid="{E4A7DC9E-790B-4D8A-8F02-7842070DD8AE}"/>
    <cellStyle name="Comma 10 2 2 3 9 3" xfId="38049" xr:uid="{38837925-5713-4C82-BB59-0B4939DC8848}"/>
    <cellStyle name="Comma 10 2 2 4" xfId="333" xr:uid="{83DFC5E3-17BA-4516-BA81-E4F1594537E5}"/>
    <cellStyle name="Comma 10 2 2 4 10" xfId="30573" xr:uid="{BB804194-E27D-462D-BA29-86F87B59550F}"/>
    <cellStyle name="Comma 10 2 2 4 2" xfId="1089" xr:uid="{4E80969D-5CA7-414F-8185-17AD4B0C6EEA}"/>
    <cellStyle name="Comma 10 2 2 4 2 2" xfId="2601" xr:uid="{855F5F90-F40D-49EB-8C7C-03137916653B}"/>
    <cellStyle name="Comma 10 2 2 4 2 2 2" xfId="11673" xr:uid="{A168077A-3681-4DFD-B56C-3834F4419481}"/>
    <cellStyle name="Comma 10 2 2 4 2 2 2 2" xfId="26793" xr:uid="{B3D42168-CDF4-4713-A003-3677511FF2AC}"/>
    <cellStyle name="Comma 10 2 2 4 2 2 2 2 2" xfId="57033" xr:uid="{7048B0F3-B9AA-4C8E-8CE4-DEB4B155DED8}"/>
    <cellStyle name="Comma 10 2 2 4 2 2 2 3" xfId="41913" xr:uid="{B221E0ED-6E42-49B5-9D1C-9B05DAD5664E}"/>
    <cellStyle name="Comma 10 2 2 4 2 2 3" xfId="17721" xr:uid="{618F7157-5733-44A2-B4EE-2B82879C4ED4}"/>
    <cellStyle name="Comma 10 2 2 4 2 2 3 2" xfId="47961" xr:uid="{53108B40-E139-4196-A586-526FC6EE2B6F}"/>
    <cellStyle name="Comma 10 2 2 4 2 2 4" xfId="32841" xr:uid="{916DA22F-80CD-4E43-846B-2D57276B9748}"/>
    <cellStyle name="Comma 10 2 2 4 2 3" xfId="4113" xr:uid="{B94687E0-A96B-4A79-8ADF-596AFFAEF121}"/>
    <cellStyle name="Comma 10 2 2 4 2 3 2" xfId="13185" xr:uid="{0D1083C7-E375-4CED-962A-1E2A1FEAAFA8}"/>
    <cellStyle name="Comma 10 2 2 4 2 3 2 2" xfId="28305" xr:uid="{D9A53362-42C9-4BF6-B448-106C97D1BBB3}"/>
    <cellStyle name="Comma 10 2 2 4 2 3 2 2 2" xfId="58545" xr:uid="{7AC2217C-9942-428A-B370-89981B8CB3E6}"/>
    <cellStyle name="Comma 10 2 2 4 2 3 2 3" xfId="43425" xr:uid="{DDAD2879-6D4E-4B27-AAA9-9CF98CEBB320}"/>
    <cellStyle name="Comma 10 2 2 4 2 3 3" xfId="19233" xr:uid="{06745A5B-2140-4B90-AA12-5AE166545C6C}"/>
    <cellStyle name="Comma 10 2 2 4 2 3 3 2" xfId="49473" xr:uid="{C1AFCFE4-8432-4BF1-B24B-B95DBC0F30D0}"/>
    <cellStyle name="Comma 10 2 2 4 2 3 4" xfId="34353" xr:uid="{C1780139-6F9B-48F4-9685-8E107575800B}"/>
    <cellStyle name="Comma 10 2 2 4 2 4" xfId="5625" xr:uid="{6D42B2E6-32AC-4EF5-82BF-32CE5E495AE3}"/>
    <cellStyle name="Comma 10 2 2 4 2 4 2" xfId="14697" xr:uid="{0BA9531C-0234-4C46-ADDE-716B571FA789}"/>
    <cellStyle name="Comma 10 2 2 4 2 4 2 2" xfId="29817" xr:uid="{3D274AD1-41D1-4020-9B52-280B8F756F35}"/>
    <cellStyle name="Comma 10 2 2 4 2 4 2 2 2" xfId="60057" xr:uid="{227A57AA-90F5-47E5-AEC8-53395C79C4EB}"/>
    <cellStyle name="Comma 10 2 2 4 2 4 2 3" xfId="44937" xr:uid="{B6828102-028C-4979-BE05-06E3F3F1DE2A}"/>
    <cellStyle name="Comma 10 2 2 4 2 4 3" xfId="20745" xr:uid="{2A649E15-DA50-422B-8F35-B8ADC417FC3F}"/>
    <cellStyle name="Comma 10 2 2 4 2 4 3 2" xfId="50985" xr:uid="{7E64E212-E378-47BD-885A-90C29AB17430}"/>
    <cellStyle name="Comma 10 2 2 4 2 4 4" xfId="35865" xr:uid="{AC82E762-6D77-4BB0-825F-54EF18E3420D}"/>
    <cellStyle name="Comma 10 2 2 4 2 5" xfId="7137" xr:uid="{605D57E2-0178-4EBB-B26C-10D37A252FDB}"/>
    <cellStyle name="Comma 10 2 2 4 2 5 2" xfId="22257" xr:uid="{34242625-292C-4B39-89E1-BE0BC5B5E8A8}"/>
    <cellStyle name="Comma 10 2 2 4 2 5 2 2" xfId="52497" xr:uid="{96815FCC-828E-4F7B-AB13-F395ACD2B7E2}"/>
    <cellStyle name="Comma 10 2 2 4 2 5 3" xfId="37377" xr:uid="{087D0EF0-D040-4DD4-A65C-4FCF8D620FFD}"/>
    <cellStyle name="Comma 10 2 2 4 2 6" xfId="8649" xr:uid="{E6B2A4BD-A6F5-401B-8366-60DA2B6A08A5}"/>
    <cellStyle name="Comma 10 2 2 4 2 6 2" xfId="23769" xr:uid="{92F507C6-E518-4903-82BF-201A774666C8}"/>
    <cellStyle name="Comma 10 2 2 4 2 6 2 2" xfId="54009" xr:uid="{5BD9CD4F-8BA1-446A-9055-131691064D81}"/>
    <cellStyle name="Comma 10 2 2 4 2 6 3" xfId="38889" xr:uid="{8C3F4BB9-7922-4F7F-AF87-0A5D06C36A2B}"/>
    <cellStyle name="Comma 10 2 2 4 2 7" xfId="10161" xr:uid="{37FE6DFA-49B1-4567-8A0E-ECA71EDE75F7}"/>
    <cellStyle name="Comma 10 2 2 4 2 7 2" xfId="25281" xr:uid="{A7C53D04-AA12-4F81-95BD-D01565280BAF}"/>
    <cellStyle name="Comma 10 2 2 4 2 7 2 2" xfId="55521" xr:uid="{F67C41C2-1ADF-429C-9E7A-46FFC3260741}"/>
    <cellStyle name="Comma 10 2 2 4 2 7 3" xfId="40401" xr:uid="{07F119C3-6D00-4E3D-836C-CB271D10E25F}"/>
    <cellStyle name="Comma 10 2 2 4 2 8" xfId="16209" xr:uid="{AD72A294-B187-4528-8BF2-81F4E5013BF2}"/>
    <cellStyle name="Comma 10 2 2 4 2 8 2" xfId="46449" xr:uid="{920808FA-DC84-41C9-A72E-F63E30E76985}"/>
    <cellStyle name="Comma 10 2 2 4 2 9" xfId="31329" xr:uid="{830D616F-23D5-48AB-8798-55BCA3F072E5}"/>
    <cellStyle name="Comma 10 2 2 4 3" xfId="1845" xr:uid="{B6CF66F6-9932-4392-9720-F36C25643D40}"/>
    <cellStyle name="Comma 10 2 2 4 3 2" xfId="10917" xr:uid="{0A2244E9-9C24-4B04-A329-860025ABFF73}"/>
    <cellStyle name="Comma 10 2 2 4 3 2 2" xfId="26037" xr:uid="{9A18B751-C079-4ABA-862C-7CB0883F8F60}"/>
    <cellStyle name="Comma 10 2 2 4 3 2 2 2" xfId="56277" xr:uid="{D346A55E-74C1-4686-8A8A-D2144E3C3A7B}"/>
    <cellStyle name="Comma 10 2 2 4 3 2 3" xfId="41157" xr:uid="{F4299E24-AC94-4131-9532-8C28AFA2C3C7}"/>
    <cellStyle name="Comma 10 2 2 4 3 3" xfId="16965" xr:uid="{F1AD2646-B9BC-4E2B-8DFF-98CECFBB23B2}"/>
    <cellStyle name="Comma 10 2 2 4 3 3 2" xfId="47205" xr:uid="{1A9FC514-EA84-42D0-96D2-194BE8ECE7AA}"/>
    <cellStyle name="Comma 10 2 2 4 3 4" xfId="32085" xr:uid="{2698C001-FECF-41FD-B52D-E3BFB842E736}"/>
    <cellStyle name="Comma 10 2 2 4 4" xfId="3357" xr:uid="{37D9D2A8-3F55-4875-BAE4-9C57630BD9ED}"/>
    <cellStyle name="Comma 10 2 2 4 4 2" xfId="12429" xr:uid="{ECD3C628-79BE-4B3E-A2AF-506E3D408E3A}"/>
    <cellStyle name="Comma 10 2 2 4 4 2 2" xfId="27549" xr:uid="{7F2C81A9-750F-4BD1-B1EC-1A03956BB6E9}"/>
    <cellStyle name="Comma 10 2 2 4 4 2 2 2" xfId="57789" xr:uid="{8FA5427D-5DB8-40A3-BC2B-45453C7B6E36}"/>
    <cellStyle name="Comma 10 2 2 4 4 2 3" xfId="42669" xr:uid="{A00E5975-E59B-4BF6-86A5-8043FA963CEC}"/>
    <cellStyle name="Comma 10 2 2 4 4 3" xfId="18477" xr:uid="{C56DFD02-248C-4E99-9499-48B473C0D4C9}"/>
    <cellStyle name="Comma 10 2 2 4 4 3 2" xfId="48717" xr:uid="{FAFB9D3C-B423-465C-A6A0-7E0755BF655C}"/>
    <cellStyle name="Comma 10 2 2 4 4 4" xfId="33597" xr:uid="{A10C6DE6-1342-44CE-9FD8-F7E408C2ACE1}"/>
    <cellStyle name="Comma 10 2 2 4 5" xfId="4869" xr:uid="{10AAC464-CB02-43E8-A88F-2ECAFAE0E418}"/>
    <cellStyle name="Comma 10 2 2 4 5 2" xfId="13941" xr:uid="{EC7252FD-484E-4E66-9AE9-41471CBCCFEF}"/>
    <cellStyle name="Comma 10 2 2 4 5 2 2" xfId="29061" xr:uid="{700537F4-F9BF-45A5-BE6C-5579AB996153}"/>
    <cellStyle name="Comma 10 2 2 4 5 2 2 2" xfId="59301" xr:uid="{F76627FB-EE69-4444-A5A0-B47B4454D189}"/>
    <cellStyle name="Comma 10 2 2 4 5 2 3" xfId="44181" xr:uid="{57703014-382B-4342-8EE8-35841410207E}"/>
    <cellStyle name="Comma 10 2 2 4 5 3" xfId="19989" xr:uid="{F618ACF3-977A-4361-96B3-94C4341FAC5D}"/>
    <cellStyle name="Comma 10 2 2 4 5 3 2" xfId="50229" xr:uid="{2CF949C1-C8A7-4DA3-A93D-B328A5406E28}"/>
    <cellStyle name="Comma 10 2 2 4 5 4" xfId="35109" xr:uid="{BA1AB996-D787-417D-857F-2F4D1A830AE8}"/>
    <cellStyle name="Comma 10 2 2 4 6" xfId="6381" xr:uid="{79F961DA-38CB-4183-8C65-044C1FC0575D}"/>
    <cellStyle name="Comma 10 2 2 4 6 2" xfId="21501" xr:uid="{5EBA8EE9-6431-4EFF-9772-604ACA39B264}"/>
    <cellStyle name="Comma 10 2 2 4 6 2 2" xfId="51741" xr:uid="{C731CF3C-869B-4BC1-A4B8-1E8AABC5225C}"/>
    <cellStyle name="Comma 10 2 2 4 6 3" xfId="36621" xr:uid="{6D9F67D4-6A49-465A-9115-FD543510CA69}"/>
    <cellStyle name="Comma 10 2 2 4 7" xfId="7893" xr:uid="{A96D4A50-80F0-4EB6-8B7B-D8A23DA71249}"/>
    <cellStyle name="Comma 10 2 2 4 7 2" xfId="23013" xr:uid="{3C02D311-4067-48B8-9B6D-4C4E48F1B6C8}"/>
    <cellStyle name="Comma 10 2 2 4 7 2 2" xfId="53253" xr:uid="{A14E717E-05FE-4915-9313-F3FAE17ED7B3}"/>
    <cellStyle name="Comma 10 2 2 4 7 3" xfId="38133" xr:uid="{491A67B8-1130-409D-89C1-C89C16B7BFE8}"/>
    <cellStyle name="Comma 10 2 2 4 8" xfId="9405" xr:uid="{DF32B510-3AD9-48E2-9DEF-3A8EF0F4EDD8}"/>
    <cellStyle name="Comma 10 2 2 4 8 2" xfId="24525" xr:uid="{0676FB32-BD22-4A52-9700-2CC9D891A733}"/>
    <cellStyle name="Comma 10 2 2 4 8 2 2" xfId="54765" xr:uid="{3081B486-8ABF-49C5-B9C6-094C30201EF8}"/>
    <cellStyle name="Comma 10 2 2 4 8 3" xfId="39645" xr:uid="{E6EE5433-C5D2-4323-B2FD-A56A7067C6C2}"/>
    <cellStyle name="Comma 10 2 2 4 9" xfId="15453" xr:uid="{CA739C52-C810-4B18-A910-ED5E71E838C4}"/>
    <cellStyle name="Comma 10 2 2 4 9 2" xfId="45693" xr:uid="{62147074-B120-402C-AFC9-A51E4A3A3BBD}"/>
    <cellStyle name="Comma 10 2 2 5" xfId="585" xr:uid="{2F3E1AB4-C25F-4398-930B-17968BA7B474}"/>
    <cellStyle name="Comma 10 2 2 5 10" xfId="30825" xr:uid="{2285A0CE-1297-4A98-8D78-DFF0971186B4}"/>
    <cellStyle name="Comma 10 2 2 5 2" xfId="1341" xr:uid="{9688A248-093A-43ED-9058-BDEF65A0C227}"/>
    <cellStyle name="Comma 10 2 2 5 2 2" xfId="2853" xr:uid="{D17AE0F4-6D5B-4680-97FA-9FEB6B0F3B69}"/>
    <cellStyle name="Comma 10 2 2 5 2 2 2" xfId="11925" xr:uid="{F28ABC51-0E3A-4B82-9CDC-976A801D7A68}"/>
    <cellStyle name="Comma 10 2 2 5 2 2 2 2" xfId="27045" xr:uid="{07D9A10D-CEC7-42F1-B814-8D9672EE08EC}"/>
    <cellStyle name="Comma 10 2 2 5 2 2 2 2 2" xfId="57285" xr:uid="{2779C128-1E96-40A6-B11C-B77EE342B8C8}"/>
    <cellStyle name="Comma 10 2 2 5 2 2 2 3" xfId="42165" xr:uid="{EDB5E03B-2129-425B-9427-373D52A5F550}"/>
    <cellStyle name="Comma 10 2 2 5 2 2 3" xfId="17973" xr:uid="{16EDE647-6E79-4043-AB80-438EA0E84909}"/>
    <cellStyle name="Comma 10 2 2 5 2 2 3 2" xfId="48213" xr:uid="{C856E8FD-9DEB-41B1-810A-8F14C39D884B}"/>
    <cellStyle name="Comma 10 2 2 5 2 2 4" xfId="33093" xr:uid="{187E2099-58A8-48DE-82A0-705B6B0E95B4}"/>
    <cellStyle name="Comma 10 2 2 5 2 3" xfId="4365" xr:uid="{2226A39C-316D-41ED-A6BB-E78B92AF3726}"/>
    <cellStyle name="Comma 10 2 2 5 2 3 2" xfId="13437" xr:uid="{0B187E5D-C262-44EB-889F-4876463503D9}"/>
    <cellStyle name="Comma 10 2 2 5 2 3 2 2" xfId="28557" xr:uid="{730AA2CF-B07B-4875-90D3-1582DA92FA72}"/>
    <cellStyle name="Comma 10 2 2 5 2 3 2 2 2" xfId="58797" xr:uid="{AA3073DB-EDAF-4893-B345-F4C664CEBB9F}"/>
    <cellStyle name="Comma 10 2 2 5 2 3 2 3" xfId="43677" xr:uid="{5D1BC25B-D9DD-4CFC-AB9F-4F8F2C6FA06E}"/>
    <cellStyle name="Comma 10 2 2 5 2 3 3" xfId="19485" xr:uid="{92BCACC8-9B8E-4202-AE0E-428D93B831FA}"/>
    <cellStyle name="Comma 10 2 2 5 2 3 3 2" xfId="49725" xr:uid="{9F8F1179-3860-41B0-A881-EF6222F296EE}"/>
    <cellStyle name="Comma 10 2 2 5 2 3 4" xfId="34605" xr:uid="{43CFE428-9D43-4BAA-8A34-92EB8ADF4FC3}"/>
    <cellStyle name="Comma 10 2 2 5 2 4" xfId="5877" xr:uid="{BF5043C4-9A26-4CF6-8F2B-3DF22562DB38}"/>
    <cellStyle name="Comma 10 2 2 5 2 4 2" xfId="14949" xr:uid="{880168AC-0BC3-412B-AC42-273BF0B8C957}"/>
    <cellStyle name="Comma 10 2 2 5 2 4 2 2" xfId="30069" xr:uid="{95D3A6C9-1DAE-4013-A0B2-EFE00E4FAAEF}"/>
    <cellStyle name="Comma 10 2 2 5 2 4 2 2 2" xfId="60309" xr:uid="{5D0FD3C7-4B82-40DB-A558-079208B7F183}"/>
    <cellStyle name="Comma 10 2 2 5 2 4 2 3" xfId="45189" xr:uid="{76F4C31A-88A5-40C4-A3E8-B4FF245BD168}"/>
    <cellStyle name="Comma 10 2 2 5 2 4 3" xfId="20997" xr:uid="{8670457E-441A-4F12-9B4C-B72E2E957948}"/>
    <cellStyle name="Comma 10 2 2 5 2 4 3 2" xfId="51237" xr:uid="{6D79C775-05ED-46EA-A779-041D10017E42}"/>
    <cellStyle name="Comma 10 2 2 5 2 4 4" xfId="36117" xr:uid="{63A6C022-CC5E-40FC-8063-A849043B16AA}"/>
    <cellStyle name="Comma 10 2 2 5 2 5" xfId="7389" xr:uid="{63DD99BC-656F-4F22-B27C-09520532BB1B}"/>
    <cellStyle name="Comma 10 2 2 5 2 5 2" xfId="22509" xr:uid="{4ACD3B13-B2A2-44AF-AAE3-0C1B64E6AD87}"/>
    <cellStyle name="Comma 10 2 2 5 2 5 2 2" xfId="52749" xr:uid="{89B558DD-CDA6-4559-80A5-2B33B1B8391F}"/>
    <cellStyle name="Comma 10 2 2 5 2 5 3" xfId="37629" xr:uid="{431922DE-FCDA-46BE-AFD4-0A122CF93767}"/>
    <cellStyle name="Comma 10 2 2 5 2 6" xfId="8901" xr:uid="{DCA05D6F-DB1E-442C-A81E-2559E916A75D}"/>
    <cellStyle name="Comma 10 2 2 5 2 6 2" xfId="24021" xr:uid="{0801F2C6-D9FE-4E0B-93E6-7E608233F550}"/>
    <cellStyle name="Comma 10 2 2 5 2 6 2 2" xfId="54261" xr:uid="{A1B598E6-587D-4E9B-B0F2-14E49B0C418A}"/>
    <cellStyle name="Comma 10 2 2 5 2 6 3" xfId="39141" xr:uid="{CEA9FF20-C7FB-467F-9858-DFCC3E42105C}"/>
    <cellStyle name="Comma 10 2 2 5 2 7" xfId="10413" xr:uid="{56B0E873-1984-4E8C-BE43-5BBA608F2C13}"/>
    <cellStyle name="Comma 10 2 2 5 2 7 2" xfId="25533" xr:uid="{83C7A939-1531-488B-A5A0-4E09BEC8795C}"/>
    <cellStyle name="Comma 10 2 2 5 2 7 2 2" xfId="55773" xr:uid="{C476C32D-98F2-4719-9121-EEE04C57591B}"/>
    <cellStyle name="Comma 10 2 2 5 2 7 3" xfId="40653" xr:uid="{0E163D6D-2326-455D-AD57-E31F589473EB}"/>
    <cellStyle name="Comma 10 2 2 5 2 8" xfId="16461" xr:uid="{EA277C5B-D109-4CEC-B88F-C0594A4F72FC}"/>
    <cellStyle name="Comma 10 2 2 5 2 8 2" xfId="46701" xr:uid="{B91C6A5C-F176-447C-A275-0652432A082D}"/>
    <cellStyle name="Comma 10 2 2 5 2 9" xfId="31581" xr:uid="{265FA38D-0A23-4470-B6D1-821E7961F6A2}"/>
    <cellStyle name="Comma 10 2 2 5 3" xfId="2097" xr:uid="{FD9BB000-BB02-4572-BDE6-083B9DA03FDF}"/>
    <cellStyle name="Comma 10 2 2 5 3 2" xfId="11169" xr:uid="{3462ED63-3BC5-4250-916B-76CB0234BCC4}"/>
    <cellStyle name="Comma 10 2 2 5 3 2 2" xfId="26289" xr:uid="{3FC8EA99-78BF-448A-870E-1D1E6C31D0BC}"/>
    <cellStyle name="Comma 10 2 2 5 3 2 2 2" xfId="56529" xr:uid="{EE2CD2B2-6020-4A7A-844C-F29BBB884D3C}"/>
    <cellStyle name="Comma 10 2 2 5 3 2 3" xfId="41409" xr:uid="{51D0F2E7-7E05-4B4D-B76E-0A9B4FCBF02C}"/>
    <cellStyle name="Comma 10 2 2 5 3 3" xfId="17217" xr:uid="{56857EAD-9C98-49D9-9994-49EC237BD5F7}"/>
    <cellStyle name="Comma 10 2 2 5 3 3 2" xfId="47457" xr:uid="{150F2222-8024-4493-8988-5EE186696AC9}"/>
    <cellStyle name="Comma 10 2 2 5 3 4" xfId="32337" xr:uid="{C7A7C231-DF0F-4E0D-802E-2E5AB74C4B5C}"/>
    <cellStyle name="Comma 10 2 2 5 4" xfId="3609" xr:uid="{1EA88B46-57F4-4EDA-9E63-5D8C7CAFD409}"/>
    <cellStyle name="Comma 10 2 2 5 4 2" xfId="12681" xr:uid="{0140A0CE-1D3F-487D-9DC0-829B3F40C58B}"/>
    <cellStyle name="Comma 10 2 2 5 4 2 2" xfId="27801" xr:uid="{F4BF7F20-D36F-4D0B-8DF3-DC6BB7B29365}"/>
    <cellStyle name="Comma 10 2 2 5 4 2 2 2" xfId="58041" xr:uid="{E530F600-9BAA-4F08-92E1-54334C6CFC8E}"/>
    <cellStyle name="Comma 10 2 2 5 4 2 3" xfId="42921" xr:uid="{E2C4C952-81A7-4D5E-ACFA-C91E8BCFEC10}"/>
    <cellStyle name="Comma 10 2 2 5 4 3" xfId="18729" xr:uid="{4EFD79B0-1C4B-4A11-809F-B0DB7A68618A}"/>
    <cellStyle name="Comma 10 2 2 5 4 3 2" xfId="48969" xr:uid="{2AD80968-1148-4871-BA9F-A868F7C8C450}"/>
    <cellStyle name="Comma 10 2 2 5 4 4" xfId="33849" xr:uid="{CD77FFB4-A5F4-4F2E-A158-75E041F853A6}"/>
    <cellStyle name="Comma 10 2 2 5 5" xfId="5121" xr:uid="{54143B60-3C25-4EBE-8C72-37609D8E0B72}"/>
    <cellStyle name="Comma 10 2 2 5 5 2" xfId="14193" xr:uid="{AE332BC7-588C-4EE0-83B8-78B71E28B72D}"/>
    <cellStyle name="Comma 10 2 2 5 5 2 2" xfId="29313" xr:uid="{46FF7EB5-03D8-42EF-98AF-CB817EF0033B}"/>
    <cellStyle name="Comma 10 2 2 5 5 2 2 2" xfId="59553" xr:uid="{18D85839-B2AC-43DF-A303-AC8780178EC1}"/>
    <cellStyle name="Comma 10 2 2 5 5 2 3" xfId="44433" xr:uid="{1719AC6F-254E-4C96-AB3B-61D98D5A8AC4}"/>
    <cellStyle name="Comma 10 2 2 5 5 3" xfId="20241" xr:uid="{C460155D-1B79-4425-A6C4-743313BB78BB}"/>
    <cellStyle name="Comma 10 2 2 5 5 3 2" xfId="50481" xr:uid="{3FE16FC9-2B97-4680-8B32-99713326E9F2}"/>
    <cellStyle name="Comma 10 2 2 5 5 4" xfId="35361" xr:uid="{CD17385D-6EF6-48CA-B75A-9D526A4785FC}"/>
    <cellStyle name="Comma 10 2 2 5 6" xfId="6633" xr:uid="{4AA6AA66-0E0C-485F-ADF5-F303FD4F4ABA}"/>
    <cellStyle name="Comma 10 2 2 5 6 2" xfId="21753" xr:uid="{6424D37B-E1A1-439F-ACFF-CD8204572F0B}"/>
    <cellStyle name="Comma 10 2 2 5 6 2 2" xfId="51993" xr:uid="{88E0C0D8-1474-4127-B9D5-B984A54DB043}"/>
    <cellStyle name="Comma 10 2 2 5 6 3" xfId="36873" xr:uid="{6735FC77-857C-4013-9033-F50BFB69DD53}"/>
    <cellStyle name="Comma 10 2 2 5 7" xfId="8145" xr:uid="{00A7A0ED-C8BF-4F36-BB7D-860D79DD3609}"/>
    <cellStyle name="Comma 10 2 2 5 7 2" xfId="23265" xr:uid="{52E6F803-9FE5-4183-BD6E-037A140DAAC7}"/>
    <cellStyle name="Comma 10 2 2 5 7 2 2" xfId="53505" xr:uid="{7C21C9EC-152D-42CE-9B81-725B51E61A62}"/>
    <cellStyle name="Comma 10 2 2 5 7 3" xfId="38385" xr:uid="{E597D1EB-135F-4C28-AED6-C28A30CB695A}"/>
    <cellStyle name="Comma 10 2 2 5 8" xfId="9657" xr:uid="{A9D51BBF-D2CA-4BB0-889D-CCB324DB0A09}"/>
    <cellStyle name="Comma 10 2 2 5 8 2" xfId="24777" xr:uid="{5418A291-46E9-40BC-BE68-965C1DCE9256}"/>
    <cellStyle name="Comma 10 2 2 5 8 2 2" xfId="55017" xr:uid="{E9BDBB86-8D21-425C-8EA8-432C2DD6D9DB}"/>
    <cellStyle name="Comma 10 2 2 5 8 3" xfId="39897" xr:uid="{5D5AF14D-13B0-4653-A965-F3CDE1A2998F}"/>
    <cellStyle name="Comma 10 2 2 5 9" xfId="15705" xr:uid="{24173BB9-F4B7-4A5E-8CC5-68A40DD203C3}"/>
    <cellStyle name="Comma 10 2 2 5 9 2" xfId="45945" xr:uid="{ED2DF20D-3DAC-41A4-8A27-665A69EE762A}"/>
    <cellStyle name="Comma 10 2 2 6" xfId="837" xr:uid="{45FE9435-D6D6-4BBD-93AE-053E30D64F10}"/>
    <cellStyle name="Comma 10 2 2 6 2" xfId="2349" xr:uid="{EECFDCEC-4DDC-447B-8A50-76EFF824B649}"/>
    <cellStyle name="Comma 10 2 2 6 2 2" xfId="11421" xr:uid="{1355F0B7-0BCE-432F-A88D-362BB112EE83}"/>
    <cellStyle name="Comma 10 2 2 6 2 2 2" xfId="26541" xr:uid="{4FBFBAFB-A162-4A07-B806-D219B7A8299C}"/>
    <cellStyle name="Comma 10 2 2 6 2 2 2 2" xfId="56781" xr:uid="{B355CF11-1F40-4064-A7A7-BF6F4C80F774}"/>
    <cellStyle name="Comma 10 2 2 6 2 2 3" xfId="41661" xr:uid="{A8FB8DD9-0040-435A-846E-442A6E662A2A}"/>
    <cellStyle name="Comma 10 2 2 6 2 3" xfId="17469" xr:uid="{B3D234AA-1860-48F9-94E6-6EFA594B0990}"/>
    <cellStyle name="Comma 10 2 2 6 2 3 2" xfId="47709" xr:uid="{A535BDE8-77E1-47D3-99A5-905D51E9F088}"/>
    <cellStyle name="Comma 10 2 2 6 2 4" xfId="32589" xr:uid="{47A46EA6-321E-4A1B-A5E8-C2BB0E0B730E}"/>
    <cellStyle name="Comma 10 2 2 6 3" xfId="3861" xr:uid="{56F17D08-E000-48C7-A483-EB43DCC6E1BF}"/>
    <cellStyle name="Comma 10 2 2 6 3 2" xfId="12933" xr:uid="{461962BF-6300-4479-A2D2-A8E05F92273B}"/>
    <cellStyle name="Comma 10 2 2 6 3 2 2" xfId="28053" xr:uid="{3CFE45AC-28B4-4FCD-B2E1-DCEDCC540F4B}"/>
    <cellStyle name="Comma 10 2 2 6 3 2 2 2" xfId="58293" xr:uid="{160422AC-C7C5-438B-96A2-C7364740E245}"/>
    <cellStyle name="Comma 10 2 2 6 3 2 3" xfId="43173" xr:uid="{E0301E49-1F64-4BD3-BC03-9E4D0E71D21B}"/>
    <cellStyle name="Comma 10 2 2 6 3 3" xfId="18981" xr:uid="{4E6AD245-90B6-47F5-BCFC-0B282559E1C8}"/>
    <cellStyle name="Comma 10 2 2 6 3 3 2" xfId="49221" xr:uid="{69FE3C35-39EC-4604-A9C3-10E1228497A9}"/>
    <cellStyle name="Comma 10 2 2 6 3 4" xfId="34101" xr:uid="{0D1DC470-6084-4B48-ADA2-F2B13F0C4728}"/>
    <cellStyle name="Comma 10 2 2 6 4" xfId="5373" xr:uid="{51B05C48-3015-4491-8EC9-0A997BF3251A}"/>
    <cellStyle name="Comma 10 2 2 6 4 2" xfId="14445" xr:uid="{BD80A002-918F-4666-A5BE-C3C96262E098}"/>
    <cellStyle name="Comma 10 2 2 6 4 2 2" xfId="29565" xr:uid="{28291C9C-D8F2-4CFD-8127-390EAC0BC32C}"/>
    <cellStyle name="Comma 10 2 2 6 4 2 2 2" xfId="59805" xr:uid="{B302CC14-3A92-488E-BA51-6E3ECBCC16AE}"/>
    <cellStyle name="Comma 10 2 2 6 4 2 3" xfId="44685" xr:uid="{265E195D-6913-407C-BF23-A2C4135E9661}"/>
    <cellStyle name="Comma 10 2 2 6 4 3" xfId="20493" xr:uid="{0F5FE330-8796-43EE-A8AF-8C8E7F2DD0E3}"/>
    <cellStyle name="Comma 10 2 2 6 4 3 2" xfId="50733" xr:uid="{821A7BB5-197D-40A4-BD1A-1DC15B970878}"/>
    <cellStyle name="Comma 10 2 2 6 4 4" xfId="35613" xr:uid="{5E49BF1A-7B1E-417C-80B5-05BC4A0B034D}"/>
    <cellStyle name="Comma 10 2 2 6 5" xfId="6885" xr:uid="{1D77B182-713A-49A9-8031-8725CE3E7BCD}"/>
    <cellStyle name="Comma 10 2 2 6 5 2" xfId="22005" xr:uid="{5B0CB35C-0CD1-4FA2-8FB4-41A1F533AFC0}"/>
    <cellStyle name="Comma 10 2 2 6 5 2 2" xfId="52245" xr:uid="{0DBAB5CE-C22B-452F-A9AF-A504536769A2}"/>
    <cellStyle name="Comma 10 2 2 6 5 3" xfId="37125" xr:uid="{3100FF25-5043-4F47-8EA6-0085DC21A48F}"/>
    <cellStyle name="Comma 10 2 2 6 6" xfId="8397" xr:uid="{E763487A-0AB3-49B6-BC8E-860B03001A9E}"/>
    <cellStyle name="Comma 10 2 2 6 6 2" xfId="23517" xr:uid="{03F0E33E-645C-4E50-A647-FD42E448F039}"/>
    <cellStyle name="Comma 10 2 2 6 6 2 2" xfId="53757" xr:uid="{4007CC44-BFFE-49C6-BFD5-5D3AD7802E3C}"/>
    <cellStyle name="Comma 10 2 2 6 6 3" xfId="38637" xr:uid="{13948CE8-4949-43F1-A7A9-2A3BCCB196DC}"/>
    <cellStyle name="Comma 10 2 2 6 7" xfId="9909" xr:uid="{25E48306-2F7E-41ED-B044-A53AD059AF7E}"/>
    <cellStyle name="Comma 10 2 2 6 7 2" xfId="25029" xr:uid="{40FDB628-8D75-4F81-A338-2E979631E487}"/>
    <cellStyle name="Comma 10 2 2 6 7 2 2" xfId="55269" xr:uid="{BA949183-DF6A-432E-9662-E084DC8F7802}"/>
    <cellStyle name="Comma 10 2 2 6 7 3" xfId="40149" xr:uid="{17CB7A1B-CBBD-4551-9AD2-DCF7DA2F0643}"/>
    <cellStyle name="Comma 10 2 2 6 8" xfId="15957" xr:uid="{AF3055B7-B62E-4047-B7F0-181BD96AFC6B}"/>
    <cellStyle name="Comma 10 2 2 6 8 2" xfId="46197" xr:uid="{519744B1-5681-4DC8-B746-E07733A1DD64}"/>
    <cellStyle name="Comma 10 2 2 6 9" xfId="31077" xr:uid="{C9893112-F6C7-4333-8E3B-A3F60DD10C70}"/>
    <cellStyle name="Comma 10 2 2 7" xfId="1593" xr:uid="{41FC206D-869C-4526-A34D-60E01286E011}"/>
    <cellStyle name="Comma 10 2 2 7 2" xfId="10665" xr:uid="{69FE883C-0CE1-4F33-B4FF-43D0A4F75198}"/>
    <cellStyle name="Comma 10 2 2 7 2 2" xfId="25785" xr:uid="{4479B500-00E8-43B4-B857-B3CB73D4FC4E}"/>
    <cellStyle name="Comma 10 2 2 7 2 2 2" xfId="56025" xr:uid="{3B787962-4F33-482C-9626-F8461B93A0A4}"/>
    <cellStyle name="Comma 10 2 2 7 2 3" xfId="40905" xr:uid="{52A80C94-F738-4D1E-BA64-D53BF0736FD4}"/>
    <cellStyle name="Comma 10 2 2 7 3" xfId="16713" xr:uid="{35C33C51-B655-4F9D-87D9-AAB1BBE46D3A}"/>
    <cellStyle name="Comma 10 2 2 7 3 2" xfId="46953" xr:uid="{960C8EA5-A012-4620-A95E-D027688B4A54}"/>
    <cellStyle name="Comma 10 2 2 7 4" xfId="31833" xr:uid="{3C9D2B63-126E-4A4C-9397-532C30CEE326}"/>
    <cellStyle name="Comma 10 2 2 8" xfId="3105" xr:uid="{5B4BA9AB-9B4F-4253-BA1C-51D47D7CEBAD}"/>
    <cellStyle name="Comma 10 2 2 8 2" xfId="12177" xr:uid="{AF447CA7-4C3C-4430-BDF8-C2867364F81E}"/>
    <cellStyle name="Comma 10 2 2 8 2 2" xfId="27297" xr:uid="{F81FB40F-14A9-4B80-8A20-DAD296E8786C}"/>
    <cellStyle name="Comma 10 2 2 8 2 2 2" xfId="57537" xr:uid="{3FFF8E45-AB4C-4870-AE6F-65C7A599CDE6}"/>
    <cellStyle name="Comma 10 2 2 8 2 3" xfId="42417" xr:uid="{723023FA-629D-4D17-BE60-A12ED699AF30}"/>
    <cellStyle name="Comma 10 2 2 8 3" xfId="18225" xr:uid="{A5B508F7-4040-42A4-B148-1FF1D50FAC11}"/>
    <cellStyle name="Comma 10 2 2 8 3 2" xfId="48465" xr:uid="{59FEE983-DD66-4A86-8152-E28A7A4A10A1}"/>
    <cellStyle name="Comma 10 2 2 8 4" xfId="33345" xr:uid="{6D0E4A10-AAF4-4E3B-A08E-804788A6BC22}"/>
    <cellStyle name="Comma 10 2 2 9" xfId="4617" xr:uid="{F4FFF082-7965-4BBD-978E-5CCB06093023}"/>
    <cellStyle name="Comma 10 2 2 9 2" xfId="13689" xr:uid="{1973C6F7-8DA4-487F-90E8-955A657CE5D8}"/>
    <cellStyle name="Comma 10 2 2 9 2 2" xfId="28809" xr:uid="{646BFD69-8824-48B3-9CA5-EB43A0D7B871}"/>
    <cellStyle name="Comma 10 2 2 9 2 2 2" xfId="59049" xr:uid="{13F6A4CC-EE29-4493-BFF2-39C10AEFAF9A}"/>
    <cellStyle name="Comma 10 2 2 9 2 3" xfId="43929" xr:uid="{D247C914-CB50-4181-AC86-4B97EB1B623B}"/>
    <cellStyle name="Comma 10 2 2 9 3" xfId="19737" xr:uid="{C3BE3F36-C780-4400-B9A2-DAFD6A03E295}"/>
    <cellStyle name="Comma 10 2 2 9 3 2" xfId="49977" xr:uid="{E80C91BA-F275-4FD3-AE10-C919B1541837}"/>
    <cellStyle name="Comma 10 2 2 9 4" xfId="34857" xr:uid="{3C7E859D-9A47-4E3D-BC05-D29224AE0849}"/>
    <cellStyle name="Comma 10 2 3" xfId="123" xr:uid="{6D997170-B46A-4659-90EE-23395F754473}"/>
    <cellStyle name="Comma 10 2 3 10" xfId="9195" xr:uid="{97D4CCB2-8204-4D37-BBB2-0D6755B38C9D}"/>
    <cellStyle name="Comma 10 2 3 10 2" xfId="24315" xr:uid="{5AF80D35-380E-4B1A-B0E2-E2DC8D94BDDC}"/>
    <cellStyle name="Comma 10 2 3 10 2 2" xfId="54555" xr:uid="{4F8FA8C9-9051-4AAB-9882-5026D6ACCDD8}"/>
    <cellStyle name="Comma 10 2 3 10 3" xfId="39435" xr:uid="{7307D826-0B56-43C7-AC8C-477D04DC7649}"/>
    <cellStyle name="Comma 10 2 3 11" xfId="15243" xr:uid="{BA8B2FD9-C94E-4A2A-B0B4-A1F8D07E45BE}"/>
    <cellStyle name="Comma 10 2 3 11 2" xfId="45483" xr:uid="{EA82BD8F-EF45-4048-A342-8A141DEEEF8C}"/>
    <cellStyle name="Comma 10 2 3 12" xfId="30363" xr:uid="{E8CFDB6E-A347-45C8-BFD9-FF26B1E4CF40}"/>
    <cellStyle name="Comma 10 2 3 2" xfId="375" xr:uid="{76B72A56-0BA4-4DC1-9CBF-95A7BA7F2A44}"/>
    <cellStyle name="Comma 10 2 3 2 10" xfId="30615" xr:uid="{6FE1C2BB-62DE-4157-B8E5-06A7E1F153B6}"/>
    <cellStyle name="Comma 10 2 3 2 2" xfId="1131" xr:uid="{7B523696-AB94-4EBF-9973-BEF2B926C416}"/>
    <cellStyle name="Comma 10 2 3 2 2 2" xfId="2643" xr:uid="{24043194-90F6-4D45-8FA1-F84F1875A4DE}"/>
    <cellStyle name="Comma 10 2 3 2 2 2 2" xfId="11715" xr:uid="{96E87810-40D5-4681-AD52-EFFF9A9AA221}"/>
    <cellStyle name="Comma 10 2 3 2 2 2 2 2" xfId="26835" xr:uid="{C9775FF3-6BCE-4725-B98A-CE584D631B66}"/>
    <cellStyle name="Comma 10 2 3 2 2 2 2 2 2" xfId="57075" xr:uid="{8AB0ACCE-4926-4909-A954-40DD5B63AC1E}"/>
    <cellStyle name="Comma 10 2 3 2 2 2 2 3" xfId="41955" xr:uid="{EF98E30B-3E5E-45D6-AAF4-A16C03C49590}"/>
    <cellStyle name="Comma 10 2 3 2 2 2 3" xfId="17763" xr:uid="{82A5D848-B5E2-448E-A4F4-F6B13E89E8B3}"/>
    <cellStyle name="Comma 10 2 3 2 2 2 3 2" xfId="48003" xr:uid="{DBB9C476-7143-461A-BDC6-F4584A16B6D9}"/>
    <cellStyle name="Comma 10 2 3 2 2 2 4" xfId="32883" xr:uid="{D6C049AF-1358-4C45-A055-F7CCB9D28F33}"/>
    <cellStyle name="Comma 10 2 3 2 2 3" xfId="4155" xr:uid="{BD79C529-FE55-47D9-BF24-ADCEC17BD10D}"/>
    <cellStyle name="Comma 10 2 3 2 2 3 2" xfId="13227" xr:uid="{272A2640-A7CE-423F-B304-C6DA6C53B1C6}"/>
    <cellStyle name="Comma 10 2 3 2 2 3 2 2" xfId="28347" xr:uid="{D1532C9F-9062-49C5-97E0-7747B9178CCF}"/>
    <cellStyle name="Comma 10 2 3 2 2 3 2 2 2" xfId="58587" xr:uid="{5538F3EB-561F-451D-992D-7C56FAC25C39}"/>
    <cellStyle name="Comma 10 2 3 2 2 3 2 3" xfId="43467" xr:uid="{577BA2FC-CB10-4862-8961-AB12AC5BC522}"/>
    <cellStyle name="Comma 10 2 3 2 2 3 3" xfId="19275" xr:uid="{25423301-A5B2-419A-9C93-C45FAB340445}"/>
    <cellStyle name="Comma 10 2 3 2 2 3 3 2" xfId="49515" xr:uid="{FEF5CCF7-88D0-407E-9414-B304797B5295}"/>
    <cellStyle name="Comma 10 2 3 2 2 3 4" xfId="34395" xr:uid="{9D70C734-07C6-435B-A0B4-D0A18604EED6}"/>
    <cellStyle name="Comma 10 2 3 2 2 4" xfId="5667" xr:uid="{1B0163E9-8EC2-4181-8862-D3DB91F5825D}"/>
    <cellStyle name="Comma 10 2 3 2 2 4 2" xfId="14739" xr:uid="{33712DED-359C-4C81-A596-68FE006C01DC}"/>
    <cellStyle name="Comma 10 2 3 2 2 4 2 2" xfId="29859" xr:uid="{5FE54979-B05B-41DF-81FC-5749438DB243}"/>
    <cellStyle name="Comma 10 2 3 2 2 4 2 2 2" xfId="60099" xr:uid="{E22EF32E-6487-4195-AE5F-5EA1AB49EACE}"/>
    <cellStyle name="Comma 10 2 3 2 2 4 2 3" xfId="44979" xr:uid="{4D0A9EBB-943E-4375-B2B2-FD3FB16B3451}"/>
    <cellStyle name="Comma 10 2 3 2 2 4 3" xfId="20787" xr:uid="{EB42A326-F5B5-484B-9D4B-22206D852A07}"/>
    <cellStyle name="Comma 10 2 3 2 2 4 3 2" xfId="51027" xr:uid="{F118F8BD-57CB-4244-BAEE-1CF3C7ADF1DE}"/>
    <cellStyle name="Comma 10 2 3 2 2 4 4" xfId="35907" xr:uid="{CDD075A6-FE94-4AF3-A65C-95A657EFFE37}"/>
    <cellStyle name="Comma 10 2 3 2 2 5" xfId="7179" xr:uid="{A3DB8D39-88FE-41B5-891A-5C631D8B3E31}"/>
    <cellStyle name="Comma 10 2 3 2 2 5 2" xfId="22299" xr:uid="{47197141-10C2-46F6-91F6-D55D70B77254}"/>
    <cellStyle name="Comma 10 2 3 2 2 5 2 2" xfId="52539" xr:uid="{C72B3761-2C63-40A1-A96E-9F22C119398F}"/>
    <cellStyle name="Comma 10 2 3 2 2 5 3" xfId="37419" xr:uid="{91D80540-73AB-40BA-89AA-E0C63BEFB985}"/>
    <cellStyle name="Comma 10 2 3 2 2 6" xfId="8691" xr:uid="{7D72D809-2844-4EFF-8593-3B7F6D3F28BB}"/>
    <cellStyle name="Comma 10 2 3 2 2 6 2" xfId="23811" xr:uid="{C3E56A89-B799-402C-A59B-5D8FCB19DD60}"/>
    <cellStyle name="Comma 10 2 3 2 2 6 2 2" xfId="54051" xr:uid="{DE6EE795-2430-4B14-AD48-3F894A17F040}"/>
    <cellStyle name="Comma 10 2 3 2 2 6 3" xfId="38931" xr:uid="{E721E922-A1BE-4067-A99E-D93CBDEB5F79}"/>
    <cellStyle name="Comma 10 2 3 2 2 7" xfId="10203" xr:uid="{93A650ED-F5A8-47D1-A911-0094BD31CF96}"/>
    <cellStyle name="Comma 10 2 3 2 2 7 2" xfId="25323" xr:uid="{3608CCD4-48EA-4D15-9B15-3DD76F8B2420}"/>
    <cellStyle name="Comma 10 2 3 2 2 7 2 2" xfId="55563" xr:uid="{710ED34B-CABA-4D81-A032-6C4045E77B4C}"/>
    <cellStyle name="Comma 10 2 3 2 2 7 3" xfId="40443" xr:uid="{33A2E834-D1FA-4251-945C-4107DA6D4A69}"/>
    <cellStyle name="Comma 10 2 3 2 2 8" xfId="16251" xr:uid="{9D8B1A0A-4EC4-41D8-BC1A-F27EDE860285}"/>
    <cellStyle name="Comma 10 2 3 2 2 8 2" xfId="46491" xr:uid="{1651A0CA-4C02-4D7F-B715-8FD4683404D4}"/>
    <cellStyle name="Comma 10 2 3 2 2 9" xfId="31371" xr:uid="{A61935F8-B4D8-417A-8F05-2AF2649663D4}"/>
    <cellStyle name="Comma 10 2 3 2 3" xfId="1887" xr:uid="{1B82FB59-1D28-4862-BD2A-1797945469D2}"/>
    <cellStyle name="Comma 10 2 3 2 3 2" xfId="10959" xr:uid="{34D24567-35D6-47AC-A118-27812A801328}"/>
    <cellStyle name="Comma 10 2 3 2 3 2 2" xfId="26079" xr:uid="{71A586F0-C391-4767-8270-CBD59BB47FD1}"/>
    <cellStyle name="Comma 10 2 3 2 3 2 2 2" xfId="56319" xr:uid="{8C9E3ED5-832B-4B9E-BCAD-5BA27B769934}"/>
    <cellStyle name="Comma 10 2 3 2 3 2 3" xfId="41199" xr:uid="{FEC93AAA-970D-4EF8-92FA-1B035DCDDB64}"/>
    <cellStyle name="Comma 10 2 3 2 3 3" xfId="17007" xr:uid="{46A505E2-8452-4D74-99A9-66590893E175}"/>
    <cellStyle name="Comma 10 2 3 2 3 3 2" xfId="47247" xr:uid="{1AAB9496-11E3-476A-840D-F6451506F14B}"/>
    <cellStyle name="Comma 10 2 3 2 3 4" xfId="32127" xr:uid="{0193418A-B07E-46A6-AE2D-293F49B6675D}"/>
    <cellStyle name="Comma 10 2 3 2 4" xfId="3399" xr:uid="{22B0BDA7-5019-4229-9AD7-47171DDEB505}"/>
    <cellStyle name="Comma 10 2 3 2 4 2" xfId="12471" xr:uid="{E9344B37-48E7-4AF1-A9F9-BED9F131859C}"/>
    <cellStyle name="Comma 10 2 3 2 4 2 2" xfId="27591" xr:uid="{F1FD0CA6-93DB-4F2E-8B32-FB075BBD2792}"/>
    <cellStyle name="Comma 10 2 3 2 4 2 2 2" xfId="57831" xr:uid="{0714ADC0-0FEC-4EA4-A909-950E3E9D64DF}"/>
    <cellStyle name="Comma 10 2 3 2 4 2 3" xfId="42711" xr:uid="{6A6F77FA-8BC6-4E20-BBF3-1E2CCECF68AD}"/>
    <cellStyle name="Comma 10 2 3 2 4 3" xfId="18519" xr:uid="{2CEA8C32-2F83-4111-B6BF-DA7818335EF0}"/>
    <cellStyle name="Comma 10 2 3 2 4 3 2" xfId="48759" xr:uid="{D2602BA8-F13F-485C-B8D1-370FEDD45ACB}"/>
    <cellStyle name="Comma 10 2 3 2 4 4" xfId="33639" xr:uid="{2232E862-DF16-4B59-BE41-364D43B71F8E}"/>
    <cellStyle name="Comma 10 2 3 2 5" xfId="4911" xr:uid="{D3DA16F8-62ED-4918-BB15-8BDABB097FB6}"/>
    <cellStyle name="Comma 10 2 3 2 5 2" xfId="13983" xr:uid="{86FD997C-4366-4E1A-B7F1-BB66E13D19C1}"/>
    <cellStyle name="Comma 10 2 3 2 5 2 2" xfId="29103" xr:uid="{FB634746-C83C-4D16-8F02-46A352631A70}"/>
    <cellStyle name="Comma 10 2 3 2 5 2 2 2" xfId="59343" xr:uid="{5BA7085C-F8E0-4DA9-9B2D-37BDFE2AEEF1}"/>
    <cellStyle name="Comma 10 2 3 2 5 2 3" xfId="44223" xr:uid="{B03CB0DD-5B40-43CC-9D4A-CB2977218030}"/>
    <cellStyle name="Comma 10 2 3 2 5 3" xfId="20031" xr:uid="{92B31044-3BF5-486F-AA85-1CAA25F18440}"/>
    <cellStyle name="Comma 10 2 3 2 5 3 2" xfId="50271" xr:uid="{648381DA-B512-48D4-8F3F-CE55E2B5A96C}"/>
    <cellStyle name="Comma 10 2 3 2 5 4" xfId="35151" xr:uid="{A8208269-5443-4C6B-AC8D-7F0D2D7BD136}"/>
    <cellStyle name="Comma 10 2 3 2 6" xfId="6423" xr:uid="{2D6A99A9-0A71-4C06-A4FF-F55970C58CCF}"/>
    <cellStyle name="Comma 10 2 3 2 6 2" xfId="21543" xr:uid="{7EBF6FC6-A930-422C-97B5-691459CED441}"/>
    <cellStyle name="Comma 10 2 3 2 6 2 2" xfId="51783" xr:uid="{1B53409F-781E-463C-BC9D-D8D59FB643B9}"/>
    <cellStyle name="Comma 10 2 3 2 6 3" xfId="36663" xr:uid="{8B97EA60-E727-478B-982A-346EEA27BEDE}"/>
    <cellStyle name="Comma 10 2 3 2 7" xfId="7935" xr:uid="{3FD5C9F3-BB7E-4F46-8B31-5919F6763372}"/>
    <cellStyle name="Comma 10 2 3 2 7 2" xfId="23055" xr:uid="{47C06133-1F71-46B7-A37C-9558F50C6EC1}"/>
    <cellStyle name="Comma 10 2 3 2 7 2 2" xfId="53295" xr:uid="{F4954206-6185-4645-87CC-8CF441F9041B}"/>
    <cellStyle name="Comma 10 2 3 2 7 3" xfId="38175" xr:uid="{5BFE8100-CC65-4FE4-AD83-D06116ACA032}"/>
    <cellStyle name="Comma 10 2 3 2 8" xfId="9447" xr:uid="{1ED864A5-7E17-4C8E-BF5F-274DF74CD135}"/>
    <cellStyle name="Comma 10 2 3 2 8 2" xfId="24567" xr:uid="{47333334-78A5-40C0-8CB5-F9311A87F0C9}"/>
    <cellStyle name="Comma 10 2 3 2 8 2 2" xfId="54807" xr:uid="{125A2212-087C-4692-B4AE-542E7AA823D6}"/>
    <cellStyle name="Comma 10 2 3 2 8 3" xfId="39687" xr:uid="{2419BB0F-2D07-4CBA-AFBB-9FE0F5CF7F24}"/>
    <cellStyle name="Comma 10 2 3 2 9" xfId="15495" xr:uid="{2AADE842-B8A1-42AB-8111-3E9EF08CC028}"/>
    <cellStyle name="Comma 10 2 3 2 9 2" xfId="45735" xr:uid="{81158745-E912-4F53-B3B7-09A25DF123D3}"/>
    <cellStyle name="Comma 10 2 3 3" xfId="627" xr:uid="{1963E650-FA6A-46EC-9D68-BB2C6275211F}"/>
    <cellStyle name="Comma 10 2 3 3 10" xfId="30867" xr:uid="{140CF4EB-9257-4C3B-B680-605CA813FE72}"/>
    <cellStyle name="Comma 10 2 3 3 2" xfId="1383" xr:uid="{1786F5CA-3C2F-4926-A1A5-14AA115363A3}"/>
    <cellStyle name="Comma 10 2 3 3 2 2" xfId="2895" xr:uid="{B4DC6543-EB19-467A-A9EF-C90100441502}"/>
    <cellStyle name="Comma 10 2 3 3 2 2 2" xfId="11967" xr:uid="{845BBFC9-2D92-4086-AB21-4C7844A7BF72}"/>
    <cellStyle name="Comma 10 2 3 3 2 2 2 2" xfId="27087" xr:uid="{BB8DBE86-8479-4F0B-A57C-E04B83CCF750}"/>
    <cellStyle name="Comma 10 2 3 3 2 2 2 2 2" xfId="57327" xr:uid="{8D5D8A80-298E-418A-AA00-36C118C83A3C}"/>
    <cellStyle name="Comma 10 2 3 3 2 2 2 3" xfId="42207" xr:uid="{A1B4BB7D-7166-4108-9401-D40224321287}"/>
    <cellStyle name="Comma 10 2 3 3 2 2 3" xfId="18015" xr:uid="{F030AC3B-E503-4CD5-BBD0-60366CD0334D}"/>
    <cellStyle name="Comma 10 2 3 3 2 2 3 2" xfId="48255" xr:uid="{2E7ABC92-746E-4AA5-8213-BF6751694146}"/>
    <cellStyle name="Comma 10 2 3 3 2 2 4" xfId="33135" xr:uid="{45CDD5CF-DEAA-4B3E-BE55-88B254898AB0}"/>
    <cellStyle name="Comma 10 2 3 3 2 3" xfId="4407" xr:uid="{C9049099-A637-4467-BEFC-CCC02C403432}"/>
    <cellStyle name="Comma 10 2 3 3 2 3 2" xfId="13479" xr:uid="{170B8CFB-B136-4AA0-B5DD-F761C0FBE62E}"/>
    <cellStyle name="Comma 10 2 3 3 2 3 2 2" xfId="28599" xr:uid="{94D2F381-3F07-478B-B621-59FA5F7F97C1}"/>
    <cellStyle name="Comma 10 2 3 3 2 3 2 2 2" xfId="58839" xr:uid="{426C3E70-0D7A-4A50-BEA2-413965D8105E}"/>
    <cellStyle name="Comma 10 2 3 3 2 3 2 3" xfId="43719" xr:uid="{D799A0AC-9B84-4B74-AF41-4F687A73AE0A}"/>
    <cellStyle name="Comma 10 2 3 3 2 3 3" xfId="19527" xr:uid="{572CB2D1-CF82-487C-AA43-6902BD1935A2}"/>
    <cellStyle name="Comma 10 2 3 3 2 3 3 2" xfId="49767" xr:uid="{540BFC39-15B8-4E2A-B5FC-CD43AEF8E3AE}"/>
    <cellStyle name="Comma 10 2 3 3 2 3 4" xfId="34647" xr:uid="{4A304211-50FE-4752-B233-129D0A8AEDAD}"/>
    <cellStyle name="Comma 10 2 3 3 2 4" xfId="5919" xr:uid="{FF50A252-724F-4322-A590-3BBE84783420}"/>
    <cellStyle name="Comma 10 2 3 3 2 4 2" xfId="14991" xr:uid="{1D86D863-266A-4AB7-93F1-C4686F49137E}"/>
    <cellStyle name="Comma 10 2 3 3 2 4 2 2" xfId="30111" xr:uid="{52153038-0C59-4410-A621-1C4E398E99D1}"/>
    <cellStyle name="Comma 10 2 3 3 2 4 2 2 2" xfId="60351" xr:uid="{377B97A0-FB55-42F8-9AFA-55A835B6B444}"/>
    <cellStyle name="Comma 10 2 3 3 2 4 2 3" xfId="45231" xr:uid="{BBBDAC37-2EF5-45A8-96D0-9DC7E4507B23}"/>
    <cellStyle name="Comma 10 2 3 3 2 4 3" xfId="21039" xr:uid="{E8F166F8-1CD3-409E-98DA-A4B6688115EB}"/>
    <cellStyle name="Comma 10 2 3 3 2 4 3 2" xfId="51279" xr:uid="{A89DDCD8-F180-4281-93AD-AE839AD309E7}"/>
    <cellStyle name="Comma 10 2 3 3 2 4 4" xfId="36159" xr:uid="{DB7C04E0-16F1-4E15-9B22-FD50E54C7398}"/>
    <cellStyle name="Comma 10 2 3 3 2 5" xfId="7431" xr:uid="{AF042756-0B89-4181-A558-2AA7846FEF00}"/>
    <cellStyle name="Comma 10 2 3 3 2 5 2" xfId="22551" xr:uid="{3F64F565-170A-4ACF-80A3-A3FCD01F3DF3}"/>
    <cellStyle name="Comma 10 2 3 3 2 5 2 2" xfId="52791" xr:uid="{9081441F-A359-4F74-865D-619CEC4A487B}"/>
    <cellStyle name="Comma 10 2 3 3 2 5 3" xfId="37671" xr:uid="{1AAABED8-A35F-479C-800C-CC60FDB34A36}"/>
    <cellStyle name="Comma 10 2 3 3 2 6" xfId="8943" xr:uid="{62C362EF-7CA8-4334-9C79-D8921C041996}"/>
    <cellStyle name="Comma 10 2 3 3 2 6 2" xfId="24063" xr:uid="{6036A607-78B4-4095-AD6F-C684526FF158}"/>
    <cellStyle name="Comma 10 2 3 3 2 6 2 2" xfId="54303" xr:uid="{875D2630-B871-4DE6-B034-720832C0B762}"/>
    <cellStyle name="Comma 10 2 3 3 2 6 3" xfId="39183" xr:uid="{D6E642A7-73EC-459A-B866-4A2DBD3F0B31}"/>
    <cellStyle name="Comma 10 2 3 3 2 7" xfId="10455" xr:uid="{B20F5B5F-E3F9-400F-9137-7E915FD03DFA}"/>
    <cellStyle name="Comma 10 2 3 3 2 7 2" xfId="25575" xr:uid="{183E440A-0465-4CC4-93CC-744D2FE0F643}"/>
    <cellStyle name="Comma 10 2 3 3 2 7 2 2" xfId="55815" xr:uid="{503B93AD-9D3D-4D28-BC37-48918B516CB7}"/>
    <cellStyle name="Comma 10 2 3 3 2 7 3" xfId="40695" xr:uid="{26ED372E-E41A-4EAB-AC7F-2899A1EAB4EB}"/>
    <cellStyle name="Comma 10 2 3 3 2 8" xfId="16503" xr:uid="{20B728CB-C9F6-4A03-BDE9-4C7C0D3A3DA1}"/>
    <cellStyle name="Comma 10 2 3 3 2 8 2" xfId="46743" xr:uid="{E7E00CBD-7722-46A6-9EC1-45E3792DA981}"/>
    <cellStyle name="Comma 10 2 3 3 2 9" xfId="31623" xr:uid="{13D7C7B9-2DF5-47E8-8076-D965924B58BD}"/>
    <cellStyle name="Comma 10 2 3 3 3" xfId="2139" xr:uid="{5C74FC13-F4E4-401F-9C40-B28DCB4026EC}"/>
    <cellStyle name="Comma 10 2 3 3 3 2" xfId="11211" xr:uid="{B5FC20C2-43D4-4979-9FC5-09443D548671}"/>
    <cellStyle name="Comma 10 2 3 3 3 2 2" xfId="26331" xr:uid="{1D30DDF3-8FBA-49C5-A26F-065A576CD7F1}"/>
    <cellStyle name="Comma 10 2 3 3 3 2 2 2" xfId="56571" xr:uid="{1A584579-FCFC-4C8E-9FF6-71E9F1710A0F}"/>
    <cellStyle name="Comma 10 2 3 3 3 2 3" xfId="41451" xr:uid="{7FE63CDE-CDC6-4E3C-8C29-BB8BA71BF43E}"/>
    <cellStyle name="Comma 10 2 3 3 3 3" xfId="17259" xr:uid="{58084A6E-88CD-44E3-A8E1-E8297FC99A03}"/>
    <cellStyle name="Comma 10 2 3 3 3 3 2" xfId="47499" xr:uid="{C65CE452-62BC-45A4-BB09-035578B0116F}"/>
    <cellStyle name="Comma 10 2 3 3 3 4" xfId="32379" xr:uid="{15A7C537-56CD-4EAC-B0CA-9A5B0106A191}"/>
    <cellStyle name="Comma 10 2 3 3 4" xfId="3651" xr:uid="{DA5B3FD6-9884-4CDC-81C2-2F39F087630C}"/>
    <cellStyle name="Comma 10 2 3 3 4 2" xfId="12723" xr:uid="{24FB5BA9-8B06-4D55-BE61-7D7B20E9FB15}"/>
    <cellStyle name="Comma 10 2 3 3 4 2 2" xfId="27843" xr:uid="{8481B7F7-362B-4224-83D6-302BD66BF1C8}"/>
    <cellStyle name="Comma 10 2 3 3 4 2 2 2" xfId="58083" xr:uid="{63983F81-48EA-4536-9B27-1740DB6F2632}"/>
    <cellStyle name="Comma 10 2 3 3 4 2 3" xfId="42963" xr:uid="{6D19EBD9-F1D7-4AD7-AE10-E226640FA645}"/>
    <cellStyle name="Comma 10 2 3 3 4 3" xfId="18771" xr:uid="{E1713A21-17A6-485C-A73C-650F36C3A3B2}"/>
    <cellStyle name="Comma 10 2 3 3 4 3 2" xfId="49011" xr:uid="{021CD9F0-D7C1-4CD7-A2BF-B2D627200AAC}"/>
    <cellStyle name="Comma 10 2 3 3 4 4" xfId="33891" xr:uid="{DD729189-36F8-4D1E-AF09-815818A2FEE1}"/>
    <cellStyle name="Comma 10 2 3 3 5" xfId="5163" xr:uid="{2ED50654-9DA2-44BB-8587-D68B22B539DC}"/>
    <cellStyle name="Comma 10 2 3 3 5 2" xfId="14235" xr:uid="{91D35AF1-070D-472B-A0E4-C9C31BB02B5A}"/>
    <cellStyle name="Comma 10 2 3 3 5 2 2" xfId="29355" xr:uid="{17A27ABC-EAF9-4054-9E00-8C914DE61BED}"/>
    <cellStyle name="Comma 10 2 3 3 5 2 2 2" xfId="59595" xr:uid="{1C0561C6-26B1-4029-A89D-26EC5FA62F96}"/>
    <cellStyle name="Comma 10 2 3 3 5 2 3" xfId="44475" xr:uid="{D758D643-46D4-42AB-B848-79A6B7DCA63A}"/>
    <cellStyle name="Comma 10 2 3 3 5 3" xfId="20283" xr:uid="{A54A51BF-7ED6-42A7-901C-B4DA80CA1726}"/>
    <cellStyle name="Comma 10 2 3 3 5 3 2" xfId="50523" xr:uid="{A19BF33A-18F7-4331-BC3C-DE52B9882F2E}"/>
    <cellStyle name="Comma 10 2 3 3 5 4" xfId="35403" xr:uid="{47A51ADD-EF82-4390-9B94-7BFB6F64A45F}"/>
    <cellStyle name="Comma 10 2 3 3 6" xfId="6675" xr:uid="{E0F57229-D146-4097-A3A3-3061156FD82A}"/>
    <cellStyle name="Comma 10 2 3 3 6 2" xfId="21795" xr:uid="{C73C4F68-F1C8-4A35-A43C-2F497C120268}"/>
    <cellStyle name="Comma 10 2 3 3 6 2 2" xfId="52035" xr:uid="{04889B4D-9A84-41D5-821A-3E7FAEC276A8}"/>
    <cellStyle name="Comma 10 2 3 3 6 3" xfId="36915" xr:uid="{33B31FC0-168D-4B06-A522-E1EF462C64B2}"/>
    <cellStyle name="Comma 10 2 3 3 7" xfId="8187" xr:uid="{67658A07-A626-4079-B7A6-C0F105156A6C}"/>
    <cellStyle name="Comma 10 2 3 3 7 2" xfId="23307" xr:uid="{2327B9EE-7599-486A-9871-51B69E460017}"/>
    <cellStyle name="Comma 10 2 3 3 7 2 2" xfId="53547" xr:uid="{40F0F9F6-4D22-46EF-8471-FC3CEA7F9408}"/>
    <cellStyle name="Comma 10 2 3 3 7 3" xfId="38427" xr:uid="{08DD05FA-0CA4-47BB-997A-290C313310A5}"/>
    <cellStyle name="Comma 10 2 3 3 8" xfId="9699" xr:uid="{C20B5A6C-0AD2-4F7B-AAF7-D4CF911CA057}"/>
    <cellStyle name="Comma 10 2 3 3 8 2" xfId="24819" xr:uid="{A4FC4848-49DF-4B16-963D-55F20A798623}"/>
    <cellStyle name="Comma 10 2 3 3 8 2 2" xfId="55059" xr:uid="{3130446C-6228-4D52-96C3-86929C0FF212}"/>
    <cellStyle name="Comma 10 2 3 3 8 3" xfId="39939" xr:uid="{CB8CFD53-3F24-42A8-9F51-48E4715DAF37}"/>
    <cellStyle name="Comma 10 2 3 3 9" xfId="15747" xr:uid="{4790F523-95E7-41E7-B51A-CC8A5CD93EF1}"/>
    <cellStyle name="Comma 10 2 3 3 9 2" xfId="45987" xr:uid="{0AE1597E-BE74-4580-9D7C-D09BB97E2036}"/>
    <cellStyle name="Comma 10 2 3 4" xfId="879" xr:uid="{1EC565D4-82DD-43E2-989A-6EECB225ED21}"/>
    <cellStyle name="Comma 10 2 3 4 2" xfId="2391" xr:uid="{8304847D-978E-4568-B177-28BCA0470C84}"/>
    <cellStyle name="Comma 10 2 3 4 2 2" xfId="11463" xr:uid="{332E7CBE-2F94-49B1-B68D-BC90C4C69038}"/>
    <cellStyle name="Comma 10 2 3 4 2 2 2" xfId="26583" xr:uid="{82AEF742-E4F9-451B-A4D5-82ACA8111EE5}"/>
    <cellStyle name="Comma 10 2 3 4 2 2 2 2" xfId="56823" xr:uid="{C4FCF102-B44C-4A8A-A19A-178BAFED57C4}"/>
    <cellStyle name="Comma 10 2 3 4 2 2 3" xfId="41703" xr:uid="{EFE6D787-538F-47C1-A06C-F0CEE9813D00}"/>
    <cellStyle name="Comma 10 2 3 4 2 3" xfId="17511" xr:uid="{8DFC43DC-F4FE-43F0-9694-85F8D2342171}"/>
    <cellStyle name="Comma 10 2 3 4 2 3 2" xfId="47751" xr:uid="{F584C925-EC47-49D7-91E1-3B7088E577E2}"/>
    <cellStyle name="Comma 10 2 3 4 2 4" xfId="32631" xr:uid="{45B6DE76-94F9-4573-8717-814D6984BC24}"/>
    <cellStyle name="Comma 10 2 3 4 3" xfId="3903" xr:uid="{A01D127D-709F-48EC-9D52-392A08FCA0E9}"/>
    <cellStyle name="Comma 10 2 3 4 3 2" xfId="12975" xr:uid="{E6425321-119C-4130-B6F1-D1697C7D2F0F}"/>
    <cellStyle name="Comma 10 2 3 4 3 2 2" xfId="28095" xr:uid="{ED92BB83-2D65-46E3-99D8-1ABD6B1C408F}"/>
    <cellStyle name="Comma 10 2 3 4 3 2 2 2" xfId="58335" xr:uid="{E48EC926-D4BB-4C8D-8C65-CADBCA40E32A}"/>
    <cellStyle name="Comma 10 2 3 4 3 2 3" xfId="43215" xr:uid="{07C600B5-9F21-477A-B87B-1D63E5AA037A}"/>
    <cellStyle name="Comma 10 2 3 4 3 3" xfId="19023" xr:uid="{90A7DE5D-7BAD-4AC3-8EC7-95AE71280695}"/>
    <cellStyle name="Comma 10 2 3 4 3 3 2" xfId="49263" xr:uid="{8562F412-E702-4450-9B80-8D6CD61B88D0}"/>
    <cellStyle name="Comma 10 2 3 4 3 4" xfId="34143" xr:uid="{8511CAC2-B3FF-4892-A38F-6E11BED11354}"/>
    <cellStyle name="Comma 10 2 3 4 4" xfId="5415" xr:uid="{D67138BA-35E7-4D29-A3F2-D1BAB1E360E7}"/>
    <cellStyle name="Comma 10 2 3 4 4 2" xfId="14487" xr:uid="{64427F58-D54D-4CA7-84A5-0445B5F96EEC}"/>
    <cellStyle name="Comma 10 2 3 4 4 2 2" xfId="29607" xr:uid="{0F589EDD-525B-4C35-9AEC-BC87CD35BCE4}"/>
    <cellStyle name="Comma 10 2 3 4 4 2 2 2" xfId="59847" xr:uid="{7EB5331F-DBEE-459A-A456-B9AE86693B7E}"/>
    <cellStyle name="Comma 10 2 3 4 4 2 3" xfId="44727" xr:uid="{EDE35A1D-434D-4DA2-8487-A34E7CF052D3}"/>
    <cellStyle name="Comma 10 2 3 4 4 3" xfId="20535" xr:uid="{4014E4E1-5D1F-4619-8CC6-07C331B55BA2}"/>
    <cellStyle name="Comma 10 2 3 4 4 3 2" xfId="50775" xr:uid="{86E22CF2-096C-42DE-B34F-6433C6BC19E4}"/>
    <cellStyle name="Comma 10 2 3 4 4 4" xfId="35655" xr:uid="{29CFA764-4C4D-4127-9AB1-8878B7DF9327}"/>
    <cellStyle name="Comma 10 2 3 4 5" xfId="6927" xr:uid="{995167FC-D6DE-4FE4-A689-52C9A04C15A7}"/>
    <cellStyle name="Comma 10 2 3 4 5 2" xfId="22047" xr:uid="{BA12A02F-A086-43AA-8905-C26C56C235C9}"/>
    <cellStyle name="Comma 10 2 3 4 5 2 2" xfId="52287" xr:uid="{A2D3B1B7-5A2B-47AF-953C-0678EB079855}"/>
    <cellStyle name="Comma 10 2 3 4 5 3" xfId="37167" xr:uid="{9873DD43-D2E9-4198-9846-3A14210CDB85}"/>
    <cellStyle name="Comma 10 2 3 4 6" xfId="8439" xr:uid="{4FF0C927-D77F-42D2-B7B2-54B6968EC386}"/>
    <cellStyle name="Comma 10 2 3 4 6 2" xfId="23559" xr:uid="{BC295572-6AE6-4464-A84A-32441586662D}"/>
    <cellStyle name="Comma 10 2 3 4 6 2 2" xfId="53799" xr:uid="{DA96A9F2-4DBA-47EE-8FED-F9E499CA41AF}"/>
    <cellStyle name="Comma 10 2 3 4 6 3" xfId="38679" xr:uid="{DD9576F0-C386-425E-ADB3-13C34117121C}"/>
    <cellStyle name="Comma 10 2 3 4 7" xfId="9951" xr:uid="{386C7B58-8052-462B-95E6-765577BC89AA}"/>
    <cellStyle name="Comma 10 2 3 4 7 2" xfId="25071" xr:uid="{26FD9256-044C-473E-8E19-09D7EBBAFCD4}"/>
    <cellStyle name="Comma 10 2 3 4 7 2 2" xfId="55311" xr:uid="{7CD01E4F-5BAD-4E6C-B5FC-15410B1F6A3C}"/>
    <cellStyle name="Comma 10 2 3 4 7 3" xfId="40191" xr:uid="{62766AB5-AA4D-4312-B912-C49DE482C118}"/>
    <cellStyle name="Comma 10 2 3 4 8" xfId="15999" xr:uid="{17030779-3A87-4992-A8C0-02156B2133DB}"/>
    <cellStyle name="Comma 10 2 3 4 8 2" xfId="46239" xr:uid="{1A97C4E9-1C93-4698-AFEF-90FB4AC3C5ED}"/>
    <cellStyle name="Comma 10 2 3 4 9" xfId="31119" xr:uid="{825D5BBB-1652-4C4D-9B24-78DEC1715CAE}"/>
    <cellStyle name="Comma 10 2 3 5" xfId="1635" xr:uid="{77E52D6E-3D91-462A-AE21-6E56DBA047BD}"/>
    <cellStyle name="Comma 10 2 3 5 2" xfId="10707" xr:uid="{94FC9E7C-F5F0-44A8-BECC-D0C637934527}"/>
    <cellStyle name="Comma 10 2 3 5 2 2" xfId="25827" xr:uid="{4D0840BF-7FBE-4DB2-BB75-4592B12A3D7A}"/>
    <cellStyle name="Comma 10 2 3 5 2 2 2" xfId="56067" xr:uid="{56D05222-CA8A-4DF6-9F5F-69BDAA39B172}"/>
    <cellStyle name="Comma 10 2 3 5 2 3" xfId="40947" xr:uid="{64E535CC-5DD2-49C3-9E00-504DAB45A659}"/>
    <cellStyle name="Comma 10 2 3 5 3" xfId="16755" xr:uid="{BFA0E82A-8952-4D8E-8555-0CC62F38FEBD}"/>
    <cellStyle name="Comma 10 2 3 5 3 2" xfId="46995" xr:uid="{AB83A08C-BD1F-4B99-BCBF-C2B1F6F2DC02}"/>
    <cellStyle name="Comma 10 2 3 5 4" xfId="31875" xr:uid="{F4094DB8-0ACC-454D-A34E-86D58F913EAE}"/>
    <cellStyle name="Comma 10 2 3 6" xfId="3147" xr:uid="{64ABB27A-F423-4CE7-B7FE-449904FF8BB1}"/>
    <cellStyle name="Comma 10 2 3 6 2" xfId="12219" xr:uid="{F2BF5906-153E-4EB4-8849-222573FD7F20}"/>
    <cellStyle name="Comma 10 2 3 6 2 2" xfId="27339" xr:uid="{64FB9809-D7AD-4045-A23D-EACDC53ACD12}"/>
    <cellStyle name="Comma 10 2 3 6 2 2 2" xfId="57579" xr:uid="{C4F385EF-C076-4147-822C-7481A37E6AF2}"/>
    <cellStyle name="Comma 10 2 3 6 2 3" xfId="42459" xr:uid="{5DFBC7E2-B879-422D-9656-70BD45E04898}"/>
    <cellStyle name="Comma 10 2 3 6 3" xfId="18267" xr:uid="{B290DC9F-46D0-40AE-BB32-549905731B40}"/>
    <cellStyle name="Comma 10 2 3 6 3 2" xfId="48507" xr:uid="{8966D9C5-2D84-493C-ABF5-ED92831B51FC}"/>
    <cellStyle name="Comma 10 2 3 6 4" xfId="33387" xr:uid="{BA085AEE-EF4B-42A5-B989-EFEEB16B74D6}"/>
    <cellStyle name="Comma 10 2 3 7" xfId="4659" xr:uid="{4E9FF5B4-6552-4C1E-80E5-B69391F0C1DA}"/>
    <cellStyle name="Comma 10 2 3 7 2" xfId="13731" xr:uid="{8108FCE4-BDB7-47E9-B608-3C7CA916F3D6}"/>
    <cellStyle name="Comma 10 2 3 7 2 2" xfId="28851" xr:uid="{682920ED-1D57-4C90-9681-745E2E124619}"/>
    <cellStyle name="Comma 10 2 3 7 2 2 2" xfId="59091" xr:uid="{73D6FC28-96C5-4675-A9D9-FF7E6EDDA112}"/>
    <cellStyle name="Comma 10 2 3 7 2 3" xfId="43971" xr:uid="{9F0EF3A2-FB60-4ED6-BB23-650398E13978}"/>
    <cellStyle name="Comma 10 2 3 7 3" xfId="19779" xr:uid="{A9E5196B-52A1-4A68-8769-7B74C9539F21}"/>
    <cellStyle name="Comma 10 2 3 7 3 2" xfId="50019" xr:uid="{99B48635-304C-48A6-8CFC-807B90F5B8E7}"/>
    <cellStyle name="Comma 10 2 3 7 4" xfId="34899" xr:uid="{83B5E059-8896-4146-96FE-8E0C5885E538}"/>
    <cellStyle name="Comma 10 2 3 8" xfId="6171" xr:uid="{229A0198-118D-460C-941C-4269E71E3C86}"/>
    <cellStyle name="Comma 10 2 3 8 2" xfId="21291" xr:uid="{BBCFE61D-97B2-4BD4-9D41-6446552CA3AE}"/>
    <cellStyle name="Comma 10 2 3 8 2 2" xfId="51531" xr:uid="{A9643620-0E67-4EF7-B9F4-47CE2B71B010}"/>
    <cellStyle name="Comma 10 2 3 8 3" xfId="36411" xr:uid="{DF1124C3-8D68-4AB1-BBF8-0576436D7FD5}"/>
    <cellStyle name="Comma 10 2 3 9" xfId="7683" xr:uid="{F9517A98-676C-45AB-AA99-A1DC45EDA5A4}"/>
    <cellStyle name="Comma 10 2 3 9 2" xfId="22803" xr:uid="{2E18795B-19B9-4DA1-97AE-AA478DFF8063}"/>
    <cellStyle name="Comma 10 2 3 9 2 2" xfId="53043" xr:uid="{0D5E0527-A0C3-4087-975A-0421B458F38F}"/>
    <cellStyle name="Comma 10 2 3 9 3" xfId="37923" xr:uid="{68262CEB-F1B6-4C8A-8ADA-8EE03C8F82EE}"/>
    <cellStyle name="Comma 10 2 4" xfId="207" xr:uid="{DEA57E6C-2CCE-4EA5-ACEE-4F2ECE334923}"/>
    <cellStyle name="Comma 10 2 4 10" xfId="9279" xr:uid="{0B196052-92D1-49BF-95AD-2978BB8411E6}"/>
    <cellStyle name="Comma 10 2 4 10 2" xfId="24399" xr:uid="{45D9FAF2-43AC-48DC-AF15-264CC4752C7A}"/>
    <cellStyle name="Comma 10 2 4 10 2 2" xfId="54639" xr:uid="{32F8EDE3-F326-4FE7-9332-C88D92479356}"/>
    <cellStyle name="Comma 10 2 4 10 3" xfId="39519" xr:uid="{E27C9A9E-1768-4E5A-8353-757C8DEE8912}"/>
    <cellStyle name="Comma 10 2 4 11" xfId="15327" xr:uid="{6B9F5F86-CC42-4A0D-8068-0439F458058E}"/>
    <cellStyle name="Comma 10 2 4 11 2" xfId="45567" xr:uid="{80AEFC34-FB46-41C9-8F20-E8EB63675B08}"/>
    <cellStyle name="Comma 10 2 4 12" xfId="30447" xr:uid="{1E4A0C84-2657-42E5-9E67-3B36C612A124}"/>
    <cellStyle name="Comma 10 2 4 2" xfId="459" xr:uid="{34152807-B598-4C40-88DF-7453BBCE6F3B}"/>
    <cellStyle name="Comma 10 2 4 2 10" xfId="30699" xr:uid="{4B7CBEAA-E933-4C69-8BB9-87572D1B9A23}"/>
    <cellStyle name="Comma 10 2 4 2 2" xfId="1215" xr:uid="{EBC8E180-A9D9-4D7B-9023-D0604DA6BEB2}"/>
    <cellStyle name="Comma 10 2 4 2 2 2" xfId="2727" xr:uid="{CBF2A281-ED18-4FC8-BF27-662C7C72CDF6}"/>
    <cellStyle name="Comma 10 2 4 2 2 2 2" xfId="11799" xr:uid="{392C48A3-C976-407B-A438-528BEE4AA9A1}"/>
    <cellStyle name="Comma 10 2 4 2 2 2 2 2" xfId="26919" xr:uid="{031C8DE4-765D-4CE2-AE6A-701EFD8220A3}"/>
    <cellStyle name="Comma 10 2 4 2 2 2 2 2 2" xfId="57159" xr:uid="{F5828341-95ED-410B-A036-8808F901E006}"/>
    <cellStyle name="Comma 10 2 4 2 2 2 2 3" xfId="42039" xr:uid="{549AEC62-B37F-4DBA-86E3-E5957D267E04}"/>
    <cellStyle name="Comma 10 2 4 2 2 2 3" xfId="17847" xr:uid="{7C2FFEF9-1A47-4BC6-A7B6-43AEFA96B5A0}"/>
    <cellStyle name="Comma 10 2 4 2 2 2 3 2" xfId="48087" xr:uid="{7846B38E-1FC8-4279-8A3F-EDFDAE9D379C}"/>
    <cellStyle name="Comma 10 2 4 2 2 2 4" xfId="32967" xr:uid="{859189C7-B07C-4ABC-9620-A422F00FD2C5}"/>
    <cellStyle name="Comma 10 2 4 2 2 3" xfId="4239" xr:uid="{1C5F16D3-DA2B-4746-AC81-320F1CEFA9CA}"/>
    <cellStyle name="Comma 10 2 4 2 2 3 2" xfId="13311" xr:uid="{1512AC2C-30A1-4A1C-AD32-A607470CCCFE}"/>
    <cellStyle name="Comma 10 2 4 2 2 3 2 2" xfId="28431" xr:uid="{93510950-9830-426B-81E2-D4D236127DA1}"/>
    <cellStyle name="Comma 10 2 4 2 2 3 2 2 2" xfId="58671" xr:uid="{FCFAE3BB-CE84-49A7-90AC-28E8B27F2BA6}"/>
    <cellStyle name="Comma 10 2 4 2 2 3 2 3" xfId="43551" xr:uid="{0443E444-6473-4AF0-89D2-33567E3C0789}"/>
    <cellStyle name="Comma 10 2 4 2 2 3 3" xfId="19359" xr:uid="{4A056BB4-8B3B-490D-8DA1-59AEDC731101}"/>
    <cellStyle name="Comma 10 2 4 2 2 3 3 2" xfId="49599" xr:uid="{BC126DE6-6F1B-43E0-8F5A-C71AA63A93E7}"/>
    <cellStyle name="Comma 10 2 4 2 2 3 4" xfId="34479" xr:uid="{9F28FD7C-9D02-42C2-AFAE-BBA192FC3F25}"/>
    <cellStyle name="Comma 10 2 4 2 2 4" xfId="5751" xr:uid="{53EF2CE8-0673-4D53-ACE8-423D427E745D}"/>
    <cellStyle name="Comma 10 2 4 2 2 4 2" xfId="14823" xr:uid="{D75B5F39-F7BB-4313-AC21-D40AD9C4517F}"/>
    <cellStyle name="Comma 10 2 4 2 2 4 2 2" xfId="29943" xr:uid="{1E802C59-29AB-4D91-A9C8-91146A3B8E53}"/>
    <cellStyle name="Comma 10 2 4 2 2 4 2 2 2" xfId="60183" xr:uid="{9B819E60-4699-443F-B3D9-CF0A9FDB93D4}"/>
    <cellStyle name="Comma 10 2 4 2 2 4 2 3" xfId="45063" xr:uid="{93524583-0904-48AB-A35F-236F2BC1B57B}"/>
    <cellStyle name="Comma 10 2 4 2 2 4 3" xfId="20871" xr:uid="{FAF8540E-1A49-4EBA-B518-90C272D3AF69}"/>
    <cellStyle name="Comma 10 2 4 2 2 4 3 2" xfId="51111" xr:uid="{6D55F253-78E9-4E73-BDCE-13054DD3EE2A}"/>
    <cellStyle name="Comma 10 2 4 2 2 4 4" xfId="35991" xr:uid="{D08A17C4-CC15-4B3A-9DBE-EF8699654F92}"/>
    <cellStyle name="Comma 10 2 4 2 2 5" xfId="7263" xr:uid="{C4BA56E5-2BD8-4633-A6D0-2C288481D3B9}"/>
    <cellStyle name="Comma 10 2 4 2 2 5 2" xfId="22383" xr:uid="{111A7742-31F5-4EB1-BAF6-127C4E1A3408}"/>
    <cellStyle name="Comma 10 2 4 2 2 5 2 2" xfId="52623" xr:uid="{978B2A48-4343-4C06-A87C-CB811F2317D7}"/>
    <cellStyle name="Comma 10 2 4 2 2 5 3" xfId="37503" xr:uid="{A227ADA1-BCCE-45C0-AEFA-EEBDDB8EFA62}"/>
    <cellStyle name="Comma 10 2 4 2 2 6" xfId="8775" xr:uid="{19FC7F01-F211-4053-93E5-CFC872186E93}"/>
    <cellStyle name="Comma 10 2 4 2 2 6 2" xfId="23895" xr:uid="{E67D389B-7F64-4C8B-9787-F1E4B99F7BFD}"/>
    <cellStyle name="Comma 10 2 4 2 2 6 2 2" xfId="54135" xr:uid="{55661D13-9372-4CA4-885C-7B095D3A26F0}"/>
    <cellStyle name="Comma 10 2 4 2 2 6 3" xfId="39015" xr:uid="{853DA852-C271-4A19-B700-740C1485EC07}"/>
    <cellStyle name="Comma 10 2 4 2 2 7" xfId="10287" xr:uid="{B6BBA45E-04F1-44CB-9852-AC53B0E41B6A}"/>
    <cellStyle name="Comma 10 2 4 2 2 7 2" xfId="25407" xr:uid="{A3E7D14B-56D7-481E-A0ED-B8C708833A88}"/>
    <cellStyle name="Comma 10 2 4 2 2 7 2 2" xfId="55647" xr:uid="{DEEC149E-0097-46CF-A8D6-00CC14D75D7E}"/>
    <cellStyle name="Comma 10 2 4 2 2 7 3" xfId="40527" xr:uid="{50A7B85B-D933-477F-B9B6-AC302091E933}"/>
    <cellStyle name="Comma 10 2 4 2 2 8" xfId="16335" xr:uid="{08212A77-E7DB-472D-BD1B-F514D6F96874}"/>
    <cellStyle name="Comma 10 2 4 2 2 8 2" xfId="46575" xr:uid="{F1C51AD4-3385-4061-9B57-4AD73373AAE6}"/>
    <cellStyle name="Comma 10 2 4 2 2 9" xfId="31455" xr:uid="{5434DAFD-3F22-46B6-AC38-3EB062F76834}"/>
    <cellStyle name="Comma 10 2 4 2 3" xfId="1971" xr:uid="{FBF3EB37-C6B9-4E66-B37D-9764E63CDB7C}"/>
    <cellStyle name="Comma 10 2 4 2 3 2" xfId="11043" xr:uid="{649BFB6F-82BD-44BF-B1B1-0DDD195013A0}"/>
    <cellStyle name="Comma 10 2 4 2 3 2 2" xfId="26163" xr:uid="{A7B5F32F-EDF4-4B84-87B8-72CDDCE3D801}"/>
    <cellStyle name="Comma 10 2 4 2 3 2 2 2" xfId="56403" xr:uid="{D9A50C3D-7925-45D9-8B4D-0727626C2D53}"/>
    <cellStyle name="Comma 10 2 4 2 3 2 3" xfId="41283" xr:uid="{695D229F-9A7E-4FC2-8D86-893F5A8467EA}"/>
    <cellStyle name="Comma 10 2 4 2 3 3" xfId="17091" xr:uid="{377309B9-D6A1-4F41-A763-F9B81572A95C}"/>
    <cellStyle name="Comma 10 2 4 2 3 3 2" xfId="47331" xr:uid="{FEB2720A-73DD-4513-8135-9127FDF17609}"/>
    <cellStyle name="Comma 10 2 4 2 3 4" xfId="32211" xr:uid="{CC6F36F6-9618-4F79-9F51-52164A55358A}"/>
    <cellStyle name="Comma 10 2 4 2 4" xfId="3483" xr:uid="{9E3815DD-5B70-4D6F-8796-20BBF480D1D2}"/>
    <cellStyle name="Comma 10 2 4 2 4 2" xfId="12555" xr:uid="{D684DC39-C9D7-47A3-BDDD-5AF78AE482F5}"/>
    <cellStyle name="Comma 10 2 4 2 4 2 2" xfId="27675" xr:uid="{C44A3215-C21D-4AF4-90A1-ACCA24E79D68}"/>
    <cellStyle name="Comma 10 2 4 2 4 2 2 2" xfId="57915" xr:uid="{5045C3E4-7789-466F-9B10-F5C60C719F1A}"/>
    <cellStyle name="Comma 10 2 4 2 4 2 3" xfId="42795" xr:uid="{0F139197-C5A4-4787-AFDF-411A5BA506DF}"/>
    <cellStyle name="Comma 10 2 4 2 4 3" xfId="18603" xr:uid="{C669F5E2-0406-47FF-8F19-6776D4A69EB1}"/>
    <cellStyle name="Comma 10 2 4 2 4 3 2" xfId="48843" xr:uid="{1A3CA4D0-D434-4882-9943-8A522C653094}"/>
    <cellStyle name="Comma 10 2 4 2 4 4" xfId="33723" xr:uid="{46D1C79D-FE67-40EE-B01B-FA48F21C2987}"/>
    <cellStyle name="Comma 10 2 4 2 5" xfId="4995" xr:uid="{0634FDF6-6FAA-4495-912E-2B30B9E458CF}"/>
    <cellStyle name="Comma 10 2 4 2 5 2" xfId="14067" xr:uid="{66F5804F-2233-4992-96F9-EC1BDDFD8BE8}"/>
    <cellStyle name="Comma 10 2 4 2 5 2 2" xfId="29187" xr:uid="{AAFB2A16-F194-453C-B998-ADB76B16E440}"/>
    <cellStyle name="Comma 10 2 4 2 5 2 2 2" xfId="59427" xr:uid="{A51DAA57-409C-4C90-BCA7-8B31B782974B}"/>
    <cellStyle name="Comma 10 2 4 2 5 2 3" xfId="44307" xr:uid="{57FC136B-8F4E-4388-8F55-A7A4DC142436}"/>
    <cellStyle name="Comma 10 2 4 2 5 3" xfId="20115" xr:uid="{21F09FF5-F52E-4B9E-BA9D-7A16F4DC8E4C}"/>
    <cellStyle name="Comma 10 2 4 2 5 3 2" xfId="50355" xr:uid="{6B906662-593D-4AA9-B5B7-4FDCC9ED8A48}"/>
    <cellStyle name="Comma 10 2 4 2 5 4" xfId="35235" xr:uid="{8E3CAE10-A1C7-45A8-9871-5456D7B985C6}"/>
    <cellStyle name="Comma 10 2 4 2 6" xfId="6507" xr:uid="{6A0B2AE9-0945-46AC-9550-1B63323CAED9}"/>
    <cellStyle name="Comma 10 2 4 2 6 2" xfId="21627" xr:uid="{2B5B76A4-D62D-452A-B5A3-9D916AF5AF50}"/>
    <cellStyle name="Comma 10 2 4 2 6 2 2" xfId="51867" xr:uid="{82518A16-C958-46C6-BD2A-EC30F31FA909}"/>
    <cellStyle name="Comma 10 2 4 2 6 3" xfId="36747" xr:uid="{515E0A2D-F49A-4699-A35A-4F4C33FE4B00}"/>
    <cellStyle name="Comma 10 2 4 2 7" xfId="8019" xr:uid="{F229BC36-D195-4C4C-8A60-7D65F057E42E}"/>
    <cellStyle name="Comma 10 2 4 2 7 2" xfId="23139" xr:uid="{465522E9-227B-4038-ACF5-744AA1576A0B}"/>
    <cellStyle name="Comma 10 2 4 2 7 2 2" xfId="53379" xr:uid="{83E7F9EE-0A33-4775-8801-8409044EB805}"/>
    <cellStyle name="Comma 10 2 4 2 7 3" xfId="38259" xr:uid="{7F42FDA9-C41A-44FF-90EE-29ED4B4CC7BC}"/>
    <cellStyle name="Comma 10 2 4 2 8" xfId="9531" xr:uid="{4E4E4DFC-56C6-4117-9BBC-A3692D3576F6}"/>
    <cellStyle name="Comma 10 2 4 2 8 2" xfId="24651" xr:uid="{E2B7CE0F-2FAF-4DFE-AEEF-CC961E23A0A2}"/>
    <cellStyle name="Comma 10 2 4 2 8 2 2" xfId="54891" xr:uid="{458E89E5-54EE-41D3-90F4-DC75DA96AD2F}"/>
    <cellStyle name="Comma 10 2 4 2 8 3" xfId="39771" xr:uid="{0983C4C8-AD87-4714-9AF2-FDB36E74AEAF}"/>
    <cellStyle name="Comma 10 2 4 2 9" xfId="15579" xr:uid="{706F6177-41D3-4809-B804-43A3CBB8DDCA}"/>
    <cellStyle name="Comma 10 2 4 2 9 2" xfId="45819" xr:uid="{B05484DA-ED76-4E20-B91E-257C53776077}"/>
    <cellStyle name="Comma 10 2 4 3" xfId="711" xr:uid="{469E2E48-4BB3-4988-82B4-487F4253F8E9}"/>
    <cellStyle name="Comma 10 2 4 3 10" xfId="30951" xr:uid="{AAB1682E-2408-4FD1-A1FC-9CD021F28E34}"/>
    <cellStyle name="Comma 10 2 4 3 2" xfId="1467" xr:uid="{14F11638-B8EF-45EF-9995-22646491E3F8}"/>
    <cellStyle name="Comma 10 2 4 3 2 2" xfId="2979" xr:uid="{603F4DD5-2D9B-423A-82C8-9A08ED43F283}"/>
    <cellStyle name="Comma 10 2 4 3 2 2 2" xfId="12051" xr:uid="{CA05F4F5-6A61-48E7-BD3A-26ADE8D0D03D}"/>
    <cellStyle name="Comma 10 2 4 3 2 2 2 2" xfId="27171" xr:uid="{10E0F991-8861-4B5B-BEAB-E9520275D88F}"/>
    <cellStyle name="Comma 10 2 4 3 2 2 2 2 2" xfId="57411" xr:uid="{EDE1C9A2-E23F-4511-8295-99C387C26EF0}"/>
    <cellStyle name="Comma 10 2 4 3 2 2 2 3" xfId="42291" xr:uid="{9891C170-8E39-4B5E-B9CC-EB7AA024FC37}"/>
    <cellStyle name="Comma 10 2 4 3 2 2 3" xfId="18099" xr:uid="{18615706-E9FA-4583-BFC8-2E76AE121B88}"/>
    <cellStyle name="Comma 10 2 4 3 2 2 3 2" xfId="48339" xr:uid="{C4536629-D921-4224-BDEA-97D3FF90D663}"/>
    <cellStyle name="Comma 10 2 4 3 2 2 4" xfId="33219" xr:uid="{6E6DBF41-AED0-41A0-A39E-7399E545FEAC}"/>
    <cellStyle name="Comma 10 2 4 3 2 3" xfId="4491" xr:uid="{8429D21C-F4A6-4DBF-AB06-BBB07612042B}"/>
    <cellStyle name="Comma 10 2 4 3 2 3 2" xfId="13563" xr:uid="{355E73F8-0363-44E9-8F8E-680D5990D4D0}"/>
    <cellStyle name="Comma 10 2 4 3 2 3 2 2" xfId="28683" xr:uid="{27D2B294-6957-4EFE-AAF4-26C2EE55ADD5}"/>
    <cellStyle name="Comma 10 2 4 3 2 3 2 2 2" xfId="58923" xr:uid="{6852459C-F13E-475A-A3D7-3D2CE90C32D2}"/>
    <cellStyle name="Comma 10 2 4 3 2 3 2 3" xfId="43803" xr:uid="{146F67E3-FAFB-4CE5-BA1D-AE1207FB4096}"/>
    <cellStyle name="Comma 10 2 4 3 2 3 3" xfId="19611" xr:uid="{A1970F45-25CD-4705-9D39-A85D1E933301}"/>
    <cellStyle name="Comma 10 2 4 3 2 3 3 2" xfId="49851" xr:uid="{6905FB8A-CB94-4E75-9AD8-7CB6363BFF13}"/>
    <cellStyle name="Comma 10 2 4 3 2 3 4" xfId="34731" xr:uid="{AC41F767-329B-4F65-836D-11FD4E41B283}"/>
    <cellStyle name="Comma 10 2 4 3 2 4" xfId="6003" xr:uid="{0A04740B-BDE6-4602-989B-E9EA6EA229CE}"/>
    <cellStyle name="Comma 10 2 4 3 2 4 2" xfId="15075" xr:uid="{D2203811-F834-4E31-A24F-6D46D716550B}"/>
    <cellStyle name="Comma 10 2 4 3 2 4 2 2" xfId="30195" xr:uid="{290F0838-3295-4EAD-9176-CE74872CDD1B}"/>
    <cellStyle name="Comma 10 2 4 3 2 4 2 2 2" xfId="60435" xr:uid="{B6021125-5043-475C-A9FC-064A45C726B4}"/>
    <cellStyle name="Comma 10 2 4 3 2 4 2 3" xfId="45315" xr:uid="{BECFAA86-6D2B-4D5C-8F00-E7931C2D1C4D}"/>
    <cellStyle name="Comma 10 2 4 3 2 4 3" xfId="21123" xr:uid="{FF32F26D-2EEF-47EC-9AF7-9349AB0467EC}"/>
    <cellStyle name="Comma 10 2 4 3 2 4 3 2" xfId="51363" xr:uid="{AC2A3D00-5BFB-4E68-B2DA-CEFC06BA4A07}"/>
    <cellStyle name="Comma 10 2 4 3 2 4 4" xfId="36243" xr:uid="{9F845E5D-51A5-4592-BC31-AF41F0CA80B3}"/>
    <cellStyle name="Comma 10 2 4 3 2 5" xfId="7515" xr:uid="{233B500C-73BD-4710-8863-20CADF90639D}"/>
    <cellStyle name="Comma 10 2 4 3 2 5 2" xfId="22635" xr:uid="{030EA531-36A9-49DE-BDFF-1E79745A64C1}"/>
    <cellStyle name="Comma 10 2 4 3 2 5 2 2" xfId="52875" xr:uid="{43F53C4D-E3C7-4CA8-8B35-DE3CD8FDCC0C}"/>
    <cellStyle name="Comma 10 2 4 3 2 5 3" xfId="37755" xr:uid="{D5DF8C7D-0F68-4133-B47D-785544C48BD3}"/>
    <cellStyle name="Comma 10 2 4 3 2 6" xfId="9027" xr:uid="{B3F306AA-8115-41BE-B5A4-992F5DCC1CF4}"/>
    <cellStyle name="Comma 10 2 4 3 2 6 2" xfId="24147" xr:uid="{6C5AFAFA-1B7B-4A06-93EF-9C82A1D7B15D}"/>
    <cellStyle name="Comma 10 2 4 3 2 6 2 2" xfId="54387" xr:uid="{9E0C9FFE-7DF4-493C-BA1F-71953858D396}"/>
    <cellStyle name="Comma 10 2 4 3 2 6 3" xfId="39267" xr:uid="{0B6C615D-868F-4B39-990D-064B1C105F28}"/>
    <cellStyle name="Comma 10 2 4 3 2 7" xfId="10539" xr:uid="{1B65EFD4-BDC0-4FEC-BD02-45B8FA3EAA2E}"/>
    <cellStyle name="Comma 10 2 4 3 2 7 2" xfId="25659" xr:uid="{91EA1378-6246-436F-B8F1-F7A4C68567DD}"/>
    <cellStyle name="Comma 10 2 4 3 2 7 2 2" xfId="55899" xr:uid="{D0344C88-BC6E-4A57-98E6-155A1E896851}"/>
    <cellStyle name="Comma 10 2 4 3 2 7 3" xfId="40779" xr:uid="{0CE0EEAA-21A0-49F2-B2DB-1C6718A9439C}"/>
    <cellStyle name="Comma 10 2 4 3 2 8" xfId="16587" xr:uid="{1506EC9D-9EED-46A3-A1A8-8DF9317634A2}"/>
    <cellStyle name="Comma 10 2 4 3 2 8 2" xfId="46827" xr:uid="{B31A2CE2-EA29-42B5-9C16-F2A0859646A2}"/>
    <cellStyle name="Comma 10 2 4 3 2 9" xfId="31707" xr:uid="{61D1C0CA-11F6-4D7C-A530-6998576BF9D3}"/>
    <cellStyle name="Comma 10 2 4 3 3" xfId="2223" xr:uid="{025E4483-4B99-43E1-AFB0-56596B50AABE}"/>
    <cellStyle name="Comma 10 2 4 3 3 2" xfId="11295" xr:uid="{94D567C9-84F2-4E51-B12D-B46976F582B5}"/>
    <cellStyle name="Comma 10 2 4 3 3 2 2" xfId="26415" xr:uid="{677F17D3-C044-49ED-809F-690C4B49A54B}"/>
    <cellStyle name="Comma 10 2 4 3 3 2 2 2" xfId="56655" xr:uid="{8193EAFA-730A-4BA2-8F43-4BBBDAF0AE6B}"/>
    <cellStyle name="Comma 10 2 4 3 3 2 3" xfId="41535" xr:uid="{78F2CBE7-BF45-4430-ABCA-C435E2C18C4C}"/>
    <cellStyle name="Comma 10 2 4 3 3 3" xfId="17343" xr:uid="{720E5D1D-0B73-42AF-AE65-0D0945F384B9}"/>
    <cellStyle name="Comma 10 2 4 3 3 3 2" xfId="47583" xr:uid="{5B1B14F4-5482-47AE-94D0-1A14684517CA}"/>
    <cellStyle name="Comma 10 2 4 3 3 4" xfId="32463" xr:uid="{F9C24E1A-A4AF-4DE7-9BCA-CDA2C1B8C793}"/>
    <cellStyle name="Comma 10 2 4 3 4" xfId="3735" xr:uid="{43F0A40C-5E56-47DF-B22D-4C3FC9B1A693}"/>
    <cellStyle name="Comma 10 2 4 3 4 2" xfId="12807" xr:uid="{80C31C84-F3E0-480E-9AA3-9CB78D8F221F}"/>
    <cellStyle name="Comma 10 2 4 3 4 2 2" xfId="27927" xr:uid="{E1E3460B-A62F-4A9F-BD3A-E7389E871D20}"/>
    <cellStyle name="Comma 10 2 4 3 4 2 2 2" xfId="58167" xr:uid="{899FE8E8-4FE3-4E17-A732-01F42BE0C61D}"/>
    <cellStyle name="Comma 10 2 4 3 4 2 3" xfId="43047" xr:uid="{4663B265-24FF-4580-B69B-D8A945042324}"/>
    <cellStyle name="Comma 10 2 4 3 4 3" xfId="18855" xr:uid="{56768C27-FE3B-41A4-83D6-DFC3F4BFD063}"/>
    <cellStyle name="Comma 10 2 4 3 4 3 2" xfId="49095" xr:uid="{3F24AADA-0FEF-452F-BFB6-FA54CCC7BC06}"/>
    <cellStyle name="Comma 10 2 4 3 4 4" xfId="33975" xr:uid="{49F86EBF-E9C6-4BBA-8F67-BD8C9913BED5}"/>
    <cellStyle name="Comma 10 2 4 3 5" xfId="5247" xr:uid="{50008960-AFDD-4329-8EB2-B90D4683D3E3}"/>
    <cellStyle name="Comma 10 2 4 3 5 2" xfId="14319" xr:uid="{3B04A2FC-7658-49E7-9102-B444D04E2B76}"/>
    <cellStyle name="Comma 10 2 4 3 5 2 2" xfId="29439" xr:uid="{DE9718EC-A0C0-4E98-8764-E218A5DBA8F0}"/>
    <cellStyle name="Comma 10 2 4 3 5 2 2 2" xfId="59679" xr:uid="{80A253D4-754F-4BA4-8DFC-B4AF14119ED4}"/>
    <cellStyle name="Comma 10 2 4 3 5 2 3" xfId="44559" xr:uid="{6115E6FA-3DB1-4E78-8F17-FD83977329A8}"/>
    <cellStyle name="Comma 10 2 4 3 5 3" xfId="20367" xr:uid="{1F090DDB-6FAB-4295-90E7-87B56CD34138}"/>
    <cellStyle name="Comma 10 2 4 3 5 3 2" xfId="50607" xr:uid="{931FE413-6A02-4B63-8948-ABD67A64A876}"/>
    <cellStyle name="Comma 10 2 4 3 5 4" xfId="35487" xr:uid="{5B86C89C-686B-423E-ADD1-AC0F8DDDDFDE}"/>
    <cellStyle name="Comma 10 2 4 3 6" xfId="6759" xr:uid="{82F565E2-68E1-4B18-BB13-76645F32D4D5}"/>
    <cellStyle name="Comma 10 2 4 3 6 2" xfId="21879" xr:uid="{631457A3-0A48-4910-BD65-329A11332311}"/>
    <cellStyle name="Comma 10 2 4 3 6 2 2" xfId="52119" xr:uid="{5409337E-CC36-4F96-B22E-04B9994AD3B5}"/>
    <cellStyle name="Comma 10 2 4 3 6 3" xfId="36999" xr:uid="{7738FB7A-86A4-44C4-AAC8-21B63C457495}"/>
    <cellStyle name="Comma 10 2 4 3 7" xfId="8271" xr:uid="{D66C894A-6DE1-4E88-816A-343DA5412024}"/>
    <cellStyle name="Comma 10 2 4 3 7 2" xfId="23391" xr:uid="{E1A105C8-7AF1-4F64-8144-15014CBD7500}"/>
    <cellStyle name="Comma 10 2 4 3 7 2 2" xfId="53631" xr:uid="{96FA1277-AD18-45AA-B055-F9E51DA38B6F}"/>
    <cellStyle name="Comma 10 2 4 3 7 3" xfId="38511" xr:uid="{CC8E26FB-E309-47C7-9F62-9EBAE9127FB4}"/>
    <cellStyle name="Comma 10 2 4 3 8" xfId="9783" xr:uid="{EA197EE9-8FCE-4743-89E1-515C422980B5}"/>
    <cellStyle name="Comma 10 2 4 3 8 2" xfId="24903" xr:uid="{EC8C2588-683F-49F8-B9E7-F4B1E153D486}"/>
    <cellStyle name="Comma 10 2 4 3 8 2 2" xfId="55143" xr:uid="{0F23EFC5-0B3E-47FC-A4FE-BBE52F53613D}"/>
    <cellStyle name="Comma 10 2 4 3 8 3" xfId="40023" xr:uid="{3ED0BC4F-6F54-4ACC-B2FF-54D4D6ED668E}"/>
    <cellStyle name="Comma 10 2 4 3 9" xfId="15831" xr:uid="{631CF98F-A095-4056-82B0-DFDBA50F1989}"/>
    <cellStyle name="Comma 10 2 4 3 9 2" xfId="46071" xr:uid="{F453AAC1-A355-410E-91D0-73C466E8BB2D}"/>
    <cellStyle name="Comma 10 2 4 4" xfId="963" xr:uid="{7A32BB26-693F-4592-A338-2AC115AD8E3E}"/>
    <cellStyle name="Comma 10 2 4 4 2" xfId="2475" xr:uid="{C9A991E1-89C4-4A13-AD89-2F80B09648BF}"/>
    <cellStyle name="Comma 10 2 4 4 2 2" xfId="11547" xr:uid="{32C65D61-C122-4459-962B-F8EB86865863}"/>
    <cellStyle name="Comma 10 2 4 4 2 2 2" xfId="26667" xr:uid="{6F989334-521A-4B89-98D9-81D3FC9637CB}"/>
    <cellStyle name="Comma 10 2 4 4 2 2 2 2" xfId="56907" xr:uid="{0A2BE372-6B0A-440D-A1FE-F938E93696E4}"/>
    <cellStyle name="Comma 10 2 4 4 2 2 3" xfId="41787" xr:uid="{96B3A790-0A8B-4CE8-8326-B2353FD02465}"/>
    <cellStyle name="Comma 10 2 4 4 2 3" xfId="17595" xr:uid="{B3E97476-122A-412D-B865-659EA15B18D4}"/>
    <cellStyle name="Comma 10 2 4 4 2 3 2" xfId="47835" xr:uid="{9FA45DBF-C0C7-4E34-A3CE-46C09E2D5754}"/>
    <cellStyle name="Comma 10 2 4 4 2 4" xfId="32715" xr:uid="{F34FBE52-07DB-4972-993A-868E5F56D6E7}"/>
    <cellStyle name="Comma 10 2 4 4 3" xfId="3987" xr:uid="{FA98CC90-D78D-4D11-BE79-9EB1499A3527}"/>
    <cellStyle name="Comma 10 2 4 4 3 2" xfId="13059" xr:uid="{BC2E0E38-B056-48F4-AFA4-3BBD8C02DA36}"/>
    <cellStyle name="Comma 10 2 4 4 3 2 2" xfId="28179" xr:uid="{EB84EA00-6D18-4C70-9950-28CFDA629258}"/>
    <cellStyle name="Comma 10 2 4 4 3 2 2 2" xfId="58419" xr:uid="{B1135B57-00F1-49A4-992E-6F873B2DE597}"/>
    <cellStyle name="Comma 10 2 4 4 3 2 3" xfId="43299" xr:uid="{BE340424-DD57-4C5F-9528-71CBA6C5012B}"/>
    <cellStyle name="Comma 10 2 4 4 3 3" xfId="19107" xr:uid="{2F54658F-F23D-407A-A07C-2C5D76DC70BF}"/>
    <cellStyle name="Comma 10 2 4 4 3 3 2" xfId="49347" xr:uid="{78553FDD-2587-408C-94AE-B1566BFB751A}"/>
    <cellStyle name="Comma 10 2 4 4 3 4" xfId="34227" xr:uid="{47E5348D-D5FA-4583-AF07-FCAF6639C982}"/>
    <cellStyle name="Comma 10 2 4 4 4" xfId="5499" xr:uid="{BE6A3A10-D58C-4D6B-A711-A1C682DFC4B4}"/>
    <cellStyle name="Comma 10 2 4 4 4 2" xfId="14571" xr:uid="{C38BC4F6-8BB3-454D-A111-6549CC3485BF}"/>
    <cellStyle name="Comma 10 2 4 4 4 2 2" xfId="29691" xr:uid="{F9BFA265-8F0F-4AC4-A8F4-580DDBD4DA59}"/>
    <cellStyle name="Comma 10 2 4 4 4 2 2 2" xfId="59931" xr:uid="{3DE98A51-12F4-43B0-9F96-AB7E57EDEB42}"/>
    <cellStyle name="Comma 10 2 4 4 4 2 3" xfId="44811" xr:uid="{7679E5C1-00A8-44B6-93C4-FB672AE8EF0F}"/>
    <cellStyle name="Comma 10 2 4 4 4 3" xfId="20619" xr:uid="{380FE69D-9E5B-4693-889C-BA67F9D021CE}"/>
    <cellStyle name="Comma 10 2 4 4 4 3 2" xfId="50859" xr:uid="{F602148F-F03E-4B84-955A-64C3DCBD43D7}"/>
    <cellStyle name="Comma 10 2 4 4 4 4" xfId="35739" xr:uid="{8973DA37-803E-4690-8AB2-7CCCD72081A4}"/>
    <cellStyle name="Comma 10 2 4 4 5" xfId="7011" xr:uid="{79429BE8-EBE0-46E2-8059-35AE30025564}"/>
    <cellStyle name="Comma 10 2 4 4 5 2" xfId="22131" xr:uid="{60EFFC0F-2853-4C15-A4C4-FF1A329DDB78}"/>
    <cellStyle name="Comma 10 2 4 4 5 2 2" xfId="52371" xr:uid="{0E27E2B4-29F3-4DF2-866F-E09A6F9F7BC8}"/>
    <cellStyle name="Comma 10 2 4 4 5 3" xfId="37251" xr:uid="{4A4628E2-84CA-4C73-8B52-E08BC1A024A2}"/>
    <cellStyle name="Comma 10 2 4 4 6" xfId="8523" xr:uid="{117B5A42-261A-460E-9582-CC0274AD44FB}"/>
    <cellStyle name="Comma 10 2 4 4 6 2" xfId="23643" xr:uid="{9670851E-9663-443C-847B-62BC094EF677}"/>
    <cellStyle name="Comma 10 2 4 4 6 2 2" xfId="53883" xr:uid="{36CC55F7-A1EB-4292-A6C7-2ECA517C6700}"/>
    <cellStyle name="Comma 10 2 4 4 6 3" xfId="38763" xr:uid="{FCD5A858-A483-40A9-9043-DE25C7096A40}"/>
    <cellStyle name="Comma 10 2 4 4 7" xfId="10035" xr:uid="{F118AE8B-80D9-4BC3-887A-250D83D68919}"/>
    <cellStyle name="Comma 10 2 4 4 7 2" xfId="25155" xr:uid="{AC408074-7B99-429B-B27E-2DAC6BDBDD33}"/>
    <cellStyle name="Comma 10 2 4 4 7 2 2" xfId="55395" xr:uid="{AF1F83BD-750F-4AB0-8F08-6472FA74559A}"/>
    <cellStyle name="Comma 10 2 4 4 7 3" xfId="40275" xr:uid="{D2B5EA48-9251-44DC-88BC-04C99F5A6853}"/>
    <cellStyle name="Comma 10 2 4 4 8" xfId="16083" xr:uid="{1FC9377C-4456-4935-B509-34DC97341A0D}"/>
    <cellStyle name="Comma 10 2 4 4 8 2" xfId="46323" xr:uid="{23324A74-011F-4C6E-9D6A-871C10C099FD}"/>
    <cellStyle name="Comma 10 2 4 4 9" xfId="31203" xr:uid="{5C36FC42-7993-4741-A127-30D9381F089C}"/>
    <cellStyle name="Comma 10 2 4 5" xfId="1719" xr:uid="{627033A1-6BEB-4F5C-AA97-D79DAD9BD768}"/>
    <cellStyle name="Comma 10 2 4 5 2" xfId="10791" xr:uid="{892AD406-2FB3-4437-BA0D-9496CA1F475A}"/>
    <cellStyle name="Comma 10 2 4 5 2 2" xfId="25911" xr:uid="{8BB48D95-8E4E-4467-9D29-4F279555F745}"/>
    <cellStyle name="Comma 10 2 4 5 2 2 2" xfId="56151" xr:uid="{8375F0AB-D79A-423C-B0B1-E9C770AABD4F}"/>
    <cellStyle name="Comma 10 2 4 5 2 3" xfId="41031" xr:uid="{64C82EEE-FB97-40B7-AB3C-0E950F3E573E}"/>
    <cellStyle name="Comma 10 2 4 5 3" xfId="16839" xr:uid="{024C7C54-462F-458B-A958-6E05881F756C}"/>
    <cellStyle name="Comma 10 2 4 5 3 2" xfId="47079" xr:uid="{737243A8-F0DD-49F6-BB6F-E72A0E6E03ED}"/>
    <cellStyle name="Comma 10 2 4 5 4" xfId="31959" xr:uid="{EE8FB06A-07F4-4826-A0C7-23DA2919E944}"/>
    <cellStyle name="Comma 10 2 4 6" xfId="3231" xr:uid="{07FE45DD-A16C-4EF9-9E23-968714F569CF}"/>
    <cellStyle name="Comma 10 2 4 6 2" xfId="12303" xr:uid="{9F9CA762-41B4-4C54-AFF7-C16A9D13929A}"/>
    <cellStyle name="Comma 10 2 4 6 2 2" xfId="27423" xr:uid="{90569439-B1BA-48D0-9F58-54B945E8C7C9}"/>
    <cellStyle name="Comma 10 2 4 6 2 2 2" xfId="57663" xr:uid="{E4C8E219-30EB-4CC0-940D-110779EAFEF7}"/>
    <cellStyle name="Comma 10 2 4 6 2 3" xfId="42543" xr:uid="{A35415AB-DAFF-4FD8-93CB-67120220D99F}"/>
    <cellStyle name="Comma 10 2 4 6 3" xfId="18351" xr:uid="{C3FD54DD-FF81-46BE-BD60-FF535EF3D1D7}"/>
    <cellStyle name="Comma 10 2 4 6 3 2" xfId="48591" xr:uid="{39816040-D33A-4E64-82DD-5FF5E7A0C9E4}"/>
    <cellStyle name="Comma 10 2 4 6 4" xfId="33471" xr:uid="{476AF13A-FC99-4179-B923-3487DDC90187}"/>
    <cellStyle name="Comma 10 2 4 7" xfId="4743" xr:uid="{36159FE1-7040-48E9-9782-734D8DCC75BA}"/>
    <cellStyle name="Comma 10 2 4 7 2" xfId="13815" xr:uid="{A5849F2D-A20C-4B51-8BE9-23EE5C3CA1D5}"/>
    <cellStyle name="Comma 10 2 4 7 2 2" xfId="28935" xr:uid="{B1D7793B-C697-49BB-9749-DAF100851510}"/>
    <cellStyle name="Comma 10 2 4 7 2 2 2" xfId="59175" xr:uid="{BEB1FC30-359A-43E5-8259-81D4D27065D4}"/>
    <cellStyle name="Comma 10 2 4 7 2 3" xfId="44055" xr:uid="{A631CE11-C884-41CC-AD6D-C4DEBC47FD2F}"/>
    <cellStyle name="Comma 10 2 4 7 3" xfId="19863" xr:uid="{5C3A7811-384D-4EBC-ADA1-6FE9A86764D6}"/>
    <cellStyle name="Comma 10 2 4 7 3 2" xfId="50103" xr:uid="{59D4BE8D-8539-40E1-A886-33AAD32636DD}"/>
    <cellStyle name="Comma 10 2 4 7 4" xfId="34983" xr:uid="{72856F87-4FE0-48D7-9CA8-71543A70CD61}"/>
    <cellStyle name="Comma 10 2 4 8" xfId="6255" xr:uid="{86304589-8FB2-4452-99AB-AAD0722E2E39}"/>
    <cellStyle name="Comma 10 2 4 8 2" xfId="21375" xr:uid="{E6F0B1B0-C751-45C1-AB25-ADAEA8346EB4}"/>
    <cellStyle name="Comma 10 2 4 8 2 2" xfId="51615" xr:uid="{F65DA4A6-648B-4641-8894-1E46F9667080}"/>
    <cellStyle name="Comma 10 2 4 8 3" xfId="36495" xr:uid="{895AB11F-C72F-4A87-B338-C1FBCF36C770}"/>
    <cellStyle name="Comma 10 2 4 9" xfId="7767" xr:uid="{8835314D-347D-4730-9A7F-97BC0A9EDB86}"/>
    <cellStyle name="Comma 10 2 4 9 2" xfId="22887" xr:uid="{93DB4098-6997-4E3A-AC43-8578D6547CF6}"/>
    <cellStyle name="Comma 10 2 4 9 2 2" xfId="53127" xr:uid="{35B31207-4106-4538-B79D-2458E84B7214}"/>
    <cellStyle name="Comma 10 2 4 9 3" xfId="38007" xr:uid="{8020F524-A474-4C41-9FDC-3B1527440C9F}"/>
    <cellStyle name="Comma 10 2 5" xfId="291" xr:uid="{5ACA5292-6EA5-40C0-A4AD-F8BC20DDF71E}"/>
    <cellStyle name="Comma 10 2 5 10" xfId="30531" xr:uid="{B267C24D-2335-40AA-AAF9-5620B7924B17}"/>
    <cellStyle name="Comma 10 2 5 2" xfId="1047" xr:uid="{E2507AFF-29F2-4957-AF27-5B28434B35CB}"/>
    <cellStyle name="Comma 10 2 5 2 2" xfId="2559" xr:uid="{75939D10-07B7-460A-835B-EC578778F894}"/>
    <cellStyle name="Comma 10 2 5 2 2 2" xfId="11631" xr:uid="{C025886B-7FEE-403D-A94B-3225FCD1B9A4}"/>
    <cellStyle name="Comma 10 2 5 2 2 2 2" xfId="26751" xr:uid="{7C5112B9-C9DF-4F95-8D62-6CB7114EFA8E}"/>
    <cellStyle name="Comma 10 2 5 2 2 2 2 2" xfId="56991" xr:uid="{39921E4E-1194-4F0B-8252-E6D46B5930A7}"/>
    <cellStyle name="Comma 10 2 5 2 2 2 3" xfId="41871" xr:uid="{C2BEB48F-1A9C-4D7E-8248-56A06453E4DD}"/>
    <cellStyle name="Comma 10 2 5 2 2 3" xfId="17679" xr:uid="{E37F6F31-CA77-4594-AD06-CD3A88B4666B}"/>
    <cellStyle name="Comma 10 2 5 2 2 3 2" xfId="47919" xr:uid="{3A246134-8979-48D5-8C9D-2DA9DE5B7F14}"/>
    <cellStyle name="Comma 10 2 5 2 2 4" xfId="32799" xr:uid="{8EFB9CD7-CBF3-40AB-A57A-B3EB8845F278}"/>
    <cellStyle name="Comma 10 2 5 2 3" xfId="4071" xr:uid="{7B8E69CE-0ED7-459D-8804-B4BB3C2D3874}"/>
    <cellStyle name="Comma 10 2 5 2 3 2" xfId="13143" xr:uid="{E06C606C-A21F-4110-95A1-506FB8EF2072}"/>
    <cellStyle name="Comma 10 2 5 2 3 2 2" xfId="28263" xr:uid="{01DC1E22-27AB-4EAE-A634-2522F7D401DA}"/>
    <cellStyle name="Comma 10 2 5 2 3 2 2 2" xfId="58503" xr:uid="{82307E87-54BE-49BA-AA6E-49806D33B20E}"/>
    <cellStyle name="Comma 10 2 5 2 3 2 3" xfId="43383" xr:uid="{C24AE757-D7C5-4F4E-BFBC-806E3BF20ADA}"/>
    <cellStyle name="Comma 10 2 5 2 3 3" xfId="19191" xr:uid="{3AA8052C-8B26-4B2B-9EEA-CD465F7C9470}"/>
    <cellStyle name="Comma 10 2 5 2 3 3 2" xfId="49431" xr:uid="{1259B5BA-0B32-46E9-9BA9-A33C5A3645F9}"/>
    <cellStyle name="Comma 10 2 5 2 3 4" xfId="34311" xr:uid="{41D2004D-80B6-45A0-84E3-782FABC6251F}"/>
    <cellStyle name="Comma 10 2 5 2 4" xfId="5583" xr:uid="{6C279A14-79EB-4776-87A2-3B63FD7889BA}"/>
    <cellStyle name="Comma 10 2 5 2 4 2" xfId="14655" xr:uid="{6C773872-7C66-47F8-B858-D077BF2466AB}"/>
    <cellStyle name="Comma 10 2 5 2 4 2 2" xfId="29775" xr:uid="{9C061268-C1F1-4355-BC4B-BD5A0B8AFFD9}"/>
    <cellStyle name="Comma 10 2 5 2 4 2 2 2" xfId="60015" xr:uid="{C83541BE-B163-4184-9B1E-F754408381C5}"/>
    <cellStyle name="Comma 10 2 5 2 4 2 3" xfId="44895" xr:uid="{C915B185-521A-4885-97F8-0E05C0BE01AA}"/>
    <cellStyle name="Comma 10 2 5 2 4 3" xfId="20703" xr:uid="{760A0DDE-A0D4-48A7-BDBC-8A7A3A9D1106}"/>
    <cellStyle name="Comma 10 2 5 2 4 3 2" xfId="50943" xr:uid="{F6F847E5-CF07-4F9A-9F2B-8295BED01186}"/>
    <cellStyle name="Comma 10 2 5 2 4 4" xfId="35823" xr:uid="{98FD4B5F-A4A8-4A3B-9B26-CE6EA53A7CEA}"/>
    <cellStyle name="Comma 10 2 5 2 5" xfId="7095" xr:uid="{29CAB44B-E80B-42DB-B475-E830744C3976}"/>
    <cellStyle name="Comma 10 2 5 2 5 2" xfId="22215" xr:uid="{3526C27C-735A-44EF-8679-071173E2A394}"/>
    <cellStyle name="Comma 10 2 5 2 5 2 2" xfId="52455" xr:uid="{E50FBDCF-582F-4573-860C-62947AA6CF59}"/>
    <cellStyle name="Comma 10 2 5 2 5 3" xfId="37335" xr:uid="{BED5035B-52DD-4CA6-AE28-6F9BB9B49BF3}"/>
    <cellStyle name="Comma 10 2 5 2 6" xfId="8607" xr:uid="{8DD260DD-026C-4136-B6CF-35731E5E409B}"/>
    <cellStyle name="Comma 10 2 5 2 6 2" xfId="23727" xr:uid="{20BB0DCA-5268-458F-B3DE-0376AEBADF33}"/>
    <cellStyle name="Comma 10 2 5 2 6 2 2" xfId="53967" xr:uid="{21E304D1-C12D-447E-A7F1-6CFC8B195DE5}"/>
    <cellStyle name="Comma 10 2 5 2 6 3" xfId="38847" xr:uid="{A4587384-D61C-4E8E-87D7-2095D29FCE90}"/>
    <cellStyle name="Comma 10 2 5 2 7" xfId="10119" xr:uid="{63DB3752-C495-4057-AAFE-74F2606F92D1}"/>
    <cellStyle name="Comma 10 2 5 2 7 2" xfId="25239" xr:uid="{60D851B2-C40F-4301-8FA4-8177263369C2}"/>
    <cellStyle name="Comma 10 2 5 2 7 2 2" xfId="55479" xr:uid="{FE25CECC-40BB-47C2-B5AA-7B8132BC4247}"/>
    <cellStyle name="Comma 10 2 5 2 7 3" xfId="40359" xr:uid="{9358193A-CDDB-4053-B28E-66BC8C6513E2}"/>
    <cellStyle name="Comma 10 2 5 2 8" xfId="16167" xr:uid="{BE27D7C1-D336-44ED-AAB1-D7E4B0A68664}"/>
    <cellStyle name="Comma 10 2 5 2 8 2" xfId="46407" xr:uid="{E1B2BD15-44DD-4CFE-8B5F-068C76EC1BE1}"/>
    <cellStyle name="Comma 10 2 5 2 9" xfId="31287" xr:uid="{E44E4D7D-E7A4-498E-99AC-50BA6A53AF3F}"/>
    <cellStyle name="Comma 10 2 5 3" xfId="1803" xr:uid="{1FE20292-CD15-4F90-B5E1-CC2AF3D72D37}"/>
    <cellStyle name="Comma 10 2 5 3 2" xfId="10875" xr:uid="{F5C97B1A-ECAF-4810-A4D8-60F942D35994}"/>
    <cellStyle name="Comma 10 2 5 3 2 2" xfId="25995" xr:uid="{0C31C481-CCC3-47AD-89DC-19446775E31D}"/>
    <cellStyle name="Comma 10 2 5 3 2 2 2" xfId="56235" xr:uid="{53E90B59-1A4E-46EB-8243-30A892DD1A20}"/>
    <cellStyle name="Comma 10 2 5 3 2 3" xfId="41115" xr:uid="{B923AA42-3396-4D79-B53B-C8C33888FC50}"/>
    <cellStyle name="Comma 10 2 5 3 3" xfId="16923" xr:uid="{8244D863-FA67-42C1-9A80-75CED52E5AAD}"/>
    <cellStyle name="Comma 10 2 5 3 3 2" xfId="47163" xr:uid="{FD851500-D192-4254-A0F3-BE8A8128FBFD}"/>
    <cellStyle name="Comma 10 2 5 3 4" xfId="32043" xr:uid="{E69D1EC2-E3F7-4E2F-8BEB-E760EF874A3B}"/>
    <cellStyle name="Comma 10 2 5 4" xfId="3315" xr:uid="{49854817-50A8-4616-A838-D2B5AAE01BBC}"/>
    <cellStyle name="Comma 10 2 5 4 2" xfId="12387" xr:uid="{7AC1CE0E-C422-4E67-A892-552A4F6A9C28}"/>
    <cellStyle name="Comma 10 2 5 4 2 2" xfId="27507" xr:uid="{677AD988-5826-4D21-8054-4491ACC0FC0C}"/>
    <cellStyle name="Comma 10 2 5 4 2 2 2" xfId="57747" xr:uid="{67671995-187C-4617-8E50-0C063E244056}"/>
    <cellStyle name="Comma 10 2 5 4 2 3" xfId="42627" xr:uid="{4F1E78FF-6473-48FE-878E-5145C5E5F0B9}"/>
    <cellStyle name="Comma 10 2 5 4 3" xfId="18435" xr:uid="{B58A79A6-C4D5-40B6-9950-A196087CA949}"/>
    <cellStyle name="Comma 10 2 5 4 3 2" xfId="48675" xr:uid="{3F59FBA9-BAC6-4D68-A1AD-C02290AC8A9D}"/>
    <cellStyle name="Comma 10 2 5 4 4" xfId="33555" xr:uid="{E92AF72D-DF3F-420F-9721-AEF015C16480}"/>
    <cellStyle name="Comma 10 2 5 5" xfId="4827" xr:uid="{B8E72246-AD39-4BCC-89CC-B1F0D3D0BF56}"/>
    <cellStyle name="Comma 10 2 5 5 2" xfId="13899" xr:uid="{008614D6-F447-4546-807F-B5C5CCDAC47D}"/>
    <cellStyle name="Comma 10 2 5 5 2 2" xfId="29019" xr:uid="{755D6348-CD91-4035-AB32-795417EC75F2}"/>
    <cellStyle name="Comma 10 2 5 5 2 2 2" xfId="59259" xr:uid="{6C127705-4891-4259-B7B6-F7C2928F0517}"/>
    <cellStyle name="Comma 10 2 5 5 2 3" xfId="44139" xr:uid="{4E416EC6-7644-405D-AAFC-1C959470CB21}"/>
    <cellStyle name="Comma 10 2 5 5 3" xfId="19947" xr:uid="{86E11162-B5FC-4043-B863-9EF3BE6C9E29}"/>
    <cellStyle name="Comma 10 2 5 5 3 2" xfId="50187" xr:uid="{6ED1CB77-5245-4E19-948B-AEDF4F28E82D}"/>
    <cellStyle name="Comma 10 2 5 5 4" xfId="35067" xr:uid="{4DC12342-37F2-47A4-9AB4-E51F711156B4}"/>
    <cellStyle name="Comma 10 2 5 6" xfId="6339" xr:uid="{645FCF13-5DCB-4F16-9220-B8F79D4AAB71}"/>
    <cellStyle name="Comma 10 2 5 6 2" xfId="21459" xr:uid="{8D4843E9-2025-4DDC-95E5-59DCC1D8F0AE}"/>
    <cellStyle name="Comma 10 2 5 6 2 2" xfId="51699" xr:uid="{4737F566-86DC-4548-9942-50C86C3DB194}"/>
    <cellStyle name="Comma 10 2 5 6 3" xfId="36579" xr:uid="{060B405B-6B6E-458A-BF35-F7EA01EC9B6A}"/>
    <cellStyle name="Comma 10 2 5 7" xfId="7851" xr:uid="{84CA85EF-A369-4021-8F9C-0CEC79A78E9C}"/>
    <cellStyle name="Comma 10 2 5 7 2" xfId="22971" xr:uid="{10917082-D310-4C7C-A223-E21FA188967F}"/>
    <cellStyle name="Comma 10 2 5 7 2 2" xfId="53211" xr:uid="{51F59F4C-137C-4AC7-88DA-1B899D435267}"/>
    <cellStyle name="Comma 10 2 5 7 3" xfId="38091" xr:uid="{4CFF5FEF-E016-4516-BD4B-611560CAA31B}"/>
    <cellStyle name="Comma 10 2 5 8" xfId="9363" xr:uid="{37BB7618-D369-4F55-9CA7-E7614FAE986F}"/>
    <cellStyle name="Comma 10 2 5 8 2" xfId="24483" xr:uid="{B5886E24-60F5-4C80-83C6-4004EAA76ECA}"/>
    <cellStyle name="Comma 10 2 5 8 2 2" xfId="54723" xr:uid="{51426995-0D4D-4757-AA99-A044A20BF90F}"/>
    <cellStyle name="Comma 10 2 5 8 3" xfId="39603" xr:uid="{8438E596-89CF-4E7E-A2F5-D7285A3B9718}"/>
    <cellStyle name="Comma 10 2 5 9" xfId="15411" xr:uid="{E4D9A27A-43A2-4B39-B6C6-5BA83C1FD839}"/>
    <cellStyle name="Comma 10 2 5 9 2" xfId="45651" xr:uid="{3112CEEC-DE1F-4C67-A726-52B666736078}"/>
    <cellStyle name="Comma 10 2 6" xfId="543" xr:uid="{1E77F462-B4E8-4A46-A759-0881795B49BF}"/>
    <cellStyle name="Comma 10 2 6 10" xfId="30783" xr:uid="{D8749120-5747-4FF3-B26E-B64C665FE423}"/>
    <cellStyle name="Comma 10 2 6 2" xfId="1299" xr:uid="{D418C86F-3B2D-4CA9-BDF7-88B5EEF39546}"/>
    <cellStyle name="Comma 10 2 6 2 2" xfId="2811" xr:uid="{24127B00-B43F-4848-937D-59B93F64B6E6}"/>
    <cellStyle name="Comma 10 2 6 2 2 2" xfId="11883" xr:uid="{EA074849-9765-42BE-85F3-4F8430D05FCF}"/>
    <cellStyle name="Comma 10 2 6 2 2 2 2" xfId="27003" xr:uid="{49EB4706-13B2-4A7E-96D8-2B6379A7FE9C}"/>
    <cellStyle name="Comma 10 2 6 2 2 2 2 2" xfId="57243" xr:uid="{40DD3588-662E-415C-894B-1A143B7E649D}"/>
    <cellStyle name="Comma 10 2 6 2 2 2 3" xfId="42123" xr:uid="{512B637C-DB7C-4A17-BD74-8E69B769F782}"/>
    <cellStyle name="Comma 10 2 6 2 2 3" xfId="17931" xr:uid="{AD78B1B4-0FEF-4933-91EC-EE14E42ADE16}"/>
    <cellStyle name="Comma 10 2 6 2 2 3 2" xfId="48171" xr:uid="{EF085B90-ACC6-4201-B94B-6431B30B7789}"/>
    <cellStyle name="Comma 10 2 6 2 2 4" xfId="33051" xr:uid="{DDAA175D-3A3E-421A-B5AB-22C15700C6B5}"/>
    <cellStyle name="Comma 10 2 6 2 3" xfId="4323" xr:uid="{77D28590-7C9F-4C6D-8DE3-75EFDB1E8E3D}"/>
    <cellStyle name="Comma 10 2 6 2 3 2" xfId="13395" xr:uid="{49C65C7E-4C33-48E3-A685-3E956096A22E}"/>
    <cellStyle name="Comma 10 2 6 2 3 2 2" xfId="28515" xr:uid="{826170E6-863F-4A7B-B9E1-462E84671736}"/>
    <cellStyle name="Comma 10 2 6 2 3 2 2 2" xfId="58755" xr:uid="{7AB6CB72-82EB-46B5-B96B-DF0C536CDAAA}"/>
    <cellStyle name="Comma 10 2 6 2 3 2 3" xfId="43635" xr:uid="{6BCD4328-CF00-4B93-9D45-AF682CC02B98}"/>
    <cellStyle name="Comma 10 2 6 2 3 3" xfId="19443" xr:uid="{0762A210-B118-4BC2-AEA9-A2CE56543C89}"/>
    <cellStyle name="Comma 10 2 6 2 3 3 2" xfId="49683" xr:uid="{1BA6AC13-834B-486E-BA99-16AF26D9FB80}"/>
    <cellStyle name="Comma 10 2 6 2 3 4" xfId="34563" xr:uid="{B88204EB-35D9-43BD-BDBF-5344901BA4C9}"/>
    <cellStyle name="Comma 10 2 6 2 4" xfId="5835" xr:uid="{31B604EC-E95F-47FA-A71A-ED12A3E7786A}"/>
    <cellStyle name="Comma 10 2 6 2 4 2" xfId="14907" xr:uid="{2E654937-37B7-4729-8E3E-10B5059D4B93}"/>
    <cellStyle name="Comma 10 2 6 2 4 2 2" xfId="30027" xr:uid="{5FE41129-0E93-4636-BCB5-35E3D409E511}"/>
    <cellStyle name="Comma 10 2 6 2 4 2 2 2" xfId="60267" xr:uid="{6049A599-4D7F-4150-9B60-2F07AEB0FE57}"/>
    <cellStyle name="Comma 10 2 6 2 4 2 3" xfId="45147" xr:uid="{08C8B783-B9ED-435A-96DD-8A9A9A0AC04F}"/>
    <cellStyle name="Comma 10 2 6 2 4 3" xfId="20955" xr:uid="{B2B6B30A-2A29-4700-897F-52C5B287E20A}"/>
    <cellStyle name="Comma 10 2 6 2 4 3 2" xfId="51195" xr:uid="{CB17E4B2-EF86-4761-A57C-4A08EBA3A76E}"/>
    <cellStyle name="Comma 10 2 6 2 4 4" xfId="36075" xr:uid="{557AB51A-D742-49B5-A326-187AABD4B1FE}"/>
    <cellStyle name="Comma 10 2 6 2 5" xfId="7347" xr:uid="{75BC0FFA-C6C4-4DAD-B236-E8E237DC8F2F}"/>
    <cellStyle name="Comma 10 2 6 2 5 2" xfId="22467" xr:uid="{7D471443-361B-4133-B128-0CF398F7271E}"/>
    <cellStyle name="Comma 10 2 6 2 5 2 2" xfId="52707" xr:uid="{A0E7F569-09EF-411C-ADF0-9F420867AE3F}"/>
    <cellStyle name="Comma 10 2 6 2 5 3" xfId="37587" xr:uid="{E6AB05AD-F8B4-4F2D-AF1B-B7DDBBF63668}"/>
    <cellStyle name="Comma 10 2 6 2 6" xfId="8859" xr:uid="{D348EC42-D56F-4270-856C-4F548083F666}"/>
    <cellStyle name="Comma 10 2 6 2 6 2" xfId="23979" xr:uid="{81394755-C6B6-451B-A6B0-67153F04AF74}"/>
    <cellStyle name="Comma 10 2 6 2 6 2 2" xfId="54219" xr:uid="{8CE614D4-ED3C-4366-A0CF-DAFEDB9AA2C2}"/>
    <cellStyle name="Comma 10 2 6 2 6 3" xfId="39099" xr:uid="{C988E41A-D378-4F97-B4F4-3B7B9D0907D8}"/>
    <cellStyle name="Comma 10 2 6 2 7" xfId="10371" xr:uid="{9D5D4F4C-9C01-4DA7-BC87-A38370F1E81C}"/>
    <cellStyle name="Comma 10 2 6 2 7 2" xfId="25491" xr:uid="{C5902FD3-AE92-41B2-9DD5-7A0AF17C00A3}"/>
    <cellStyle name="Comma 10 2 6 2 7 2 2" xfId="55731" xr:uid="{1AC9BDF5-200B-405E-851F-C18946A0DB3B}"/>
    <cellStyle name="Comma 10 2 6 2 7 3" xfId="40611" xr:uid="{13104B49-CB9F-4C28-AE35-8F65D35D5D24}"/>
    <cellStyle name="Comma 10 2 6 2 8" xfId="16419" xr:uid="{06FAF9F8-A33F-42D9-963D-98219F91E2AD}"/>
    <cellStyle name="Comma 10 2 6 2 8 2" xfId="46659" xr:uid="{C97405B9-4058-4F71-9EDB-093E1A835E8B}"/>
    <cellStyle name="Comma 10 2 6 2 9" xfId="31539" xr:uid="{04E782F4-F5CE-4ED8-8F63-0A84BC122170}"/>
    <cellStyle name="Comma 10 2 6 3" xfId="2055" xr:uid="{C7BC17FE-FB80-4B29-A81A-49D553EF859E}"/>
    <cellStyle name="Comma 10 2 6 3 2" xfId="11127" xr:uid="{E4E1A16A-95FE-4CF1-B0CB-060613C6F54A}"/>
    <cellStyle name="Comma 10 2 6 3 2 2" xfId="26247" xr:uid="{F660042A-D481-426D-80EC-A8F73375710D}"/>
    <cellStyle name="Comma 10 2 6 3 2 2 2" xfId="56487" xr:uid="{4B521E7E-9B93-4888-A66C-6A0921572399}"/>
    <cellStyle name="Comma 10 2 6 3 2 3" xfId="41367" xr:uid="{323A249D-2BA8-4841-BC58-96608E946BDB}"/>
    <cellStyle name="Comma 10 2 6 3 3" xfId="17175" xr:uid="{1910A2D1-EC4D-4DFD-9077-418CDF90F8FE}"/>
    <cellStyle name="Comma 10 2 6 3 3 2" xfId="47415" xr:uid="{B2D0C0A9-1E73-4B87-BB12-161A0A0A1946}"/>
    <cellStyle name="Comma 10 2 6 3 4" xfId="32295" xr:uid="{F2567AE2-AFD0-4217-87F2-59923FF9379D}"/>
    <cellStyle name="Comma 10 2 6 4" xfId="3567" xr:uid="{6B67FCE3-36D3-4527-A253-3DDEA56ED9AE}"/>
    <cellStyle name="Comma 10 2 6 4 2" xfId="12639" xr:uid="{147093A0-3F73-4B0A-8033-1D4F44805F36}"/>
    <cellStyle name="Comma 10 2 6 4 2 2" xfId="27759" xr:uid="{8D2C0F7D-2DA3-492A-AA3F-538822C633BB}"/>
    <cellStyle name="Comma 10 2 6 4 2 2 2" xfId="57999" xr:uid="{1C1609B2-ED5B-4722-89DD-185124B764D2}"/>
    <cellStyle name="Comma 10 2 6 4 2 3" xfId="42879" xr:uid="{684CD9F3-B833-4F22-8E45-E8698402F8A4}"/>
    <cellStyle name="Comma 10 2 6 4 3" xfId="18687" xr:uid="{152C3EAD-7E09-4CA9-AE3D-17AFB5AC20D4}"/>
    <cellStyle name="Comma 10 2 6 4 3 2" xfId="48927" xr:uid="{8A151386-08D3-4BD5-AC92-E6154AFE9518}"/>
    <cellStyle name="Comma 10 2 6 4 4" xfId="33807" xr:uid="{A5D47389-8041-4539-BD06-BC5B2C774668}"/>
    <cellStyle name="Comma 10 2 6 5" xfId="5079" xr:uid="{B4C06A66-F0C9-41CC-BDA6-B26C7BC0AB31}"/>
    <cellStyle name="Comma 10 2 6 5 2" xfId="14151" xr:uid="{623D4D5F-57DC-4E14-9B5C-43A3993CCAFA}"/>
    <cellStyle name="Comma 10 2 6 5 2 2" xfId="29271" xr:uid="{C0CC07C2-B1F6-47EB-9C75-240A03F99F2F}"/>
    <cellStyle name="Comma 10 2 6 5 2 2 2" xfId="59511" xr:uid="{530B621D-EAEE-4F75-8A6D-2D9543252178}"/>
    <cellStyle name="Comma 10 2 6 5 2 3" xfId="44391" xr:uid="{94BE8EF6-7FF1-480C-A249-8FFB281FE9B4}"/>
    <cellStyle name="Comma 10 2 6 5 3" xfId="20199" xr:uid="{A1EFE69B-0E4D-482E-BCD3-0C27453F3B93}"/>
    <cellStyle name="Comma 10 2 6 5 3 2" xfId="50439" xr:uid="{1E01C04F-1C0E-4776-8ABB-D59F1CEEB8D7}"/>
    <cellStyle name="Comma 10 2 6 5 4" xfId="35319" xr:uid="{905168CB-B16B-4D0F-B11B-A7F226E6BB31}"/>
    <cellStyle name="Comma 10 2 6 6" xfId="6591" xr:uid="{BE632E2E-0F20-4D93-A9BD-7D70F2D8B600}"/>
    <cellStyle name="Comma 10 2 6 6 2" xfId="21711" xr:uid="{2DE6D40D-00B4-448F-9167-06AEB18294F1}"/>
    <cellStyle name="Comma 10 2 6 6 2 2" xfId="51951" xr:uid="{D0151CB4-C519-4370-AB16-AFF856052556}"/>
    <cellStyle name="Comma 10 2 6 6 3" xfId="36831" xr:uid="{55335B4C-F1ED-43D6-BAA6-06F6A2257423}"/>
    <cellStyle name="Comma 10 2 6 7" xfId="8103" xr:uid="{901A04C8-ACE2-4C7E-A203-7B6585C899AE}"/>
    <cellStyle name="Comma 10 2 6 7 2" xfId="23223" xr:uid="{3755AE8F-35B5-418C-BAA7-0C8D7A9968F6}"/>
    <cellStyle name="Comma 10 2 6 7 2 2" xfId="53463" xr:uid="{E4115C1A-521F-47F0-B133-B99EF335803A}"/>
    <cellStyle name="Comma 10 2 6 7 3" xfId="38343" xr:uid="{FCAF1065-F602-4AE3-A2A9-85B6E4B9FD60}"/>
    <cellStyle name="Comma 10 2 6 8" xfId="9615" xr:uid="{65943445-790C-4CFE-90C5-8465BC5D5806}"/>
    <cellStyle name="Comma 10 2 6 8 2" xfId="24735" xr:uid="{BB5C184F-F4E0-4BB1-AE0B-1E009628810D}"/>
    <cellStyle name="Comma 10 2 6 8 2 2" xfId="54975" xr:uid="{987A1519-6CD0-42BD-8F4B-258FD0605DA5}"/>
    <cellStyle name="Comma 10 2 6 8 3" xfId="39855" xr:uid="{3F94D277-BD00-43DC-A6A2-8FF9D6B82EE2}"/>
    <cellStyle name="Comma 10 2 6 9" xfId="15663" xr:uid="{7E3B86A0-0539-4982-8082-1F239DE1069A}"/>
    <cellStyle name="Comma 10 2 6 9 2" xfId="45903" xr:uid="{1E62B79F-3288-4E01-8DE0-6B2F079C0107}"/>
    <cellStyle name="Comma 10 2 7" xfId="795" xr:uid="{FCAB0173-0AD3-4E40-BA23-E0BD45D92784}"/>
    <cellStyle name="Comma 10 2 7 2" xfId="2307" xr:uid="{BFC6519E-CCAC-4826-B036-749E04CD0538}"/>
    <cellStyle name="Comma 10 2 7 2 2" xfId="11379" xr:uid="{5E4F6571-955B-4C48-9DFA-D08D7EF1E655}"/>
    <cellStyle name="Comma 10 2 7 2 2 2" xfId="26499" xr:uid="{F9089807-A6C3-444E-B1D8-358D0BBBF62B}"/>
    <cellStyle name="Comma 10 2 7 2 2 2 2" xfId="56739" xr:uid="{E568F4E3-CE67-43EA-963D-A6216AC3C886}"/>
    <cellStyle name="Comma 10 2 7 2 2 3" xfId="41619" xr:uid="{0BD4445E-5238-4C23-8A3A-97D19DF5A880}"/>
    <cellStyle name="Comma 10 2 7 2 3" xfId="17427" xr:uid="{BED50237-7040-44B8-804E-0E365BBE3F9C}"/>
    <cellStyle name="Comma 10 2 7 2 3 2" xfId="47667" xr:uid="{84CEA2E9-A2AD-4CC0-92E7-B9C6D3EC581D}"/>
    <cellStyle name="Comma 10 2 7 2 4" xfId="32547" xr:uid="{429A7D32-5B3D-4B9A-8024-A5F343703029}"/>
    <cellStyle name="Comma 10 2 7 3" xfId="3819" xr:uid="{884AE028-F0CB-4B70-BDB4-6A8653868992}"/>
    <cellStyle name="Comma 10 2 7 3 2" xfId="12891" xr:uid="{D038DC24-7EB6-46E5-9075-904C82CF9FE1}"/>
    <cellStyle name="Comma 10 2 7 3 2 2" xfId="28011" xr:uid="{9B62642E-521D-40D6-B36F-A290B4B7F6C9}"/>
    <cellStyle name="Comma 10 2 7 3 2 2 2" xfId="58251" xr:uid="{3F656BCF-9358-4260-9F00-200FDF4CC5EC}"/>
    <cellStyle name="Comma 10 2 7 3 2 3" xfId="43131" xr:uid="{135B194B-1017-42E8-9831-47F703CF000B}"/>
    <cellStyle name="Comma 10 2 7 3 3" xfId="18939" xr:uid="{2290AD84-D43F-4C0B-AD1B-220059A10721}"/>
    <cellStyle name="Comma 10 2 7 3 3 2" xfId="49179" xr:uid="{3D801102-C05F-45D8-BE5B-C4425F75BE6C}"/>
    <cellStyle name="Comma 10 2 7 3 4" xfId="34059" xr:uid="{73D0AA5F-1DF7-472C-8FA8-9789B365026C}"/>
    <cellStyle name="Comma 10 2 7 4" xfId="5331" xr:uid="{34CD5E24-CDFE-43B8-836B-C49334967A60}"/>
    <cellStyle name="Comma 10 2 7 4 2" xfId="14403" xr:uid="{63599BEB-39F1-44D5-83AA-3AB8630ABF45}"/>
    <cellStyle name="Comma 10 2 7 4 2 2" xfId="29523" xr:uid="{BE9478B1-695F-413B-BBA3-60494E90A4DA}"/>
    <cellStyle name="Comma 10 2 7 4 2 2 2" xfId="59763" xr:uid="{0478D243-B0B3-41AB-8C2F-BF6525934DDB}"/>
    <cellStyle name="Comma 10 2 7 4 2 3" xfId="44643" xr:uid="{E15D1413-C003-40EB-92FD-8C182437C4D2}"/>
    <cellStyle name="Comma 10 2 7 4 3" xfId="20451" xr:uid="{98C10682-760D-45A9-A988-AB7B546FFF8D}"/>
    <cellStyle name="Comma 10 2 7 4 3 2" xfId="50691" xr:uid="{78A39B71-5F58-461D-9F5D-D1944A1FEB63}"/>
    <cellStyle name="Comma 10 2 7 4 4" xfId="35571" xr:uid="{DBFD8EC4-9392-453B-B0FB-9D353D7D9979}"/>
    <cellStyle name="Comma 10 2 7 5" xfId="6843" xr:uid="{927B4979-B9EA-42FD-9C57-BEDACEB1F581}"/>
    <cellStyle name="Comma 10 2 7 5 2" xfId="21963" xr:uid="{5E193DBE-DECD-4A7F-B5F9-C5D41A8AD88A}"/>
    <cellStyle name="Comma 10 2 7 5 2 2" xfId="52203" xr:uid="{DC4B52BE-3166-4267-9887-517C94310B45}"/>
    <cellStyle name="Comma 10 2 7 5 3" xfId="37083" xr:uid="{E21326C7-EF6D-4C3F-8F6B-E1708BB369CE}"/>
    <cellStyle name="Comma 10 2 7 6" xfId="8355" xr:uid="{8BFFB7B2-F8A4-4DDF-B593-290F75D280F7}"/>
    <cellStyle name="Comma 10 2 7 6 2" xfId="23475" xr:uid="{41DA3187-282B-493F-B1D0-4A8C6C5C1EC9}"/>
    <cellStyle name="Comma 10 2 7 6 2 2" xfId="53715" xr:uid="{426ECCB7-FB74-436D-9EC8-6033501CAE98}"/>
    <cellStyle name="Comma 10 2 7 6 3" xfId="38595" xr:uid="{32C624A4-A1A5-46AB-B086-21D09C3751F5}"/>
    <cellStyle name="Comma 10 2 7 7" xfId="9867" xr:uid="{AEEC7BF2-B2B9-4CA0-BD6B-9070185053DC}"/>
    <cellStyle name="Comma 10 2 7 7 2" xfId="24987" xr:uid="{D119D5D2-14C2-4EA3-B0B3-4DD682FA465B}"/>
    <cellStyle name="Comma 10 2 7 7 2 2" xfId="55227" xr:uid="{2C9BF451-3A83-4FF2-8931-CE834DD69604}"/>
    <cellStyle name="Comma 10 2 7 7 3" xfId="40107" xr:uid="{53671FEF-467E-4C6E-9B7B-F255BE93D4CF}"/>
    <cellStyle name="Comma 10 2 7 8" xfId="15915" xr:uid="{2EA16C47-6C80-4BD1-970E-44F01E153382}"/>
    <cellStyle name="Comma 10 2 7 8 2" xfId="46155" xr:uid="{29C64580-0C80-464D-994C-CB05F7F7392D}"/>
    <cellStyle name="Comma 10 2 7 9" xfId="31035" xr:uid="{F333AC01-9F3F-4F39-9AD6-A0B360367790}"/>
    <cellStyle name="Comma 10 2 8" xfId="1551" xr:uid="{E6F13343-217A-4B6E-A403-1D796DB8D112}"/>
    <cellStyle name="Comma 10 2 8 2" xfId="10623" xr:uid="{EA80CE8B-0F05-4071-B480-D0D8850EB398}"/>
    <cellStyle name="Comma 10 2 8 2 2" xfId="25743" xr:uid="{80513EF1-4FD8-4F13-9022-B210DF413933}"/>
    <cellStyle name="Comma 10 2 8 2 2 2" xfId="55983" xr:uid="{E7A98D03-C788-4F79-B555-CB3D822CD607}"/>
    <cellStyle name="Comma 10 2 8 2 3" xfId="40863" xr:uid="{723E74DB-F785-43E6-AE76-5EE723F00719}"/>
    <cellStyle name="Comma 10 2 8 3" xfId="16671" xr:uid="{A1A01211-1341-475A-B10A-86FF3F6E532B}"/>
    <cellStyle name="Comma 10 2 8 3 2" xfId="46911" xr:uid="{46B98072-2C10-490E-B7C8-434E5565E067}"/>
    <cellStyle name="Comma 10 2 8 4" xfId="31791" xr:uid="{CAC29B2B-BB36-424C-AE37-0B7E0D58C2C8}"/>
    <cellStyle name="Comma 10 2 9" xfId="3063" xr:uid="{54B36AB0-0CA7-4D43-8B0B-4372745DF1A9}"/>
    <cellStyle name="Comma 10 2 9 2" xfId="12135" xr:uid="{01248651-ED7D-4365-8CFD-329A6C2ABE76}"/>
    <cellStyle name="Comma 10 2 9 2 2" xfId="27255" xr:uid="{2C7AACF9-0FB0-4753-BB12-63EA0227967F}"/>
    <cellStyle name="Comma 10 2 9 2 2 2" xfId="57495" xr:uid="{CFDF71C5-4410-4D3D-822E-7BC97C4B70EA}"/>
    <cellStyle name="Comma 10 2 9 2 3" xfId="42375" xr:uid="{9D863514-C8F2-4059-9C64-84F936140A60}"/>
    <cellStyle name="Comma 10 2 9 3" xfId="18183" xr:uid="{7929C424-E84F-4C4A-8ECF-CE1551ED4DCE}"/>
    <cellStyle name="Comma 10 2 9 3 2" xfId="48423" xr:uid="{233914BE-A37D-4A15-9006-C970F511282D}"/>
    <cellStyle name="Comma 10 2 9 4" xfId="33303" xr:uid="{8A2CD668-B145-4F87-B492-62931AE9321A}"/>
    <cellStyle name="Comma 10 3" xfId="53" xr:uid="{350DC860-2407-46EF-BBC9-2ECE8D8134D4}"/>
    <cellStyle name="Comma 10 3 10" xfId="4589" xr:uid="{23CF4656-8173-43A0-93C5-1C58F44E8133}"/>
    <cellStyle name="Comma 10 3 10 2" xfId="13661" xr:uid="{B21A9CFF-A77C-4E92-B31C-9823E29AE85D}"/>
    <cellStyle name="Comma 10 3 10 2 2" xfId="28781" xr:uid="{FAED73F7-82E6-4C68-9F2B-92A388388CCC}"/>
    <cellStyle name="Comma 10 3 10 2 2 2" xfId="59021" xr:uid="{9562F39A-785B-47F0-979E-87AC65B95F69}"/>
    <cellStyle name="Comma 10 3 10 2 3" xfId="43901" xr:uid="{B2DD37A0-8496-49FE-B497-45AF27B3EF0F}"/>
    <cellStyle name="Comma 10 3 10 3" xfId="19709" xr:uid="{7FD3F10B-390C-4FBF-8FE5-642C88F6B460}"/>
    <cellStyle name="Comma 10 3 10 3 2" xfId="49949" xr:uid="{8B343115-7CEE-43DE-81E1-62F38A22D1A1}"/>
    <cellStyle name="Comma 10 3 10 4" xfId="34829" xr:uid="{D1913D9A-7421-4DF6-A956-884574843C2D}"/>
    <cellStyle name="Comma 10 3 11" xfId="6101" xr:uid="{2EF5A6B2-E441-48C1-84ED-00AF1D93EF82}"/>
    <cellStyle name="Comma 10 3 11 2" xfId="21221" xr:uid="{5A629E80-A055-4B90-BD74-8A0FA94B5BE1}"/>
    <cellStyle name="Comma 10 3 11 2 2" xfId="51461" xr:uid="{03E91AA0-5001-4DDD-BD46-B9DC401CE340}"/>
    <cellStyle name="Comma 10 3 11 3" xfId="36341" xr:uid="{A1EC2DBD-3A99-4E99-8865-766EAE55DF7B}"/>
    <cellStyle name="Comma 10 3 12" xfId="7613" xr:uid="{EE0F0B79-7108-49BD-B014-650A7CBC9258}"/>
    <cellStyle name="Comma 10 3 12 2" xfId="22733" xr:uid="{0D3ECCE2-5430-4FC1-999D-4D63194570A7}"/>
    <cellStyle name="Comma 10 3 12 2 2" xfId="52973" xr:uid="{83387142-F5D0-4426-9021-DD9EF2ADDABB}"/>
    <cellStyle name="Comma 10 3 12 3" xfId="37853" xr:uid="{0F7EA658-EAE7-4E8D-9F1C-2D10F2AB5567}"/>
    <cellStyle name="Comma 10 3 13" xfId="9125" xr:uid="{2DFA2D38-28FC-4F58-8212-4A9612C2E74E}"/>
    <cellStyle name="Comma 10 3 13 2" xfId="24245" xr:uid="{17CDC382-A4B3-41C5-92BD-3924DBCF5E77}"/>
    <cellStyle name="Comma 10 3 13 2 2" xfId="54485" xr:uid="{BB58BCD6-5AD2-4965-A18A-0F470BFBBCEE}"/>
    <cellStyle name="Comma 10 3 13 3" xfId="39365" xr:uid="{1B6A8208-529E-463E-99D2-8580E200B9D9}"/>
    <cellStyle name="Comma 10 3 14" xfId="15173" xr:uid="{E5D9399A-72B2-4D18-8D69-2AFB73071A74}"/>
    <cellStyle name="Comma 10 3 14 2" xfId="45413" xr:uid="{8A1DB623-55A5-4CD7-BFC0-CF3D3F81F0D9}"/>
    <cellStyle name="Comma 10 3 15" xfId="30293" xr:uid="{4D6F2EA6-9DA3-4846-BDFD-EA825732C72C}"/>
    <cellStyle name="Comma 10 3 2" xfId="95" xr:uid="{3C868175-0B0C-4363-8804-DA80D9172DB0}"/>
    <cellStyle name="Comma 10 3 2 10" xfId="6143" xr:uid="{33FEBFDC-CB5C-4636-91B9-1D2B3779ABDD}"/>
    <cellStyle name="Comma 10 3 2 10 2" xfId="21263" xr:uid="{F62C2AD7-89B7-49DA-AB37-94B6332D1C39}"/>
    <cellStyle name="Comma 10 3 2 10 2 2" xfId="51503" xr:uid="{75DDC70B-96D2-451A-809B-66224A4A60CB}"/>
    <cellStyle name="Comma 10 3 2 10 3" xfId="36383" xr:uid="{855F23A9-3E80-471D-B0FC-A325554DE378}"/>
    <cellStyle name="Comma 10 3 2 11" xfId="7655" xr:uid="{76F9D143-A663-4041-9FCD-8E4A4514F858}"/>
    <cellStyle name="Comma 10 3 2 11 2" xfId="22775" xr:uid="{5D4E9969-87EE-4051-88FC-A5CFF8B9CFBB}"/>
    <cellStyle name="Comma 10 3 2 11 2 2" xfId="53015" xr:uid="{6C6D4BC3-C9ED-4765-9E67-B01E217D2232}"/>
    <cellStyle name="Comma 10 3 2 11 3" xfId="37895" xr:uid="{0FED0CD0-4829-41B7-B3C7-4BBDF179BEB5}"/>
    <cellStyle name="Comma 10 3 2 12" xfId="9167" xr:uid="{A697881D-7FF1-4E15-A17D-81EBF04F2C37}"/>
    <cellStyle name="Comma 10 3 2 12 2" xfId="24287" xr:uid="{1F4AFA2A-44A9-4E8F-833F-EE6D400E3A85}"/>
    <cellStyle name="Comma 10 3 2 12 2 2" xfId="54527" xr:uid="{DD41E5E6-D894-4878-921B-CCB61E90E9C7}"/>
    <cellStyle name="Comma 10 3 2 12 3" xfId="39407" xr:uid="{37FF8DF2-6FFE-43FF-A786-495D373F5FA5}"/>
    <cellStyle name="Comma 10 3 2 13" xfId="15215" xr:uid="{FB73B4A0-CD96-42D5-B0F7-D934E7717AB6}"/>
    <cellStyle name="Comma 10 3 2 13 2" xfId="45455" xr:uid="{8CDA771C-6EFB-4C37-B6F1-18AE632840BA}"/>
    <cellStyle name="Comma 10 3 2 14" xfId="30335" xr:uid="{0D4CC224-B7FB-4AB5-9EB7-954B64DC4221}"/>
    <cellStyle name="Comma 10 3 2 2" xfId="179" xr:uid="{0BBB20AE-5AE8-4A9E-8A28-35A53965C37D}"/>
    <cellStyle name="Comma 10 3 2 2 10" xfId="9251" xr:uid="{1EEF9A22-4D91-4585-A7D3-8006D5F08D97}"/>
    <cellStyle name="Comma 10 3 2 2 10 2" xfId="24371" xr:uid="{87A931D9-31AC-4E58-8157-0CF1A13F19EE}"/>
    <cellStyle name="Comma 10 3 2 2 10 2 2" xfId="54611" xr:uid="{5D4EFA76-1CD3-42C3-B6BA-67380B64C232}"/>
    <cellStyle name="Comma 10 3 2 2 10 3" xfId="39491" xr:uid="{38D84BAC-4FA4-4F6F-956E-458C74EB4DE4}"/>
    <cellStyle name="Comma 10 3 2 2 11" xfId="15299" xr:uid="{CD72D2A8-D378-4AA3-8B8C-4ECD844F464D}"/>
    <cellStyle name="Comma 10 3 2 2 11 2" xfId="45539" xr:uid="{03F9C0EF-3B7D-4D00-A3BB-B26A98345412}"/>
    <cellStyle name="Comma 10 3 2 2 12" xfId="30419" xr:uid="{F8D974F0-9D77-4274-BC35-56D3BCAC0118}"/>
    <cellStyle name="Comma 10 3 2 2 2" xfId="431" xr:uid="{F216D036-0202-469C-99AB-39E3720DD972}"/>
    <cellStyle name="Comma 10 3 2 2 2 10" xfId="30671" xr:uid="{9A3874A9-4E74-4B7D-AC78-139085E4CABC}"/>
    <cellStyle name="Comma 10 3 2 2 2 2" xfId="1187" xr:uid="{64A8A8ED-5ADA-49A1-B701-B73A4DCEB861}"/>
    <cellStyle name="Comma 10 3 2 2 2 2 2" xfId="2699" xr:uid="{16634CE3-49AC-4335-8B22-EEB935D7018E}"/>
    <cellStyle name="Comma 10 3 2 2 2 2 2 2" xfId="11771" xr:uid="{03A7227D-03A0-4A4E-A2C6-504D2CD060CD}"/>
    <cellStyle name="Comma 10 3 2 2 2 2 2 2 2" xfId="26891" xr:uid="{794EB933-4CD5-48AB-ABC2-C46C5B6BC245}"/>
    <cellStyle name="Comma 10 3 2 2 2 2 2 2 2 2" xfId="57131" xr:uid="{8E41B9AC-D9B1-4BBB-8DBE-7F04D8F7975E}"/>
    <cellStyle name="Comma 10 3 2 2 2 2 2 2 3" xfId="42011" xr:uid="{7832A980-82AE-4D35-A30B-75390250A687}"/>
    <cellStyle name="Comma 10 3 2 2 2 2 2 3" xfId="17819" xr:uid="{AC2ACC14-61F7-4DE1-B40A-1B1C21756230}"/>
    <cellStyle name="Comma 10 3 2 2 2 2 2 3 2" xfId="48059" xr:uid="{AA2B8B7E-6BCE-46E1-82F2-7311D038210B}"/>
    <cellStyle name="Comma 10 3 2 2 2 2 2 4" xfId="32939" xr:uid="{C925F813-E0D5-4887-B393-EC204C6199E5}"/>
    <cellStyle name="Comma 10 3 2 2 2 2 3" xfId="4211" xr:uid="{0F77C84C-8872-46B1-BF90-9277CB85C6D8}"/>
    <cellStyle name="Comma 10 3 2 2 2 2 3 2" xfId="13283" xr:uid="{D9C5D855-80E0-47F1-9C32-20675746E6DB}"/>
    <cellStyle name="Comma 10 3 2 2 2 2 3 2 2" xfId="28403" xr:uid="{BF2725B0-A779-4989-A596-C0AB5296553E}"/>
    <cellStyle name="Comma 10 3 2 2 2 2 3 2 2 2" xfId="58643" xr:uid="{94576168-F4D9-4B3E-A50D-7D1843DBCC92}"/>
    <cellStyle name="Comma 10 3 2 2 2 2 3 2 3" xfId="43523" xr:uid="{59A2B608-4E07-45CD-BCD5-DECB68EDA9E6}"/>
    <cellStyle name="Comma 10 3 2 2 2 2 3 3" xfId="19331" xr:uid="{3AB049E3-70EF-4052-8E03-B6C9278D3EC1}"/>
    <cellStyle name="Comma 10 3 2 2 2 2 3 3 2" xfId="49571" xr:uid="{46853D83-AF7E-4A8B-9098-ADB3D5F62391}"/>
    <cellStyle name="Comma 10 3 2 2 2 2 3 4" xfId="34451" xr:uid="{E7F7C0FA-098D-4C36-8CA3-874C0D18D184}"/>
    <cellStyle name="Comma 10 3 2 2 2 2 4" xfId="5723" xr:uid="{A02F5F5A-6B33-4D51-9324-7CA86DF52A30}"/>
    <cellStyle name="Comma 10 3 2 2 2 2 4 2" xfId="14795" xr:uid="{E6941618-5950-49B4-8E53-DA8BA18921FC}"/>
    <cellStyle name="Comma 10 3 2 2 2 2 4 2 2" xfId="29915" xr:uid="{EDBF9103-AADA-4C57-88F7-EA416B36428B}"/>
    <cellStyle name="Comma 10 3 2 2 2 2 4 2 2 2" xfId="60155" xr:uid="{D7C169B2-F233-4265-AB0F-5862B798F08B}"/>
    <cellStyle name="Comma 10 3 2 2 2 2 4 2 3" xfId="45035" xr:uid="{51AC0E40-4DCB-4879-8AC3-51D770C50903}"/>
    <cellStyle name="Comma 10 3 2 2 2 2 4 3" xfId="20843" xr:uid="{FA3B5707-AA50-4AB4-B00B-08133FBC0107}"/>
    <cellStyle name="Comma 10 3 2 2 2 2 4 3 2" xfId="51083" xr:uid="{9C984E18-1EA9-46B6-BBA2-39CBED782A25}"/>
    <cellStyle name="Comma 10 3 2 2 2 2 4 4" xfId="35963" xr:uid="{7AF6DF38-36CA-480B-8C83-7613CBB413C9}"/>
    <cellStyle name="Comma 10 3 2 2 2 2 5" xfId="7235" xr:uid="{0542C20D-D07F-46DE-92EA-08FD99069171}"/>
    <cellStyle name="Comma 10 3 2 2 2 2 5 2" xfId="22355" xr:uid="{C30D2DA8-9575-4A6F-9446-3A2345919B76}"/>
    <cellStyle name="Comma 10 3 2 2 2 2 5 2 2" xfId="52595" xr:uid="{6243F82A-7101-4FA6-826B-427253B0655E}"/>
    <cellStyle name="Comma 10 3 2 2 2 2 5 3" xfId="37475" xr:uid="{FD8C101A-678D-4B7D-BDC1-8B163F8DDF82}"/>
    <cellStyle name="Comma 10 3 2 2 2 2 6" xfId="8747" xr:uid="{E4D16463-74B5-4AF6-862B-5C800935F40D}"/>
    <cellStyle name="Comma 10 3 2 2 2 2 6 2" xfId="23867" xr:uid="{90F355C2-FA2A-478F-B63D-857D52F9A385}"/>
    <cellStyle name="Comma 10 3 2 2 2 2 6 2 2" xfId="54107" xr:uid="{D6893596-7986-449B-B563-97C24D2FEC7A}"/>
    <cellStyle name="Comma 10 3 2 2 2 2 6 3" xfId="38987" xr:uid="{9D6F3195-96AA-49EE-BF11-8D0E5C596F55}"/>
    <cellStyle name="Comma 10 3 2 2 2 2 7" xfId="10259" xr:uid="{371876AC-261B-487B-87FF-F3F48E5FECDF}"/>
    <cellStyle name="Comma 10 3 2 2 2 2 7 2" xfId="25379" xr:uid="{DDE3EA26-CBC4-4A5A-83AB-5C3FD4B4E967}"/>
    <cellStyle name="Comma 10 3 2 2 2 2 7 2 2" xfId="55619" xr:uid="{62D6103C-0CD8-4AD6-9813-B31F379C5A2F}"/>
    <cellStyle name="Comma 10 3 2 2 2 2 7 3" xfId="40499" xr:uid="{83FA4CFB-E0E1-4C70-9DEC-E19A04141765}"/>
    <cellStyle name="Comma 10 3 2 2 2 2 8" xfId="16307" xr:uid="{CAB41E20-E158-4ADF-8D9A-AD5491921A35}"/>
    <cellStyle name="Comma 10 3 2 2 2 2 8 2" xfId="46547" xr:uid="{FF9D65D0-FF61-4026-957A-3A167621DA59}"/>
    <cellStyle name="Comma 10 3 2 2 2 2 9" xfId="31427" xr:uid="{26587A87-1843-4805-9594-FBCA9F704FC5}"/>
    <cellStyle name="Comma 10 3 2 2 2 3" xfId="1943" xr:uid="{AD73817F-E401-42E8-BF78-9F4CEA3DB75C}"/>
    <cellStyle name="Comma 10 3 2 2 2 3 2" xfId="11015" xr:uid="{64FFFCC3-A800-4C43-909E-F38FF4EF9568}"/>
    <cellStyle name="Comma 10 3 2 2 2 3 2 2" xfId="26135" xr:uid="{F2F6830D-2840-445C-AC6E-D545E6F617B9}"/>
    <cellStyle name="Comma 10 3 2 2 2 3 2 2 2" xfId="56375" xr:uid="{89BF5AD3-F039-4774-9F4E-EE850875B9DF}"/>
    <cellStyle name="Comma 10 3 2 2 2 3 2 3" xfId="41255" xr:uid="{749A8C11-D7CB-410E-A057-7999121690D3}"/>
    <cellStyle name="Comma 10 3 2 2 2 3 3" xfId="17063" xr:uid="{3E9260E0-DA4D-4E27-AE36-B9E1FA15CC4F}"/>
    <cellStyle name="Comma 10 3 2 2 2 3 3 2" xfId="47303" xr:uid="{720FC5D6-32E7-478D-BAE1-28AC37D00077}"/>
    <cellStyle name="Comma 10 3 2 2 2 3 4" xfId="32183" xr:uid="{7C7F021B-FB25-4DF9-8773-19EA7EAB8353}"/>
    <cellStyle name="Comma 10 3 2 2 2 4" xfId="3455" xr:uid="{6338AA0B-85DD-48B6-8328-E71B6816E125}"/>
    <cellStyle name="Comma 10 3 2 2 2 4 2" xfId="12527" xr:uid="{7FFE5E96-4EA9-4633-AC5F-C8B0E65EC0F2}"/>
    <cellStyle name="Comma 10 3 2 2 2 4 2 2" xfId="27647" xr:uid="{11945C9D-C763-4135-B75A-7BFE29FE104E}"/>
    <cellStyle name="Comma 10 3 2 2 2 4 2 2 2" xfId="57887" xr:uid="{8ECDB131-B7F5-4F33-B95A-A95130659A04}"/>
    <cellStyle name="Comma 10 3 2 2 2 4 2 3" xfId="42767" xr:uid="{E8D1D588-DF52-4BC8-9B8A-74D633BFE2AC}"/>
    <cellStyle name="Comma 10 3 2 2 2 4 3" xfId="18575" xr:uid="{FEDC8997-9FCE-4A17-88BC-F2B3D7C2B092}"/>
    <cellStyle name="Comma 10 3 2 2 2 4 3 2" xfId="48815" xr:uid="{1D5E7AEC-9D5D-4078-9638-CBD9394BFFC3}"/>
    <cellStyle name="Comma 10 3 2 2 2 4 4" xfId="33695" xr:uid="{846F9F5D-F016-4EAD-B560-2F0CA6084958}"/>
    <cellStyle name="Comma 10 3 2 2 2 5" xfId="4967" xr:uid="{461CA8A4-4D3A-4424-B113-383D6D2779B9}"/>
    <cellStyle name="Comma 10 3 2 2 2 5 2" xfId="14039" xr:uid="{84AD3022-6BFA-4ADE-8F1F-FF755F0ABA82}"/>
    <cellStyle name="Comma 10 3 2 2 2 5 2 2" xfId="29159" xr:uid="{09FDD04F-9FE8-4963-B5E2-541A02665153}"/>
    <cellStyle name="Comma 10 3 2 2 2 5 2 2 2" xfId="59399" xr:uid="{1A756CA1-09CD-4230-B8DC-79DEFA1FED30}"/>
    <cellStyle name="Comma 10 3 2 2 2 5 2 3" xfId="44279" xr:uid="{91D5E483-FE68-4BD3-A0BD-9F669363841B}"/>
    <cellStyle name="Comma 10 3 2 2 2 5 3" xfId="20087" xr:uid="{818C52C3-4A5D-4F5F-8917-A89FA0E3CE97}"/>
    <cellStyle name="Comma 10 3 2 2 2 5 3 2" xfId="50327" xr:uid="{C596FCFD-C946-43F4-A0F0-8B17A9615166}"/>
    <cellStyle name="Comma 10 3 2 2 2 5 4" xfId="35207" xr:uid="{017BCA02-58B1-494E-9E60-EBC92765FFF3}"/>
    <cellStyle name="Comma 10 3 2 2 2 6" xfId="6479" xr:uid="{04680217-E081-4E96-9305-D6FE82550334}"/>
    <cellStyle name="Comma 10 3 2 2 2 6 2" xfId="21599" xr:uid="{624C3E02-FF8A-4E6F-AC86-3F4B9135C723}"/>
    <cellStyle name="Comma 10 3 2 2 2 6 2 2" xfId="51839" xr:uid="{2E1CEC9C-E622-43A8-A687-0CA8DEC44044}"/>
    <cellStyle name="Comma 10 3 2 2 2 6 3" xfId="36719" xr:uid="{E31E5E98-3E19-4158-89E4-EA702FF1F1AD}"/>
    <cellStyle name="Comma 10 3 2 2 2 7" xfId="7991" xr:uid="{B6347C05-35F2-4FE4-936D-04284505915E}"/>
    <cellStyle name="Comma 10 3 2 2 2 7 2" xfId="23111" xr:uid="{C86291C3-BDFA-483B-928D-5594C01797C3}"/>
    <cellStyle name="Comma 10 3 2 2 2 7 2 2" xfId="53351" xr:uid="{0C17B1BF-5905-4FAE-8878-224362A2B34D}"/>
    <cellStyle name="Comma 10 3 2 2 2 7 3" xfId="38231" xr:uid="{5E533145-9613-483E-BC37-AB8721AFFA6E}"/>
    <cellStyle name="Comma 10 3 2 2 2 8" xfId="9503" xr:uid="{D36DBE5C-79B4-41D8-AFCB-996B84FDE74E}"/>
    <cellStyle name="Comma 10 3 2 2 2 8 2" xfId="24623" xr:uid="{96EE32E5-A431-44DB-AB50-CF03B68161BE}"/>
    <cellStyle name="Comma 10 3 2 2 2 8 2 2" xfId="54863" xr:uid="{FCB4BEA6-33B4-4291-8FB0-A51D234B5B28}"/>
    <cellStyle name="Comma 10 3 2 2 2 8 3" xfId="39743" xr:uid="{0B574B86-7A9E-4523-A9B8-883580AE183E}"/>
    <cellStyle name="Comma 10 3 2 2 2 9" xfId="15551" xr:uid="{74F4BDDF-C1FE-4244-978B-4E706270869E}"/>
    <cellStyle name="Comma 10 3 2 2 2 9 2" xfId="45791" xr:uid="{5A9AAD42-3B47-4899-A504-9A891595F764}"/>
    <cellStyle name="Comma 10 3 2 2 3" xfId="683" xr:uid="{D101AF94-04B0-40A0-983F-DF6A6F25DFB9}"/>
    <cellStyle name="Comma 10 3 2 2 3 10" xfId="30923" xr:uid="{1F956D57-5CD3-431F-B2BD-3BF3AC20B13C}"/>
    <cellStyle name="Comma 10 3 2 2 3 2" xfId="1439" xr:uid="{F7EE2D3F-CAF9-4DEA-912D-4039E6FE3091}"/>
    <cellStyle name="Comma 10 3 2 2 3 2 2" xfId="2951" xr:uid="{701D326F-950F-41A3-B77F-775F494DE787}"/>
    <cellStyle name="Comma 10 3 2 2 3 2 2 2" xfId="12023" xr:uid="{3C53C4F8-0A7D-407D-95B9-81D7A2E93000}"/>
    <cellStyle name="Comma 10 3 2 2 3 2 2 2 2" xfId="27143" xr:uid="{D817A26A-A179-4A53-83B4-8A8B24296087}"/>
    <cellStyle name="Comma 10 3 2 2 3 2 2 2 2 2" xfId="57383" xr:uid="{863FDD3C-E159-4D3C-A8FD-381CE1967D55}"/>
    <cellStyle name="Comma 10 3 2 2 3 2 2 2 3" xfId="42263" xr:uid="{D0244561-624A-4449-94FD-AA886501A53A}"/>
    <cellStyle name="Comma 10 3 2 2 3 2 2 3" xfId="18071" xr:uid="{4C35ADA0-79EB-4B87-ABC1-1A20CEE072EE}"/>
    <cellStyle name="Comma 10 3 2 2 3 2 2 3 2" xfId="48311" xr:uid="{FB414813-35AC-46FE-948B-C5B57D6318B2}"/>
    <cellStyle name="Comma 10 3 2 2 3 2 2 4" xfId="33191" xr:uid="{1A7FFFE8-6158-4D3F-B94F-431E05160F24}"/>
    <cellStyle name="Comma 10 3 2 2 3 2 3" xfId="4463" xr:uid="{24DBDE4D-D6FC-4993-8B0F-3D9C6D053236}"/>
    <cellStyle name="Comma 10 3 2 2 3 2 3 2" xfId="13535" xr:uid="{DBE1B8EE-B0E5-4105-983F-C37989DB03F2}"/>
    <cellStyle name="Comma 10 3 2 2 3 2 3 2 2" xfId="28655" xr:uid="{182993D2-498E-4919-99B1-97D6FC0A3CA3}"/>
    <cellStyle name="Comma 10 3 2 2 3 2 3 2 2 2" xfId="58895" xr:uid="{67A58AEB-6FFB-4931-A158-258416F7B445}"/>
    <cellStyle name="Comma 10 3 2 2 3 2 3 2 3" xfId="43775" xr:uid="{BF52639E-9347-4998-AB37-E76645BCBF8C}"/>
    <cellStyle name="Comma 10 3 2 2 3 2 3 3" xfId="19583" xr:uid="{3873FB9F-4231-433F-98E0-3376D24E2B44}"/>
    <cellStyle name="Comma 10 3 2 2 3 2 3 3 2" xfId="49823" xr:uid="{5F0151BF-6A87-4DA3-9D06-B7394F5F4404}"/>
    <cellStyle name="Comma 10 3 2 2 3 2 3 4" xfId="34703" xr:uid="{0A4C9D9C-8E06-488E-9D13-7E2BFA9CF4DD}"/>
    <cellStyle name="Comma 10 3 2 2 3 2 4" xfId="5975" xr:uid="{17A64AD8-3442-4A65-96D8-C638AF927AD4}"/>
    <cellStyle name="Comma 10 3 2 2 3 2 4 2" xfId="15047" xr:uid="{7653861A-A595-461B-B7E4-B8D3436DBECC}"/>
    <cellStyle name="Comma 10 3 2 2 3 2 4 2 2" xfId="30167" xr:uid="{C97E32F4-130D-4BC6-A44C-35FFB753C0F5}"/>
    <cellStyle name="Comma 10 3 2 2 3 2 4 2 2 2" xfId="60407" xr:uid="{6945AB9A-B9CE-4687-9012-AC29ADEE1C67}"/>
    <cellStyle name="Comma 10 3 2 2 3 2 4 2 3" xfId="45287" xr:uid="{18EC7EF6-3679-427C-975E-F7631C6673DC}"/>
    <cellStyle name="Comma 10 3 2 2 3 2 4 3" xfId="21095" xr:uid="{2E3EB725-15DE-4641-88E6-C103E7D18BA1}"/>
    <cellStyle name="Comma 10 3 2 2 3 2 4 3 2" xfId="51335" xr:uid="{2AD62F05-483B-47E6-A6E9-B65DB10F8FA2}"/>
    <cellStyle name="Comma 10 3 2 2 3 2 4 4" xfId="36215" xr:uid="{CB426B28-550C-4D1E-86E5-D7BF1B439534}"/>
    <cellStyle name="Comma 10 3 2 2 3 2 5" xfId="7487" xr:uid="{A4EE55A1-6C6D-42F9-A08B-518DC723374C}"/>
    <cellStyle name="Comma 10 3 2 2 3 2 5 2" xfId="22607" xr:uid="{F06646CD-5D62-444D-AC29-25FD685CD6A6}"/>
    <cellStyle name="Comma 10 3 2 2 3 2 5 2 2" xfId="52847" xr:uid="{59639348-8707-4F96-970A-7BED86071ECB}"/>
    <cellStyle name="Comma 10 3 2 2 3 2 5 3" xfId="37727" xr:uid="{71760667-4133-4274-8F9E-49673DB1658B}"/>
    <cellStyle name="Comma 10 3 2 2 3 2 6" xfId="8999" xr:uid="{BEA194A0-5DE3-4C5A-A4E1-662D1895AB09}"/>
    <cellStyle name="Comma 10 3 2 2 3 2 6 2" xfId="24119" xr:uid="{97B4B57B-A98E-440D-BCCD-9554F05C5B92}"/>
    <cellStyle name="Comma 10 3 2 2 3 2 6 2 2" xfId="54359" xr:uid="{2EEBEA3F-9BEE-4501-9DF8-10ADC19304B2}"/>
    <cellStyle name="Comma 10 3 2 2 3 2 6 3" xfId="39239" xr:uid="{32759501-445A-4778-8785-7AFF25D5A019}"/>
    <cellStyle name="Comma 10 3 2 2 3 2 7" xfId="10511" xr:uid="{78461481-CE83-4796-AED0-D638B5D69D33}"/>
    <cellStyle name="Comma 10 3 2 2 3 2 7 2" xfId="25631" xr:uid="{9CE04E89-083C-4EE0-B066-358529F32616}"/>
    <cellStyle name="Comma 10 3 2 2 3 2 7 2 2" xfId="55871" xr:uid="{A6E07D0F-4DB4-4074-8649-5EAAE91AABE3}"/>
    <cellStyle name="Comma 10 3 2 2 3 2 7 3" xfId="40751" xr:uid="{AADB98DF-4A0E-4F15-86DA-037207C383EA}"/>
    <cellStyle name="Comma 10 3 2 2 3 2 8" xfId="16559" xr:uid="{2F3E4422-F45A-43A9-9529-C293A443877E}"/>
    <cellStyle name="Comma 10 3 2 2 3 2 8 2" xfId="46799" xr:uid="{6A4D580B-2AC8-4CEF-940B-9434559D0882}"/>
    <cellStyle name="Comma 10 3 2 2 3 2 9" xfId="31679" xr:uid="{A5756BC9-855C-48BA-BDFC-1E45B8B3ECD1}"/>
    <cellStyle name="Comma 10 3 2 2 3 3" xfId="2195" xr:uid="{879BAA2E-CAA7-42B4-9E8A-036DE7E89E9B}"/>
    <cellStyle name="Comma 10 3 2 2 3 3 2" xfId="11267" xr:uid="{FB0873E4-0347-4E93-AA47-1238C491165D}"/>
    <cellStyle name="Comma 10 3 2 2 3 3 2 2" xfId="26387" xr:uid="{95453144-B750-4BBD-B78C-20AA272F9527}"/>
    <cellStyle name="Comma 10 3 2 2 3 3 2 2 2" xfId="56627" xr:uid="{A25866C1-A85B-4FAC-BDD9-8C4A41CC7041}"/>
    <cellStyle name="Comma 10 3 2 2 3 3 2 3" xfId="41507" xr:uid="{ED700AFD-E8DB-4C00-BD48-C192565DB7BE}"/>
    <cellStyle name="Comma 10 3 2 2 3 3 3" xfId="17315" xr:uid="{99C8D0D0-F10B-4DFA-A0C0-79B2EF1A9B61}"/>
    <cellStyle name="Comma 10 3 2 2 3 3 3 2" xfId="47555" xr:uid="{665851D4-736D-4D8A-B7E5-F9EDCEDA01DE}"/>
    <cellStyle name="Comma 10 3 2 2 3 3 4" xfId="32435" xr:uid="{3AA774B2-CE27-45C5-8F88-72B32AF18137}"/>
    <cellStyle name="Comma 10 3 2 2 3 4" xfId="3707" xr:uid="{5E7A5196-BABE-4BF5-822D-5588897B8C70}"/>
    <cellStyle name="Comma 10 3 2 2 3 4 2" xfId="12779" xr:uid="{31581A3F-F0AB-4CF4-BC55-779BA754CF42}"/>
    <cellStyle name="Comma 10 3 2 2 3 4 2 2" xfId="27899" xr:uid="{0DE54A68-1BD2-418B-978E-824BB3C7BCCD}"/>
    <cellStyle name="Comma 10 3 2 2 3 4 2 2 2" xfId="58139" xr:uid="{7399A2D0-EBD4-4E17-954C-5A8EF9E6D8BB}"/>
    <cellStyle name="Comma 10 3 2 2 3 4 2 3" xfId="43019" xr:uid="{DCE4E2B5-46E3-4F9C-B9B7-510BEE41A8DB}"/>
    <cellStyle name="Comma 10 3 2 2 3 4 3" xfId="18827" xr:uid="{6D4F1B66-0608-4892-B93B-0191CA5D2047}"/>
    <cellStyle name="Comma 10 3 2 2 3 4 3 2" xfId="49067" xr:uid="{D2AA8485-BB17-4AA2-85D9-4CE2B379B2DB}"/>
    <cellStyle name="Comma 10 3 2 2 3 4 4" xfId="33947" xr:uid="{0CDC0394-5AFA-4F8F-B007-11060C68F9B5}"/>
    <cellStyle name="Comma 10 3 2 2 3 5" xfId="5219" xr:uid="{051B0923-51DE-4A4C-A03D-869C4DB190EB}"/>
    <cellStyle name="Comma 10 3 2 2 3 5 2" xfId="14291" xr:uid="{62EBC484-A0DB-44E4-9BDC-8650EBAF7CA9}"/>
    <cellStyle name="Comma 10 3 2 2 3 5 2 2" xfId="29411" xr:uid="{7113D144-8ED0-48DE-B676-4904D1A28679}"/>
    <cellStyle name="Comma 10 3 2 2 3 5 2 2 2" xfId="59651" xr:uid="{432149A7-72B5-49B8-A6D4-2E7C7BF8CDDB}"/>
    <cellStyle name="Comma 10 3 2 2 3 5 2 3" xfId="44531" xr:uid="{A96736DB-2B8B-4C63-8AAE-89886785A3BB}"/>
    <cellStyle name="Comma 10 3 2 2 3 5 3" xfId="20339" xr:uid="{80667B69-85B2-4F09-AFF1-6016D5363187}"/>
    <cellStyle name="Comma 10 3 2 2 3 5 3 2" xfId="50579" xr:uid="{BBA2BB5A-98E6-461F-86B2-DB51D8DDE56D}"/>
    <cellStyle name="Comma 10 3 2 2 3 5 4" xfId="35459" xr:uid="{2351910B-373A-44FB-A83F-441D4E4691EB}"/>
    <cellStyle name="Comma 10 3 2 2 3 6" xfId="6731" xr:uid="{67205540-AA7E-4CD8-A661-9352E7CED4D4}"/>
    <cellStyle name="Comma 10 3 2 2 3 6 2" xfId="21851" xr:uid="{A5019A43-6955-40B8-B275-954E818DAED2}"/>
    <cellStyle name="Comma 10 3 2 2 3 6 2 2" xfId="52091" xr:uid="{F66FB251-32B6-436C-9A0F-FCFAD64AC856}"/>
    <cellStyle name="Comma 10 3 2 2 3 6 3" xfId="36971" xr:uid="{975C63FB-8335-42A8-984D-C93A47608193}"/>
    <cellStyle name="Comma 10 3 2 2 3 7" xfId="8243" xr:uid="{A033F0AB-DEF1-48F9-BD29-44AF0F600DF5}"/>
    <cellStyle name="Comma 10 3 2 2 3 7 2" xfId="23363" xr:uid="{BEE3DD7B-53C7-4D0E-9308-15DF2F54D617}"/>
    <cellStyle name="Comma 10 3 2 2 3 7 2 2" xfId="53603" xr:uid="{99D442BC-35A7-4ADC-828C-D41F9A335AED}"/>
    <cellStyle name="Comma 10 3 2 2 3 7 3" xfId="38483" xr:uid="{0411862F-775C-45EE-B5BC-BA2DF4EE5783}"/>
    <cellStyle name="Comma 10 3 2 2 3 8" xfId="9755" xr:uid="{87E5B0AA-8336-43AF-B743-D2285EB29EC3}"/>
    <cellStyle name="Comma 10 3 2 2 3 8 2" xfId="24875" xr:uid="{36C5909D-A676-4A5E-B7B7-32FC41AED862}"/>
    <cellStyle name="Comma 10 3 2 2 3 8 2 2" xfId="55115" xr:uid="{D823A129-584A-4F7B-A00C-35C0A1993428}"/>
    <cellStyle name="Comma 10 3 2 2 3 8 3" xfId="39995" xr:uid="{FF84A40F-A667-4F93-817D-36DC99CA6D29}"/>
    <cellStyle name="Comma 10 3 2 2 3 9" xfId="15803" xr:uid="{E6C4CA9E-2611-4AAD-87FF-0C2800EB5FA8}"/>
    <cellStyle name="Comma 10 3 2 2 3 9 2" xfId="46043" xr:uid="{B24D60C2-FB34-41B4-BD48-729128F30FDF}"/>
    <cellStyle name="Comma 10 3 2 2 4" xfId="935" xr:uid="{EEBA0D3F-F650-41B3-BAB2-1B6A3ED48001}"/>
    <cellStyle name="Comma 10 3 2 2 4 2" xfId="2447" xr:uid="{8857EC69-2C84-493D-96E9-545E9F927E43}"/>
    <cellStyle name="Comma 10 3 2 2 4 2 2" xfId="11519" xr:uid="{0698F73F-A396-4F62-B347-586E59E86B03}"/>
    <cellStyle name="Comma 10 3 2 2 4 2 2 2" xfId="26639" xr:uid="{CE2EA5D5-DE8E-4E13-9852-EA1F7838891A}"/>
    <cellStyle name="Comma 10 3 2 2 4 2 2 2 2" xfId="56879" xr:uid="{AD1937AC-4584-409D-8683-23BF2F7C012E}"/>
    <cellStyle name="Comma 10 3 2 2 4 2 2 3" xfId="41759" xr:uid="{41092B4D-B5F5-4CED-9166-4BD350E6F1FB}"/>
    <cellStyle name="Comma 10 3 2 2 4 2 3" xfId="17567" xr:uid="{98943CF2-8593-4D44-ADC6-083EC561C104}"/>
    <cellStyle name="Comma 10 3 2 2 4 2 3 2" xfId="47807" xr:uid="{509C8718-649C-42C6-91CD-C66292C4E198}"/>
    <cellStyle name="Comma 10 3 2 2 4 2 4" xfId="32687" xr:uid="{4233F3E7-7AD8-421A-B67C-827C98DF1CEA}"/>
    <cellStyle name="Comma 10 3 2 2 4 3" xfId="3959" xr:uid="{12915349-7182-4368-8BBE-04D80D7181FD}"/>
    <cellStyle name="Comma 10 3 2 2 4 3 2" xfId="13031" xr:uid="{C1C47EA3-30A3-49FF-956B-50A102599888}"/>
    <cellStyle name="Comma 10 3 2 2 4 3 2 2" xfId="28151" xr:uid="{EC2D8690-C9B4-4B12-BC8C-5568146F9434}"/>
    <cellStyle name="Comma 10 3 2 2 4 3 2 2 2" xfId="58391" xr:uid="{B3835801-3C04-4E19-A831-90FA8902D544}"/>
    <cellStyle name="Comma 10 3 2 2 4 3 2 3" xfId="43271" xr:uid="{F934F5D4-EED1-4B3B-90C8-EB044EE6E2D9}"/>
    <cellStyle name="Comma 10 3 2 2 4 3 3" xfId="19079" xr:uid="{6E83CE1A-92CE-4320-B066-03745EFF525C}"/>
    <cellStyle name="Comma 10 3 2 2 4 3 3 2" xfId="49319" xr:uid="{8497B1EF-BBE5-420C-832F-ECF47A55539B}"/>
    <cellStyle name="Comma 10 3 2 2 4 3 4" xfId="34199" xr:uid="{2FC9AC82-8B98-4328-818D-6D1D476F7224}"/>
    <cellStyle name="Comma 10 3 2 2 4 4" xfId="5471" xr:uid="{49185BB3-AAB3-45AB-B13A-E5FDCEB0A12A}"/>
    <cellStyle name="Comma 10 3 2 2 4 4 2" xfId="14543" xr:uid="{B9476D9F-92B1-4A98-95C5-E8EF5181325B}"/>
    <cellStyle name="Comma 10 3 2 2 4 4 2 2" xfId="29663" xr:uid="{6AA7BF37-5E38-4261-8F93-79B438BDB05C}"/>
    <cellStyle name="Comma 10 3 2 2 4 4 2 2 2" xfId="59903" xr:uid="{844AEC56-4B90-460E-A6F2-32515BC5A8C7}"/>
    <cellStyle name="Comma 10 3 2 2 4 4 2 3" xfId="44783" xr:uid="{ABDD479A-F7A1-4B6A-8760-E51C4EA7F031}"/>
    <cellStyle name="Comma 10 3 2 2 4 4 3" xfId="20591" xr:uid="{60CEB16D-6532-4779-8084-8D2C40DBFBAF}"/>
    <cellStyle name="Comma 10 3 2 2 4 4 3 2" xfId="50831" xr:uid="{717EA9A4-24CE-4765-AE0C-E05D2B395078}"/>
    <cellStyle name="Comma 10 3 2 2 4 4 4" xfId="35711" xr:uid="{7FDADB69-5185-452A-8EC7-2C0CB6BDE8C9}"/>
    <cellStyle name="Comma 10 3 2 2 4 5" xfId="6983" xr:uid="{65569C9B-33FB-4D65-A129-E3C9DF15959F}"/>
    <cellStyle name="Comma 10 3 2 2 4 5 2" xfId="22103" xr:uid="{6D0D5E1C-82AA-4C62-9EE7-F6E0F2C956B3}"/>
    <cellStyle name="Comma 10 3 2 2 4 5 2 2" xfId="52343" xr:uid="{A1348682-0F74-4D35-9793-CF8E4E1239B0}"/>
    <cellStyle name="Comma 10 3 2 2 4 5 3" xfId="37223" xr:uid="{1E6ADF50-10FB-49DB-9F25-5F22766E75BE}"/>
    <cellStyle name="Comma 10 3 2 2 4 6" xfId="8495" xr:uid="{300546F5-5EBD-400C-80F1-C5FC1D60BFE1}"/>
    <cellStyle name="Comma 10 3 2 2 4 6 2" xfId="23615" xr:uid="{9C9FB3B4-3786-462D-A05F-FEA9D811DD39}"/>
    <cellStyle name="Comma 10 3 2 2 4 6 2 2" xfId="53855" xr:uid="{B424AEDF-8170-459F-9FAB-68F949963A3C}"/>
    <cellStyle name="Comma 10 3 2 2 4 6 3" xfId="38735" xr:uid="{14751406-461B-414D-9E19-83DCF4ED08F0}"/>
    <cellStyle name="Comma 10 3 2 2 4 7" xfId="10007" xr:uid="{392C1A72-3BE0-434B-8F66-D3618A892429}"/>
    <cellStyle name="Comma 10 3 2 2 4 7 2" xfId="25127" xr:uid="{0985F662-CBB1-48B8-BABF-DEE7ECC10BD4}"/>
    <cellStyle name="Comma 10 3 2 2 4 7 2 2" xfId="55367" xr:uid="{D5A55510-6049-4C90-8F8E-F1400285734A}"/>
    <cellStyle name="Comma 10 3 2 2 4 7 3" xfId="40247" xr:uid="{EDC2F612-75B4-49B4-A388-03B38D2BDCFA}"/>
    <cellStyle name="Comma 10 3 2 2 4 8" xfId="16055" xr:uid="{8068142A-3E22-404E-9F52-EB7B0BA42539}"/>
    <cellStyle name="Comma 10 3 2 2 4 8 2" xfId="46295" xr:uid="{7615658D-4E19-467E-A836-7D55256D3E72}"/>
    <cellStyle name="Comma 10 3 2 2 4 9" xfId="31175" xr:uid="{911DE9C7-88E9-4927-B4AC-2B848B9C436E}"/>
    <cellStyle name="Comma 10 3 2 2 5" xfId="1691" xr:uid="{5A48BEC2-1125-4247-83C1-08B5CA241DAE}"/>
    <cellStyle name="Comma 10 3 2 2 5 2" xfId="10763" xr:uid="{9A86BBC6-7A7A-49F0-ABED-E9663152D03E}"/>
    <cellStyle name="Comma 10 3 2 2 5 2 2" xfId="25883" xr:uid="{765EDE7B-E04A-4256-83B7-DA61BE23631F}"/>
    <cellStyle name="Comma 10 3 2 2 5 2 2 2" xfId="56123" xr:uid="{109E4273-F0B9-4C69-B1AF-9C41611C2572}"/>
    <cellStyle name="Comma 10 3 2 2 5 2 3" xfId="41003" xr:uid="{5C824DB7-2198-46F2-9471-D9F121952A6D}"/>
    <cellStyle name="Comma 10 3 2 2 5 3" xfId="16811" xr:uid="{6392C7B8-ED18-4A3B-B0D0-A57C6972D981}"/>
    <cellStyle name="Comma 10 3 2 2 5 3 2" xfId="47051" xr:uid="{03BF7208-3214-44B7-9EBE-D2098A0D440A}"/>
    <cellStyle name="Comma 10 3 2 2 5 4" xfId="31931" xr:uid="{10C9B6B9-031C-490B-A15C-B3AE8E6EE126}"/>
    <cellStyle name="Comma 10 3 2 2 6" xfId="3203" xr:uid="{ED6E8A6B-01C9-407E-B066-95E8C8859A34}"/>
    <cellStyle name="Comma 10 3 2 2 6 2" xfId="12275" xr:uid="{6C82C3DE-3F33-4CF4-B942-C4C92B6DFBD3}"/>
    <cellStyle name="Comma 10 3 2 2 6 2 2" xfId="27395" xr:uid="{30320C21-184A-42F7-8188-1901A5D72F21}"/>
    <cellStyle name="Comma 10 3 2 2 6 2 2 2" xfId="57635" xr:uid="{5832926B-859B-47CD-BC85-3A180A6274CC}"/>
    <cellStyle name="Comma 10 3 2 2 6 2 3" xfId="42515" xr:uid="{6FC94133-8980-44CB-BCBE-E9FDFBC22389}"/>
    <cellStyle name="Comma 10 3 2 2 6 3" xfId="18323" xr:uid="{FDAE7514-B9CC-4311-B89E-2F78E2DE9AA9}"/>
    <cellStyle name="Comma 10 3 2 2 6 3 2" xfId="48563" xr:uid="{303F09BE-F86D-46F5-8794-2CDCD93DAE96}"/>
    <cellStyle name="Comma 10 3 2 2 6 4" xfId="33443" xr:uid="{C3DC6BDF-E475-4899-A81B-C7099E228C56}"/>
    <cellStyle name="Comma 10 3 2 2 7" xfId="4715" xr:uid="{556CD43E-78CE-4143-829D-7F2FDC305701}"/>
    <cellStyle name="Comma 10 3 2 2 7 2" xfId="13787" xr:uid="{FC50A376-4F4C-4DEE-A623-8C47BEF280AB}"/>
    <cellStyle name="Comma 10 3 2 2 7 2 2" xfId="28907" xr:uid="{611E37E7-9591-4EEB-8F8D-B1C3968DEC4E}"/>
    <cellStyle name="Comma 10 3 2 2 7 2 2 2" xfId="59147" xr:uid="{5E351FF7-04B2-4B47-9AF9-792E661998E3}"/>
    <cellStyle name="Comma 10 3 2 2 7 2 3" xfId="44027" xr:uid="{1B933544-DC19-42B3-9CB9-29F41DB2B209}"/>
    <cellStyle name="Comma 10 3 2 2 7 3" xfId="19835" xr:uid="{27F4B3F9-5A71-4481-AF29-A63CE3AA0FB9}"/>
    <cellStyle name="Comma 10 3 2 2 7 3 2" xfId="50075" xr:uid="{2642A840-C133-4A35-97FA-1928F24D9B25}"/>
    <cellStyle name="Comma 10 3 2 2 7 4" xfId="34955" xr:uid="{03B3B715-B267-4646-8E30-632D1B1AD0B9}"/>
    <cellStyle name="Comma 10 3 2 2 8" xfId="6227" xr:uid="{3D78219D-7709-40CE-99C3-BA198D68C7AF}"/>
    <cellStyle name="Comma 10 3 2 2 8 2" xfId="21347" xr:uid="{DFD0BB84-ECA1-4739-A960-F0191AEB6431}"/>
    <cellStyle name="Comma 10 3 2 2 8 2 2" xfId="51587" xr:uid="{808783BD-58E1-475B-80A0-7F6B61783EEC}"/>
    <cellStyle name="Comma 10 3 2 2 8 3" xfId="36467" xr:uid="{CC9489CF-8C01-4959-AE56-EA7C3708E20B}"/>
    <cellStyle name="Comma 10 3 2 2 9" xfId="7739" xr:uid="{B7D2B357-AD21-4422-A1B7-F4D1DD75D1DD}"/>
    <cellStyle name="Comma 10 3 2 2 9 2" xfId="22859" xr:uid="{4DBECBE5-A628-470F-AB61-2F87F675EBF0}"/>
    <cellStyle name="Comma 10 3 2 2 9 2 2" xfId="53099" xr:uid="{00718C69-6DBB-4294-B976-C8ECF0C0E722}"/>
    <cellStyle name="Comma 10 3 2 2 9 3" xfId="37979" xr:uid="{022A9A1E-06DE-4237-BE6C-CEB44DF8A9CE}"/>
    <cellStyle name="Comma 10 3 2 3" xfId="263" xr:uid="{940037B8-EC89-46C7-A4B9-FB454923783D}"/>
    <cellStyle name="Comma 10 3 2 3 10" xfId="9335" xr:uid="{45AA02F2-F72C-46F3-8CC0-001E431BA97E}"/>
    <cellStyle name="Comma 10 3 2 3 10 2" xfId="24455" xr:uid="{A96F243A-2246-477B-B15D-A5606B5B0C72}"/>
    <cellStyle name="Comma 10 3 2 3 10 2 2" xfId="54695" xr:uid="{29B2ADA7-F47D-4981-873D-22C35C384FC2}"/>
    <cellStyle name="Comma 10 3 2 3 10 3" xfId="39575" xr:uid="{2FDB82CB-A1C2-455D-A88D-9F8BA28DFD96}"/>
    <cellStyle name="Comma 10 3 2 3 11" xfId="15383" xr:uid="{2D1B32C9-C014-4C5D-B486-3FD2EF9E7161}"/>
    <cellStyle name="Comma 10 3 2 3 11 2" xfId="45623" xr:uid="{2479F190-EF63-4547-8F9D-832C36A39E2A}"/>
    <cellStyle name="Comma 10 3 2 3 12" xfId="30503" xr:uid="{C8944F35-4B19-41A6-94E8-3CD1AD317AC0}"/>
    <cellStyle name="Comma 10 3 2 3 2" xfId="515" xr:uid="{EFE62549-AF30-4121-9464-1B9B69313C63}"/>
    <cellStyle name="Comma 10 3 2 3 2 10" xfId="30755" xr:uid="{80124B7C-1F9C-408E-BD63-94794056B66C}"/>
    <cellStyle name="Comma 10 3 2 3 2 2" xfId="1271" xr:uid="{AD1B9BFF-6C7C-470D-88B9-269B4CD56CEE}"/>
    <cellStyle name="Comma 10 3 2 3 2 2 2" xfId="2783" xr:uid="{E4564ED8-22C3-41F4-8F51-A40EE33171A6}"/>
    <cellStyle name="Comma 10 3 2 3 2 2 2 2" xfId="11855" xr:uid="{4E6E02B0-98C9-408F-B742-E465B978DC79}"/>
    <cellStyle name="Comma 10 3 2 3 2 2 2 2 2" xfId="26975" xr:uid="{04B5A43A-22DC-435B-99F1-426F8ED29EBE}"/>
    <cellStyle name="Comma 10 3 2 3 2 2 2 2 2 2" xfId="57215" xr:uid="{18591760-7CF4-4829-9C85-B2A055ED3220}"/>
    <cellStyle name="Comma 10 3 2 3 2 2 2 2 3" xfId="42095" xr:uid="{D797B168-922D-4250-8FDF-0CF0AAB3F3C5}"/>
    <cellStyle name="Comma 10 3 2 3 2 2 2 3" xfId="17903" xr:uid="{D95EFB79-F934-47CB-88DB-F39FADF9660A}"/>
    <cellStyle name="Comma 10 3 2 3 2 2 2 3 2" xfId="48143" xr:uid="{2C6EFCC4-CBA4-4BC8-8CD5-D96F61B00F5F}"/>
    <cellStyle name="Comma 10 3 2 3 2 2 2 4" xfId="33023" xr:uid="{2C14471D-B5AD-453C-971F-DBE0C2C9D182}"/>
    <cellStyle name="Comma 10 3 2 3 2 2 3" xfId="4295" xr:uid="{A4D1E699-93B0-47D6-AB6B-B6D8B85DFFEA}"/>
    <cellStyle name="Comma 10 3 2 3 2 2 3 2" xfId="13367" xr:uid="{E3E44E28-1631-41E5-8314-104D11485F0C}"/>
    <cellStyle name="Comma 10 3 2 3 2 2 3 2 2" xfId="28487" xr:uid="{61D3D9BF-B084-46BB-9F31-60EB7DDC4197}"/>
    <cellStyle name="Comma 10 3 2 3 2 2 3 2 2 2" xfId="58727" xr:uid="{D9817BB2-1BF0-4EF0-9609-D3DE246849FB}"/>
    <cellStyle name="Comma 10 3 2 3 2 2 3 2 3" xfId="43607" xr:uid="{1C26EBF7-4AFD-40F2-8BB4-DAB5B899BA8F}"/>
    <cellStyle name="Comma 10 3 2 3 2 2 3 3" xfId="19415" xr:uid="{73FC8AB7-95F8-4D41-B92E-834448161A3D}"/>
    <cellStyle name="Comma 10 3 2 3 2 2 3 3 2" xfId="49655" xr:uid="{FCCF6F9C-0A25-41BE-8468-65AA21C9B9EB}"/>
    <cellStyle name="Comma 10 3 2 3 2 2 3 4" xfId="34535" xr:uid="{40ADE225-760D-4108-95C7-E54ECEBB79F2}"/>
    <cellStyle name="Comma 10 3 2 3 2 2 4" xfId="5807" xr:uid="{AF59125C-BEA3-423C-9C6C-F449FB0F1C35}"/>
    <cellStyle name="Comma 10 3 2 3 2 2 4 2" xfId="14879" xr:uid="{C7A9C7AB-54E8-4E57-99BE-7DC48A175655}"/>
    <cellStyle name="Comma 10 3 2 3 2 2 4 2 2" xfId="29999" xr:uid="{23EACFC7-17C5-407A-B1EA-DAC9C373B4EB}"/>
    <cellStyle name="Comma 10 3 2 3 2 2 4 2 2 2" xfId="60239" xr:uid="{DE5BADE3-4BA8-46C4-ADAD-446B24A22890}"/>
    <cellStyle name="Comma 10 3 2 3 2 2 4 2 3" xfId="45119" xr:uid="{BC9AD26B-8F26-430B-898A-0B77F1F3EA71}"/>
    <cellStyle name="Comma 10 3 2 3 2 2 4 3" xfId="20927" xr:uid="{39B38074-7FE2-42E2-97AF-C1B084BA1D7C}"/>
    <cellStyle name="Comma 10 3 2 3 2 2 4 3 2" xfId="51167" xr:uid="{A03D6F2F-6E1F-4956-A134-9BFFC2839CCA}"/>
    <cellStyle name="Comma 10 3 2 3 2 2 4 4" xfId="36047" xr:uid="{A3C8F4DD-B8EB-44B7-9279-DB56942AE410}"/>
    <cellStyle name="Comma 10 3 2 3 2 2 5" xfId="7319" xr:uid="{8E65FF4A-A8BA-4A57-BCB7-5E0333F3B703}"/>
    <cellStyle name="Comma 10 3 2 3 2 2 5 2" xfId="22439" xr:uid="{FFFC818A-79A5-49C8-9B82-40B8E91A4E8E}"/>
    <cellStyle name="Comma 10 3 2 3 2 2 5 2 2" xfId="52679" xr:uid="{36BB816A-C65C-405A-95FB-95869EBBECED}"/>
    <cellStyle name="Comma 10 3 2 3 2 2 5 3" xfId="37559" xr:uid="{80A0EE31-78B4-4DA0-A13B-44E29F623439}"/>
    <cellStyle name="Comma 10 3 2 3 2 2 6" xfId="8831" xr:uid="{8E28D014-EDFD-47E8-B49C-FE510E137893}"/>
    <cellStyle name="Comma 10 3 2 3 2 2 6 2" xfId="23951" xr:uid="{1E73891D-7133-4965-8D0C-F7F1EB3E2058}"/>
    <cellStyle name="Comma 10 3 2 3 2 2 6 2 2" xfId="54191" xr:uid="{528C4B4E-2E2E-465D-AC6E-9329D9759827}"/>
    <cellStyle name="Comma 10 3 2 3 2 2 6 3" xfId="39071" xr:uid="{0163D69F-A0EE-48CC-906C-4DEF63F70DB4}"/>
    <cellStyle name="Comma 10 3 2 3 2 2 7" xfId="10343" xr:uid="{975C1B95-D61E-4522-ACE3-0F82DAB6BF9A}"/>
    <cellStyle name="Comma 10 3 2 3 2 2 7 2" xfId="25463" xr:uid="{2DC49EBF-DAD8-450D-946A-3B16702235EE}"/>
    <cellStyle name="Comma 10 3 2 3 2 2 7 2 2" xfId="55703" xr:uid="{A70D0EEC-FF71-40CA-AFE5-28E56D128983}"/>
    <cellStyle name="Comma 10 3 2 3 2 2 7 3" xfId="40583" xr:uid="{DBBAE068-CD20-4AC4-9784-FC5847E460ED}"/>
    <cellStyle name="Comma 10 3 2 3 2 2 8" xfId="16391" xr:uid="{CD398C7B-CE02-450F-9EDA-AE94197BEF40}"/>
    <cellStyle name="Comma 10 3 2 3 2 2 8 2" xfId="46631" xr:uid="{2AB2574E-97BB-467A-85D9-7E535BA920BA}"/>
    <cellStyle name="Comma 10 3 2 3 2 2 9" xfId="31511" xr:uid="{1A7B1DCA-3648-4243-916C-ECF00DD2BF54}"/>
    <cellStyle name="Comma 10 3 2 3 2 3" xfId="2027" xr:uid="{723C6641-8346-4030-AD33-7CE30D98F0E3}"/>
    <cellStyle name="Comma 10 3 2 3 2 3 2" xfId="11099" xr:uid="{6F92FAAF-3446-4EF0-9E0E-A5FC473B8997}"/>
    <cellStyle name="Comma 10 3 2 3 2 3 2 2" xfId="26219" xr:uid="{1BE1DFB9-277B-4D18-B355-4C1EAC998699}"/>
    <cellStyle name="Comma 10 3 2 3 2 3 2 2 2" xfId="56459" xr:uid="{05AEE79A-ACB9-4DAB-88D7-9D5E9352770D}"/>
    <cellStyle name="Comma 10 3 2 3 2 3 2 3" xfId="41339" xr:uid="{AAC2234C-7A3F-4AA9-A305-74B6C24E63B1}"/>
    <cellStyle name="Comma 10 3 2 3 2 3 3" xfId="17147" xr:uid="{F9592054-0A14-4B3D-BAD5-304BBC98BE69}"/>
    <cellStyle name="Comma 10 3 2 3 2 3 3 2" xfId="47387" xr:uid="{B2C323CE-FA8F-4AE9-8BB2-922BF2D589EF}"/>
    <cellStyle name="Comma 10 3 2 3 2 3 4" xfId="32267" xr:uid="{9159B71E-B779-4EF2-B25C-60AF017E386C}"/>
    <cellStyle name="Comma 10 3 2 3 2 4" xfId="3539" xr:uid="{038B2439-FD09-452F-9BA3-C7D3E98AD28C}"/>
    <cellStyle name="Comma 10 3 2 3 2 4 2" xfId="12611" xr:uid="{080C1447-1EA7-4EDA-999E-93517533AC54}"/>
    <cellStyle name="Comma 10 3 2 3 2 4 2 2" xfId="27731" xr:uid="{568247BE-91A1-4D1B-8F7B-8ED488DCE1F7}"/>
    <cellStyle name="Comma 10 3 2 3 2 4 2 2 2" xfId="57971" xr:uid="{EF7417CF-F36D-4B95-86E0-13DCEE64A3CF}"/>
    <cellStyle name="Comma 10 3 2 3 2 4 2 3" xfId="42851" xr:uid="{D20E04B8-9654-4124-A585-3BF8BE347AEC}"/>
    <cellStyle name="Comma 10 3 2 3 2 4 3" xfId="18659" xr:uid="{40B20E66-BF6E-429C-90DE-0245FD101330}"/>
    <cellStyle name="Comma 10 3 2 3 2 4 3 2" xfId="48899" xr:uid="{A0215D99-C7CC-4A32-930C-5E49417F82C5}"/>
    <cellStyle name="Comma 10 3 2 3 2 4 4" xfId="33779" xr:uid="{FE2403CA-21F4-40DD-8CC3-7E9D7A82C46E}"/>
    <cellStyle name="Comma 10 3 2 3 2 5" xfId="5051" xr:uid="{69F4C1EB-94D0-4225-8C02-A1328D6E6C5E}"/>
    <cellStyle name="Comma 10 3 2 3 2 5 2" xfId="14123" xr:uid="{A487B44D-41E4-4359-B623-02FC521149F8}"/>
    <cellStyle name="Comma 10 3 2 3 2 5 2 2" xfId="29243" xr:uid="{0045C419-76E2-4CF4-BC74-DAD34966D2CF}"/>
    <cellStyle name="Comma 10 3 2 3 2 5 2 2 2" xfId="59483" xr:uid="{3E280AD2-D85E-48C5-93BC-52A8FD6F7288}"/>
    <cellStyle name="Comma 10 3 2 3 2 5 2 3" xfId="44363" xr:uid="{1BC4E27C-5594-4B60-8D34-DF5AEF28A972}"/>
    <cellStyle name="Comma 10 3 2 3 2 5 3" xfId="20171" xr:uid="{6E86E42C-2E2F-473B-AE62-4F4A6E8C594A}"/>
    <cellStyle name="Comma 10 3 2 3 2 5 3 2" xfId="50411" xr:uid="{C743A582-E2DF-43BF-87A6-90D88A0FCA34}"/>
    <cellStyle name="Comma 10 3 2 3 2 5 4" xfId="35291" xr:uid="{F1FA6ACE-7F27-473F-99D2-566BF288CABA}"/>
    <cellStyle name="Comma 10 3 2 3 2 6" xfId="6563" xr:uid="{30C8CBE3-0947-4951-934B-54E9181F8C2B}"/>
    <cellStyle name="Comma 10 3 2 3 2 6 2" xfId="21683" xr:uid="{6E380812-8410-4A29-B9A4-3CE184A8BDF3}"/>
    <cellStyle name="Comma 10 3 2 3 2 6 2 2" xfId="51923" xr:uid="{BEB80AC1-1296-4966-BC20-90D6DC8B43A5}"/>
    <cellStyle name="Comma 10 3 2 3 2 6 3" xfId="36803" xr:uid="{88072477-07FD-42D3-8027-507F2B84B998}"/>
    <cellStyle name="Comma 10 3 2 3 2 7" xfId="8075" xr:uid="{03F58B93-61A0-4EFC-A892-AC1149BB8802}"/>
    <cellStyle name="Comma 10 3 2 3 2 7 2" xfId="23195" xr:uid="{8A853D6B-9498-4208-8856-063B79242254}"/>
    <cellStyle name="Comma 10 3 2 3 2 7 2 2" xfId="53435" xr:uid="{4A850C72-6638-4CCB-96D0-09BBD54C686F}"/>
    <cellStyle name="Comma 10 3 2 3 2 7 3" xfId="38315" xr:uid="{DA74C629-76B7-4666-BB73-816B98D8D0DC}"/>
    <cellStyle name="Comma 10 3 2 3 2 8" xfId="9587" xr:uid="{D2AD01D6-3EE1-4282-A286-04C609415F2A}"/>
    <cellStyle name="Comma 10 3 2 3 2 8 2" xfId="24707" xr:uid="{6D8CD458-58CE-4E15-948A-DF5641A62331}"/>
    <cellStyle name="Comma 10 3 2 3 2 8 2 2" xfId="54947" xr:uid="{33F295DD-F955-4BBF-A15A-D6B2109CA38E}"/>
    <cellStyle name="Comma 10 3 2 3 2 8 3" xfId="39827" xr:uid="{85C03CAD-0ABF-40BB-A505-138C399FFCE0}"/>
    <cellStyle name="Comma 10 3 2 3 2 9" xfId="15635" xr:uid="{514EB403-4272-49D1-99F5-E9CF92CEE769}"/>
    <cellStyle name="Comma 10 3 2 3 2 9 2" xfId="45875" xr:uid="{78C81848-585A-4B8C-AD88-F213B7159C24}"/>
    <cellStyle name="Comma 10 3 2 3 3" xfId="767" xr:uid="{D14805C4-FD62-4381-A7C8-1AB6953B1A60}"/>
    <cellStyle name="Comma 10 3 2 3 3 10" xfId="31007" xr:uid="{F42C4F43-EBF6-402A-B5B4-052D01ADA224}"/>
    <cellStyle name="Comma 10 3 2 3 3 2" xfId="1523" xr:uid="{07E19C98-ED06-4644-871D-F3A1822B54F7}"/>
    <cellStyle name="Comma 10 3 2 3 3 2 2" xfId="3035" xr:uid="{5F56ADCE-371B-4E22-B2A2-2BE0C4868F60}"/>
    <cellStyle name="Comma 10 3 2 3 3 2 2 2" xfId="12107" xr:uid="{A2A5A273-48DE-4CAC-9B3B-C1B74AC61D09}"/>
    <cellStyle name="Comma 10 3 2 3 3 2 2 2 2" xfId="27227" xr:uid="{831EEDFB-E0EC-44F3-9059-362C13273493}"/>
    <cellStyle name="Comma 10 3 2 3 3 2 2 2 2 2" xfId="57467" xr:uid="{0AD4D76A-869C-4CD8-A744-F42E58593092}"/>
    <cellStyle name="Comma 10 3 2 3 3 2 2 2 3" xfId="42347" xr:uid="{8FAA9E40-50B8-4E8F-BD26-815F5CAEF060}"/>
    <cellStyle name="Comma 10 3 2 3 3 2 2 3" xfId="18155" xr:uid="{D6A94328-5555-4245-834A-A8B1FCB30482}"/>
    <cellStyle name="Comma 10 3 2 3 3 2 2 3 2" xfId="48395" xr:uid="{A8C3E9F7-7D56-464F-9353-D75E0F47A21B}"/>
    <cellStyle name="Comma 10 3 2 3 3 2 2 4" xfId="33275" xr:uid="{47183887-971C-4F1F-968E-C14D1D6FE165}"/>
    <cellStyle name="Comma 10 3 2 3 3 2 3" xfId="4547" xr:uid="{606B3A9E-0A66-4896-8B69-BF21DEB32CB8}"/>
    <cellStyle name="Comma 10 3 2 3 3 2 3 2" xfId="13619" xr:uid="{E86919A6-DDDD-44F6-A2D0-D16DFF81E323}"/>
    <cellStyle name="Comma 10 3 2 3 3 2 3 2 2" xfId="28739" xr:uid="{94C8F252-D660-428D-B071-73F62826A3A4}"/>
    <cellStyle name="Comma 10 3 2 3 3 2 3 2 2 2" xfId="58979" xr:uid="{DC19A656-FFF5-475D-AC76-C3A1576D2318}"/>
    <cellStyle name="Comma 10 3 2 3 3 2 3 2 3" xfId="43859" xr:uid="{465C1F18-D5A7-4F39-ABF6-DA430DF1502D}"/>
    <cellStyle name="Comma 10 3 2 3 3 2 3 3" xfId="19667" xr:uid="{38E3E606-590A-453D-A054-BD89A48B87F0}"/>
    <cellStyle name="Comma 10 3 2 3 3 2 3 3 2" xfId="49907" xr:uid="{6865505A-6A9D-4B7C-B89E-8C8C311FAD25}"/>
    <cellStyle name="Comma 10 3 2 3 3 2 3 4" xfId="34787" xr:uid="{7047A843-B27E-4E6F-9D76-1B1F7AD7A271}"/>
    <cellStyle name="Comma 10 3 2 3 3 2 4" xfId="6059" xr:uid="{3E71BEF0-776E-4AF9-A86A-B69A25D4E518}"/>
    <cellStyle name="Comma 10 3 2 3 3 2 4 2" xfId="15131" xr:uid="{70497FB2-B552-4255-8530-F72D8D28745C}"/>
    <cellStyle name="Comma 10 3 2 3 3 2 4 2 2" xfId="30251" xr:uid="{AF958D3F-8BD3-45E3-8AFB-D79021309D01}"/>
    <cellStyle name="Comma 10 3 2 3 3 2 4 2 2 2" xfId="60491" xr:uid="{680BC458-5AC1-46B0-8DFE-869322A266FD}"/>
    <cellStyle name="Comma 10 3 2 3 3 2 4 2 3" xfId="45371" xr:uid="{BFEC453A-21FE-4094-9169-9664EDF98466}"/>
    <cellStyle name="Comma 10 3 2 3 3 2 4 3" xfId="21179" xr:uid="{B6F650C0-4775-4F7F-A5CC-B11F4802F73D}"/>
    <cellStyle name="Comma 10 3 2 3 3 2 4 3 2" xfId="51419" xr:uid="{8F7A83C0-4662-4C5C-AF16-EBE10C464AFB}"/>
    <cellStyle name="Comma 10 3 2 3 3 2 4 4" xfId="36299" xr:uid="{0A1F9306-72A3-45A2-8561-11AAC0904D91}"/>
    <cellStyle name="Comma 10 3 2 3 3 2 5" xfId="7571" xr:uid="{7715C087-EB3F-46AC-8B0D-E2B49F9E349C}"/>
    <cellStyle name="Comma 10 3 2 3 3 2 5 2" xfId="22691" xr:uid="{F5EF0CA9-B72D-4857-A0A4-BE1C0AD3304A}"/>
    <cellStyle name="Comma 10 3 2 3 3 2 5 2 2" xfId="52931" xr:uid="{1944F49D-41D2-489A-A3E1-D3346F893DBF}"/>
    <cellStyle name="Comma 10 3 2 3 3 2 5 3" xfId="37811" xr:uid="{15D5B1B4-5AE5-4A97-91AC-3994751FBDC2}"/>
    <cellStyle name="Comma 10 3 2 3 3 2 6" xfId="9083" xr:uid="{9F3A56FF-217C-4045-92BF-24DDA716588D}"/>
    <cellStyle name="Comma 10 3 2 3 3 2 6 2" xfId="24203" xr:uid="{DCAA43DA-CE14-4283-8247-667B39D0BF9C}"/>
    <cellStyle name="Comma 10 3 2 3 3 2 6 2 2" xfId="54443" xr:uid="{FC3A3D3B-7724-4DCE-BBA8-37B319DC3468}"/>
    <cellStyle name="Comma 10 3 2 3 3 2 6 3" xfId="39323" xr:uid="{CB5B435D-8604-47C1-9A90-5475FA2029BA}"/>
    <cellStyle name="Comma 10 3 2 3 3 2 7" xfId="10595" xr:uid="{2EEE5143-E8CF-418F-8D1C-EBA883D2700E}"/>
    <cellStyle name="Comma 10 3 2 3 3 2 7 2" xfId="25715" xr:uid="{F6412DB6-3D3D-49D0-8ACD-EFB03E41AF66}"/>
    <cellStyle name="Comma 10 3 2 3 3 2 7 2 2" xfId="55955" xr:uid="{D7FF9B8F-8281-4E30-9ED9-BA1DDB8B305F}"/>
    <cellStyle name="Comma 10 3 2 3 3 2 7 3" xfId="40835" xr:uid="{F3F570E0-C6B9-40A5-A4A0-09A4B515C976}"/>
    <cellStyle name="Comma 10 3 2 3 3 2 8" xfId="16643" xr:uid="{980FA083-0435-4988-97F9-70EBF47F3C35}"/>
    <cellStyle name="Comma 10 3 2 3 3 2 8 2" xfId="46883" xr:uid="{C6B9CE23-A3A5-4433-8EE8-4784F7E015A9}"/>
    <cellStyle name="Comma 10 3 2 3 3 2 9" xfId="31763" xr:uid="{C968AD88-03DE-497C-991F-5E4083FB18C7}"/>
    <cellStyle name="Comma 10 3 2 3 3 3" xfId="2279" xr:uid="{2A939B8F-2B7A-4229-942C-975F75F53306}"/>
    <cellStyle name="Comma 10 3 2 3 3 3 2" xfId="11351" xr:uid="{DE36C530-D013-4B0B-9B04-47C271AE6CCA}"/>
    <cellStyle name="Comma 10 3 2 3 3 3 2 2" xfId="26471" xr:uid="{ABD0465E-FD25-42BA-BB69-8DBDC352C52B}"/>
    <cellStyle name="Comma 10 3 2 3 3 3 2 2 2" xfId="56711" xr:uid="{3BF56649-7C89-4185-BF36-FEF2AB63DA4B}"/>
    <cellStyle name="Comma 10 3 2 3 3 3 2 3" xfId="41591" xr:uid="{AE4C90AD-CB23-437F-8833-6D047DAAD5B5}"/>
    <cellStyle name="Comma 10 3 2 3 3 3 3" xfId="17399" xr:uid="{61353F15-578C-4F60-9654-C25EA11975AF}"/>
    <cellStyle name="Comma 10 3 2 3 3 3 3 2" xfId="47639" xr:uid="{BD7BAC22-07FF-4D29-9C9D-ECE6517459BB}"/>
    <cellStyle name="Comma 10 3 2 3 3 3 4" xfId="32519" xr:uid="{4B9AED70-D91E-4779-8F80-DD39F0964231}"/>
    <cellStyle name="Comma 10 3 2 3 3 4" xfId="3791" xr:uid="{725F3178-57DD-4DC8-893A-31794E87F517}"/>
    <cellStyle name="Comma 10 3 2 3 3 4 2" xfId="12863" xr:uid="{E3DF3D12-FEEE-47DA-8BCC-9B6447925B07}"/>
    <cellStyle name="Comma 10 3 2 3 3 4 2 2" xfId="27983" xr:uid="{2938D1F8-3B77-47B1-A9BE-12EE89E2ABFB}"/>
    <cellStyle name="Comma 10 3 2 3 3 4 2 2 2" xfId="58223" xr:uid="{CACC011C-0559-4643-9297-8755AD48AEB4}"/>
    <cellStyle name="Comma 10 3 2 3 3 4 2 3" xfId="43103" xr:uid="{A55F0D0D-6A22-4CA7-84AF-9AD08CCCCFCF}"/>
    <cellStyle name="Comma 10 3 2 3 3 4 3" xfId="18911" xr:uid="{5D7C31F5-74E6-46FF-ACD7-F66CB709F5D8}"/>
    <cellStyle name="Comma 10 3 2 3 3 4 3 2" xfId="49151" xr:uid="{C5053C3B-1F34-4ECA-9E99-5DC2ECCAC0D7}"/>
    <cellStyle name="Comma 10 3 2 3 3 4 4" xfId="34031" xr:uid="{7A27A164-9A50-47B3-B441-70C63A00BBA6}"/>
    <cellStyle name="Comma 10 3 2 3 3 5" xfId="5303" xr:uid="{185B3E27-D6BA-4153-A9A4-2E37C94DE258}"/>
    <cellStyle name="Comma 10 3 2 3 3 5 2" xfId="14375" xr:uid="{BE94DB1D-1243-40F1-B24A-C87CE43F82FD}"/>
    <cellStyle name="Comma 10 3 2 3 3 5 2 2" xfId="29495" xr:uid="{273E6891-7EC1-4501-8E9B-353F9C34F339}"/>
    <cellStyle name="Comma 10 3 2 3 3 5 2 2 2" xfId="59735" xr:uid="{98707390-24C5-46A2-A16F-009D74A6CBD5}"/>
    <cellStyle name="Comma 10 3 2 3 3 5 2 3" xfId="44615" xr:uid="{647B3268-9446-4E84-BA03-7E68A4758BAB}"/>
    <cellStyle name="Comma 10 3 2 3 3 5 3" xfId="20423" xr:uid="{290B4FDE-734A-4BB9-87C1-D74C11362CC8}"/>
    <cellStyle name="Comma 10 3 2 3 3 5 3 2" xfId="50663" xr:uid="{069F8BCA-2FEE-4E27-9916-F0E0FFAEABAE}"/>
    <cellStyle name="Comma 10 3 2 3 3 5 4" xfId="35543" xr:uid="{5DCEA913-265E-46A2-B51B-A273A02E466C}"/>
    <cellStyle name="Comma 10 3 2 3 3 6" xfId="6815" xr:uid="{154411B0-EAED-4C92-95BA-23F00C9AD496}"/>
    <cellStyle name="Comma 10 3 2 3 3 6 2" xfId="21935" xr:uid="{B0B269DE-F347-4149-A931-5684590F9056}"/>
    <cellStyle name="Comma 10 3 2 3 3 6 2 2" xfId="52175" xr:uid="{FC972CF2-7358-4AAE-9781-F8B8C0908D2B}"/>
    <cellStyle name="Comma 10 3 2 3 3 6 3" xfId="37055" xr:uid="{DE6ABA6D-C81E-47A1-ABE0-48137FD951D8}"/>
    <cellStyle name="Comma 10 3 2 3 3 7" xfId="8327" xr:uid="{F2499EDA-6C2C-489F-AB38-394DCF280204}"/>
    <cellStyle name="Comma 10 3 2 3 3 7 2" xfId="23447" xr:uid="{D325C3AC-AD3F-4846-A6B1-A81E1F31BA17}"/>
    <cellStyle name="Comma 10 3 2 3 3 7 2 2" xfId="53687" xr:uid="{7B89978A-D516-4297-BC34-AC0909255D21}"/>
    <cellStyle name="Comma 10 3 2 3 3 7 3" xfId="38567" xr:uid="{2BD16B64-00ED-4B55-A0D9-EABBE6DF35D9}"/>
    <cellStyle name="Comma 10 3 2 3 3 8" xfId="9839" xr:uid="{7994080E-8900-49CD-8784-1F15B4F0DAF9}"/>
    <cellStyle name="Comma 10 3 2 3 3 8 2" xfId="24959" xr:uid="{B5167A04-273D-430A-8E63-3C2B34834D4F}"/>
    <cellStyle name="Comma 10 3 2 3 3 8 2 2" xfId="55199" xr:uid="{B7BCF367-9770-470E-BD12-3CABFB5575F6}"/>
    <cellStyle name="Comma 10 3 2 3 3 8 3" xfId="40079" xr:uid="{8D08D67D-7756-477F-9793-F85AEE409AAA}"/>
    <cellStyle name="Comma 10 3 2 3 3 9" xfId="15887" xr:uid="{AA067A91-18E9-423C-911A-B1A4607FCB0A}"/>
    <cellStyle name="Comma 10 3 2 3 3 9 2" xfId="46127" xr:uid="{0029BF31-0BA5-441A-90D8-26EB57DB35D0}"/>
    <cellStyle name="Comma 10 3 2 3 4" xfId="1019" xr:uid="{B085EF49-2692-468C-87A2-5A9F200CF8F2}"/>
    <cellStyle name="Comma 10 3 2 3 4 2" xfId="2531" xr:uid="{F840028A-1191-45B9-BDEE-82585C471555}"/>
    <cellStyle name="Comma 10 3 2 3 4 2 2" xfId="11603" xr:uid="{B9C64D31-8BCC-4EDE-BAF8-1F8FEA426367}"/>
    <cellStyle name="Comma 10 3 2 3 4 2 2 2" xfId="26723" xr:uid="{B41B4E56-2548-46E0-AE8A-7E1AD05E28F1}"/>
    <cellStyle name="Comma 10 3 2 3 4 2 2 2 2" xfId="56963" xr:uid="{03B20D74-A923-4E0A-9F52-0253366CDDF5}"/>
    <cellStyle name="Comma 10 3 2 3 4 2 2 3" xfId="41843" xr:uid="{61D8CD5E-6144-43CE-8ECE-02260EB136A7}"/>
    <cellStyle name="Comma 10 3 2 3 4 2 3" xfId="17651" xr:uid="{BBF20F24-5964-4BF9-90B2-A164D5283025}"/>
    <cellStyle name="Comma 10 3 2 3 4 2 3 2" xfId="47891" xr:uid="{55967360-63F0-418D-A07F-60D3CE6A8EF8}"/>
    <cellStyle name="Comma 10 3 2 3 4 2 4" xfId="32771" xr:uid="{4B5B087B-6F21-4C4C-B729-E7E7B3589524}"/>
    <cellStyle name="Comma 10 3 2 3 4 3" xfId="4043" xr:uid="{C4F85B59-4075-4B95-A949-3047AD4F5388}"/>
    <cellStyle name="Comma 10 3 2 3 4 3 2" xfId="13115" xr:uid="{BC5697B9-6481-41D8-A28D-8EBE7A60A4E9}"/>
    <cellStyle name="Comma 10 3 2 3 4 3 2 2" xfId="28235" xr:uid="{E7C11808-95CB-4232-A939-A0130D9CF939}"/>
    <cellStyle name="Comma 10 3 2 3 4 3 2 2 2" xfId="58475" xr:uid="{447D0848-0017-448B-9233-C4668C306C88}"/>
    <cellStyle name="Comma 10 3 2 3 4 3 2 3" xfId="43355" xr:uid="{0A7870B0-3661-43FA-9EF0-6A6657A490AB}"/>
    <cellStyle name="Comma 10 3 2 3 4 3 3" xfId="19163" xr:uid="{9AA1C63A-7CEF-4FDB-BD41-1D8277410BC0}"/>
    <cellStyle name="Comma 10 3 2 3 4 3 3 2" xfId="49403" xr:uid="{5E1CD500-024F-4FD3-87DB-C017C8320EB3}"/>
    <cellStyle name="Comma 10 3 2 3 4 3 4" xfId="34283" xr:uid="{D85126A7-899B-4DCB-BE18-6546772DA792}"/>
    <cellStyle name="Comma 10 3 2 3 4 4" xfId="5555" xr:uid="{198A8A81-C56E-49F8-8248-63AC3BEE5663}"/>
    <cellStyle name="Comma 10 3 2 3 4 4 2" xfId="14627" xr:uid="{A0F009D0-1132-4F5E-9F00-16CC50D7714B}"/>
    <cellStyle name="Comma 10 3 2 3 4 4 2 2" xfId="29747" xr:uid="{4E3240FC-0AB8-4D46-9342-71FC2CF9D468}"/>
    <cellStyle name="Comma 10 3 2 3 4 4 2 2 2" xfId="59987" xr:uid="{107F59D8-7838-46F2-B6FF-B3B001198581}"/>
    <cellStyle name="Comma 10 3 2 3 4 4 2 3" xfId="44867" xr:uid="{8577E546-E10C-4829-877B-1F8728790492}"/>
    <cellStyle name="Comma 10 3 2 3 4 4 3" xfId="20675" xr:uid="{C2C2C85E-6BC0-4FD7-BCDF-85CFDD58D64D}"/>
    <cellStyle name="Comma 10 3 2 3 4 4 3 2" xfId="50915" xr:uid="{B9E7DD46-41B0-4B86-949A-C990A7B7B733}"/>
    <cellStyle name="Comma 10 3 2 3 4 4 4" xfId="35795" xr:uid="{2CD0D179-931D-4592-977D-BC8CA197B43C}"/>
    <cellStyle name="Comma 10 3 2 3 4 5" xfId="7067" xr:uid="{C725FF8E-7C3A-41FD-B88D-672C41D8432D}"/>
    <cellStyle name="Comma 10 3 2 3 4 5 2" xfId="22187" xr:uid="{E51DFB16-FA48-416F-AF4F-7B5981D69318}"/>
    <cellStyle name="Comma 10 3 2 3 4 5 2 2" xfId="52427" xr:uid="{1FE7C469-89DC-4A9E-9935-715449BFF84F}"/>
    <cellStyle name="Comma 10 3 2 3 4 5 3" xfId="37307" xr:uid="{E3EAD578-1842-4755-A618-8C8289E4EEFB}"/>
    <cellStyle name="Comma 10 3 2 3 4 6" xfId="8579" xr:uid="{2E06DB5B-8CE6-4B06-B1A1-7862A3243D5E}"/>
    <cellStyle name="Comma 10 3 2 3 4 6 2" xfId="23699" xr:uid="{5D38832D-AEAB-4BA1-8BDA-E110A6E0C972}"/>
    <cellStyle name="Comma 10 3 2 3 4 6 2 2" xfId="53939" xr:uid="{DCC9C563-414D-4A66-8374-83AC191AE75E}"/>
    <cellStyle name="Comma 10 3 2 3 4 6 3" xfId="38819" xr:uid="{4005F83F-1048-45AF-BE5B-FF195BD3EB1A}"/>
    <cellStyle name="Comma 10 3 2 3 4 7" xfId="10091" xr:uid="{B4FA660E-37B4-4ECE-963C-682A4E6BBA0D}"/>
    <cellStyle name="Comma 10 3 2 3 4 7 2" xfId="25211" xr:uid="{04AF8993-3F89-4B28-A132-6CB2C9972FEE}"/>
    <cellStyle name="Comma 10 3 2 3 4 7 2 2" xfId="55451" xr:uid="{568177E1-4A71-4637-B178-297B8A929171}"/>
    <cellStyle name="Comma 10 3 2 3 4 7 3" xfId="40331" xr:uid="{AC50FF7D-36FF-4C75-862C-026AEF541FAC}"/>
    <cellStyle name="Comma 10 3 2 3 4 8" xfId="16139" xr:uid="{D4C75E47-A0D8-4F52-B227-204134F2CD21}"/>
    <cellStyle name="Comma 10 3 2 3 4 8 2" xfId="46379" xr:uid="{AC2FF1C8-4F83-4BB8-AF10-7B52AE2B8BF6}"/>
    <cellStyle name="Comma 10 3 2 3 4 9" xfId="31259" xr:uid="{5AD76934-EB9F-401D-8786-51BFBCC2D4B5}"/>
    <cellStyle name="Comma 10 3 2 3 5" xfId="1775" xr:uid="{6645C188-C1DD-44B8-8641-A2A47B2B958E}"/>
    <cellStyle name="Comma 10 3 2 3 5 2" xfId="10847" xr:uid="{573630FB-A5C6-459C-B439-BE9B964E2C49}"/>
    <cellStyle name="Comma 10 3 2 3 5 2 2" xfId="25967" xr:uid="{8B04091C-3862-4567-82BB-63222AECBF90}"/>
    <cellStyle name="Comma 10 3 2 3 5 2 2 2" xfId="56207" xr:uid="{297CC000-2884-4D53-A6D8-14E7BA560D00}"/>
    <cellStyle name="Comma 10 3 2 3 5 2 3" xfId="41087" xr:uid="{C2ED1742-D9CE-4A32-9C6E-32111B0AF34A}"/>
    <cellStyle name="Comma 10 3 2 3 5 3" xfId="16895" xr:uid="{B39DE335-6CD3-4EAD-A95D-A80B6AE8772B}"/>
    <cellStyle name="Comma 10 3 2 3 5 3 2" xfId="47135" xr:uid="{E774F977-9288-4371-A9A2-246801A1CCA9}"/>
    <cellStyle name="Comma 10 3 2 3 5 4" xfId="32015" xr:uid="{F278F7F5-1A74-4426-BC19-DD100C8E766D}"/>
    <cellStyle name="Comma 10 3 2 3 6" xfId="3287" xr:uid="{40E781A9-234A-4DDD-B777-20E2FF3076C5}"/>
    <cellStyle name="Comma 10 3 2 3 6 2" xfId="12359" xr:uid="{CC8FE391-B5BE-4779-A30C-92A23FAB8F7B}"/>
    <cellStyle name="Comma 10 3 2 3 6 2 2" xfId="27479" xr:uid="{B7CFE8D5-0AA4-426D-BE36-D7984B8DCCFC}"/>
    <cellStyle name="Comma 10 3 2 3 6 2 2 2" xfId="57719" xr:uid="{6A2398F6-8387-4AD7-8BFB-651FA7256AC8}"/>
    <cellStyle name="Comma 10 3 2 3 6 2 3" xfId="42599" xr:uid="{6CD77155-722F-4BB9-A40B-2EA2C8F81011}"/>
    <cellStyle name="Comma 10 3 2 3 6 3" xfId="18407" xr:uid="{41F9AD8E-7995-4D66-B7A3-7A8B27FBE3E5}"/>
    <cellStyle name="Comma 10 3 2 3 6 3 2" xfId="48647" xr:uid="{71A5AF3B-EC62-4D24-8760-B0AEEBC0910A}"/>
    <cellStyle name="Comma 10 3 2 3 6 4" xfId="33527" xr:uid="{D0590C5F-342D-41B8-AB26-830105672E03}"/>
    <cellStyle name="Comma 10 3 2 3 7" xfId="4799" xr:uid="{D694925D-39E5-46DB-8170-1A1DD3A3278C}"/>
    <cellStyle name="Comma 10 3 2 3 7 2" xfId="13871" xr:uid="{6584513E-374C-4978-A59D-27AD1FE6FE34}"/>
    <cellStyle name="Comma 10 3 2 3 7 2 2" xfId="28991" xr:uid="{8EC44585-B2C1-47AC-A218-7DDD9FB80DA3}"/>
    <cellStyle name="Comma 10 3 2 3 7 2 2 2" xfId="59231" xr:uid="{7B591DDD-8406-4F33-AEFF-85DBCCB02878}"/>
    <cellStyle name="Comma 10 3 2 3 7 2 3" xfId="44111" xr:uid="{D45886F0-DF78-4C21-8AB5-B29C99BAC41E}"/>
    <cellStyle name="Comma 10 3 2 3 7 3" xfId="19919" xr:uid="{B9692264-9310-4C19-9C80-CE91FBC9A556}"/>
    <cellStyle name="Comma 10 3 2 3 7 3 2" xfId="50159" xr:uid="{CEEAA25D-34EE-42D8-AC39-8B0FCAE49125}"/>
    <cellStyle name="Comma 10 3 2 3 7 4" xfId="35039" xr:uid="{307BAB32-DE11-4F22-BFF8-36D2982C0466}"/>
    <cellStyle name="Comma 10 3 2 3 8" xfId="6311" xr:uid="{BC1BB55C-593B-4B8A-BE03-948878F9B888}"/>
    <cellStyle name="Comma 10 3 2 3 8 2" xfId="21431" xr:uid="{782C3890-2171-4028-9F12-76A480C2D6B7}"/>
    <cellStyle name="Comma 10 3 2 3 8 2 2" xfId="51671" xr:uid="{1518036A-C705-45F1-8B60-B2E137E87BC0}"/>
    <cellStyle name="Comma 10 3 2 3 8 3" xfId="36551" xr:uid="{FB3770AA-AD2C-4FED-83D9-13A633C60D98}"/>
    <cellStyle name="Comma 10 3 2 3 9" xfId="7823" xr:uid="{ED758023-FA61-475B-AF9C-9345B627AB1E}"/>
    <cellStyle name="Comma 10 3 2 3 9 2" xfId="22943" xr:uid="{68356A64-23BE-4B63-98C8-F4EB19491CD7}"/>
    <cellStyle name="Comma 10 3 2 3 9 2 2" xfId="53183" xr:uid="{00CC0C73-C373-463F-9376-7D9C91FE0FCD}"/>
    <cellStyle name="Comma 10 3 2 3 9 3" xfId="38063" xr:uid="{0C24B4B2-FDE5-4437-B34D-7FA8CE2129FD}"/>
    <cellStyle name="Comma 10 3 2 4" xfId="347" xr:uid="{6A39A66E-D10D-4498-BE78-0898CEE4BBC9}"/>
    <cellStyle name="Comma 10 3 2 4 10" xfId="30587" xr:uid="{4D97BC22-2DFD-4BBA-8EAE-543EE535D307}"/>
    <cellStyle name="Comma 10 3 2 4 2" xfId="1103" xr:uid="{D4A6B9DA-4122-4FE0-84D7-4702D0658D8C}"/>
    <cellStyle name="Comma 10 3 2 4 2 2" xfId="2615" xr:uid="{B8517FFF-8ABF-4C4B-87C0-337B4BC873B8}"/>
    <cellStyle name="Comma 10 3 2 4 2 2 2" xfId="11687" xr:uid="{C5A1CAFD-54F8-4C5C-8DB1-7485BCA0E975}"/>
    <cellStyle name="Comma 10 3 2 4 2 2 2 2" xfId="26807" xr:uid="{B241993F-AD4C-4DB1-B2FC-090552892345}"/>
    <cellStyle name="Comma 10 3 2 4 2 2 2 2 2" xfId="57047" xr:uid="{324E427B-9E44-4829-AF60-2941FFEACC59}"/>
    <cellStyle name="Comma 10 3 2 4 2 2 2 3" xfId="41927" xr:uid="{F8F8294E-5C40-4C51-985F-2A97A6152A92}"/>
    <cellStyle name="Comma 10 3 2 4 2 2 3" xfId="17735" xr:uid="{90184B75-3D91-42FC-B4D7-B3E3A22EBD53}"/>
    <cellStyle name="Comma 10 3 2 4 2 2 3 2" xfId="47975" xr:uid="{AF3CDD06-38CB-41A5-BD64-4B7D4B33476E}"/>
    <cellStyle name="Comma 10 3 2 4 2 2 4" xfId="32855" xr:uid="{1BBE457C-AE02-4C30-A9A8-DB3E6CB251EA}"/>
    <cellStyle name="Comma 10 3 2 4 2 3" xfId="4127" xr:uid="{3A18411E-934B-4132-891D-1267D24E7E80}"/>
    <cellStyle name="Comma 10 3 2 4 2 3 2" xfId="13199" xr:uid="{4D004A70-2402-48D7-BC5F-C4AE64343DB2}"/>
    <cellStyle name="Comma 10 3 2 4 2 3 2 2" xfId="28319" xr:uid="{846713AC-17E4-49BE-9C88-17CEDCEB0561}"/>
    <cellStyle name="Comma 10 3 2 4 2 3 2 2 2" xfId="58559" xr:uid="{EED3952D-0C5D-493A-8E3F-6F9658F63801}"/>
    <cellStyle name="Comma 10 3 2 4 2 3 2 3" xfId="43439" xr:uid="{E6709C7C-E017-419D-A8F1-42E55F80730E}"/>
    <cellStyle name="Comma 10 3 2 4 2 3 3" xfId="19247" xr:uid="{1956720E-EC85-484E-8A1E-37B010E75FE1}"/>
    <cellStyle name="Comma 10 3 2 4 2 3 3 2" xfId="49487" xr:uid="{A128D65E-BF37-4904-9768-E1EF73785293}"/>
    <cellStyle name="Comma 10 3 2 4 2 3 4" xfId="34367" xr:uid="{612175F4-20F3-40B4-96B5-0445197FACDC}"/>
    <cellStyle name="Comma 10 3 2 4 2 4" xfId="5639" xr:uid="{452D2740-69EF-4AE0-B4D7-E021FC045E00}"/>
    <cellStyle name="Comma 10 3 2 4 2 4 2" xfId="14711" xr:uid="{37525954-5EDB-4C84-8190-01F6F7471DFE}"/>
    <cellStyle name="Comma 10 3 2 4 2 4 2 2" xfId="29831" xr:uid="{565DC478-E569-40D4-9C91-2DE959AFF0A7}"/>
    <cellStyle name="Comma 10 3 2 4 2 4 2 2 2" xfId="60071" xr:uid="{488230BD-AB02-494A-8A6C-11A2C003645B}"/>
    <cellStyle name="Comma 10 3 2 4 2 4 2 3" xfId="44951" xr:uid="{DE45663A-316A-432A-8CBF-1EA82F582245}"/>
    <cellStyle name="Comma 10 3 2 4 2 4 3" xfId="20759" xr:uid="{1E4EC08F-A53C-4102-AF18-3F8782E736F0}"/>
    <cellStyle name="Comma 10 3 2 4 2 4 3 2" xfId="50999" xr:uid="{D5DE1E41-4ADE-480E-B42D-B85F09B4C846}"/>
    <cellStyle name="Comma 10 3 2 4 2 4 4" xfId="35879" xr:uid="{0009DF58-FF9D-4EB7-9043-F4F4E553CF2D}"/>
    <cellStyle name="Comma 10 3 2 4 2 5" xfId="7151" xr:uid="{D6B032A5-21A5-44D3-BF15-2855D08FA024}"/>
    <cellStyle name="Comma 10 3 2 4 2 5 2" xfId="22271" xr:uid="{91871A16-C3A7-49EC-A899-79119B707093}"/>
    <cellStyle name="Comma 10 3 2 4 2 5 2 2" xfId="52511" xr:uid="{FB4BCA38-2739-48FE-9BF5-2D385BD30C15}"/>
    <cellStyle name="Comma 10 3 2 4 2 5 3" xfId="37391" xr:uid="{0A5408AF-5137-469B-AF1A-42038AC4FFCD}"/>
    <cellStyle name="Comma 10 3 2 4 2 6" xfId="8663" xr:uid="{C936BB9C-27C1-4EE5-B54B-23F796B441F1}"/>
    <cellStyle name="Comma 10 3 2 4 2 6 2" xfId="23783" xr:uid="{01295F1C-8917-49F0-A7D5-A9AE544A037D}"/>
    <cellStyle name="Comma 10 3 2 4 2 6 2 2" xfId="54023" xr:uid="{30E4B12E-4461-49DE-87CA-98A889FC240E}"/>
    <cellStyle name="Comma 10 3 2 4 2 6 3" xfId="38903" xr:uid="{4C6C8C34-C310-4366-960E-4ABBFF32ACBB}"/>
    <cellStyle name="Comma 10 3 2 4 2 7" xfId="10175" xr:uid="{7F79BD90-499B-4093-9221-27B15AC70D8F}"/>
    <cellStyle name="Comma 10 3 2 4 2 7 2" xfId="25295" xr:uid="{9E99E059-65CF-45A8-B660-617AD2C9F5C0}"/>
    <cellStyle name="Comma 10 3 2 4 2 7 2 2" xfId="55535" xr:uid="{2AC45B85-244F-4CF7-9317-AC8CB2F5C458}"/>
    <cellStyle name="Comma 10 3 2 4 2 7 3" xfId="40415" xr:uid="{D9D16437-26D2-4040-8AD3-37A3581E7076}"/>
    <cellStyle name="Comma 10 3 2 4 2 8" xfId="16223" xr:uid="{F68BDD4F-3E6B-4BF3-9AA0-DC71EE9FA4B5}"/>
    <cellStyle name="Comma 10 3 2 4 2 8 2" xfId="46463" xr:uid="{7D45AE8B-08B7-422C-972E-F2802FCE8BB7}"/>
    <cellStyle name="Comma 10 3 2 4 2 9" xfId="31343" xr:uid="{3F4A5ECE-1E4A-4736-8519-787471378C6D}"/>
    <cellStyle name="Comma 10 3 2 4 3" xfId="1859" xr:uid="{8A6A8D73-2407-4E19-A274-DC1227095A6D}"/>
    <cellStyle name="Comma 10 3 2 4 3 2" xfId="10931" xr:uid="{220231D9-0BC9-48B1-ADDA-914EFDC86751}"/>
    <cellStyle name="Comma 10 3 2 4 3 2 2" xfId="26051" xr:uid="{89C705CC-3715-4826-B508-EFD951D1D9C4}"/>
    <cellStyle name="Comma 10 3 2 4 3 2 2 2" xfId="56291" xr:uid="{889B7C0F-1402-447A-9F16-CD45032E821B}"/>
    <cellStyle name="Comma 10 3 2 4 3 2 3" xfId="41171" xr:uid="{9703E118-1A5F-47CD-B9BE-B28167597A2F}"/>
    <cellStyle name="Comma 10 3 2 4 3 3" xfId="16979" xr:uid="{BAC3288D-E3B8-4A6B-B0CE-E23D8E07EE29}"/>
    <cellStyle name="Comma 10 3 2 4 3 3 2" xfId="47219" xr:uid="{63871174-0215-4085-82AD-5A6251EF96AB}"/>
    <cellStyle name="Comma 10 3 2 4 3 4" xfId="32099" xr:uid="{9FFB1C31-248D-4E90-8E64-3542D68E99FD}"/>
    <cellStyle name="Comma 10 3 2 4 4" xfId="3371" xr:uid="{3F866260-10BC-4312-8BE8-2A27610E1409}"/>
    <cellStyle name="Comma 10 3 2 4 4 2" xfId="12443" xr:uid="{D2E40912-B469-4E9E-BF2B-E8F2FCCFC676}"/>
    <cellStyle name="Comma 10 3 2 4 4 2 2" xfId="27563" xr:uid="{9B1C0415-00AC-4AD3-BCF4-4B48C8372E15}"/>
    <cellStyle name="Comma 10 3 2 4 4 2 2 2" xfId="57803" xr:uid="{81D753CD-3E78-40A4-831C-9E7F4072DEBC}"/>
    <cellStyle name="Comma 10 3 2 4 4 2 3" xfId="42683" xr:uid="{F981D4C5-8CCF-44DB-80E3-906A41F0B5F9}"/>
    <cellStyle name="Comma 10 3 2 4 4 3" xfId="18491" xr:uid="{1CAC9A6A-045D-4000-80B1-44C587B1ED13}"/>
    <cellStyle name="Comma 10 3 2 4 4 3 2" xfId="48731" xr:uid="{C1C7192C-2FCC-428F-AF85-C146DCF9F766}"/>
    <cellStyle name="Comma 10 3 2 4 4 4" xfId="33611" xr:uid="{080A0CA1-492B-4EA2-9A50-4D8F2269E444}"/>
    <cellStyle name="Comma 10 3 2 4 5" xfId="4883" xr:uid="{6F0F9026-5AEF-440B-A48E-1532559017C7}"/>
    <cellStyle name="Comma 10 3 2 4 5 2" xfId="13955" xr:uid="{73519357-8284-41E1-822E-9675E0EEBB31}"/>
    <cellStyle name="Comma 10 3 2 4 5 2 2" xfId="29075" xr:uid="{DAD5BBC8-74AD-4EA0-90D6-AB10F0E2025B}"/>
    <cellStyle name="Comma 10 3 2 4 5 2 2 2" xfId="59315" xr:uid="{1D62268B-ACDD-4CDC-88FA-2E2807C6079D}"/>
    <cellStyle name="Comma 10 3 2 4 5 2 3" xfId="44195" xr:uid="{32CC12C5-3CDE-46D9-8339-08D914B9F744}"/>
    <cellStyle name="Comma 10 3 2 4 5 3" xfId="20003" xr:uid="{9166162A-32BE-4A9B-AB8F-5B421BAD72C1}"/>
    <cellStyle name="Comma 10 3 2 4 5 3 2" xfId="50243" xr:uid="{0E56F0CE-BFE6-428F-B794-7109A30FE450}"/>
    <cellStyle name="Comma 10 3 2 4 5 4" xfId="35123" xr:uid="{5C6978E8-DCAD-47D1-B300-A07D18DFE093}"/>
    <cellStyle name="Comma 10 3 2 4 6" xfId="6395" xr:uid="{FB23CF9B-C034-41EF-82B8-1EEF8E9EC289}"/>
    <cellStyle name="Comma 10 3 2 4 6 2" xfId="21515" xr:uid="{F9BE53EB-044B-4F49-9615-D699141544EE}"/>
    <cellStyle name="Comma 10 3 2 4 6 2 2" xfId="51755" xr:uid="{B01E1B7D-795C-44E8-A126-4187E356B8CF}"/>
    <cellStyle name="Comma 10 3 2 4 6 3" xfId="36635" xr:uid="{976271C0-4423-4D1F-99B3-5499F8E64E45}"/>
    <cellStyle name="Comma 10 3 2 4 7" xfId="7907" xr:uid="{2055B6E2-340A-4D7B-9F66-98D549A8C0B3}"/>
    <cellStyle name="Comma 10 3 2 4 7 2" xfId="23027" xr:uid="{B29D206F-1273-41ED-BD95-F4CB2A2B1C2B}"/>
    <cellStyle name="Comma 10 3 2 4 7 2 2" xfId="53267" xr:uid="{C98B5A79-1E1D-45AE-9A91-D65A268C73A5}"/>
    <cellStyle name="Comma 10 3 2 4 7 3" xfId="38147" xr:uid="{B19737F8-B184-42A0-A3BB-4324DE6814FF}"/>
    <cellStyle name="Comma 10 3 2 4 8" xfId="9419" xr:uid="{22A133C0-FA5F-47D9-841B-FA03F8AB1A6B}"/>
    <cellStyle name="Comma 10 3 2 4 8 2" xfId="24539" xr:uid="{8BCEF9B2-95C5-4DF1-A357-BF15B4166FD9}"/>
    <cellStyle name="Comma 10 3 2 4 8 2 2" xfId="54779" xr:uid="{FB549630-896A-4D48-99D5-94CD1A082818}"/>
    <cellStyle name="Comma 10 3 2 4 8 3" xfId="39659" xr:uid="{75B74E81-0C3F-4E36-A467-B2E4C6538CFD}"/>
    <cellStyle name="Comma 10 3 2 4 9" xfId="15467" xr:uid="{08EE3471-7BF6-43EE-94BB-65D7339CAC6D}"/>
    <cellStyle name="Comma 10 3 2 4 9 2" xfId="45707" xr:uid="{53525FDD-7388-44BF-B7A6-9554CA91DD55}"/>
    <cellStyle name="Comma 10 3 2 5" xfId="599" xr:uid="{EF236ED5-32AF-4A6E-9380-CDF5ECFA8DAB}"/>
    <cellStyle name="Comma 10 3 2 5 10" xfId="30839" xr:uid="{0936CD19-1F06-419F-9BE3-6FDABD495B6D}"/>
    <cellStyle name="Comma 10 3 2 5 2" xfId="1355" xr:uid="{7BE2C9F3-9FAD-4204-9EB5-9B4287352329}"/>
    <cellStyle name="Comma 10 3 2 5 2 2" xfId="2867" xr:uid="{C8B17450-99C1-4E1C-9B71-1D6E13390207}"/>
    <cellStyle name="Comma 10 3 2 5 2 2 2" xfId="11939" xr:uid="{70994D41-4D9C-484A-8F7F-D08A003874A4}"/>
    <cellStyle name="Comma 10 3 2 5 2 2 2 2" xfId="27059" xr:uid="{88C30C8F-E250-4252-816F-D9C3E6DC01B4}"/>
    <cellStyle name="Comma 10 3 2 5 2 2 2 2 2" xfId="57299" xr:uid="{D15CE60F-5073-4183-93BA-68BF982CE63F}"/>
    <cellStyle name="Comma 10 3 2 5 2 2 2 3" xfId="42179" xr:uid="{12EB8B39-75DC-4F2C-A469-A97119811692}"/>
    <cellStyle name="Comma 10 3 2 5 2 2 3" xfId="17987" xr:uid="{78612DAD-346F-4998-9B75-52AF33D3AE49}"/>
    <cellStyle name="Comma 10 3 2 5 2 2 3 2" xfId="48227" xr:uid="{1CD9B92E-744F-4AA5-99BC-918D015AE3B5}"/>
    <cellStyle name="Comma 10 3 2 5 2 2 4" xfId="33107" xr:uid="{16FA78A3-C87B-4807-950F-1ABF45B4EC2A}"/>
    <cellStyle name="Comma 10 3 2 5 2 3" xfId="4379" xr:uid="{EC62B445-B253-4F44-8F2B-89AF50334674}"/>
    <cellStyle name="Comma 10 3 2 5 2 3 2" xfId="13451" xr:uid="{E5284D1E-23A9-48AB-9338-029E7C345D64}"/>
    <cellStyle name="Comma 10 3 2 5 2 3 2 2" xfId="28571" xr:uid="{3E118CB9-1F9C-4E8F-88A0-8853B8FC527F}"/>
    <cellStyle name="Comma 10 3 2 5 2 3 2 2 2" xfId="58811" xr:uid="{EC28A2D7-6F48-4C92-AB0D-4D263AE96F66}"/>
    <cellStyle name="Comma 10 3 2 5 2 3 2 3" xfId="43691" xr:uid="{71218826-85D4-41EC-9AFA-0705A7BB12FA}"/>
    <cellStyle name="Comma 10 3 2 5 2 3 3" xfId="19499" xr:uid="{FCB113FD-AD43-4E25-B981-F09EC800FE20}"/>
    <cellStyle name="Comma 10 3 2 5 2 3 3 2" xfId="49739" xr:uid="{187DF5EF-2C0D-4CA0-9C10-3DFC073DB6D9}"/>
    <cellStyle name="Comma 10 3 2 5 2 3 4" xfId="34619" xr:uid="{E7832003-D50B-4E35-BE73-2BDA79BA043C}"/>
    <cellStyle name="Comma 10 3 2 5 2 4" xfId="5891" xr:uid="{84E08C57-3300-49CB-930C-7D45FB47513B}"/>
    <cellStyle name="Comma 10 3 2 5 2 4 2" xfId="14963" xr:uid="{BFDDD8C4-9D7E-45A3-B958-CCF5FB1FB9A2}"/>
    <cellStyle name="Comma 10 3 2 5 2 4 2 2" xfId="30083" xr:uid="{0E4F8BDE-F50C-4C86-B374-DEC2ADBB7AEC}"/>
    <cellStyle name="Comma 10 3 2 5 2 4 2 2 2" xfId="60323" xr:uid="{7F593CBC-1E92-4B54-B3D5-A8297027EF97}"/>
    <cellStyle name="Comma 10 3 2 5 2 4 2 3" xfId="45203" xr:uid="{951D9398-F160-42A0-A207-A3110C048A2B}"/>
    <cellStyle name="Comma 10 3 2 5 2 4 3" xfId="21011" xr:uid="{D79EE606-346E-4C8F-BDF4-EA886E790687}"/>
    <cellStyle name="Comma 10 3 2 5 2 4 3 2" xfId="51251" xr:uid="{7C633556-1ADA-466F-B143-06CCE31F3312}"/>
    <cellStyle name="Comma 10 3 2 5 2 4 4" xfId="36131" xr:uid="{6B36558B-F209-4647-B32E-758B9DFD0CCC}"/>
    <cellStyle name="Comma 10 3 2 5 2 5" xfId="7403" xr:uid="{BF75ACEC-8977-46F8-B9F6-B097E66A6E00}"/>
    <cellStyle name="Comma 10 3 2 5 2 5 2" xfId="22523" xr:uid="{7479F4CF-4094-4B99-9928-E30409C1D2BF}"/>
    <cellStyle name="Comma 10 3 2 5 2 5 2 2" xfId="52763" xr:uid="{5C96B170-7B7B-4C35-ACBA-17FB377EE965}"/>
    <cellStyle name="Comma 10 3 2 5 2 5 3" xfId="37643" xr:uid="{3A03D218-1C1D-4A16-8FBC-372210CBCF83}"/>
    <cellStyle name="Comma 10 3 2 5 2 6" xfId="8915" xr:uid="{8AEC74A9-1D57-4385-A5A5-7DAECB571D79}"/>
    <cellStyle name="Comma 10 3 2 5 2 6 2" xfId="24035" xr:uid="{95E12F66-0F0B-4DDE-9A88-1F24AD8059DD}"/>
    <cellStyle name="Comma 10 3 2 5 2 6 2 2" xfId="54275" xr:uid="{C9E6DA75-4884-4AAC-B56F-298B90832E0E}"/>
    <cellStyle name="Comma 10 3 2 5 2 6 3" xfId="39155" xr:uid="{83B09DA0-89FA-44AB-91FD-0FD03CADDE4C}"/>
    <cellStyle name="Comma 10 3 2 5 2 7" xfId="10427" xr:uid="{C7AF3622-1512-4F84-9D91-938BA5632527}"/>
    <cellStyle name="Comma 10 3 2 5 2 7 2" xfId="25547" xr:uid="{A14E3774-02F8-4492-B8F5-42FFB2B223B4}"/>
    <cellStyle name="Comma 10 3 2 5 2 7 2 2" xfId="55787" xr:uid="{C065E241-98F9-47FE-A5C4-16BF7DD2F981}"/>
    <cellStyle name="Comma 10 3 2 5 2 7 3" xfId="40667" xr:uid="{809F263E-6DBE-4B25-B00C-B3523ACA8EBA}"/>
    <cellStyle name="Comma 10 3 2 5 2 8" xfId="16475" xr:uid="{3E33685D-E466-4A1E-BE46-9121585791EE}"/>
    <cellStyle name="Comma 10 3 2 5 2 8 2" xfId="46715" xr:uid="{FDFF3AFC-DF11-4E9B-B1C0-CB079E22FECC}"/>
    <cellStyle name="Comma 10 3 2 5 2 9" xfId="31595" xr:uid="{6A348592-A564-4FB8-85C0-B3127CC10066}"/>
    <cellStyle name="Comma 10 3 2 5 3" xfId="2111" xr:uid="{AD99243E-7796-4F8F-996C-7625E475F429}"/>
    <cellStyle name="Comma 10 3 2 5 3 2" xfId="11183" xr:uid="{E64B2E49-D9DC-401B-A694-CAACC2F0BFE4}"/>
    <cellStyle name="Comma 10 3 2 5 3 2 2" xfId="26303" xr:uid="{2C060636-B2F8-4ECE-B77E-352DA751372A}"/>
    <cellStyle name="Comma 10 3 2 5 3 2 2 2" xfId="56543" xr:uid="{1E7DB559-746E-4871-AC9B-5A6481B5334C}"/>
    <cellStyle name="Comma 10 3 2 5 3 2 3" xfId="41423" xr:uid="{FF73A41C-8FF9-412D-B8E7-D38C7ECAD46A}"/>
    <cellStyle name="Comma 10 3 2 5 3 3" xfId="17231" xr:uid="{3DC25365-E4EB-4183-A5E1-CBC5741E06BE}"/>
    <cellStyle name="Comma 10 3 2 5 3 3 2" xfId="47471" xr:uid="{1A8C2640-61EC-4A36-B3A3-2EB745213A44}"/>
    <cellStyle name="Comma 10 3 2 5 3 4" xfId="32351" xr:uid="{D4B9425B-486F-4BCD-AC20-0268722C9ECE}"/>
    <cellStyle name="Comma 10 3 2 5 4" xfId="3623" xr:uid="{750530E7-8F7C-41B3-9279-CF31F3B6FAC4}"/>
    <cellStyle name="Comma 10 3 2 5 4 2" xfId="12695" xr:uid="{443E24C4-2BF5-4314-B844-89FDB96872ED}"/>
    <cellStyle name="Comma 10 3 2 5 4 2 2" xfId="27815" xr:uid="{A81D8D67-B535-4132-A95D-D120C92D926B}"/>
    <cellStyle name="Comma 10 3 2 5 4 2 2 2" xfId="58055" xr:uid="{65DFBC0D-C14D-4FE7-B70C-2B90E8B94940}"/>
    <cellStyle name="Comma 10 3 2 5 4 2 3" xfId="42935" xr:uid="{F74AAF3E-FC80-4760-A3FF-7B9A740D4F1C}"/>
    <cellStyle name="Comma 10 3 2 5 4 3" xfId="18743" xr:uid="{AD96FCF4-02B6-447F-B061-529AA79F2103}"/>
    <cellStyle name="Comma 10 3 2 5 4 3 2" xfId="48983" xr:uid="{743439A0-852E-4155-B60A-7646DAFB1D07}"/>
    <cellStyle name="Comma 10 3 2 5 4 4" xfId="33863" xr:uid="{2E5B6CA4-5A38-4AE8-A73F-AFC7AB9E6B40}"/>
    <cellStyle name="Comma 10 3 2 5 5" xfId="5135" xr:uid="{4419E8F6-95F6-4077-9820-D5745003CE63}"/>
    <cellStyle name="Comma 10 3 2 5 5 2" xfId="14207" xr:uid="{CBE2BCCA-6D46-4360-96AD-1A57B26328D4}"/>
    <cellStyle name="Comma 10 3 2 5 5 2 2" xfId="29327" xr:uid="{BD34BBF5-5145-4F90-87E5-346D545BD9AF}"/>
    <cellStyle name="Comma 10 3 2 5 5 2 2 2" xfId="59567" xr:uid="{FD6DF8D4-4434-4BC1-8AE4-64B70A6A4E2B}"/>
    <cellStyle name="Comma 10 3 2 5 5 2 3" xfId="44447" xr:uid="{6C6D940A-AF8A-42B0-98BC-4CFA41B33E1C}"/>
    <cellStyle name="Comma 10 3 2 5 5 3" xfId="20255" xr:uid="{A421633E-4047-43A9-B1E1-E6A28B379CFE}"/>
    <cellStyle name="Comma 10 3 2 5 5 3 2" xfId="50495" xr:uid="{D62091A0-5501-479B-A1C6-BC0E14D97776}"/>
    <cellStyle name="Comma 10 3 2 5 5 4" xfId="35375" xr:uid="{8862D178-FB1A-4C29-9DD9-905FFB2B1922}"/>
    <cellStyle name="Comma 10 3 2 5 6" xfId="6647" xr:uid="{517BEFC1-3172-4CA6-965B-86FF2546A118}"/>
    <cellStyle name="Comma 10 3 2 5 6 2" xfId="21767" xr:uid="{42A15517-AEA9-4037-B0AB-60D35D3ED058}"/>
    <cellStyle name="Comma 10 3 2 5 6 2 2" xfId="52007" xr:uid="{1848EA4A-9FCA-4E4E-B51C-4AB69C4A12A8}"/>
    <cellStyle name="Comma 10 3 2 5 6 3" xfId="36887" xr:uid="{EE3EE78B-5379-4FBF-A8E5-0F414D035698}"/>
    <cellStyle name="Comma 10 3 2 5 7" xfId="8159" xr:uid="{720FD6C6-F804-43CC-84B6-08D690ECFCE8}"/>
    <cellStyle name="Comma 10 3 2 5 7 2" xfId="23279" xr:uid="{7BB4A2BE-8DAA-41FF-B1FD-B0CBF00CE4BC}"/>
    <cellStyle name="Comma 10 3 2 5 7 2 2" xfId="53519" xr:uid="{09CE8296-B0B2-4826-9903-9C3755F6288F}"/>
    <cellStyle name="Comma 10 3 2 5 7 3" xfId="38399" xr:uid="{7DE674E8-BB35-4759-BE21-F9DCBF38F366}"/>
    <cellStyle name="Comma 10 3 2 5 8" xfId="9671" xr:uid="{06F63129-B852-4B66-ADE9-F75AF85A853A}"/>
    <cellStyle name="Comma 10 3 2 5 8 2" xfId="24791" xr:uid="{1ED9CA0D-5760-41D9-A5C6-2E4BF970B4D2}"/>
    <cellStyle name="Comma 10 3 2 5 8 2 2" xfId="55031" xr:uid="{258A69A4-DB93-4C74-8ED0-FAE6105B1620}"/>
    <cellStyle name="Comma 10 3 2 5 8 3" xfId="39911" xr:uid="{860C06C0-CCA5-430D-8EB1-024E3BB8650E}"/>
    <cellStyle name="Comma 10 3 2 5 9" xfId="15719" xr:uid="{CF540C4E-7A93-45E0-B496-FC6B325F8F0C}"/>
    <cellStyle name="Comma 10 3 2 5 9 2" xfId="45959" xr:uid="{C2E217EA-F860-4E19-B70F-920BFA083BE2}"/>
    <cellStyle name="Comma 10 3 2 6" xfId="851" xr:uid="{D7EB8691-BBD3-494B-AE8F-4595067BD429}"/>
    <cellStyle name="Comma 10 3 2 6 2" xfId="2363" xr:uid="{06547262-2054-4207-A34F-DA7BF0B99B75}"/>
    <cellStyle name="Comma 10 3 2 6 2 2" xfId="11435" xr:uid="{9047F3D3-47AC-43DC-8536-D52033CCA4C7}"/>
    <cellStyle name="Comma 10 3 2 6 2 2 2" xfId="26555" xr:uid="{B47A1516-393B-45F7-9CB1-4E3DB3918CB7}"/>
    <cellStyle name="Comma 10 3 2 6 2 2 2 2" xfId="56795" xr:uid="{250EEA0B-C37E-44D8-87F1-488181CBC85E}"/>
    <cellStyle name="Comma 10 3 2 6 2 2 3" xfId="41675" xr:uid="{FD05FC9B-E3ED-437D-806B-18FA48BFE3B9}"/>
    <cellStyle name="Comma 10 3 2 6 2 3" xfId="17483" xr:uid="{E79FDDB4-EA49-486A-BB03-6218423EBD38}"/>
    <cellStyle name="Comma 10 3 2 6 2 3 2" xfId="47723" xr:uid="{1BA2B2BF-497A-4613-BEEA-BB3466331556}"/>
    <cellStyle name="Comma 10 3 2 6 2 4" xfId="32603" xr:uid="{DBCA922C-8889-4F6A-B34E-4F650FAE834C}"/>
    <cellStyle name="Comma 10 3 2 6 3" xfId="3875" xr:uid="{02B49785-D984-46A2-906E-14E702F80661}"/>
    <cellStyle name="Comma 10 3 2 6 3 2" xfId="12947" xr:uid="{63DEB6A8-CA7D-4967-846F-E242F96CF4D6}"/>
    <cellStyle name="Comma 10 3 2 6 3 2 2" xfId="28067" xr:uid="{94B365D0-25D0-4B6C-B69F-6A5E17121E1D}"/>
    <cellStyle name="Comma 10 3 2 6 3 2 2 2" xfId="58307" xr:uid="{8A82F672-782F-49E7-B3F6-DA713B87BEB3}"/>
    <cellStyle name="Comma 10 3 2 6 3 2 3" xfId="43187" xr:uid="{8C272AF2-6B87-4798-B482-1CFAC02DF860}"/>
    <cellStyle name="Comma 10 3 2 6 3 3" xfId="18995" xr:uid="{AC2F8EB5-0BA8-4512-AA39-A387DD84AB74}"/>
    <cellStyle name="Comma 10 3 2 6 3 3 2" xfId="49235" xr:uid="{4B08B8D6-EE57-4E2C-8D31-3F70C67E96CB}"/>
    <cellStyle name="Comma 10 3 2 6 3 4" xfId="34115" xr:uid="{3972FAD3-38FF-44E1-AE6C-829CBDF4504B}"/>
    <cellStyle name="Comma 10 3 2 6 4" xfId="5387" xr:uid="{16BC7EB3-9F6D-47A7-A675-7B9A074F07D6}"/>
    <cellStyle name="Comma 10 3 2 6 4 2" xfId="14459" xr:uid="{5C717725-1992-4EBE-879C-D8D717509C1A}"/>
    <cellStyle name="Comma 10 3 2 6 4 2 2" xfId="29579" xr:uid="{E4063E81-16F5-457C-9B25-261B21CB5D10}"/>
    <cellStyle name="Comma 10 3 2 6 4 2 2 2" xfId="59819" xr:uid="{2448391D-D347-4DFC-BE18-C8C91D9F8006}"/>
    <cellStyle name="Comma 10 3 2 6 4 2 3" xfId="44699" xr:uid="{AD717389-AA32-4AF1-B025-F75F151FA5EF}"/>
    <cellStyle name="Comma 10 3 2 6 4 3" xfId="20507" xr:uid="{BC6D06A5-116A-4611-AE09-8671CCF05814}"/>
    <cellStyle name="Comma 10 3 2 6 4 3 2" xfId="50747" xr:uid="{4EA41B4B-0E22-486D-A3A3-4D0EB3E5179C}"/>
    <cellStyle name="Comma 10 3 2 6 4 4" xfId="35627" xr:uid="{87E931D0-B612-4188-BA4F-6526A73A7607}"/>
    <cellStyle name="Comma 10 3 2 6 5" xfId="6899" xr:uid="{D9C57650-65C5-4C03-A1F5-8AF3DC1E9C65}"/>
    <cellStyle name="Comma 10 3 2 6 5 2" xfId="22019" xr:uid="{E477607B-2EAC-466B-9CEB-67EC10615158}"/>
    <cellStyle name="Comma 10 3 2 6 5 2 2" xfId="52259" xr:uid="{55E62A77-0084-4BA2-98C4-DB429B89C49B}"/>
    <cellStyle name="Comma 10 3 2 6 5 3" xfId="37139" xr:uid="{9BDA4575-2854-46CF-B70A-CB7605ACF4AC}"/>
    <cellStyle name="Comma 10 3 2 6 6" xfId="8411" xr:uid="{A8BA4BFE-6320-450B-A090-B7F799BE98AC}"/>
    <cellStyle name="Comma 10 3 2 6 6 2" xfId="23531" xr:uid="{218B2683-6C41-42C9-BBA7-2C75517924D6}"/>
    <cellStyle name="Comma 10 3 2 6 6 2 2" xfId="53771" xr:uid="{0FCD8149-ED8B-4325-9911-0E791599441F}"/>
    <cellStyle name="Comma 10 3 2 6 6 3" xfId="38651" xr:uid="{0BA5CB6E-BDE7-4EE5-95D1-E1FCCA8A5FF1}"/>
    <cellStyle name="Comma 10 3 2 6 7" xfId="9923" xr:uid="{B5296311-D046-4565-8D2F-587F09036C83}"/>
    <cellStyle name="Comma 10 3 2 6 7 2" xfId="25043" xr:uid="{4AA14258-7336-4970-BC48-68A04CE032A3}"/>
    <cellStyle name="Comma 10 3 2 6 7 2 2" xfId="55283" xr:uid="{6196C333-1B31-4E35-92FA-1BDA321E478B}"/>
    <cellStyle name="Comma 10 3 2 6 7 3" xfId="40163" xr:uid="{5FD3DB06-57FB-4EFD-B890-7A0988C15364}"/>
    <cellStyle name="Comma 10 3 2 6 8" xfId="15971" xr:uid="{EBA58E65-EE71-43CB-BC36-9523A2CC916E}"/>
    <cellStyle name="Comma 10 3 2 6 8 2" xfId="46211" xr:uid="{44538D19-AEB3-49CA-9F69-41438201F967}"/>
    <cellStyle name="Comma 10 3 2 6 9" xfId="31091" xr:uid="{66855846-6CCE-4693-B981-DF01955CE9C4}"/>
    <cellStyle name="Comma 10 3 2 7" xfId="1607" xr:uid="{E0B2E5CA-92B9-406C-93B8-F2DDA22917B5}"/>
    <cellStyle name="Comma 10 3 2 7 2" xfId="10679" xr:uid="{C4D4CBD0-AE30-41D0-8AE4-68B9F41A99AA}"/>
    <cellStyle name="Comma 10 3 2 7 2 2" xfId="25799" xr:uid="{F6FA393E-D4BB-484A-8CEF-ED2107F4B2F5}"/>
    <cellStyle name="Comma 10 3 2 7 2 2 2" xfId="56039" xr:uid="{A3481C73-8AAB-436B-8082-643AC105E2BA}"/>
    <cellStyle name="Comma 10 3 2 7 2 3" xfId="40919" xr:uid="{9733BA86-7358-4CCB-88BD-663B3F82C71E}"/>
    <cellStyle name="Comma 10 3 2 7 3" xfId="16727" xr:uid="{025E303C-11D8-4DEF-B2D7-A3DF8F03C856}"/>
    <cellStyle name="Comma 10 3 2 7 3 2" xfId="46967" xr:uid="{85D6C682-DC02-403A-9922-0CF0FC411712}"/>
    <cellStyle name="Comma 10 3 2 7 4" xfId="31847" xr:uid="{4AFFA866-7E03-49AA-9AD8-34BE008DF707}"/>
    <cellStyle name="Comma 10 3 2 8" xfId="3119" xr:uid="{91DA32B2-B79D-4AB1-BEBE-B9623BA8F687}"/>
    <cellStyle name="Comma 10 3 2 8 2" xfId="12191" xr:uid="{59AEEBE6-9D84-4FBF-B12E-B00F1DF4F5A1}"/>
    <cellStyle name="Comma 10 3 2 8 2 2" xfId="27311" xr:uid="{31BC25B3-0F01-424C-BE46-90B91CBBD1ED}"/>
    <cellStyle name="Comma 10 3 2 8 2 2 2" xfId="57551" xr:uid="{8198C57D-367A-464C-B4CF-423E391FEF2D}"/>
    <cellStyle name="Comma 10 3 2 8 2 3" xfId="42431" xr:uid="{F57528F3-43AE-435F-9E4B-B8779B035F98}"/>
    <cellStyle name="Comma 10 3 2 8 3" xfId="18239" xr:uid="{A27016CB-767A-4E4C-88C7-5A101EBE0636}"/>
    <cellStyle name="Comma 10 3 2 8 3 2" xfId="48479" xr:uid="{A0940391-A876-4BA7-AC1A-9199EDCE67CF}"/>
    <cellStyle name="Comma 10 3 2 8 4" xfId="33359" xr:uid="{FED60266-A83D-4DF0-B736-932E23DB2F9F}"/>
    <cellStyle name="Comma 10 3 2 9" xfId="4631" xr:uid="{5AEB0C44-FD09-447E-B2D9-2E338EE94947}"/>
    <cellStyle name="Comma 10 3 2 9 2" xfId="13703" xr:uid="{248DC20C-922A-47A7-9892-FEC47171324A}"/>
    <cellStyle name="Comma 10 3 2 9 2 2" xfId="28823" xr:uid="{1685178C-A0D7-41B4-AEE3-C5FC81AA9821}"/>
    <cellStyle name="Comma 10 3 2 9 2 2 2" xfId="59063" xr:uid="{45B56DA3-2601-49AB-94CD-E8F12A936BA9}"/>
    <cellStyle name="Comma 10 3 2 9 2 3" xfId="43943" xr:uid="{48DAFC39-F768-479D-8335-FEF466A00762}"/>
    <cellStyle name="Comma 10 3 2 9 3" xfId="19751" xr:uid="{318198FF-3B01-428F-89BA-64AE61B1F70F}"/>
    <cellStyle name="Comma 10 3 2 9 3 2" xfId="49991" xr:uid="{0095DC4C-F28C-4805-855F-76FDF99344D7}"/>
    <cellStyle name="Comma 10 3 2 9 4" xfId="34871" xr:uid="{B363AB08-1153-4265-AD81-2A6D6258BA49}"/>
    <cellStyle name="Comma 10 3 3" xfId="137" xr:uid="{4620263D-1849-4ECA-83AD-EE95FB0EF794}"/>
    <cellStyle name="Comma 10 3 3 10" xfId="9209" xr:uid="{18163452-BB00-4BFB-937E-09205C862348}"/>
    <cellStyle name="Comma 10 3 3 10 2" xfId="24329" xr:uid="{8BDE4A8C-18A0-44FB-B808-D4FFEC76B725}"/>
    <cellStyle name="Comma 10 3 3 10 2 2" xfId="54569" xr:uid="{B4CDB7EF-1C56-4704-8D6B-2981BAF9F371}"/>
    <cellStyle name="Comma 10 3 3 10 3" xfId="39449" xr:uid="{8F89AEEC-2806-4853-86F6-99C6F593D2BC}"/>
    <cellStyle name="Comma 10 3 3 11" xfId="15257" xr:uid="{039ECB0A-9222-497C-AC2F-30865B3D55E9}"/>
    <cellStyle name="Comma 10 3 3 11 2" xfId="45497" xr:uid="{EAAED58B-C630-4DCF-8567-CE6BD45A45C2}"/>
    <cellStyle name="Comma 10 3 3 12" xfId="30377" xr:uid="{4D06E82C-ACB5-47CC-B140-C394C53CDB9A}"/>
    <cellStyle name="Comma 10 3 3 2" xfId="389" xr:uid="{1FDCC946-3533-40E8-9A49-08BBE22C3024}"/>
    <cellStyle name="Comma 10 3 3 2 10" xfId="30629" xr:uid="{5EDAD175-9E95-423C-ADE7-E5E4C98F5529}"/>
    <cellStyle name="Comma 10 3 3 2 2" xfId="1145" xr:uid="{5FCF8540-6D65-4A4A-A09E-0D74882B7A96}"/>
    <cellStyle name="Comma 10 3 3 2 2 2" xfId="2657" xr:uid="{573F3C5C-607E-40AD-B948-34082EB2FD3C}"/>
    <cellStyle name="Comma 10 3 3 2 2 2 2" xfId="11729" xr:uid="{4386581D-885E-45D8-8133-42FB2D5533C6}"/>
    <cellStyle name="Comma 10 3 3 2 2 2 2 2" xfId="26849" xr:uid="{DEFABCA5-F7E6-4A88-8B16-A6C2C074AD30}"/>
    <cellStyle name="Comma 10 3 3 2 2 2 2 2 2" xfId="57089" xr:uid="{AF50BCFC-2471-413A-B96F-D0A4AF81A815}"/>
    <cellStyle name="Comma 10 3 3 2 2 2 2 3" xfId="41969" xr:uid="{E49E9C93-A2CF-4656-87AD-200EDA48D2B5}"/>
    <cellStyle name="Comma 10 3 3 2 2 2 3" xfId="17777" xr:uid="{0DC430AF-B00C-4F1B-9232-AA7831398D13}"/>
    <cellStyle name="Comma 10 3 3 2 2 2 3 2" xfId="48017" xr:uid="{3EC49761-DE7C-4C03-AEEE-90CBC3182C5E}"/>
    <cellStyle name="Comma 10 3 3 2 2 2 4" xfId="32897" xr:uid="{21F8DB8C-CEC9-4F84-ABCB-AA2C321D4876}"/>
    <cellStyle name="Comma 10 3 3 2 2 3" xfId="4169" xr:uid="{28D44340-30CF-4718-8E24-B81874C61FEB}"/>
    <cellStyle name="Comma 10 3 3 2 2 3 2" xfId="13241" xr:uid="{FA636DB6-5C3F-4F2C-B46C-22C0D2F249D3}"/>
    <cellStyle name="Comma 10 3 3 2 2 3 2 2" xfId="28361" xr:uid="{CCB007ED-B5AF-42A3-885B-823FD0D7F5F3}"/>
    <cellStyle name="Comma 10 3 3 2 2 3 2 2 2" xfId="58601" xr:uid="{D547DEE7-9A48-46AC-91B5-4F4FE3DCC0D5}"/>
    <cellStyle name="Comma 10 3 3 2 2 3 2 3" xfId="43481" xr:uid="{CF778EE3-82E8-445F-B0DE-B90D85FD00E6}"/>
    <cellStyle name="Comma 10 3 3 2 2 3 3" xfId="19289" xr:uid="{6980E1C4-8FF2-427B-9B02-026F337C953B}"/>
    <cellStyle name="Comma 10 3 3 2 2 3 3 2" xfId="49529" xr:uid="{EB42A315-77F0-4ADF-A041-E9D1A1CFD0F5}"/>
    <cellStyle name="Comma 10 3 3 2 2 3 4" xfId="34409" xr:uid="{0B336C53-576B-4FF9-B6D6-F2026B62F324}"/>
    <cellStyle name="Comma 10 3 3 2 2 4" xfId="5681" xr:uid="{9C0D2FC5-B37E-401A-80D3-7E7A403C59E2}"/>
    <cellStyle name="Comma 10 3 3 2 2 4 2" xfId="14753" xr:uid="{78298B26-8F76-48A9-83AC-0A6A32EE17D8}"/>
    <cellStyle name="Comma 10 3 3 2 2 4 2 2" xfId="29873" xr:uid="{D4F6FD90-8D63-4C82-881F-AF672523D998}"/>
    <cellStyle name="Comma 10 3 3 2 2 4 2 2 2" xfId="60113" xr:uid="{2E3A8F91-E545-4403-A1E1-F9D7BC4E713F}"/>
    <cellStyle name="Comma 10 3 3 2 2 4 2 3" xfId="44993" xr:uid="{3D3885D7-64A4-455D-8DF4-EACCF336CE02}"/>
    <cellStyle name="Comma 10 3 3 2 2 4 3" xfId="20801" xr:uid="{2A05BBE6-957C-49CD-9CBE-FA72356628FF}"/>
    <cellStyle name="Comma 10 3 3 2 2 4 3 2" xfId="51041" xr:uid="{3CF8C8D1-15D0-43C0-8EA2-1F1F36DCDBBA}"/>
    <cellStyle name="Comma 10 3 3 2 2 4 4" xfId="35921" xr:uid="{9FDE9C90-A143-4331-8926-EA6A9655D8AE}"/>
    <cellStyle name="Comma 10 3 3 2 2 5" xfId="7193" xr:uid="{5A92B748-CA03-4376-99D7-F6F3BB5FEAAB}"/>
    <cellStyle name="Comma 10 3 3 2 2 5 2" xfId="22313" xr:uid="{A06E82AE-FB9C-450F-96D4-F44A84F5CD49}"/>
    <cellStyle name="Comma 10 3 3 2 2 5 2 2" xfId="52553" xr:uid="{9EF78483-7ABC-417C-9030-147EE6B1FA04}"/>
    <cellStyle name="Comma 10 3 3 2 2 5 3" xfId="37433" xr:uid="{3A568103-30D0-4CB2-8510-99AA018776CD}"/>
    <cellStyle name="Comma 10 3 3 2 2 6" xfId="8705" xr:uid="{360ACBF6-7512-429A-B3DE-F43ABDD4F3FB}"/>
    <cellStyle name="Comma 10 3 3 2 2 6 2" xfId="23825" xr:uid="{43C999D8-78BC-4B7B-930B-EAA005712E60}"/>
    <cellStyle name="Comma 10 3 3 2 2 6 2 2" xfId="54065" xr:uid="{3C0CEF51-840D-441C-BBB4-AADC7B42D424}"/>
    <cellStyle name="Comma 10 3 3 2 2 6 3" xfId="38945" xr:uid="{1503493C-AE1A-43D6-87E9-CC448ABAB306}"/>
    <cellStyle name="Comma 10 3 3 2 2 7" xfId="10217" xr:uid="{42292778-8AAA-4003-89B4-072D0B4B6411}"/>
    <cellStyle name="Comma 10 3 3 2 2 7 2" xfId="25337" xr:uid="{02C6A785-6989-4202-8F04-4FD93BE1EDD6}"/>
    <cellStyle name="Comma 10 3 3 2 2 7 2 2" xfId="55577" xr:uid="{C0E1AA1A-2CA0-4A97-9D8D-F1E10CD55F85}"/>
    <cellStyle name="Comma 10 3 3 2 2 7 3" xfId="40457" xr:uid="{AF99EA90-F6C1-4809-92E1-2B1A825D760A}"/>
    <cellStyle name="Comma 10 3 3 2 2 8" xfId="16265" xr:uid="{9BA90D61-8250-4A48-B4A5-FBA096F30924}"/>
    <cellStyle name="Comma 10 3 3 2 2 8 2" xfId="46505" xr:uid="{0AC42378-6F4C-4B3B-89C1-DD74E2DB7D49}"/>
    <cellStyle name="Comma 10 3 3 2 2 9" xfId="31385" xr:uid="{FD4DB15C-CDC0-433E-A17A-623AF0C36D80}"/>
    <cellStyle name="Comma 10 3 3 2 3" xfId="1901" xr:uid="{13B9FBE7-DE1F-474F-931E-88D7944E7A4E}"/>
    <cellStyle name="Comma 10 3 3 2 3 2" xfId="10973" xr:uid="{6E17A26C-B8DF-4A09-B19E-D85D0C1D77D8}"/>
    <cellStyle name="Comma 10 3 3 2 3 2 2" xfId="26093" xr:uid="{1315B41A-E2D8-4155-9B37-B3E0FF58F79E}"/>
    <cellStyle name="Comma 10 3 3 2 3 2 2 2" xfId="56333" xr:uid="{1B1253BC-7A9A-41D4-8646-9AA5D55C3C72}"/>
    <cellStyle name="Comma 10 3 3 2 3 2 3" xfId="41213" xr:uid="{B0CF665A-21DA-4741-AB0D-637B20737F6B}"/>
    <cellStyle name="Comma 10 3 3 2 3 3" xfId="17021" xr:uid="{6E3FBD74-B307-44F6-A6E5-370168F5705E}"/>
    <cellStyle name="Comma 10 3 3 2 3 3 2" xfId="47261" xr:uid="{6CAFFA71-3BE0-4212-AAFB-257D10B30EA3}"/>
    <cellStyle name="Comma 10 3 3 2 3 4" xfId="32141" xr:uid="{6227CF4F-B27F-4A47-9307-85517AE70002}"/>
    <cellStyle name="Comma 10 3 3 2 4" xfId="3413" xr:uid="{0FF53748-BDEF-4ECB-A614-53D690E4DB09}"/>
    <cellStyle name="Comma 10 3 3 2 4 2" xfId="12485" xr:uid="{444813D9-1FE9-4637-90AF-6F9FB643C1FA}"/>
    <cellStyle name="Comma 10 3 3 2 4 2 2" xfId="27605" xr:uid="{2E5C68E4-6A31-479E-9246-F44101EEC0F6}"/>
    <cellStyle name="Comma 10 3 3 2 4 2 2 2" xfId="57845" xr:uid="{B3F1D8FC-165B-4ACA-8FA2-563BFC6A0557}"/>
    <cellStyle name="Comma 10 3 3 2 4 2 3" xfId="42725" xr:uid="{B407869C-2969-42D2-A14C-8210235EB5B6}"/>
    <cellStyle name="Comma 10 3 3 2 4 3" xfId="18533" xr:uid="{DE67DF5B-B631-4883-9268-10CD4E7BFB92}"/>
    <cellStyle name="Comma 10 3 3 2 4 3 2" xfId="48773" xr:uid="{40F981C0-1E1C-4471-9EB6-603CD61CC7DF}"/>
    <cellStyle name="Comma 10 3 3 2 4 4" xfId="33653" xr:uid="{5FD0DAA0-CC32-4B77-9FB0-BA8F5E75838A}"/>
    <cellStyle name="Comma 10 3 3 2 5" xfId="4925" xr:uid="{35E1149A-758A-4800-B474-9C0C1AEC00C1}"/>
    <cellStyle name="Comma 10 3 3 2 5 2" xfId="13997" xr:uid="{33EC4AE2-FAFA-4437-BB26-B1507193D111}"/>
    <cellStyle name="Comma 10 3 3 2 5 2 2" xfId="29117" xr:uid="{11762FCD-910B-4AB8-978E-343882CDF30F}"/>
    <cellStyle name="Comma 10 3 3 2 5 2 2 2" xfId="59357" xr:uid="{6955B424-6938-4856-B65A-1E1DB72DB93D}"/>
    <cellStyle name="Comma 10 3 3 2 5 2 3" xfId="44237" xr:uid="{27130784-6EC9-4B11-9BA7-5D66D0DD49CF}"/>
    <cellStyle name="Comma 10 3 3 2 5 3" xfId="20045" xr:uid="{F0A53E65-C429-4BA3-9460-7A2771422DAD}"/>
    <cellStyle name="Comma 10 3 3 2 5 3 2" xfId="50285" xr:uid="{0D10E31E-E62C-4FAD-BAEC-76F4FF4FD9A0}"/>
    <cellStyle name="Comma 10 3 3 2 5 4" xfId="35165" xr:uid="{E766A77C-A654-4AAB-A8A0-9B766C81F76F}"/>
    <cellStyle name="Comma 10 3 3 2 6" xfId="6437" xr:uid="{0497651A-391D-488D-AA5E-A75E9AB5E412}"/>
    <cellStyle name="Comma 10 3 3 2 6 2" xfId="21557" xr:uid="{45331DDC-6996-4576-8C04-EFAB561B89F1}"/>
    <cellStyle name="Comma 10 3 3 2 6 2 2" xfId="51797" xr:uid="{3A9BD907-5072-4BE5-84DC-F23C3167320A}"/>
    <cellStyle name="Comma 10 3 3 2 6 3" xfId="36677" xr:uid="{CB06F3D3-A6C1-4398-AFC5-F2B3CD40D28F}"/>
    <cellStyle name="Comma 10 3 3 2 7" xfId="7949" xr:uid="{BAFDA0FF-F98C-4C8B-85F1-1562A9C35714}"/>
    <cellStyle name="Comma 10 3 3 2 7 2" xfId="23069" xr:uid="{4B182061-D270-45D1-A55E-844A15760181}"/>
    <cellStyle name="Comma 10 3 3 2 7 2 2" xfId="53309" xr:uid="{31B89F97-325B-4923-8031-EE1DCEFC5A9D}"/>
    <cellStyle name="Comma 10 3 3 2 7 3" xfId="38189" xr:uid="{0F7A1454-5099-4FD5-934C-6FE90317A450}"/>
    <cellStyle name="Comma 10 3 3 2 8" xfId="9461" xr:uid="{8E2C5470-C824-4E00-B67A-340BF66B8AF5}"/>
    <cellStyle name="Comma 10 3 3 2 8 2" xfId="24581" xr:uid="{DCB30181-2A15-4E98-B98A-E693ED40DD9D}"/>
    <cellStyle name="Comma 10 3 3 2 8 2 2" xfId="54821" xr:uid="{0D522FA9-97AF-46D9-9F02-891CFBDC5C8F}"/>
    <cellStyle name="Comma 10 3 3 2 8 3" xfId="39701" xr:uid="{9C847E36-7109-41FB-BF23-B570A82638D4}"/>
    <cellStyle name="Comma 10 3 3 2 9" xfId="15509" xr:uid="{6EC2D497-721F-4FAD-8BA9-4CE58F871B29}"/>
    <cellStyle name="Comma 10 3 3 2 9 2" xfId="45749" xr:uid="{06F6D2F0-1D6D-4AA6-8D2E-1A876A887E60}"/>
    <cellStyle name="Comma 10 3 3 3" xfId="641" xr:uid="{5B952B12-164E-4E55-84D7-18F62CA71D0A}"/>
    <cellStyle name="Comma 10 3 3 3 10" xfId="30881" xr:uid="{CF37D5CA-C5FE-495C-815B-FE818E4FFD2F}"/>
    <cellStyle name="Comma 10 3 3 3 2" xfId="1397" xr:uid="{5F53596D-007E-4E37-8521-F72BB804FA4F}"/>
    <cellStyle name="Comma 10 3 3 3 2 2" xfId="2909" xr:uid="{53211CBF-1153-4972-AFFD-9DE79FF785C0}"/>
    <cellStyle name="Comma 10 3 3 3 2 2 2" xfId="11981" xr:uid="{1C925D3C-18A4-45FD-811F-12D733AFC0A4}"/>
    <cellStyle name="Comma 10 3 3 3 2 2 2 2" xfId="27101" xr:uid="{116895DC-161D-4C19-97B5-E3589788B404}"/>
    <cellStyle name="Comma 10 3 3 3 2 2 2 2 2" xfId="57341" xr:uid="{130C4D83-C485-4DC8-992F-C4137A4CC50A}"/>
    <cellStyle name="Comma 10 3 3 3 2 2 2 3" xfId="42221" xr:uid="{484D865C-E907-4D11-A05D-1D74D3688645}"/>
    <cellStyle name="Comma 10 3 3 3 2 2 3" xfId="18029" xr:uid="{8EC46BA2-A277-4982-A474-1C6CE4ADF5D0}"/>
    <cellStyle name="Comma 10 3 3 3 2 2 3 2" xfId="48269" xr:uid="{64E13951-5D29-431F-8233-7F1BB2294C33}"/>
    <cellStyle name="Comma 10 3 3 3 2 2 4" xfId="33149" xr:uid="{5362DC51-F825-4BA2-9D91-E58A3A76F368}"/>
    <cellStyle name="Comma 10 3 3 3 2 3" xfId="4421" xr:uid="{FDBC2C6B-06DA-4C85-8F7B-30735EFF7833}"/>
    <cellStyle name="Comma 10 3 3 3 2 3 2" xfId="13493" xr:uid="{EBAA74E5-93DD-4183-8618-EACA1CB3F600}"/>
    <cellStyle name="Comma 10 3 3 3 2 3 2 2" xfId="28613" xr:uid="{9AB54D1D-6163-4711-80E6-BBDD4EED9AC5}"/>
    <cellStyle name="Comma 10 3 3 3 2 3 2 2 2" xfId="58853" xr:uid="{C2AC55FC-EB3B-4DD7-B2B9-5B3B46133D15}"/>
    <cellStyle name="Comma 10 3 3 3 2 3 2 3" xfId="43733" xr:uid="{723B3A1F-607C-439F-80CC-4144836C1FFB}"/>
    <cellStyle name="Comma 10 3 3 3 2 3 3" xfId="19541" xr:uid="{3CFB264A-7154-4C7A-91F7-C5E1A7F43066}"/>
    <cellStyle name="Comma 10 3 3 3 2 3 3 2" xfId="49781" xr:uid="{E9A91666-D43C-4AB7-9CDD-6BE74531B4B8}"/>
    <cellStyle name="Comma 10 3 3 3 2 3 4" xfId="34661" xr:uid="{1B083ADA-C3A3-422E-B35A-8E9E16FC9164}"/>
    <cellStyle name="Comma 10 3 3 3 2 4" xfId="5933" xr:uid="{CEE38255-ACAC-4B12-A1B3-F43531ED8252}"/>
    <cellStyle name="Comma 10 3 3 3 2 4 2" xfId="15005" xr:uid="{EF27100F-8415-4BCD-B967-DC529A274854}"/>
    <cellStyle name="Comma 10 3 3 3 2 4 2 2" xfId="30125" xr:uid="{BD426F89-589E-4A6D-ACBA-C08EF3E66468}"/>
    <cellStyle name="Comma 10 3 3 3 2 4 2 2 2" xfId="60365" xr:uid="{413813F6-6D46-43BA-ABDC-DA0EA4D6879E}"/>
    <cellStyle name="Comma 10 3 3 3 2 4 2 3" xfId="45245" xr:uid="{CAA2ED56-F74B-48AB-BD2C-3DAFAA77873A}"/>
    <cellStyle name="Comma 10 3 3 3 2 4 3" xfId="21053" xr:uid="{06AD1149-8FEC-43D0-9D60-EFF18A360F72}"/>
    <cellStyle name="Comma 10 3 3 3 2 4 3 2" xfId="51293" xr:uid="{865CE4A9-8290-431C-A357-D5B6A88B34FC}"/>
    <cellStyle name="Comma 10 3 3 3 2 4 4" xfId="36173" xr:uid="{E569A013-33F0-4BC3-BB12-FEB1F7FE7E80}"/>
    <cellStyle name="Comma 10 3 3 3 2 5" xfId="7445" xr:uid="{747244F3-6313-4EDE-928C-61BB5ADA01AD}"/>
    <cellStyle name="Comma 10 3 3 3 2 5 2" xfId="22565" xr:uid="{1CDFA0B1-83D5-4059-9991-8B768E8D14FF}"/>
    <cellStyle name="Comma 10 3 3 3 2 5 2 2" xfId="52805" xr:uid="{339819FF-E700-4645-BE49-64881CDC43AA}"/>
    <cellStyle name="Comma 10 3 3 3 2 5 3" xfId="37685" xr:uid="{039661A6-12CD-4977-AAF6-9F13C6880207}"/>
    <cellStyle name="Comma 10 3 3 3 2 6" xfId="8957" xr:uid="{DDB36837-4CFB-420C-8B68-73109FCB04E0}"/>
    <cellStyle name="Comma 10 3 3 3 2 6 2" xfId="24077" xr:uid="{9686A40F-8E53-4409-BB6B-D31DE8C74DF4}"/>
    <cellStyle name="Comma 10 3 3 3 2 6 2 2" xfId="54317" xr:uid="{10B14DD6-CE75-4D2A-9CBB-FC341842DA4A}"/>
    <cellStyle name="Comma 10 3 3 3 2 6 3" xfId="39197" xr:uid="{94A62F91-1B12-42F4-8C7D-C518AE882F20}"/>
    <cellStyle name="Comma 10 3 3 3 2 7" xfId="10469" xr:uid="{6CD1EF07-1B00-41A2-8291-213E844E6F74}"/>
    <cellStyle name="Comma 10 3 3 3 2 7 2" xfId="25589" xr:uid="{C243F323-FF11-400E-B7EA-55F41B56039E}"/>
    <cellStyle name="Comma 10 3 3 3 2 7 2 2" xfId="55829" xr:uid="{77C2853A-7BEE-43D8-BE9D-484F88C7EF8E}"/>
    <cellStyle name="Comma 10 3 3 3 2 7 3" xfId="40709" xr:uid="{16334CFB-4981-4DD2-B29D-22F506B64BD1}"/>
    <cellStyle name="Comma 10 3 3 3 2 8" xfId="16517" xr:uid="{4A10A687-A3A4-4097-9A46-FBE75907B9B5}"/>
    <cellStyle name="Comma 10 3 3 3 2 8 2" xfId="46757" xr:uid="{B64A70FC-FC9C-4A39-A6EF-38A1BBB323A8}"/>
    <cellStyle name="Comma 10 3 3 3 2 9" xfId="31637" xr:uid="{47C6658E-C7CB-48C6-9D64-8AC6AF0B9BB5}"/>
    <cellStyle name="Comma 10 3 3 3 3" xfId="2153" xr:uid="{1BC2557A-6452-4411-9ABE-779A5F48358B}"/>
    <cellStyle name="Comma 10 3 3 3 3 2" xfId="11225" xr:uid="{ED0E51CA-89F5-485E-8567-CDB0EA479936}"/>
    <cellStyle name="Comma 10 3 3 3 3 2 2" xfId="26345" xr:uid="{33D1B996-8E37-47E5-8DC1-6678A280D76D}"/>
    <cellStyle name="Comma 10 3 3 3 3 2 2 2" xfId="56585" xr:uid="{A8C5FC38-4E26-484C-A47D-9FD4B68868FF}"/>
    <cellStyle name="Comma 10 3 3 3 3 2 3" xfId="41465" xr:uid="{C5EC524E-F0DD-4E3F-A83D-FC1EEE82FFAF}"/>
    <cellStyle name="Comma 10 3 3 3 3 3" xfId="17273" xr:uid="{E4560010-4C42-464D-B359-EEAE7D7BE015}"/>
    <cellStyle name="Comma 10 3 3 3 3 3 2" xfId="47513" xr:uid="{8045B4F9-DE6E-45C5-8133-56C872851D36}"/>
    <cellStyle name="Comma 10 3 3 3 3 4" xfId="32393" xr:uid="{42A94C5D-D22B-421A-98D4-C4BD291C7612}"/>
    <cellStyle name="Comma 10 3 3 3 4" xfId="3665" xr:uid="{DC90D282-F1B9-4673-AE13-C6EDEE6908F5}"/>
    <cellStyle name="Comma 10 3 3 3 4 2" xfId="12737" xr:uid="{3082C9A1-54C9-40EA-864B-221327BC0C6A}"/>
    <cellStyle name="Comma 10 3 3 3 4 2 2" xfId="27857" xr:uid="{85FD6AED-89FE-472D-BD4F-352DD29D3294}"/>
    <cellStyle name="Comma 10 3 3 3 4 2 2 2" xfId="58097" xr:uid="{8F873607-71F7-4616-BD3E-B9BE282928BB}"/>
    <cellStyle name="Comma 10 3 3 3 4 2 3" xfId="42977" xr:uid="{22271B62-2097-4FF2-9E4A-7994838D7C39}"/>
    <cellStyle name="Comma 10 3 3 3 4 3" xfId="18785" xr:uid="{7E50065D-4B78-44B0-81BC-40649EC5959B}"/>
    <cellStyle name="Comma 10 3 3 3 4 3 2" xfId="49025" xr:uid="{5C5866DC-2967-464C-B724-1DE3D07ECEC3}"/>
    <cellStyle name="Comma 10 3 3 3 4 4" xfId="33905" xr:uid="{1A63E1ED-66E3-494D-A779-21BBD01E9B3E}"/>
    <cellStyle name="Comma 10 3 3 3 5" xfId="5177" xr:uid="{5D0815F0-E628-41B3-9F54-62D61DE1C56B}"/>
    <cellStyle name="Comma 10 3 3 3 5 2" xfId="14249" xr:uid="{58011FA8-35D5-4F2A-8175-8656E5FF61E0}"/>
    <cellStyle name="Comma 10 3 3 3 5 2 2" xfId="29369" xr:uid="{5A142230-D1B5-40FA-876B-834612C3918B}"/>
    <cellStyle name="Comma 10 3 3 3 5 2 2 2" xfId="59609" xr:uid="{C3D211A7-D071-4E00-AA63-80B8A03646F6}"/>
    <cellStyle name="Comma 10 3 3 3 5 2 3" xfId="44489" xr:uid="{F286A03B-C40D-4686-9838-A57CB39974F5}"/>
    <cellStyle name="Comma 10 3 3 3 5 3" xfId="20297" xr:uid="{DE1C08B3-4BFC-411E-9E26-BF999B78D578}"/>
    <cellStyle name="Comma 10 3 3 3 5 3 2" xfId="50537" xr:uid="{1B41D48A-C9C7-467C-B2F6-FBEE8036B99A}"/>
    <cellStyle name="Comma 10 3 3 3 5 4" xfId="35417" xr:uid="{5C6CECCC-C203-4F6E-8548-301E2AE56589}"/>
    <cellStyle name="Comma 10 3 3 3 6" xfId="6689" xr:uid="{10152D0F-FEB1-4A71-8D04-8ED8B0C9E37A}"/>
    <cellStyle name="Comma 10 3 3 3 6 2" xfId="21809" xr:uid="{CE7CDECE-2EFB-4364-99B8-9A0AFFF66AA3}"/>
    <cellStyle name="Comma 10 3 3 3 6 2 2" xfId="52049" xr:uid="{F0037557-3450-4E6B-B164-267E33ACCD04}"/>
    <cellStyle name="Comma 10 3 3 3 6 3" xfId="36929" xr:uid="{FB3AFB6A-57E2-4CA2-9EE8-BCD2684ED124}"/>
    <cellStyle name="Comma 10 3 3 3 7" xfId="8201" xr:uid="{8F2C233D-592E-45B1-A588-CED848F638C6}"/>
    <cellStyle name="Comma 10 3 3 3 7 2" xfId="23321" xr:uid="{0700B226-FE72-474A-BDE5-A382C347622E}"/>
    <cellStyle name="Comma 10 3 3 3 7 2 2" xfId="53561" xr:uid="{0724B7B3-0605-4190-9211-4DCF1C9BF328}"/>
    <cellStyle name="Comma 10 3 3 3 7 3" xfId="38441" xr:uid="{CDC60E23-3946-47DC-9C52-043BBD06F038}"/>
    <cellStyle name="Comma 10 3 3 3 8" xfId="9713" xr:uid="{9A58692F-69E4-4996-BE1B-67A5825C853B}"/>
    <cellStyle name="Comma 10 3 3 3 8 2" xfId="24833" xr:uid="{6AFBED04-DEC9-458F-9166-AE7623057225}"/>
    <cellStyle name="Comma 10 3 3 3 8 2 2" xfId="55073" xr:uid="{EA3D43F8-9170-40CF-97E4-AB192C396FC5}"/>
    <cellStyle name="Comma 10 3 3 3 8 3" xfId="39953" xr:uid="{1BE9A771-DFB6-4E33-B434-6101EF429308}"/>
    <cellStyle name="Comma 10 3 3 3 9" xfId="15761" xr:uid="{3CE9806C-A32F-4F98-A6A6-577A5947C2FE}"/>
    <cellStyle name="Comma 10 3 3 3 9 2" xfId="46001" xr:uid="{F0194D86-FADD-4F7D-81DB-B72B9F02B41D}"/>
    <cellStyle name="Comma 10 3 3 4" xfId="893" xr:uid="{B9A4543C-A409-4DE2-8639-69BDD752D7DC}"/>
    <cellStyle name="Comma 10 3 3 4 2" xfId="2405" xr:uid="{3BAB3588-03E0-4DBB-BCF5-B62A73834DAB}"/>
    <cellStyle name="Comma 10 3 3 4 2 2" xfId="11477" xr:uid="{8463A005-D366-4979-97C9-C89B5BFBE705}"/>
    <cellStyle name="Comma 10 3 3 4 2 2 2" xfId="26597" xr:uid="{712BD056-D1BF-42AF-8E61-5C33C4A075FE}"/>
    <cellStyle name="Comma 10 3 3 4 2 2 2 2" xfId="56837" xr:uid="{51C8D6D9-5C09-4727-8C25-4E896E8C94DB}"/>
    <cellStyle name="Comma 10 3 3 4 2 2 3" xfId="41717" xr:uid="{BF2C2805-43F4-4035-A40A-4B9A7C2EAA2B}"/>
    <cellStyle name="Comma 10 3 3 4 2 3" xfId="17525" xr:uid="{D501FF1B-15BC-4AC1-A019-85AD891FE626}"/>
    <cellStyle name="Comma 10 3 3 4 2 3 2" xfId="47765" xr:uid="{0F11A6BD-F04D-49FD-8379-1A28DEA7E471}"/>
    <cellStyle name="Comma 10 3 3 4 2 4" xfId="32645" xr:uid="{85B5DDF1-9572-4C5F-92DA-827538DDCB0C}"/>
    <cellStyle name="Comma 10 3 3 4 3" xfId="3917" xr:uid="{0C5E4FBB-F94D-4C85-A84B-C073F7B2113C}"/>
    <cellStyle name="Comma 10 3 3 4 3 2" xfId="12989" xr:uid="{8544CDCF-B9E5-4BA6-BAFE-2DC37CE7876E}"/>
    <cellStyle name="Comma 10 3 3 4 3 2 2" xfId="28109" xr:uid="{3871CD89-804B-46FF-91A4-DC88E620F01E}"/>
    <cellStyle name="Comma 10 3 3 4 3 2 2 2" xfId="58349" xr:uid="{598C2AAE-44BE-41B1-AAA7-3CA16C97AB91}"/>
    <cellStyle name="Comma 10 3 3 4 3 2 3" xfId="43229" xr:uid="{EDA1A461-0F0F-434A-9A1A-840D28AE7D5C}"/>
    <cellStyle name="Comma 10 3 3 4 3 3" xfId="19037" xr:uid="{8C54DA49-AB4B-4213-8500-58589B1A65DA}"/>
    <cellStyle name="Comma 10 3 3 4 3 3 2" xfId="49277" xr:uid="{23B7707C-0680-443F-A564-A5946CCD7FCF}"/>
    <cellStyle name="Comma 10 3 3 4 3 4" xfId="34157" xr:uid="{D47CA0F8-9870-471A-A0D4-A9152AA08CBC}"/>
    <cellStyle name="Comma 10 3 3 4 4" xfId="5429" xr:uid="{DC657B89-48FA-4883-AB55-0748E59CDE0E}"/>
    <cellStyle name="Comma 10 3 3 4 4 2" xfId="14501" xr:uid="{13A4D1FC-2466-4757-AAE3-34BDA8D5CD86}"/>
    <cellStyle name="Comma 10 3 3 4 4 2 2" xfId="29621" xr:uid="{B297EB56-4869-4334-A76E-B504B3F2D368}"/>
    <cellStyle name="Comma 10 3 3 4 4 2 2 2" xfId="59861" xr:uid="{93553CFD-5520-4A48-8037-66E0768A6435}"/>
    <cellStyle name="Comma 10 3 3 4 4 2 3" xfId="44741" xr:uid="{097BC818-E8E6-4B79-BB97-6DEB1A94AF30}"/>
    <cellStyle name="Comma 10 3 3 4 4 3" xfId="20549" xr:uid="{9110BAE2-26EF-4B05-B34F-5B0CE3B97905}"/>
    <cellStyle name="Comma 10 3 3 4 4 3 2" xfId="50789" xr:uid="{1D9A1D8B-798B-4FAC-A31F-4CCB177D754A}"/>
    <cellStyle name="Comma 10 3 3 4 4 4" xfId="35669" xr:uid="{955CFEE8-38D6-4D8A-8089-DE325846DB4E}"/>
    <cellStyle name="Comma 10 3 3 4 5" xfId="6941" xr:uid="{03A20BBE-4CFE-49BA-B29E-0571BBFA9B8D}"/>
    <cellStyle name="Comma 10 3 3 4 5 2" xfId="22061" xr:uid="{B46A1E94-7FC8-4099-A724-36C132DF0AD4}"/>
    <cellStyle name="Comma 10 3 3 4 5 2 2" xfId="52301" xr:uid="{9CC70589-3C66-47B2-AC27-BEDDDB4FD2BF}"/>
    <cellStyle name="Comma 10 3 3 4 5 3" xfId="37181" xr:uid="{842E1AB7-7C86-4F92-863C-7931ECF409DB}"/>
    <cellStyle name="Comma 10 3 3 4 6" xfId="8453" xr:uid="{8AE0E7CA-039E-4293-BDCA-829077E58778}"/>
    <cellStyle name="Comma 10 3 3 4 6 2" xfId="23573" xr:uid="{1C40EFB7-2F66-4462-8A2F-442F55727A80}"/>
    <cellStyle name="Comma 10 3 3 4 6 2 2" xfId="53813" xr:uid="{C5B5D5E2-60C8-4005-ACE8-C60EAA7A7CF3}"/>
    <cellStyle name="Comma 10 3 3 4 6 3" xfId="38693" xr:uid="{7210122B-A6E7-4C37-9FE2-EF3FFAEEC671}"/>
    <cellStyle name="Comma 10 3 3 4 7" xfId="9965" xr:uid="{A5C1BE51-C815-453F-ADE9-4A45E3C6263F}"/>
    <cellStyle name="Comma 10 3 3 4 7 2" xfId="25085" xr:uid="{AEB795ED-C356-45DA-809D-56BBC7CD98B8}"/>
    <cellStyle name="Comma 10 3 3 4 7 2 2" xfId="55325" xr:uid="{18E896F7-6CB0-4FE8-925A-7EDE6C6CFA07}"/>
    <cellStyle name="Comma 10 3 3 4 7 3" xfId="40205" xr:uid="{5FEC5D0F-4103-45EE-BA50-7FA510EA38CC}"/>
    <cellStyle name="Comma 10 3 3 4 8" xfId="16013" xr:uid="{997E664B-B02D-4952-B4C8-861A450CDEA6}"/>
    <cellStyle name="Comma 10 3 3 4 8 2" xfId="46253" xr:uid="{DF98C6D1-F051-4141-8569-9D3BD9366ADE}"/>
    <cellStyle name="Comma 10 3 3 4 9" xfId="31133" xr:uid="{56D6C9AE-BDF6-455C-86A9-CDEC169076EF}"/>
    <cellStyle name="Comma 10 3 3 5" xfId="1649" xr:uid="{A8089D75-2E2A-4A65-A50D-9579FB5CC445}"/>
    <cellStyle name="Comma 10 3 3 5 2" xfId="10721" xr:uid="{B09FF33E-98D5-4AC4-B206-F3A09D261CB9}"/>
    <cellStyle name="Comma 10 3 3 5 2 2" xfId="25841" xr:uid="{CFA13905-628D-401F-86E9-29C450A153FC}"/>
    <cellStyle name="Comma 10 3 3 5 2 2 2" xfId="56081" xr:uid="{52C103FC-D403-4316-A53C-D630FFB80CD7}"/>
    <cellStyle name="Comma 10 3 3 5 2 3" xfId="40961" xr:uid="{157C8262-7E4A-4455-B9A0-13B6DCCB8C93}"/>
    <cellStyle name="Comma 10 3 3 5 3" xfId="16769" xr:uid="{96E9B445-48EB-4B68-A986-C8C8846A1D70}"/>
    <cellStyle name="Comma 10 3 3 5 3 2" xfId="47009" xr:uid="{FCC6D88A-2642-4EA1-B765-5954433BA0BF}"/>
    <cellStyle name="Comma 10 3 3 5 4" xfId="31889" xr:uid="{A40D68A2-A38D-4225-8E36-B08229027AEF}"/>
    <cellStyle name="Comma 10 3 3 6" xfId="3161" xr:uid="{56938EBF-B337-40CD-8049-5F36C14C2496}"/>
    <cellStyle name="Comma 10 3 3 6 2" xfId="12233" xr:uid="{C0566CF3-EA0E-43EA-BECD-BDF05B8A419C}"/>
    <cellStyle name="Comma 10 3 3 6 2 2" xfId="27353" xr:uid="{1E8772BE-37B3-46E0-A437-22082DA823B5}"/>
    <cellStyle name="Comma 10 3 3 6 2 2 2" xfId="57593" xr:uid="{EB254F91-EF31-4C7D-96D3-B88989806AC9}"/>
    <cellStyle name="Comma 10 3 3 6 2 3" xfId="42473" xr:uid="{7164B715-C049-4D63-B926-7B359A603EBD}"/>
    <cellStyle name="Comma 10 3 3 6 3" xfId="18281" xr:uid="{0C75F019-5F7E-40B3-9274-97A2A095B976}"/>
    <cellStyle name="Comma 10 3 3 6 3 2" xfId="48521" xr:uid="{0E5CDFDF-AC17-4283-94F2-195C16A7667E}"/>
    <cellStyle name="Comma 10 3 3 6 4" xfId="33401" xr:uid="{CB6F09B8-9B2C-48B5-8647-9AE55712F94B}"/>
    <cellStyle name="Comma 10 3 3 7" xfId="4673" xr:uid="{ACE8C2CD-8ED1-4E1E-9DDA-5170F91DBA4A}"/>
    <cellStyle name="Comma 10 3 3 7 2" xfId="13745" xr:uid="{EFA52114-3E30-47BA-87C4-D48D5657ECEC}"/>
    <cellStyle name="Comma 10 3 3 7 2 2" xfId="28865" xr:uid="{5FC0A06A-543E-4FC9-A920-5B01EC82CE69}"/>
    <cellStyle name="Comma 10 3 3 7 2 2 2" xfId="59105" xr:uid="{9D37027C-B6AE-4758-8AAF-F69F16BAA7CB}"/>
    <cellStyle name="Comma 10 3 3 7 2 3" xfId="43985" xr:uid="{2696A6F0-BEB2-4A34-AB3A-DA8D66360181}"/>
    <cellStyle name="Comma 10 3 3 7 3" xfId="19793" xr:uid="{5DB377A6-0102-43B1-93E0-D879848D4428}"/>
    <cellStyle name="Comma 10 3 3 7 3 2" xfId="50033" xr:uid="{6E153214-556D-47F5-AAB9-95ACAAF8CACF}"/>
    <cellStyle name="Comma 10 3 3 7 4" xfId="34913" xr:uid="{3668CB92-4CA4-42D0-9232-01F3E06DF02B}"/>
    <cellStyle name="Comma 10 3 3 8" xfId="6185" xr:uid="{16E6FAAF-3E95-4BBB-8BB9-4D327C35B3CD}"/>
    <cellStyle name="Comma 10 3 3 8 2" xfId="21305" xr:uid="{9A07F407-9ABE-4535-BDBF-36F6B38A20E6}"/>
    <cellStyle name="Comma 10 3 3 8 2 2" xfId="51545" xr:uid="{CFDE556A-3435-4AFB-8473-E4BE4D42C69B}"/>
    <cellStyle name="Comma 10 3 3 8 3" xfId="36425" xr:uid="{1CB69709-667E-4BCB-9CF9-471B1ABECB6B}"/>
    <cellStyle name="Comma 10 3 3 9" xfId="7697" xr:uid="{95612622-AE88-4A09-B4CA-F205B150233F}"/>
    <cellStyle name="Comma 10 3 3 9 2" xfId="22817" xr:uid="{FABD3E89-B107-43FC-AC6D-9F98AB690F0E}"/>
    <cellStyle name="Comma 10 3 3 9 2 2" xfId="53057" xr:uid="{536621CB-8DB3-4057-9AE7-1252A16972C1}"/>
    <cellStyle name="Comma 10 3 3 9 3" xfId="37937" xr:uid="{0428B9A6-4FE8-446C-A0D1-A0D28AB9E16C}"/>
    <cellStyle name="Comma 10 3 4" xfId="221" xr:uid="{895F6F54-2C6D-42E3-B008-B8DC3C3DBC44}"/>
    <cellStyle name="Comma 10 3 4 10" xfId="9293" xr:uid="{0A861B20-F260-4550-91BE-292D266ED4F8}"/>
    <cellStyle name="Comma 10 3 4 10 2" xfId="24413" xr:uid="{FD742FA3-D411-4FAD-A371-1DF69EA5ABF7}"/>
    <cellStyle name="Comma 10 3 4 10 2 2" xfId="54653" xr:uid="{5BAE0FCB-5FC2-48E3-847D-D1ECBC927C50}"/>
    <cellStyle name="Comma 10 3 4 10 3" xfId="39533" xr:uid="{AE327907-F221-40A8-BDD6-A32360CF0EC5}"/>
    <cellStyle name="Comma 10 3 4 11" xfId="15341" xr:uid="{23EE9BDD-1FC1-4FBB-9078-9B48A2F3DFCC}"/>
    <cellStyle name="Comma 10 3 4 11 2" xfId="45581" xr:uid="{048DB788-5B8C-4E69-B8B4-C9AD9FF9678A}"/>
    <cellStyle name="Comma 10 3 4 12" xfId="30461" xr:uid="{1DB2730C-9F90-4477-AB01-5242CF3B1A67}"/>
    <cellStyle name="Comma 10 3 4 2" xfId="473" xr:uid="{CBFA763E-70B7-4B42-A196-DF2DE9F6E131}"/>
    <cellStyle name="Comma 10 3 4 2 10" xfId="30713" xr:uid="{2747B152-3258-4F73-AE8A-4D3854EF137A}"/>
    <cellStyle name="Comma 10 3 4 2 2" xfId="1229" xr:uid="{8F2D5694-3349-46D9-8621-3EAABCA5D4B6}"/>
    <cellStyle name="Comma 10 3 4 2 2 2" xfId="2741" xr:uid="{09D53C12-B7BD-4B2A-A153-22176DD48685}"/>
    <cellStyle name="Comma 10 3 4 2 2 2 2" xfId="11813" xr:uid="{7FB88BFC-FF17-4A15-BCA0-E24302954B02}"/>
    <cellStyle name="Comma 10 3 4 2 2 2 2 2" xfId="26933" xr:uid="{D0319F8C-9C8A-46C7-A68E-E3D941DA0B40}"/>
    <cellStyle name="Comma 10 3 4 2 2 2 2 2 2" xfId="57173" xr:uid="{F81159EF-49F4-40EB-A81C-74B6219B64B2}"/>
    <cellStyle name="Comma 10 3 4 2 2 2 2 3" xfId="42053" xr:uid="{3608CFFA-8BCD-40BA-9691-955C4388A13D}"/>
    <cellStyle name="Comma 10 3 4 2 2 2 3" xfId="17861" xr:uid="{8C857D54-4382-4EC3-B488-3E56B1E4A9DC}"/>
    <cellStyle name="Comma 10 3 4 2 2 2 3 2" xfId="48101" xr:uid="{8E255CEE-2148-4811-B459-033B53E86AC5}"/>
    <cellStyle name="Comma 10 3 4 2 2 2 4" xfId="32981" xr:uid="{5B1707A5-D228-4551-83C9-DA9CFDDD1460}"/>
    <cellStyle name="Comma 10 3 4 2 2 3" xfId="4253" xr:uid="{D8135C45-FC6D-49FC-8E60-4F29738DEAE4}"/>
    <cellStyle name="Comma 10 3 4 2 2 3 2" xfId="13325" xr:uid="{E5E57695-67F6-49DE-9D63-46A3A6F83F9A}"/>
    <cellStyle name="Comma 10 3 4 2 2 3 2 2" xfId="28445" xr:uid="{46A36532-0B6E-4174-8D2D-DD9C1B2AED44}"/>
    <cellStyle name="Comma 10 3 4 2 2 3 2 2 2" xfId="58685" xr:uid="{0971DE28-EE7E-4C38-AA30-A8A7A2B9F12D}"/>
    <cellStyle name="Comma 10 3 4 2 2 3 2 3" xfId="43565" xr:uid="{F234895A-D6EF-4CEC-A480-C2F98CEC0634}"/>
    <cellStyle name="Comma 10 3 4 2 2 3 3" xfId="19373" xr:uid="{80A50611-4289-44EF-91A0-2723FA4EB8D1}"/>
    <cellStyle name="Comma 10 3 4 2 2 3 3 2" xfId="49613" xr:uid="{47B21C3B-831B-48F5-9845-638931AE5816}"/>
    <cellStyle name="Comma 10 3 4 2 2 3 4" xfId="34493" xr:uid="{1DCCC7DE-35C6-468C-B897-6648027D032E}"/>
    <cellStyle name="Comma 10 3 4 2 2 4" xfId="5765" xr:uid="{FCC81681-4672-4F94-8179-5D0E09AB56D7}"/>
    <cellStyle name="Comma 10 3 4 2 2 4 2" xfId="14837" xr:uid="{7FF5CD75-3D65-44BF-8954-BFD21A77D9E8}"/>
    <cellStyle name="Comma 10 3 4 2 2 4 2 2" xfId="29957" xr:uid="{692EDD8A-B257-48EE-B152-4415DFA7D59F}"/>
    <cellStyle name="Comma 10 3 4 2 2 4 2 2 2" xfId="60197" xr:uid="{BFE0F28A-DB0D-40D1-818D-47D278F2FD7A}"/>
    <cellStyle name="Comma 10 3 4 2 2 4 2 3" xfId="45077" xr:uid="{2159E4B2-C0E3-426F-A447-18468B4C5B49}"/>
    <cellStyle name="Comma 10 3 4 2 2 4 3" xfId="20885" xr:uid="{4FEABC41-43D8-4638-BC42-0B9CBC8C3A08}"/>
    <cellStyle name="Comma 10 3 4 2 2 4 3 2" xfId="51125" xr:uid="{EE0B7CE4-9F7B-4FF2-B457-16F2FCD8B546}"/>
    <cellStyle name="Comma 10 3 4 2 2 4 4" xfId="36005" xr:uid="{7AFD6E04-2D71-446F-B21D-012CC952BF73}"/>
    <cellStyle name="Comma 10 3 4 2 2 5" xfId="7277" xr:uid="{DEA41B01-C5F4-4325-B9F7-BDFC772A7E24}"/>
    <cellStyle name="Comma 10 3 4 2 2 5 2" xfId="22397" xr:uid="{02AB6698-F858-4023-A81E-8D32D5332558}"/>
    <cellStyle name="Comma 10 3 4 2 2 5 2 2" xfId="52637" xr:uid="{7486AF56-F5D1-412D-8932-D5F8F389C7B2}"/>
    <cellStyle name="Comma 10 3 4 2 2 5 3" xfId="37517" xr:uid="{F7D449C1-0F93-45B3-BD0F-C2B12ECAB4A8}"/>
    <cellStyle name="Comma 10 3 4 2 2 6" xfId="8789" xr:uid="{730C5C5E-E106-484D-8197-F2F7BCF357B4}"/>
    <cellStyle name="Comma 10 3 4 2 2 6 2" xfId="23909" xr:uid="{CC4C4FB6-A2B5-42C7-A437-2342371022B5}"/>
    <cellStyle name="Comma 10 3 4 2 2 6 2 2" xfId="54149" xr:uid="{11E51BA6-B151-4290-B939-F7BD789B73CC}"/>
    <cellStyle name="Comma 10 3 4 2 2 6 3" xfId="39029" xr:uid="{787C9864-B134-4072-98EB-0C037FE4416F}"/>
    <cellStyle name="Comma 10 3 4 2 2 7" xfId="10301" xr:uid="{7B391632-37C4-47D2-B424-2B5618F83304}"/>
    <cellStyle name="Comma 10 3 4 2 2 7 2" xfId="25421" xr:uid="{D9B2DDD4-B05F-46FF-845A-BF76EECE1BD4}"/>
    <cellStyle name="Comma 10 3 4 2 2 7 2 2" xfId="55661" xr:uid="{BC154680-B9EF-46C0-8A22-FD9C482AD08A}"/>
    <cellStyle name="Comma 10 3 4 2 2 7 3" xfId="40541" xr:uid="{053996A0-0278-4BA6-8C2F-6796CA043E21}"/>
    <cellStyle name="Comma 10 3 4 2 2 8" xfId="16349" xr:uid="{91425642-D246-45D9-9E2D-3C85FCA342CC}"/>
    <cellStyle name="Comma 10 3 4 2 2 8 2" xfId="46589" xr:uid="{91ED545D-9C31-49B7-BA7C-3347AEDA9032}"/>
    <cellStyle name="Comma 10 3 4 2 2 9" xfId="31469" xr:uid="{4DC21955-65FB-48CD-9666-BEEE14FEE2B5}"/>
    <cellStyle name="Comma 10 3 4 2 3" xfId="1985" xr:uid="{2DA8E6FE-7F6B-4EA8-BAE9-11A91FF82DD4}"/>
    <cellStyle name="Comma 10 3 4 2 3 2" xfId="11057" xr:uid="{44CD15B0-B587-44A3-87D9-0C434945B803}"/>
    <cellStyle name="Comma 10 3 4 2 3 2 2" xfId="26177" xr:uid="{B2D29625-7F00-42BE-9A7A-80A0D268B78E}"/>
    <cellStyle name="Comma 10 3 4 2 3 2 2 2" xfId="56417" xr:uid="{41A26ADC-3C0B-41E3-A168-D160EA000E22}"/>
    <cellStyle name="Comma 10 3 4 2 3 2 3" xfId="41297" xr:uid="{02E14BAA-FE0D-48BE-A376-A5ADAC282926}"/>
    <cellStyle name="Comma 10 3 4 2 3 3" xfId="17105" xr:uid="{7A76BDFE-5282-4324-8B32-31F60C390031}"/>
    <cellStyle name="Comma 10 3 4 2 3 3 2" xfId="47345" xr:uid="{DD9A93F4-F11C-4F93-8F89-7744462C2713}"/>
    <cellStyle name="Comma 10 3 4 2 3 4" xfId="32225" xr:uid="{74F181A3-2CB8-4D15-BA7C-E48FCE46F03C}"/>
    <cellStyle name="Comma 10 3 4 2 4" xfId="3497" xr:uid="{9E481783-9A36-4386-9BAA-CEE4695EDBD8}"/>
    <cellStyle name="Comma 10 3 4 2 4 2" xfId="12569" xr:uid="{B21B4EE0-8152-4147-B666-43CE238F1C55}"/>
    <cellStyle name="Comma 10 3 4 2 4 2 2" xfId="27689" xr:uid="{AB6F4221-C93F-4284-99CB-04299BDFD294}"/>
    <cellStyle name="Comma 10 3 4 2 4 2 2 2" xfId="57929" xr:uid="{AB1B9114-55F5-430D-9E0D-3E278746E6F5}"/>
    <cellStyle name="Comma 10 3 4 2 4 2 3" xfId="42809" xr:uid="{DE0803B1-FADE-401F-8961-094BB2AED606}"/>
    <cellStyle name="Comma 10 3 4 2 4 3" xfId="18617" xr:uid="{7488D286-D462-4DB9-94A0-BC9C785D25DF}"/>
    <cellStyle name="Comma 10 3 4 2 4 3 2" xfId="48857" xr:uid="{FD74C458-62FA-4AA9-97CD-978C2A5589ED}"/>
    <cellStyle name="Comma 10 3 4 2 4 4" xfId="33737" xr:uid="{72133A63-7C05-43DA-A710-F29373BBF1A8}"/>
    <cellStyle name="Comma 10 3 4 2 5" xfId="5009" xr:uid="{8D12488C-508D-4627-920B-77B4BCCE13EF}"/>
    <cellStyle name="Comma 10 3 4 2 5 2" xfId="14081" xr:uid="{E307D471-6B75-4A3A-967F-1E81BA05AB9C}"/>
    <cellStyle name="Comma 10 3 4 2 5 2 2" xfId="29201" xr:uid="{B2A15717-6CBE-4C5A-8BF9-99FD28B25EDA}"/>
    <cellStyle name="Comma 10 3 4 2 5 2 2 2" xfId="59441" xr:uid="{D06F733E-7653-448A-A46D-D36CFA4DDB16}"/>
    <cellStyle name="Comma 10 3 4 2 5 2 3" xfId="44321" xr:uid="{17906410-3533-4BE1-A1E3-08C94173EEC8}"/>
    <cellStyle name="Comma 10 3 4 2 5 3" xfId="20129" xr:uid="{EB417373-823E-4CC8-80E3-461EBD0199F6}"/>
    <cellStyle name="Comma 10 3 4 2 5 3 2" xfId="50369" xr:uid="{57F0FCC2-6733-46F7-AFCC-602C327D67BB}"/>
    <cellStyle name="Comma 10 3 4 2 5 4" xfId="35249" xr:uid="{C4BAC133-820B-4973-A236-33DD37D69F90}"/>
    <cellStyle name="Comma 10 3 4 2 6" xfId="6521" xr:uid="{6265B44E-54E8-4EB3-9E13-9AC59784301B}"/>
    <cellStyle name="Comma 10 3 4 2 6 2" xfId="21641" xr:uid="{E80D2701-B737-4BD3-BE3E-F9DD05A07841}"/>
    <cellStyle name="Comma 10 3 4 2 6 2 2" xfId="51881" xr:uid="{108EB699-D1C3-4053-B161-F856A6DDA1C7}"/>
    <cellStyle name="Comma 10 3 4 2 6 3" xfId="36761" xr:uid="{D94633EF-E7C9-447B-A8F9-6ADE3975AFF3}"/>
    <cellStyle name="Comma 10 3 4 2 7" xfId="8033" xr:uid="{6AAE1801-23FD-4E4B-A822-C8E4C62D395C}"/>
    <cellStyle name="Comma 10 3 4 2 7 2" xfId="23153" xr:uid="{6CB086EA-4A75-4CF3-A168-26938D665DBD}"/>
    <cellStyle name="Comma 10 3 4 2 7 2 2" xfId="53393" xr:uid="{BA2259A9-8DF7-42CF-B87E-460419EC290B}"/>
    <cellStyle name="Comma 10 3 4 2 7 3" xfId="38273" xr:uid="{9023F147-4A9F-4A35-97F2-E66223861CC1}"/>
    <cellStyle name="Comma 10 3 4 2 8" xfId="9545" xr:uid="{EAEC1D79-B6A8-435B-9202-9CB1C95CB2FF}"/>
    <cellStyle name="Comma 10 3 4 2 8 2" xfId="24665" xr:uid="{B4FA38F0-0961-4F77-965C-38CBDD4C928C}"/>
    <cellStyle name="Comma 10 3 4 2 8 2 2" xfId="54905" xr:uid="{27012AE5-8E84-41DF-82F2-AED130F5F970}"/>
    <cellStyle name="Comma 10 3 4 2 8 3" xfId="39785" xr:uid="{B1E54896-FC83-4B9A-BF90-44B433A8C5FB}"/>
    <cellStyle name="Comma 10 3 4 2 9" xfId="15593" xr:uid="{B84DD329-67B6-4413-81CD-8607C96E0FF9}"/>
    <cellStyle name="Comma 10 3 4 2 9 2" xfId="45833" xr:uid="{C0C6CDBC-B77B-4CDE-8A1A-6FCBC71229A8}"/>
    <cellStyle name="Comma 10 3 4 3" xfId="725" xr:uid="{8C929A9B-E341-48BA-943B-7F13297BED8B}"/>
    <cellStyle name="Comma 10 3 4 3 10" xfId="30965" xr:uid="{57E69691-D45A-4CA4-8E5F-062FEAE3DE13}"/>
    <cellStyle name="Comma 10 3 4 3 2" xfId="1481" xr:uid="{B55A18F9-3413-4E4D-B1F7-ACF735579439}"/>
    <cellStyle name="Comma 10 3 4 3 2 2" xfId="2993" xr:uid="{30FB8B20-0C49-45E4-AA58-0150E5F1C034}"/>
    <cellStyle name="Comma 10 3 4 3 2 2 2" xfId="12065" xr:uid="{34578970-FB74-4B96-B44F-EDAB915D7822}"/>
    <cellStyle name="Comma 10 3 4 3 2 2 2 2" xfId="27185" xr:uid="{94B93E1D-6190-4714-A8D2-BF4F92FCDD02}"/>
    <cellStyle name="Comma 10 3 4 3 2 2 2 2 2" xfId="57425" xr:uid="{8EB3D970-FA38-465D-8360-E2DC6110F29F}"/>
    <cellStyle name="Comma 10 3 4 3 2 2 2 3" xfId="42305" xr:uid="{122A864F-757A-4F40-A81A-BB3EE78D572D}"/>
    <cellStyle name="Comma 10 3 4 3 2 2 3" xfId="18113" xr:uid="{59A915B6-D837-419F-B412-F145FBEF68F5}"/>
    <cellStyle name="Comma 10 3 4 3 2 2 3 2" xfId="48353" xr:uid="{06339001-DAC8-4A15-A437-95C2DDA81A4F}"/>
    <cellStyle name="Comma 10 3 4 3 2 2 4" xfId="33233" xr:uid="{7E2EB2AE-CC2D-4D7C-B14D-786DBBFE959B}"/>
    <cellStyle name="Comma 10 3 4 3 2 3" xfId="4505" xr:uid="{AD430B30-7077-4569-BE7A-6AD9D7EF0DE8}"/>
    <cellStyle name="Comma 10 3 4 3 2 3 2" xfId="13577" xr:uid="{FE614BB9-3A79-43D6-8585-D04432789A49}"/>
    <cellStyle name="Comma 10 3 4 3 2 3 2 2" xfId="28697" xr:uid="{27DF6EB4-2C0B-49F7-9CA6-DD9CEC3B14E9}"/>
    <cellStyle name="Comma 10 3 4 3 2 3 2 2 2" xfId="58937" xr:uid="{AFFE080E-71CE-4DCC-9050-8A2F689EDF3D}"/>
    <cellStyle name="Comma 10 3 4 3 2 3 2 3" xfId="43817" xr:uid="{87986A9E-08B1-438A-9B78-1AF4DE5CB90F}"/>
    <cellStyle name="Comma 10 3 4 3 2 3 3" xfId="19625" xr:uid="{84F27E8E-BC40-4C72-888E-3230DFD57F01}"/>
    <cellStyle name="Comma 10 3 4 3 2 3 3 2" xfId="49865" xr:uid="{4189F2AF-B459-44AD-BD0B-C821C87C42C7}"/>
    <cellStyle name="Comma 10 3 4 3 2 3 4" xfId="34745" xr:uid="{58D3D762-9817-459B-8ED7-7C0322D0EDB2}"/>
    <cellStyle name="Comma 10 3 4 3 2 4" xfId="6017" xr:uid="{1EFD056D-80D2-48DA-81B8-29E3B860794A}"/>
    <cellStyle name="Comma 10 3 4 3 2 4 2" xfId="15089" xr:uid="{D9DF424D-6655-4E49-8861-E58FED188968}"/>
    <cellStyle name="Comma 10 3 4 3 2 4 2 2" xfId="30209" xr:uid="{C8E46001-90B7-46DD-AD97-80919B20220C}"/>
    <cellStyle name="Comma 10 3 4 3 2 4 2 2 2" xfId="60449" xr:uid="{995FDAA8-57E7-4B56-9D1E-2AFEB86593DE}"/>
    <cellStyle name="Comma 10 3 4 3 2 4 2 3" xfId="45329" xr:uid="{035E3F6F-E655-47B5-8A6F-82E65D05422F}"/>
    <cellStyle name="Comma 10 3 4 3 2 4 3" xfId="21137" xr:uid="{2D9095D8-D8CA-41B8-A1D2-56EBA6CD2DD5}"/>
    <cellStyle name="Comma 10 3 4 3 2 4 3 2" xfId="51377" xr:uid="{ADABA60D-8BC6-49D9-AE83-004CFA834A9B}"/>
    <cellStyle name="Comma 10 3 4 3 2 4 4" xfId="36257" xr:uid="{F6A76617-0A26-4F2B-B166-21A2E9446EE9}"/>
    <cellStyle name="Comma 10 3 4 3 2 5" xfId="7529" xr:uid="{4882BE3D-7F8B-4D94-9172-A8FACD1467F0}"/>
    <cellStyle name="Comma 10 3 4 3 2 5 2" xfId="22649" xr:uid="{B1BD8788-CA0D-407F-AB29-DD11649DBA1D}"/>
    <cellStyle name="Comma 10 3 4 3 2 5 2 2" xfId="52889" xr:uid="{301315CB-A543-4FD8-B189-E041FE75ECB9}"/>
    <cellStyle name="Comma 10 3 4 3 2 5 3" xfId="37769" xr:uid="{F692BBEE-7CAF-4634-A32D-C18CB9EF04BD}"/>
    <cellStyle name="Comma 10 3 4 3 2 6" xfId="9041" xr:uid="{63736103-C701-4416-A3A1-524C13772B43}"/>
    <cellStyle name="Comma 10 3 4 3 2 6 2" xfId="24161" xr:uid="{162FF43B-1288-4904-A626-C2C858FD86DF}"/>
    <cellStyle name="Comma 10 3 4 3 2 6 2 2" xfId="54401" xr:uid="{76DDEB2C-7BC3-4D11-82BD-9A615EFCDADC}"/>
    <cellStyle name="Comma 10 3 4 3 2 6 3" xfId="39281" xr:uid="{FA70CC1A-A2FE-49BF-B220-3DB99EFE3849}"/>
    <cellStyle name="Comma 10 3 4 3 2 7" xfId="10553" xr:uid="{42FB960E-2F7A-4D18-8940-F65115A243AF}"/>
    <cellStyle name="Comma 10 3 4 3 2 7 2" xfId="25673" xr:uid="{E631806D-5AF1-4792-9179-2CECC982FD7F}"/>
    <cellStyle name="Comma 10 3 4 3 2 7 2 2" xfId="55913" xr:uid="{7A5E041E-A66B-4424-B277-D4CB1472BA69}"/>
    <cellStyle name="Comma 10 3 4 3 2 7 3" xfId="40793" xr:uid="{15610392-1267-4312-81FF-320E0E15FBBE}"/>
    <cellStyle name="Comma 10 3 4 3 2 8" xfId="16601" xr:uid="{CE70B0DD-3439-45CD-9773-576E8B42F70E}"/>
    <cellStyle name="Comma 10 3 4 3 2 8 2" xfId="46841" xr:uid="{ED0367BF-7BD4-473A-9738-B03ACB7519A1}"/>
    <cellStyle name="Comma 10 3 4 3 2 9" xfId="31721" xr:uid="{DA1A2571-3CDF-41F3-ACC9-DDBE8EB93C40}"/>
    <cellStyle name="Comma 10 3 4 3 3" xfId="2237" xr:uid="{010AD2C8-AAAF-499E-9DA0-D199AF900E90}"/>
    <cellStyle name="Comma 10 3 4 3 3 2" xfId="11309" xr:uid="{765C9C05-3E24-4EED-9239-19936F217C74}"/>
    <cellStyle name="Comma 10 3 4 3 3 2 2" xfId="26429" xr:uid="{24CB6E87-9334-46CC-A20C-AD6FCA3E5E9C}"/>
    <cellStyle name="Comma 10 3 4 3 3 2 2 2" xfId="56669" xr:uid="{728FB69A-6A71-49D9-9A0B-E4D3B69783FD}"/>
    <cellStyle name="Comma 10 3 4 3 3 2 3" xfId="41549" xr:uid="{E6F108B7-A17A-486E-865C-212037B7D95E}"/>
    <cellStyle name="Comma 10 3 4 3 3 3" xfId="17357" xr:uid="{013C5C1E-FD70-4458-92E7-CAAFBC2B1685}"/>
    <cellStyle name="Comma 10 3 4 3 3 3 2" xfId="47597" xr:uid="{F4BC8ABA-04B3-4D41-8412-0BA522D51FD6}"/>
    <cellStyle name="Comma 10 3 4 3 3 4" xfId="32477" xr:uid="{93E86A9B-2AFF-4E9F-9297-30F79946658F}"/>
    <cellStyle name="Comma 10 3 4 3 4" xfId="3749" xr:uid="{F922F616-E69A-4A20-BBB7-2F3349466DB5}"/>
    <cellStyle name="Comma 10 3 4 3 4 2" xfId="12821" xr:uid="{9CC377B2-704E-49FD-9B90-F329B324A4B5}"/>
    <cellStyle name="Comma 10 3 4 3 4 2 2" xfId="27941" xr:uid="{7056FA45-4040-4FC0-9F21-78D7A7D5023F}"/>
    <cellStyle name="Comma 10 3 4 3 4 2 2 2" xfId="58181" xr:uid="{E1BBEB2C-142A-4FA6-BFCC-E8C1CA08F815}"/>
    <cellStyle name="Comma 10 3 4 3 4 2 3" xfId="43061" xr:uid="{70D53BB8-8E00-41F9-9C49-F9FFB3AF8F94}"/>
    <cellStyle name="Comma 10 3 4 3 4 3" xfId="18869" xr:uid="{5E00E279-D8B8-4C0E-8321-8957885F29E3}"/>
    <cellStyle name="Comma 10 3 4 3 4 3 2" xfId="49109" xr:uid="{B28F15FC-63EB-4980-B346-DF387BC23392}"/>
    <cellStyle name="Comma 10 3 4 3 4 4" xfId="33989" xr:uid="{576AF9B7-ED60-4B76-8052-8AA9B3C92EAD}"/>
    <cellStyle name="Comma 10 3 4 3 5" xfId="5261" xr:uid="{32427EB2-4EBC-4E46-BE94-7C44A7E2927C}"/>
    <cellStyle name="Comma 10 3 4 3 5 2" xfId="14333" xr:uid="{A2B195D0-92A7-4D46-B900-FCCFD1847F42}"/>
    <cellStyle name="Comma 10 3 4 3 5 2 2" xfId="29453" xr:uid="{919ADF52-9A3C-4AEB-92C6-C984418B10F1}"/>
    <cellStyle name="Comma 10 3 4 3 5 2 2 2" xfId="59693" xr:uid="{1075A80F-BC65-4760-B544-9FAA47D01823}"/>
    <cellStyle name="Comma 10 3 4 3 5 2 3" xfId="44573" xr:uid="{5CF1A7A4-EC30-48A9-8365-79967B4A9B0E}"/>
    <cellStyle name="Comma 10 3 4 3 5 3" xfId="20381" xr:uid="{B4D90272-F968-4564-9C91-334C5A40AA69}"/>
    <cellStyle name="Comma 10 3 4 3 5 3 2" xfId="50621" xr:uid="{3467ED22-F728-4330-8290-3BFF9AEE8A7D}"/>
    <cellStyle name="Comma 10 3 4 3 5 4" xfId="35501" xr:uid="{C70E2C6D-4251-4484-B8B4-1FE4ABBDB119}"/>
    <cellStyle name="Comma 10 3 4 3 6" xfId="6773" xr:uid="{508EA622-3EED-46B6-9E72-0ACF0926974E}"/>
    <cellStyle name="Comma 10 3 4 3 6 2" xfId="21893" xr:uid="{0F482F61-CBF1-45D3-8E7A-668E05327D0D}"/>
    <cellStyle name="Comma 10 3 4 3 6 2 2" xfId="52133" xr:uid="{29E6CBEE-0988-4136-8138-DB18C7B4B8A4}"/>
    <cellStyle name="Comma 10 3 4 3 6 3" xfId="37013" xr:uid="{635AB660-B131-4306-833A-81FA3A504F90}"/>
    <cellStyle name="Comma 10 3 4 3 7" xfId="8285" xr:uid="{C7575E3B-2331-48A0-9049-2C0D47C3D48F}"/>
    <cellStyle name="Comma 10 3 4 3 7 2" xfId="23405" xr:uid="{455D84AB-6AE0-48DD-BBDA-28A21E75A3E5}"/>
    <cellStyle name="Comma 10 3 4 3 7 2 2" xfId="53645" xr:uid="{9FEBB961-C422-4D1C-A967-7ACD767FAD0E}"/>
    <cellStyle name="Comma 10 3 4 3 7 3" xfId="38525" xr:uid="{52D8B567-65A3-42F3-A135-8A97C6144FB2}"/>
    <cellStyle name="Comma 10 3 4 3 8" xfId="9797" xr:uid="{B59DE6E9-379C-496F-9EB6-5C45832AF722}"/>
    <cellStyle name="Comma 10 3 4 3 8 2" xfId="24917" xr:uid="{D0B9D8E0-B2CA-4401-A132-52F53BDF055A}"/>
    <cellStyle name="Comma 10 3 4 3 8 2 2" xfId="55157" xr:uid="{65ACA6F5-5419-425E-8594-C039EB381898}"/>
    <cellStyle name="Comma 10 3 4 3 8 3" xfId="40037" xr:uid="{3F67337A-99B8-4A3E-A8DA-DCBB81C43195}"/>
    <cellStyle name="Comma 10 3 4 3 9" xfId="15845" xr:uid="{0932C704-45C4-49F2-9D66-08FC36750EBC}"/>
    <cellStyle name="Comma 10 3 4 3 9 2" xfId="46085" xr:uid="{2DD1793B-22FE-43CE-BC1E-D5030D127619}"/>
    <cellStyle name="Comma 10 3 4 4" xfId="977" xr:uid="{917F1EF5-5E5F-420D-BD45-870E02827051}"/>
    <cellStyle name="Comma 10 3 4 4 2" xfId="2489" xr:uid="{654A43B7-6438-44EA-96A5-DB6F34B328C4}"/>
    <cellStyle name="Comma 10 3 4 4 2 2" xfId="11561" xr:uid="{BE000812-97E7-4152-950C-1FEE76CA8F2C}"/>
    <cellStyle name="Comma 10 3 4 4 2 2 2" xfId="26681" xr:uid="{486C5098-BD40-4F9E-911C-CF6F62C6188D}"/>
    <cellStyle name="Comma 10 3 4 4 2 2 2 2" xfId="56921" xr:uid="{8F8B052B-1069-4E82-AB03-4A0CD9F91946}"/>
    <cellStyle name="Comma 10 3 4 4 2 2 3" xfId="41801" xr:uid="{0903CE2D-9E43-41D4-A10A-8DFD2F390E49}"/>
    <cellStyle name="Comma 10 3 4 4 2 3" xfId="17609" xr:uid="{AA2021F0-932A-4753-979C-703A6B0EA4A1}"/>
    <cellStyle name="Comma 10 3 4 4 2 3 2" xfId="47849" xr:uid="{28111722-7E5A-4FA7-B81A-E0D349F32E72}"/>
    <cellStyle name="Comma 10 3 4 4 2 4" xfId="32729" xr:uid="{A155F227-55DA-4402-8D16-4E1B956C4E6D}"/>
    <cellStyle name="Comma 10 3 4 4 3" xfId="4001" xr:uid="{C614EA2A-CD70-4900-A4D2-5050E1CB1C3B}"/>
    <cellStyle name="Comma 10 3 4 4 3 2" xfId="13073" xr:uid="{D5D32808-00EA-4403-AB21-E79A274D3514}"/>
    <cellStyle name="Comma 10 3 4 4 3 2 2" xfId="28193" xr:uid="{437BD5AB-47DB-4E8A-BD66-63E6FF22FB62}"/>
    <cellStyle name="Comma 10 3 4 4 3 2 2 2" xfId="58433" xr:uid="{9B2469AE-8F86-47C5-AC19-0B2C9C519359}"/>
    <cellStyle name="Comma 10 3 4 4 3 2 3" xfId="43313" xr:uid="{DBBD32DA-1CBC-4F71-B042-A0F8BBFB0982}"/>
    <cellStyle name="Comma 10 3 4 4 3 3" xfId="19121" xr:uid="{BB1C6F2E-E7E8-4DC3-BA02-2F93E690E81F}"/>
    <cellStyle name="Comma 10 3 4 4 3 3 2" xfId="49361" xr:uid="{5FBA3B73-BE53-41E2-A742-4B7FAAFEF17A}"/>
    <cellStyle name="Comma 10 3 4 4 3 4" xfId="34241" xr:uid="{E5989914-03EE-49D1-91AF-68A0D4B7B080}"/>
    <cellStyle name="Comma 10 3 4 4 4" xfId="5513" xr:uid="{E223B810-8275-4BF9-BF4C-E241D8C4427D}"/>
    <cellStyle name="Comma 10 3 4 4 4 2" xfId="14585" xr:uid="{0C8EF620-AFE7-4293-84E0-71A802463F16}"/>
    <cellStyle name="Comma 10 3 4 4 4 2 2" xfId="29705" xr:uid="{31BA229C-B9A6-4D4C-B2DE-7D583F21D774}"/>
    <cellStyle name="Comma 10 3 4 4 4 2 2 2" xfId="59945" xr:uid="{312658D4-0F37-4AB4-B21E-3DB56CD219AD}"/>
    <cellStyle name="Comma 10 3 4 4 4 2 3" xfId="44825" xr:uid="{8AAABB3D-B5AB-40CD-B0A3-BBDED7DA4DA9}"/>
    <cellStyle name="Comma 10 3 4 4 4 3" xfId="20633" xr:uid="{F240C567-5994-4104-A520-12229D7E8AAA}"/>
    <cellStyle name="Comma 10 3 4 4 4 3 2" xfId="50873" xr:uid="{7FA2CCCC-6A04-4A06-AC24-E1644C26C2EC}"/>
    <cellStyle name="Comma 10 3 4 4 4 4" xfId="35753" xr:uid="{B8B68094-CEFF-4409-A310-B2875023E997}"/>
    <cellStyle name="Comma 10 3 4 4 5" xfId="7025" xr:uid="{D23E970D-273D-4F01-BD4C-2561C6A0A5D4}"/>
    <cellStyle name="Comma 10 3 4 4 5 2" xfId="22145" xr:uid="{B941F71C-2325-47CB-98DC-C0CFB29B4AB6}"/>
    <cellStyle name="Comma 10 3 4 4 5 2 2" xfId="52385" xr:uid="{A5680366-03FD-4930-8B00-01CB1E763869}"/>
    <cellStyle name="Comma 10 3 4 4 5 3" xfId="37265" xr:uid="{42A25F20-B858-4933-B7DA-132FEAC3B8EB}"/>
    <cellStyle name="Comma 10 3 4 4 6" xfId="8537" xr:uid="{035FA9E2-A665-443A-9A1E-E9144BB9758A}"/>
    <cellStyle name="Comma 10 3 4 4 6 2" xfId="23657" xr:uid="{93A25165-9EF5-4F26-8F0E-DE0597ED7061}"/>
    <cellStyle name="Comma 10 3 4 4 6 2 2" xfId="53897" xr:uid="{9E57A472-01C6-460D-90F9-CB6D6FBFCB37}"/>
    <cellStyle name="Comma 10 3 4 4 6 3" xfId="38777" xr:uid="{82B0ECE9-B887-4027-BCC4-E634F50E38A9}"/>
    <cellStyle name="Comma 10 3 4 4 7" xfId="10049" xr:uid="{AA0683AD-8B2B-4940-8A0A-B6CBD00E7A66}"/>
    <cellStyle name="Comma 10 3 4 4 7 2" xfId="25169" xr:uid="{4BABFF99-9408-4982-AE7C-D6886C1B03B5}"/>
    <cellStyle name="Comma 10 3 4 4 7 2 2" xfId="55409" xr:uid="{918522D4-8F14-4C51-8FC6-FF5F421B2AA5}"/>
    <cellStyle name="Comma 10 3 4 4 7 3" xfId="40289" xr:uid="{75E89DEE-54B1-4E0C-A546-EFCF4AA4FD98}"/>
    <cellStyle name="Comma 10 3 4 4 8" xfId="16097" xr:uid="{80D60A8A-EB28-4497-8018-82AB2FF13430}"/>
    <cellStyle name="Comma 10 3 4 4 8 2" xfId="46337" xr:uid="{29DB8FFD-FF0D-45F1-A302-B3C9D32AFB57}"/>
    <cellStyle name="Comma 10 3 4 4 9" xfId="31217" xr:uid="{389EE430-AACE-4A68-987A-A0BFD038FF13}"/>
    <cellStyle name="Comma 10 3 4 5" xfId="1733" xr:uid="{DB42F5AC-64FF-4B08-B083-26A78E881965}"/>
    <cellStyle name="Comma 10 3 4 5 2" xfId="10805" xr:uid="{08DC32C1-CE2F-4812-B687-89A6869E3826}"/>
    <cellStyle name="Comma 10 3 4 5 2 2" xfId="25925" xr:uid="{BBC95E1C-6636-4C8D-B16B-6EC725CFA4D5}"/>
    <cellStyle name="Comma 10 3 4 5 2 2 2" xfId="56165" xr:uid="{6EC4886A-43DC-4B15-AFB0-E9DE15D1D324}"/>
    <cellStyle name="Comma 10 3 4 5 2 3" xfId="41045" xr:uid="{E2535E2E-1218-4FBD-84BB-08DA65A4DED7}"/>
    <cellStyle name="Comma 10 3 4 5 3" xfId="16853" xr:uid="{ED6DE710-DA8E-4E2C-A672-616728111C98}"/>
    <cellStyle name="Comma 10 3 4 5 3 2" xfId="47093" xr:uid="{73D8EAA3-0C59-4633-8C41-2DA414D4C84C}"/>
    <cellStyle name="Comma 10 3 4 5 4" xfId="31973" xr:uid="{C05B7DC5-F2C6-4233-9E70-561A0E45BE65}"/>
    <cellStyle name="Comma 10 3 4 6" xfId="3245" xr:uid="{06A4739F-2F96-40BF-A0C3-CD453E0DC67B}"/>
    <cellStyle name="Comma 10 3 4 6 2" xfId="12317" xr:uid="{18A9430D-63CE-4E9C-A295-C64BDBD7327E}"/>
    <cellStyle name="Comma 10 3 4 6 2 2" xfId="27437" xr:uid="{04117078-7123-4704-BCF6-815C2546D9D0}"/>
    <cellStyle name="Comma 10 3 4 6 2 2 2" xfId="57677" xr:uid="{C55CFC26-7D8B-4458-9BD9-2C7D581EDF31}"/>
    <cellStyle name="Comma 10 3 4 6 2 3" xfId="42557" xr:uid="{99688B6F-850A-4FF6-972F-4C319B4DCB4E}"/>
    <cellStyle name="Comma 10 3 4 6 3" xfId="18365" xr:uid="{819FC5BC-2859-42C3-BD78-DF0AB4BE73D7}"/>
    <cellStyle name="Comma 10 3 4 6 3 2" xfId="48605" xr:uid="{D569DCCF-366E-41E4-A8F9-3BE8B5DCB574}"/>
    <cellStyle name="Comma 10 3 4 6 4" xfId="33485" xr:uid="{F7503518-AEE9-44C8-9B78-17FB1A29A5A2}"/>
    <cellStyle name="Comma 10 3 4 7" xfId="4757" xr:uid="{6811B0EA-2B2B-4E0B-8EC1-1821E99FB355}"/>
    <cellStyle name="Comma 10 3 4 7 2" xfId="13829" xr:uid="{FAE92D11-D3D9-4D60-9DFB-4E8CC1F66A1B}"/>
    <cellStyle name="Comma 10 3 4 7 2 2" xfId="28949" xr:uid="{1AFD0E7A-7011-4710-8CBF-2EAC01152117}"/>
    <cellStyle name="Comma 10 3 4 7 2 2 2" xfId="59189" xr:uid="{CF081A59-96F7-40B2-92E0-FF711720A581}"/>
    <cellStyle name="Comma 10 3 4 7 2 3" xfId="44069" xr:uid="{707DA007-4A22-42DE-BDD2-6C8E6DCE70B4}"/>
    <cellStyle name="Comma 10 3 4 7 3" xfId="19877" xr:uid="{087C1AD6-D53B-4A3C-A7C9-EE5ECD48EF99}"/>
    <cellStyle name="Comma 10 3 4 7 3 2" xfId="50117" xr:uid="{924CBACC-CC6B-41A0-AA51-477BE4339E96}"/>
    <cellStyle name="Comma 10 3 4 7 4" xfId="34997" xr:uid="{DE0EE9EA-FC02-4CB9-B8D9-ABCEA3EAF4FA}"/>
    <cellStyle name="Comma 10 3 4 8" xfId="6269" xr:uid="{9D201B87-1B3E-42B1-884F-07C447AF12EA}"/>
    <cellStyle name="Comma 10 3 4 8 2" xfId="21389" xr:uid="{5CF89DD3-F1FA-42CA-8A1F-C021700F540E}"/>
    <cellStyle name="Comma 10 3 4 8 2 2" xfId="51629" xr:uid="{4C18EBE3-1F68-4AC7-AE14-2B6C312A2F04}"/>
    <cellStyle name="Comma 10 3 4 8 3" xfId="36509" xr:uid="{39179288-CA8B-4E79-A461-9778F93A5DA5}"/>
    <cellStyle name="Comma 10 3 4 9" xfId="7781" xr:uid="{657037D4-66EA-481E-8FB9-024645F0A3D3}"/>
    <cellStyle name="Comma 10 3 4 9 2" xfId="22901" xr:uid="{1F6FE2E3-77A4-491E-B4C2-71821B5D7388}"/>
    <cellStyle name="Comma 10 3 4 9 2 2" xfId="53141" xr:uid="{1AD7F21A-0CFE-43D2-BB7A-2C8D8AB02FB0}"/>
    <cellStyle name="Comma 10 3 4 9 3" xfId="38021" xr:uid="{7D688E9D-1B2A-4BA3-9D85-DA0C659AD6A0}"/>
    <cellStyle name="Comma 10 3 5" xfId="305" xr:uid="{AFF92AED-1C69-4BEE-BFC3-40AF14108011}"/>
    <cellStyle name="Comma 10 3 5 10" xfId="30545" xr:uid="{38632B8A-F43E-4F6D-926A-6D6EB5CF3D84}"/>
    <cellStyle name="Comma 10 3 5 2" xfId="1061" xr:uid="{90A92323-9D00-49C4-BA6E-4A5C8A37515D}"/>
    <cellStyle name="Comma 10 3 5 2 2" xfId="2573" xr:uid="{0A53C1A0-004C-4D8F-8CC4-5A404C6BAEC4}"/>
    <cellStyle name="Comma 10 3 5 2 2 2" xfId="11645" xr:uid="{76550AB9-682A-4702-87FC-A196DD7888E4}"/>
    <cellStyle name="Comma 10 3 5 2 2 2 2" xfId="26765" xr:uid="{B2BEBBB5-DBDC-47D2-A738-F43619827B11}"/>
    <cellStyle name="Comma 10 3 5 2 2 2 2 2" xfId="57005" xr:uid="{40C9B740-1193-4B19-B877-6CD5220D615D}"/>
    <cellStyle name="Comma 10 3 5 2 2 2 3" xfId="41885" xr:uid="{CD69C2CE-6DD5-48F3-A72E-BC3460D3B6E8}"/>
    <cellStyle name="Comma 10 3 5 2 2 3" xfId="17693" xr:uid="{4AA1C517-9EFB-421C-B864-13E04D165AC2}"/>
    <cellStyle name="Comma 10 3 5 2 2 3 2" xfId="47933" xr:uid="{A72BB994-6D9B-4F12-AA5E-A1F29C7C75C8}"/>
    <cellStyle name="Comma 10 3 5 2 2 4" xfId="32813" xr:uid="{350438EE-6E44-4CCA-9FA4-3FEAD1D7819B}"/>
    <cellStyle name="Comma 10 3 5 2 3" xfId="4085" xr:uid="{8C774527-0AE9-4B32-B82D-A244C3B1FA56}"/>
    <cellStyle name="Comma 10 3 5 2 3 2" xfId="13157" xr:uid="{BAC32EB6-2D56-4B0C-9A5F-C029CA2BBCDF}"/>
    <cellStyle name="Comma 10 3 5 2 3 2 2" xfId="28277" xr:uid="{C16DFFE1-789E-46A2-8982-D73FFD3B9D5F}"/>
    <cellStyle name="Comma 10 3 5 2 3 2 2 2" xfId="58517" xr:uid="{745A6FA8-AA0F-4B04-8E81-9B52EDCBC3F0}"/>
    <cellStyle name="Comma 10 3 5 2 3 2 3" xfId="43397" xr:uid="{EB317856-9B88-45BF-AA51-434C5F86B6FD}"/>
    <cellStyle name="Comma 10 3 5 2 3 3" xfId="19205" xr:uid="{C1675770-4889-4D26-A424-E3051CDB94E5}"/>
    <cellStyle name="Comma 10 3 5 2 3 3 2" xfId="49445" xr:uid="{4F049BD7-93A5-4699-8B11-1FCABEA06C72}"/>
    <cellStyle name="Comma 10 3 5 2 3 4" xfId="34325" xr:uid="{AB43DB8D-C292-4A87-B144-F83A1B9FB1F6}"/>
    <cellStyle name="Comma 10 3 5 2 4" xfId="5597" xr:uid="{6C58013C-FCAD-4E67-843D-FC96882B460D}"/>
    <cellStyle name="Comma 10 3 5 2 4 2" xfId="14669" xr:uid="{32FA93D1-45CA-46FB-9CE9-1E35BCD3CF21}"/>
    <cellStyle name="Comma 10 3 5 2 4 2 2" xfId="29789" xr:uid="{869D735C-DDEA-454C-943D-C6FA0784B6C1}"/>
    <cellStyle name="Comma 10 3 5 2 4 2 2 2" xfId="60029" xr:uid="{FBB651F4-02D5-4198-875E-85BDD54B625E}"/>
    <cellStyle name="Comma 10 3 5 2 4 2 3" xfId="44909" xr:uid="{B3372795-9571-4E00-9986-2BDB95FCF41F}"/>
    <cellStyle name="Comma 10 3 5 2 4 3" xfId="20717" xr:uid="{A010B6A5-E0D7-4E98-9773-1012B60A3B02}"/>
    <cellStyle name="Comma 10 3 5 2 4 3 2" xfId="50957" xr:uid="{0829D3F8-BA50-4B9F-9CBC-08E5FDC76462}"/>
    <cellStyle name="Comma 10 3 5 2 4 4" xfId="35837" xr:uid="{88B2A61C-F59B-4E56-B392-498FB12FD8EF}"/>
    <cellStyle name="Comma 10 3 5 2 5" xfId="7109" xr:uid="{BFAB14C8-070A-49C2-A018-072CEC93957D}"/>
    <cellStyle name="Comma 10 3 5 2 5 2" xfId="22229" xr:uid="{7C6FE0BC-8AA3-4F30-81F9-B5741CF27135}"/>
    <cellStyle name="Comma 10 3 5 2 5 2 2" xfId="52469" xr:uid="{EC95B44B-1599-4948-B547-AB5FFAF010D8}"/>
    <cellStyle name="Comma 10 3 5 2 5 3" xfId="37349" xr:uid="{3497841D-40BC-4BF0-AAC1-16C9AF7798FD}"/>
    <cellStyle name="Comma 10 3 5 2 6" xfId="8621" xr:uid="{F44939AF-5FEA-4975-AFDD-0B854EF7017F}"/>
    <cellStyle name="Comma 10 3 5 2 6 2" xfId="23741" xr:uid="{04604C41-C074-40D1-A247-0CCD949EF101}"/>
    <cellStyle name="Comma 10 3 5 2 6 2 2" xfId="53981" xr:uid="{ACDCE6D4-ED28-4F9B-A0D0-D0F43FDE95C2}"/>
    <cellStyle name="Comma 10 3 5 2 6 3" xfId="38861" xr:uid="{7BCEC4DE-778D-47D4-A4A1-64FD763E8904}"/>
    <cellStyle name="Comma 10 3 5 2 7" xfId="10133" xr:uid="{ACE84318-0C4A-4C36-99C8-22BF520D6E18}"/>
    <cellStyle name="Comma 10 3 5 2 7 2" xfId="25253" xr:uid="{3F77B485-5884-4360-96C0-4002E508F214}"/>
    <cellStyle name="Comma 10 3 5 2 7 2 2" xfId="55493" xr:uid="{27A1B03E-4A69-4197-968E-0860CC64BFCC}"/>
    <cellStyle name="Comma 10 3 5 2 7 3" xfId="40373" xr:uid="{103EB31A-A49A-4947-BF36-E09B7F81B67B}"/>
    <cellStyle name="Comma 10 3 5 2 8" xfId="16181" xr:uid="{A285EE16-BEF4-4F12-A32A-6535B1464FEB}"/>
    <cellStyle name="Comma 10 3 5 2 8 2" xfId="46421" xr:uid="{B39E8953-04DF-4C6A-93B5-F2767D1FAE97}"/>
    <cellStyle name="Comma 10 3 5 2 9" xfId="31301" xr:uid="{5ADAF4DF-48B8-4094-A6AE-E89ADFF5DF02}"/>
    <cellStyle name="Comma 10 3 5 3" xfId="1817" xr:uid="{2F157E64-8A3C-4022-B04E-F33BCCE42954}"/>
    <cellStyle name="Comma 10 3 5 3 2" xfId="10889" xr:uid="{3FC40B4F-93BC-409F-AF3C-5A788931300F}"/>
    <cellStyle name="Comma 10 3 5 3 2 2" xfId="26009" xr:uid="{4D4A577F-3DE6-495D-80BF-743306029A24}"/>
    <cellStyle name="Comma 10 3 5 3 2 2 2" xfId="56249" xr:uid="{09864476-5B30-41FF-9BF7-4E1C9A388BAE}"/>
    <cellStyle name="Comma 10 3 5 3 2 3" xfId="41129" xr:uid="{AFE76B7B-30C2-4B6D-8CC1-01A2D6244849}"/>
    <cellStyle name="Comma 10 3 5 3 3" xfId="16937" xr:uid="{78EB3517-ADB5-4070-B724-AF23DC9CC1A1}"/>
    <cellStyle name="Comma 10 3 5 3 3 2" xfId="47177" xr:uid="{8BBC93E6-9850-4624-9960-FF23C11D0213}"/>
    <cellStyle name="Comma 10 3 5 3 4" xfId="32057" xr:uid="{D8C4D138-D9AF-41A4-BC38-2DBFABDBC72F}"/>
    <cellStyle name="Comma 10 3 5 4" xfId="3329" xr:uid="{FF69A4D0-5EEA-49A9-9164-08DAEE51D177}"/>
    <cellStyle name="Comma 10 3 5 4 2" xfId="12401" xr:uid="{8CC2B371-A3E0-47B6-83E3-25EC3AB6A3BC}"/>
    <cellStyle name="Comma 10 3 5 4 2 2" xfId="27521" xr:uid="{95C7886D-2DF2-46BA-AD4A-8A3302CF657A}"/>
    <cellStyle name="Comma 10 3 5 4 2 2 2" xfId="57761" xr:uid="{A989C3E5-57A1-4BA8-8D1D-6BCA661ACB48}"/>
    <cellStyle name="Comma 10 3 5 4 2 3" xfId="42641" xr:uid="{5EE3921E-DF15-4251-A4C6-B91E3136DEDD}"/>
    <cellStyle name="Comma 10 3 5 4 3" xfId="18449" xr:uid="{69188661-E7D0-4CEF-B051-43117454A2F7}"/>
    <cellStyle name="Comma 10 3 5 4 3 2" xfId="48689" xr:uid="{F0F38FD7-281F-45FC-8919-A1C029310128}"/>
    <cellStyle name="Comma 10 3 5 4 4" xfId="33569" xr:uid="{CEB3704A-A0CA-4234-B43F-DF289D2B0EB4}"/>
    <cellStyle name="Comma 10 3 5 5" xfId="4841" xr:uid="{475B9AB7-7667-4650-9F8D-CFCB0E22F75B}"/>
    <cellStyle name="Comma 10 3 5 5 2" xfId="13913" xr:uid="{8FB71579-42C6-44BB-AF9E-9608D480CBB3}"/>
    <cellStyle name="Comma 10 3 5 5 2 2" xfId="29033" xr:uid="{D06781BB-1788-4806-911F-3E07B2F0AF8E}"/>
    <cellStyle name="Comma 10 3 5 5 2 2 2" xfId="59273" xr:uid="{FEC7BAF8-103A-42C2-B472-FBA592782F96}"/>
    <cellStyle name="Comma 10 3 5 5 2 3" xfId="44153" xr:uid="{47D854E4-CA84-4DF0-B793-79C89825EB6D}"/>
    <cellStyle name="Comma 10 3 5 5 3" xfId="19961" xr:uid="{E246F071-C3F7-469E-BA3D-5CED3433C28A}"/>
    <cellStyle name="Comma 10 3 5 5 3 2" xfId="50201" xr:uid="{3B55053A-8444-4AE7-B75A-B4184F44057B}"/>
    <cellStyle name="Comma 10 3 5 5 4" xfId="35081" xr:uid="{A7AC4A3D-75D3-4556-993A-D135E91743DC}"/>
    <cellStyle name="Comma 10 3 5 6" xfId="6353" xr:uid="{CB37A718-440E-4610-9B96-A930FCA95FE0}"/>
    <cellStyle name="Comma 10 3 5 6 2" xfId="21473" xr:uid="{84755128-39AD-4D1E-8317-80EB45817326}"/>
    <cellStyle name="Comma 10 3 5 6 2 2" xfId="51713" xr:uid="{D923198D-AF17-488D-9CBD-134D73216A4B}"/>
    <cellStyle name="Comma 10 3 5 6 3" xfId="36593" xr:uid="{7ABA5046-DF9E-4F3B-A7C6-1E9353C49646}"/>
    <cellStyle name="Comma 10 3 5 7" xfId="7865" xr:uid="{32C3EA92-E34F-462F-8C64-1B155436A30B}"/>
    <cellStyle name="Comma 10 3 5 7 2" xfId="22985" xr:uid="{227980DB-1669-4932-A4B9-E79D619BE998}"/>
    <cellStyle name="Comma 10 3 5 7 2 2" xfId="53225" xr:uid="{597E3D53-1AD3-48E1-930E-AD735D7489BE}"/>
    <cellStyle name="Comma 10 3 5 7 3" xfId="38105" xr:uid="{1FD5359D-F40B-40B8-84D8-A1275AA2B371}"/>
    <cellStyle name="Comma 10 3 5 8" xfId="9377" xr:uid="{2A569EF3-0EED-4BD3-9C14-CA3377E34EEC}"/>
    <cellStyle name="Comma 10 3 5 8 2" xfId="24497" xr:uid="{8DDD829B-71E1-4976-B5E1-1223250FB2B2}"/>
    <cellStyle name="Comma 10 3 5 8 2 2" xfId="54737" xr:uid="{F6C50386-5FA6-4712-BDA5-F2882ACCBDDA}"/>
    <cellStyle name="Comma 10 3 5 8 3" xfId="39617" xr:uid="{EF6B2D92-4E28-4AFC-A600-B7F266A23C9F}"/>
    <cellStyle name="Comma 10 3 5 9" xfId="15425" xr:uid="{EDB9A33A-52FC-4208-95D2-02975ED872D0}"/>
    <cellStyle name="Comma 10 3 5 9 2" xfId="45665" xr:uid="{CCFF0041-90DE-47C0-8993-93DE06E6C99F}"/>
    <cellStyle name="Comma 10 3 6" xfId="557" xr:uid="{C55B66C8-DEEE-4794-88E7-8BA61579D4A0}"/>
    <cellStyle name="Comma 10 3 6 10" xfId="30797" xr:uid="{48703639-F20D-4270-A80C-B5B9A7363D5F}"/>
    <cellStyle name="Comma 10 3 6 2" xfId="1313" xr:uid="{6AF8188E-3ECE-4BCA-B3B2-F551E7B09553}"/>
    <cellStyle name="Comma 10 3 6 2 2" xfId="2825" xr:uid="{A1076FAA-36B8-4FBA-857E-608A4327388B}"/>
    <cellStyle name="Comma 10 3 6 2 2 2" xfId="11897" xr:uid="{E3922BC6-4128-42CE-BDAE-7B819BA7C33E}"/>
    <cellStyle name="Comma 10 3 6 2 2 2 2" xfId="27017" xr:uid="{B0641AB2-193A-4109-B33C-FEF4AD2CE3D9}"/>
    <cellStyle name="Comma 10 3 6 2 2 2 2 2" xfId="57257" xr:uid="{F810D05B-3094-49CA-9487-86C692CCD4C7}"/>
    <cellStyle name="Comma 10 3 6 2 2 2 3" xfId="42137" xr:uid="{0387A7DB-8C84-48FF-87D1-B56FA30B41B1}"/>
    <cellStyle name="Comma 10 3 6 2 2 3" xfId="17945" xr:uid="{0355CC0F-AC25-4731-A711-5D1C1D9CF933}"/>
    <cellStyle name="Comma 10 3 6 2 2 3 2" xfId="48185" xr:uid="{B4CB995C-90AE-41C5-A3F4-D146787947FC}"/>
    <cellStyle name="Comma 10 3 6 2 2 4" xfId="33065" xr:uid="{569155D9-28FB-48C3-AF4D-04245DF0B4B1}"/>
    <cellStyle name="Comma 10 3 6 2 3" xfId="4337" xr:uid="{6145CFB7-9E9F-4688-8D6F-E45CD3EAA2A4}"/>
    <cellStyle name="Comma 10 3 6 2 3 2" xfId="13409" xr:uid="{C25A0E73-FEEB-432D-831B-4DB0C71D364F}"/>
    <cellStyle name="Comma 10 3 6 2 3 2 2" xfId="28529" xr:uid="{2D73BBCE-2C1E-40A1-A33F-E0A0A9BFCD51}"/>
    <cellStyle name="Comma 10 3 6 2 3 2 2 2" xfId="58769" xr:uid="{5DCFBD75-D5C3-4F11-A487-ADA8FDB8DF13}"/>
    <cellStyle name="Comma 10 3 6 2 3 2 3" xfId="43649" xr:uid="{1F2DD968-0C56-4975-99BD-1FCD0EA1D4A7}"/>
    <cellStyle name="Comma 10 3 6 2 3 3" xfId="19457" xr:uid="{DC776883-A593-4712-9063-F05234631D5C}"/>
    <cellStyle name="Comma 10 3 6 2 3 3 2" xfId="49697" xr:uid="{4FA6BE6C-DFCC-4266-925D-AED3F4BE7E6A}"/>
    <cellStyle name="Comma 10 3 6 2 3 4" xfId="34577" xr:uid="{0D3DD75C-8E47-4099-B778-9050089A6FEE}"/>
    <cellStyle name="Comma 10 3 6 2 4" xfId="5849" xr:uid="{4DF502DF-6406-4D17-979D-904E94D503D6}"/>
    <cellStyle name="Comma 10 3 6 2 4 2" xfId="14921" xr:uid="{11095A1A-2C6B-4498-8EDE-8160DC904C8D}"/>
    <cellStyle name="Comma 10 3 6 2 4 2 2" xfId="30041" xr:uid="{23153BDE-9246-4EDA-9621-D4ABEEE82D13}"/>
    <cellStyle name="Comma 10 3 6 2 4 2 2 2" xfId="60281" xr:uid="{6D15CBDF-FE43-492E-AE06-4063343A0D6E}"/>
    <cellStyle name="Comma 10 3 6 2 4 2 3" xfId="45161" xr:uid="{FEC7D717-DBE8-42D4-AB44-C06E84A88847}"/>
    <cellStyle name="Comma 10 3 6 2 4 3" xfId="20969" xr:uid="{C122E812-3F47-44F8-A0E3-D1A49E2E6256}"/>
    <cellStyle name="Comma 10 3 6 2 4 3 2" xfId="51209" xr:uid="{A8CC9225-DC32-4A15-8838-4342189534DC}"/>
    <cellStyle name="Comma 10 3 6 2 4 4" xfId="36089" xr:uid="{731DB327-42E0-43C2-A7EF-8BCCB142B66A}"/>
    <cellStyle name="Comma 10 3 6 2 5" xfId="7361" xr:uid="{C3C42F90-B939-49F3-9706-98ED80DED3AB}"/>
    <cellStyle name="Comma 10 3 6 2 5 2" xfId="22481" xr:uid="{621AA9A5-D006-4F3A-8AB2-EBC3C3303051}"/>
    <cellStyle name="Comma 10 3 6 2 5 2 2" xfId="52721" xr:uid="{F5F3F87B-415B-486B-9F23-6BAE4A15940B}"/>
    <cellStyle name="Comma 10 3 6 2 5 3" xfId="37601" xr:uid="{FBF8FC7D-4E27-4ACC-91AB-107CD1E8FAA4}"/>
    <cellStyle name="Comma 10 3 6 2 6" xfId="8873" xr:uid="{42B3A357-1EC0-4EC2-92FB-038D4652B776}"/>
    <cellStyle name="Comma 10 3 6 2 6 2" xfId="23993" xr:uid="{D3E64477-6484-47F3-8390-C9DCED79C322}"/>
    <cellStyle name="Comma 10 3 6 2 6 2 2" xfId="54233" xr:uid="{63BFA324-B9B6-4911-96C9-13260B5D7D06}"/>
    <cellStyle name="Comma 10 3 6 2 6 3" xfId="39113" xr:uid="{03EE2121-A2D7-4554-9D64-39D5EFC9F15B}"/>
    <cellStyle name="Comma 10 3 6 2 7" xfId="10385" xr:uid="{55D4C535-1058-49C8-859A-D23CEF8DCFB4}"/>
    <cellStyle name="Comma 10 3 6 2 7 2" xfId="25505" xr:uid="{04AC3D77-2F77-4329-A0DB-344166286D67}"/>
    <cellStyle name="Comma 10 3 6 2 7 2 2" xfId="55745" xr:uid="{DDD06BCA-7F6F-4AA9-B457-858B0D3CC83A}"/>
    <cellStyle name="Comma 10 3 6 2 7 3" xfId="40625" xr:uid="{A7DA6E0A-DFC9-4172-AB02-F8B458545632}"/>
    <cellStyle name="Comma 10 3 6 2 8" xfId="16433" xr:uid="{29C7FCA5-C387-474A-8D3A-246EC9DA53AC}"/>
    <cellStyle name="Comma 10 3 6 2 8 2" xfId="46673" xr:uid="{7ED516C5-314D-45B0-B7AF-2F7D400A26C9}"/>
    <cellStyle name="Comma 10 3 6 2 9" xfId="31553" xr:uid="{2AC76F87-3A33-4297-9020-8F8348A6C3AB}"/>
    <cellStyle name="Comma 10 3 6 3" xfId="2069" xr:uid="{7C5FE0E1-3487-4C08-8DCE-DE86E635FD64}"/>
    <cellStyle name="Comma 10 3 6 3 2" xfId="11141" xr:uid="{F2FA21ED-0698-4A97-BC3A-AA77026AC975}"/>
    <cellStyle name="Comma 10 3 6 3 2 2" xfId="26261" xr:uid="{4F52F136-2C3D-4620-8D40-8FCA67025F05}"/>
    <cellStyle name="Comma 10 3 6 3 2 2 2" xfId="56501" xr:uid="{A2DDAC3B-E500-4806-B440-1C8CC07DB2C2}"/>
    <cellStyle name="Comma 10 3 6 3 2 3" xfId="41381" xr:uid="{F33E3F55-3734-4167-BA1F-9ACA710CEEB1}"/>
    <cellStyle name="Comma 10 3 6 3 3" xfId="17189" xr:uid="{9847942E-EB69-40AB-A2E7-4A0E7C3DF8E1}"/>
    <cellStyle name="Comma 10 3 6 3 3 2" xfId="47429" xr:uid="{07F1F11D-2BF2-41E2-BCFF-0D8357A46169}"/>
    <cellStyle name="Comma 10 3 6 3 4" xfId="32309" xr:uid="{B5185C28-8F75-415B-ABD1-399498F9F6AE}"/>
    <cellStyle name="Comma 10 3 6 4" xfId="3581" xr:uid="{B69CE477-A608-41C9-80C2-23F45E4BE8ED}"/>
    <cellStyle name="Comma 10 3 6 4 2" xfId="12653" xr:uid="{AFAE0665-D787-4199-AC05-58CF27F477A7}"/>
    <cellStyle name="Comma 10 3 6 4 2 2" xfId="27773" xr:uid="{3F96B1EF-333C-4272-9BD5-A215590F4DDE}"/>
    <cellStyle name="Comma 10 3 6 4 2 2 2" xfId="58013" xr:uid="{BBFDB507-FF8A-4C44-9392-157A834D0E07}"/>
    <cellStyle name="Comma 10 3 6 4 2 3" xfId="42893" xr:uid="{03646DA0-4A41-4A60-B9BE-1D4F06E33DD6}"/>
    <cellStyle name="Comma 10 3 6 4 3" xfId="18701" xr:uid="{680E7DBA-F920-4B69-815D-852136860D4C}"/>
    <cellStyle name="Comma 10 3 6 4 3 2" xfId="48941" xr:uid="{77338168-1D15-40B3-BA9F-EE83C3877BC9}"/>
    <cellStyle name="Comma 10 3 6 4 4" xfId="33821" xr:uid="{42F1CC2E-A0F8-49F7-BC1F-42DBAF11D61F}"/>
    <cellStyle name="Comma 10 3 6 5" xfId="5093" xr:uid="{A86AA569-81B3-4497-AC36-7F7A9F242925}"/>
    <cellStyle name="Comma 10 3 6 5 2" xfId="14165" xr:uid="{AAE8594F-BFA4-45DD-B16A-D18736F2E9E2}"/>
    <cellStyle name="Comma 10 3 6 5 2 2" xfId="29285" xr:uid="{9FE7E5BA-7A56-4B8C-9B3B-5692CA7FF0B2}"/>
    <cellStyle name="Comma 10 3 6 5 2 2 2" xfId="59525" xr:uid="{F742BFB7-E89B-47D4-9AEA-E7DC3D3EC1CD}"/>
    <cellStyle name="Comma 10 3 6 5 2 3" xfId="44405" xr:uid="{AFBAB653-8C3B-4178-962C-A65E8D4627FC}"/>
    <cellStyle name="Comma 10 3 6 5 3" xfId="20213" xr:uid="{BE90AF04-1C4B-434B-A878-EA83784EF18E}"/>
    <cellStyle name="Comma 10 3 6 5 3 2" xfId="50453" xr:uid="{EC186977-8BCD-47ED-B0A5-2E8741EE29C8}"/>
    <cellStyle name="Comma 10 3 6 5 4" xfId="35333" xr:uid="{282E0739-B07A-4439-9926-F9BC35919CD2}"/>
    <cellStyle name="Comma 10 3 6 6" xfId="6605" xr:uid="{DE75CF95-E4B9-4E5F-B453-1CA46551C0B9}"/>
    <cellStyle name="Comma 10 3 6 6 2" xfId="21725" xr:uid="{856E45A3-727B-4E4C-A3CF-4BEAC8880A9D}"/>
    <cellStyle name="Comma 10 3 6 6 2 2" xfId="51965" xr:uid="{0EC4D6A6-5330-4FDA-8964-F1A3859206D4}"/>
    <cellStyle name="Comma 10 3 6 6 3" xfId="36845" xr:uid="{7C2E015D-82C5-4595-9F19-8B9E1D8E7ECE}"/>
    <cellStyle name="Comma 10 3 6 7" xfId="8117" xr:uid="{A11B3693-6C4C-4BF7-89BA-76248A0FE20C}"/>
    <cellStyle name="Comma 10 3 6 7 2" xfId="23237" xr:uid="{EB80663E-3B6C-4AB3-8B0B-15B7BC5F34E4}"/>
    <cellStyle name="Comma 10 3 6 7 2 2" xfId="53477" xr:uid="{37630D58-9A74-4DF4-90D3-0FBA906158EF}"/>
    <cellStyle name="Comma 10 3 6 7 3" xfId="38357" xr:uid="{F382B8BC-BB66-4AD1-A4C7-7E4B61F5FB5A}"/>
    <cellStyle name="Comma 10 3 6 8" xfId="9629" xr:uid="{07F1E766-C8F8-472A-9D8E-3A2877CA6D26}"/>
    <cellStyle name="Comma 10 3 6 8 2" xfId="24749" xr:uid="{6FBC8EF8-5822-4A4D-B69E-75BB5ABA81D5}"/>
    <cellStyle name="Comma 10 3 6 8 2 2" xfId="54989" xr:uid="{718689FD-23E3-45FE-A3CD-88E3708A0A04}"/>
    <cellStyle name="Comma 10 3 6 8 3" xfId="39869" xr:uid="{C3F7A033-9E5E-45C9-8AD6-9F1E33A3CA47}"/>
    <cellStyle name="Comma 10 3 6 9" xfId="15677" xr:uid="{38FDF6DB-0571-4E00-A176-71F9A07F8754}"/>
    <cellStyle name="Comma 10 3 6 9 2" xfId="45917" xr:uid="{FD506529-8BE6-46A0-A215-CE80C25ED135}"/>
    <cellStyle name="Comma 10 3 7" xfId="809" xr:uid="{1714719F-A9DB-4CB2-96C2-3CC3ED53C169}"/>
    <cellStyle name="Comma 10 3 7 2" xfId="2321" xr:uid="{9210B326-5064-420E-AE36-147B6EA81A85}"/>
    <cellStyle name="Comma 10 3 7 2 2" xfId="11393" xr:uid="{9EC2D9E8-6ABB-4228-BD3E-3BAA9B2157AB}"/>
    <cellStyle name="Comma 10 3 7 2 2 2" xfId="26513" xr:uid="{9957BA1D-18DD-415C-A217-117E92AED357}"/>
    <cellStyle name="Comma 10 3 7 2 2 2 2" xfId="56753" xr:uid="{7A98F945-4B1C-4A60-A8F4-5F618DFBC951}"/>
    <cellStyle name="Comma 10 3 7 2 2 3" xfId="41633" xr:uid="{189F1441-C5F2-493E-B76B-AE44642FA9CA}"/>
    <cellStyle name="Comma 10 3 7 2 3" xfId="17441" xr:uid="{D9C19CDF-721F-478A-AB7E-67265061653E}"/>
    <cellStyle name="Comma 10 3 7 2 3 2" xfId="47681" xr:uid="{44934419-5F1D-4423-B705-DF7114C95D18}"/>
    <cellStyle name="Comma 10 3 7 2 4" xfId="32561" xr:uid="{AF55812B-7156-4A75-A625-EA862353A3D2}"/>
    <cellStyle name="Comma 10 3 7 3" xfId="3833" xr:uid="{EC03718D-FA27-4AD7-BAE6-4B2E50299121}"/>
    <cellStyle name="Comma 10 3 7 3 2" xfId="12905" xr:uid="{134FB6EE-4808-47FC-9C3C-1B04B8A891A1}"/>
    <cellStyle name="Comma 10 3 7 3 2 2" xfId="28025" xr:uid="{86E1BAC4-D228-46B1-AFCA-8D5BCA4474C5}"/>
    <cellStyle name="Comma 10 3 7 3 2 2 2" xfId="58265" xr:uid="{F91EFA9F-5025-4C61-864F-9D1948AE1943}"/>
    <cellStyle name="Comma 10 3 7 3 2 3" xfId="43145" xr:uid="{907B8674-3651-4E5D-A1AE-F5BFF6E184DB}"/>
    <cellStyle name="Comma 10 3 7 3 3" xfId="18953" xr:uid="{23726F74-A1F5-487A-8BA1-3C600B3E039A}"/>
    <cellStyle name="Comma 10 3 7 3 3 2" xfId="49193" xr:uid="{A9CDF70B-671E-4DBC-81FA-9B2127DED072}"/>
    <cellStyle name="Comma 10 3 7 3 4" xfId="34073" xr:uid="{FEFA01FC-BC34-4166-884D-560E669475AB}"/>
    <cellStyle name="Comma 10 3 7 4" xfId="5345" xr:uid="{6912A95F-9A38-4279-B76A-7449C496EF6D}"/>
    <cellStyle name="Comma 10 3 7 4 2" xfId="14417" xr:uid="{00C9A886-2B45-4422-B525-B78C5B7C354F}"/>
    <cellStyle name="Comma 10 3 7 4 2 2" xfId="29537" xr:uid="{2E00F1A7-EAC8-482D-9C9F-D80D06B44665}"/>
    <cellStyle name="Comma 10 3 7 4 2 2 2" xfId="59777" xr:uid="{CA6611F8-D5D3-4EF6-9EA6-CC014A883DF7}"/>
    <cellStyle name="Comma 10 3 7 4 2 3" xfId="44657" xr:uid="{0A85B3AD-EDB0-4002-984A-A37DD23F5A07}"/>
    <cellStyle name="Comma 10 3 7 4 3" xfId="20465" xr:uid="{DC21092E-735A-4A34-98C1-B681EED6386E}"/>
    <cellStyle name="Comma 10 3 7 4 3 2" xfId="50705" xr:uid="{5E079A14-8F26-41E0-B2A8-250FCDC6B0BE}"/>
    <cellStyle name="Comma 10 3 7 4 4" xfId="35585" xr:uid="{4695B19D-8903-4EC4-A8B3-ED48B6DC200B}"/>
    <cellStyle name="Comma 10 3 7 5" xfId="6857" xr:uid="{028D77B5-31FA-4198-A28A-03A9BCD0D2FC}"/>
    <cellStyle name="Comma 10 3 7 5 2" xfId="21977" xr:uid="{7D5CF1CB-E6BD-4F7A-BC11-688871C6F163}"/>
    <cellStyle name="Comma 10 3 7 5 2 2" xfId="52217" xr:uid="{A359233F-67E6-4922-90B8-60696F51B46C}"/>
    <cellStyle name="Comma 10 3 7 5 3" xfId="37097" xr:uid="{918EADBD-8B3F-4B4B-91A2-281B03344DAF}"/>
    <cellStyle name="Comma 10 3 7 6" xfId="8369" xr:uid="{C87E70C5-30B5-4F9B-9C6C-F5DB47FE9D2D}"/>
    <cellStyle name="Comma 10 3 7 6 2" xfId="23489" xr:uid="{085B491D-D4B8-49D5-B2C6-F38008AC9F7B}"/>
    <cellStyle name="Comma 10 3 7 6 2 2" xfId="53729" xr:uid="{1684E733-7779-4266-961A-904BA5AC1A0F}"/>
    <cellStyle name="Comma 10 3 7 6 3" xfId="38609" xr:uid="{719E7963-F491-4132-BD40-32C7D6FD3E58}"/>
    <cellStyle name="Comma 10 3 7 7" xfId="9881" xr:uid="{1D208BD4-4A09-4F06-8ADE-031F12C580D3}"/>
    <cellStyle name="Comma 10 3 7 7 2" xfId="25001" xr:uid="{7E7C4939-1CDB-433E-B557-54DB64BA7FC8}"/>
    <cellStyle name="Comma 10 3 7 7 2 2" xfId="55241" xr:uid="{97A56BC9-DFA8-4A8E-B817-6C2500F2333A}"/>
    <cellStyle name="Comma 10 3 7 7 3" xfId="40121" xr:uid="{641F8B52-52BD-44CA-9241-8B5829A0A600}"/>
    <cellStyle name="Comma 10 3 7 8" xfId="15929" xr:uid="{4AF4B562-001B-4B85-A433-D99CFD7AA4D6}"/>
    <cellStyle name="Comma 10 3 7 8 2" xfId="46169" xr:uid="{7177D35F-BB18-43AC-8830-EE02D20D9402}"/>
    <cellStyle name="Comma 10 3 7 9" xfId="31049" xr:uid="{2C711987-620D-4A5F-8B7C-9E0694DC3140}"/>
    <cellStyle name="Comma 10 3 8" xfId="1565" xr:uid="{D063903D-9E80-4DF8-BEAC-DAF2E2DCCDAF}"/>
    <cellStyle name="Comma 10 3 8 2" xfId="10637" xr:uid="{572240E6-7DA0-424C-A6C1-B4EC5E11B24A}"/>
    <cellStyle name="Comma 10 3 8 2 2" xfId="25757" xr:uid="{58713F1A-6675-4296-9C41-890A7AB5F1D4}"/>
    <cellStyle name="Comma 10 3 8 2 2 2" xfId="55997" xr:uid="{12B642B1-4F75-46D3-A619-3126632AD24F}"/>
    <cellStyle name="Comma 10 3 8 2 3" xfId="40877" xr:uid="{ABC056C1-20E5-4AB5-84EE-E255369D1479}"/>
    <cellStyle name="Comma 10 3 8 3" xfId="16685" xr:uid="{75A2EE65-20C2-4D3E-BA92-6D9EFCFEA206}"/>
    <cellStyle name="Comma 10 3 8 3 2" xfId="46925" xr:uid="{B87D0AF9-6E09-463A-92E5-7D550A9BE31C}"/>
    <cellStyle name="Comma 10 3 8 4" xfId="31805" xr:uid="{7CFA2B70-9212-4D44-B130-AEAB6CF05DB2}"/>
    <cellStyle name="Comma 10 3 9" xfId="3077" xr:uid="{0B6A85A1-222D-496B-A686-FCD60D502398}"/>
    <cellStyle name="Comma 10 3 9 2" xfId="12149" xr:uid="{2AF04952-FD3B-4523-9069-8AFEBE9DE26D}"/>
    <cellStyle name="Comma 10 3 9 2 2" xfId="27269" xr:uid="{EB57D8F8-B5B5-44BF-B2F1-158744C29371}"/>
    <cellStyle name="Comma 10 3 9 2 2 2" xfId="57509" xr:uid="{4E06F225-82AB-4024-8F7C-87326B19E255}"/>
    <cellStyle name="Comma 10 3 9 2 3" xfId="42389" xr:uid="{ED5CAACE-96B5-484E-8C1C-669B7F84F019}"/>
    <cellStyle name="Comma 10 3 9 3" xfId="18197" xr:uid="{1FB0A908-2526-4A15-8C03-E233D37EC4B6}"/>
    <cellStyle name="Comma 10 3 9 3 2" xfId="48437" xr:uid="{A52B45AC-9491-496A-AF14-6D8C3D3FE4F9}"/>
    <cellStyle name="Comma 10 3 9 4" xfId="33317" xr:uid="{1167B702-8C77-4FCE-95D8-7AC9F920C5C8}"/>
    <cellStyle name="Comma 10 4" xfId="67" xr:uid="{136508EB-38DC-4EE0-9914-1295BB268FEF}"/>
    <cellStyle name="Comma 10 4 10" xfId="6115" xr:uid="{B2380585-29A8-4985-855D-A235A10B6A46}"/>
    <cellStyle name="Comma 10 4 10 2" xfId="21235" xr:uid="{6BE9284B-8255-4710-A090-A949355CA020}"/>
    <cellStyle name="Comma 10 4 10 2 2" xfId="51475" xr:uid="{6EB90C44-881A-482C-A8B6-DE43DC831946}"/>
    <cellStyle name="Comma 10 4 10 3" xfId="36355" xr:uid="{BAB2440F-624D-4DFF-B81D-90FB15CCC92A}"/>
    <cellStyle name="Comma 10 4 11" xfId="7627" xr:uid="{A6CD5E25-6BB6-48F6-9CE2-247CDFF16295}"/>
    <cellStyle name="Comma 10 4 11 2" xfId="22747" xr:uid="{8EB1A0B7-9688-4C16-A1F5-7AD7917E60DB}"/>
    <cellStyle name="Comma 10 4 11 2 2" xfId="52987" xr:uid="{9905E4F6-781E-43C3-97D0-887CB96F2F43}"/>
    <cellStyle name="Comma 10 4 11 3" xfId="37867" xr:uid="{679C7091-7E22-4313-B595-BDF8B7F08EBE}"/>
    <cellStyle name="Comma 10 4 12" xfId="9139" xr:uid="{3558C2BF-5179-43B4-8F07-A945F9F4B637}"/>
    <cellStyle name="Comma 10 4 12 2" xfId="24259" xr:uid="{26BD3761-1B9F-4021-80C8-B8BAF99A13E2}"/>
    <cellStyle name="Comma 10 4 12 2 2" xfId="54499" xr:uid="{D40BA82F-345D-4249-A0F3-4782A66DC1B9}"/>
    <cellStyle name="Comma 10 4 12 3" xfId="39379" xr:uid="{1CD75635-FE97-4096-A1D3-AB17E5508D27}"/>
    <cellStyle name="Comma 10 4 13" xfId="15187" xr:uid="{463AA83C-B683-4177-8E98-075350772E1A}"/>
    <cellStyle name="Comma 10 4 13 2" xfId="45427" xr:uid="{19BE352D-9475-4E3C-8700-03A0A7E76D01}"/>
    <cellStyle name="Comma 10 4 14" xfId="30307" xr:uid="{8032FB84-3007-4FF6-8A2F-CB0AFF5FA47E}"/>
    <cellStyle name="Comma 10 4 2" xfId="151" xr:uid="{4A16CD18-4B50-4053-86BF-CCA982A2604A}"/>
    <cellStyle name="Comma 10 4 2 10" xfId="9223" xr:uid="{1B2A8F1A-4B02-4B8F-82E7-9AE84BE5B2B0}"/>
    <cellStyle name="Comma 10 4 2 10 2" xfId="24343" xr:uid="{7AB449E7-F2E7-4DD6-AC94-5A93A38719F8}"/>
    <cellStyle name="Comma 10 4 2 10 2 2" xfId="54583" xr:uid="{741EC305-D092-48F5-B825-B7888D8CBD23}"/>
    <cellStyle name="Comma 10 4 2 10 3" xfId="39463" xr:uid="{067CD27F-E02C-41D8-8050-BACE81CB2A2C}"/>
    <cellStyle name="Comma 10 4 2 11" xfId="15271" xr:uid="{72393DF6-57D9-49CC-B584-8B1EB26A3803}"/>
    <cellStyle name="Comma 10 4 2 11 2" xfId="45511" xr:uid="{DF3EAA1E-B1B7-4C50-88B0-50913481F500}"/>
    <cellStyle name="Comma 10 4 2 12" xfId="30391" xr:uid="{CF796E11-DC0C-478B-A21A-0D6EDEB34675}"/>
    <cellStyle name="Comma 10 4 2 2" xfId="403" xr:uid="{AFB75C0E-B56B-40D1-8EB3-EF34EC4E2127}"/>
    <cellStyle name="Comma 10 4 2 2 10" xfId="30643" xr:uid="{BA074582-10AF-47F3-9EC9-304B9A49E126}"/>
    <cellStyle name="Comma 10 4 2 2 2" xfId="1159" xr:uid="{B6E9DF00-C0D0-4819-AC28-327EC4B52F68}"/>
    <cellStyle name="Comma 10 4 2 2 2 2" xfId="2671" xr:uid="{C4CB51F8-9D6F-4E5A-8126-05E3DD66253F}"/>
    <cellStyle name="Comma 10 4 2 2 2 2 2" xfId="11743" xr:uid="{6D941532-794E-4874-842B-1F39C2FC9792}"/>
    <cellStyle name="Comma 10 4 2 2 2 2 2 2" xfId="26863" xr:uid="{0D7C0BCA-4442-41D8-93FF-F739E3C8F042}"/>
    <cellStyle name="Comma 10 4 2 2 2 2 2 2 2" xfId="57103" xr:uid="{9228BADB-0A69-4C3F-BB5D-7888208BFAA6}"/>
    <cellStyle name="Comma 10 4 2 2 2 2 2 3" xfId="41983" xr:uid="{1CA2F169-F64D-4E48-A8FA-0F6DF9CE4315}"/>
    <cellStyle name="Comma 10 4 2 2 2 2 3" xfId="17791" xr:uid="{DAC03F96-B076-4503-8CB3-F36128BDE83E}"/>
    <cellStyle name="Comma 10 4 2 2 2 2 3 2" xfId="48031" xr:uid="{4DDD5F34-0BB7-468D-835F-00C2E504B429}"/>
    <cellStyle name="Comma 10 4 2 2 2 2 4" xfId="32911" xr:uid="{3BC9AC40-E6A7-45CF-8911-36A46D7F0F6A}"/>
    <cellStyle name="Comma 10 4 2 2 2 3" xfId="4183" xr:uid="{84C67A8D-0147-4D06-B17A-313CC8D8280F}"/>
    <cellStyle name="Comma 10 4 2 2 2 3 2" xfId="13255" xr:uid="{BC532F5C-0EA3-4400-BF6B-F2A2D3F5AF4D}"/>
    <cellStyle name="Comma 10 4 2 2 2 3 2 2" xfId="28375" xr:uid="{E58DC072-CB4B-4146-ABB9-540238F8D4E6}"/>
    <cellStyle name="Comma 10 4 2 2 2 3 2 2 2" xfId="58615" xr:uid="{11645FEB-0EFE-4CF6-A5D5-E6786653EB36}"/>
    <cellStyle name="Comma 10 4 2 2 2 3 2 3" xfId="43495" xr:uid="{6107AC60-F361-4CD0-AAC7-6F5759987668}"/>
    <cellStyle name="Comma 10 4 2 2 2 3 3" xfId="19303" xr:uid="{F431B9D3-F7DD-47B4-97AD-D61031C20231}"/>
    <cellStyle name="Comma 10 4 2 2 2 3 3 2" xfId="49543" xr:uid="{754F3DED-8671-4707-88FE-B1AF99A29302}"/>
    <cellStyle name="Comma 10 4 2 2 2 3 4" xfId="34423" xr:uid="{FDA80AF4-86FD-4F2E-885A-789120EB27D4}"/>
    <cellStyle name="Comma 10 4 2 2 2 4" xfId="5695" xr:uid="{16DCBE79-2AD1-4E6B-9C6C-282792CD630F}"/>
    <cellStyle name="Comma 10 4 2 2 2 4 2" xfId="14767" xr:uid="{84650095-B586-47F7-AD03-22BA5D90DB29}"/>
    <cellStyle name="Comma 10 4 2 2 2 4 2 2" xfId="29887" xr:uid="{77B4641B-9F1F-4048-8964-95809EB693CB}"/>
    <cellStyle name="Comma 10 4 2 2 2 4 2 2 2" xfId="60127" xr:uid="{C67062A2-5C6E-4651-8334-511035F102A1}"/>
    <cellStyle name="Comma 10 4 2 2 2 4 2 3" xfId="45007" xr:uid="{BB6F83E0-D2AC-496B-99CA-E1D2C3D10A7A}"/>
    <cellStyle name="Comma 10 4 2 2 2 4 3" xfId="20815" xr:uid="{3E928545-E629-4627-8EB3-179DF7874E5A}"/>
    <cellStyle name="Comma 10 4 2 2 2 4 3 2" xfId="51055" xr:uid="{7AFA3CCD-CAD6-4DBC-88E1-33D895E95E53}"/>
    <cellStyle name="Comma 10 4 2 2 2 4 4" xfId="35935" xr:uid="{A67DF86B-74EC-493B-B14E-AC6D3116877E}"/>
    <cellStyle name="Comma 10 4 2 2 2 5" xfId="7207" xr:uid="{DACEB89D-F619-4A6D-93C9-4A28C743846D}"/>
    <cellStyle name="Comma 10 4 2 2 2 5 2" xfId="22327" xr:uid="{B78E7884-E2C1-4024-A9EE-A4DB0AB0EAB0}"/>
    <cellStyle name="Comma 10 4 2 2 2 5 2 2" xfId="52567" xr:uid="{21E41B52-8B4B-49CF-8182-9627C396450A}"/>
    <cellStyle name="Comma 10 4 2 2 2 5 3" xfId="37447" xr:uid="{2590BC93-F664-4F92-9D0F-B2A2178864BD}"/>
    <cellStyle name="Comma 10 4 2 2 2 6" xfId="8719" xr:uid="{D1B02617-5EDD-4194-BDB5-EDC9777B48C8}"/>
    <cellStyle name="Comma 10 4 2 2 2 6 2" xfId="23839" xr:uid="{4DC76DE6-96C8-4239-9366-D148EB447094}"/>
    <cellStyle name="Comma 10 4 2 2 2 6 2 2" xfId="54079" xr:uid="{B8025AC8-F9EC-463D-9143-2F02918725C7}"/>
    <cellStyle name="Comma 10 4 2 2 2 6 3" xfId="38959" xr:uid="{630F5964-9607-4162-8D94-3D43BF010A23}"/>
    <cellStyle name="Comma 10 4 2 2 2 7" xfId="10231" xr:uid="{3622A9CA-DD8C-4043-AD95-E96F1CAA0272}"/>
    <cellStyle name="Comma 10 4 2 2 2 7 2" xfId="25351" xr:uid="{3B313266-6A47-4B88-9E24-4C38F848DFBA}"/>
    <cellStyle name="Comma 10 4 2 2 2 7 2 2" xfId="55591" xr:uid="{0A5BA5E0-BF83-46E1-A3C1-720D497721A0}"/>
    <cellStyle name="Comma 10 4 2 2 2 7 3" xfId="40471" xr:uid="{B08CA285-A702-4171-857F-C85DEF83F7B7}"/>
    <cellStyle name="Comma 10 4 2 2 2 8" xfId="16279" xr:uid="{42605F47-2580-4CA0-BF25-7136CBB05118}"/>
    <cellStyle name="Comma 10 4 2 2 2 8 2" xfId="46519" xr:uid="{033EC7AB-CB74-4A56-BD55-8A4EA4E45E4B}"/>
    <cellStyle name="Comma 10 4 2 2 2 9" xfId="31399" xr:uid="{289DE5C6-43C4-41DF-8A1F-2B4D1FE735F5}"/>
    <cellStyle name="Comma 10 4 2 2 3" xfId="1915" xr:uid="{7E62ED97-E0E4-4D1D-8289-5CC2DD306FE0}"/>
    <cellStyle name="Comma 10 4 2 2 3 2" xfId="10987" xr:uid="{E3C8C965-2DF2-48F8-BDD8-8DAFEB8CA641}"/>
    <cellStyle name="Comma 10 4 2 2 3 2 2" xfId="26107" xr:uid="{DD1B7B19-5345-42FE-AD93-00C2435DFA27}"/>
    <cellStyle name="Comma 10 4 2 2 3 2 2 2" xfId="56347" xr:uid="{EB5F4961-A3D4-4D5B-8AE9-25E0672B7E01}"/>
    <cellStyle name="Comma 10 4 2 2 3 2 3" xfId="41227" xr:uid="{FBAB4D1F-D6AC-4E5B-A9A6-5567752BF159}"/>
    <cellStyle name="Comma 10 4 2 2 3 3" xfId="17035" xr:uid="{D52723E0-A01E-4937-9028-A4039D5AA5C8}"/>
    <cellStyle name="Comma 10 4 2 2 3 3 2" xfId="47275" xr:uid="{283EA347-A2D6-454C-953E-7338F945D94C}"/>
    <cellStyle name="Comma 10 4 2 2 3 4" xfId="32155" xr:uid="{B8FA18C9-436C-489A-AEA8-B0B945049926}"/>
    <cellStyle name="Comma 10 4 2 2 4" xfId="3427" xr:uid="{612625D3-5127-4BF9-B3CC-7D22451B30FB}"/>
    <cellStyle name="Comma 10 4 2 2 4 2" xfId="12499" xr:uid="{44B8DECD-94F5-44CD-BB6F-E94A955200C0}"/>
    <cellStyle name="Comma 10 4 2 2 4 2 2" xfId="27619" xr:uid="{4E02A45F-2D0B-45A0-9C7C-3D2386F3AACF}"/>
    <cellStyle name="Comma 10 4 2 2 4 2 2 2" xfId="57859" xr:uid="{F4DB10AC-7EB9-49D2-A485-F6561E33967A}"/>
    <cellStyle name="Comma 10 4 2 2 4 2 3" xfId="42739" xr:uid="{0EAF2D5A-FA47-48E4-9C55-27251F2A648F}"/>
    <cellStyle name="Comma 10 4 2 2 4 3" xfId="18547" xr:uid="{EE840240-F392-4844-BB62-C2E1187243A2}"/>
    <cellStyle name="Comma 10 4 2 2 4 3 2" xfId="48787" xr:uid="{3CCE5C8D-6EEB-4F3E-B2F2-CF4E84CC41D8}"/>
    <cellStyle name="Comma 10 4 2 2 4 4" xfId="33667" xr:uid="{D1BFB619-DD53-4297-B842-5DDAC52D0207}"/>
    <cellStyle name="Comma 10 4 2 2 5" xfId="4939" xr:uid="{B0B2E52D-8933-4CEF-9305-05936C1E6C2A}"/>
    <cellStyle name="Comma 10 4 2 2 5 2" xfId="14011" xr:uid="{514D38A2-01BC-410D-BD47-1BFFE4CDB5DF}"/>
    <cellStyle name="Comma 10 4 2 2 5 2 2" xfId="29131" xr:uid="{662D979C-D1D2-4C7C-9C22-994EBEE5A827}"/>
    <cellStyle name="Comma 10 4 2 2 5 2 2 2" xfId="59371" xr:uid="{6DDC2890-CDEA-44C3-AE92-C06C5496E5EB}"/>
    <cellStyle name="Comma 10 4 2 2 5 2 3" xfId="44251" xr:uid="{B5CAA095-B119-448A-A9FD-5E304F081F71}"/>
    <cellStyle name="Comma 10 4 2 2 5 3" xfId="20059" xr:uid="{0EB6857A-AC87-4B96-A6A5-06AE88C64234}"/>
    <cellStyle name="Comma 10 4 2 2 5 3 2" xfId="50299" xr:uid="{33E0080E-F614-4B5C-92E5-705E966FED1C}"/>
    <cellStyle name="Comma 10 4 2 2 5 4" xfId="35179" xr:uid="{B335CAC4-BA6D-4D9B-86B1-5615ED7C8CF0}"/>
    <cellStyle name="Comma 10 4 2 2 6" xfId="6451" xr:uid="{FB926682-E692-432E-91AB-838269A8E4B5}"/>
    <cellStyle name="Comma 10 4 2 2 6 2" xfId="21571" xr:uid="{30C34832-B3FD-4A45-B2F3-9032F3EB2AAE}"/>
    <cellStyle name="Comma 10 4 2 2 6 2 2" xfId="51811" xr:uid="{6A00ABCD-70DB-4BFA-A8DE-AACBF9B4C1FB}"/>
    <cellStyle name="Comma 10 4 2 2 6 3" xfId="36691" xr:uid="{4B83695C-FE1B-4FBA-8128-EF6AB7FBCEFD}"/>
    <cellStyle name="Comma 10 4 2 2 7" xfId="7963" xr:uid="{B428193F-CBD9-408D-A655-EF831BBA6CE0}"/>
    <cellStyle name="Comma 10 4 2 2 7 2" xfId="23083" xr:uid="{E150B9F7-F4EA-4D37-987B-3313665B3876}"/>
    <cellStyle name="Comma 10 4 2 2 7 2 2" xfId="53323" xr:uid="{F44FE4BA-F395-4C57-ACDE-5F7F2225BED7}"/>
    <cellStyle name="Comma 10 4 2 2 7 3" xfId="38203" xr:uid="{A92308D8-D8C5-4B31-8193-F1C3F1BF08B0}"/>
    <cellStyle name="Comma 10 4 2 2 8" xfId="9475" xr:uid="{47EBCCE7-0F5C-4477-A2EC-A607B1E845FF}"/>
    <cellStyle name="Comma 10 4 2 2 8 2" xfId="24595" xr:uid="{E9604850-5A88-471A-A884-BC74CD61F738}"/>
    <cellStyle name="Comma 10 4 2 2 8 2 2" xfId="54835" xr:uid="{2107A93C-1791-4128-8828-37602CCEFE7E}"/>
    <cellStyle name="Comma 10 4 2 2 8 3" xfId="39715" xr:uid="{BD2008E9-2E8F-4B6C-959F-E8D68B200E35}"/>
    <cellStyle name="Comma 10 4 2 2 9" xfId="15523" xr:uid="{C9969E06-5063-4232-8436-3C45C79838F3}"/>
    <cellStyle name="Comma 10 4 2 2 9 2" xfId="45763" xr:uid="{01FA82EB-86A7-48A5-90D6-0B1279CBF380}"/>
    <cellStyle name="Comma 10 4 2 3" xfId="655" xr:uid="{D43D4A0F-2B9A-4C95-8B18-AA72BC7143DF}"/>
    <cellStyle name="Comma 10 4 2 3 10" xfId="30895" xr:uid="{86F68242-9150-4364-A423-04487FD0B811}"/>
    <cellStyle name="Comma 10 4 2 3 2" xfId="1411" xr:uid="{79881684-18B1-4723-868E-E3ABB05777DE}"/>
    <cellStyle name="Comma 10 4 2 3 2 2" xfId="2923" xr:uid="{9E53192C-9948-4613-9245-82AD12E6384F}"/>
    <cellStyle name="Comma 10 4 2 3 2 2 2" xfId="11995" xr:uid="{36382E3E-842C-448F-8B28-493876B52B6E}"/>
    <cellStyle name="Comma 10 4 2 3 2 2 2 2" xfId="27115" xr:uid="{34E7DB14-544B-42F7-B0F9-2B4C2D83031B}"/>
    <cellStyle name="Comma 10 4 2 3 2 2 2 2 2" xfId="57355" xr:uid="{8DB3A1C3-304F-4DA0-8760-03989C815BE5}"/>
    <cellStyle name="Comma 10 4 2 3 2 2 2 3" xfId="42235" xr:uid="{DF9C7F61-3C75-4B2F-A862-2C77DBBFD350}"/>
    <cellStyle name="Comma 10 4 2 3 2 2 3" xfId="18043" xr:uid="{C741A3E6-5C3F-4B2C-ACBF-B0C0A0E0D5A4}"/>
    <cellStyle name="Comma 10 4 2 3 2 2 3 2" xfId="48283" xr:uid="{2131C9F5-F13F-4AA8-8F7E-441701A631E1}"/>
    <cellStyle name="Comma 10 4 2 3 2 2 4" xfId="33163" xr:uid="{F6D70728-E877-41A7-B213-2ECCE61213C8}"/>
    <cellStyle name="Comma 10 4 2 3 2 3" xfId="4435" xr:uid="{FE19212D-AB14-4B53-AC13-3FD6375CF86A}"/>
    <cellStyle name="Comma 10 4 2 3 2 3 2" xfId="13507" xr:uid="{407C0DF6-9A19-4B80-9AB7-94B5055C3288}"/>
    <cellStyle name="Comma 10 4 2 3 2 3 2 2" xfId="28627" xr:uid="{648D8E03-C83F-4A6E-A798-51175CCE3B7C}"/>
    <cellStyle name="Comma 10 4 2 3 2 3 2 2 2" xfId="58867" xr:uid="{E9A4ACDC-461D-400F-B3EA-5A0406F25B9F}"/>
    <cellStyle name="Comma 10 4 2 3 2 3 2 3" xfId="43747" xr:uid="{86C9EDEE-9065-40A2-9D5A-3964BDFDBD18}"/>
    <cellStyle name="Comma 10 4 2 3 2 3 3" xfId="19555" xr:uid="{E4D71BEA-1863-44EE-8013-48CA5E86D2E3}"/>
    <cellStyle name="Comma 10 4 2 3 2 3 3 2" xfId="49795" xr:uid="{585282E3-DE2A-4199-8435-80848F8E07E2}"/>
    <cellStyle name="Comma 10 4 2 3 2 3 4" xfId="34675" xr:uid="{B380675A-A39A-47CD-A73E-1E23613A7B8A}"/>
    <cellStyle name="Comma 10 4 2 3 2 4" xfId="5947" xr:uid="{B4F5C702-BDBB-4B8E-8198-2BD7B7251EC7}"/>
    <cellStyle name="Comma 10 4 2 3 2 4 2" xfId="15019" xr:uid="{A95AB39E-2FEE-40E0-ADF1-237E349094DE}"/>
    <cellStyle name="Comma 10 4 2 3 2 4 2 2" xfId="30139" xr:uid="{B4A86201-29FB-4953-8557-3C6BB983FF09}"/>
    <cellStyle name="Comma 10 4 2 3 2 4 2 2 2" xfId="60379" xr:uid="{F4532720-A48C-41DC-8B87-36025A47CD50}"/>
    <cellStyle name="Comma 10 4 2 3 2 4 2 3" xfId="45259" xr:uid="{69FD8FF2-09B0-4C64-8313-318D7DD4102D}"/>
    <cellStyle name="Comma 10 4 2 3 2 4 3" xfId="21067" xr:uid="{4C1C00BA-7BA5-47E9-B0B9-00FC7713AE52}"/>
    <cellStyle name="Comma 10 4 2 3 2 4 3 2" xfId="51307" xr:uid="{FC0639DB-094F-4236-9AE1-984BD939A6C9}"/>
    <cellStyle name="Comma 10 4 2 3 2 4 4" xfId="36187" xr:uid="{A525FD0B-8CFD-4CF8-9E21-E6F9D3D24369}"/>
    <cellStyle name="Comma 10 4 2 3 2 5" xfId="7459" xr:uid="{8B2337FD-FDA3-4604-8DF4-1C328ACA577E}"/>
    <cellStyle name="Comma 10 4 2 3 2 5 2" xfId="22579" xr:uid="{C8DE3C20-24AC-4F4E-9DE2-7C845B0037D3}"/>
    <cellStyle name="Comma 10 4 2 3 2 5 2 2" xfId="52819" xr:uid="{9E4D7F60-3482-4B88-95B3-61D62B74EC03}"/>
    <cellStyle name="Comma 10 4 2 3 2 5 3" xfId="37699" xr:uid="{26BC2BFF-4F9B-4658-AD90-E2567455CE61}"/>
    <cellStyle name="Comma 10 4 2 3 2 6" xfId="8971" xr:uid="{D270312C-E225-40BE-A4D9-4CDAAFB491B7}"/>
    <cellStyle name="Comma 10 4 2 3 2 6 2" xfId="24091" xr:uid="{0956374C-03BA-4C14-868A-89EA686639FE}"/>
    <cellStyle name="Comma 10 4 2 3 2 6 2 2" xfId="54331" xr:uid="{CA5CD109-34A7-4883-9571-6DCEA241DCBF}"/>
    <cellStyle name="Comma 10 4 2 3 2 6 3" xfId="39211" xr:uid="{F0910BEE-6273-459C-9CCA-A9B8005BFC5B}"/>
    <cellStyle name="Comma 10 4 2 3 2 7" xfId="10483" xr:uid="{BB763919-BA6D-450A-828C-8DEFBA3EC617}"/>
    <cellStyle name="Comma 10 4 2 3 2 7 2" xfId="25603" xr:uid="{E62954E7-B0B1-476E-9F23-F076E347991C}"/>
    <cellStyle name="Comma 10 4 2 3 2 7 2 2" xfId="55843" xr:uid="{32E375AD-564F-47F8-84D2-0C6822A35921}"/>
    <cellStyle name="Comma 10 4 2 3 2 7 3" xfId="40723" xr:uid="{2DBD368F-437F-4612-A586-51A59F0BB4B2}"/>
    <cellStyle name="Comma 10 4 2 3 2 8" xfId="16531" xr:uid="{7DC8B3FC-E1E5-4177-886A-DD93CEE72547}"/>
    <cellStyle name="Comma 10 4 2 3 2 8 2" xfId="46771" xr:uid="{BDA07D48-58D3-4E4B-9368-E54FDBA665D5}"/>
    <cellStyle name="Comma 10 4 2 3 2 9" xfId="31651" xr:uid="{71D2C9AE-FB7D-42A1-B5BC-BD22D7905BB2}"/>
    <cellStyle name="Comma 10 4 2 3 3" xfId="2167" xr:uid="{92713BD7-1EC7-44AA-B302-D3DECF088E71}"/>
    <cellStyle name="Comma 10 4 2 3 3 2" xfId="11239" xr:uid="{2847E4EC-650F-45BA-9B5E-5AFD19DCA4CA}"/>
    <cellStyle name="Comma 10 4 2 3 3 2 2" xfId="26359" xr:uid="{EF9AD747-B75D-4398-93AD-1C8E07E849AC}"/>
    <cellStyle name="Comma 10 4 2 3 3 2 2 2" xfId="56599" xr:uid="{A4DB68BF-D604-40B9-A0BE-441CF428AF95}"/>
    <cellStyle name="Comma 10 4 2 3 3 2 3" xfId="41479" xr:uid="{1B28B3F5-B9A6-464A-8634-C90090CB49D2}"/>
    <cellStyle name="Comma 10 4 2 3 3 3" xfId="17287" xr:uid="{D4F9F03E-8A80-464A-BD21-09FD2ADEB3AA}"/>
    <cellStyle name="Comma 10 4 2 3 3 3 2" xfId="47527" xr:uid="{C3CD83BE-484E-4126-B753-467852C5C00B}"/>
    <cellStyle name="Comma 10 4 2 3 3 4" xfId="32407" xr:uid="{DB51CFD0-7586-4D1C-B581-F7FC1EB65307}"/>
    <cellStyle name="Comma 10 4 2 3 4" xfId="3679" xr:uid="{74BD6F72-5C60-469C-885E-0CD02CAB8B7E}"/>
    <cellStyle name="Comma 10 4 2 3 4 2" xfId="12751" xr:uid="{12A16E78-5474-4F4F-8298-96A433D0F691}"/>
    <cellStyle name="Comma 10 4 2 3 4 2 2" xfId="27871" xr:uid="{E294B339-01E9-4745-AE5C-9189B567A3C8}"/>
    <cellStyle name="Comma 10 4 2 3 4 2 2 2" xfId="58111" xr:uid="{A7B0F640-0C6D-4C76-8810-8C748A726167}"/>
    <cellStyle name="Comma 10 4 2 3 4 2 3" xfId="42991" xr:uid="{0EEF0CD4-4216-497F-8CF7-6C9949D0C00A}"/>
    <cellStyle name="Comma 10 4 2 3 4 3" xfId="18799" xr:uid="{342CB8B4-8A3D-42E9-BAA9-2371502F4AC3}"/>
    <cellStyle name="Comma 10 4 2 3 4 3 2" xfId="49039" xr:uid="{878EA189-2456-45AF-BE85-73D74B3C16B7}"/>
    <cellStyle name="Comma 10 4 2 3 4 4" xfId="33919" xr:uid="{6F3332CA-5463-4A4D-8FAA-48CB794C2FDB}"/>
    <cellStyle name="Comma 10 4 2 3 5" xfId="5191" xr:uid="{E5E9EA9A-5E6D-41F8-8D71-95D0861F8E4A}"/>
    <cellStyle name="Comma 10 4 2 3 5 2" xfId="14263" xr:uid="{3DB49956-2AAB-4953-9E50-9A0D464F89AC}"/>
    <cellStyle name="Comma 10 4 2 3 5 2 2" xfId="29383" xr:uid="{0064E9E4-F37C-47EF-B29F-09A1ECFBBD55}"/>
    <cellStyle name="Comma 10 4 2 3 5 2 2 2" xfId="59623" xr:uid="{B5EAB93D-0579-406B-B1DA-0DA28600282B}"/>
    <cellStyle name="Comma 10 4 2 3 5 2 3" xfId="44503" xr:uid="{696F552B-7C3F-4D88-A05A-37F0EFADA0AC}"/>
    <cellStyle name="Comma 10 4 2 3 5 3" xfId="20311" xr:uid="{DF7C42D0-5C43-4780-AA5E-692FCC30F622}"/>
    <cellStyle name="Comma 10 4 2 3 5 3 2" xfId="50551" xr:uid="{95B56556-D0C8-4163-9763-82325275A072}"/>
    <cellStyle name="Comma 10 4 2 3 5 4" xfId="35431" xr:uid="{D9A28D26-4DF2-45F7-9D09-6FCE4C49682E}"/>
    <cellStyle name="Comma 10 4 2 3 6" xfId="6703" xr:uid="{8F0D3667-63CB-483A-BF44-85EE29E6D968}"/>
    <cellStyle name="Comma 10 4 2 3 6 2" xfId="21823" xr:uid="{4E282D27-06AF-4082-A7D5-37CCB7F39FA8}"/>
    <cellStyle name="Comma 10 4 2 3 6 2 2" xfId="52063" xr:uid="{C85139FA-3D30-4994-B5FF-103E3F76BFA4}"/>
    <cellStyle name="Comma 10 4 2 3 6 3" xfId="36943" xr:uid="{EA6098E9-8687-4E72-8442-E7B36A5569CB}"/>
    <cellStyle name="Comma 10 4 2 3 7" xfId="8215" xr:uid="{02B7C594-AC34-4FD6-809B-DE41B6DFBB72}"/>
    <cellStyle name="Comma 10 4 2 3 7 2" xfId="23335" xr:uid="{FE7A69AC-95A5-425A-900E-73DCAA569B36}"/>
    <cellStyle name="Comma 10 4 2 3 7 2 2" xfId="53575" xr:uid="{0D755C71-9C0B-446D-946D-CACB14CD6AF4}"/>
    <cellStyle name="Comma 10 4 2 3 7 3" xfId="38455" xr:uid="{F3C0D669-DEC5-4C58-BFF6-61F849FE0377}"/>
    <cellStyle name="Comma 10 4 2 3 8" xfId="9727" xr:uid="{2BE4D7B1-AAB0-456C-804E-7E11CB8F3E0A}"/>
    <cellStyle name="Comma 10 4 2 3 8 2" xfId="24847" xr:uid="{ABF40E26-3556-4852-B547-399204D0A21B}"/>
    <cellStyle name="Comma 10 4 2 3 8 2 2" xfId="55087" xr:uid="{CB44B201-7F2A-4272-914A-139FE014D9E7}"/>
    <cellStyle name="Comma 10 4 2 3 8 3" xfId="39967" xr:uid="{F0737C2D-5C20-481F-84C6-6BADBBED6631}"/>
    <cellStyle name="Comma 10 4 2 3 9" xfId="15775" xr:uid="{700474A7-4A20-45DB-902C-9C74154274BF}"/>
    <cellStyle name="Comma 10 4 2 3 9 2" xfId="46015" xr:uid="{D7936536-4980-4C6E-BC63-561F8A6E609B}"/>
    <cellStyle name="Comma 10 4 2 4" xfId="907" xr:uid="{601DDF47-D8A9-4C42-985F-B644251A1B04}"/>
    <cellStyle name="Comma 10 4 2 4 2" xfId="2419" xr:uid="{8E9D679B-7896-46F3-972F-9FB54E24067D}"/>
    <cellStyle name="Comma 10 4 2 4 2 2" xfId="11491" xr:uid="{F0DBFEFA-10EF-454E-BCD7-3A562DEF4613}"/>
    <cellStyle name="Comma 10 4 2 4 2 2 2" xfId="26611" xr:uid="{B455F679-D937-4413-9088-DEC38B5C9DB6}"/>
    <cellStyle name="Comma 10 4 2 4 2 2 2 2" xfId="56851" xr:uid="{8B7133E0-D088-47AF-B072-4A7030F98551}"/>
    <cellStyle name="Comma 10 4 2 4 2 2 3" xfId="41731" xr:uid="{DD419339-5BC7-4704-92B3-2D17DCB088B8}"/>
    <cellStyle name="Comma 10 4 2 4 2 3" xfId="17539" xr:uid="{18111E7B-ED5D-4DDF-970C-1A3A3F2A3B06}"/>
    <cellStyle name="Comma 10 4 2 4 2 3 2" xfId="47779" xr:uid="{CD1B27CD-ADFD-4F95-B033-995FB27C7CB1}"/>
    <cellStyle name="Comma 10 4 2 4 2 4" xfId="32659" xr:uid="{37940F38-8226-4837-9C88-5CD24EF731BF}"/>
    <cellStyle name="Comma 10 4 2 4 3" xfId="3931" xr:uid="{B1D46B29-CA4B-46BA-86C6-470C1BFF2D16}"/>
    <cellStyle name="Comma 10 4 2 4 3 2" xfId="13003" xr:uid="{F345F98F-9B15-4D5A-B31B-FA5CB9A7A6AA}"/>
    <cellStyle name="Comma 10 4 2 4 3 2 2" xfId="28123" xr:uid="{A9EDA665-412E-462B-A9EF-B297456BC5B1}"/>
    <cellStyle name="Comma 10 4 2 4 3 2 2 2" xfId="58363" xr:uid="{9799D673-0F64-4D30-86E6-F070E4354803}"/>
    <cellStyle name="Comma 10 4 2 4 3 2 3" xfId="43243" xr:uid="{5E58134C-CF9E-445E-BAB5-28F944E820A8}"/>
    <cellStyle name="Comma 10 4 2 4 3 3" xfId="19051" xr:uid="{A34A1BA7-6429-446E-A20F-0F062804A736}"/>
    <cellStyle name="Comma 10 4 2 4 3 3 2" xfId="49291" xr:uid="{35D66194-73EF-42E5-8452-9F0C62472D74}"/>
    <cellStyle name="Comma 10 4 2 4 3 4" xfId="34171" xr:uid="{FBE8CBB2-E87E-4CF6-BE95-DB7D6314177C}"/>
    <cellStyle name="Comma 10 4 2 4 4" xfId="5443" xr:uid="{A107E000-6A90-4A70-A8B6-CE32A6806351}"/>
    <cellStyle name="Comma 10 4 2 4 4 2" xfId="14515" xr:uid="{5F17BBF1-0F0A-42A1-AF0D-02D4B523EF10}"/>
    <cellStyle name="Comma 10 4 2 4 4 2 2" xfId="29635" xr:uid="{BE3749C9-FBE6-41FB-831C-1A69AED27901}"/>
    <cellStyle name="Comma 10 4 2 4 4 2 2 2" xfId="59875" xr:uid="{E784C8A0-4E2D-42D2-8999-100543B5FE7B}"/>
    <cellStyle name="Comma 10 4 2 4 4 2 3" xfId="44755" xr:uid="{0F929852-1073-4052-98EE-99B6E2314247}"/>
    <cellStyle name="Comma 10 4 2 4 4 3" xfId="20563" xr:uid="{94310652-B00E-4E3C-97DF-973F6F10126E}"/>
    <cellStyle name="Comma 10 4 2 4 4 3 2" xfId="50803" xr:uid="{369A26D8-8A2A-42FE-B990-14F6D9D0BC26}"/>
    <cellStyle name="Comma 10 4 2 4 4 4" xfId="35683" xr:uid="{06051241-D27E-45B6-97CB-1F75EFDCC32C}"/>
    <cellStyle name="Comma 10 4 2 4 5" xfId="6955" xr:uid="{4E84F1DE-5541-4279-B460-E8B7978775A1}"/>
    <cellStyle name="Comma 10 4 2 4 5 2" xfId="22075" xr:uid="{B4C2278B-8DFE-41F8-937A-FF02B70B8A87}"/>
    <cellStyle name="Comma 10 4 2 4 5 2 2" xfId="52315" xr:uid="{CC51DB03-5ADB-464F-8E91-A7DB9BF75396}"/>
    <cellStyle name="Comma 10 4 2 4 5 3" xfId="37195" xr:uid="{CBA77CF5-C28B-400A-9AC7-CEADCB8A4BB9}"/>
    <cellStyle name="Comma 10 4 2 4 6" xfId="8467" xr:uid="{2EBDDD04-8297-41A3-9D1D-039C75D2A1C8}"/>
    <cellStyle name="Comma 10 4 2 4 6 2" xfId="23587" xr:uid="{B4D58CC0-F2F9-4222-9942-480C1E878B5F}"/>
    <cellStyle name="Comma 10 4 2 4 6 2 2" xfId="53827" xr:uid="{2802DC09-7F16-4498-96CF-9ABC7B6753B0}"/>
    <cellStyle name="Comma 10 4 2 4 6 3" xfId="38707" xr:uid="{82D5C009-6738-486A-8B7B-3037D7438637}"/>
    <cellStyle name="Comma 10 4 2 4 7" xfId="9979" xr:uid="{4D8A9691-3E1B-4350-B9CD-59112C8CEF0B}"/>
    <cellStyle name="Comma 10 4 2 4 7 2" xfId="25099" xr:uid="{A92B31FD-B4C5-4C92-A99A-096FD2CB744B}"/>
    <cellStyle name="Comma 10 4 2 4 7 2 2" xfId="55339" xr:uid="{E1996089-1883-4264-99CE-257F10ABD04A}"/>
    <cellStyle name="Comma 10 4 2 4 7 3" xfId="40219" xr:uid="{2197750A-6BA9-464E-8544-8DF93B66DA54}"/>
    <cellStyle name="Comma 10 4 2 4 8" xfId="16027" xr:uid="{B5A16E86-FD05-47FF-A821-1E411EAF46F6}"/>
    <cellStyle name="Comma 10 4 2 4 8 2" xfId="46267" xr:uid="{B2D9E59A-EC87-432E-8897-5572D6FD66AD}"/>
    <cellStyle name="Comma 10 4 2 4 9" xfId="31147" xr:uid="{F96B64A1-8150-48FB-A7EA-FCD50E300A03}"/>
    <cellStyle name="Comma 10 4 2 5" xfId="1663" xr:uid="{0A085185-6FF1-4A32-8E80-D55A12D04BF5}"/>
    <cellStyle name="Comma 10 4 2 5 2" xfId="10735" xr:uid="{021E8485-6F70-41A0-996B-8466C15AD175}"/>
    <cellStyle name="Comma 10 4 2 5 2 2" xfId="25855" xr:uid="{42A05DBC-B2FE-41D2-8AE7-FE2344CAA1A3}"/>
    <cellStyle name="Comma 10 4 2 5 2 2 2" xfId="56095" xr:uid="{82040CDE-16C9-4751-B1EC-D123C875DE04}"/>
    <cellStyle name="Comma 10 4 2 5 2 3" xfId="40975" xr:uid="{590D122E-EC8D-495A-A1B4-D73E30F42952}"/>
    <cellStyle name="Comma 10 4 2 5 3" xfId="16783" xr:uid="{2C73BA32-62E1-4344-BA7F-9716EB0BF006}"/>
    <cellStyle name="Comma 10 4 2 5 3 2" xfId="47023" xr:uid="{1A50E657-7AA4-419D-BEC6-64B297DF7DBD}"/>
    <cellStyle name="Comma 10 4 2 5 4" xfId="31903" xr:uid="{9458103A-B43A-42C0-A48E-F9776BD549A6}"/>
    <cellStyle name="Comma 10 4 2 6" xfId="3175" xr:uid="{4F80386E-31AE-41A8-AD55-143B371DEBD6}"/>
    <cellStyle name="Comma 10 4 2 6 2" xfId="12247" xr:uid="{5A6E5FAE-EA69-4055-AE9C-26BE2E9C3AF5}"/>
    <cellStyle name="Comma 10 4 2 6 2 2" xfId="27367" xr:uid="{D9A15B79-6A54-4812-BD2A-75BEB47DA556}"/>
    <cellStyle name="Comma 10 4 2 6 2 2 2" xfId="57607" xr:uid="{3104BEB8-5ECB-4832-941F-1C3B6161ECE6}"/>
    <cellStyle name="Comma 10 4 2 6 2 3" xfId="42487" xr:uid="{42F14855-359D-4906-934D-C8AACAB5CCE0}"/>
    <cellStyle name="Comma 10 4 2 6 3" xfId="18295" xr:uid="{F1405D6D-B3BA-4714-AD12-C3448C8288EF}"/>
    <cellStyle name="Comma 10 4 2 6 3 2" xfId="48535" xr:uid="{49C3B8ED-7A77-4A47-852F-B22F2FEB6BCA}"/>
    <cellStyle name="Comma 10 4 2 6 4" xfId="33415" xr:uid="{59660310-D3FB-44DE-9625-D3B42238CA36}"/>
    <cellStyle name="Comma 10 4 2 7" xfId="4687" xr:uid="{EBAE473C-4842-4A70-9BC5-C7745E1F2744}"/>
    <cellStyle name="Comma 10 4 2 7 2" xfId="13759" xr:uid="{02376436-544E-47E4-9077-CE03BC344EB1}"/>
    <cellStyle name="Comma 10 4 2 7 2 2" xfId="28879" xr:uid="{97EABEE6-0295-40AD-A8FE-123FBF558989}"/>
    <cellStyle name="Comma 10 4 2 7 2 2 2" xfId="59119" xr:uid="{F223DE4F-9D2E-4A38-8B24-839C27370489}"/>
    <cellStyle name="Comma 10 4 2 7 2 3" xfId="43999" xr:uid="{855ACB06-0371-446D-86B9-171743A88B45}"/>
    <cellStyle name="Comma 10 4 2 7 3" xfId="19807" xr:uid="{45E9F706-FE40-44A4-BE49-D208BEB29AF5}"/>
    <cellStyle name="Comma 10 4 2 7 3 2" xfId="50047" xr:uid="{616191F7-1AF5-4DED-BBD9-CA1B2315E2EC}"/>
    <cellStyle name="Comma 10 4 2 7 4" xfId="34927" xr:uid="{C7A8B457-FDB7-446D-B2DD-6BDE74A1F5B4}"/>
    <cellStyle name="Comma 10 4 2 8" xfId="6199" xr:uid="{FE4A82B6-87EE-4227-AFF8-BE36DCCBAB63}"/>
    <cellStyle name="Comma 10 4 2 8 2" xfId="21319" xr:uid="{E1213358-195A-4DAF-911D-84592BB9165F}"/>
    <cellStyle name="Comma 10 4 2 8 2 2" xfId="51559" xr:uid="{D6421C12-2BF3-4FAC-A497-273C1641FFC3}"/>
    <cellStyle name="Comma 10 4 2 8 3" xfId="36439" xr:uid="{514C99A5-227B-40EE-A3C3-F23210B6F08B}"/>
    <cellStyle name="Comma 10 4 2 9" xfId="7711" xr:uid="{6436432E-904A-4685-A448-29FEA95E74BA}"/>
    <cellStyle name="Comma 10 4 2 9 2" xfId="22831" xr:uid="{9E76EBDA-0AA7-418E-B844-823BA511B926}"/>
    <cellStyle name="Comma 10 4 2 9 2 2" xfId="53071" xr:uid="{BC184D0E-621C-49E8-8771-535E7EF6CCD9}"/>
    <cellStyle name="Comma 10 4 2 9 3" xfId="37951" xr:uid="{A42FC6E7-00E3-4ED4-862B-A2CAB066650C}"/>
    <cellStyle name="Comma 10 4 3" xfId="235" xr:uid="{03F865A6-3E99-42F0-8D79-9BB7226D2D9B}"/>
    <cellStyle name="Comma 10 4 3 10" xfId="9307" xr:uid="{F8CFFAE7-5B98-401A-AACD-514352584ECD}"/>
    <cellStyle name="Comma 10 4 3 10 2" xfId="24427" xr:uid="{453DF3D4-2A74-4E6A-904A-6D36E63023A7}"/>
    <cellStyle name="Comma 10 4 3 10 2 2" xfId="54667" xr:uid="{94723F34-7524-4960-8909-938A3CD200A0}"/>
    <cellStyle name="Comma 10 4 3 10 3" xfId="39547" xr:uid="{ABC457BE-217A-42BA-BC1D-F190A20EB302}"/>
    <cellStyle name="Comma 10 4 3 11" xfId="15355" xr:uid="{25D2A380-D1B4-4C17-B180-280BFC98E08D}"/>
    <cellStyle name="Comma 10 4 3 11 2" xfId="45595" xr:uid="{5CC61EF6-0641-464B-8AAC-C2D457C47567}"/>
    <cellStyle name="Comma 10 4 3 12" xfId="30475" xr:uid="{54C03176-171B-47CF-BB34-7BAD38820B8F}"/>
    <cellStyle name="Comma 10 4 3 2" xfId="487" xr:uid="{2E291413-2DD3-4B37-AF69-45AA1B7DDA3F}"/>
    <cellStyle name="Comma 10 4 3 2 10" xfId="30727" xr:uid="{6C16FB4E-1EBB-4960-AED5-B725A10C00F9}"/>
    <cellStyle name="Comma 10 4 3 2 2" xfId="1243" xr:uid="{A51F0931-D8C0-4CB7-A77C-0F71532FF9EF}"/>
    <cellStyle name="Comma 10 4 3 2 2 2" xfId="2755" xr:uid="{11F5B761-EB92-4953-837B-8EBE68D4EA5D}"/>
    <cellStyle name="Comma 10 4 3 2 2 2 2" xfId="11827" xr:uid="{0755D71A-1B09-4D85-A628-413FE6BE1ED4}"/>
    <cellStyle name="Comma 10 4 3 2 2 2 2 2" xfId="26947" xr:uid="{15046AD8-2D0A-43B0-9670-0691FFB50D09}"/>
    <cellStyle name="Comma 10 4 3 2 2 2 2 2 2" xfId="57187" xr:uid="{0807AE59-712B-402B-83AE-BE15F264E3FB}"/>
    <cellStyle name="Comma 10 4 3 2 2 2 2 3" xfId="42067" xr:uid="{016E70F7-34D7-485A-893C-B6E1DE9868FF}"/>
    <cellStyle name="Comma 10 4 3 2 2 2 3" xfId="17875" xr:uid="{8A7871C3-E522-48BF-B469-E9817BEB9811}"/>
    <cellStyle name="Comma 10 4 3 2 2 2 3 2" xfId="48115" xr:uid="{C823C79E-D4BD-4C4D-8560-13CE09E1339B}"/>
    <cellStyle name="Comma 10 4 3 2 2 2 4" xfId="32995" xr:uid="{EBCD66B7-A9DF-4BC7-B1EF-34263BC71966}"/>
    <cellStyle name="Comma 10 4 3 2 2 3" xfId="4267" xr:uid="{8EB2571C-FA7A-4932-9927-C98B120E737B}"/>
    <cellStyle name="Comma 10 4 3 2 2 3 2" xfId="13339" xr:uid="{83A6AB3A-9F72-40F7-B859-EB62DF2C5A26}"/>
    <cellStyle name="Comma 10 4 3 2 2 3 2 2" xfId="28459" xr:uid="{2E1279C7-9DE7-4300-BEE9-B2E81204A7E9}"/>
    <cellStyle name="Comma 10 4 3 2 2 3 2 2 2" xfId="58699" xr:uid="{31A5CC60-8FE2-49F8-A80C-8E185FF360BD}"/>
    <cellStyle name="Comma 10 4 3 2 2 3 2 3" xfId="43579" xr:uid="{CB7A4842-2D0B-4416-A4AD-71B0BFF89AB4}"/>
    <cellStyle name="Comma 10 4 3 2 2 3 3" xfId="19387" xr:uid="{58C8CAF5-2505-431E-9BE8-466069DF3F86}"/>
    <cellStyle name="Comma 10 4 3 2 2 3 3 2" xfId="49627" xr:uid="{90B3D589-D636-4568-AEF3-3D01556AB7C2}"/>
    <cellStyle name="Comma 10 4 3 2 2 3 4" xfId="34507" xr:uid="{BDC49CEC-1440-4398-BDB2-A040B3FE01F5}"/>
    <cellStyle name="Comma 10 4 3 2 2 4" xfId="5779" xr:uid="{6184C1D8-E933-44B2-91C3-82C4EFF01845}"/>
    <cellStyle name="Comma 10 4 3 2 2 4 2" xfId="14851" xr:uid="{94CB3EE7-7088-4F59-8EDD-5F66CDF2E70C}"/>
    <cellStyle name="Comma 10 4 3 2 2 4 2 2" xfId="29971" xr:uid="{DD2C52EC-ED29-4AD7-AB69-3F6A538926FB}"/>
    <cellStyle name="Comma 10 4 3 2 2 4 2 2 2" xfId="60211" xr:uid="{7920255D-1455-484F-AB9D-FD7C54526C67}"/>
    <cellStyle name="Comma 10 4 3 2 2 4 2 3" xfId="45091" xr:uid="{12D8CBC5-7544-4E10-8CCD-D92E234EC8E8}"/>
    <cellStyle name="Comma 10 4 3 2 2 4 3" xfId="20899" xr:uid="{BEECFD8A-3ED6-4DC6-BC29-FCA0DEEC63FB}"/>
    <cellStyle name="Comma 10 4 3 2 2 4 3 2" xfId="51139" xr:uid="{EE390216-3932-426F-8999-92C66FA064E9}"/>
    <cellStyle name="Comma 10 4 3 2 2 4 4" xfId="36019" xr:uid="{BDD348D1-F278-4043-8B83-8F2DD8DDA81F}"/>
    <cellStyle name="Comma 10 4 3 2 2 5" xfId="7291" xr:uid="{F12B76A1-84F7-418E-B6D3-EAC92665BF5E}"/>
    <cellStyle name="Comma 10 4 3 2 2 5 2" xfId="22411" xr:uid="{E97C964F-0AE3-4C93-9E76-1952DB9C066B}"/>
    <cellStyle name="Comma 10 4 3 2 2 5 2 2" xfId="52651" xr:uid="{F9DA9B13-1B1A-4C96-886C-3C38A73B4E98}"/>
    <cellStyle name="Comma 10 4 3 2 2 5 3" xfId="37531" xr:uid="{33ECD657-EE2C-4DF4-BE97-D65CA06552B9}"/>
    <cellStyle name="Comma 10 4 3 2 2 6" xfId="8803" xr:uid="{46E51817-F5C1-4A78-B09F-AA5A2CD9C99D}"/>
    <cellStyle name="Comma 10 4 3 2 2 6 2" xfId="23923" xr:uid="{25228DB2-8989-4773-A900-506CC3CCB8AE}"/>
    <cellStyle name="Comma 10 4 3 2 2 6 2 2" xfId="54163" xr:uid="{76652F7A-DEE4-4E0B-AFAF-578DC57AC5EE}"/>
    <cellStyle name="Comma 10 4 3 2 2 6 3" xfId="39043" xr:uid="{75B2DF8E-CD66-42FA-B73C-31E8233D7587}"/>
    <cellStyle name="Comma 10 4 3 2 2 7" xfId="10315" xr:uid="{3286E14E-2C90-4A13-8129-3843DEF045DB}"/>
    <cellStyle name="Comma 10 4 3 2 2 7 2" xfId="25435" xr:uid="{7211758F-AED0-4784-83A1-F66B62DA9D7C}"/>
    <cellStyle name="Comma 10 4 3 2 2 7 2 2" xfId="55675" xr:uid="{4D9AEB00-3E44-4BF5-B694-487C3384AE66}"/>
    <cellStyle name="Comma 10 4 3 2 2 7 3" xfId="40555" xr:uid="{B2B63BDF-EA31-4CA9-99B0-9F04FFFA416B}"/>
    <cellStyle name="Comma 10 4 3 2 2 8" xfId="16363" xr:uid="{0D3F6AA8-25B7-4DD1-8C9F-53C70268C9DC}"/>
    <cellStyle name="Comma 10 4 3 2 2 8 2" xfId="46603" xr:uid="{038D1CC2-D630-445C-9A69-EFC6ABF2BB13}"/>
    <cellStyle name="Comma 10 4 3 2 2 9" xfId="31483" xr:uid="{92B10127-280B-4ECB-B2DA-B26FF5CA5734}"/>
    <cellStyle name="Comma 10 4 3 2 3" xfId="1999" xr:uid="{9E7A7F9E-1D76-422F-B103-5A380045081E}"/>
    <cellStyle name="Comma 10 4 3 2 3 2" xfId="11071" xr:uid="{3B3BA6F7-B010-4D96-A424-80BAA1146B38}"/>
    <cellStyle name="Comma 10 4 3 2 3 2 2" xfId="26191" xr:uid="{D73356FB-8791-493B-8028-E7B192488087}"/>
    <cellStyle name="Comma 10 4 3 2 3 2 2 2" xfId="56431" xr:uid="{DDE5B7D8-8195-4675-A057-0957CF243AD5}"/>
    <cellStyle name="Comma 10 4 3 2 3 2 3" xfId="41311" xr:uid="{6F88B920-82A5-4448-8838-00B08147CA9B}"/>
    <cellStyle name="Comma 10 4 3 2 3 3" xfId="17119" xr:uid="{00A57EB6-0E1D-4A9F-A6BF-5C3A3788100A}"/>
    <cellStyle name="Comma 10 4 3 2 3 3 2" xfId="47359" xr:uid="{F2D0C191-EDD7-4164-827D-16F239D346B8}"/>
    <cellStyle name="Comma 10 4 3 2 3 4" xfId="32239" xr:uid="{E586FFA3-850D-400A-875E-215377D1E0B0}"/>
    <cellStyle name="Comma 10 4 3 2 4" xfId="3511" xr:uid="{2A6C2D43-DE67-4299-AB1C-52189E0F1AE4}"/>
    <cellStyle name="Comma 10 4 3 2 4 2" xfId="12583" xr:uid="{2F3C249A-2B30-4AD5-BAAB-E7AFB8A56AFB}"/>
    <cellStyle name="Comma 10 4 3 2 4 2 2" xfId="27703" xr:uid="{AD9890DE-3435-42DA-B016-534D6DE5F932}"/>
    <cellStyle name="Comma 10 4 3 2 4 2 2 2" xfId="57943" xr:uid="{88BE007C-D3E4-4806-9AFE-52EF597A8626}"/>
    <cellStyle name="Comma 10 4 3 2 4 2 3" xfId="42823" xr:uid="{03825FEE-22DC-4605-8C2E-5753E084CD18}"/>
    <cellStyle name="Comma 10 4 3 2 4 3" xfId="18631" xr:uid="{DC627CF0-D13E-48A9-8461-74FEBE6062A4}"/>
    <cellStyle name="Comma 10 4 3 2 4 3 2" xfId="48871" xr:uid="{702366C1-DA1F-480A-BF54-1F49041A5901}"/>
    <cellStyle name="Comma 10 4 3 2 4 4" xfId="33751" xr:uid="{7B306E49-2835-46A9-91DF-5CF668F0E9D5}"/>
    <cellStyle name="Comma 10 4 3 2 5" xfId="5023" xr:uid="{C0427642-EF6D-40ED-84A9-852A31085A57}"/>
    <cellStyle name="Comma 10 4 3 2 5 2" xfId="14095" xr:uid="{BDC78898-3647-47D1-8D9F-898BE0D667ED}"/>
    <cellStyle name="Comma 10 4 3 2 5 2 2" xfId="29215" xr:uid="{6A9FD252-EBE4-4975-8DD5-55E69E511F36}"/>
    <cellStyle name="Comma 10 4 3 2 5 2 2 2" xfId="59455" xr:uid="{3987A036-0A6C-46B8-8551-CB0E7399B7A2}"/>
    <cellStyle name="Comma 10 4 3 2 5 2 3" xfId="44335" xr:uid="{256A3363-76CE-4925-8CB6-182473910C28}"/>
    <cellStyle name="Comma 10 4 3 2 5 3" xfId="20143" xr:uid="{BE259BC4-29B9-4232-B6DC-2B497EFF315F}"/>
    <cellStyle name="Comma 10 4 3 2 5 3 2" xfId="50383" xr:uid="{CC370F28-945A-42C6-8C77-CC8C60E3963E}"/>
    <cellStyle name="Comma 10 4 3 2 5 4" xfId="35263" xr:uid="{3325C277-E579-4EC6-B299-DFB213F79302}"/>
    <cellStyle name="Comma 10 4 3 2 6" xfId="6535" xr:uid="{D15501F2-7F83-4095-8B98-F03B5BA706BF}"/>
    <cellStyle name="Comma 10 4 3 2 6 2" xfId="21655" xr:uid="{9C6460C2-0291-4275-B838-A16E2DDB5902}"/>
    <cellStyle name="Comma 10 4 3 2 6 2 2" xfId="51895" xr:uid="{3274BDA1-61CC-46CA-8BE0-735A76EB408B}"/>
    <cellStyle name="Comma 10 4 3 2 6 3" xfId="36775" xr:uid="{04A9156F-4B9C-4732-B925-CCB2A7612D0A}"/>
    <cellStyle name="Comma 10 4 3 2 7" xfId="8047" xr:uid="{7254AB91-4EB3-452E-A730-A2217D3B8681}"/>
    <cellStyle name="Comma 10 4 3 2 7 2" xfId="23167" xr:uid="{D6BE4F6F-96E8-44DF-9F9A-8013753258BB}"/>
    <cellStyle name="Comma 10 4 3 2 7 2 2" xfId="53407" xr:uid="{20176639-481F-4EA0-AB22-1936A246559F}"/>
    <cellStyle name="Comma 10 4 3 2 7 3" xfId="38287" xr:uid="{05E79F17-1DC3-41E1-8C37-1D30408FD3A0}"/>
    <cellStyle name="Comma 10 4 3 2 8" xfId="9559" xr:uid="{98395D89-F720-406F-89CE-A60E8B460FA3}"/>
    <cellStyle name="Comma 10 4 3 2 8 2" xfId="24679" xr:uid="{54E6F2EC-7FC4-4D7E-BCCE-8F21BD93797A}"/>
    <cellStyle name="Comma 10 4 3 2 8 2 2" xfId="54919" xr:uid="{A5AC6899-D792-4547-85F8-3F8ABA29B323}"/>
    <cellStyle name="Comma 10 4 3 2 8 3" xfId="39799" xr:uid="{104A0E26-E33C-4350-A1F7-2BF51F711FF1}"/>
    <cellStyle name="Comma 10 4 3 2 9" xfId="15607" xr:uid="{F9F4123A-8082-4FA1-B287-EA3B353770CA}"/>
    <cellStyle name="Comma 10 4 3 2 9 2" xfId="45847" xr:uid="{A1D968B1-9230-4D25-B534-1927115573DA}"/>
    <cellStyle name="Comma 10 4 3 3" xfId="739" xr:uid="{37239303-208B-42BE-8750-2D98178EBA83}"/>
    <cellStyle name="Comma 10 4 3 3 10" xfId="30979" xr:uid="{54EFCC17-7106-41E9-94B9-354D18707DA2}"/>
    <cellStyle name="Comma 10 4 3 3 2" xfId="1495" xr:uid="{AFACC505-13FA-4A1B-91ED-9B14E198E199}"/>
    <cellStyle name="Comma 10 4 3 3 2 2" xfId="3007" xr:uid="{C1DE01A2-E06C-4178-9C8A-E7FFF82762F3}"/>
    <cellStyle name="Comma 10 4 3 3 2 2 2" xfId="12079" xr:uid="{AB75774D-6383-4F67-8E23-25C25592883B}"/>
    <cellStyle name="Comma 10 4 3 3 2 2 2 2" xfId="27199" xr:uid="{DFD4BF12-B26E-44A5-A47E-C01B3E673467}"/>
    <cellStyle name="Comma 10 4 3 3 2 2 2 2 2" xfId="57439" xr:uid="{41A446FA-803A-459C-ACB2-975873DE59E4}"/>
    <cellStyle name="Comma 10 4 3 3 2 2 2 3" xfId="42319" xr:uid="{9DFA67D0-B186-4F35-8471-693CEA665FDA}"/>
    <cellStyle name="Comma 10 4 3 3 2 2 3" xfId="18127" xr:uid="{735DFB3E-3C1E-41F9-96A4-E40F4C1AD936}"/>
    <cellStyle name="Comma 10 4 3 3 2 2 3 2" xfId="48367" xr:uid="{DF15EDB8-8319-4C0D-A5F1-E31BCBF4BB68}"/>
    <cellStyle name="Comma 10 4 3 3 2 2 4" xfId="33247" xr:uid="{4E5B7EFD-3AEC-4C45-864D-F9CC581C159E}"/>
    <cellStyle name="Comma 10 4 3 3 2 3" xfId="4519" xr:uid="{CA96FA69-50CB-41B5-A442-1871526B7037}"/>
    <cellStyle name="Comma 10 4 3 3 2 3 2" xfId="13591" xr:uid="{80860A39-BA03-4273-B09F-962C6AA0C789}"/>
    <cellStyle name="Comma 10 4 3 3 2 3 2 2" xfId="28711" xr:uid="{DE02BD53-B505-4810-B813-1D67DBE94651}"/>
    <cellStyle name="Comma 10 4 3 3 2 3 2 2 2" xfId="58951" xr:uid="{D64D3DB1-453C-41CC-B465-D4969AE86184}"/>
    <cellStyle name="Comma 10 4 3 3 2 3 2 3" xfId="43831" xr:uid="{22E44BE3-6CFD-4770-9C51-B53996683996}"/>
    <cellStyle name="Comma 10 4 3 3 2 3 3" xfId="19639" xr:uid="{65E119A5-B21A-4718-97EE-995A22F95C5E}"/>
    <cellStyle name="Comma 10 4 3 3 2 3 3 2" xfId="49879" xr:uid="{AC0003AB-E5FE-41B4-861F-FE38EBD5070D}"/>
    <cellStyle name="Comma 10 4 3 3 2 3 4" xfId="34759" xr:uid="{6807DCD4-091F-46C6-943C-01B90BD277EE}"/>
    <cellStyle name="Comma 10 4 3 3 2 4" xfId="6031" xr:uid="{DBE993FA-F84E-4BA5-BEFE-EBE146414452}"/>
    <cellStyle name="Comma 10 4 3 3 2 4 2" xfId="15103" xr:uid="{D58A6EAC-151F-49CC-8B28-0B52864B0B26}"/>
    <cellStyle name="Comma 10 4 3 3 2 4 2 2" xfId="30223" xr:uid="{299CC1B8-D1A1-4D28-B33A-F57028EC89BF}"/>
    <cellStyle name="Comma 10 4 3 3 2 4 2 2 2" xfId="60463" xr:uid="{A3FDACF4-A825-4C75-87E9-F02AAF16D4AE}"/>
    <cellStyle name="Comma 10 4 3 3 2 4 2 3" xfId="45343" xr:uid="{1CE9AF74-7A82-407A-9166-408D6BAA5BF1}"/>
    <cellStyle name="Comma 10 4 3 3 2 4 3" xfId="21151" xr:uid="{A6BE9D09-A510-41C5-B7C6-917F9EF957B8}"/>
    <cellStyle name="Comma 10 4 3 3 2 4 3 2" xfId="51391" xr:uid="{F895096B-B5D4-4E95-A54E-C51E38F9C658}"/>
    <cellStyle name="Comma 10 4 3 3 2 4 4" xfId="36271" xr:uid="{450CA615-B059-4846-9730-E95E166AE124}"/>
    <cellStyle name="Comma 10 4 3 3 2 5" xfId="7543" xr:uid="{999058F9-D710-4E68-A003-CE3AC3606AA9}"/>
    <cellStyle name="Comma 10 4 3 3 2 5 2" xfId="22663" xr:uid="{C73DA395-9B35-475A-84AB-E262D67AF204}"/>
    <cellStyle name="Comma 10 4 3 3 2 5 2 2" xfId="52903" xr:uid="{DB64AC2E-514E-49C1-9D2C-0DE58CE066E7}"/>
    <cellStyle name="Comma 10 4 3 3 2 5 3" xfId="37783" xr:uid="{B42043CB-0596-4732-BA0F-8BC7FBFD88DA}"/>
    <cellStyle name="Comma 10 4 3 3 2 6" xfId="9055" xr:uid="{9EF23743-A74A-4582-8B28-8412D9816751}"/>
    <cellStyle name="Comma 10 4 3 3 2 6 2" xfId="24175" xr:uid="{54C63068-B4EB-4AA7-B5B9-7EA79A4202A5}"/>
    <cellStyle name="Comma 10 4 3 3 2 6 2 2" xfId="54415" xr:uid="{5E74DC08-2183-479D-9020-4E503864E3FA}"/>
    <cellStyle name="Comma 10 4 3 3 2 6 3" xfId="39295" xr:uid="{79D8394E-2C38-4AA0-80DB-62D58610CB43}"/>
    <cellStyle name="Comma 10 4 3 3 2 7" xfId="10567" xr:uid="{2B12DCB1-AFEF-4484-A262-51643004507C}"/>
    <cellStyle name="Comma 10 4 3 3 2 7 2" xfId="25687" xr:uid="{398D527C-FCE7-4CFC-B011-B677307E2701}"/>
    <cellStyle name="Comma 10 4 3 3 2 7 2 2" xfId="55927" xr:uid="{0D68A790-3E2E-40D4-B19D-CB9FCB5C390C}"/>
    <cellStyle name="Comma 10 4 3 3 2 7 3" xfId="40807" xr:uid="{8B64C41D-7E42-4E15-A80C-33F91223D866}"/>
    <cellStyle name="Comma 10 4 3 3 2 8" xfId="16615" xr:uid="{9BBED71A-F4A9-4010-B53C-CC2AED714123}"/>
    <cellStyle name="Comma 10 4 3 3 2 8 2" xfId="46855" xr:uid="{AA738138-3668-4778-BAE4-05A07771988E}"/>
    <cellStyle name="Comma 10 4 3 3 2 9" xfId="31735" xr:uid="{473A22A2-A403-4B80-8E61-447CC81DDC2B}"/>
    <cellStyle name="Comma 10 4 3 3 3" xfId="2251" xr:uid="{51A3074F-C4BE-4153-A0DC-8F7F627F3548}"/>
    <cellStyle name="Comma 10 4 3 3 3 2" xfId="11323" xr:uid="{4691B130-8500-467C-B7FE-5A1EFB59C9BF}"/>
    <cellStyle name="Comma 10 4 3 3 3 2 2" xfId="26443" xr:uid="{A2D3FB8A-2515-4265-B0D4-27B95ACCFBB0}"/>
    <cellStyle name="Comma 10 4 3 3 3 2 2 2" xfId="56683" xr:uid="{7E50A12F-6168-431A-95E0-6D4710EBF21A}"/>
    <cellStyle name="Comma 10 4 3 3 3 2 3" xfId="41563" xr:uid="{27337755-1CA1-4BA5-96A3-116E4E3E4398}"/>
    <cellStyle name="Comma 10 4 3 3 3 3" xfId="17371" xr:uid="{D7EC20A6-A24C-4467-9342-924A1B3E6CFC}"/>
    <cellStyle name="Comma 10 4 3 3 3 3 2" xfId="47611" xr:uid="{4E2A0394-CAC8-4861-B399-A135C0CD155E}"/>
    <cellStyle name="Comma 10 4 3 3 3 4" xfId="32491" xr:uid="{F15699B5-3534-4A2E-8716-3AF33DB6BFC2}"/>
    <cellStyle name="Comma 10 4 3 3 4" xfId="3763" xr:uid="{8B690C58-9D0A-4FD7-A68B-0EBF06D15B63}"/>
    <cellStyle name="Comma 10 4 3 3 4 2" xfId="12835" xr:uid="{1207D0AC-A3BB-48A3-B5FD-57909D8C4030}"/>
    <cellStyle name="Comma 10 4 3 3 4 2 2" xfId="27955" xr:uid="{8116F800-3749-495A-85F2-6E4284ABDB82}"/>
    <cellStyle name="Comma 10 4 3 3 4 2 2 2" xfId="58195" xr:uid="{CE084C59-3AFF-4744-ABE4-D66CA372F061}"/>
    <cellStyle name="Comma 10 4 3 3 4 2 3" xfId="43075" xr:uid="{8185D29F-554F-4B2B-A3D4-71482867CB95}"/>
    <cellStyle name="Comma 10 4 3 3 4 3" xfId="18883" xr:uid="{CC390C7F-1755-43C8-BDAF-1C4B91F9C41D}"/>
    <cellStyle name="Comma 10 4 3 3 4 3 2" xfId="49123" xr:uid="{32050337-F99E-4428-A5E3-7513BEF8A169}"/>
    <cellStyle name="Comma 10 4 3 3 4 4" xfId="34003" xr:uid="{622AB6AE-E9C3-430B-A75C-B14F28D23C5A}"/>
    <cellStyle name="Comma 10 4 3 3 5" xfId="5275" xr:uid="{C36C4E1F-612C-48EC-8B4D-8CA38E1F4F27}"/>
    <cellStyle name="Comma 10 4 3 3 5 2" xfId="14347" xr:uid="{FDB0222F-ED76-4FFB-9385-823E378AF1AA}"/>
    <cellStyle name="Comma 10 4 3 3 5 2 2" xfId="29467" xr:uid="{176094DE-F69E-4D3E-BC6E-DF1552D1FF02}"/>
    <cellStyle name="Comma 10 4 3 3 5 2 2 2" xfId="59707" xr:uid="{6E6032AE-4D1E-43C5-99FD-75D38C701C4E}"/>
    <cellStyle name="Comma 10 4 3 3 5 2 3" xfId="44587" xr:uid="{3C81A729-BFEC-4DF4-97EF-EB0CC3A6EBE1}"/>
    <cellStyle name="Comma 10 4 3 3 5 3" xfId="20395" xr:uid="{40864C41-FE93-49B5-B9F8-059514D9A1D5}"/>
    <cellStyle name="Comma 10 4 3 3 5 3 2" xfId="50635" xr:uid="{9B70C234-C65F-45A2-B5F1-9F2E3AC2728B}"/>
    <cellStyle name="Comma 10 4 3 3 5 4" xfId="35515" xr:uid="{F3F8C112-69BC-4FD0-A9EF-73CE595FD3CD}"/>
    <cellStyle name="Comma 10 4 3 3 6" xfId="6787" xr:uid="{C41F8779-BFD2-4071-8B5B-278520729E43}"/>
    <cellStyle name="Comma 10 4 3 3 6 2" xfId="21907" xr:uid="{283228F9-F0A9-4527-97A8-759F923C1118}"/>
    <cellStyle name="Comma 10 4 3 3 6 2 2" xfId="52147" xr:uid="{84EAE7F3-77BB-4E91-8D06-CCDBEDF34AF0}"/>
    <cellStyle name="Comma 10 4 3 3 6 3" xfId="37027" xr:uid="{83F75FA5-B336-4777-B2CC-94C226677953}"/>
    <cellStyle name="Comma 10 4 3 3 7" xfId="8299" xr:uid="{D1EF860C-5861-470C-BEFE-6AA7E6BFDF2F}"/>
    <cellStyle name="Comma 10 4 3 3 7 2" xfId="23419" xr:uid="{0BB717C6-E498-4870-B441-79F6172C2ADD}"/>
    <cellStyle name="Comma 10 4 3 3 7 2 2" xfId="53659" xr:uid="{232A958F-030E-408A-BEBC-EDE4527DAFA8}"/>
    <cellStyle name="Comma 10 4 3 3 7 3" xfId="38539" xr:uid="{4307F331-C18C-4F77-BEF8-7B13A936541C}"/>
    <cellStyle name="Comma 10 4 3 3 8" xfId="9811" xr:uid="{1C8E0779-6FE4-4CDE-9271-92B7CF6B37FD}"/>
    <cellStyle name="Comma 10 4 3 3 8 2" xfId="24931" xr:uid="{EF0BBAD7-B234-4A9A-9D9D-83634A2E291C}"/>
    <cellStyle name="Comma 10 4 3 3 8 2 2" xfId="55171" xr:uid="{07CAD636-465A-43E1-8695-74BA057F1F56}"/>
    <cellStyle name="Comma 10 4 3 3 8 3" xfId="40051" xr:uid="{394A0218-6CFB-40F5-A0C4-A0C8105D7344}"/>
    <cellStyle name="Comma 10 4 3 3 9" xfId="15859" xr:uid="{ACCB3194-158F-436D-827B-75FB01434FC3}"/>
    <cellStyle name="Comma 10 4 3 3 9 2" xfId="46099" xr:uid="{12CBA239-7AE7-4A40-AB22-981A8424B68C}"/>
    <cellStyle name="Comma 10 4 3 4" xfId="991" xr:uid="{C91AE591-460B-4F91-8766-AEF6464E043F}"/>
    <cellStyle name="Comma 10 4 3 4 2" xfId="2503" xr:uid="{9FBBEA1D-D182-42C2-AD80-FD6077808456}"/>
    <cellStyle name="Comma 10 4 3 4 2 2" xfId="11575" xr:uid="{0DA7ED24-E421-4DA2-944C-E76226B810B0}"/>
    <cellStyle name="Comma 10 4 3 4 2 2 2" xfId="26695" xr:uid="{91F6F972-6CFD-4940-B615-55973A80034E}"/>
    <cellStyle name="Comma 10 4 3 4 2 2 2 2" xfId="56935" xr:uid="{C6C9E850-DD08-4046-8A70-8296487CEDAA}"/>
    <cellStyle name="Comma 10 4 3 4 2 2 3" xfId="41815" xr:uid="{9A89A53B-4B53-415F-8631-10B4FFEC4623}"/>
    <cellStyle name="Comma 10 4 3 4 2 3" xfId="17623" xr:uid="{02A9E61D-5AF2-4038-8547-3A9652F40B00}"/>
    <cellStyle name="Comma 10 4 3 4 2 3 2" xfId="47863" xr:uid="{369D52DC-31D2-496C-912B-346C2469804E}"/>
    <cellStyle name="Comma 10 4 3 4 2 4" xfId="32743" xr:uid="{91EE83D7-DB6A-4E18-905F-619E9FA44887}"/>
    <cellStyle name="Comma 10 4 3 4 3" xfId="4015" xr:uid="{445D3A0C-03A2-464F-B648-7FD61A3E6314}"/>
    <cellStyle name="Comma 10 4 3 4 3 2" xfId="13087" xr:uid="{5DAE7086-261D-440F-AA3B-8939D02F8489}"/>
    <cellStyle name="Comma 10 4 3 4 3 2 2" xfId="28207" xr:uid="{70F495F7-F5DA-444D-A29E-0A2F5FABAC01}"/>
    <cellStyle name="Comma 10 4 3 4 3 2 2 2" xfId="58447" xr:uid="{2F71503B-AED6-4314-BE73-B3968BE46A97}"/>
    <cellStyle name="Comma 10 4 3 4 3 2 3" xfId="43327" xr:uid="{C2A4600E-49F5-4733-8701-1E1893A28DAB}"/>
    <cellStyle name="Comma 10 4 3 4 3 3" xfId="19135" xr:uid="{E3FBE269-75E6-4C05-9622-2FB9688FFC8C}"/>
    <cellStyle name="Comma 10 4 3 4 3 3 2" xfId="49375" xr:uid="{3F6A6347-3561-455D-8807-B2498DAE84F2}"/>
    <cellStyle name="Comma 10 4 3 4 3 4" xfId="34255" xr:uid="{1555D16A-CE83-43A2-A7F6-37FD86B69A41}"/>
    <cellStyle name="Comma 10 4 3 4 4" xfId="5527" xr:uid="{EAB9BCD1-AE4A-4275-8771-F42CEDEC5E59}"/>
    <cellStyle name="Comma 10 4 3 4 4 2" xfId="14599" xr:uid="{849755B4-80C1-4BA5-9031-BBC4146CBDC7}"/>
    <cellStyle name="Comma 10 4 3 4 4 2 2" xfId="29719" xr:uid="{7ED37D5E-8E1C-4DD0-8432-847B7B5C4825}"/>
    <cellStyle name="Comma 10 4 3 4 4 2 2 2" xfId="59959" xr:uid="{60EF1D32-3688-48E1-B9C2-79C975431BFB}"/>
    <cellStyle name="Comma 10 4 3 4 4 2 3" xfId="44839" xr:uid="{BB067B74-9EE9-4D28-B3DD-ABE40202DE9D}"/>
    <cellStyle name="Comma 10 4 3 4 4 3" xfId="20647" xr:uid="{36E72218-8E47-4A1A-88A4-9E98EF198E87}"/>
    <cellStyle name="Comma 10 4 3 4 4 3 2" xfId="50887" xr:uid="{7D40051F-5EA0-4ECB-8518-BE743D2C05BC}"/>
    <cellStyle name="Comma 10 4 3 4 4 4" xfId="35767" xr:uid="{B2C713E2-5874-4D99-8618-E8E078B33744}"/>
    <cellStyle name="Comma 10 4 3 4 5" xfId="7039" xr:uid="{C035EB7F-9107-4F1F-AF5C-252B043BA42A}"/>
    <cellStyle name="Comma 10 4 3 4 5 2" xfId="22159" xr:uid="{6FD2DC14-EA0B-4E4B-8C76-580117BC5EC4}"/>
    <cellStyle name="Comma 10 4 3 4 5 2 2" xfId="52399" xr:uid="{44F4B9D5-105C-4DAE-A108-A9C2D7548640}"/>
    <cellStyle name="Comma 10 4 3 4 5 3" xfId="37279" xr:uid="{D9C8B579-613D-4939-B1FD-12F8CD48F49D}"/>
    <cellStyle name="Comma 10 4 3 4 6" xfId="8551" xr:uid="{1E5D6160-92BF-4A40-8A6E-5135F4EA5519}"/>
    <cellStyle name="Comma 10 4 3 4 6 2" xfId="23671" xr:uid="{268D6F63-1786-46D0-B93E-FA256887015B}"/>
    <cellStyle name="Comma 10 4 3 4 6 2 2" xfId="53911" xr:uid="{822E2DB3-B041-4CFB-81FC-E2E335739F9E}"/>
    <cellStyle name="Comma 10 4 3 4 6 3" xfId="38791" xr:uid="{DD1DBEAF-C018-42F5-BEB0-4042D9B07646}"/>
    <cellStyle name="Comma 10 4 3 4 7" xfId="10063" xr:uid="{94031CA3-8292-411D-B714-416FCE19346D}"/>
    <cellStyle name="Comma 10 4 3 4 7 2" xfId="25183" xr:uid="{0D9D9039-3FB1-4331-8C3F-40A96FD6E96B}"/>
    <cellStyle name="Comma 10 4 3 4 7 2 2" xfId="55423" xr:uid="{4BDC1F35-AB90-4A71-987C-D4F498F6B9AC}"/>
    <cellStyle name="Comma 10 4 3 4 7 3" xfId="40303" xr:uid="{53BEEF98-6C83-47B5-B584-42EFDBB5AEF3}"/>
    <cellStyle name="Comma 10 4 3 4 8" xfId="16111" xr:uid="{DBC7C800-2A15-4C1D-8F49-4087BB76FC33}"/>
    <cellStyle name="Comma 10 4 3 4 8 2" xfId="46351" xr:uid="{998EFCC6-2594-4E54-B544-F7EF3C1C4A8D}"/>
    <cellStyle name="Comma 10 4 3 4 9" xfId="31231" xr:uid="{9E41DE75-0FDE-4178-ADC5-7D242F3ADABD}"/>
    <cellStyle name="Comma 10 4 3 5" xfId="1747" xr:uid="{A13184D7-9E0C-464F-8A90-5F86F2EE4E0E}"/>
    <cellStyle name="Comma 10 4 3 5 2" xfId="10819" xr:uid="{F71353FE-F59B-4051-9805-E77FE3737408}"/>
    <cellStyle name="Comma 10 4 3 5 2 2" xfId="25939" xr:uid="{BE461017-98C4-4468-BD6E-D051F5B0900E}"/>
    <cellStyle name="Comma 10 4 3 5 2 2 2" xfId="56179" xr:uid="{6963C354-D155-4582-977F-72E95F1B0B64}"/>
    <cellStyle name="Comma 10 4 3 5 2 3" xfId="41059" xr:uid="{C4D1FFAF-A229-4F81-A30A-03F6EA5BCE6A}"/>
    <cellStyle name="Comma 10 4 3 5 3" xfId="16867" xr:uid="{2EFAEC75-ED05-4DAC-BB74-CB0BDDBEE11E}"/>
    <cellStyle name="Comma 10 4 3 5 3 2" xfId="47107" xr:uid="{0C30F6EF-9183-4C15-A5F4-EA7FE297020E}"/>
    <cellStyle name="Comma 10 4 3 5 4" xfId="31987" xr:uid="{73B0E455-809F-4030-BA85-830025EB7429}"/>
    <cellStyle name="Comma 10 4 3 6" xfId="3259" xr:uid="{83C5B9AB-1C89-4FEF-B8CE-9E36849FE7E4}"/>
    <cellStyle name="Comma 10 4 3 6 2" xfId="12331" xr:uid="{0E509EBF-8EFE-4964-A1F6-332EC8979354}"/>
    <cellStyle name="Comma 10 4 3 6 2 2" xfId="27451" xr:uid="{10F7183A-8EE5-48FA-8152-CA8D56E2CD5A}"/>
    <cellStyle name="Comma 10 4 3 6 2 2 2" xfId="57691" xr:uid="{28796C00-FDB4-40A5-B0EB-2E038B06C6C8}"/>
    <cellStyle name="Comma 10 4 3 6 2 3" xfId="42571" xr:uid="{8FDF7E3B-3C9A-43C1-8929-43E0804947D6}"/>
    <cellStyle name="Comma 10 4 3 6 3" xfId="18379" xr:uid="{23E63796-1BD0-4C58-BD79-AFA510EA4C8C}"/>
    <cellStyle name="Comma 10 4 3 6 3 2" xfId="48619" xr:uid="{D244264A-36D5-4FF1-934A-A0188C833420}"/>
    <cellStyle name="Comma 10 4 3 6 4" xfId="33499" xr:uid="{493BF4C4-F183-45ED-BBF7-C0E9D0F55ED6}"/>
    <cellStyle name="Comma 10 4 3 7" xfId="4771" xr:uid="{56014DAA-D141-4C4A-A6D6-D447AD739CDA}"/>
    <cellStyle name="Comma 10 4 3 7 2" xfId="13843" xr:uid="{ECA8770C-29B6-4D0E-9297-C2A0D1B74309}"/>
    <cellStyle name="Comma 10 4 3 7 2 2" xfId="28963" xr:uid="{1610259F-9717-44BF-9B8B-C8425AAF351A}"/>
    <cellStyle name="Comma 10 4 3 7 2 2 2" xfId="59203" xr:uid="{9420B836-596D-4ACF-97B8-EF497324EAE7}"/>
    <cellStyle name="Comma 10 4 3 7 2 3" xfId="44083" xr:uid="{86EC8E3A-096D-4009-85EC-616CC039FCE0}"/>
    <cellStyle name="Comma 10 4 3 7 3" xfId="19891" xr:uid="{D4DE64E7-6607-4ED6-A0F6-30A8085FE96F}"/>
    <cellStyle name="Comma 10 4 3 7 3 2" xfId="50131" xr:uid="{58C27CE6-E453-49F4-8523-66B709B80B44}"/>
    <cellStyle name="Comma 10 4 3 7 4" xfId="35011" xr:uid="{345391E9-D486-4903-BB35-B47560069E72}"/>
    <cellStyle name="Comma 10 4 3 8" xfId="6283" xr:uid="{C20EBD9C-EB1B-49AF-AB38-5813CB365048}"/>
    <cellStyle name="Comma 10 4 3 8 2" xfId="21403" xr:uid="{E8803E2C-4B21-48EB-9923-A6A48DA6C3E5}"/>
    <cellStyle name="Comma 10 4 3 8 2 2" xfId="51643" xr:uid="{1CED5244-D6E5-4520-A09C-EF9B56730499}"/>
    <cellStyle name="Comma 10 4 3 8 3" xfId="36523" xr:uid="{B52FED50-FE1C-432B-AB3A-DA6E7C3EE0D4}"/>
    <cellStyle name="Comma 10 4 3 9" xfId="7795" xr:uid="{9FAF3589-687C-40FA-A27F-FD258BEA6B3B}"/>
    <cellStyle name="Comma 10 4 3 9 2" xfId="22915" xr:uid="{4369922A-E171-4066-9FED-9C94C2DA6364}"/>
    <cellStyle name="Comma 10 4 3 9 2 2" xfId="53155" xr:uid="{95548229-0EC3-48AF-B53E-78046FA256B5}"/>
    <cellStyle name="Comma 10 4 3 9 3" xfId="38035" xr:uid="{A37F3894-7D6B-4C6D-BD54-8F385C6B0782}"/>
    <cellStyle name="Comma 10 4 4" xfId="319" xr:uid="{7DA82062-57CA-4E89-B2B4-499EC3DD149F}"/>
    <cellStyle name="Comma 10 4 4 10" xfId="30559" xr:uid="{6B27CBF2-4A3D-431C-8C4F-82D6FD759EAA}"/>
    <cellStyle name="Comma 10 4 4 2" xfId="1075" xr:uid="{4652F44F-7DBF-4A0F-9D17-6697EE5214D9}"/>
    <cellStyle name="Comma 10 4 4 2 2" xfId="2587" xr:uid="{E8893012-7F74-4E11-ABC9-08FDCA611F81}"/>
    <cellStyle name="Comma 10 4 4 2 2 2" xfId="11659" xr:uid="{743C2BDA-829D-4BA2-AEA7-A9B10967DA95}"/>
    <cellStyle name="Comma 10 4 4 2 2 2 2" xfId="26779" xr:uid="{E6CDCBC2-B6AF-4F6C-AEF3-F3CFE072F892}"/>
    <cellStyle name="Comma 10 4 4 2 2 2 2 2" xfId="57019" xr:uid="{50AA8103-0E86-48CB-AFD5-3EC8AFC78E96}"/>
    <cellStyle name="Comma 10 4 4 2 2 2 3" xfId="41899" xr:uid="{313873F3-B6AC-427A-AB72-4EE55ECB5624}"/>
    <cellStyle name="Comma 10 4 4 2 2 3" xfId="17707" xr:uid="{9FD5724C-A040-41B2-97DD-9BD73912B11C}"/>
    <cellStyle name="Comma 10 4 4 2 2 3 2" xfId="47947" xr:uid="{36677A89-B5E6-449A-B95B-8FECCA747E35}"/>
    <cellStyle name="Comma 10 4 4 2 2 4" xfId="32827" xr:uid="{BBF871C3-169B-4B74-8A30-FC056ABB052D}"/>
    <cellStyle name="Comma 10 4 4 2 3" xfId="4099" xr:uid="{D72F36EE-B45B-40F1-AC7F-75910467A8C9}"/>
    <cellStyle name="Comma 10 4 4 2 3 2" xfId="13171" xr:uid="{F59F8586-51CA-4C5C-AE64-AEE2DFE4C108}"/>
    <cellStyle name="Comma 10 4 4 2 3 2 2" xfId="28291" xr:uid="{900BF4AC-90DC-4A6C-9798-505ED7EE7D72}"/>
    <cellStyle name="Comma 10 4 4 2 3 2 2 2" xfId="58531" xr:uid="{47C74319-FE8C-417B-BAFE-B4E906351E18}"/>
    <cellStyle name="Comma 10 4 4 2 3 2 3" xfId="43411" xr:uid="{F65C1691-FF3F-48CD-B1DC-29A4BBF1D543}"/>
    <cellStyle name="Comma 10 4 4 2 3 3" xfId="19219" xr:uid="{2453F651-D171-4ECC-A071-5D1BE3B7B15D}"/>
    <cellStyle name="Comma 10 4 4 2 3 3 2" xfId="49459" xr:uid="{A2CF84AA-D8A0-40D8-A999-C722EFB8AAB8}"/>
    <cellStyle name="Comma 10 4 4 2 3 4" xfId="34339" xr:uid="{E04AAFB9-2B27-4E04-9FA0-677D14D0B94E}"/>
    <cellStyle name="Comma 10 4 4 2 4" xfId="5611" xr:uid="{00A2B50D-A2E6-4F8C-A5F5-CE2ED531D38C}"/>
    <cellStyle name="Comma 10 4 4 2 4 2" xfId="14683" xr:uid="{CD530EB1-636C-45F9-B50F-6CC96F5CAF15}"/>
    <cellStyle name="Comma 10 4 4 2 4 2 2" xfId="29803" xr:uid="{42475645-8877-409B-BD74-8BE5F96E1380}"/>
    <cellStyle name="Comma 10 4 4 2 4 2 2 2" xfId="60043" xr:uid="{647AB8E7-74F2-4556-9C4A-3BA09F473D82}"/>
    <cellStyle name="Comma 10 4 4 2 4 2 3" xfId="44923" xr:uid="{E82ECB5B-4E6C-4589-85BA-6E67C2B0B1B0}"/>
    <cellStyle name="Comma 10 4 4 2 4 3" xfId="20731" xr:uid="{D20AC47B-C5FD-4FC3-8743-C087C9E8F789}"/>
    <cellStyle name="Comma 10 4 4 2 4 3 2" xfId="50971" xr:uid="{482CAFE9-97B0-4638-A450-F1CDD2AC5A80}"/>
    <cellStyle name="Comma 10 4 4 2 4 4" xfId="35851" xr:uid="{7AD60B2A-F7B3-4FCC-AA5A-62106D18D841}"/>
    <cellStyle name="Comma 10 4 4 2 5" xfId="7123" xr:uid="{482E61D8-D1DF-45E1-91A9-32454BECF4EA}"/>
    <cellStyle name="Comma 10 4 4 2 5 2" xfId="22243" xr:uid="{34AB15C7-74DC-456F-9E16-3D7EBE87A8B2}"/>
    <cellStyle name="Comma 10 4 4 2 5 2 2" xfId="52483" xr:uid="{74FA3659-EC71-4E52-8E84-362CE808BF2C}"/>
    <cellStyle name="Comma 10 4 4 2 5 3" xfId="37363" xr:uid="{7B723929-5520-424B-9B30-D532ECA234D4}"/>
    <cellStyle name="Comma 10 4 4 2 6" xfId="8635" xr:uid="{B47CFCB9-C4BF-4CAE-9004-146A3CFB7C0E}"/>
    <cellStyle name="Comma 10 4 4 2 6 2" xfId="23755" xr:uid="{3CE81EFC-AB59-40BA-93F7-AE83E07E6390}"/>
    <cellStyle name="Comma 10 4 4 2 6 2 2" xfId="53995" xr:uid="{8DABB397-D1F9-4225-B586-DCB067B629DE}"/>
    <cellStyle name="Comma 10 4 4 2 6 3" xfId="38875" xr:uid="{2EE1F94F-070F-4078-9C09-AADAC7AC4AF6}"/>
    <cellStyle name="Comma 10 4 4 2 7" xfId="10147" xr:uid="{C4434C98-5135-4004-97D0-4CDA9EF6B6FE}"/>
    <cellStyle name="Comma 10 4 4 2 7 2" xfId="25267" xr:uid="{FB5A6DBF-65D3-4921-B51C-A9DEC9F0D18B}"/>
    <cellStyle name="Comma 10 4 4 2 7 2 2" xfId="55507" xr:uid="{C14BC69B-AC87-4152-9756-C2A9C5A01BD8}"/>
    <cellStyle name="Comma 10 4 4 2 7 3" xfId="40387" xr:uid="{0973CD10-89B7-4C2C-A581-770843B59F0B}"/>
    <cellStyle name="Comma 10 4 4 2 8" xfId="16195" xr:uid="{D5D4B1CD-4EF7-45A8-B369-49C7D78E96F4}"/>
    <cellStyle name="Comma 10 4 4 2 8 2" xfId="46435" xr:uid="{A28B1F4F-88C2-46C6-AF0A-CA5379FD86F7}"/>
    <cellStyle name="Comma 10 4 4 2 9" xfId="31315" xr:uid="{9B5CDAFD-AF77-4BD9-8C29-3EA49D384DB0}"/>
    <cellStyle name="Comma 10 4 4 3" xfId="1831" xr:uid="{BD56C05B-5335-4849-B2E9-09FFE5F3D398}"/>
    <cellStyle name="Comma 10 4 4 3 2" xfId="10903" xr:uid="{7B5F133A-AF99-41AF-B883-6141DB4BADDF}"/>
    <cellStyle name="Comma 10 4 4 3 2 2" xfId="26023" xr:uid="{BB6B14DD-92DA-42D6-A19E-4C30B82CEE09}"/>
    <cellStyle name="Comma 10 4 4 3 2 2 2" xfId="56263" xr:uid="{30514AD6-6D31-42F8-BBEF-E79EBA23A76F}"/>
    <cellStyle name="Comma 10 4 4 3 2 3" xfId="41143" xr:uid="{4F0E9A91-FF8B-4E58-A787-D8C96C246542}"/>
    <cellStyle name="Comma 10 4 4 3 3" xfId="16951" xr:uid="{F2484C0F-2F07-496E-A3CE-E43C4C65BF5D}"/>
    <cellStyle name="Comma 10 4 4 3 3 2" xfId="47191" xr:uid="{17F257AE-FFE3-4190-80B7-4787C9501522}"/>
    <cellStyle name="Comma 10 4 4 3 4" xfId="32071" xr:uid="{BEB4EEDA-F662-4C9D-87FF-07603BD37C64}"/>
    <cellStyle name="Comma 10 4 4 4" xfId="3343" xr:uid="{63A2D8F6-9A12-41D1-AE31-4B1FC406424A}"/>
    <cellStyle name="Comma 10 4 4 4 2" xfId="12415" xr:uid="{C63F6737-9FF1-4637-85EF-9E8DC3DB369D}"/>
    <cellStyle name="Comma 10 4 4 4 2 2" xfId="27535" xr:uid="{1880C793-D4E4-480C-972F-F044C7B19FF7}"/>
    <cellStyle name="Comma 10 4 4 4 2 2 2" xfId="57775" xr:uid="{544E2A16-1765-40C2-B597-DE9D0C7B914E}"/>
    <cellStyle name="Comma 10 4 4 4 2 3" xfId="42655" xr:uid="{30DB1AE4-0B46-4761-9B7C-D39FCDD6FCB1}"/>
    <cellStyle name="Comma 10 4 4 4 3" xfId="18463" xr:uid="{C6DFFEC5-780B-47B9-8892-9B36FF661C52}"/>
    <cellStyle name="Comma 10 4 4 4 3 2" xfId="48703" xr:uid="{7B158DD3-A84D-4A4E-ABE6-69499E43332D}"/>
    <cellStyle name="Comma 10 4 4 4 4" xfId="33583" xr:uid="{9EAB546D-97FD-4F95-A7D5-E069012ABBA4}"/>
    <cellStyle name="Comma 10 4 4 5" xfId="4855" xr:uid="{636A661B-5354-4E07-B7FD-F416847E0A62}"/>
    <cellStyle name="Comma 10 4 4 5 2" xfId="13927" xr:uid="{CA87C216-456B-4B6B-86BF-BE1C8E5F575D}"/>
    <cellStyle name="Comma 10 4 4 5 2 2" xfId="29047" xr:uid="{18428C9F-A751-4975-AA6F-C08D4FCE3E28}"/>
    <cellStyle name="Comma 10 4 4 5 2 2 2" xfId="59287" xr:uid="{983CC1F4-5660-4852-BB1B-BEAA9B257666}"/>
    <cellStyle name="Comma 10 4 4 5 2 3" xfId="44167" xr:uid="{212D2567-43C0-401F-B8C6-8B0436BF3CC6}"/>
    <cellStyle name="Comma 10 4 4 5 3" xfId="19975" xr:uid="{C322443F-91D5-4236-8918-E13D49E5D481}"/>
    <cellStyle name="Comma 10 4 4 5 3 2" xfId="50215" xr:uid="{246D863D-7816-42E5-BEA9-4B553FB9CBF1}"/>
    <cellStyle name="Comma 10 4 4 5 4" xfId="35095" xr:uid="{4FC80451-BBEF-4EA6-804C-8B74C0DE47C9}"/>
    <cellStyle name="Comma 10 4 4 6" xfId="6367" xr:uid="{EFE471A3-A1CB-4DA5-B32B-14B1D0316FEF}"/>
    <cellStyle name="Comma 10 4 4 6 2" xfId="21487" xr:uid="{D13F5A1F-600C-4F1B-A116-C95901CD4FD6}"/>
    <cellStyle name="Comma 10 4 4 6 2 2" xfId="51727" xr:uid="{A0B2B0B7-0AD1-4694-966E-45826078FBA3}"/>
    <cellStyle name="Comma 10 4 4 6 3" xfId="36607" xr:uid="{8667B134-1FAD-4AAE-B480-F5D798CD897D}"/>
    <cellStyle name="Comma 10 4 4 7" xfId="7879" xr:uid="{4D454B9D-6C8D-45BD-B02D-FD740A65BCD4}"/>
    <cellStyle name="Comma 10 4 4 7 2" xfId="22999" xr:uid="{577D60DB-4AB6-4C3D-A7FF-10D3FE04E32B}"/>
    <cellStyle name="Comma 10 4 4 7 2 2" xfId="53239" xr:uid="{F41303E3-B1DC-4BCA-AB2C-AA307294AAD0}"/>
    <cellStyle name="Comma 10 4 4 7 3" xfId="38119" xr:uid="{343FEC75-9AF2-47F6-9ED8-C1F2A663C8EE}"/>
    <cellStyle name="Comma 10 4 4 8" xfId="9391" xr:uid="{CDE008B9-02AF-40D5-B2D0-7FDA922CFC12}"/>
    <cellStyle name="Comma 10 4 4 8 2" xfId="24511" xr:uid="{D391C283-E2BA-4B02-AACB-CEFE3C6B1607}"/>
    <cellStyle name="Comma 10 4 4 8 2 2" xfId="54751" xr:uid="{CEE61CF7-64D5-4BCC-8648-B934FB25AFDA}"/>
    <cellStyle name="Comma 10 4 4 8 3" xfId="39631" xr:uid="{8E392A8A-580A-4921-96C2-7750233349D6}"/>
    <cellStyle name="Comma 10 4 4 9" xfId="15439" xr:uid="{30693FCE-26F5-47DE-94A3-7DF309B69AAD}"/>
    <cellStyle name="Comma 10 4 4 9 2" xfId="45679" xr:uid="{C921E4F2-484C-4B7E-9C2B-EC61E5FB5580}"/>
    <cellStyle name="Comma 10 4 5" xfId="571" xr:uid="{E730B9BC-0D79-422C-AC6C-F8D345740D00}"/>
    <cellStyle name="Comma 10 4 5 10" xfId="30811" xr:uid="{F0C89A55-5087-40F6-B049-04FF17E51EB5}"/>
    <cellStyle name="Comma 10 4 5 2" xfId="1327" xr:uid="{6BE893D6-A08A-43EE-A26F-A301AEB3E959}"/>
    <cellStyle name="Comma 10 4 5 2 2" xfId="2839" xr:uid="{9C6F71C8-20DD-4B8C-8DBF-FFA36E31FC49}"/>
    <cellStyle name="Comma 10 4 5 2 2 2" xfId="11911" xr:uid="{3179AE6E-910D-4444-AAD8-1A51BFAF968A}"/>
    <cellStyle name="Comma 10 4 5 2 2 2 2" xfId="27031" xr:uid="{9C162EA5-3F13-46B5-96D3-C45B56229BD2}"/>
    <cellStyle name="Comma 10 4 5 2 2 2 2 2" xfId="57271" xr:uid="{D971E08D-A442-4E6D-88A1-48B7A1D9AC90}"/>
    <cellStyle name="Comma 10 4 5 2 2 2 3" xfId="42151" xr:uid="{18F37828-1B2F-4FCA-90FA-6849872A3394}"/>
    <cellStyle name="Comma 10 4 5 2 2 3" xfId="17959" xr:uid="{1A023024-BC85-4D8D-8866-8E320BE80931}"/>
    <cellStyle name="Comma 10 4 5 2 2 3 2" xfId="48199" xr:uid="{77A1D048-BDC0-4A56-9019-27B4EF06975B}"/>
    <cellStyle name="Comma 10 4 5 2 2 4" xfId="33079" xr:uid="{A518EAAC-34BE-400B-A81B-8FE968B23A8E}"/>
    <cellStyle name="Comma 10 4 5 2 3" xfId="4351" xr:uid="{4EB4654A-120C-4BFF-8AB6-213EBD309DDD}"/>
    <cellStyle name="Comma 10 4 5 2 3 2" xfId="13423" xr:uid="{8CE52DF5-CB97-4C2B-9F8D-DCEE8C2620AA}"/>
    <cellStyle name="Comma 10 4 5 2 3 2 2" xfId="28543" xr:uid="{6C66B1EF-2170-48B1-AF37-71B525C9A37C}"/>
    <cellStyle name="Comma 10 4 5 2 3 2 2 2" xfId="58783" xr:uid="{E0752997-5E22-4623-AD7C-3EC601D86894}"/>
    <cellStyle name="Comma 10 4 5 2 3 2 3" xfId="43663" xr:uid="{27B4394D-E189-4157-915F-375597E56605}"/>
    <cellStyle name="Comma 10 4 5 2 3 3" xfId="19471" xr:uid="{135C800F-08E8-4AE4-AB85-7F3834FB1EB5}"/>
    <cellStyle name="Comma 10 4 5 2 3 3 2" xfId="49711" xr:uid="{40C53A5C-DB09-4024-9593-862AF4EF8E51}"/>
    <cellStyle name="Comma 10 4 5 2 3 4" xfId="34591" xr:uid="{AC1BEFC1-141C-4347-8340-45BBD774DD0E}"/>
    <cellStyle name="Comma 10 4 5 2 4" xfId="5863" xr:uid="{D687C53E-40A9-4638-B64A-5136F9870A88}"/>
    <cellStyle name="Comma 10 4 5 2 4 2" xfId="14935" xr:uid="{00B91397-6D2A-471E-8FFD-11EF3DCC6CD4}"/>
    <cellStyle name="Comma 10 4 5 2 4 2 2" xfId="30055" xr:uid="{9291B8BE-866A-4508-98B5-896CE63B7246}"/>
    <cellStyle name="Comma 10 4 5 2 4 2 2 2" xfId="60295" xr:uid="{081BE858-5298-4402-B75B-85E68DB1F93A}"/>
    <cellStyle name="Comma 10 4 5 2 4 2 3" xfId="45175" xr:uid="{A3D31E78-6188-42D3-A43E-BF4945E36A08}"/>
    <cellStyle name="Comma 10 4 5 2 4 3" xfId="20983" xr:uid="{E32B93F9-CC77-4FB7-A908-4CF807F3216A}"/>
    <cellStyle name="Comma 10 4 5 2 4 3 2" xfId="51223" xr:uid="{A0126725-4555-4CE5-8F5C-D84EDCCA97C5}"/>
    <cellStyle name="Comma 10 4 5 2 4 4" xfId="36103" xr:uid="{380AA6D0-5578-452E-B05E-10D26FC2C9BB}"/>
    <cellStyle name="Comma 10 4 5 2 5" xfId="7375" xr:uid="{4D9C03CA-434C-46F1-8C66-9409E9C7AE6C}"/>
    <cellStyle name="Comma 10 4 5 2 5 2" xfId="22495" xr:uid="{AADDB851-4C45-4CCC-A793-2CB450E44C0E}"/>
    <cellStyle name="Comma 10 4 5 2 5 2 2" xfId="52735" xr:uid="{55EAE2B4-02E2-403D-935C-2DC3C744A9D0}"/>
    <cellStyle name="Comma 10 4 5 2 5 3" xfId="37615" xr:uid="{20EFEB8A-F5F5-4CA8-BCA3-9F6E9E8C6BC4}"/>
    <cellStyle name="Comma 10 4 5 2 6" xfId="8887" xr:uid="{CDF98647-0AC7-4F1E-A4D8-280EC9F05479}"/>
    <cellStyle name="Comma 10 4 5 2 6 2" xfId="24007" xr:uid="{53CD3B0F-8C94-4967-A13A-A8B0685C7244}"/>
    <cellStyle name="Comma 10 4 5 2 6 2 2" xfId="54247" xr:uid="{FE010772-2407-4325-AAAD-6FEA3008DF5C}"/>
    <cellStyle name="Comma 10 4 5 2 6 3" xfId="39127" xr:uid="{21B01A0F-F2DC-4DEE-983D-12DAE5541610}"/>
    <cellStyle name="Comma 10 4 5 2 7" xfId="10399" xr:uid="{ED4B3EC0-E1A7-4F6B-8E10-233F0E4B3557}"/>
    <cellStyle name="Comma 10 4 5 2 7 2" xfId="25519" xr:uid="{2B121DA4-968E-4269-96D9-6A95E7242060}"/>
    <cellStyle name="Comma 10 4 5 2 7 2 2" xfId="55759" xr:uid="{0E593AFD-25FB-4B34-A432-79FE4FB5BAEF}"/>
    <cellStyle name="Comma 10 4 5 2 7 3" xfId="40639" xr:uid="{3B17716E-E5B4-4BE8-96BA-036ED7161A5B}"/>
    <cellStyle name="Comma 10 4 5 2 8" xfId="16447" xr:uid="{C174CECD-E3F9-4FC0-ADDC-DFBD10EBF552}"/>
    <cellStyle name="Comma 10 4 5 2 8 2" xfId="46687" xr:uid="{BEDC0396-9906-4F17-B535-C56167B831FE}"/>
    <cellStyle name="Comma 10 4 5 2 9" xfId="31567" xr:uid="{0385E624-109F-45B0-956B-03B5349C3CEF}"/>
    <cellStyle name="Comma 10 4 5 3" xfId="2083" xr:uid="{22E611E1-147C-4183-8F23-634685971DF0}"/>
    <cellStyle name="Comma 10 4 5 3 2" xfId="11155" xr:uid="{15ABD36E-BA40-48A8-A837-B07A173DE9A9}"/>
    <cellStyle name="Comma 10 4 5 3 2 2" xfId="26275" xr:uid="{38EE08FF-C7C3-49CA-9A33-AA686A0AA84D}"/>
    <cellStyle name="Comma 10 4 5 3 2 2 2" xfId="56515" xr:uid="{8D37CAAF-E394-41EB-9268-8B787D112C3F}"/>
    <cellStyle name="Comma 10 4 5 3 2 3" xfId="41395" xr:uid="{C8B27321-2FE7-4472-B6A3-889C3158153C}"/>
    <cellStyle name="Comma 10 4 5 3 3" xfId="17203" xr:uid="{9724B65E-D9D1-47A1-9D59-883CFF6FB329}"/>
    <cellStyle name="Comma 10 4 5 3 3 2" xfId="47443" xr:uid="{03422AAC-4BBB-46C1-917C-20D3681C031E}"/>
    <cellStyle name="Comma 10 4 5 3 4" xfId="32323" xr:uid="{B1C7C823-08F9-460C-98CA-FF477C6E487D}"/>
    <cellStyle name="Comma 10 4 5 4" xfId="3595" xr:uid="{641C1626-BB2A-4D6B-83A6-DC72F87D3FE4}"/>
    <cellStyle name="Comma 10 4 5 4 2" xfId="12667" xr:uid="{81410D2D-E466-4CAF-AD64-BE41A1C5826E}"/>
    <cellStyle name="Comma 10 4 5 4 2 2" xfId="27787" xr:uid="{A1168653-83F1-4748-B3E2-A7C7F49E3C43}"/>
    <cellStyle name="Comma 10 4 5 4 2 2 2" xfId="58027" xr:uid="{4DFFA4DF-C473-43C4-A8B6-CE9255254840}"/>
    <cellStyle name="Comma 10 4 5 4 2 3" xfId="42907" xr:uid="{70C3CA23-A086-4BE5-8459-A77A677E31DE}"/>
    <cellStyle name="Comma 10 4 5 4 3" xfId="18715" xr:uid="{EB23FED9-06B0-41C9-9922-4FB667BA52F0}"/>
    <cellStyle name="Comma 10 4 5 4 3 2" xfId="48955" xr:uid="{07AB40B9-0B81-4658-96B3-536A8CEBC372}"/>
    <cellStyle name="Comma 10 4 5 4 4" xfId="33835" xr:uid="{78417F71-76D5-4C3A-973B-EB147C880548}"/>
    <cellStyle name="Comma 10 4 5 5" xfId="5107" xr:uid="{5BC850F2-3A58-441B-90D7-0F076722D521}"/>
    <cellStyle name="Comma 10 4 5 5 2" xfId="14179" xr:uid="{EA7A7E34-EC12-461C-9BC2-24DAFCDAB57B}"/>
    <cellStyle name="Comma 10 4 5 5 2 2" xfId="29299" xr:uid="{E612FBF7-E0B1-4917-8C31-63DAB3B6CD92}"/>
    <cellStyle name="Comma 10 4 5 5 2 2 2" xfId="59539" xr:uid="{1E23FAA2-770D-4D17-A381-4269B981A0E3}"/>
    <cellStyle name="Comma 10 4 5 5 2 3" xfId="44419" xr:uid="{5E3BF9C3-5B92-4338-8393-7CD806C3E0BC}"/>
    <cellStyle name="Comma 10 4 5 5 3" xfId="20227" xr:uid="{D4D52977-0A16-42AA-A525-54E23D8F4E41}"/>
    <cellStyle name="Comma 10 4 5 5 3 2" xfId="50467" xr:uid="{39CE2A55-1DB9-472C-B0B7-5130DC9B7232}"/>
    <cellStyle name="Comma 10 4 5 5 4" xfId="35347" xr:uid="{4549CF69-8098-4D13-A52D-E3A57FBD82C8}"/>
    <cellStyle name="Comma 10 4 5 6" xfId="6619" xr:uid="{FE2D4AFA-DCFF-4E28-B3B3-11BF474895F2}"/>
    <cellStyle name="Comma 10 4 5 6 2" xfId="21739" xr:uid="{85DEF0FD-36EC-411A-B582-0D497022F105}"/>
    <cellStyle name="Comma 10 4 5 6 2 2" xfId="51979" xr:uid="{68AE0714-1270-4300-A2D3-DCBCF336A347}"/>
    <cellStyle name="Comma 10 4 5 6 3" xfId="36859" xr:uid="{60F0441C-C341-4D4A-857F-B07126EEC879}"/>
    <cellStyle name="Comma 10 4 5 7" xfId="8131" xr:uid="{5C0EE80C-F9F1-43F1-80AD-BFB88DB4C2DD}"/>
    <cellStyle name="Comma 10 4 5 7 2" xfId="23251" xr:uid="{EB35557E-6309-4208-BED6-980EA789DC86}"/>
    <cellStyle name="Comma 10 4 5 7 2 2" xfId="53491" xr:uid="{43CDBE23-62F3-4CDC-A757-05F2915F1504}"/>
    <cellStyle name="Comma 10 4 5 7 3" xfId="38371" xr:uid="{E83BD422-2844-4045-91B8-D44B20EC6DC4}"/>
    <cellStyle name="Comma 10 4 5 8" xfId="9643" xr:uid="{C1C623C8-1BFE-49AE-AE87-EFB11C3D7174}"/>
    <cellStyle name="Comma 10 4 5 8 2" xfId="24763" xr:uid="{F9421DB8-A67A-485A-B59D-D7FBA4487947}"/>
    <cellStyle name="Comma 10 4 5 8 2 2" xfId="55003" xr:uid="{BAF7E45A-7818-4173-A5E5-0F0D29ADCC8C}"/>
    <cellStyle name="Comma 10 4 5 8 3" xfId="39883" xr:uid="{AAB5ED79-1668-4BF1-A719-8D49C8DEAA37}"/>
    <cellStyle name="Comma 10 4 5 9" xfId="15691" xr:uid="{CE05625A-0993-47CC-A4B3-EB631302519C}"/>
    <cellStyle name="Comma 10 4 5 9 2" xfId="45931" xr:uid="{7620567C-1E20-4713-B170-B90D12EDCC6B}"/>
    <cellStyle name="Comma 10 4 6" xfId="823" xr:uid="{0984728E-EA2B-4C10-8395-169F64125F41}"/>
    <cellStyle name="Comma 10 4 6 2" xfId="2335" xr:uid="{065FDD75-D91A-443B-BD32-D5FD71D75FD6}"/>
    <cellStyle name="Comma 10 4 6 2 2" xfId="11407" xr:uid="{DB94D46C-0B6D-4100-85F5-53DEA9020608}"/>
    <cellStyle name="Comma 10 4 6 2 2 2" xfId="26527" xr:uid="{3FB1BACE-5091-42E7-AC3E-80734ED7A419}"/>
    <cellStyle name="Comma 10 4 6 2 2 2 2" xfId="56767" xr:uid="{7E3FA927-F1B6-467F-8F6C-421D57928A03}"/>
    <cellStyle name="Comma 10 4 6 2 2 3" xfId="41647" xr:uid="{5F38AF61-428A-4BF4-876F-9A3E84454686}"/>
    <cellStyle name="Comma 10 4 6 2 3" xfId="17455" xr:uid="{FDE01553-E044-4DBB-80FA-3846645D3A31}"/>
    <cellStyle name="Comma 10 4 6 2 3 2" xfId="47695" xr:uid="{97C2D362-D712-42CA-8BB6-9A2DD769F3E5}"/>
    <cellStyle name="Comma 10 4 6 2 4" xfId="32575" xr:uid="{3AF2EE75-0EF6-4F94-A7CA-06899061ADBC}"/>
    <cellStyle name="Comma 10 4 6 3" xfId="3847" xr:uid="{00CF7CB9-B1FF-4B12-944A-F745AD9E2F93}"/>
    <cellStyle name="Comma 10 4 6 3 2" xfId="12919" xr:uid="{959F20E7-ED4A-449B-8535-E946E33DC9ED}"/>
    <cellStyle name="Comma 10 4 6 3 2 2" xfId="28039" xr:uid="{ECF6E26C-2627-4602-A3BE-A5770A5D21C0}"/>
    <cellStyle name="Comma 10 4 6 3 2 2 2" xfId="58279" xr:uid="{120F84C3-3459-4898-A6A3-FB88B7ECF5E2}"/>
    <cellStyle name="Comma 10 4 6 3 2 3" xfId="43159" xr:uid="{0B496DAF-E4C1-42A5-BE2A-2A7CD1DC4414}"/>
    <cellStyle name="Comma 10 4 6 3 3" xfId="18967" xr:uid="{00D014B1-CAF1-4077-8E60-679F6613179F}"/>
    <cellStyle name="Comma 10 4 6 3 3 2" xfId="49207" xr:uid="{00326683-DC0D-4278-964C-008A94B3C761}"/>
    <cellStyle name="Comma 10 4 6 3 4" xfId="34087" xr:uid="{EA0F297F-7BBB-4207-88DA-BC7CCF10C06D}"/>
    <cellStyle name="Comma 10 4 6 4" xfId="5359" xr:uid="{EB55C738-818F-4423-A4EA-F46E7847C821}"/>
    <cellStyle name="Comma 10 4 6 4 2" xfId="14431" xr:uid="{C023B752-D42D-4D96-A4CB-A0D59438A40E}"/>
    <cellStyle name="Comma 10 4 6 4 2 2" xfId="29551" xr:uid="{57614FBF-7FA7-4A99-AFB2-B25731901A3C}"/>
    <cellStyle name="Comma 10 4 6 4 2 2 2" xfId="59791" xr:uid="{74CC387E-B891-413D-9BAF-C237B2D0AD9A}"/>
    <cellStyle name="Comma 10 4 6 4 2 3" xfId="44671" xr:uid="{B90FA4BA-011E-4E6E-9C2D-962A2115DAEB}"/>
    <cellStyle name="Comma 10 4 6 4 3" xfId="20479" xr:uid="{24E63EE3-93E3-4468-A4E6-7B016E0FACBB}"/>
    <cellStyle name="Comma 10 4 6 4 3 2" xfId="50719" xr:uid="{A80811CD-0B8E-4FB2-8E1A-4570607161B1}"/>
    <cellStyle name="Comma 10 4 6 4 4" xfId="35599" xr:uid="{D30FAA43-9D89-42E6-9371-07F295589958}"/>
    <cellStyle name="Comma 10 4 6 5" xfId="6871" xr:uid="{345C37CF-4547-42D6-8272-0EAFE4679C43}"/>
    <cellStyle name="Comma 10 4 6 5 2" xfId="21991" xr:uid="{DF778291-B916-4CB6-9D6D-21F75770B411}"/>
    <cellStyle name="Comma 10 4 6 5 2 2" xfId="52231" xr:uid="{EB692DE5-6297-4C38-B768-893CB1FAD9A3}"/>
    <cellStyle name="Comma 10 4 6 5 3" xfId="37111" xr:uid="{791DAA99-4C95-4A57-B9FA-2E7C127BFDDF}"/>
    <cellStyle name="Comma 10 4 6 6" xfId="8383" xr:uid="{F4B43BF3-4B6D-4815-B1AB-DC84DBED84A2}"/>
    <cellStyle name="Comma 10 4 6 6 2" xfId="23503" xr:uid="{6B4C4F57-43DF-46C2-8673-4B7565ABBDCA}"/>
    <cellStyle name="Comma 10 4 6 6 2 2" xfId="53743" xr:uid="{880893C0-20C3-4F98-B68F-E3C0098ED2FA}"/>
    <cellStyle name="Comma 10 4 6 6 3" xfId="38623" xr:uid="{2CA42CA0-F8B7-42F6-8819-1AFEF9376779}"/>
    <cellStyle name="Comma 10 4 6 7" xfId="9895" xr:uid="{ECB5102E-6F68-406C-9992-933AB71CC036}"/>
    <cellStyle name="Comma 10 4 6 7 2" xfId="25015" xr:uid="{998A506A-64BD-43E1-85AB-7642C8F0EEBC}"/>
    <cellStyle name="Comma 10 4 6 7 2 2" xfId="55255" xr:uid="{CF020C72-DB54-45D4-996A-6541227154A8}"/>
    <cellStyle name="Comma 10 4 6 7 3" xfId="40135" xr:uid="{06FA70CD-C791-48A8-AC1E-3B3AB03F333F}"/>
    <cellStyle name="Comma 10 4 6 8" xfId="15943" xr:uid="{70960D62-FDA4-4EB9-ADDD-ACA077C7162D}"/>
    <cellStyle name="Comma 10 4 6 8 2" xfId="46183" xr:uid="{EF058D22-1362-4E50-A0F2-C9F394F44E4F}"/>
    <cellStyle name="Comma 10 4 6 9" xfId="31063" xr:uid="{0F85D483-4EB7-4B17-802C-D4C8AF6F4577}"/>
    <cellStyle name="Comma 10 4 7" xfId="1579" xr:uid="{65FD5100-8457-4BDA-BA54-0A43CB7A8D62}"/>
    <cellStyle name="Comma 10 4 7 2" xfId="10651" xr:uid="{66E04438-7040-4A13-829B-7F1871AECB63}"/>
    <cellStyle name="Comma 10 4 7 2 2" xfId="25771" xr:uid="{A8630F01-326E-418E-AA10-878AE2A76F60}"/>
    <cellStyle name="Comma 10 4 7 2 2 2" xfId="56011" xr:uid="{6173945B-A168-4860-8953-740C7AD64B41}"/>
    <cellStyle name="Comma 10 4 7 2 3" xfId="40891" xr:uid="{8A798615-30FA-4438-A3F5-A8424394B2A4}"/>
    <cellStyle name="Comma 10 4 7 3" xfId="16699" xr:uid="{2F9DDF94-E3C7-4EA9-8317-256DE6F6A086}"/>
    <cellStyle name="Comma 10 4 7 3 2" xfId="46939" xr:uid="{6DB93BE6-A675-423C-A58F-197C25ECA460}"/>
    <cellStyle name="Comma 10 4 7 4" xfId="31819" xr:uid="{876BBE1F-98DE-4F7F-A4FD-7DBD1EB62B33}"/>
    <cellStyle name="Comma 10 4 8" xfId="3091" xr:uid="{534C36A9-C548-4C8A-8963-E5B512DD90E8}"/>
    <cellStyle name="Comma 10 4 8 2" xfId="12163" xr:uid="{CFC2E842-CC3E-4D34-B211-7DCBB9637774}"/>
    <cellStyle name="Comma 10 4 8 2 2" xfId="27283" xr:uid="{13BF77F1-2279-4C8E-8E77-1411A8F906BF}"/>
    <cellStyle name="Comma 10 4 8 2 2 2" xfId="57523" xr:uid="{C47ADC21-A429-4296-9554-7D63801FAE30}"/>
    <cellStyle name="Comma 10 4 8 2 3" xfId="42403" xr:uid="{19406800-683A-4942-8E79-97AAC7858546}"/>
    <cellStyle name="Comma 10 4 8 3" xfId="18211" xr:uid="{39B23F63-B875-46BB-A8B2-75C2DE92649F}"/>
    <cellStyle name="Comma 10 4 8 3 2" xfId="48451" xr:uid="{2AEC6C25-D183-4D69-80D1-9930C0FD6768}"/>
    <cellStyle name="Comma 10 4 8 4" xfId="33331" xr:uid="{70B2AABA-79A6-4A20-9363-9B865D019BEE}"/>
    <cellStyle name="Comma 10 4 9" xfId="4603" xr:uid="{3C7AFE15-E47C-4B14-9ACB-DB1BECC0DB94}"/>
    <cellStyle name="Comma 10 4 9 2" xfId="13675" xr:uid="{88F7A3AB-E346-4347-B701-8AE54560F5C9}"/>
    <cellStyle name="Comma 10 4 9 2 2" xfId="28795" xr:uid="{E4AF7B0C-8D00-480B-8E91-471D8295F0D2}"/>
    <cellStyle name="Comma 10 4 9 2 2 2" xfId="59035" xr:uid="{17A0CC5C-669A-46D9-AD91-9B82B0B4B95C}"/>
    <cellStyle name="Comma 10 4 9 2 3" xfId="43915" xr:uid="{1F71AB26-ABC8-4CBD-9B2F-7F4BD4E110FE}"/>
    <cellStyle name="Comma 10 4 9 3" xfId="19723" xr:uid="{3C87D50A-C487-4AA1-9184-F2D34735DB59}"/>
    <cellStyle name="Comma 10 4 9 3 2" xfId="49963" xr:uid="{CF40D607-90AD-4A8A-84A1-057B9B329FA8}"/>
    <cellStyle name="Comma 10 4 9 4" xfId="34843" xr:uid="{DA66ED97-A8E0-49AD-9C8D-D9A50D8BE058}"/>
    <cellStyle name="Comma 10 5" xfId="109" xr:uid="{36D51608-6EA0-4082-A042-B0106FBF1718}"/>
    <cellStyle name="Comma 10 5 10" xfId="9181" xr:uid="{90C282BF-49C3-46AF-994B-39EBA895AF60}"/>
    <cellStyle name="Comma 10 5 10 2" xfId="24301" xr:uid="{4C62F841-0FEC-4989-A93F-0E5687D2A6F1}"/>
    <cellStyle name="Comma 10 5 10 2 2" xfId="54541" xr:uid="{FD9B8800-A4DE-4FD4-80BE-9C45B3154E46}"/>
    <cellStyle name="Comma 10 5 10 3" xfId="39421" xr:uid="{FC1047ED-F456-416D-81EC-BC20C04C0B8B}"/>
    <cellStyle name="Comma 10 5 11" xfId="15229" xr:uid="{1E00C4E2-CFC5-4FEF-A94A-C3ED74A12D63}"/>
    <cellStyle name="Comma 10 5 11 2" xfId="45469" xr:uid="{BE1C35EA-ECFC-4C59-A098-5491B1BC2B9B}"/>
    <cellStyle name="Comma 10 5 12" xfId="30349" xr:uid="{BAC17914-F99C-4296-A8D6-850DB124716A}"/>
    <cellStyle name="Comma 10 5 2" xfId="361" xr:uid="{9F4AAD4B-3EDC-4646-8CCE-EEA038230740}"/>
    <cellStyle name="Comma 10 5 2 10" xfId="30601" xr:uid="{E3F30F6A-7EDA-41AE-A99B-8BE44C8A0694}"/>
    <cellStyle name="Comma 10 5 2 2" xfId="1117" xr:uid="{8CFFB862-08D3-4D50-9CE9-6339E7CB886F}"/>
    <cellStyle name="Comma 10 5 2 2 2" xfId="2629" xr:uid="{4CD46518-24BD-40E9-8348-1A239F0625B2}"/>
    <cellStyle name="Comma 10 5 2 2 2 2" xfId="11701" xr:uid="{F3DC5714-B9F9-46A6-AEA3-DF78116C0986}"/>
    <cellStyle name="Comma 10 5 2 2 2 2 2" xfId="26821" xr:uid="{2D721A6E-58AC-4295-80E5-C015B41CF090}"/>
    <cellStyle name="Comma 10 5 2 2 2 2 2 2" xfId="57061" xr:uid="{E9EC18AE-0A77-4381-A45C-D4CB7D88652C}"/>
    <cellStyle name="Comma 10 5 2 2 2 2 3" xfId="41941" xr:uid="{A53C17C4-BD0F-4763-BC2D-722BB24CB663}"/>
    <cellStyle name="Comma 10 5 2 2 2 3" xfId="17749" xr:uid="{D51248A5-2ED4-4B53-90D2-5647273C1FAF}"/>
    <cellStyle name="Comma 10 5 2 2 2 3 2" xfId="47989" xr:uid="{BDF6DFDD-F3C8-4097-825D-F07508F8AE0B}"/>
    <cellStyle name="Comma 10 5 2 2 2 4" xfId="32869" xr:uid="{C18939BB-6F7E-4E67-8BE7-C48A77C104E2}"/>
    <cellStyle name="Comma 10 5 2 2 3" xfId="4141" xr:uid="{1BDFCAF6-6254-4894-8650-7175D04012BE}"/>
    <cellStyle name="Comma 10 5 2 2 3 2" xfId="13213" xr:uid="{72AE6706-188B-4130-955D-582E9D5EA932}"/>
    <cellStyle name="Comma 10 5 2 2 3 2 2" xfId="28333" xr:uid="{649FE12F-2917-4801-9F87-EA7A0945C9DD}"/>
    <cellStyle name="Comma 10 5 2 2 3 2 2 2" xfId="58573" xr:uid="{CD98CA5E-AAC1-4CF0-96EC-4BC8B34FE683}"/>
    <cellStyle name="Comma 10 5 2 2 3 2 3" xfId="43453" xr:uid="{7E3B8590-8487-4002-8064-EBB937D96B12}"/>
    <cellStyle name="Comma 10 5 2 2 3 3" xfId="19261" xr:uid="{3868CB9D-A6AB-48C9-92C2-2D446BD799DB}"/>
    <cellStyle name="Comma 10 5 2 2 3 3 2" xfId="49501" xr:uid="{F33F744E-D129-482F-A7E9-EC9822D7AD37}"/>
    <cellStyle name="Comma 10 5 2 2 3 4" xfId="34381" xr:uid="{4BD21C82-439A-43C8-9ACF-EF9AFD683C28}"/>
    <cellStyle name="Comma 10 5 2 2 4" xfId="5653" xr:uid="{F82F0731-1512-4D5E-BC12-D991AD6C0C7A}"/>
    <cellStyle name="Comma 10 5 2 2 4 2" xfId="14725" xr:uid="{185E2C72-F40C-4FE7-A4B4-2D1116AD0A5E}"/>
    <cellStyle name="Comma 10 5 2 2 4 2 2" xfId="29845" xr:uid="{A6CC0390-47D8-48E9-8BBE-E8F231191CB8}"/>
    <cellStyle name="Comma 10 5 2 2 4 2 2 2" xfId="60085" xr:uid="{50259500-3A43-4B2B-AA23-F7103247139E}"/>
    <cellStyle name="Comma 10 5 2 2 4 2 3" xfId="44965" xr:uid="{1AA32A5B-8443-418F-B5C3-ED12364771E6}"/>
    <cellStyle name="Comma 10 5 2 2 4 3" xfId="20773" xr:uid="{7FB8A8B1-1701-480F-8BF9-5E6FB0F7AF34}"/>
    <cellStyle name="Comma 10 5 2 2 4 3 2" xfId="51013" xr:uid="{B0883F3B-F160-4E9C-9317-6810E0CF3993}"/>
    <cellStyle name="Comma 10 5 2 2 4 4" xfId="35893" xr:uid="{29774DD3-2290-4EA9-A6B3-8579DA75A79E}"/>
    <cellStyle name="Comma 10 5 2 2 5" xfId="7165" xr:uid="{3C89B417-5CB3-4755-9DE7-5BE5FFFB0C82}"/>
    <cellStyle name="Comma 10 5 2 2 5 2" xfId="22285" xr:uid="{B70EABDC-B10B-4052-A51C-3214641E2A26}"/>
    <cellStyle name="Comma 10 5 2 2 5 2 2" xfId="52525" xr:uid="{8F0D2E84-FE88-4285-946F-704118C9CEFC}"/>
    <cellStyle name="Comma 10 5 2 2 5 3" xfId="37405" xr:uid="{FAE17B8E-3C94-456F-A342-06EE1D8F0309}"/>
    <cellStyle name="Comma 10 5 2 2 6" xfId="8677" xr:uid="{C06386B7-3F91-4781-8702-EF1859D31F52}"/>
    <cellStyle name="Comma 10 5 2 2 6 2" xfId="23797" xr:uid="{A4A60751-D677-456E-8D19-F6B481FB2A77}"/>
    <cellStyle name="Comma 10 5 2 2 6 2 2" xfId="54037" xr:uid="{5AA21230-7116-4880-8EB4-F9F390006CBB}"/>
    <cellStyle name="Comma 10 5 2 2 6 3" xfId="38917" xr:uid="{6D8FF396-6D96-46E3-8DAD-19E62557274E}"/>
    <cellStyle name="Comma 10 5 2 2 7" xfId="10189" xr:uid="{C57749C7-281D-4177-85D8-D670F130A90A}"/>
    <cellStyle name="Comma 10 5 2 2 7 2" xfId="25309" xr:uid="{0146ED63-BD1A-4960-AB62-A4B4F0539781}"/>
    <cellStyle name="Comma 10 5 2 2 7 2 2" xfId="55549" xr:uid="{74D78F03-EF72-45E1-BAA7-4C41A6F95DD0}"/>
    <cellStyle name="Comma 10 5 2 2 7 3" xfId="40429" xr:uid="{0CC9322A-AA97-4E6D-A369-A604A4DF62F0}"/>
    <cellStyle name="Comma 10 5 2 2 8" xfId="16237" xr:uid="{49E464F4-EF94-4CF8-9957-A81E7BC45E97}"/>
    <cellStyle name="Comma 10 5 2 2 8 2" xfId="46477" xr:uid="{C521E656-732C-4E3D-AAAC-492A9FB4505A}"/>
    <cellStyle name="Comma 10 5 2 2 9" xfId="31357" xr:uid="{9548340B-E2CF-455B-A2D6-3A8D0D7336A2}"/>
    <cellStyle name="Comma 10 5 2 3" xfId="1873" xr:uid="{79DD02E3-5356-4FC7-BC60-9C148419CFE3}"/>
    <cellStyle name="Comma 10 5 2 3 2" xfId="10945" xr:uid="{48039E1D-2F5C-41BE-A735-FA095F746DB6}"/>
    <cellStyle name="Comma 10 5 2 3 2 2" xfId="26065" xr:uid="{8D11389B-B988-4263-B667-0B85F6F801A8}"/>
    <cellStyle name="Comma 10 5 2 3 2 2 2" xfId="56305" xr:uid="{CF9F8CBD-628C-45B2-9461-85D55C368D58}"/>
    <cellStyle name="Comma 10 5 2 3 2 3" xfId="41185" xr:uid="{31E8F7E0-6034-4380-8B0C-F2CBF4995F9C}"/>
    <cellStyle name="Comma 10 5 2 3 3" xfId="16993" xr:uid="{6BC12240-2F7F-42AC-B5FD-39989F25B656}"/>
    <cellStyle name="Comma 10 5 2 3 3 2" xfId="47233" xr:uid="{60768A38-8FB1-4FD3-AEBE-4E6FBC2C3A95}"/>
    <cellStyle name="Comma 10 5 2 3 4" xfId="32113" xr:uid="{6EA179B3-E12D-4CBF-97FA-96E3AF38E6FE}"/>
    <cellStyle name="Comma 10 5 2 4" xfId="3385" xr:uid="{B20B4571-D7EF-4E03-9ED0-55C65C7FE373}"/>
    <cellStyle name="Comma 10 5 2 4 2" xfId="12457" xr:uid="{D04EF489-8758-401E-BFC4-73C09DA47264}"/>
    <cellStyle name="Comma 10 5 2 4 2 2" xfId="27577" xr:uid="{ED79E281-2CB1-421C-9C22-B900D931F88A}"/>
    <cellStyle name="Comma 10 5 2 4 2 2 2" xfId="57817" xr:uid="{E0192429-1707-42D2-BBAE-5E11DEE68BB1}"/>
    <cellStyle name="Comma 10 5 2 4 2 3" xfId="42697" xr:uid="{60B187B7-92CA-4C36-AA9E-DF5D6A26EACA}"/>
    <cellStyle name="Comma 10 5 2 4 3" xfId="18505" xr:uid="{43EB2246-5C51-4D18-9C59-14B6D2BD1CEE}"/>
    <cellStyle name="Comma 10 5 2 4 3 2" xfId="48745" xr:uid="{BF108B96-D020-4499-B5B2-612F922A07A0}"/>
    <cellStyle name="Comma 10 5 2 4 4" xfId="33625" xr:uid="{16872DCD-BCAB-430A-9997-534DBFDA8AFB}"/>
    <cellStyle name="Comma 10 5 2 5" xfId="4897" xr:uid="{C9C00483-914B-4165-AA00-8A36E718B466}"/>
    <cellStyle name="Comma 10 5 2 5 2" xfId="13969" xr:uid="{069819FA-8FA3-4018-B8C1-872F5A5340F1}"/>
    <cellStyle name="Comma 10 5 2 5 2 2" xfId="29089" xr:uid="{2993131A-C9C0-4BCF-B1C0-13A8954BEEA9}"/>
    <cellStyle name="Comma 10 5 2 5 2 2 2" xfId="59329" xr:uid="{453F546A-6846-48EB-B263-9D8219365319}"/>
    <cellStyle name="Comma 10 5 2 5 2 3" xfId="44209" xr:uid="{444066F4-E609-41A2-8F6C-D9F6E3514BCF}"/>
    <cellStyle name="Comma 10 5 2 5 3" xfId="20017" xr:uid="{34C9CE0F-DA66-46D7-AB08-C9CA812B12DD}"/>
    <cellStyle name="Comma 10 5 2 5 3 2" xfId="50257" xr:uid="{57C588D3-52DF-4D8E-BDB7-CFE446043FB2}"/>
    <cellStyle name="Comma 10 5 2 5 4" xfId="35137" xr:uid="{CDD81C43-2277-455F-B972-99FB4F17816A}"/>
    <cellStyle name="Comma 10 5 2 6" xfId="6409" xr:uid="{F69DF232-5217-4069-96E9-B74D64AFE191}"/>
    <cellStyle name="Comma 10 5 2 6 2" xfId="21529" xr:uid="{84C15C6D-F8A8-4254-8743-59600BD9AE6B}"/>
    <cellStyle name="Comma 10 5 2 6 2 2" xfId="51769" xr:uid="{E1FDE1ED-93A2-4077-A5DE-6F03C03F9D67}"/>
    <cellStyle name="Comma 10 5 2 6 3" xfId="36649" xr:uid="{C3688558-81C2-48AD-B07F-8062B810362A}"/>
    <cellStyle name="Comma 10 5 2 7" xfId="7921" xr:uid="{E3FB8669-89F0-4AA3-9318-4A771952FF7D}"/>
    <cellStyle name="Comma 10 5 2 7 2" xfId="23041" xr:uid="{CF4A2163-E81D-4897-BE40-BBDB2B239C8B}"/>
    <cellStyle name="Comma 10 5 2 7 2 2" xfId="53281" xr:uid="{3E762E76-E8A9-4041-A9B5-61FBB5EECC2E}"/>
    <cellStyle name="Comma 10 5 2 7 3" xfId="38161" xr:uid="{3E00093D-0E7A-4512-AF6E-421EB5623DBA}"/>
    <cellStyle name="Comma 10 5 2 8" xfId="9433" xr:uid="{F077E337-9CF1-4C5B-A963-DF69666CEF9C}"/>
    <cellStyle name="Comma 10 5 2 8 2" xfId="24553" xr:uid="{0BFE87C8-DD3D-49BC-86C2-B633C083336C}"/>
    <cellStyle name="Comma 10 5 2 8 2 2" xfId="54793" xr:uid="{68E567EB-F302-481C-8BC9-9C77D6D0AD69}"/>
    <cellStyle name="Comma 10 5 2 8 3" xfId="39673" xr:uid="{CE1304C5-296C-4E2D-AFB7-1063898D81CA}"/>
    <cellStyle name="Comma 10 5 2 9" xfId="15481" xr:uid="{6A635B60-0AD6-4B53-9767-201A038B966D}"/>
    <cellStyle name="Comma 10 5 2 9 2" xfId="45721" xr:uid="{37A17239-480D-4EC1-8937-6D199E3FF0D4}"/>
    <cellStyle name="Comma 10 5 3" xfId="613" xr:uid="{EAAB96EC-B637-4C97-9004-EF4E2F9ED853}"/>
    <cellStyle name="Comma 10 5 3 10" xfId="30853" xr:uid="{94772D2B-360B-4F56-937A-13CC9674F20E}"/>
    <cellStyle name="Comma 10 5 3 2" xfId="1369" xr:uid="{759F8EB7-5D04-4D14-89BE-FA66E2979CE3}"/>
    <cellStyle name="Comma 10 5 3 2 2" xfId="2881" xr:uid="{A72FE882-A277-4566-AB47-067F4E0B62B0}"/>
    <cellStyle name="Comma 10 5 3 2 2 2" xfId="11953" xr:uid="{A81A3E84-9D29-45EF-9957-89FF8F140BDA}"/>
    <cellStyle name="Comma 10 5 3 2 2 2 2" xfId="27073" xr:uid="{18116EF2-D944-4C3A-A74C-78F276784C43}"/>
    <cellStyle name="Comma 10 5 3 2 2 2 2 2" xfId="57313" xr:uid="{7D17CAEF-4F54-4A5D-AEAE-48E7745FF64A}"/>
    <cellStyle name="Comma 10 5 3 2 2 2 3" xfId="42193" xr:uid="{BE070B6F-0A31-4829-AB4D-8D9C0D03F83E}"/>
    <cellStyle name="Comma 10 5 3 2 2 3" xfId="18001" xr:uid="{7E641183-24DF-4541-AB00-F87BF930DBB1}"/>
    <cellStyle name="Comma 10 5 3 2 2 3 2" xfId="48241" xr:uid="{BC4D425D-9393-4CA2-A1FD-B23AA355333A}"/>
    <cellStyle name="Comma 10 5 3 2 2 4" xfId="33121" xr:uid="{E5A35101-C024-4EE3-995C-A10B1B1AF4B3}"/>
    <cellStyle name="Comma 10 5 3 2 3" xfId="4393" xr:uid="{4D389716-5D26-4971-9C34-16A8E8597BD2}"/>
    <cellStyle name="Comma 10 5 3 2 3 2" xfId="13465" xr:uid="{3E82EBC1-5304-49F0-A527-B925C29B159D}"/>
    <cellStyle name="Comma 10 5 3 2 3 2 2" xfId="28585" xr:uid="{D98D91A4-BF25-4F0A-AF5D-40463C8DC41A}"/>
    <cellStyle name="Comma 10 5 3 2 3 2 2 2" xfId="58825" xr:uid="{633F4FF2-C687-4612-94D1-A395C1720CEA}"/>
    <cellStyle name="Comma 10 5 3 2 3 2 3" xfId="43705" xr:uid="{9279008C-86FA-46A2-9356-3BAFAB9633FB}"/>
    <cellStyle name="Comma 10 5 3 2 3 3" xfId="19513" xr:uid="{8EDFA451-CD2B-4BB6-A718-0B1C6C6E9135}"/>
    <cellStyle name="Comma 10 5 3 2 3 3 2" xfId="49753" xr:uid="{E8EDCF42-469F-4EBB-9BB5-7C26A6CD3B16}"/>
    <cellStyle name="Comma 10 5 3 2 3 4" xfId="34633" xr:uid="{76AE280A-47D8-454B-9477-596C2F4788BE}"/>
    <cellStyle name="Comma 10 5 3 2 4" xfId="5905" xr:uid="{9A19D9F3-9BE4-47E3-9AEA-EB29170DF1B2}"/>
    <cellStyle name="Comma 10 5 3 2 4 2" xfId="14977" xr:uid="{038E87C7-7C07-475A-B62D-32E5BB0B8E99}"/>
    <cellStyle name="Comma 10 5 3 2 4 2 2" xfId="30097" xr:uid="{FD7AD440-237C-4E9D-B767-F6B69ADB87B7}"/>
    <cellStyle name="Comma 10 5 3 2 4 2 2 2" xfId="60337" xr:uid="{7E8188EB-D08D-481B-ACB2-7A4A081348EB}"/>
    <cellStyle name="Comma 10 5 3 2 4 2 3" xfId="45217" xr:uid="{468D5B5B-8190-48C6-8711-E12E154763E2}"/>
    <cellStyle name="Comma 10 5 3 2 4 3" xfId="21025" xr:uid="{8D75E349-89FF-46F5-B892-D9186B06CBAC}"/>
    <cellStyle name="Comma 10 5 3 2 4 3 2" xfId="51265" xr:uid="{2C24B76F-17EB-44A3-A8C2-33ADBF034152}"/>
    <cellStyle name="Comma 10 5 3 2 4 4" xfId="36145" xr:uid="{825A5490-E66B-4458-86D9-2A0FBE74C5D2}"/>
    <cellStyle name="Comma 10 5 3 2 5" xfId="7417" xr:uid="{7E0F07F5-266C-40E5-BAD3-EA15153A9F93}"/>
    <cellStyle name="Comma 10 5 3 2 5 2" xfId="22537" xr:uid="{4AD63FC2-1F5E-4CB0-8131-60A7A35512C5}"/>
    <cellStyle name="Comma 10 5 3 2 5 2 2" xfId="52777" xr:uid="{4B8EA313-14DE-45B8-A9BC-800879165B06}"/>
    <cellStyle name="Comma 10 5 3 2 5 3" xfId="37657" xr:uid="{36F1496A-CD20-4B78-9C50-D646A5523134}"/>
    <cellStyle name="Comma 10 5 3 2 6" xfId="8929" xr:uid="{2057E6F0-C653-417C-A85D-992D021D015D}"/>
    <cellStyle name="Comma 10 5 3 2 6 2" xfId="24049" xr:uid="{F89448AB-6CC2-4A11-BCCC-AC994934F011}"/>
    <cellStyle name="Comma 10 5 3 2 6 2 2" xfId="54289" xr:uid="{3C20519C-B303-4061-8807-F6C934DB14A6}"/>
    <cellStyle name="Comma 10 5 3 2 6 3" xfId="39169" xr:uid="{D25BA7B4-7141-4101-81DD-B78A64E1642D}"/>
    <cellStyle name="Comma 10 5 3 2 7" xfId="10441" xr:uid="{AB43546F-03E5-4BD7-803D-F03CEAD1AE59}"/>
    <cellStyle name="Comma 10 5 3 2 7 2" xfId="25561" xr:uid="{97CE8636-C751-4F73-A773-281BB0D3CAD3}"/>
    <cellStyle name="Comma 10 5 3 2 7 2 2" xfId="55801" xr:uid="{6D208646-F59E-4BBF-8DFB-4EA9B1D31938}"/>
    <cellStyle name="Comma 10 5 3 2 7 3" xfId="40681" xr:uid="{E0F8D0DE-E886-4AA7-8012-54467BC50269}"/>
    <cellStyle name="Comma 10 5 3 2 8" xfId="16489" xr:uid="{63381390-61D9-4B0D-A9F9-37000B8CADC5}"/>
    <cellStyle name="Comma 10 5 3 2 8 2" xfId="46729" xr:uid="{C4526592-1FB8-4A77-8A2E-D60206DE876B}"/>
    <cellStyle name="Comma 10 5 3 2 9" xfId="31609" xr:uid="{1835F8EB-FC1F-4360-83E9-EAA136856156}"/>
    <cellStyle name="Comma 10 5 3 3" xfId="2125" xr:uid="{2E61FA23-C659-4C7C-A271-98CFA229C040}"/>
    <cellStyle name="Comma 10 5 3 3 2" xfId="11197" xr:uid="{34CCA3EB-5508-438F-ACA4-764EEDD000D4}"/>
    <cellStyle name="Comma 10 5 3 3 2 2" xfId="26317" xr:uid="{BD28DAE3-AB66-49D9-B654-9DE66ED67B08}"/>
    <cellStyle name="Comma 10 5 3 3 2 2 2" xfId="56557" xr:uid="{6EBB1475-0061-4C25-8EB5-E2F36B04CE8C}"/>
    <cellStyle name="Comma 10 5 3 3 2 3" xfId="41437" xr:uid="{4C1E2D27-020E-48C5-9E19-A55F7450B3BD}"/>
    <cellStyle name="Comma 10 5 3 3 3" xfId="17245" xr:uid="{EC410B55-C913-4B2A-B130-D3685E8ED785}"/>
    <cellStyle name="Comma 10 5 3 3 3 2" xfId="47485" xr:uid="{3E029426-9DE5-4060-84DD-9B65268C26FE}"/>
    <cellStyle name="Comma 10 5 3 3 4" xfId="32365" xr:uid="{151E5E61-F745-4A74-83F7-75E355F515E1}"/>
    <cellStyle name="Comma 10 5 3 4" xfId="3637" xr:uid="{F384BA5D-1D4F-4576-827F-21B165079854}"/>
    <cellStyle name="Comma 10 5 3 4 2" xfId="12709" xr:uid="{859529AD-1A8B-49E8-A2ED-EBDAEFF76B13}"/>
    <cellStyle name="Comma 10 5 3 4 2 2" xfId="27829" xr:uid="{99C2841A-71E4-4233-ADB6-6075E59A1E15}"/>
    <cellStyle name="Comma 10 5 3 4 2 2 2" xfId="58069" xr:uid="{17053335-458B-4F74-9EDB-B828DE86BB97}"/>
    <cellStyle name="Comma 10 5 3 4 2 3" xfId="42949" xr:uid="{784D0E4B-6146-455A-BA9E-6C461FAD0A49}"/>
    <cellStyle name="Comma 10 5 3 4 3" xfId="18757" xr:uid="{DCFF2062-6F21-4219-BE5D-F9DDA8F07778}"/>
    <cellStyle name="Comma 10 5 3 4 3 2" xfId="48997" xr:uid="{9DDBB466-44DA-4444-BC64-6B286C98E391}"/>
    <cellStyle name="Comma 10 5 3 4 4" xfId="33877" xr:uid="{80F813AF-769C-4B9D-A30C-C9B44E2EAF2F}"/>
    <cellStyle name="Comma 10 5 3 5" xfId="5149" xr:uid="{E82631A1-D6AE-4408-A62F-58102700C9B6}"/>
    <cellStyle name="Comma 10 5 3 5 2" xfId="14221" xr:uid="{305A9C40-9D2C-4831-8A27-2953786E5F4E}"/>
    <cellStyle name="Comma 10 5 3 5 2 2" xfId="29341" xr:uid="{F803450F-7E94-4DC7-83C5-3753FFABE2E5}"/>
    <cellStyle name="Comma 10 5 3 5 2 2 2" xfId="59581" xr:uid="{AB9AC23A-78F2-434B-B107-7B581C0B16AD}"/>
    <cellStyle name="Comma 10 5 3 5 2 3" xfId="44461" xr:uid="{4886D558-92C6-4968-8661-5C27D6AFB761}"/>
    <cellStyle name="Comma 10 5 3 5 3" xfId="20269" xr:uid="{26EBF5C9-3083-4A7B-8694-6E6B7E36E1BF}"/>
    <cellStyle name="Comma 10 5 3 5 3 2" xfId="50509" xr:uid="{A0C3F747-6392-431A-A497-B4CCD1325507}"/>
    <cellStyle name="Comma 10 5 3 5 4" xfId="35389" xr:uid="{24BB0F43-6EC0-4108-B7D2-D5FDB4B178C4}"/>
    <cellStyle name="Comma 10 5 3 6" xfId="6661" xr:uid="{17C49F5B-0759-4290-AAE7-052D07094C34}"/>
    <cellStyle name="Comma 10 5 3 6 2" xfId="21781" xr:uid="{58EAB353-2052-4815-B1A9-A458EEA65524}"/>
    <cellStyle name="Comma 10 5 3 6 2 2" xfId="52021" xr:uid="{819BD519-5C0A-44CA-9800-3885BB27F392}"/>
    <cellStyle name="Comma 10 5 3 6 3" xfId="36901" xr:uid="{B915B595-04CE-4ADB-A29F-9A8585648286}"/>
    <cellStyle name="Comma 10 5 3 7" xfId="8173" xr:uid="{F410ABC4-D48B-446D-A152-4E908CEE1320}"/>
    <cellStyle name="Comma 10 5 3 7 2" xfId="23293" xr:uid="{FEDDF988-6982-472B-BF78-29DA010ADDF0}"/>
    <cellStyle name="Comma 10 5 3 7 2 2" xfId="53533" xr:uid="{2209BA22-57B4-4F09-A5FA-65EFBCEC4764}"/>
    <cellStyle name="Comma 10 5 3 7 3" xfId="38413" xr:uid="{8F102636-61D2-44BA-8796-E714541E5DC3}"/>
    <cellStyle name="Comma 10 5 3 8" xfId="9685" xr:uid="{7155AF63-E970-40B6-B058-DFC8D2342210}"/>
    <cellStyle name="Comma 10 5 3 8 2" xfId="24805" xr:uid="{4CBA2D80-9260-4909-9521-9C651953B8DE}"/>
    <cellStyle name="Comma 10 5 3 8 2 2" xfId="55045" xr:uid="{3302629A-F877-48B1-9C01-95CE4C19BB24}"/>
    <cellStyle name="Comma 10 5 3 8 3" xfId="39925" xr:uid="{2D28A80D-4183-406D-A23E-C78205FDC890}"/>
    <cellStyle name="Comma 10 5 3 9" xfId="15733" xr:uid="{B4B3A296-B26F-4555-BA5E-9C4BD6C2DB44}"/>
    <cellStyle name="Comma 10 5 3 9 2" xfId="45973" xr:uid="{96161D09-243B-4E76-9311-D6E84584A125}"/>
    <cellStyle name="Comma 10 5 4" xfId="865" xr:uid="{816229EF-22C3-4595-971D-800219281ED8}"/>
    <cellStyle name="Comma 10 5 4 2" xfId="2377" xr:uid="{A4EFFE7D-1ED8-4E02-94BC-257113231C1F}"/>
    <cellStyle name="Comma 10 5 4 2 2" xfId="11449" xr:uid="{0328371B-93BC-4BFB-B98A-FBFA6C8BFE6D}"/>
    <cellStyle name="Comma 10 5 4 2 2 2" xfId="26569" xr:uid="{D8F33F4B-BD49-4AA6-87E7-7C96192B5EE9}"/>
    <cellStyle name="Comma 10 5 4 2 2 2 2" xfId="56809" xr:uid="{5CDC8382-D7A0-4B41-B8E5-0142566D9AA8}"/>
    <cellStyle name="Comma 10 5 4 2 2 3" xfId="41689" xr:uid="{93011287-8AF7-4D85-8D01-6E27EA6FAC5B}"/>
    <cellStyle name="Comma 10 5 4 2 3" xfId="17497" xr:uid="{90B5457A-876D-462A-B320-DC570EDA90AB}"/>
    <cellStyle name="Comma 10 5 4 2 3 2" xfId="47737" xr:uid="{2CBE5E30-E949-466D-B0DD-EDA7226BA155}"/>
    <cellStyle name="Comma 10 5 4 2 4" xfId="32617" xr:uid="{1838DB77-BD32-4204-8FC1-E228C9C23F4C}"/>
    <cellStyle name="Comma 10 5 4 3" xfId="3889" xr:uid="{D32C5E85-FF78-470B-907D-09A0AF8A8E9F}"/>
    <cellStyle name="Comma 10 5 4 3 2" xfId="12961" xr:uid="{93813A6C-0997-4FA7-88FB-F86E46CC917D}"/>
    <cellStyle name="Comma 10 5 4 3 2 2" xfId="28081" xr:uid="{71F7F4B5-04CD-400B-82BE-D559A0FB328C}"/>
    <cellStyle name="Comma 10 5 4 3 2 2 2" xfId="58321" xr:uid="{33FF083E-828C-4976-8DE4-AB589CCCBED1}"/>
    <cellStyle name="Comma 10 5 4 3 2 3" xfId="43201" xr:uid="{535DA666-F590-42EB-A889-C3BBDD3B4E0E}"/>
    <cellStyle name="Comma 10 5 4 3 3" xfId="19009" xr:uid="{671A960F-5238-41EB-B6F9-7144E520E1F2}"/>
    <cellStyle name="Comma 10 5 4 3 3 2" xfId="49249" xr:uid="{5821B59E-7E66-4DCE-8673-9EE967D3EC39}"/>
    <cellStyle name="Comma 10 5 4 3 4" xfId="34129" xr:uid="{5651D336-DFC3-4E4E-9F4E-C76C6DDC16B6}"/>
    <cellStyle name="Comma 10 5 4 4" xfId="5401" xr:uid="{372585A3-FB8B-42F6-8D72-5DACDC94B2EA}"/>
    <cellStyle name="Comma 10 5 4 4 2" xfId="14473" xr:uid="{CF635CFE-006F-40A2-B1FF-D5B32A433DBC}"/>
    <cellStyle name="Comma 10 5 4 4 2 2" xfId="29593" xr:uid="{F8E833AE-CF31-416D-92B1-B1324DB077D4}"/>
    <cellStyle name="Comma 10 5 4 4 2 2 2" xfId="59833" xr:uid="{A9987703-FFD8-4F8B-9D54-0FA8AB89A105}"/>
    <cellStyle name="Comma 10 5 4 4 2 3" xfId="44713" xr:uid="{3F581450-9600-4FC6-8690-9DEF0E96C779}"/>
    <cellStyle name="Comma 10 5 4 4 3" xfId="20521" xr:uid="{1D5E6751-E0B2-4979-8D72-8DEA966C02BB}"/>
    <cellStyle name="Comma 10 5 4 4 3 2" xfId="50761" xr:uid="{1BCE8B27-ADF1-4AB7-AD94-C183CE6F95A3}"/>
    <cellStyle name="Comma 10 5 4 4 4" xfId="35641" xr:uid="{69B9397E-9E97-4A75-B2F6-8A18B42151F9}"/>
    <cellStyle name="Comma 10 5 4 5" xfId="6913" xr:uid="{4D238EB5-C2FB-45FE-B6CF-2C7C35B1138E}"/>
    <cellStyle name="Comma 10 5 4 5 2" xfId="22033" xr:uid="{9AECCE50-F309-4DBB-9B1E-97F0AF919477}"/>
    <cellStyle name="Comma 10 5 4 5 2 2" xfId="52273" xr:uid="{727E3ADF-C09C-4B4A-ADA1-6ACEDAA03746}"/>
    <cellStyle name="Comma 10 5 4 5 3" xfId="37153" xr:uid="{88F677AF-4C13-4496-8944-449BBB7B993C}"/>
    <cellStyle name="Comma 10 5 4 6" xfId="8425" xr:uid="{D49B1951-1994-4547-BF33-DFFB25F7AFDE}"/>
    <cellStyle name="Comma 10 5 4 6 2" xfId="23545" xr:uid="{B861C80C-ABC0-4E59-9A18-B2E08C74D854}"/>
    <cellStyle name="Comma 10 5 4 6 2 2" xfId="53785" xr:uid="{B48C00D2-470B-4AB4-A498-DCF9731F4273}"/>
    <cellStyle name="Comma 10 5 4 6 3" xfId="38665" xr:uid="{2993D5BF-2690-41AC-96CC-095C33CF1BB5}"/>
    <cellStyle name="Comma 10 5 4 7" xfId="9937" xr:uid="{69FF09D6-A0D7-4F18-B534-2F7951C25614}"/>
    <cellStyle name="Comma 10 5 4 7 2" xfId="25057" xr:uid="{6C6A6BA9-1D24-4AAC-9268-9DA2AB446B9D}"/>
    <cellStyle name="Comma 10 5 4 7 2 2" xfId="55297" xr:uid="{3FA32986-331B-482B-87DB-A4B07652B563}"/>
    <cellStyle name="Comma 10 5 4 7 3" xfId="40177" xr:uid="{A3C781BF-F763-4F70-87C3-D83202717C85}"/>
    <cellStyle name="Comma 10 5 4 8" xfId="15985" xr:uid="{F20CFBF5-D719-4207-8C92-87EFDF3E254F}"/>
    <cellStyle name="Comma 10 5 4 8 2" xfId="46225" xr:uid="{B8F09C9D-083E-4A21-97E6-ED2509A2C815}"/>
    <cellStyle name="Comma 10 5 4 9" xfId="31105" xr:uid="{9ABA0F87-6B93-48DA-A595-0F0FAF21B463}"/>
    <cellStyle name="Comma 10 5 5" xfId="1621" xr:uid="{11E89ABD-3267-4829-8203-B40322B762AA}"/>
    <cellStyle name="Comma 10 5 5 2" xfId="10693" xr:uid="{53B2ADDF-6BB7-4DD9-91BF-F2CFCF8A9B2A}"/>
    <cellStyle name="Comma 10 5 5 2 2" xfId="25813" xr:uid="{A2F3DE8F-D2A1-4C67-8835-F96054100481}"/>
    <cellStyle name="Comma 10 5 5 2 2 2" xfId="56053" xr:uid="{6BAD9AB5-8167-460E-84AB-5A4E254B6192}"/>
    <cellStyle name="Comma 10 5 5 2 3" xfId="40933" xr:uid="{DF57DD3A-A8EC-4CD2-8102-82331FE7AD15}"/>
    <cellStyle name="Comma 10 5 5 3" xfId="16741" xr:uid="{C9F49F34-562D-4FAF-97AD-8FC8FC7F28B9}"/>
    <cellStyle name="Comma 10 5 5 3 2" xfId="46981" xr:uid="{57827513-504B-4F84-BD45-CA0F7BBEF5C0}"/>
    <cellStyle name="Comma 10 5 5 4" xfId="31861" xr:uid="{3FC51723-3348-4F4A-B9E1-A92C92509831}"/>
    <cellStyle name="Comma 10 5 6" xfId="3133" xr:uid="{6CCAB396-E58F-4A04-8CB0-CCFE62A8B247}"/>
    <cellStyle name="Comma 10 5 6 2" xfId="12205" xr:uid="{7151860C-23EE-4ECE-807C-367C100B679E}"/>
    <cellStyle name="Comma 10 5 6 2 2" xfId="27325" xr:uid="{D05DD780-A623-4EED-91DE-44BD316063B3}"/>
    <cellStyle name="Comma 10 5 6 2 2 2" xfId="57565" xr:uid="{40D35268-AD03-4F3D-B22B-12F3A983735A}"/>
    <cellStyle name="Comma 10 5 6 2 3" xfId="42445" xr:uid="{19D7D056-3BE7-41BC-A031-04C1A30E0F8B}"/>
    <cellStyle name="Comma 10 5 6 3" xfId="18253" xr:uid="{6207F713-D30D-4476-9D97-25C3365066C9}"/>
    <cellStyle name="Comma 10 5 6 3 2" xfId="48493" xr:uid="{E3A58D23-A575-4EC1-9D7D-CBC99FA1CA15}"/>
    <cellStyle name="Comma 10 5 6 4" xfId="33373" xr:uid="{3AE9A6E0-1706-46F6-A837-ED7DE189E187}"/>
    <cellStyle name="Comma 10 5 7" xfId="4645" xr:uid="{CB566745-E61E-4BD7-9622-97D2532AD9D8}"/>
    <cellStyle name="Comma 10 5 7 2" xfId="13717" xr:uid="{A9A044D1-55F5-4664-AC8A-0A905C74D5DA}"/>
    <cellStyle name="Comma 10 5 7 2 2" xfId="28837" xr:uid="{1D7B90F0-0228-4CC2-8939-9543C726D7C5}"/>
    <cellStyle name="Comma 10 5 7 2 2 2" xfId="59077" xr:uid="{836E62AD-EBF8-4930-A7BA-E6C1F1B3A2AC}"/>
    <cellStyle name="Comma 10 5 7 2 3" xfId="43957" xr:uid="{874C4409-E763-40DD-8436-2E53F5DDCCE0}"/>
    <cellStyle name="Comma 10 5 7 3" xfId="19765" xr:uid="{75E6BC75-7947-49D3-A373-0E508385609A}"/>
    <cellStyle name="Comma 10 5 7 3 2" xfId="50005" xr:uid="{188C8A3B-4C89-4CA1-927D-6E403A00FE7D}"/>
    <cellStyle name="Comma 10 5 7 4" xfId="34885" xr:uid="{EF853C6B-0F1C-439C-81F8-41F8A7E1DCA4}"/>
    <cellStyle name="Comma 10 5 8" xfId="6157" xr:uid="{7F3F8D0E-FAD0-46E0-BF74-E5619353DCE0}"/>
    <cellStyle name="Comma 10 5 8 2" xfId="21277" xr:uid="{FB789E19-97D4-45F1-8550-1AECFEAFAECD}"/>
    <cellStyle name="Comma 10 5 8 2 2" xfId="51517" xr:uid="{964911EE-FF88-4468-BABD-53074A21E412}"/>
    <cellStyle name="Comma 10 5 8 3" xfId="36397" xr:uid="{DDFD9CB1-7466-43FA-8388-332DFC8F1991}"/>
    <cellStyle name="Comma 10 5 9" xfId="7669" xr:uid="{9C5F66C4-766A-48AD-972F-900B9DE31F7E}"/>
    <cellStyle name="Comma 10 5 9 2" xfId="22789" xr:uid="{5E546CBB-A1BE-466F-9007-EC56825584B3}"/>
    <cellStyle name="Comma 10 5 9 2 2" xfId="53029" xr:uid="{2F4CB9EC-5B71-4414-96C5-F4C1C7F672E4}"/>
    <cellStyle name="Comma 10 5 9 3" xfId="37909" xr:uid="{5A4A0725-F438-4D36-B512-9204105E68F2}"/>
    <cellStyle name="Comma 10 6" xfId="193" xr:uid="{854CC11F-6D12-423C-985E-5C4F56603AF0}"/>
    <cellStyle name="Comma 10 6 10" xfId="9265" xr:uid="{09A6735E-DF29-4242-9A4A-2CE7BFB1EC0E}"/>
    <cellStyle name="Comma 10 6 10 2" xfId="24385" xr:uid="{2104FE64-AE57-4ADE-93AC-A7837BE2E47F}"/>
    <cellStyle name="Comma 10 6 10 2 2" xfId="54625" xr:uid="{C4B12A66-AB1E-4517-A776-3091F044A708}"/>
    <cellStyle name="Comma 10 6 10 3" xfId="39505" xr:uid="{8DF0632E-231E-4350-8D3A-188560F8010A}"/>
    <cellStyle name="Comma 10 6 11" xfId="15313" xr:uid="{DA1E8DF4-21DB-4A8C-8AC1-BF975590E9DC}"/>
    <cellStyle name="Comma 10 6 11 2" xfId="45553" xr:uid="{73C307A6-F8F9-4BB1-AAC4-EC18AE259024}"/>
    <cellStyle name="Comma 10 6 12" xfId="30433" xr:uid="{520359C3-E775-4910-80D5-C30A95073177}"/>
    <cellStyle name="Comma 10 6 2" xfId="445" xr:uid="{72FDFCB2-72E7-4469-AFB8-B010F25BB72D}"/>
    <cellStyle name="Comma 10 6 2 10" xfId="30685" xr:uid="{D15A8907-8A9C-417F-AA87-42883B1BAD67}"/>
    <cellStyle name="Comma 10 6 2 2" xfId="1201" xr:uid="{4F46D488-744D-45BB-891B-320C15E45EAB}"/>
    <cellStyle name="Comma 10 6 2 2 2" xfId="2713" xr:uid="{32D9001C-C63E-41E4-861E-57DF4E1D964B}"/>
    <cellStyle name="Comma 10 6 2 2 2 2" xfId="11785" xr:uid="{DA87A529-2DC1-4864-8410-B9A267AFDD57}"/>
    <cellStyle name="Comma 10 6 2 2 2 2 2" xfId="26905" xr:uid="{DD6CFE73-E235-4868-9E8F-B531FD24D57B}"/>
    <cellStyle name="Comma 10 6 2 2 2 2 2 2" xfId="57145" xr:uid="{A8007F87-176B-4B79-9BA7-0257A94E1B98}"/>
    <cellStyle name="Comma 10 6 2 2 2 2 3" xfId="42025" xr:uid="{59B5A76B-2E4D-40D8-A20E-93C9216622C6}"/>
    <cellStyle name="Comma 10 6 2 2 2 3" xfId="17833" xr:uid="{A2E52FA0-D540-43CC-8D22-E3851C614420}"/>
    <cellStyle name="Comma 10 6 2 2 2 3 2" xfId="48073" xr:uid="{DA69167C-417A-41C7-B16B-4044FE4E00C0}"/>
    <cellStyle name="Comma 10 6 2 2 2 4" xfId="32953" xr:uid="{17548A50-010B-47EC-B620-ECC396321C47}"/>
    <cellStyle name="Comma 10 6 2 2 3" xfId="4225" xr:uid="{EF7C124D-8091-4319-9009-4C3CA770DE50}"/>
    <cellStyle name="Comma 10 6 2 2 3 2" xfId="13297" xr:uid="{4FFB24D4-A5DC-4C17-88CF-8EA2548F0454}"/>
    <cellStyle name="Comma 10 6 2 2 3 2 2" xfId="28417" xr:uid="{0D6DBC0B-B164-4B80-B269-C2B2E0706818}"/>
    <cellStyle name="Comma 10 6 2 2 3 2 2 2" xfId="58657" xr:uid="{BEEA19F0-8AB3-4AAE-BB28-FEDC650E8BBD}"/>
    <cellStyle name="Comma 10 6 2 2 3 2 3" xfId="43537" xr:uid="{B1E31493-6028-419C-904C-6B88E3A7D21E}"/>
    <cellStyle name="Comma 10 6 2 2 3 3" xfId="19345" xr:uid="{A695C8CA-4E12-4CB4-A183-ECB1955D2294}"/>
    <cellStyle name="Comma 10 6 2 2 3 3 2" xfId="49585" xr:uid="{58C94922-9870-4F30-9F1D-F19FA11F0BDB}"/>
    <cellStyle name="Comma 10 6 2 2 3 4" xfId="34465" xr:uid="{C07826BB-EB25-40E3-BB48-BF9BBA136528}"/>
    <cellStyle name="Comma 10 6 2 2 4" xfId="5737" xr:uid="{A5514A21-5857-49A5-A16A-0415B9430B9A}"/>
    <cellStyle name="Comma 10 6 2 2 4 2" xfId="14809" xr:uid="{F3DB8044-19E0-4E16-AC8B-64252D5364A0}"/>
    <cellStyle name="Comma 10 6 2 2 4 2 2" xfId="29929" xr:uid="{54015902-2C0E-48BF-B122-58038E868AB4}"/>
    <cellStyle name="Comma 10 6 2 2 4 2 2 2" xfId="60169" xr:uid="{0E2E9943-3226-4DC6-837B-7E4607600C62}"/>
    <cellStyle name="Comma 10 6 2 2 4 2 3" xfId="45049" xr:uid="{1B1DB515-549F-48DF-89BB-0E80661E21E7}"/>
    <cellStyle name="Comma 10 6 2 2 4 3" xfId="20857" xr:uid="{97C7663B-7E2D-4CA7-9BAE-9E81A9A6DA2C}"/>
    <cellStyle name="Comma 10 6 2 2 4 3 2" xfId="51097" xr:uid="{66324CC2-E688-4828-83F6-1A53CEC855EE}"/>
    <cellStyle name="Comma 10 6 2 2 4 4" xfId="35977" xr:uid="{BF5328AB-3F42-4BAB-8898-047E504B91A4}"/>
    <cellStyle name="Comma 10 6 2 2 5" xfId="7249" xr:uid="{A6D44203-4483-45FA-B042-6081947549C2}"/>
    <cellStyle name="Comma 10 6 2 2 5 2" xfId="22369" xr:uid="{99B784D0-78C7-440C-8767-C5A43B736461}"/>
    <cellStyle name="Comma 10 6 2 2 5 2 2" xfId="52609" xr:uid="{F6390D6D-BFF2-4759-81DC-1874CBAFB320}"/>
    <cellStyle name="Comma 10 6 2 2 5 3" xfId="37489" xr:uid="{AA89B24F-70D0-4793-883C-714E166FF05A}"/>
    <cellStyle name="Comma 10 6 2 2 6" xfId="8761" xr:uid="{AC7B9BCC-556C-44F8-B4BC-AC6ED73E9BB1}"/>
    <cellStyle name="Comma 10 6 2 2 6 2" xfId="23881" xr:uid="{1121B167-7AAA-4471-8988-BBDC5BDA348E}"/>
    <cellStyle name="Comma 10 6 2 2 6 2 2" xfId="54121" xr:uid="{4607D698-87E5-4721-B27D-5CD16E64B6C4}"/>
    <cellStyle name="Comma 10 6 2 2 6 3" xfId="39001" xr:uid="{AFD25176-1CB2-4503-93A2-4FE4DD02EDA2}"/>
    <cellStyle name="Comma 10 6 2 2 7" xfId="10273" xr:uid="{5F4B5305-BDF5-4A20-88F4-78A2EF4FDBE2}"/>
    <cellStyle name="Comma 10 6 2 2 7 2" xfId="25393" xr:uid="{937BE04C-360E-481E-9133-A3698B86BD48}"/>
    <cellStyle name="Comma 10 6 2 2 7 2 2" xfId="55633" xr:uid="{25980B0B-A92E-4E6C-973E-C3F80C774114}"/>
    <cellStyle name="Comma 10 6 2 2 7 3" xfId="40513" xr:uid="{398EB056-66EA-4B5D-A00D-3A855414E626}"/>
    <cellStyle name="Comma 10 6 2 2 8" xfId="16321" xr:uid="{5F396323-C7AD-4691-B3E1-30671B049276}"/>
    <cellStyle name="Comma 10 6 2 2 8 2" xfId="46561" xr:uid="{F478AE9F-372E-42BE-848B-2C540296B85B}"/>
    <cellStyle name="Comma 10 6 2 2 9" xfId="31441" xr:uid="{54FF2748-0483-4B21-B25C-7179DFD7A174}"/>
    <cellStyle name="Comma 10 6 2 3" xfId="1957" xr:uid="{989FBD6D-DC5E-485D-821F-F857DE9F392D}"/>
    <cellStyle name="Comma 10 6 2 3 2" xfId="11029" xr:uid="{4CC23346-22C9-4475-803C-70DF5443A974}"/>
    <cellStyle name="Comma 10 6 2 3 2 2" xfId="26149" xr:uid="{D36E98DF-FE7F-49B7-AA1C-0B1174A57B04}"/>
    <cellStyle name="Comma 10 6 2 3 2 2 2" xfId="56389" xr:uid="{CD5FE93B-B806-41A3-AB6C-E8E121BACE09}"/>
    <cellStyle name="Comma 10 6 2 3 2 3" xfId="41269" xr:uid="{F5AA168F-3862-4EEC-AA73-A363B0CBF560}"/>
    <cellStyle name="Comma 10 6 2 3 3" xfId="17077" xr:uid="{D45232ED-CF73-4A6B-9167-8D33D2EB9829}"/>
    <cellStyle name="Comma 10 6 2 3 3 2" xfId="47317" xr:uid="{93931E74-415E-4402-8DDB-E6D638DAF7F0}"/>
    <cellStyle name="Comma 10 6 2 3 4" xfId="32197" xr:uid="{32ECBC4C-116C-4351-A101-D816B5AEF0D1}"/>
    <cellStyle name="Comma 10 6 2 4" xfId="3469" xr:uid="{5EEC6BAE-4FB9-4B7E-BB2C-B037995C5807}"/>
    <cellStyle name="Comma 10 6 2 4 2" xfId="12541" xr:uid="{4740318C-50A2-4130-9DE2-A94AA219F702}"/>
    <cellStyle name="Comma 10 6 2 4 2 2" xfId="27661" xr:uid="{DA23A07C-87E2-4C55-AD5F-D911329495FF}"/>
    <cellStyle name="Comma 10 6 2 4 2 2 2" xfId="57901" xr:uid="{7B5AD1A4-788A-4A5C-80BE-2E742E3313D5}"/>
    <cellStyle name="Comma 10 6 2 4 2 3" xfId="42781" xr:uid="{1F1A2110-9DFF-419D-BDFC-FC3E8B911336}"/>
    <cellStyle name="Comma 10 6 2 4 3" xfId="18589" xr:uid="{10A15232-9E09-4427-A1EE-BEB0B011CCFA}"/>
    <cellStyle name="Comma 10 6 2 4 3 2" xfId="48829" xr:uid="{69CD8DBE-F57D-47B6-A159-F55CEFBFABC6}"/>
    <cellStyle name="Comma 10 6 2 4 4" xfId="33709" xr:uid="{6FF2A3C2-7FA0-4CBA-9140-22CA2C97AD2C}"/>
    <cellStyle name="Comma 10 6 2 5" xfId="4981" xr:uid="{8775F9EE-C1DB-4430-81B7-A34001A2F882}"/>
    <cellStyle name="Comma 10 6 2 5 2" xfId="14053" xr:uid="{C5328217-BE66-46D7-A4FF-9121225211BC}"/>
    <cellStyle name="Comma 10 6 2 5 2 2" xfId="29173" xr:uid="{00ED65FB-DFB5-4B13-B10D-721A624517AA}"/>
    <cellStyle name="Comma 10 6 2 5 2 2 2" xfId="59413" xr:uid="{FA890BD4-24B8-4304-8171-4D91FEE976BA}"/>
    <cellStyle name="Comma 10 6 2 5 2 3" xfId="44293" xr:uid="{E1B624B2-FDE3-4BAD-BB9F-994102AF6F59}"/>
    <cellStyle name="Comma 10 6 2 5 3" xfId="20101" xr:uid="{F2470A11-0487-4482-A593-A363911365EC}"/>
    <cellStyle name="Comma 10 6 2 5 3 2" xfId="50341" xr:uid="{4D35991B-A130-428F-A599-702D2969446B}"/>
    <cellStyle name="Comma 10 6 2 5 4" xfId="35221" xr:uid="{62ECDB87-030A-4E2B-B674-7A73DAAC847C}"/>
    <cellStyle name="Comma 10 6 2 6" xfId="6493" xr:uid="{178A9D0E-2803-40F2-8243-BE0117E17050}"/>
    <cellStyle name="Comma 10 6 2 6 2" xfId="21613" xr:uid="{5661AB3C-2D79-42F0-8184-2E3B774E1134}"/>
    <cellStyle name="Comma 10 6 2 6 2 2" xfId="51853" xr:uid="{9E7F6C28-8FC6-4FC1-91A3-FB426A4ABB95}"/>
    <cellStyle name="Comma 10 6 2 6 3" xfId="36733" xr:uid="{E8957BC9-9649-4300-8F04-F4CED9585863}"/>
    <cellStyle name="Comma 10 6 2 7" xfId="8005" xr:uid="{1AE52AEB-DAD2-454B-8FE9-759D3015C45C}"/>
    <cellStyle name="Comma 10 6 2 7 2" xfId="23125" xr:uid="{D00174F3-909B-45C5-B84A-B25085151993}"/>
    <cellStyle name="Comma 10 6 2 7 2 2" xfId="53365" xr:uid="{8C1C7A42-D07A-4701-8256-8D9D22AE193F}"/>
    <cellStyle name="Comma 10 6 2 7 3" xfId="38245" xr:uid="{A0924044-8E52-488C-82BF-09B2A710DEC9}"/>
    <cellStyle name="Comma 10 6 2 8" xfId="9517" xr:uid="{0B606CC8-316F-47D2-889E-091C743EB25C}"/>
    <cellStyle name="Comma 10 6 2 8 2" xfId="24637" xr:uid="{30BC4894-21FE-409E-8691-3E85052FDD10}"/>
    <cellStyle name="Comma 10 6 2 8 2 2" xfId="54877" xr:uid="{85798A3C-9A29-408C-B1AE-45D2E7BCC324}"/>
    <cellStyle name="Comma 10 6 2 8 3" xfId="39757" xr:uid="{18B07774-6661-493E-A647-0EFD0A16210E}"/>
    <cellStyle name="Comma 10 6 2 9" xfId="15565" xr:uid="{48ECF38C-820E-436F-A918-E41EE2243D99}"/>
    <cellStyle name="Comma 10 6 2 9 2" xfId="45805" xr:uid="{BF20BFE2-C817-4811-9C60-11AAF33D4F96}"/>
    <cellStyle name="Comma 10 6 3" xfId="697" xr:uid="{9442B252-C8EB-48A4-A977-16332D55F842}"/>
    <cellStyle name="Comma 10 6 3 10" xfId="30937" xr:uid="{A988A717-0E3A-4027-B73D-F6E813C5CD81}"/>
    <cellStyle name="Comma 10 6 3 2" xfId="1453" xr:uid="{C7CF44CF-33B1-45E3-BC92-B3D227F90436}"/>
    <cellStyle name="Comma 10 6 3 2 2" xfId="2965" xr:uid="{BB7E7AC6-B0D5-4CD5-9900-8F27B290C98E}"/>
    <cellStyle name="Comma 10 6 3 2 2 2" xfId="12037" xr:uid="{9C9032A6-CB2F-4E80-B492-AE107F9040FE}"/>
    <cellStyle name="Comma 10 6 3 2 2 2 2" xfId="27157" xr:uid="{FD187A5F-1D29-48F5-9035-A5B9482CA0F1}"/>
    <cellStyle name="Comma 10 6 3 2 2 2 2 2" xfId="57397" xr:uid="{41E5CD54-1F38-4282-8F5E-34AC62818688}"/>
    <cellStyle name="Comma 10 6 3 2 2 2 3" xfId="42277" xr:uid="{FCA6977B-2760-48B4-A247-921F472191E8}"/>
    <cellStyle name="Comma 10 6 3 2 2 3" xfId="18085" xr:uid="{5B0D819F-19D5-41A0-A064-B4D178357952}"/>
    <cellStyle name="Comma 10 6 3 2 2 3 2" xfId="48325" xr:uid="{57B0D313-0C05-4410-A04A-D7796731D8B2}"/>
    <cellStyle name="Comma 10 6 3 2 2 4" xfId="33205" xr:uid="{665DEC44-BA59-4614-8F84-46B40B453A63}"/>
    <cellStyle name="Comma 10 6 3 2 3" xfId="4477" xr:uid="{BDA99600-71AB-4154-8A16-A6564655ADA5}"/>
    <cellStyle name="Comma 10 6 3 2 3 2" xfId="13549" xr:uid="{D6C57800-E3B7-4FCF-8300-573670BFCF47}"/>
    <cellStyle name="Comma 10 6 3 2 3 2 2" xfId="28669" xr:uid="{D702E62F-F9AA-4AA3-B4DA-615C2D265C83}"/>
    <cellStyle name="Comma 10 6 3 2 3 2 2 2" xfId="58909" xr:uid="{9E4BD0C7-258E-4BA2-A433-11EAA98EC27C}"/>
    <cellStyle name="Comma 10 6 3 2 3 2 3" xfId="43789" xr:uid="{E128D238-F599-4BEC-BBB5-B98F44404619}"/>
    <cellStyle name="Comma 10 6 3 2 3 3" xfId="19597" xr:uid="{20B99681-F629-4D73-A200-D7D9567B0473}"/>
    <cellStyle name="Comma 10 6 3 2 3 3 2" xfId="49837" xr:uid="{DEB53AFD-E8D1-4D32-81B6-444DF16BE3F1}"/>
    <cellStyle name="Comma 10 6 3 2 3 4" xfId="34717" xr:uid="{93587384-71EE-4DFD-B762-5B75436ADC22}"/>
    <cellStyle name="Comma 10 6 3 2 4" xfId="5989" xr:uid="{BF6DCFAD-391F-49B1-BA9C-7C64362951AE}"/>
    <cellStyle name="Comma 10 6 3 2 4 2" xfId="15061" xr:uid="{DB1E67EF-5EB2-462B-AF02-AAB11550EA39}"/>
    <cellStyle name="Comma 10 6 3 2 4 2 2" xfId="30181" xr:uid="{BD3555CB-999C-4D8A-9C29-D0592DCCEE11}"/>
    <cellStyle name="Comma 10 6 3 2 4 2 2 2" xfId="60421" xr:uid="{164E0A2B-DE3C-4BFA-A55E-F06C740FFB3A}"/>
    <cellStyle name="Comma 10 6 3 2 4 2 3" xfId="45301" xr:uid="{5EB71AC8-7568-4CA8-B32A-F88887D72FB0}"/>
    <cellStyle name="Comma 10 6 3 2 4 3" xfId="21109" xr:uid="{86FFDB4D-BD46-4C15-A79D-525D4DA9669D}"/>
    <cellStyle name="Comma 10 6 3 2 4 3 2" xfId="51349" xr:uid="{639A0390-E914-4B33-8B43-CEB696BBE371}"/>
    <cellStyle name="Comma 10 6 3 2 4 4" xfId="36229" xr:uid="{9969141C-A124-4EBA-907E-6862444D37D8}"/>
    <cellStyle name="Comma 10 6 3 2 5" xfId="7501" xr:uid="{4C8D7851-68A1-4453-B738-EDF9898DCB70}"/>
    <cellStyle name="Comma 10 6 3 2 5 2" xfId="22621" xr:uid="{1C8856A7-1D93-4B0F-A06F-674F6D9BA10D}"/>
    <cellStyle name="Comma 10 6 3 2 5 2 2" xfId="52861" xr:uid="{8D655123-67A6-4A38-B391-5802D9CD8B1B}"/>
    <cellStyle name="Comma 10 6 3 2 5 3" xfId="37741" xr:uid="{9D74CD19-B340-47EF-B08E-25031600E600}"/>
    <cellStyle name="Comma 10 6 3 2 6" xfId="9013" xr:uid="{0EF41100-4B2D-45C1-A0B6-688BDD3910FB}"/>
    <cellStyle name="Comma 10 6 3 2 6 2" xfId="24133" xr:uid="{9C33947C-C624-4085-9CD3-4C625E700912}"/>
    <cellStyle name="Comma 10 6 3 2 6 2 2" xfId="54373" xr:uid="{1D67EBE6-FF66-4F7E-9215-338462D6857F}"/>
    <cellStyle name="Comma 10 6 3 2 6 3" xfId="39253" xr:uid="{BE261DA4-00F9-4521-857F-6B4AE6B1B0F8}"/>
    <cellStyle name="Comma 10 6 3 2 7" xfId="10525" xr:uid="{660EA8FE-BE95-4AAF-8E43-84CC3EC00129}"/>
    <cellStyle name="Comma 10 6 3 2 7 2" xfId="25645" xr:uid="{EE7CB4A8-8957-45D4-B909-18C0E3F02887}"/>
    <cellStyle name="Comma 10 6 3 2 7 2 2" xfId="55885" xr:uid="{C7873DFD-41C7-4C1D-BD24-FD8009D61559}"/>
    <cellStyle name="Comma 10 6 3 2 7 3" xfId="40765" xr:uid="{11B75220-0E40-49C5-9E0F-65C0C04475BF}"/>
    <cellStyle name="Comma 10 6 3 2 8" xfId="16573" xr:uid="{E1DC1420-4C9A-42E0-A3A3-E3C1282184BB}"/>
    <cellStyle name="Comma 10 6 3 2 8 2" xfId="46813" xr:uid="{E0D70726-5500-47C1-BB51-0C2E5487808D}"/>
    <cellStyle name="Comma 10 6 3 2 9" xfId="31693" xr:uid="{77DE9AEC-C3C9-41AA-BC1D-7FA3C8279992}"/>
    <cellStyle name="Comma 10 6 3 3" xfId="2209" xr:uid="{88E8CD45-4B45-4D70-A5B5-0F472E8F4E17}"/>
    <cellStyle name="Comma 10 6 3 3 2" xfId="11281" xr:uid="{EF542E60-CDC5-4E1A-92A7-1F0E493EA27A}"/>
    <cellStyle name="Comma 10 6 3 3 2 2" xfId="26401" xr:uid="{3D5B77E0-7426-48AF-A86A-07D790F0932E}"/>
    <cellStyle name="Comma 10 6 3 3 2 2 2" xfId="56641" xr:uid="{A2457DC1-7F53-48CD-BADC-B50F73EE4ECA}"/>
    <cellStyle name="Comma 10 6 3 3 2 3" xfId="41521" xr:uid="{7B4231DA-2CAF-4CF6-A04F-62D58F97B858}"/>
    <cellStyle name="Comma 10 6 3 3 3" xfId="17329" xr:uid="{FF601C25-54C1-44DE-8144-37344104DC41}"/>
    <cellStyle name="Comma 10 6 3 3 3 2" xfId="47569" xr:uid="{46CDA198-A389-491D-8206-E9C7BD7B7AD6}"/>
    <cellStyle name="Comma 10 6 3 3 4" xfId="32449" xr:uid="{F9E3EBA4-737D-4445-9263-789DB6495F97}"/>
    <cellStyle name="Comma 10 6 3 4" xfId="3721" xr:uid="{AF073A66-C392-4B8A-8E0E-9E16363839E3}"/>
    <cellStyle name="Comma 10 6 3 4 2" xfId="12793" xr:uid="{C8C22345-F16D-4FA5-B63F-074260DF2D84}"/>
    <cellStyle name="Comma 10 6 3 4 2 2" xfId="27913" xr:uid="{6E57CA77-7BA4-4BC5-8353-4E034855458E}"/>
    <cellStyle name="Comma 10 6 3 4 2 2 2" xfId="58153" xr:uid="{E93952FC-6F22-4908-8B7B-90DFE4412879}"/>
    <cellStyle name="Comma 10 6 3 4 2 3" xfId="43033" xr:uid="{698BCD2D-35EE-4F3B-8D40-5F8EDACFDCD6}"/>
    <cellStyle name="Comma 10 6 3 4 3" xfId="18841" xr:uid="{8EB0364F-BC1D-46EE-B166-E1DAE7818E22}"/>
    <cellStyle name="Comma 10 6 3 4 3 2" xfId="49081" xr:uid="{B365257D-12EB-48DE-AA99-A6ACF7261BBC}"/>
    <cellStyle name="Comma 10 6 3 4 4" xfId="33961" xr:uid="{15D754FA-7A2C-44E8-8A49-303F786B1EB0}"/>
    <cellStyle name="Comma 10 6 3 5" xfId="5233" xr:uid="{A8C2D600-51B8-4224-A465-980BF10137F5}"/>
    <cellStyle name="Comma 10 6 3 5 2" xfId="14305" xr:uid="{B7494963-5A9C-4881-B79A-00D04EF3BFF2}"/>
    <cellStyle name="Comma 10 6 3 5 2 2" xfId="29425" xr:uid="{2D3E16EB-6007-43B1-AE42-BA0A87B39BA7}"/>
    <cellStyle name="Comma 10 6 3 5 2 2 2" xfId="59665" xr:uid="{3AD0B593-D8A6-4EAF-9861-C3931CCF00A0}"/>
    <cellStyle name="Comma 10 6 3 5 2 3" xfId="44545" xr:uid="{76CAE547-92FC-42BD-B4B5-DC51A5922714}"/>
    <cellStyle name="Comma 10 6 3 5 3" xfId="20353" xr:uid="{AAC4E717-E73E-46DC-8B20-2007DF190132}"/>
    <cellStyle name="Comma 10 6 3 5 3 2" xfId="50593" xr:uid="{A8E47F26-C2B3-4377-8299-86781103E09B}"/>
    <cellStyle name="Comma 10 6 3 5 4" xfId="35473" xr:uid="{06EFD0DC-AE8C-45B2-B11C-C4E531C99988}"/>
    <cellStyle name="Comma 10 6 3 6" xfId="6745" xr:uid="{8459C16A-C59D-4C5B-9C71-A33039FE0E74}"/>
    <cellStyle name="Comma 10 6 3 6 2" xfId="21865" xr:uid="{E3656167-80E5-4A62-BB37-FABDF02359E5}"/>
    <cellStyle name="Comma 10 6 3 6 2 2" xfId="52105" xr:uid="{B7F45631-26BE-4E7E-806B-4B6ADB55B736}"/>
    <cellStyle name="Comma 10 6 3 6 3" xfId="36985" xr:uid="{9B6D4ABA-A5A8-4323-B20C-906821E5481D}"/>
    <cellStyle name="Comma 10 6 3 7" xfId="8257" xr:uid="{446238D1-9543-47E5-B3A0-27142F718CED}"/>
    <cellStyle name="Comma 10 6 3 7 2" xfId="23377" xr:uid="{3ECA5C4D-32A0-424E-825C-3CE65F193981}"/>
    <cellStyle name="Comma 10 6 3 7 2 2" xfId="53617" xr:uid="{ED970E5C-0408-478B-B8FF-05D4DC53228E}"/>
    <cellStyle name="Comma 10 6 3 7 3" xfId="38497" xr:uid="{A53A7B21-E034-4E27-9D38-0744908C0566}"/>
    <cellStyle name="Comma 10 6 3 8" xfId="9769" xr:uid="{F62455C4-614A-4D1C-8A9F-8D97441C441E}"/>
    <cellStyle name="Comma 10 6 3 8 2" xfId="24889" xr:uid="{A317F5BA-A6CE-4B7F-A2B5-B803025F7501}"/>
    <cellStyle name="Comma 10 6 3 8 2 2" xfId="55129" xr:uid="{90B222BA-6C02-4C7B-96CA-44B27E7176E7}"/>
    <cellStyle name="Comma 10 6 3 8 3" xfId="40009" xr:uid="{D4EA49E6-C70C-4923-BCFB-F7A4AFBE9E12}"/>
    <cellStyle name="Comma 10 6 3 9" xfId="15817" xr:uid="{230C5349-997E-41B8-9432-CB2449B9A6B4}"/>
    <cellStyle name="Comma 10 6 3 9 2" xfId="46057" xr:uid="{C376B50A-D6B8-460B-8D85-EA97D1242601}"/>
    <cellStyle name="Comma 10 6 4" xfId="949" xr:uid="{1558EFF5-EA13-4631-AE20-90AF4A7ADE39}"/>
    <cellStyle name="Comma 10 6 4 2" xfId="2461" xr:uid="{26A5A144-0072-4A3B-B92D-5489FD6816B9}"/>
    <cellStyle name="Comma 10 6 4 2 2" xfId="11533" xr:uid="{060471FC-D620-4D4F-8615-F0FD4DE9F441}"/>
    <cellStyle name="Comma 10 6 4 2 2 2" xfId="26653" xr:uid="{9AC9C1EF-C041-40C4-BA15-68B4679D4ED5}"/>
    <cellStyle name="Comma 10 6 4 2 2 2 2" xfId="56893" xr:uid="{788A2B67-A4CA-4E68-A3C7-AF1375039456}"/>
    <cellStyle name="Comma 10 6 4 2 2 3" xfId="41773" xr:uid="{937F1FDC-E8DC-4F32-AE3E-E0975093C3BD}"/>
    <cellStyle name="Comma 10 6 4 2 3" xfId="17581" xr:uid="{F7767759-EB2D-4DE7-8D19-BED70D5518C5}"/>
    <cellStyle name="Comma 10 6 4 2 3 2" xfId="47821" xr:uid="{28B8FCA8-5F47-4EEF-94C3-8593867B000B}"/>
    <cellStyle name="Comma 10 6 4 2 4" xfId="32701" xr:uid="{6FA5FAF1-A237-4070-B562-46E2F8D39FA0}"/>
    <cellStyle name="Comma 10 6 4 3" xfId="3973" xr:uid="{AF2FAC11-A092-4A7C-B0F5-B85C124A21A3}"/>
    <cellStyle name="Comma 10 6 4 3 2" xfId="13045" xr:uid="{8A9A96EA-0B7A-4F54-A523-566781C1BB65}"/>
    <cellStyle name="Comma 10 6 4 3 2 2" xfId="28165" xr:uid="{EBC029FC-23FE-46D4-BD93-B4F096F2BF28}"/>
    <cellStyle name="Comma 10 6 4 3 2 2 2" xfId="58405" xr:uid="{7A7573CD-EBB1-45EE-8D2C-9088C9FEA454}"/>
    <cellStyle name="Comma 10 6 4 3 2 3" xfId="43285" xr:uid="{E6B54B43-384F-4D83-BF8C-C97693ED2E75}"/>
    <cellStyle name="Comma 10 6 4 3 3" xfId="19093" xr:uid="{5F9714AF-2D42-4E06-9E8C-F734320929DD}"/>
    <cellStyle name="Comma 10 6 4 3 3 2" xfId="49333" xr:uid="{E1BBCACB-7FA5-470D-9F80-D58A983EF600}"/>
    <cellStyle name="Comma 10 6 4 3 4" xfId="34213" xr:uid="{FE3B6EE1-363B-4A57-8177-F2683388311A}"/>
    <cellStyle name="Comma 10 6 4 4" xfId="5485" xr:uid="{EFB0DEA3-97D9-4A09-836C-662830479105}"/>
    <cellStyle name="Comma 10 6 4 4 2" xfId="14557" xr:uid="{C0126183-79FC-414E-8BBB-D609205A46B1}"/>
    <cellStyle name="Comma 10 6 4 4 2 2" xfId="29677" xr:uid="{C66BAD8B-39F4-48E9-A290-FD6B500FC5E9}"/>
    <cellStyle name="Comma 10 6 4 4 2 2 2" xfId="59917" xr:uid="{945A8851-C0D0-4B83-AC66-6D435AB8AD87}"/>
    <cellStyle name="Comma 10 6 4 4 2 3" xfId="44797" xr:uid="{96938ADE-0E81-4E7F-ACDA-ABF358C352F4}"/>
    <cellStyle name="Comma 10 6 4 4 3" xfId="20605" xr:uid="{F25F5EEB-F3EA-4831-9E47-71B154D5B675}"/>
    <cellStyle name="Comma 10 6 4 4 3 2" xfId="50845" xr:uid="{C0FE76B3-BFE4-4ED2-868F-3B9CAD459563}"/>
    <cellStyle name="Comma 10 6 4 4 4" xfId="35725" xr:uid="{9A938BFA-9E64-47CC-9868-5EA82482FF9D}"/>
    <cellStyle name="Comma 10 6 4 5" xfId="6997" xr:uid="{2E5FA2B3-05DF-4FB4-86F6-27E094568AA5}"/>
    <cellStyle name="Comma 10 6 4 5 2" xfId="22117" xr:uid="{6472F71F-9557-4BD7-881C-CCBDCA7A10C0}"/>
    <cellStyle name="Comma 10 6 4 5 2 2" xfId="52357" xr:uid="{4C43AF36-ABF5-496E-BEF1-93D6F483454F}"/>
    <cellStyle name="Comma 10 6 4 5 3" xfId="37237" xr:uid="{EE404578-8688-4ADE-AEC8-EC8C1B6280E6}"/>
    <cellStyle name="Comma 10 6 4 6" xfId="8509" xr:uid="{1FF76945-5FF5-4B9F-B9B6-E4076766B7EA}"/>
    <cellStyle name="Comma 10 6 4 6 2" xfId="23629" xr:uid="{8C09774D-5F58-4F50-9271-08310B064873}"/>
    <cellStyle name="Comma 10 6 4 6 2 2" xfId="53869" xr:uid="{3A04CA54-E95B-4FAF-86EA-784108997F43}"/>
    <cellStyle name="Comma 10 6 4 6 3" xfId="38749" xr:uid="{600A6EA8-E28B-455F-B1C4-7BBC3ACAC2C6}"/>
    <cellStyle name="Comma 10 6 4 7" xfId="10021" xr:uid="{8C5B1D93-96C0-4816-9F82-00A45AD5C859}"/>
    <cellStyle name="Comma 10 6 4 7 2" xfId="25141" xr:uid="{D1090658-A26F-4579-9FF6-5DF999A1E4B8}"/>
    <cellStyle name="Comma 10 6 4 7 2 2" xfId="55381" xr:uid="{A1B8C857-A4F8-4499-814C-BC8485D42CA0}"/>
    <cellStyle name="Comma 10 6 4 7 3" xfId="40261" xr:uid="{C114BC4A-439E-4194-A3B3-B731DFBA50CE}"/>
    <cellStyle name="Comma 10 6 4 8" xfId="16069" xr:uid="{DBE49D33-2B34-45ED-89A5-4AA88070D0EA}"/>
    <cellStyle name="Comma 10 6 4 8 2" xfId="46309" xr:uid="{C59EED34-A163-4BA7-9362-7C87599F223D}"/>
    <cellStyle name="Comma 10 6 4 9" xfId="31189" xr:uid="{65162238-0456-47AA-9E54-F5D37E7DFDC7}"/>
    <cellStyle name="Comma 10 6 5" xfId="1705" xr:uid="{62D81367-1CEE-46B4-BF30-19A57D4276F6}"/>
    <cellStyle name="Comma 10 6 5 2" xfId="10777" xr:uid="{F98FFD01-26F3-4260-B066-AD78930DB28B}"/>
    <cellStyle name="Comma 10 6 5 2 2" xfId="25897" xr:uid="{A83E97E2-F193-41DB-8D02-75975D5D3299}"/>
    <cellStyle name="Comma 10 6 5 2 2 2" xfId="56137" xr:uid="{C855A661-243E-4541-9F59-54337B8508E9}"/>
    <cellStyle name="Comma 10 6 5 2 3" xfId="41017" xr:uid="{6E73309C-CE40-4039-B2EF-1930AF86CD7E}"/>
    <cellStyle name="Comma 10 6 5 3" xfId="16825" xr:uid="{CB9BB78B-E01F-4486-AEF3-C86450A03943}"/>
    <cellStyle name="Comma 10 6 5 3 2" xfId="47065" xr:uid="{F4450A2B-679F-46A8-B091-CF44F06D4D19}"/>
    <cellStyle name="Comma 10 6 5 4" xfId="31945" xr:uid="{B46A5D3B-6102-41FC-A2E0-56F2B6379322}"/>
    <cellStyle name="Comma 10 6 6" xfId="3217" xr:uid="{75E7EEE5-1467-4006-8FFC-C889946D5E10}"/>
    <cellStyle name="Comma 10 6 6 2" xfId="12289" xr:uid="{1A1A9EC7-757A-4C92-8611-DCB500B5C5AF}"/>
    <cellStyle name="Comma 10 6 6 2 2" xfId="27409" xr:uid="{934F49AE-0091-4CA1-A46A-89F913CD2FFC}"/>
    <cellStyle name="Comma 10 6 6 2 2 2" xfId="57649" xr:uid="{5AD5C260-3383-4E70-A4F7-09E0EDD9D444}"/>
    <cellStyle name="Comma 10 6 6 2 3" xfId="42529" xr:uid="{539A79B1-E204-43FD-ABFF-930A1CCBBA95}"/>
    <cellStyle name="Comma 10 6 6 3" xfId="18337" xr:uid="{C3E8642F-A8DD-4511-803F-64C86805DEE7}"/>
    <cellStyle name="Comma 10 6 6 3 2" xfId="48577" xr:uid="{7520ADD4-72F2-414D-9583-0604BDB1773B}"/>
    <cellStyle name="Comma 10 6 6 4" xfId="33457" xr:uid="{10ADE5E6-4432-40FA-91B9-61C079A6F035}"/>
    <cellStyle name="Comma 10 6 7" xfId="4729" xr:uid="{644716FE-2363-4637-8773-651EC3FB3195}"/>
    <cellStyle name="Comma 10 6 7 2" xfId="13801" xr:uid="{DCD66EE8-483C-4D2D-8BA0-DF954FE054BE}"/>
    <cellStyle name="Comma 10 6 7 2 2" xfId="28921" xr:uid="{FBC2CCF9-AC40-40CD-B309-F9934F3D0BD2}"/>
    <cellStyle name="Comma 10 6 7 2 2 2" xfId="59161" xr:uid="{94592886-E7D4-463A-914C-4C2E3F1A25E7}"/>
    <cellStyle name="Comma 10 6 7 2 3" xfId="44041" xr:uid="{3A4F8A98-95F4-43E9-9B13-AE9957FD4913}"/>
    <cellStyle name="Comma 10 6 7 3" xfId="19849" xr:uid="{756DB077-247B-4E2F-854B-A57812448C2A}"/>
    <cellStyle name="Comma 10 6 7 3 2" xfId="50089" xr:uid="{0AB8D121-BD22-4E52-8EBB-01A1FA40E636}"/>
    <cellStyle name="Comma 10 6 7 4" xfId="34969" xr:uid="{95751168-BBEB-4088-81FD-E700C8CF74B2}"/>
    <cellStyle name="Comma 10 6 8" xfId="6241" xr:uid="{872EBA90-3BE7-4824-8B54-E1EA983430E8}"/>
    <cellStyle name="Comma 10 6 8 2" xfId="21361" xr:uid="{C66069DA-40AD-429E-A2CC-35FE9B7A17E0}"/>
    <cellStyle name="Comma 10 6 8 2 2" xfId="51601" xr:uid="{C81661DE-0A93-460A-A4A5-239D78A5EE84}"/>
    <cellStyle name="Comma 10 6 8 3" xfId="36481" xr:uid="{54D248A2-3ABC-4722-A099-AA988001B276}"/>
    <cellStyle name="Comma 10 6 9" xfId="7753" xr:uid="{AB1B15A6-24B8-437F-A9AD-D86394EDEBFD}"/>
    <cellStyle name="Comma 10 6 9 2" xfId="22873" xr:uid="{45BE8C94-0E43-4745-B8DF-6622B3D057B8}"/>
    <cellStyle name="Comma 10 6 9 2 2" xfId="53113" xr:uid="{6F583A3E-2679-441D-A7B2-2E7566161242}"/>
    <cellStyle name="Comma 10 6 9 3" xfId="37993" xr:uid="{13F9EDAB-4BB7-46A8-8C17-992BEB653F9A}"/>
    <cellStyle name="Comma 10 7" xfId="277" xr:uid="{1E9689B5-B85C-45FC-A95C-1F5AC098DA58}"/>
    <cellStyle name="Comma 10 7 10" xfId="30517" xr:uid="{73009AD7-F084-4E84-9A75-C74E97C6FCB4}"/>
    <cellStyle name="Comma 10 7 2" xfId="1033" xr:uid="{995E07C1-AFD7-470D-902C-44CDB8DFBF4F}"/>
    <cellStyle name="Comma 10 7 2 2" xfId="2545" xr:uid="{8D15E2DB-DDCA-467C-9389-15CBED553AF7}"/>
    <cellStyle name="Comma 10 7 2 2 2" xfId="11617" xr:uid="{7B8E4BA0-AF98-4576-A5FC-EAA8EA028D65}"/>
    <cellStyle name="Comma 10 7 2 2 2 2" xfId="26737" xr:uid="{AE75C728-F136-4C0D-B9DE-2785653576DC}"/>
    <cellStyle name="Comma 10 7 2 2 2 2 2" xfId="56977" xr:uid="{311AF92F-82DA-4CE3-B5F3-BE85289D7E08}"/>
    <cellStyle name="Comma 10 7 2 2 2 3" xfId="41857" xr:uid="{56383537-284B-433B-9388-785B2E7162E1}"/>
    <cellStyle name="Comma 10 7 2 2 3" xfId="17665" xr:uid="{FFF195AE-23A6-464D-AFF1-AB5AD04B8461}"/>
    <cellStyle name="Comma 10 7 2 2 3 2" xfId="47905" xr:uid="{40BFB644-8112-4427-9F45-9212CE296D86}"/>
    <cellStyle name="Comma 10 7 2 2 4" xfId="32785" xr:uid="{1BBD3375-7B40-48D5-8C2F-DC632541A37E}"/>
    <cellStyle name="Comma 10 7 2 3" xfId="4057" xr:uid="{68D943B3-08E2-4CD8-9C25-AE7230D76097}"/>
    <cellStyle name="Comma 10 7 2 3 2" xfId="13129" xr:uid="{6247FED2-BC9A-4745-9D1C-E7B8D0DBE71B}"/>
    <cellStyle name="Comma 10 7 2 3 2 2" xfId="28249" xr:uid="{D38B1B8E-114B-4236-BF61-9ED4179D62AF}"/>
    <cellStyle name="Comma 10 7 2 3 2 2 2" xfId="58489" xr:uid="{C899B3D8-C74D-4204-93E6-24164BCCD5AA}"/>
    <cellStyle name="Comma 10 7 2 3 2 3" xfId="43369" xr:uid="{ED1038FD-D92C-4F90-BE3B-B5D2D6062887}"/>
    <cellStyle name="Comma 10 7 2 3 3" xfId="19177" xr:uid="{1C363C76-59BD-4D9D-BC25-F8EE1B21AD46}"/>
    <cellStyle name="Comma 10 7 2 3 3 2" xfId="49417" xr:uid="{488D4F9B-1091-4D7F-81D8-F4FE39EC4465}"/>
    <cellStyle name="Comma 10 7 2 3 4" xfId="34297" xr:uid="{84979E8C-B801-4C3C-9367-A0CB3CA94E66}"/>
    <cellStyle name="Comma 10 7 2 4" xfId="5569" xr:uid="{2CB8E84D-F01E-469E-93CF-36C289DBDC97}"/>
    <cellStyle name="Comma 10 7 2 4 2" xfId="14641" xr:uid="{17C3BB41-5092-4D33-B60E-2DB27F8974C5}"/>
    <cellStyle name="Comma 10 7 2 4 2 2" xfId="29761" xr:uid="{E3821E80-70E8-45DE-8286-BED2A30C971D}"/>
    <cellStyle name="Comma 10 7 2 4 2 2 2" xfId="60001" xr:uid="{34313498-C212-437F-B361-27EC9242B700}"/>
    <cellStyle name="Comma 10 7 2 4 2 3" xfId="44881" xr:uid="{EDF17BFC-D3D9-4FD0-A7D3-068144BDFD14}"/>
    <cellStyle name="Comma 10 7 2 4 3" xfId="20689" xr:uid="{24E1195E-CA93-447A-89CA-DCA66882B49E}"/>
    <cellStyle name="Comma 10 7 2 4 3 2" xfId="50929" xr:uid="{E061B726-174D-4266-8B74-68531D674E6E}"/>
    <cellStyle name="Comma 10 7 2 4 4" xfId="35809" xr:uid="{8706C767-42A6-485E-9AE1-D8277BDFF52D}"/>
    <cellStyle name="Comma 10 7 2 5" xfId="7081" xr:uid="{D98E377D-D46A-497F-A621-0C7E680E1FC3}"/>
    <cellStyle name="Comma 10 7 2 5 2" xfId="22201" xr:uid="{35BB2AD0-0AF8-4AC3-83D7-AFE51DEFE269}"/>
    <cellStyle name="Comma 10 7 2 5 2 2" xfId="52441" xr:uid="{6152D9F4-2B44-4616-B2BF-7B3C6FCA3C10}"/>
    <cellStyle name="Comma 10 7 2 5 3" xfId="37321" xr:uid="{A645448D-15C1-4809-8DCC-C92B4E195023}"/>
    <cellStyle name="Comma 10 7 2 6" xfId="8593" xr:uid="{4C939C6A-DBC7-40D1-AD02-021737C75EF4}"/>
    <cellStyle name="Comma 10 7 2 6 2" xfId="23713" xr:uid="{66531221-DC8B-4689-9D88-9FCEFD8CA174}"/>
    <cellStyle name="Comma 10 7 2 6 2 2" xfId="53953" xr:uid="{4AA3227B-20F3-4C0E-85BB-0E1F1D63EE22}"/>
    <cellStyle name="Comma 10 7 2 6 3" xfId="38833" xr:uid="{045B89CC-6DE7-4997-BD2F-6CBD698BE2A2}"/>
    <cellStyle name="Comma 10 7 2 7" xfId="10105" xr:uid="{9E25F649-4112-4AE3-A9CF-D476D86401C7}"/>
    <cellStyle name="Comma 10 7 2 7 2" xfId="25225" xr:uid="{95231692-0646-45C9-A504-8EE5909D0795}"/>
    <cellStyle name="Comma 10 7 2 7 2 2" xfId="55465" xr:uid="{0DB92B18-A686-43C6-9AAF-8FC4D535F6F1}"/>
    <cellStyle name="Comma 10 7 2 7 3" xfId="40345" xr:uid="{6EB1A582-808B-4DA0-84C0-90908D83875C}"/>
    <cellStyle name="Comma 10 7 2 8" xfId="16153" xr:uid="{70BFAB92-2943-46B6-B294-D4F36DF5F511}"/>
    <cellStyle name="Comma 10 7 2 8 2" xfId="46393" xr:uid="{FD04BB03-D699-4FC6-BE4D-7D674406620D}"/>
    <cellStyle name="Comma 10 7 2 9" xfId="31273" xr:uid="{2CBBAD12-E4DD-4470-A8EC-B5C677776770}"/>
    <cellStyle name="Comma 10 7 3" xfId="1789" xr:uid="{17CD7F65-239A-412D-AEA7-BCD4D4F8B1DE}"/>
    <cellStyle name="Comma 10 7 3 2" xfId="10861" xr:uid="{4DADFB70-C61C-48B6-864B-1833AF9F62A9}"/>
    <cellStyle name="Comma 10 7 3 2 2" xfId="25981" xr:uid="{64BE1A82-211E-4885-AE58-CC0FD18E895F}"/>
    <cellStyle name="Comma 10 7 3 2 2 2" xfId="56221" xr:uid="{772D857D-B697-4EEB-BC0C-3539D80B7CA4}"/>
    <cellStyle name="Comma 10 7 3 2 3" xfId="41101" xr:uid="{E12953BC-85D9-4007-9CC1-7FDB64FC710C}"/>
    <cellStyle name="Comma 10 7 3 3" xfId="16909" xr:uid="{70AC9C39-BEDC-466A-BDD5-88CBAB2C3BBB}"/>
    <cellStyle name="Comma 10 7 3 3 2" xfId="47149" xr:uid="{3131DC39-E8BF-403E-99C7-EBCDAFBB4537}"/>
    <cellStyle name="Comma 10 7 3 4" xfId="32029" xr:uid="{3D35A924-0A27-42C0-96AB-400236B91FB3}"/>
    <cellStyle name="Comma 10 7 4" xfId="3301" xr:uid="{FACB01A4-D41D-4484-8011-6F6080CEC901}"/>
    <cellStyle name="Comma 10 7 4 2" xfId="12373" xr:uid="{895F5AAE-D919-4246-A89E-99E5E81565B6}"/>
    <cellStyle name="Comma 10 7 4 2 2" xfId="27493" xr:uid="{A851F21A-06E7-4DA5-9DF9-F8FDDE9D4993}"/>
    <cellStyle name="Comma 10 7 4 2 2 2" xfId="57733" xr:uid="{1267CA98-F60B-4563-A2C1-BFA739A56CDE}"/>
    <cellStyle name="Comma 10 7 4 2 3" xfId="42613" xr:uid="{B1FF06AF-DA6D-4FBB-BC71-DDCB6AEED84E}"/>
    <cellStyle name="Comma 10 7 4 3" xfId="18421" xr:uid="{B051E14B-1E9C-4F5C-B8F0-ECB3474004CB}"/>
    <cellStyle name="Comma 10 7 4 3 2" xfId="48661" xr:uid="{76B555C7-C8C7-4910-8E4A-8284C3F1306B}"/>
    <cellStyle name="Comma 10 7 4 4" xfId="33541" xr:uid="{E2ECEA42-AD27-4A46-969F-085F25C833B7}"/>
    <cellStyle name="Comma 10 7 5" xfId="4813" xr:uid="{E5B6872F-D9A3-4983-A3FB-3D51462BB243}"/>
    <cellStyle name="Comma 10 7 5 2" xfId="13885" xr:uid="{7DBFFEE8-856A-46C1-99FD-848E0A75BAA3}"/>
    <cellStyle name="Comma 10 7 5 2 2" xfId="29005" xr:uid="{976E9D3C-0830-4063-B069-E2C14A99BFA0}"/>
    <cellStyle name="Comma 10 7 5 2 2 2" xfId="59245" xr:uid="{304FEFA1-C7A6-4ACE-AD0F-0F6164885525}"/>
    <cellStyle name="Comma 10 7 5 2 3" xfId="44125" xr:uid="{A2CD9D7F-D942-4EF8-AB92-9B67CBBF3A0C}"/>
    <cellStyle name="Comma 10 7 5 3" xfId="19933" xr:uid="{A2C37EA4-B217-4BD0-8E1D-42148B107B61}"/>
    <cellStyle name="Comma 10 7 5 3 2" xfId="50173" xr:uid="{D98792CE-D3BC-4142-B423-1E7EC21998DD}"/>
    <cellStyle name="Comma 10 7 5 4" xfId="35053" xr:uid="{F1FA4CC2-BB42-4D33-B772-CFC3AE20D4D2}"/>
    <cellStyle name="Comma 10 7 6" xfId="6325" xr:uid="{8544B6F8-7112-46A2-9A77-E7AA1C7408E8}"/>
    <cellStyle name="Comma 10 7 6 2" xfId="21445" xr:uid="{D52A4924-F01F-4CCF-8CE0-DC163CDFD15A}"/>
    <cellStyle name="Comma 10 7 6 2 2" xfId="51685" xr:uid="{2231C090-C658-42BB-B939-0F168A5882D8}"/>
    <cellStyle name="Comma 10 7 6 3" xfId="36565" xr:uid="{8D8EDF5A-51CC-485D-844E-27A55A8FE413}"/>
    <cellStyle name="Comma 10 7 7" xfId="7837" xr:uid="{0AFD6DB2-BE43-4532-9013-AC612ED21D38}"/>
    <cellStyle name="Comma 10 7 7 2" xfId="22957" xr:uid="{7471ED07-F0F9-4792-A6C5-E13D913D1225}"/>
    <cellStyle name="Comma 10 7 7 2 2" xfId="53197" xr:uid="{84C1BE65-1731-4D32-8D60-421629B7EAAB}"/>
    <cellStyle name="Comma 10 7 7 3" xfId="38077" xr:uid="{5F690B18-A89F-4B7D-BDEE-1803DE8E87CC}"/>
    <cellStyle name="Comma 10 7 8" xfId="9349" xr:uid="{772DC3BD-327E-4178-8B17-397851CB02B0}"/>
    <cellStyle name="Comma 10 7 8 2" xfId="24469" xr:uid="{978427E2-4CA3-47BC-97CF-848F07FF77CF}"/>
    <cellStyle name="Comma 10 7 8 2 2" xfId="54709" xr:uid="{CC1BC34F-0D1E-40BB-9B78-D12D020B2202}"/>
    <cellStyle name="Comma 10 7 8 3" xfId="39589" xr:uid="{A69370CD-4396-467B-AD68-DB4B1A309003}"/>
    <cellStyle name="Comma 10 7 9" xfId="15397" xr:uid="{B085681F-6B7A-4BDB-8B27-9C54203643E9}"/>
    <cellStyle name="Comma 10 7 9 2" xfId="45637" xr:uid="{EB97F8DA-BA09-4A76-96E1-F91D12C61A2E}"/>
    <cellStyle name="Comma 10 8" xfId="529" xr:uid="{49E185BC-1E2E-4C07-A433-48F4F86DB745}"/>
    <cellStyle name="Comma 10 8 10" xfId="30769" xr:uid="{211FED31-7FD1-4712-A55B-D810903E3944}"/>
    <cellStyle name="Comma 10 8 2" xfId="1285" xr:uid="{43E540F8-6791-4056-B509-3F6FA41A424D}"/>
    <cellStyle name="Comma 10 8 2 2" xfId="2797" xr:uid="{2778FB07-4B21-410C-88F4-B5215A59A02D}"/>
    <cellStyle name="Comma 10 8 2 2 2" xfId="11869" xr:uid="{385AC80F-7939-4715-8ECA-3B9575C506D8}"/>
    <cellStyle name="Comma 10 8 2 2 2 2" xfId="26989" xr:uid="{76DA0B1D-3557-4F46-9548-B8C44B56D02D}"/>
    <cellStyle name="Comma 10 8 2 2 2 2 2" xfId="57229" xr:uid="{644F708D-A24B-48ED-BD56-4E7684337EF4}"/>
    <cellStyle name="Comma 10 8 2 2 2 3" xfId="42109" xr:uid="{0F78999D-C38C-4D2C-8976-D92587C4D052}"/>
    <cellStyle name="Comma 10 8 2 2 3" xfId="17917" xr:uid="{53AE8782-9743-4EE0-A5CF-626499647838}"/>
    <cellStyle name="Comma 10 8 2 2 3 2" xfId="48157" xr:uid="{8F698906-F93B-4566-B124-476D19454844}"/>
    <cellStyle name="Comma 10 8 2 2 4" xfId="33037" xr:uid="{CDA6D5DB-71C1-4E74-A2B7-0DC4753C2B6D}"/>
    <cellStyle name="Comma 10 8 2 3" xfId="4309" xr:uid="{6F0C9343-7236-4812-AC85-48649D3D0CD8}"/>
    <cellStyle name="Comma 10 8 2 3 2" xfId="13381" xr:uid="{DE79C33F-A821-4EF9-B852-BE03053F0D9D}"/>
    <cellStyle name="Comma 10 8 2 3 2 2" xfId="28501" xr:uid="{E03E04E4-6595-4126-B0A8-90D8341BB219}"/>
    <cellStyle name="Comma 10 8 2 3 2 2 2" xfId="58741" xr:uid="{D458B924-BB1D-4D54-B96A-47745EAA84A8}"/>
    <cellStyle name="Comma 10 8 2 3 2 3" xfId="43621" xr:uid="{59CEC73C-E552-485C-B481-277C77DD05EE}"/>
    <cellStyle name="Comma 10 8 2 3 3" xfId="19429" xr:uid="{91556545-65A4-44AC-9E21-9D4D29AC9C62}"/>
    <cellStyle name="Comma 10 8 2 3 3 2" xfId="49669" xr:uid="{22BBE812-247E-47FB-BBA4-42A42F9457B0}"/>
    <cellStyle name="Comma 10 8 2 3 4" xfId="34549" xr:uid="{9A3D4FA6-3C93-4DB8-9D44-AE9C8ABF63AC}"/>
    <cellStyle name="Comma 10 8 2 4" xfId="5821" xr:uid="{67A1CD84-AF7B-47B0-BD70-3A53C62D2DB7}"/>
    <cellStyle name="Comma 10 8 2 4 2" xfId="14893" xr:uid="{7CABF37B-8AAE-49CF-9BB3-8335B585F0AC}"/>
    <cellStyle name="Comma 10 8 2 4 2 2" xfId="30013" xr:uid="{787349AA-796B-40DF-B60C-304E6EE0326F}"/>
    <cellStyle name="Comma 10 8 2 4 2 2 2" xfId="60253" xr:uid="{C90C1BF8-BA77-4263-9F3B-65D865D4AE7B}"/>
    <cellStyle name="Comma 10 8 2 4 2 3" xfId="45133" xr:uid="{DC892305-5556-496F-BDF0-8F2CCDE6E025}"/>
    <cellStyle name="Comma 10 8 2 4 3" xfId="20941" xr:uid="{669FB374-9BEE-4EED-ABEF-0F127E78E116}"/>
    <cellStyle name="Comma 10 8 2 4 3 2" xfId="51181" xr:uid="{7E63812B-B488-4728-A3CF-1701333C825D}"/>
    <cellStyle name="Comma 10 8 2 4 4" xfId="36061" xr:uid="{9EE2D997-78DB-48E6-9BF4-25847D7C970A}"/>
    <cellStyle name="Comma 10 8 2 5" xfId="7333" xr:uid="{680843F0-55A1-4A0E-810E-99EAF5626DC3}"/>
    <cellStyle name="Comma 10 8 2 5 2" xfId="22453" xr:uid="{9F9C3924-5626-47A3-9740-394610EBABFD}"/>
    <cellStyle name="Comma 10 8 2 5 2 2" xfId="52693" xr:uid="{B2064536-493A-4365-858F-F81EA1009543}"/>
    <cellStyle name="Comma 10 8 2 5 3" xfId="37573" xr:uid="{BF36409A-93CA-4BBB-8AFF-8DFE32FB4591}"/>
    <cellStyle name="Comma 10 8 2 6" xfId="8845" xr:uid="{BA2B65F6-C187-4B01-9F42-582AF980F384}"/>
    <cellStyle name="Comma 10 8 2 6 2" xfId="23965" xr:uid="{78CD9489-0D93-4A03-99B2-4296B0AB3220}"/>
    <cellStyle name="Comma 10 8 2 6 2 2" xfId="54205" xr:uid="{0BD88660-1131-45F5-BD77-7230B495DCA7}"/>
    <cellStyle name="Comma 10 8 2 6 3" xfId="39085" xr:uid="{10A4DEA0-8B09-4DD5-B2A4-7F286DC80971}"/>
    <cellStyle name="Comma 10 8 2 7" xfId="10357" xr:uid="{4D8DE782-8B4D-4CD1-B79F-D00AAD9623AE}"/>
    <cellStyle name="Comma 10 8 2 7 2" xfId="25477" xr:uid="{796127CD-F9F0-4738-B505-1156361E40D5}"/>
    <cellStyle name="Comma 10 8 2 7 2 2" xfId="55717" xr:uid="{7DEB3264-08FE-4B59-B2E5-4ABEA19152F8}"/>
    <cellStyle name="Comma 10 8 2 7 3" xfId="40597" xr:uid="{B92AD9ED-7F5C-49E5-9AB2-34373ADC3BFD}"/>
    <cellStyle name="Comma 10 8 2 8" xfId="16405" xr:uid="{71B382C5-5C1A-417A-B041-E46B38C98532}"/>
    <cellStyle name="Comma 10 8 2 8 2" xfId="46645" xr:uid="{B73996FC-761D-43A5-BACF-B645F867AA45}"/>
    <cellStyle name="Comma 10 8 2 9" xfId="31525" xr:uid="{451CC6A4-217C-4582-B1D7-D46371121F34}"/>
    <cellStyle name="Comma 10 8 3" xfId="2041" xr:uid="{B849B7A2-4479-4AC2-878A-68D6218B6486}"/>
    <cellStyle name="Comma 10 8 3 2" xfId="11113" xr:uid="{23296EC9-B29B-4689-B160-FCCD67EC341A}"/>
    <cellStyle name="Comma 10 8 3 2 2" xfId="26233" xr:uid="{AF4035C1-3219-4DEA-800E-FED2EB94AAC6}"/>
    <cellStyle name="Comma 10 8 3 2 2 2" xfId="56473" xr:uid="{FF2A0AA2-7DA4-42C1-AF91-61360FBDDDC2}"/>
    <cellStyle name="Comma 10 8 3 2 3" xfId="41353" xr:uid="{63FC08EB-DB71-4F36-82B6-F444715CC90B}"/>
    <cellStyle name="Comma 10 8 3 3" xfId="17161" xr:uid="{9FA2B6AD-BE6C-427E-84A6-94EC5A3C81A7}"/>
    <cellStyle name="Comma 10 8 3 3 2" xfId="47401" xr:uid="{F02625A8-60B9-4B91-9C2F-F05F1DA4F0A8}"/>
    <cellStyle name="Comma 10 8 3 4" xfId="32281" xr:uid="{172EA179-DE16-4198-9A47-A1780F77AB98}"/>
    <cellStyle name="Comma 10 8 4" xfId="3553" xr:uid="{061BF221-9B7B-46C3-9B32-4259B0921D00}"/>
    <cellStyle name="Comma 10 8 4 2" xfId="12625" xr:uid="{61990A64-BDAB-4FB2-9481-C32ADAE5706A}"/>
    <cellStyle name="Comma 10 8 4 2 2" xfId="27745" xr:uid="{8A74463F-AD12-423A-83EB-F454046A86C3}"/>
    <cellStyle name="Comma 10 8 4 2 2 2" xfId="57985" xr:uid="{E24026F1-5D22-43F1-80A0-C637E9DF5AAD}"/>
    <cellStyle name="Comma 10 8 4 2 3" xfId="42865" xr:uid="{943DAE9F-22E2-42C9-B5AD-B0135DD958FA}"/>
    <cellStyle name="Comma 10 8 4 3" xfId="18673" xr:uid="{825C261D-6AD5-4800-A82F-8DC9EDC9322F}"/>
    <cellStyle name="Comma 10 8 4 3 2" xfId="48913" xr:uid="{99F9BA73-A1A6-4A27-A5EC-A7A7824ECFD3}"/>
    <cellStyle name="Comma 10 8 4 4" xfId="33793" xr:uid="{3AD88CE7-641C-41D3-9F8B-2591F7EC6CB3}"/>
    <cellStyle name="Comma 10 8 5" xfId="5065" xr:uid="{9BE706FC-931C-48AF-BFE4-F9C3114A53D4}"/>
    <cellStyle name="Comma 10 8 5 2" xfId="14137" xr:uid="{44ACEC08-E673-4DA0-979D-18AD5E90C614}"/>
    <cellStyle name="Comma 10 8 5 2 2" xfId="29257" xr:uid="{E07C6226-557E-4BC1-B9E5-30954040F4A7}"/>
    <cellStyle name="Comma 10 8 5 2 2 2" xfId="59497" xr:uid="{59567343-F0C3-40D6-A3A4-4F7807BA8FA7}"/>
    <cellStyle name="Comma 10 8 5 2 3" xfId="44377" xr:uid="{8EDAD6B8-4119-4DD3-8879-BED8C1D442BC}"/>
    <cellStyle name="Comma 10 8 5 3" xfId="20185" xr:uid="{57C0A7F3-C6E7-4036-AB70-1F50C122D081}"/>
    <cellStyle name="Comma 10 8 5 3 2" xfId="50425" xr:uid="{3B66C5B3-8A19-4741-9B79-FBEE3963DDD9}"/>
    <cellStyle name="Comma 10 8 5 4" xfId="35305" xr:uid="{71D8FDE7-A8C1-4B70-A5BD-06F18E726DDA}"/>
    <cellStyle name="Comma 10 8 6" xfId="6577" xr:uid="{7CAD74F8-BECC-4C40-BC30-12F74F11F7FF}"/>
    <cellStyle name="Comma 10 8 6 2" xfId="21697" xr:uid="{11FA9507-2E85-48F2-8C04-22334612CF69}"/>
    <cellStyle name="Comma 10 8 6 2 2" xfId="51937" xr:uid="{DD03A0CE-516F-4E1A-AB5B-C6FDBD6234B7}"/>
    <cellStyle name="Comma 10 8 6 3" xfId="36817" xr:uid="{A9051796-201E-4682-9DB4-1650F5DCA088}"/>
    <cellStyle name="Comma 10 8 7" xfId="8089" xr:uid="{F6475E09-1476-4E02-93D1-9ED513E285AB}"/>
    <cellStyle name="Comma 10 8 7 2" xfId="23209" xr:uid="{38E9A289-469F-461E-A095-7C2E1B3B5BE8}"/>
    <cellStyle name="Comma 10 8 7 2 2" xfId="53449" xr:uid="{42E8D339-6219-45F6-98E3-2E45B23DB0D7}"/>
    <cellStyle name="Comma 10 8 7 3" xfId="38329" xr:uid="{E824A5F3-C557-4D08-BABC-47E914E1F440}"/>
    <cellStyle name="Comma 10 8 8" xfId="9601" xr:uid="{F8A6EA73-F984-4780-A99C-1CED64B4BA0B}"/>
    <cellStyle name="Comma 10 8 8 2" xfId="24721" xr:uid="{647F8420-CFDE-4DFA-8359-16F6BC505F6B}"/>
    <cellStyle name="Comma 10 8 8 2 2" xfId="54961" xr:uid="{0541D8E5-D67C-4214-B5A6-179898123B03}"/>
    <cellStyle name="Comma 10 8 8 3" xfId="39841" xr:uid="{241CEB98-CD89-43BE-A448-6A235FAB91DC}"/>
    <cellStyle name="Comma 10 8 9" xfId="15649" xr:uid="{C17F48C0-89FE-4647-AD49-1FEB9DCF0EFB}"/>
    <cellStyle name="Comma 10 8 9 2" xfId="45889" xr:uid="{4EF4AE90-4D59-4449-8D5E-DF55C87441A4}"/>
    <cellStyle name="Comma 10 9" xfId="781" xr:uid="{E5D63217-CCC2-42E3-8545-A54AEB4932E6}"/>
    <cellStyle name="Comma 10 9 2" xfId="2293" xr:uid="{FD9DE9C4-F6E9-43F2-8347-488FA203A1E9}"/>
    <cellStyle name="Comma 10 9 2 2" xfId="11365" xr:uid="{855DBC89-D143-47E4-B877-739C1B8E8CEB}"/>
    <cellStyle name="Comma 10 9 2 2 2" xfId="26485" xr:uid="{750D9B2A-AC89-4C03-8221-F6E6E2A27F36}"/>
    <cellStyle name="Comma 10 9 2 2 2 2" xfId="56725" xr:uid="{193F8947-DE0D-43AE-AE89-2DF55F4AF2BF}"/>
    <cellStyle name="Comma 10 9 2 2 3" xfId="41605" xr:uid="{4C141A80-0C33-47E7-A872-CF7C57CBECF9}"/>
    <cellStyle name="Comma 10 9 2 3" xfId="17413" xr:uid="{1CE89C17-125E-4F01-9B87-AEB1CB09CDB7}"/>
    <cellStyle name="Comma 10 9 2 3 2" xfId="47653" xr:uid="{DACC978A-3722-4D7C-906B-94EF5A723D4F}"/>
    <cellStyle name="Comma 10 9 2 4" xfId="32533" xr:uid="{8FB3CF5A-7FB3-4A21-94BA-AAED5BDC6E50}"/>
    <cellStyle name="Comma 10 9 3" xfId="3805" xr:uid="{6A3D08D3-0662-45C5-A61E-183B0E2AC189}"/>
    <cellStyle name="Comma 10 9 3 2" xfId="12877" xr:uid="{FC536B6B-1E48-4FE1-B9F4-C9E6A18515F1}"/>
    <cellStyle name="Comma 10 9 3 2 2" xfId="27997" xr:uid="{2E940BD4-8C10-4534-8287-FEA5499E4F01}"/>
    <cellStyle name="Comma 10 9 3 2 2 2" xfId="58237" xr:uid="{662256EA-71BE-45BE-8405-7F3066D46F16}"/>
    <cellStyle name="Comma 10 9 3 2 3" xfId="43117" xr:uid="{9BBDF5E7-F4B6-44C4-B86B-D58A94B07858}"/>
    <cellStyle name="Comma 10 9 3 3" xfId="18925" xr:uid="{FA5154A8-5FED-46E7-8EB3-DB1473D60CDA}"/>
    <cellStyle name="Comma 10 9 3 3 2" xfId="49165" xr:uid="{52CC54EB-1464-44B1-904D-189F80980160}"/>
    <cellStyle name="Comma 10 9 3 4" xfId="34045" xr:uid="{4A59197E-F727-4CA3-BCE8-8EC415309BF3}"/>
    <cellStyle name="Comma 10 9 4" xfId="5317" xr:uid="{EA31101B-1CCA-4FCF-9868-7444BD62A16F}"/>
    <cellStyle name="Comma 10 9 4 2" xfId="14389" xr:uid="{7EF90C2B-11D3-4C2A-823B-01938B514152}"/>
    <cellStyle name="Comma 10 9 4 2 2" xfId="29509" xr:uid="{39395BFB-5341-4195-849D-DD95F8F6C722}"/>
    <cellStyle name="Comma 10 9 4 2 2 2" xfId="59749" xr:uid="{BE3C41AC-290A-4190-91BF-A46D6A8C9239}"/>
    <cellStyle name="Comma 10 9 4 2 3" xfId="44629" xr:uid="{109E71CB-3D22-4744-9BA4-FE47EFD71249}"/>
    <cellStyle name="Comma 10 9 4 3" xfId="20437" xr:uid="{F7B2A7EF-9EFC-45B0-B646-A71E1C18C70F}"/>
    <cellStyle name="Comma 10 9 4 3 2" xfId="50677" xr:uid="{F35650FD-0754-4AEE-AED0-5AA7C11DCC04}"/>
    <cellStyle name="Comma 10 9 4 4" xfId="35557" xr:uid="{ED856D6E-85AA-43B3-8EB7-5DBF459C66B5}"/>
    <cellStyle name="Comma 10 9 5" xfId="6829" xr:uid="{8C1E6E76-7A10-4466-9943-D53AEEC465C6}"/>
    <cellStyle name="Comma 10 9 5 2" xfId="21949" xr:uid="{96074FDC-05D2-4AB8-8262-D1F4C82BA2BD}"/>
    <cellStyle name="Comma 10 9 5 2 2" xfId="52189" xr:uid="{42F47BF0-8307-4FB3-ADDD-555B5119C294}"/>
    <cellStyle name="Comma 10 9 5 3" xfId="37069" xr:uid="{27C280D0-8413-47B8-AC78-3EBF1DB41B44}"/>
    <cellStyle name="Comma 10 9 6" xfId="8341" xr:uid="{6643C402-68BF-4541-B167-280C06D2F439}"/>
    <cellStyle name="Comma 10 9 6 2" xfId="23461" xr:uid="{D9E073C4-2AA1-44F0-B3A5-4CDD543EFC5B}"/>
    <cellStyle name="Comma 10 9 6 2 2" xfId="53701" xr:uid="{506161D9-118A-4B49-85B2-A4C1653788B0}"/>
    <cellStyle name="Comma 10 9 6 3" xfId="38581" xr:uid="{CED5FFAA-4DCE-44BE-B0F9-11C22B3ACFC8}"/>
    <cellStyle name="Comma 10 9 7" xfId="9853" xr:uid="{F5057D52-C117-4D0D-ACD1-4CF8066A0A17}"/>
    <cellStyle name="Comma 10 9 7 2" xfId="24973" xr:uid="{0533C8D0-794E-4EDF-9EFD-DA1E06E3EDCC}"/>
    <cellStyle name="Comma 10 9 7 2 2" xfId="55213" xr:uid="{0B2C1F4C-CE84-4AB4-9E85-CBC26D722B73}"/>
    <cellStyle name="Comma 10 9 7 3" xfId="40093" xr:uid="{D5BF84AC-213D-4BA5-9CFE-D48ED13C720E}"/>
    <cellStyle name="Comma 10 9 8" xfId="15901" xr:uid="{FCE1DACE-326B-4E14-A898-1523FE4442A0}"/>
    <cellStyle name="Comma 10 9 8 2" xfId="46141" xr:uid="{C6DE9D95-7A16-4D46-A6B3-60586055C00A}"/>
    <cellStyle name="Comma 10 9 9" xfId="31021" xr:uid="{00C0FC43-A35E-433F-A69C-59F6438A149F}"/>
    <cellStyle name="Comma 11" xfId="26" xr:uid="{C1EFFAE0-1B34-46E4-8FD7-FAEA60E4DB83}"/>
    <cellStyle name="Comma 11 10" xfId="1538" xr:uid="{06ECCB0B-7364-447F-8C9F-955D3356EBCF}"/>
    <cellStyle name="Comma 11 10 2" xfId="10610" xr:uid="{E6B8E559-58B5-44AE-8621-40DD7367BA03}"/>
    <cellStyle name="Comma 11 10 2 2" xfId="25730" xr:uid="{46B1F92E-E2FD-4E61-A6B0-1F832ABCAC9E}"/>
    <cellStyle name="Comma 11 10 2 2 2" xfId="55970" xr:uid="{F1FF2DE9-9FA2-44EE-A839-7C5719E8F108}"/>
    <cellStyle name="Comma 11 10 2 3" xfId="40850" xr:uid="{9A35B389-E1FF-407C-A47A-4A4741A4BDB5}"/>
    <cellStyle name="Comma 11 10 3" xfId="16658" xr:uid="{84A5A6A8-7D16-49E7-9ECC-5D0B23F4E368}"/>
    <cellStyle name="Comma 11 10 3 2" xfId="46898" xr:uid="{2D8D1AF8-C515-4595-8621-AF70EF7DC3C2}"/>
    <cellStyle name="Comma 11 10 4" xfId="31778" xr:uid="{09A356B6-86A2-4B0A-A9FE-B5B3750B5A34}"/>
    <cellStyle name="Comma 11 11" xfId="3050" xr:uid="{F9FAD460-5F8E-42DF-84D0-B47A5B80A98D}"/>
    <cellStyle name="Comma 11 11 2" xfId="12122" xr:uid="{14D68A04-099E-4DE2-84BF-A32870145BCF}"/>
    <cellStyle name="Comma 11 11 2 2" xfId="27242" xr:uid="{95536BE5-3A15-4984-A4BA-FAAF5E846D31}"/>
    <cellStyle name="Comma 11 11 2 2 2" xfId="57482" xr:uid="{A0FA5C53-197E-428A-BDDC-EBA4457C4902}"/>
    <cellStyle name="Comma 11 11 2 3" xfId="42362" xr:uid="{11F39D14-9385-4334-B86A-F24D36D12AA9}"/>
    <cellStyle name="Comma 11 11 3" xfId="18170" xr:uid="{DBEE3288-8702-4D05-8EA2-04DDF9B6BC4C}"/>
    <cellStyle name="Comma 11 11 3 2" xfId="48410" xr:uid="{65F42A0B-E0FD-482F-BF70-873872483356}"/>
    <cellStyle name="Comma 11 11 4" xfId="33290" xr:uid="{E99F7C5E-88C0-40E1-BFA5-E5CD39B17788}"/>
    <cellStyle name="Comma 11 12" xfId="4562" xr:uid="{1305BB2B-A8EB-4F76-B8E1-02C96887D222}"/>
    <cellStyle name="Comma 11 12 2" xfId="13634" xr:uid="{7D0C9627-949C-4663-92CD-A06CC365310F}"/>
    <cellStyle name="Comma 11 12 2 2" xfId="28754" xr:uid="{60D15F34-B250-4CA6-8BC3-272D21507665}"/>
    <cellStyle name="Comma 11 12 2 2 2" xfId="58994" xr:uid="{0E2DF807-7B14-42AF-9CA8-DDBAEFEEB20F}"/>
    <cellStyle name="Comma 11 12 2 3" xfId="43874" xr:uid="{7AB7E489-753F-4820-9B3D-F37AFF12F024}"/>
    <cellStyle name="Comma 11 12 3" xfId="19682" xr:uid="{E12888B8-7E3A-4382-9379-30D369644363}"/>
    <cellStyle name="Comma 11 12 3 2" xfId="49922" xr:uid="{5D32630B-A541-423A-9F4F-F5854A578B16}"/>
    <cellStyle name="Comma 11 12 4" xfId="34802" xr:uid="{E431A2F6-C5F8-4AA1-8094-BE942816F73D}"/>
    <cellStyle name="Comma 11 13" xfId="6074" xr:uid="{65D21140-EE82-43A8-921A-7146FA469800}"/>
    <cellStyle name="Comma 11 13 2" xfId="21194" xr:uid="{830661CA-B0CC-4B48-9D35-8DBDAE33DB78}"/>
    <cellStyle name="Comma 11 13 2 2" xfId="51434" xr:uid="{8A6C2DE8-6444-40BD-8195-DB922923F726}"/>
    <cellStyle name="Comma 11 13 3" xfId="36314" xr:uid="{391D7576-B4DF-48C7-8117-713AD9BF2CC7}"/>
    <cellStyle name="Comma 11 14" xfId="7586" xr:uid="{970081E9-BE49-4424-AC2A-C19A62388786}"/>
    <cellStyle name="Comma 11 14 2" xfId="22706" xr:uid="{FCAB94C6-756D-48E2-95AC-0E3C07F448E6}"/>
    <cellStyle name="Comma 11 14 2 2" xfId="52946" xr:uid="{0A6C89F5-006D-4129-8369-7ED9AFF7E7F0}"/>
    <cellStyle name="Comma 11 14 3" xfId="37826" xr:uid="{00DF89EB-FF03-47FD-A82B-8EEA5EBD6E9A}"/>
    <cellStyle name="Comma 11 15" xfId="9098" xr:uid="{6C9CA5BC-2F87-4CEB-B960-24F8D49D63C7}"/>
    <cellStyle name="Comma 11 15 2" xfId="24218" xr:uid="{9BE5C3C0-ACF2-4EB8-A3D3-1C93161953CF}"/>
    <cellStyle name="Comma 11 15 2 2" xfId="54458" xr:uid="{3847B052-5900-4F02-9631-6135CB6E2ABE}"/>
    <cellStyle name="Comma 11 15 3" xfId="39338" xr:uid="{901D00C1-2561-43DA-965E-3E04C8A0CFE7}"/>
    <cellStyle name="Comma 11 16" xfId="15146" xr:uid="{9141B049-3074-4AA8-87E6-4F27B27B9631}"/>
    <cellStyle name="Comma 11 16 2" xfId="45386" xr:uid="{AF3942EB-5702-4D3E-B6B6-E7CAF62E23D2}"/>
    <cellStyle name="Comma 11 17" xfId="30266" xr:uid="{2C21AAEC-7B36-4E01-9861-B054AB2CFAD8}"/>
    <cellStyle name="Comma 11 2" xfId="40" xr:uid="{DD9F5DAB-87C6-487C-AFBF-8A750EE608DE}"/>
    <cellStyle name="Comma 11 2 10" xfId="4576" xr:uid="{DDA13C26-ADB4-46B1-9698-C8B6384BAE56}"/>
    <cellStyle name="Comma 11 2 10 2" xfId="13648" xr:uid="{C1BF2C4A-6656-48F1-B9EA-AC4FC5E1153E}"/>
    <cellStyle name="Comma 11 2 10 2 2" xfId="28768" xr:uid="{093BB627-71A9-44FA-B4E9-BCDE5057C074}"/>
    <cellStyle name="Comma 11 2 10 2 2 2" xfId="59008" xr:uid="{E069D44F-129F-4080-BBDE-B1A5192912B8}"/>
    <cellStyle name="Comma 11 2 10 2 3" xfId="43888" xr:uid="{077E4FE3-3A59-4580-8C4F-65161C561F6D}"/>
    <cellStyle name="Comma 11 2 10 3" xfId="19696" xr:uid="{13862AB0-BCD3-4AB1-8334-678F212DE044}"/>
    <cellStyle name="Comma 11 2 10 3 2" xfId="49936" xr:uid="{D2136AB6-4552-466B-AE29-449245DA841D}"/>
    <cellStyle name="Comma 11 2 10 4" xfId="34816" xr:uid="{E53155C6-8644-4A62-9A65-9C197BF17583}"/>
    <cellStyle name="Comma 11 2 11" xfId="6088" xr:uid="{0D4096F4-1EFA-47F5-8E2E-B0D26337B63A}"/>
    <cellStyle name="Comma 11 2 11 2" xfId="21208" xr:uid="{2FD35071-52F0-4591-B3BA-02CD5B789419}"/>
    <cellStyle name="Comma 11 2 11 2 2" xfId="51448" xr:uid="{C886BEC3-CBFE-42C9-9818-9A0EEF51D00D}"/>
    <cellStyle name="Comma 11 2 11 3" xfId="36328" xr:uid="{876F972C-8512-4245-89F5-97AD165E9A0B}"/>
    <cellStyle name="Comma 11 2 12" xfId="7600" xr:uid="{0E140FE4-19FF-44D1-B2F3-DF3967AB231E}"/>
    <cellStyle name="Comma 11 2 12 2" xfId="22720" xr:uid="{9CC15DEB-CF91-4F02-B449-C8470A09EAE4}"/>
    <cellStyle name="Comma 11 2 12 2 2" xfId="52960" xr:uid="{587A7346-5DE1-49CB-A5EC-DDE62697EACB}"/>
    <cellStyle name="Comma 11 2 12 3" xfId="37840" xr:uid="{6F5FAF77-7B5E-4232-8B8E-910604413712}"/>
    <cellStyle name="Comma 11 2 13" xfId="9112" xr:uid="{F10A7D28-9036-49DF-8300-F077BBA153BE}"/>
    <cellStyle name="Comma 11 2 13 2" xfId="24232" xr:uid="{B1A98CE0-1C59-433D-903E-1186C2C41B86}"/>
    <cellStyle name="Comma 11 2 13 2 2" xfId="54472" xr:uid="{AC6E222B-F85E-497A-BFE7-2CE4EC778DC7}"/>
    <cellStyle name="Comma 11 2 13 3" xfId="39352" xr:uid="{AD86697E-A2D7-46BA-BC9D-4C4B01746F6A}"/>
    <cellStyle name="Comma 11 2 14" xfId="15160" xr:uid="{8B1E7D3B-8F29-4D4E-A179-1529144E0FA1}"/>
    <cellStyle name="Comma 11 2 14 2" xfId="45400" xr:uid="{A202A6B0-C566-401B-B478-38984B937BAF}"/>
    <cellStyle name="Comma 11 2 15" xfId="30280" xr:uid="{DCE53280-36A2-43BF-BD89-B25D87D9C685}"/>
    <cellStyle name="Comma 11 2 2" xfId="82" xr:uid="{157BF018-C1E1-47D7-BB7F-DE53324162E2}"/>
    <cellStyle name="Comma 11 2 2 10" xfId="6130" xr:uid="{51354C80-C835-4930-9121-4BF09F1DD5E4}"/>
    <cellStyle name="Comma 11 2 2 10 2" xfId="21250" xr:uid="{6B1AF25F-691F-4A9F-997C-144755CEE414}"/>
    <cellStyle name="Comma 11 2 2 10 2 2" xfId="51490" xr:uid="{F0603952-47AA-45F2-B427-051CF09E5D43}"/>
    <cellStyle name="Comma 11 2 2 10 3" xfId="36370" xr:uid="{AD61CAAF-9DA0-4BD6-A62E-EF9B33BEA66A}"/>
    <cellStyle name="Comma 11 2 2 11" xfId="7642" xr:uid="{BEDD641F-ED21-448D-B677-43AF6CEBAA80}"/>
    <cellStyle name="Comma 11 2 2 11 2" xfId="22762" xr:uid="{7D12480E-CC72-42A3-ACE3-6161DD3BA446}"/>
    <cellStyle name="Comma 11 2 2 11 2 2" xfId="53002" xr:uid="{ED7FDE86-F909-41F2-85AF-19303D9C03CC}"/>
    <cellStyle name="Comma 11 2 2 11 3" xfId="37882" xr:uid="{0F100A1A-0313-457E-8958-0E866E3B4C11}"/>
    <cellStyle name="Comma 11 2 2 12" xfId="9154" xr:uid="{6E5CEB04-BCFB-4605-B9B0-499B7F9C4E3B}"/>
    <cellStyle name="Comma 11 2 2 12 2" xfId="24274" xr:uid="{EF14B5C6-312A-42AD-B2E6-12C3DA184957}"/>
    <cellStyle name="Comma 11 2 2 12 2 2" xfId="54514" xr:uid="{9681ABBF-D447-4DB3-A52C-CD2722A4C6A1}"/>
    <cellStyle name="Comma 11 2 2 12 3" xfId="39394" xr:uid="{7527A4F5-2BCB-4577-A274-4C7E4978F9DF}"/>
    <cellStyle name="Comma 11 2 2 13" xfId="15202" xr:uid="{0436A415-2244-472D-B095-AD25384F6059}"/>
    <cellStyle name="Comma 11 2 2 13 2" xfId="45442" xr:uid="{B53A6FAC-EA95-4120-91B5-144E5689BE6E}"/>
    <cellStyle name="Comma 11 2 2 14" xfId="30322" xr:uid="{F8B2740C-2F0B-49F3-970C-CE336969E236}"/>
    <cellStyle name="Comma 11 2 2 2" xfId="166" xr:uid="{8984D439-7532-4704-A1C3-046975CC9013}"/>
    <cellStyle name="Comma 11 2 2 2 10" xfId="9238" xr:uid="{3785252D-7F96-4910-980D-9F6F46E7A274}"/>
    <cellStyle name="Comma 11 2 2 2 10 2" xfId="24358" xr:uid="{44BB853E-5CE6-463A-A57F-1A6FEA30BCC1}"/>
    <cellStyle name="Comma 11 2 2 2 10 2 2" xfId="54598" xr:uid="{6A177751-9FCF-4E53-8EAC-B988A65C67A5}"/>
    <cellStyle name="Comma 11 2 2 2 10 3" xfId="39478" xr:uid="{71CAF8C5-D746-4517-9E29-DDABDB9D6143}"/>
    <cellStyle name="Comma 11 2 2 2 11" xfId="15286" xr:uid="{8E668515-40CB-4911-B7A0-87AF765EA483}"/>
    <cellStyle name="Comma 11 2 2 2 11 2" xfId="45526" xr:uid="{FA2AA518-4B8C-40B6-B7E9-08C2161D3D8D}"/>
    <cellStyle name="Comma 11 2 2 2 12" xfId="30406" xr:uid="{E3617A1A-AEC7-48FF-9FA7-5BF795696568}"/>
    <cellStyle name="Comma 11 2 2 2 2" xfId="418" xr:uid="{246C1616-4DB6-42F2-A339-4C117F70E4B7}"/>
    <cellStyle name="Comma 11 2 2 2 2 10" xfId="30658" xr:uid="{6CF280B8-6522-4FE9-B4EA-C1751D02459D}"/>
    <cellStyle name="Comma 11 2 2 2 2 2" xfId="1174" xr:uid="{1A00A2D9-EEF4-485A-AF39-B4038FAE066F}"/>
    <cellStyle name="Comma 11 2 2 2 2 2 2" xfId="2686" xr:uid="{7675511F-8F7D-4EA4-99E8-23E7B8A7FD2C}"/>
    <cellStyle name="Comma 11 2 2 2 2 2 2 2" xfId="11758" xr:uid="{83DA5BD8-E68D-41FA-8707-D32382156493}"/>
    <cellStyle name="Comma 11 2 2 2 2 2 2 2 2" xfId="26878" xr:uid="{90A5A7EE-2051-42BA-B549-BB8F2DE9BAA3}"/>
    <cellStyle name="Comma 11 2 2 2 2 2 2 2 2 2" xfId="57118" xr:uid="{EBBFF709-5972-4DB4-895A-EB3DB772A17B}"/>
    <cellStyle name="Comma 11 2 2 2 2 2 2 2 3" xfId="41998" xr:uid="{46DC7459-25A6-4159-8699-39049E6B3987}"/>
    <cellStyle name="Comma 11 2 2 2 2 2 2 3" xfId="17806" xr:uid="{92EE8E36-3F52-46ED-863D-D3B50E2806FB}"/>
    <cellStyle name="Comma 11 2 2 2 2 2 2 3 2" xfId="48046" xr:uid="{A176A971-E36C-4C76-9600-19893C766C7D}"/>
    <cellStyle name="Comma 11 2 2 2 2 2 2 4" xfId="32926" xr:uid="{D9E4EAB2-0777-4F2A-9121-E08C21A9BF13}"/>
    <cellStyle name="Comma 11 2 2 2 2 2 3" xfId="4198" xr:uid="{DA217258-8789-4C3D-A49F-0DA8D23B8C84}"/>
    <cellStyle name="Comma 11 2 2 2 2 2 3 2" xfId="13270" xr:uid="{69CF7037-D842-496E-AAE9-8EAA95FAD097}"/>
    <cellStyle name="Comma 11 2 2 2 2 2 3 2 2" xfId="28390" xr:uid="{34413E37-F5EC-47CF-8B2D-09A2EC2AB2D7}"/>
    <cellStyle name="Comma 11 2 2 2 2 2 3 2 2 2" xfId="58630" xr:uid="{BEB1CFF7-92C9-4ECB-BD7D-AA7FAFCF7C7D}"/>
    <cellStyle name="Comma 11 2 2 2 2 2 3 2 3" xfId="43510" xr:uid="{33D9E346-B946-4AC0-8E77-DEB41061820D}"/>
    <cellStyle name="Comma 11 2 2 2 2 2 3 3" xfId="19318" xr:uid="{8C2DBD97-1371-4E98-BC2B-24F35BDBD76D}"/>
    <cellStyle name="Comma 11 2 2 2 2 2 3 3 2" xfId="49558" xr:uid="{034E1696-CE80-44D8-89A9-AAAF43DDB507}"/>
    <cellStyle name="Comma 11 2 2 2 2 2 3 4" xfId="34438" xr:uid="{76D0DE03-63E7-4F7D-B3B8-F4321B6C0FEF}"/>
    <cellStyle name="Comma 11 2 2 2 2 2 4" xfId="5710" xr:uid="{E6A06735-8F03-435F-9C97-F53A1D7DE1E8}"/>
    <cellStyle name="Comma 11 2 2 2 2 2 4 2" xfId="14782" xr:uid="{C2830D92-13A9-4BBD-9101-5BE51246AB66}"/>
    <cellStyle name="Comma 11 2 2 2 2 2 4 2 2" xfId="29902" xr:uid="{8A09A71C-0EF4-4750-A81F-8A8BBBB869D5}"/>
    <cellStyle name="Comma 11 2 2 2 2 2 4 2 2 2" xfId="60142" xr:uid="{2BA1639E-74BD-4FEB-8161-E494F7652649}"/>
    <cellStyle name="Comma 11 2 2 2 2 2 4 2 3" xfId="45022" xr:uid="{61C8E8F5-3609-4A59-B2F3-1CD6C5EB31D5}"/>
    <cellStyle name="Comma 11 2 2 2 2 2 4 3" xfId="20830" xr:uid="{CE93C2B1-1BFB-4BC8-998E-380B6E4ECF94}"/>
    <cellStyle name="Comma 11 2 2 2 2 2 4 3 2" xfId="51070" xr:uid="{17FDE64F-D00A-4344-943C-67496EE6C0BC}"/>
    <cellStyle name="Comma 11 2 2 2 2 2 4 4" xfId="35950" xr:uid="{3F18620B-8335-4657-912F-8DF16D98D372}"/>
    <cellStyle name="Comma 11 2 2 2 2 2 5" xfId="7222" xr:uid="{E772483E-E43E-476B-B96C-B558E7181F8E}"/>
    <cellStyle name="Comma 11 2 2 2 2 2 5 2" xfId="22342" xr:uid="{07E243EB-2F91-4859-A76E-5027D747FE7E}"/>
    <cellStyle name="Comma 11 2 2 2 2 2 5 2 2" xfId="52582" xr:uid="{CC0E76EE-C7A7-4C38-8350-957A29DF3CA6}"/>
    <cellStyle name="Comma 11 2 2 2 2 2 5 3" xfId="37462" xr:uid="{CBBDC7D7-318C-4704-9E0B-48B211294836}"/>
    <cellStyle name="Comma 11 2 2 2 2 2 6" xfId="8734" xr:uid="{E919B434-4101-4F43-9E82-81B8FD95E272}"/>
    <cellStyle name="Comma 11 2 2 2 2 2 6 2" xfId="23854" xr:uid="{DBF68095-BDAE-465D-935C-B31A0D0002E6}"/>
    <cellStyle name="Comma 11 2 2 2 2 2 6 2 2" xfId="54094" xr:uid="{BC6B51A9-4CAF-44AE-84C6-4CEC1A009B50}"/>
    <cellStyle name="Comma 11 2 2 2 2 2 6 3" xfId="38974" xr:uid="{E62D6737-84C3-4A60-B7AD-58D5BBC93E64}"/>
    <cellStyle name="Comma 11 2 2 2 2 2 7" xfId="10246" xr:uid="{1C3EF393-14F3-44DD-96E4-C3C13AF1D536}"/>
    <cellStyle name="Comma 11 2 2 2 2 2 7 2" xfId="25366" xr:uid="{C35ECB51-3496-492E-978E-F56E00214694}"/>
    <cellStyle name="Comma 11 2 2 2 2 2 7 2 2" xfId="55606" xr:uid="{CCA993B1-8D95-4DC4-BC2B-1E7295B7DC45}"/>
    <cellStyle name="Comma 11 2 2 2 2 2 7 3" xfId="40486" xr:uid="{1113154E-A583-46EA-839F-0F51D8965E78}"/>
    <cellStyle name="Comma 11 2 2 2 2 2 8" xfId="16294" xr:uid="{CF3B86F2-5833-4231-B2D5-C6BF948FC187}"/>
    <cellStyle name="Comma 11 2 2 2 2 2 8 2" xfId="46534" xr:uid="{2C92937A-A4ED-4B3C-AC88-F7100C943377}"/>
    <cellStyle name="Comma 11 2 2 2 2 2 9" xfId="31414" xr:uid="{3A1D09FC-EFC8-49DB-979F-7F04FF6C495B}"/>
    <cellStyle name="Comma 11 2 2 2 2 3" xfId="1930" xr:uid="{F8EB85A6-BFD4-43DB-A1E3-D485ED18BF74}"/>
    <cellStyle name="Comma 11 2 2 2 2 3 2" xfId="11002" xr:uid="{8CF8BD42-1841-4707-8827-019F73B3717B}"/>
    <cellStyle name="Comma 11 2 2 2 2 3 2 2" xfId="26122" xr:uid="{708DF827-FADD-46E1-AF2B-B814A5B0BDC3}"/>
    <cellStyle name="Comma 11 2 2 2 2 3 2 2 2" xfId="56362" xr:uid="{7C585B78-41F9-4D5E-A437-544BCB3CEF98}"/>
    <cellStyle name="Comma 11 2 2 2 2 3 2 3" xfId="41242" xr:uid="{00BC5870-7BA4-4613-B9F9-D45C9B57AB6E}"/>
    <cellStyle name="Comma 11 2 2 2 2 3 3" xfId="17050" xr:uid="{39B63D0A-DAE8-493B-89CC-61A357C63540}"/>
    <cellStyle name="Comma 11 2 2 2 2 3 3 2" xfId="47290" xr:uid="{BD68CA93-A154-4777-B534-7669338A2B12}"/>
    <cellStyle name="Comma 11 2 2 2 2 3 4" xfId="32170" xr:uid="{ED9FE726-F3DF-4786-8323-7FDE66C5FFAC}"/>
    <cellStyle name="Comma 11 2 2 2 2 4" xfId="3442" xr:uid="{1FE01370-53E0-46DD-A66A-CE04CB04348D}"/>
    <cellStyle name="Comma 11 2 2 2 2 4 2" xfId="12514" xr:uid="{B1D5F730-ADC9-498A-BCA3-DE0FFC2E2119}"/>
    <cellStyle name="Comma 11 2 2 2 2 4 2 2" xfId="27634" xr:uid="{599FF5D4-15A2-4D81-ADB0-BEBECB7912A0}"/>
    <cellStyle name="Comma 11 2 2 2 2 4 2 2 2" xfId="57874" xr:uid="{C790D42E-A7DD-42A7-8BBF-3D20102B2F1A}"/>
    <cellStyle name="Comma 11 2 2 2 2 4 2 3" xfId="42754" xr:uid="{96F27A49-4541-4976-8944-4230B6BC3DBE}"/>
    <cellStyle name="Comma 11 2 2 2 2 4 3" xfId="18562" xr:uid="{13830C73-06DA-4586-A752-7FB764E55B8B}"/>
    <cellStyle name="Comma 11 2 2 2 2 4 3 2" xfId="48802" xr:uid="{F22057EA-880D-4DF8-B624-958EDCDCC3B8}"/>
    <cellStyle name="Comma 11 2 2 2 2 4 4" xfId="33682" xr:uid="{728B5FFE-D1FF-4425-8351-E296F89D1699}"/>
    <cellStyle name="Comma 11 2 2 2 2 5" xfId="4954" xr:uid="{0A584AB5-3281-4AA8-9250-5E57E46CC78A}"/>
    <cellStyle name="Comma 11 2 2 2 2 5 2" xfId="14026" xr:uid="{D8F37039-2E7F-4004-8EE3-C3D4D1004EE3}"/>
    <cellStyle name="Comma 11 2 2 2 2 5 2 2" xfId="29146" xr:uid="{0FB2A9BC-E767-49D4-B340-F0C8D58B9892}"/>
    <cellStyle name="Comma 11 2 2 2 2 5 2 2 2" xfId="59386" xr:uid="{A0EA17F8-6461-4790-B9EE-CBB4F1B9EC89}"/>
    <cellStyle name="Comma 11 2 2 2 2 5 2 3" xfId="44266" xr:uid="{05CE6E2A-1D54-4BB4-9DB6-26FEA8F17F52}"/>
    <cellStyle name="Comma 11 2 2 2 2 5 3" xfId="20074" xr:uid="{B58D4989-9F9C-46BF-A293-2319061CCE56}"/>
    <cellStyle name="Comma 11 2 2 2 2 5 3 2" xfId="50314" xr:uid="{0AB6AC6A-7035-423B-AAC5-133DE361DCB4}"/>
    <cellStyle name="Comma 11 2 2 2 2 5 4" xfId="35194" xr:uid="{3C53C04B-1CA7-42BC-9FB2-6EF43A726158}"/>
    <cellStyle name="Comma 11 2 2 2 2 6" xfId="6466" xr:uid="{150D3485-A7EC-4758-9B5E-1B4717691A06}"/>
    <cellStyle name="Comma 11 2 2 2 2 6 2" xfId="21586" xr:uid="{B1FABBCC-BD16-4045-9976-5DC752FF053C}"/>
    <cellStyle name="Comma 11 2 2 2 2 6 2 2" xfId="51826" xr:uid="{F6925E27-416B-41F4-A447-8E04E0B74C1B}"/>
    <cellStyle name="Comma 11 2 2 2 2 6 3" xfId="36706" xr:uid="{FC064309-2D17-40B0-9F21-0FEDED1A267B}"/>
    <cellStyle name="Comma 11 2 2 2 2 7" xfId="7978" xr:uid="{522063F3-452B-488E-9EAF-8AAAB4BAD00F}"/>
    <cellStyle name="Comma 11 2 2 2 2 7 2" xfId="23098" xr:uid="{AACFC44A-12B2-48C6-BFD7-0548AD04035B}"/>
    <cellStyle name="Comma 11 2 2 2 2 7 2 2" xfId="53338" xr:uid="{75BADCB8-C6D7-4434-B211-A5E579CEA95E}"/>
    <cellStyle name="Comma 11 2 2 2 2 7 3" xfId="38218" xr:uid="{15F39B37-1B6A-4C58-B82A-0A3FAFEED04E}"/>
    <cellStyle name="Comma 11 2 2 2 2 8" xfId="9490" xr:uid="{4264F85A-1FB7-466A-BDA1-5724AD585D55}"/>
    <cellStyle name="Comma 11 2 2 2 2 8 2" xfId="24610" xr:uid="{EB84A9B3-C305-40DE-B107-84C2F7473679}"/>
    <cellStyle name="Comma 11 2 2 2 2 8 2 2" xfId="54850" xr:uid="{06529C2F-FA8D-40D7-AE2C-6582C894AF58}"/>
    <cellStyle name="Comma 11 2 2 2 2 8 3" xfId="39730" xr:uid="{E6CB4C4D-64D4-4268-B40E-823B4A2710CE}"/>
    <cellStyle name="Comma 11 2 2 2 2 9" xfId="15538" xr:uid="{4FF4CCE6-EE82-4247-865B-E9EA09771610}"/>
    <cellStyle name="Comma 11 2 2 2 2 9 2" xfId="45778" xr:uid="{43A67E61-D5C2-4A1A-A6F0-B2425EAFEF65}"/>
    <cellStyle name="Comma 11 2 2 2 3" xfId="670" xr:uid="{884C3222-6108-4C76-9E28-11306B6140A0}"/>
    <cellStyle name="Comma 11 2 2 2 3 10" xfId="30910" xr:uid="{C71CB628-1F79-43CC-B550-DE92B6D75718}"/>
    <cellStyle name="Comma 11 2 2 2 3 2" xfId="1426" xr:uid="{1E60794A-3E52-4359-94C9-E76DC8A1FB7C}"/>
    <cellStyle name="Comma 11 2 2 2 3 2 2" xfId="2938" xr:uid="{7FD710A7-0577-475B-9C3B-28079470BB7A}"/>
    <cellStyle name="Comma 11 2 2 2 3 2 2 2" xfId="12010" xr:uid="{E3483101-34C7-40E6-8010-98B5C5EBE3A4}"/>
    <cellStyle name="Comma 11 2 2 2 3 2 2 2 2" xfId="27130" xr:uid="{3FC3DE80-1A25-47EF-AED0-F07E67C49B13}"/>
    <cellStyle name="Comma 11 2 2 2 3 2 2 2 2 2" xfId="57370" xr:uid="{3E1B615D-19FB-4C27-B053-FC68A577174F}"/>
    <cellStyle name="Comma 11 2 2 2 3 2 2 2 3" xfId="42250" xr:uid="{686B343B-8678-4669-A3FB-2A33B0FA7383}"/>
    <cellStyle name="Comma 11 2 2 2 3 2 2 3" xfId="18058" xr:uid="{5E7EF264-ECA4-4AEF-93FF-854C07A58DB0}"/>
    <cellStyle name="Comma 11 2 2 2 3 2 2 3 2" xfId="48298" xr:uid="{EC7EB9B7-67B2-4F53-B44F-73A009E0D1FB}"/>
    <cellStyle name="Comma 11 2 2 2 3 2 2 4" xfId="33178" xr:uid="{366EB816-924F-466F-BAD6-ED25518869FC}"/>
    <cellStyle name="Comma 11 2 2 2 3 2 3" xfId="4450" xr:uid="{498C360C-A25C-4948-B27C-A416D15BCF57}"/>
    <cellStyle name="Comma 11 2 2 2 3 2 3 2" xfId="13522" xr:uid="{6EAACB05-BD3D-4FF9-910D-37CCBC3D9FCE}"/>
    <cellStyle name="Comma 11 2 2 2 3 2 3 2 2" xfId="28642" xr:uid="{87AAB0AA-459F-4CD6-B6DC-C68F8548F7C4}"/>
    <cellStyle name="Comma 11 2 2 2 3 2 3 2 2 2" xfId="58882" xr:uid="{597A1936-C4C6-4DA7-AEF7-22C1FA198591}"/>
    <cellStyle name="Comma 11 2 2 2 3 2 3 2 3" xfId="43762" xr:uid="{2C02CD89-F7A0-41C3-BFA8-2EECFCFE3420}"/>
    <cellStyle name="Comma 11 2 2 2 3 2 3 3" xfId="19570" xr:uid="{192E2C69-D911-4C7C-9BA5-4C135BEBF14A}"/>
    <cellStyle name="Comma 11 2 2 2 3 2 3 3 2" xfId="49810" xr:uid="{D64C76D5-837A-410F-8B12-31BB4B26667A}"/>
    <cellStyle name="Comma 11 2 2 2 3 2 3 4" xfId="34690" xr:uid="{717D586A-9A93-48CA-9166-990386CEB773}"/>
    <cellStyle name="Comma 11 2 2 2 3 2 4" xfId="5962" xr:uid="{33BA6A81-0719-4471-BCBD-B0649E89592F}"/>
    <cellStyle name="Comma 11 2 2 2 3 2 4 2" xfId="15034" xr:uid="{E94F5439-2981-4DAB-B5E3-464F75237D41}"/>
    <cellStyle name="Comma 11 2 2 2 3 2 4 2 2" xfId="30154" xr:uid="{49E3E109-97C2-4A9C-A182-1B5CBB85125F}"/>
    <cellStyle name="Comma 11 2 2 2 3 2 4 2 2 2" xfId="60394" xr:uid="{166DBEF8-4AF3-4404-B77C-D4B16668B49E}"/>
    <cellStyle name="Comma 11 2 2 2 3 2 4 2 3" xfId="45274" xr:uid="{63840A15-5D0E-43B6-8897-03917255825A}"/>
    <cellStyle name="Comma 11 2 2 2 3 2 4 3" xfId="21082" xr:uid="{812CB18B-4C07-47C4-9EAA-F348E8EEF5F7}"/>
    <cellStyle name="Comma 11 2 2 2 3 2 4 3 2" xfId="51322" xr:uid="{75D650CF-EA21-4F91-944D-9A1E55C7F9A1}"/>
    <cellStyle name="Comma 11 2 2 2 3 2 4 4" xfId="36202" xr:uid="{8903EC03-D28A-4352-B419-28C007C080D4}"/>
    <cellStyle name="Comma 11 2 2 2 3 2 5" xfId="7474" xr:uid="{6DB07B2A-6E49-4432-9A25-ACD969E0285A}"/>
    <cellStyle name="Comma 11 2 2 2 3 2 5 2" xfId="22594" xr:uid="{26C3FDE4-C404-41EF-8BC6-84F2C80DAD3C}"/>
    <cellStyle name="Comma 11 2 2 2 3 2 5 2 2" xfId="52834" xr:uid="{D96B0A20-3B94-418F-86C8-0BC1E657E654}"/>
    <cellStyle name="Comma 11 2 2 2 3 2 5 3" xfId="37714" xr:uid="{98516FAB-A804-4261-A56B-0E515562A8EE}"/>
    <cellStyle name="Comma 11 2 2 2 3 2 6" xfId="8986" xr:uid="{11679271-70AF-4CB7-94D8-7A53FD2D26E4}"/>
    <cellStyle name="Comma 11 2 2 2 3 2 6 2" xfId="24106" xr:uid="{3CF67071-16D4-423D-A972-7D951C45CE80}"/>
    <cellStyle name="Comma 11 2 2 2 3 2 6 2 2" xfId="54346" xr:uid="{C6DCAC36-2499-47F0-9A0C-34ED0F7FEC19}"/>
    <cellStyle name="Comma 11 2 2 2 3 2 6 3" xfId="39226" xr:uid="{B9E3F0C2-1AB7-4C53-A5A8-E2A087760D6F}"/>
    <cellStyle name="Comma 11 2 2 2 3 2 7" xfId="10498" xr:uid="{86B04B13-D998-4453-A3B8-2B1A4E6B5510}"/>
    <cellStyle name="Comma 11 2 2 2 3 2 7 2" xfId="25618" xr:uid="{DA5D5CDE-6C29-4B74-B789-B47C7425BBC4}"/>
    <cellStyle name="Comma 11 2 2 2 3 2 7 2 2" xfId="55858" xr:uid="{FF391D4F-92F9-422F-B17A-E1B4CF5C8291}"/>
    <cellStyle name="Comma 11 2 2 2 3 2 7 3" xfId="40738" xr:uid="{6C082749-EF88-45B1-BF73-50B9393A8D0F}"/>
    <cellStyle name="Comma 11 2 2 2 3 2 8" xfId="16546" xr:uid="{AA3BEED4-530B-467C-8073-8E6FC7F67266}"/>
    <cellStyle name="Comma 11 2 2 2 3 2 8 2" xfId="46786" xr:uid="{316709CA-5C0D-46F2-82BB-209B6E7E8044}"/>
    <cellStyle name="Comma 11 2 2 2 3 2 9" xfId="31666" xr:uid="{477E8F6C-938F-4B71-87B0-AE72C45C4E90}"/>
    <cellStyle name="Comma 11 2 2 2 3 3" xfId="2182" xr:uid="{F0C8EDD2-88FB-4D5A-BBB3-F57F93C9F629}"/>
    <cellStyle name="Comma 11 2 2 2 3 3 2" xfId="11254" xr:uid="{1E24B144-F4E8-49EB-A2E5-6C2B8E71890B}"/>
    <cellStyle name="Comma 11 2 2 2 3 3 2 2" xfId="26374" xr:uid="{3096B85C-C665-4635-8914-2A4955C929F2}"/>
    <cellStyle name="Comma 11 2 2 2 3 3 2 2 2" xfId="56614" xr:uid="{6C4B9528-4A5C-4DA4-9E49-3ECFD0A4DEC2}"/>
    <cellStyle name="Comma 11 2 2 2 3 3 2 3" xfId="41494" xr:uid="{E89CEB41-4A9B-4A1B-AC5C-548ECE69F019}"/>
    <cellStyle name="Comma 11 2 2 2 3 3 3" xfId="17302" xr:uid="{168B61BF-5D92-4B4C-A21A-DDEC4505EB1E}"/>
    <cellStyle name="Comma 11 2 2 2 3 3 3 2" xfId="47542" xr:uid="{31C84DB3-6106-4EE0-A549-AFEA864991CF}"/>
    <cellStyle name="Comma 11 2 2 2 3 3 4" xfId="32422" xr:uid="{F955A0DD-FAD9-4F4D-90E0-2F0C689C0E56}"/>
    <cellStyle name="Comma 11 2 2 2 3 4" xfId="3694" xr:uid="{C62B94E5-214D-4098-9247-D8D3680986E6}"/>
    <cellStyle name="Comma 11 2 2 2 3 4 2" xfId="12766" xr:uid="{7C3271E3-D54A-49DE-9C4F-83C8600ECAC4}"/>
    <cellStyle name="Comma 11 2 2 2 3 4 2 2" xfId="27886" xr:uid="{4890FF7B-B355-42B4-A07D-EF0F4818FD47}"/>
    <cellStyle name="Comma 11 2 2 2 3 4 2 2 2" xfId="58126" xr:uid="{780C63C4-15DE-4798-AC11-C194CB5749EB}"/>
    <cellStyle name="Comma 11 2 2 2 3 4 2 3" xfId="43006" xr:uid="{6012A331-4B6A-499A-BA8A-0F023DD5B75C}"/>
    <cellStyle name="Comma 11 2 2 2 3 4 3" xfId="18814" xr:uid="{C87CAAD9-6BB6-4E77-A41A-1AC94D49DBC0}"/>
    <cellStyle name="Comma 11 2 2 2 3 4 3 2" xfId="49054" xr:uid="{8E64FEA9-07C9-47A8-B749-334F787F19FA}"/>
    <cellStyle name="Comma 11 2 2 2 3 4 4" xfId="33934" xr:uid="{5AC779AE-8881-4422-BA03-9D65D223A2DA}"/>
    <cellStyle name="Comma 11 2 2 2 3 5" xfId="5206" xr:uid="{CD49C385-C4D6-43EF-BC5C-D2C135E6009D}"/>
    <cellStyle name="Comma 11 2 2 2 3 5 2" xfId="14278" xr:uid="{5ACDFD9E-4A05-4493-8E84-358BC0B6EF41}"/>
    <cellStyle name="Comma 11 2 2 2 3 5 2 2" xfId="29398" xr:uid="{33910F76-F33D-4041-BB45-949F23463EBD}"/>
    <cellStyle name="Comma 11 2 2 2 3 5 2 2 2" xfId="59638" xr:uid="{A4A6AD9D-51A9-4FE9-8C41-B56DDECA76CB}"/>
    <cellStyle name="Comma 11 2 2 2 3 5 2 3" xfId="44518" xr:uid="{B2D55880-9117-446F-B52F-2CEC389AD64B}"/>
    <cellStyle name="Comma 11 2 2 2 3 5 3" xfId="20326" xr:uid="{75C26556-C50D-44D0-84D0-2556D829BA28}"/>
    <cellStyle name="Comma 11 2 2 2 3 5 3 2" xfId="50566" xr:uid="{DA97C2F5-8D74-4C7C-8A67-1CDD587A3DC8}"/>
    <cellStyle name="Comma 11 2 2 2 3 5 4" xfId="35446" xr:uid="{1D3E0F20-DE6E-44D9-8ADE-B12C2AE9F097}"/>
    <cellStyle name="Comma 11 2 2 2 3 6" xfId="6718" xr:uid="{19DD61C5-ABC4-4DCC-A254-BB9982BA0A66}"/>
    <cellStyle name="Comma 11 2 2 2 3 6 2" xfId="21838" xr:uid="{107EDC37-BEB9-4161-911D-CFB1E4D278EB}"/>
    <cellStyle name="Comma 11 2 2 2 3 6 2 2" xfId="52078" xr:uid="{0F38E58B-6666-4994-9EB1-A3B0F437B930}"/>
    <cellStyle name="Comma 11 2 2 2 3 6 3" xfId="36958" xr:uid="{EF695B05-D424-4B62-985F-B9309DD4DF38}"/>
    <cellStyle name="Comma 11 2 2 2 3 7" xfId="8230" xr:uid="{F8BA023A-5085-456F-92DA-E1898095E6A8}"/>
    <cellStyle name="Comma 11 2 2 2 3 7 2" xfId="23350" xr:uid="{8BDE2A31-0686-4417-AFA5-0D28E50B9D25}"/>
    <cellStyle name="Comma 11 2 2 2 3 7 2 2" xfId="53590" xr:uid="{B42CEF60-3A8D-4F5E-883A-2E5BE59E936F}"/>
    <cellStyle name="Comma 11 2 2 2 3 7 3" xfId="38470" xr:uid="{EDCD3886-A727-4C5F-91CA-960F487D3671}"/>
    <cellStyle name="Comma 11 2 2 2 3 8" xfId="9742" xr:uid="{08BC20EA-CA2C-42EB-A420-C4396B5A34E7}"/>
    <cellStyle name="Comma 11 2 2 2 3 8 2" xfId="24862" xr:uid="{0D8AE57A-D133-4F4C-AD19-3E175F17B725}"/>
    <cellStyle name="Comma 11 2 2 2 3 8 2 2" xfId="55102" xr:uid="{270B6A96-E65C-464F-9D6C-5FFED95A07B1}"/>
    <cellStyle name="Comma 11 2 2 2 3 8 3" xfId="39982" xr:uid="{40335B50-E7EC-4A29-970C-FAD23EB47379}"/>
    <cellStyle name="Comma 11 2 2 2 3 9" xfId="15790" xr:uid="{9C67445D-163B-4A17-8551-16A1FC70036D}"/>
    <cellStyle name="Comma 11 2 2 2 3 9 2" xfId="46030" xr:uid="{7BAEDC28-F882-4326-AB23-60DBB8E8EC37}"/>
    <cellStyle name="Comma 11 2 2 2 4" xfId="922" xr:uid="{70C4D824-5F18-488B-899A-5AADB79AEDBB}"/>
    <cellStyle name="Comma 11 2 2 2 4 2" xfId="2434" xr:uid="{31E4208D-20C6-49CE-8D99-0ECCCA4F1F4A}"/>
    <cellStyle name="Comma 11 2 2 2 4 2 2" xfId="11506" xr:uid="{E398C9EA-3BDD-401A-AB27-3F27C5DA3455}"/>
    <cellStyle name="Comma 11 2 2 2 4 2 2 2" xfId="26626" xr:uid="{5D841D5E-986A-4271-93EE-C1C6323D6888}"/>
    <cellStyle name="Comma 11 2 2 2 4 2 2 2 2" xfId="56866" xr:uid="{3D0F6781-C71E-4261-A832-465C3F8F88C4}"/>
    <cellStyle name="Comma 11 2 2 2 4 2 2 3" xfId="41746" xr:uid="{596871A4-A60E-47F0-B58B-A5555536722D}"/>
    <cellStyle name="Comma 11 2 2 2 4 2 3" xfId="17554" xr:uid="{4DCB63C0-A95F-4095-BAB0-C070261AC9F7}"/>
    <cellStyle name="Comma 11 2 2 2 4 2 3 2" xfId="47794" xr:uid="{8A09F7D8-0690-4634-B232-BF6B8891F170}"/>
    <cellStyle name="Comma 11 2 2 2 4 2 4" xfId="32674" xr:uid="{5A063A96-CD01-4B7C-95CE-3505B0F0B4B5}"/>
    <cellStyle name="Comma 11 2 2 2 4 3" xfId="3946" xr:uid="{3A9E0EB6-FA65-49BF-8273-9223E7643A48}"/>
    <cellStyle name="Comma 11 2 2 2 4 3 2" xfId="13018" xr:uid="{2506ADC8-0756-4DD0-9DAF-8E052671C14A}"/>
    <cellStyle name="Comma 11 2 2 2 4 3 2 2" xfId="28138" xr:uid="{15DA0A98-5FEC-4C15-928D-DF8B1688A1E5}"/>
    <cellStyle name="Comma 11 2 2 2 4 3 2 2 2" xfId="58378" xr:uid="{088B6602-9D91-4784-92A1-A5848D46AFC8}"/>
    <cellStyle name="Comma 11 2 2 2 4 3 2 3" xfId="43258" xr:uid="{F9A703FA-E4B2-42B4-B758-8DF8551FBAAA}"/>
    <cellStyle name="Comma 11 2 2 2 4 3 3" xfId="19066" xr:uid="{81969E14-ACAC-4BB1-820C-3A7D46A0BCCD}"/>
    <cellStyle name="Comma 11 2 2 2 4 3 3 2" xfId="49306" xr:uid="{B0A2DC4C-FAC0-42BA-AF53-28E6BB9CB467}"/>
    <cellStyle name="Comma 11 2 2 2 4 3 4" xfId="34186" xr:uid="{81A1519E-83EC-4DE9-A6C3-ABFFA9736791}"/>
    <cellStyle name="Comma 11 2 2 2 4 4" xfId="5458" xr:uid="{31B4270F-52C8-4F7F-AA64-9C1E51543FB3}"/>
    <cellStyle name="Comma 11 2 2 2 4 4 2" xfId="14530" xr:uid="{504FEA5B-B30E-46CC-965D-1D53A0706717}"/>
    <cellStyle name="Comma 11 2 2 2 4 4 2 2" xfId="29650" xr:uid="{67B5AEC3-69F8-40B9-A0FA-2D3A50C83DEC}"/>
    <cellStyle name="Comma 11 2 2 2 4 4 2 2 2" xfId="59890" xr:uid="{12648670-DBE8-49B1-AFEE-47BD719B10E9}"/>
    <cellStyle name="Comma 11 2 2 2 4 4 2 3" xfId="44770" xr:uid="{C8D3B789-78E8-438B-A9E6-FED7903F5334}"/>
    <cellStyle name="Comma 11 2 2 2 4 4 3" xfId="20578" xr:uid="{C011D14F-2FE0-4252-B403-6117690FF00A}"/>
    <cellStyle name="Comma 11 2 2 2 4 4 3 2" xfId="50818" xr:uid="{0D6BEC40-5F17-421F-A38A-54031A37B19D}"/>
    <cellStyle name="Comma 11 2 2 2 4 4 4" xfId="35698" xr:uid="{32DCCFE0-2CFF-450A-A426-E5AAE5C65CC6}"/>
    <cellStyle name="Comma 11 2 2 2 4 5" xfId="6970" xr:uid="{96173EFA-74F4-48C2-8A0D-692A316CA6F0}"/>
    <cellStyle name="Comma 11 2 2 2 4 5 2" xfId="22090" xr:uid="{38437500-182B-4792-A0FE-FE0BE40E7966}"/>
    <cellStyle name="Comma 11 2 2 2 4 5 2 2" xfId="52330" xr:uid="{E4F07C08-CAE5-4557-BC4B-50283138B906}"/>
    <cellStyle name="Comma 11 2 2 2 4 5 3" xfId="37210" xr:uid="{5462F1C3-0A40-4971-A175-F278B40DB6F3}"/>
    <cellStyle name="Comma 11 2 2 2 4 6" xfId="8482" xr:uid="{FDE5348C-C9F1-4D25-B747-01AC6A65D524}"/>
    <cellStyle name="Comma 11 2 2 2 4 6 2" xfId="23602" xr:uid="{2E281EDA-C069-4570-A955-B9F6F661BAD3}"/>
    <cellStyle name="Comma 11 2 2 2 4 6 2 2" xfId="53842" xr:uid="{985EFB25-F98D-4F1C-9497-A1CDFC213A67}"/>
    <cellStyle name="Comma 11 2 2 2 4 6 3" xfId="38722" xr:uid="{5B37905A-641F-470F-8710-D00E0B8506C6}"/>
    <cellStyle name="Comma 11 2 2 2 4 7" xfId="9994" xr:uid="{76F23B88-6CD7-44FE-978F-536CF797200E}"/>
    <cellStyle name="Comma 11 2 2 2 4 7 2" xfId="25114" xr:uid="{ED504B73-7871-46CE-B897-6F8F725B1FFB}"/>
    <cellStyle name="Comma 11 2 2 2 4 7 2 2" xfId="55354" xr:uid="{AE5AFA1B-ED18-4E56-B800-41FDC53E99D4}"/>
    <cellStyle name="Comma 11 2 2 2 4 7 3" xfId="40234" xr:uid="{627D4CBB-C928-4E35-B9F5-6B78B58AD405}"/>
    <cellStyle name="Comma 11 2 2 2 4 8" xfId="16042" xr:uid="{ED5B0F2B-B4C7-4CE9-903A-1FC035FF5DB9}"/>
    <cellStyle name="Comma 11 2 2 2 4 8 2" xfId="46282" xr:uid="{7DEA746C-21B5-4CEA-AF03-CB8551D684CF}"/>
    <cellStyle name="Comma 11 2 2 2 4 9" xfId="31162" xr:uid="{7054A0A0-AE4F-4351-AE4B-DA07BE479699}"/>
    <cellStyle name="Comma 11 2 2 2 5" xfId="1678" xr:uid="{3FF05134-2D14-4BC7-BE57-AB106FA05051}"/>
    <cellStyle name="Comma 11 2 2 2 5 2" xfId="10750" xr:uid="{F3827B73-A978-494C-9D64-AEF3278D4A2E}"/>
    <cellStyle name="Comma 11 2 2 2 5 2 2" xfId="25870" xr:uid="{9946B21F-A3D7-4AFB-98B6-5455438034E3}"/>
    <cellStyle name="Comma 11 2 2 2 5 2 2 2" xfId="56110" xr:uid="{31CA89F0-FFC3-49EE-9778-343CDCC5A9D7}"/>
    <cellStyle name="Comma 11 2 2 2 5 2 3" xfId="40990" xr:uid="{9D8E5FF6-830F-443A-BF41-71A914310A3A}"/>
    <cellStyle name="Comma 11 2 2 2 5 3" xfId="16798" xr:uid="{74BD3BC3-6047-425F-AADC-0EF4D0959A2D}"/>
    <cellStyle name="Comma 11 2 2 2 5 3 2" xfId="47038" xr:uid="{513BC08B-9E14-4AA1-848F-5329F9EC8696}"/>
    <cellStyle name="Comma 11 2 2 2 5 4" xfId="31918" xr:uid="{8E542EEE-FBBE-4A2E-97E9-7A00F4FEAE9B}"/>
    <cellStyle name="Comma 11 2 2 2 6" xfId="3190" xr:uid="{BD0C3B80-8C8D-4500-A773-995EBC987E41}"/>
    <cellStyle name="Comma 11 2 2 2 6 2" xfId="12262" xr:uid="{8C052AB1-095B-4C17-81EE-2E5932220D61}"/>
    <cellStyle name="Comma 11 2 2 2 6 2 2" xfId="27382" xr:uid="{5BBD0551-AFB1-4350-B93C-9F21FBCD1B78}"/>
    <cellStyle name="Comma 11 2 2 2 6 2 2 2" xfId="57622" xr:uid="{3F683355-9BFF-467C-9166-A38BDA7C962B}"/>
    <cellStyle name="Comma 11 2 2 2 6 2 3" xfId="42502" xr:uid="{01E488BA-71FB-4374-8E1B-DE4C83CC1F4B}"/>
    <cellStyle name="Comma 11 2 2 2 6 3" xfId="18310" xr:uid="{CB960A45-DAA8-4D5B-A219-B8FDDFCD15AA}"/>
    <cellStyle name="Comma 11 2 2 2 6 3 2" xfId="48550" xr:uid="{BAB893B9-9B68-43AF-A67C-EA9E25BAE03D}"/>
    <cellStyle name="Comma 11 2 2 2 6 4" xfId="33430" xr:uid="{A764017C-DEEA-4AA1-B0D5-18E887AA8E9D}"/>
    <cellStyle name="Comma 11 2 2 2 7" xfId="4702" xr:uid="{EF661419-6291-4FD5-A004-CD16AFB4420D}"/>
    <cellStyle name="Comma 11 2 2 2 7 2" xfId="13774" xr:uid="{E6E1E660-D62E-4249-98D5-4B03700C3B9F}"/>
    <cellStyle name="Comma 11 2 2 2 7 2 2" xfId="28894" xr:uid="{DEF4B8F9-2003-4ED9-89B3-A14A9C9F7364}"/>
    <cellStyle name="Comma 11 2 2 2 7 2 2 2" xfId="59134" xr:uid="{5E8C398E-564F-4765-9860-98FEA0011547}"/>
    <cellStyle name="Comma 11 2 2 2 7 2 3" xfId="44014" xr:uid="{239335C9-E70C-47D5-AB83-0AD5FD066F1B}"/>
    <cellStyle name="Comma 11 2 2 2 7 3" xfId="19822" xr:uid="{975A8619-9723-446C-B2A8-84AF3075099A}"/>
    <cellStyle name="Comma 11 2 2 2 7 3 2" xfId="50062" xr:uid="{D7BF603E-9086-464D-B222-86F89B70985A}"/>
    <cellStyle name="Comma 11 2 2 2 7 4" xfId="34942" xr:uid="{5B4E293C-6DBE-4803-ABC9-EEFA4854AC2F}"/>
    <cellStyle name="Comma 11 2 2 2 8" xfId="6214" xr:uid="{AF0F5CDF-3E68-49B2-8B43-E678EB0AAC4C}"/>
    <cellStyle name="Comma 11 2 2 2 8 2" xfId="21334" xr:uid="{7118BC87-8862-4B71-BD16-05E60D947A2C}"/>
    <cellStyle name="Comma 11 2 2 2 8 2 2" xfId="51574" xr:uid="{B47AB7AC-74E8-4043-A7AF-731058F096CB}"/>
    <cellStyle name="Comma 11 2 2 2 8 3" xfId="36454" xr:uid="{3E95CED5-3738-495E-B918-B5CBFBB4CE7C}"/>
    <cellStyle name="Comma 11 2 2 2 9" xfId="7726" xr:uid="{DDE1ACFC-BC82-4CA7-B6B0-DF2FFDF41F86}"/>
    <cellStyle name="Comma 11 2 2 2 9 2" xfId="22846" xr:uid="{AAD9DCCE-51B6-41C1-A261-8026DB5C1C25}"/>
    <cellStyle name="Comma 11 2 2 2 9 2 2" xfId="53086" xr:uid="{50CB694E-BD15-428A-8ACD-5C749FF8734D}"/>
    <cellStyle name="Comma 11 2 2 2 9 3" xfId="37966" xr:uid="{66930E37-B6B7-408E-B694-F21F6BA18D5F}"/>
    <cellStyle name="Comma 11 2 2 3" xfId="250" xr:uid="{2908B03F-84D2-40B3-BE63-213070B25B79}"/>
    <cellStyle name="Comma 11 2 2 3 10" xfId="9322" xr:uid="{AC6B47F4-5419-4C04-847D-E2F9245CFF8D}"/>
    <cellStyle name="Comma 11 2 2 3 10 2" xfId="24442" xr:uid="{B9F61F59-1B59-4350-8711-7BD92BF57699}"/>
    <cellStyle name="Comma 11 2 2 3 10 2 2" xfId="54682" xr:uid="{BF820BB4-0C60-490D-B82B-938FEF306F6D}"/>
    <cellStyle name="Comma 11 2 2 3 10 3" xfId="39562" xr:uid="{47949A47-ACDF-4DE4-AA22-4DC4939EF7BA}"/>
    <cellStyle name="Comma 11 2 2 3 11" xfId="15370" xr:uid="{231960D7-12DC-4C85-B0D6-DAE6D4F08295}"/>
    <cellStyle name="Comma 11 2 2 3 11 2" xfId="45610" xr:uid="{088B4C2B-A900-4CA0-A2DF-ED4CB1199F0D}"/>
    <cellStyle name="Comma 11 2 2 3 12" xfId="30490" xr:uid="{E1671F1D-8D8B-4C2C-8007-511B53039FB9}"/>
    <cellStyle name="Comma 11 2 2 3 2" xfId="502" xr:uid="{99D785C1-64C3-4919-B592-1CE7A0BF8577}"/>
    <cellStyle name="Comma 11 2 2 3 2 10" xfId="30742" xr:uid="{19B6D8E6-A2A2-4E86-BBCD-F627D135FE7E}"/>
    <cellStyle name="Comma 11 2 2 3 2 2" xfId="1258" xr:uid="{438F772B-6FEC-48B9-BBC4-1F1A81D6C958}"/>
    <cellStyle name="Comma 11 2 2 3 2 2 2" xfId="2770" xr:uid="{D3868E4C-2588-4DBD-A3AA-427BDFED182E}"/>
    <cellStyle name="Comma 11 2 2 3 2 2 2 2" xfId="11842" xr:uid="{41E63C9C-D478-42B5-B8F4-2D81B21568B6}"/>
    <cellStyle name="Comma 11 2 2 3 2 2 2 2 2" xfId="26962" xr:uid="{6AB4AB2F-9331-46B5-85F2-6BD1BD743FDF}"/>
    <cellStyle name="Comma 11 2 2 3 2 2 2 2 2 2" xfId="57202" xr:uid="{E8BC816F-ECFA-492E-B8EA-6B36191D8EF6}"/>
    <cellStyle name="Comma 11 2 2 3 2 2 2 2 3" xfId="42082" xr:uid="{334DC25E-86DE-4F88-A7C9-78B5D1B07A13}"/>
    <cellStyle name="Comma 11 2 2 3 2 2 2 3" xfId="17890" xr:uid="{3CDAC618-D6D2-4895-9D78-1E007433DB50}"/>
    <cellStyle name="Comma 11 2 2 3 2 2 2 3 2" xfId="48130" xr:uid="{987BE895-AEED-4DC9-97BF-778A42A451B1}"/>
    <cellStyle name="Comma 11 2 2 3 2 2 2 4" xfId="33010" xr:uid="{6B01A036-ED49-43E8-AC49-0236C44B8429}"/>
    <cellStyle name="Comma 11 2 2 3 2 2 3" xfId="4282" xr:uid="{F2B94A5B-3B88-4F6B-A4D3-8E64A83EE073}"/>
    <cellStyle name="Comma 11 2 2 3 2 2 3 2" xfId="13354" xr:uid="{7279F396-EB47-40F4-8FD6-74477EDCEA3F}"/>
    <cellStyle name="Comma 11 2 2 3 2 2 3 2 2" xfId="28474" xr:uid="{CF4461AB-CE61-4041-A2DD-061EE460AB27}"/>
    <cellStyle name="Comma 11 2 2 3 2 2 3 2 2 2" xfId="58714" xr:uid="{F21D1E45-D0BC-4FDF-9C25-E03815228B3D}"/>
    <cellStyle name="Comma 11 2 2 3 2 2 3 2 3" xfId="43594" xr:uid="{540E8DDF-9015-420C-A438-087AF6130A1B}"/>
    <cellStyle name="Comma 11 2 2 3 2 2 3 3" xfId="19402" xr:uid="{4D1F7ABA-B704-4FB9-8CF4-E765BB97F446}"/>
    <cellStyle name="Comma 11 2 2 3 2 2 3 3 2" xfId="49642" xr:uid="{E5AF4A9C-B250-4430-877F-1D125E14FC5A}"/>
    <cellStyle name="Comma 11 2 2 3 2 2 3 4" xfId="34522" xr:uid="{76403028-69C6-4F9D-A108-95020710B93A}"/>
    <cellStyle name="Comma 11 2 2 3 2 2 4" xfId="5794" xr:uid="{C731CE8A-B927-427D-8760-245D67AA239E}"/>
    <cellStyle name="Comma 11 2 2 3 2 2 4 2" xfId="14866" xr:uid="{EDD86012-E269-417F-BDEB-6CFEC34A7C7B}"/>
    <cellStyle name="Comma 11 2 2 3 2 2 4 2 2" xfId="29986" xr:uid="{DA376D35-E7DC-4DB2-A322-11D1FECEF454}"/>
    <cellStyle name="Comma 11 2 2 3 2 2 4 2 2 2" xfId="60226" xr:uid="{6D38C76F-9F1F-44B8-B8CC-B4B7C577BE23}"/>
    <cellStyle name="Comma 11 2 2 3 2 2 4 2 3" xfId="45106" xr:uid="{7AB780E1-D798-4446-93B2-DDEBC94CEA67}"/>
    <cellStyle name="Comma 11 2 2 3 2 2 4 3" xfId="20914" xr:uid="{8535FC83-2ABB-4067-9F8F-299EB5CE54E5}"/>
    <cellStyle name="Comma 11 2 2 3 2 2 4 3 2" xfId="51154" xr:uid="{90194502-7F83-438D-BC24-F6847E7A0079}"/>
    <cellStyle name="Comma 11 2 2 3 2 2 4 4" xfId="36034" xr:uid="{7B754AD9-1197-4964-BF83-6868B80452EB}"/>
    <cellStyle name="Comma 11 2 2 3 2 2 5" xfId="7306" xr:uid="{0CA47965-05FE-400B-9991-A804E3744E5A}"/>
    <cellStyle name="Comma 11 2 2 3 2 2 5 2" xfId="22426" xr:uid="{188BE18C-1BAD-43CE-9160-83FC2AC82E60}"/>
    <cellStyle name="Comma 11 2 2 3 2 2 5 2 2" xfId="52666" xr:uid="{6B245784-C545-48DE-A03C-5E8CFD2249C2}"/>
    <cellStyle name="Comma 11 2 2 3 2 2 5 3" xfId="37546" xr:uid="{F54863F3-4AC4-4716-8008-6EA49E859025}"/>
    <cellStyle name="Comma 11 2 2 3 2 2 6" xfId="8818" xr:uid="{EBC2A992-A559-4837-A2BB-648F7AF6C6AB}"/>
    <cellStyle name="Comma 11 2 2 3 2 2 6 2" xfId="23938" xr:uid="{609EF959-427A-4CE9-A24B-3D87BF441468}"/>
    <cellStyle name="Comma 11 2 2 3 2 2 6 2 2" xfId="54178" xr:uid="{93F27032-12F0-4BDB-8210-1D09EA327EBB}"/>
    <cellStyle name="Comma 11 2 2 3 2 2 6 3" xfId="39058" xr:uid="{28502ED1-22D9-428E-8386-A777470AB24F}"/>
    <cellStyle name="Comma 11 2 2 3 2 2 7" xfId="10330" xr:uid="{0F2C009F-5B62-4519-BD76-30CFD64FA04B}"/>
    <cellStyle name="Comma 11 2 2 3 2 2 7 2" xfId="25450" xr:uid="{9DCB1602-847E-4937-8449-ED39500F3F2D}"/>
    <cellStyle name="Comma 11 2 2 3 2 2 7 2 2" xfId="55690" xr:uid="{5A018140-F74E-4558-94F2-BDB230A2F042}"/>
    <cellStyle name="Comma 11 2 2 3 2 2 7 3" xfId="40570" xr:uid="{7C64F57F-11F1-48F1-8918-54135EE70379}"/>
    <cellStyle name="Comma 11 2 2 3 2 2 8" xfId="16378" xr:uid="{481816ED-5343-40F2-93CA-52E40A65C83F}"/>
    <cellStyle name="Comma 11 2 2 3 2 2 8 2" xfId="46618" xr:uid="{9EF2052D-A137-4686-81CE-6EBC8792924F}"/>
    <cellStyle name="Comma 11 2 2 3 2 2 9" xfId="31498" xr:uid="{01DDF8EC-6F6E-4226-9F7E-B5E7926F5DF4}"/>
    <cellStyle name="Comma 11 2 2 3 2 3" xfId="2014" xr:uid="{6BB78783-8478-415B-AC23-84559062609B}"/>
    <cellStyle name="Comma 11 2 2 3 2 3 2" xfId="11086" xr:uid="{E3016CFF-CC15-4B67-B6E7-9904F2212DF0}"/>
    <cellStyle name="Comma 11 2 2 3 2 3 2 2" xfId="26206" xr:uid="{5122E0F6-BDAF-40F0-A02F-00A111E9190D}"/>
    <cellStyle name="Comma 11 2 2 3 2 3 2 2 2" xfId="56446" xr:uid="{0A7CE321-9A4B-406B-9594-D9899719DC23}"/>
    <cellStyle name="Comma 11 2 2 3 2 3 2 3" xfId="41326" xr:uid="{1B9DDFCB-D56B-44C8-92B4-64B1BC6FB6AD}"/>
    <cellStyle name="Comma 11 2 2 3 2 3 3" xfId="17134" xr:uid="{FE62B527-9078-4637-B0E4-CA954086AD60}"/>
    <cellStyle name="Comma 11 2 2 3 2 3 3 2" xfId="47374" xr:uid="{F754B8D4-A77E-4385-B890-A6631D5E4998}"/>
    <cellStyle name="Comma 11 2 2 3 2 3 4" xfId="32254" xr:uid="{9BFA4D2B-1C89-4C9C-84F5-3C3AA5F88063}"/>
    <cellStyle name="Comma 11 2 2 3 2 4" xfId="3526" xr:uid="{01C8B6E1-E648-4977-B772-5640A0F58860}"/>
    <cellStyle name="Comma 11 2 2 3 2 4 2" xfId="12598" xr:uid="{F676080B-23B3-4021-9A50-BA5AAA4B7EE6}"/>
    <cellStyle name="Comma 11 2 2 3 2 4 2 2" xfId="27718" xr:uid="{0E2980CE-B9C2-490A-87DC-AD192AA13971}"/>
    <cellStyle name="Comma 11 2 2 3 2 4 2 2 2" xfId="57958" xr:uid="{3FC3666C-A3F3-4589-A219-F7D59C22895F}"/>
    <cellStyle name="Comma 11 2 2 3 2 4 2 3" xfId="42838" xr:uid="{E77A5E17-22A5-495E-904E-C41A9A962862}"/>
    <cellStyle name="Comma 11 2 2 3 2 4 3" xfId="18646" xr:uid="{CA5D70F9-C8C6-4FB2-AEBC-CF004E05B15C}"/>
    <cellStyle name="Comma 11 2 2 3 2 4 3 2" xfId="48886" xr:uid="{4BECD713-D934-4C27-B029-D85AF3A8CDF5}"/>
    <cellStyle name="Comma 11 2 2 3 2 4 4" xfId="33766" xr:uid="{242A6C06-A49A-4580-A9EA-574BDBA7CCFC}"/>
    <cellStyle name="Comma 11 2 2 3 2 5" xfId="5038" xr:uid="{AE6AD207-88B0-4B65-AE29-8FF5FE69D2F2}"/>
    <cellStyle name="Comma 11 2 2 3 2 5 2" xfId="14110" xr:uid="{856BEE00-E593-4882-8518-A3BA09A46CF1}"/>
    <cellStyle name="Comma 11 2 2 3 2 5 2 2" xfId="29230" xr:uid="{365BC09D-49E9-49AE-B323-871764D040BD}"/>
    <cellStyle name="Comma 11 2 2 3 2 5 2 2 2" xfId="59470" xr:uid="{46F168E0-174D-4EC2-933B-A64148E8B5AD}"/>
    <cellStyle name="Comma 11 2 2 3 2 5 2 3" xfId="44350" xr:uid="{67CCDB70-BE6C-45F9-AB8C-E8062ABB0B8D}"/>
    <cellStyle name="Comma 11 2 2 3 2 5 3" xfId="20158" xr:uid="{34C5BDAC-1BBA-447F-B677-40F65008034F}"/>
    <cellStyle name="Comma 11 2 2 3 2 5 3 2" xfId="50398" xr:uid="{7666D018-61EA-487F-BC47-1FB287A6DA4D}"/>
    <cellStyle name="Comma 11 2 2 3 2 5 4" xfId="35278" xr:uid="{5CB8806C-52D9-47E4-9BA4-87DCAA46DF2C}"/>
    <cellStyle name="Comma 11 2 2 3 2 6" xfId="6550" xr:uid="{A351BE7D-E3D5-42CB-AF37-37942B8C1CFD}"/>
    <cellStyle name="Comma 11 2 2 3 2 6 2" xfId="21670" xr:uid="{5693EFB9-F1F1-4C7B-B4B7-8DC08727CCAE}"/>
    <cellStyle name="Comma 11 2 2 3 2 6 2 2" xfId="51910" xr:uid="{FAC6AB2E-6F95-4071-A34B-F09F2FF2CCF3}"/>
    <cellStyle name="Comma 11 2 2 3 2 6 3" xfId="36790" xr:uid="{D0A0228B-3D4F-4DD6-AE15-592C06F76F3F}"/>
    <cellStyle name="Comma 11 2 2 3 2 7" xfId="8062" xr:uid="{9959E2DC-E649-4513-894F-FE6721534B37}"/>
    <cellStyle name="Comma 11 2 2 3 2 7 2" xfId="23182" xr:uid="{04E8BC76-155F-409D-B73D-C4B855FEA0E3}"/>
    <cellStyle name="Comma 11 2 2 3 2 7 2 2" xfId="53422" xr:uid="{043B8F2B-6C2C-4246-AC80-4FDFF53083AB}"/>
    <cellStyle name="Comma 11 2 2 3 2 7 3" xfId="38302" xr:uid="{CBF80985-7AC6-4F92-96F6-1BB5012B3429}"/>
    <cellStyle name="Comma 11 2 2 3 2 8" xfId="9574" xr:uid="{43AEDE10-D108-4D0A-B2EF-4E0847D26D05}"/>
    <cellStyle name="Comma 11 2 2 3 2 8 2" xfId="24694" xr:uid="{21C9B576-B345-429D-BF22-ED299CE383D1}"/>
    <cellStyle name="Comma 11 2 2 3 2 8 2 2" xfId="54934" xr:uid="{756DACB6-6B29-4C1D-AA0F-175FB0387762}"/>
    <cellStyle name="Comma 11 2 2 3 2 8 3" xfId="39814" xr:uid="{B0B3282E-815B-4BE3-820F-153C67551A69}"/>
    <cellStyle name="Comma 11 2 2 3 2 9" xfId="15622" xr:uid="{96EA848F-5388-48CA-B88C-C7650D2D7A5F}"/>
    <cellStyle name="Comma 11 2 2 3 2 9 2" xfId="45862" xr:uid="{40637B0C-78EA-49F8-8077-C9B3D7839F34}"/>
    <cellStyle name="Comma 11 2 2 3 3" xfId="754" xr:uid="{F3C7A0F2-4126-4E5F-AA1B-9B467E574760}"/>
    <cellStyle name="Comma 11 2 2 3 3 10" xfId="30994" xr:uid="{52C41EF9-76A2-4463-8DF9-75BB41D85DC3}"/>
    <cellStyle name="Comma 11 2 2 3 3 2" xfId="1510" xr:uid="{9C134C7A-3258-46B7-846B-DB7805B51F13}"/>
    <cellStyle name="Comma 11 2 2 3 3 2 2" xfId="3022" xr:uid="{3F839F79-4CC2-4DE9-A690-B2B12535ED7A}"/>
    <cellStyle name="Comma 11 2 2 3 3 2 2 2" xfId="12094" xr:uid="{B38B0EDE-C17B-4B33-8B38-006C27CB6008}"/>
    <cellStyle name="Comma 11 2 2 3 3 2 2 2 2" xfId="27214" xr:uid="{C4040382-84BF-4C5E-B853-E3EF0F6662D0}"/>
    <cellStyle name="Comma 11 2 2 3 3 2 2 2 2 2" xfId="57454" xr:uid="{467FC8E1-60A2-4E7C-8CDE-3A4431DB7F85}"/>
    <cellStyle name="Comma 11 2 2 3 3 2 2 2 3" xfId="42334" xr:uid="{853832EE-883A-4D5B-A97C-D2B57EAC5182}"/>
    <cellStyle name="Comma 11 2 2 3 3 2 2 3" xfId="18142" xr:uid="{743BB6D6-B14F-467B-B1CE-F3711A8842AF}"/>
    <cellStyle name="Comma 11 2 2 3 3 2 2 3 2" xfId="48382" xr:uid="{91424556-E80A-42D4-BF76-115E8BD3E48C}"/>
    <cellStyle name="Comma 11 2 2 3 3 2 2 4" xfId="33262" xr:uid="{3A06C039-CE03-4A00-A95B-59B81E9E1A66}"/>
    <cellStyle name="Comma 11 2 2 3 3 2 3" xfId="4534" xr:uid="{E8171833-C9C5-4FDE-A5E5-DA1EA7A5F315}"/>
    <cellStyle name="Comma 11 2 2 3 3 2 3 2" xfId="13606" xr:uid="{70A552AF-A0DF-401F-BB29-65C6DF04E9ED}"/>
    <cellStyle name="Comma 11 2 2 3 3 2 3 2 2" xfId="28726" xr:uid="{589D52B2-EF5C-4F85-9AA9-9850FC15B91A}"/>
    <cellStyle name="Comma 11 2 2 3 3 2 3 2 2 2" xfId="58966" xr:uid="{2DE1DD66-625A-45AF-8150-1BBE866A97EF}"/>
    <cellStyle name="Comma 11 2 2 3 3 2 3 2 3" xfId="43846" xr:uid="{3B1F4F07-4A93-4D2F-8C33-423043EAF8B7}"/>
    <cellStyle name="Comma 11 2 2 3 3 2 3 3" xfId="19654" xr:uid="{1913494D-1F15-4553-BDE7-BBC59CE850FB}"/>
    <cellStyle name="Comma 11 2 2 3 3 2 3 3 2" xfId="49894" xr:uid="{C108472D-DF00-4B96-93C8-7226705EA2D2}"/>
    <cellStyle name="Comma 11 2 2 3 3 2 3 4" xfId="34774" xr:uid="{67275151-1A57-4113-8217-22852062866A}"/>
    <cellStyle name="Comma 11 2 2 3 3 2 4" xfId="6046" xr:uid="{40AD782B-565C-4F5E-8F41-C499D74B7694}"/>
    <cellStyle name="Comma 11 2 2 3 3 2 4 2" xfId="15118" xr:uid="{7BCC0454-1C5E-4FDC-BDC2-BDBF1CB34D1A}"/>
    <cellStyle name="Comma 11 2 2 3 3 2 4 2 2" xfId="30238" xr:uid="{0130989A-488B-4D78-B7DC-555C1D9AEE8F}"/>
    <cellStyle name="Comma 11 2 2 3 3 2 4 2 2 2" xfId="60478" xr:uid="{FEAA20F8-C9A8-45F8-A470-E382A01ED4B7}"/>
    <cellStyle name="Comma 11 2 2 3 3 2 4 2 3" xfId="45358" xr:uid="{9A1F63ED-DA8C-481D-B07B-973B723F77EE}"/>
    <cellStyle name="Comma 11 2 2 3 3 2 4 3" xfId="21166" xr:uid="{71BEF35A-D4C3-49BF-A23E-7585F52315F1}"/>
    <cellStyle name="Comma 11 2 2 3 3 2 4 3 2" xfId="51406" xr:uid="{0F6F8FC5-BF91-4962-B0EE-CD9467F37FBB}"/>
    <cellStyle name="Comma 11 2 2 3 3 2 4 4" xfId="36286" xr:uid="{0983D8E4-17B9-45FC-A6F6-74092FCFB80C}"/>
    <cellStyle name="Comma 11 2 2 3 3 2 5" xfId="7558" xr:uid="{F93C0A98-1F78-4741-B2EF-A9C7C23F5EDE}"/>
    <cellStyle name="Comma 11 2 2 3 3 2 5 2" xfId="22678" xr:uid="{37ED7A72-C4B7-40AC-BE50-03EB627133BC}"/>
    <cellStyle name="Comma 11 2 2 3 3 2 5 2 2" xfId="52918" xr:uid="{C23965B8-5EA3-4EB4-8679-C634F030CF2E}"/>
    <cellStyle name="Comma 11 2 2 3 3 2 5 3" xfId="37798" xr:uid="{043C7932-A370-44F6-9FCA-B26A81678DD3}"/>
    <cellStyle name="Comma 11 2 2 3 3 2 6" xfId="9070" xr:uid="{66D4A95D-CB1A-40E7-A233-ED25C35884E9}"/>
    <cellStyle name="Comma 11 2 2 3 3 2 6 2" xfId="24190" xr:uid="{15652419-8A8B-4C55-9E35-2FA889FC8A8C}"/>
    <cellStyle name="Comma 11 2 2 3 3 2 6 2 2" xfId="54430" xr:uid="{94B9C4D1-5011-4D73-9592-E3FDD3D3D193}"/>
    <cellStyle name="Comma 11 2 2 3 3 2 6 3" xfId="39310" xr:uid="{F0A30674-DC1F-4BC0-A3B4-6F80D222D560}"/>
    <cellStyle name="Comma 11 2 2 3 3 2 7" xfId="10582" xr:uid="{D3DDF180-E83A-4547-B384-BB493CAAEA95}"/>
    <cellStyle name="Comma 11 2 2 3 3 2 7 2" xfId="25702" xr:uid="{D5CBC65E-5AB7-4083-A28B-FA33392E3B4C}"/>
    <cellStyle name="Comma 11 2 2 3 3 2 7 2 2" xfId="55942" xr:uid="{35EF5EF5-5B91-40E9-BCF7-454C0EBD7C55}"/>
    <cellStyle name="Comma 11 2 2 3 3 2 7 3" xfId="40822" xr:uid="{F19F9432-4EF0-4B03-98BB-A791D7887561}"/>
    <cellStyle name="Comma 11 2 2 3 3 2 8" xfId="16630" xr:uid="{1B8ABD2C-0C3B-4E01-B2A7-ADBA45D5A26E}"/>
    <cellStyle name="Comma 11 2 2 3 3 2 8 2" xfId="46870" xr:uid="{B3C3983C-C258-45DB-9D75-817C56ACB8C7}"/>
    <cellStyle name="Comma 11 2 2 3 3 2 9" xfId="31750" xr:uid="{E8B646BA-9FB5-44AE-8C48-46726A858BE7}"/>
    <cellStyle name="Comma 11 2 2 3 3 3" xfId="2266" xr:uid="{039B8ED0-2B4D-490F-93C6-158AF45BBC4C}"/>
    <cellStyle name="Comma 11 2 2 3 3 3 2" xfId="11338" xr:uid="{35675F80-DABC-4AFB-AA6F-72A271DB0D44}"/>
    <cellStyle name="Comma 11 2 2 3 3 3 2 2" xfId="26458" xr:uid="{007937EB-529E-4C55-9175-F11165EAA6BE}"/>
    <cellStyle name="Comma 11 2 2 3 3 3 2 2 2" xfId="56698" xr:uid="{B1981F0A-10F6-41A7-8BD7-9CD91EC696C8}"/>
    <cellStyle name="Comma 11 2 2 3 3 3 2 3" xfId="41578" xr:uid="{2D0EC650-9F91-4577-A6CC-F06E056B2C37}"/>
    <cellStyle name="Comma 11 2 2 3 3 3 3" xfId="17386" xr:uid="{146CD9C9-4215-4464-9A1F-98191D9A9C3C}"/>
    <cellStyle name="Comma 11 2 2 3 3 3 3 2" xfId="47626" xr:uid="{71ABF7FD-5420-454D-A8F0-26DC761634CE}"/>
    <cellStyle name="Comma 11 2 2 3 3 3 4" xfId="32506" xr:uid="{C4F0C566-7A4B-4CFF-A0BA-9A8881279592}"/>
    <cellStyle name="Comma 11 2 2 3 3 4" xfId="3778" xr:uid="{144C5F9E-0D07-4779-8F3F-641C5039B43A}"/>
    <cellStyle name="Comma 11 2 2 3 3 4 2" xfId="12850" xr:uid="{DAC8F7D5-420E-4DC6-AEE9-C6DCCEECC0AA}"/>
    <cellStyle name="Comma 11 2 2 3 3 4 2 2" xfId="27970" xr:uid="{90E39913-F0EF-4BBF-84DE-F8CA73D845BB}"/>
    <cellStyle name="Comma 11 2 2 3 3 4 2 2 2" xfId="58210" xr:uid="{16C32683-296D-4D50-8243-7E348B04CBA6}"/>
    <cellStyle name="Comma 11 2 2 3 3 4 2 3" xfId="43090" xr:uid="{CF5058A7-3A5D-49CF-A631-30FCB8DAB229}"/>
    <cellStyle name="Comma 11 2 2 3 3 4 3" xfId="18898" xr:uid="{F3C4B36E-D70C-46E3-97E4-1D463527C643}"/>
    <cellStyle name="Comma 11 2 2 3 3 4 3 2" xfId="49138" xr:uid="{119B7A72-D275-4EEA-9F81-31FDCDDD871B}"/>
    <cellStyle name="Comma 11 2 2 3 3 4 4" xfId="34018" xr:uid="{5A4802E7-4178-4907-9901-CFA10BD4B4AA}"/>
    <cellStyle name="Comma 11 2 2 3 3 5" xfId="5290" xr:uid="{1480008B-BCC2-4E68-98C7-50AC7962BC59}"/>
    <cellStyle name="Comma 11 2 2 3 3 5 2" xfId="14362" xr:uid="{D7E15991-7BBF-46F0-A469-7D40B280AD3B}"/>
    <cellStyle name="Comma 11 2 2 3 3 5 2 2" xfId="29482" xr:uid="{A7361271-4AF7-4390-8606-AD21610F3FEC}"/>
    <cellStyle name="Comma 11 2 2 3 3 5 2 2 2" xfId="59722" xr:uid="{947475C1-B240-45E1-9058-D2182F317035}"/>
    <cellStyle name="Comma 11 2 2 3 3 5 2 3" xfId="44602" xr:uid="{9700C3E9-0C2A-4EFC-BF95-1CF41E287F1C}"/>
    <cellStyle name="Comma 11 2 2 3 3 5 3" xfId="20410" xr:uid="{59E2DF1A-F1C6-49BB-96D0-8697F7B77961}"/>
    <cellStyle name="Comma 11 2 2 3 3 5 3 2" xfId="50650" xr:uid="{EC4E0CB7-6E99-40D4-9255-0F68A5135064}"/>
    <cellStyle name="Comma 11 2 2 3 3 5 4" xfId="35530" xr:uid="{5D69E0C4-03B8-4725-9D59-6FAF0C0E38F4}"/>
    <cellStyle name="Comma 11 2 2 3 3 6" xfId="6802" xr:uid="{F895B51D-0130-4394-A606-58965055553F}"/>
    <cellStyle name="Comma 11 2 2 3 3 6 2" xfId="21922" xr:uid="{ED98E34F-C612-4A18-840C-EAA481D24FA2}"/>
    <cellStyle name="Comma 11 2 2 3 3 6 2 2" xfId="52162" xr:uid="{0BA2A338-CA5C-4422-8DD0-ECF582F2840E}"/>
    <cellStyle name="Comma 11 2 2 3 3 6 3" xfId="37042" xr:uid="{E3FC4D53-E5BC-4528-8590-4F96EDB6E93B}"/>
    <cellStyle name="Comma 11 2 2 3 3 7" xfId="8314" xr:uid="{03F68273-318A-4964-AA54-523106AE9A9B}"/>
    <cellStyle name="Comma 11 2 2 3 3 7 2" xfId="23434" xr:uid="{4098B498-08B7-4CC5-914D-11E8E050E324}"/>
    <cellStyle name="Comma 11 2 2 3 3 7 2 2" xfId="53674" xr:uid="{9A9A07B6-C1C4-4390-ACEA-B797A5321C82}"/>
    <cellStyle name="Comma 11 2 2 3 3 7 3" xfId="38554" xr:uid="{E81DA849-2F46-400D-869E-494A2FCA2221}"/>
    <cellStyle name="Comma 11 2 2 3 3 8" xfId="9826" xr:uid="{32BFB9C0-07BC-4850-BCBA-48174E5C7668}"/>
    <cellStyle name="Comma 11 2 2 3 3 8 2" xfId="24946" xr:uid="{7A5AFF00-EAE4-4360-AC07-7B37973F8722}"/>
    <cellStyle name="Comma 11 2 2 3 3 8 2 2" xfId="55186" xr:uid="{18DB2E26-263E-47AE-BA8F-8767186ADC66}"/>
    <cellStyle name="Comma 11 2 2 3 3 8 3" xfId="40066" xr:uid="{E9CB40C6-231E-452A-877C-BC296E69CDF2}"/>
    <cellStyle name="Comma 11 2 2 3 3 9" xfId="15874" xr:uid="{7064B11D-E5F8-42E4-B4CC-71A092D1EFA6}"/>
    <cellStyle name="Comma 11 2 2 3 3 9 2" xfId="46114" xr:uid="{07ED404A-707F-4812-9501-4A097C7D0794}"/>
    <cellStyle name="Comma 11 2 2 3 4" xfId="1006" xr:uid="{0A11A4F8-15CF-4929-87A3-827CA47D5361}"/>
    <cellStyle name="Comma 11 2 2 3 4 2" xfId="2518" xr:uid="{4D450905-D526-4372-98A1-F66894818C47}"/>
    <cellStyle name="Comma 11 2 2 3 4 2 2" xfId="11590" xr:uid="{6AA0C04C-B6B6-4139-841F-BCAF446639EC}"/>
    <cellStyle name="Comma 11 2 2 3 4 2 2 2" xfId="26710" xr:uid="{2F417B4A-FBA0-45B3-8EAB-A6A4A4F917BC}"/>
    <cellStyle name="Comma 11 2 2 3 4 2 2 2 2" xfId="56950" xr:uid="{58D9B94A-CEBF-412A-89F3-AB1ECB9D23B6}"/>
    <cellStyle name="Comma 11 2 2 3 4 2 2 3" xfId="41830" xr:uid="{2207785C-D7E8-49EF-865F-62309218D458}"/>
    <cellStyle name="Comma 11 2 2 3 4 2 3" xfId="17638" xr:uid="{DB5E27DE-B1A2-452E-B270-281BD04EBB00}"/>
    <cellStyle name="Comma 11 2 2 3 4 2 3 2" xfId="47878" xr:uid="{E6911334-8C1A-453F-82BD-F49B59F7B225}"/>
    <cellStyle name="Comma 11 2 2 3 4 2 4" xfId="32758" xr:uid="{10A4D735-3A7D-46D8-A3A1-A5FB27701E3B}"/>
    <cellStyle name="Comma 11 2 2 3 4 3" xfId="4030" xr:uid="{92AB11BB-B9E9-4FDD-896F-3057D22F868E}"/>
    <cellStyle name="Comma 11 2 2 3 4 3 2" xfId="13102" xr:uid="{328ADD79-2CD1-4E16-929E-8A9B6EAED374}"/>
    <cellStyle name="Comma 11 2 2 3 4 3 2 2" xfId="28222" xr:uid="{B7D16E10-1686-4757-AD5C-749372775224}"/>
    <cellStyle name="Comma 11 2 2 3 4 3 2 2 2" xfId="58462" xr:uid="{6D3A44FE-0C38-4ECA-817E-849D73F084FC}"/>
    <cellStyle name="Comma 11 2 2 3 4 3 2 3" xfId="43342" xr:uid="{CE65705E-7B24-4116-8258-166E87E50DB6}"/>
    <cellStyle name="Comma 11 2 2 3 4 3 3" xfId="19150" xr:uid="{E655B2DB-1F26-4DBF-B35A-AA2D9C5BA4DF}"/>
    <cellStyle name="Comma 11 2 2 3 4 3 3 2" xfId="49390" xr:uid="{C8EFFC70-CB35-4A7C-ACB5-B4A2DBE40DEE}"/>
    <cellStyle name="Comma 11 2 2 3 4 3 4" xfId="34270" xr:uid="{84217BA6-59A4-4BFD-9833-3AECA584FF60}"/>
    <cellStyle name="Comma 11 2 2 3 4 4" xfId="5542" xr:uid="{33488054-614A-4668-B34B-E7BAEB7B916D}"/>
    <cellStyle name="Comma 11 2 2 3 4 4 2" xfId="14614" xr:uid="{B73C1CBE-491F-42D9-9C0D-98B2549ED3E1}"/>
    <cellStyle name="Comma 11 2 2 3 4 4 2 2" xfId="29734" xr:uid="{B9B70708-0191-41A2-AE31-5774EF691FD0}"/>
    <cellStyle name="Comma 11 2 2 3 4 4 2 2 2" xfId="59974" xr:uid="{508BD206-DBE3-4B26-B92A-2256D883868B}"/>
    <cellStyle name="Comma 11 2 2 3 4 4 2 3" xfId="44854" xr:uid="{98D2100B-FFD5-476C-ABD7-79531D8C9041}"/>
    <cellStyle name="Comma 11 2 2 3 4 4 3" xfId="20662" xr:uid="{14FC06F4-AE49-4A7A-9849-FEB8020CC07A}"/>
    <cellStyle name="Comma 11 2 2 3 4 4 3 2" xfId="50902" xr:uid="{C516F60A-9C2C-4E2D-B653-AA2B7B349B82}"/>
    <cellStyle name="Comma 11 2 2 3 4 4 4" xfId="35782" xr:uid="{A54FFD66-3442-46C9-AFAF-2035FC8D9DF4}"/>
    <cellStyle name="Comma 11 2 2 3 4 5" xfId="7054" xr:uid="{9D67209A-C55E-4671-A4EF-5B4CFA31BDF2}"/>
    <cellStyle name="Comma 11 2 2 3 4 5 2" xfId="22174" xr:uid="{A56989AD-DD18-474D-BA14-C10C2486C0F4}"/>
    <cellStyle name="Comma 11 2 2 3 4 5 2 2" xfId="52414" xr:uid="{3AA7E879-4338-49EA-81AB-E6E690BD069B}"/>
    <cellStyle name="Comma 11 2 2 3 4 5 3" xfId="37294" xr:uid="{45E65AE0-AD4A-457F-90D8-55E0A2796B29}"/>
    <cellStyle name="Comma 11 2 2 3 4 6" xfId="8566" xr:uid="{BD96F788-CBDD-484E-9F51-1AFD935F2F5C}"/>
    <cellStyle name="Comma 11 2 2 3 4 6 2" xfId="23686" xr:uid="{51A6ABB3-D03B-4055-AC9F-999D784DF87B}"/>
    <cellStyle name="Comma 11 2 2 3 4 6 2 2" xfId="53926" xr:uid="{4C010E0F-6D83-43D9-89E1-DEB46A78EDDA}"/>
    <cellStyle name="Comma 11 2 2 3 4 6 3" xfId="38806" xr:uid="{32CC074C-97C7-42B8-9F59-21DA3A2D7391}"/>
    <cellStyle name="Comma 11 2 2 3 4 7" xfId="10078" xr:uid="{E2AC01A4-A850-4464-BE05-5BB0DCD2E09E}"/>
    <cellStyle name="Comma 11 2 2 3 4 7 2" xfId="25198" xr:uid="{7D459E05-E466-4E5F-8DD4-94FD2598512B}"/>
    <cellStyle name="Comma 11 2 2 3 4 7 2 2" xfId="55438" xr:uid="{7ADEC99C-3116-409E-89E6-7F4778BBCDD1}"/>
    <cellStyle name="Comma 11 2 2 3 4 7 3" xfId="40318" xr:uid="{F61980FB-3AF7-41A5-AB47-090D23D60181}"/>
    <cellStyle name="Comma 11 2 2 3 4 8" xfId="16126" xr:uid="{734C2C2F-E9C6-4466-A0A9-BDF4F7A16C95}"/>
    <cellStyle name="Comma 11 2 2 3 4 8 2" xfId="46366" xr:uid="{07CD4B4B-FA5F-4BE2-9ED6-9FAA41AD0765}"/>
    <cellStyle name="Comma 11 2 2 3 4 9" xfId="31246" xr:uid="{18FAEA8C-ED2D-40F1-A843-7A670BACD9A5}"/>
    <cellStyle name="Comma 11 2 2 3 5" xfId="1762" xr:uid="{1E4C64F7-2FD2-48E0-AF40-DC8760AC6687}"/>
    <cellStyle name="Comma 11 2 2 3 5 2" xfId="10834" xr:uid="{7528CE36-0F3C-4F44-9F9E-C09D8686B07D}"/>
    <cellStyle name="Comma 11 2 2 3 5 2 2" xfId="25954" xr:uid="{283FA3F7-9224-4CCC-850A-F17053211A7F}"/>
    <cellStyle name="Comma 11 2 2 3 5 2 2 2" xfId="56194" xr:uid="{E25026DF-2377-4C42-B1E4-B3B6EACD0597}"/>
    <cellStyle name="Comma 11 2 2 3 5 2 3" xfId="41074" xr:uid="{AB93B452-9EAD-45EC-84D1-751DCCA1D80B}"/>
    <cellStyle name="Comma 11 2 2 3 5 3" xfId="16882" xr:uid="{B8FA0E39-AF55-4D6A-928C-058325E9C8D8}"/>
    <cellStyle name="Comma 11 2 2 3 5 3 2" xfId="47122" xr:uid="{F02514ED-42C4-4703-9AD7-6A4C9B57E2A2}"/>
    <cellStyle name="Comma 11 2 2 3 5 4" xfId="32002" xr:uid="{A3BB26CE-5B36-44DB-816C-012FDA4253A8}"/>
    <cellStyle name="Comma 11 2 2 3 6" xfId="3274" xr:uid="{20450EEB-2102-46F2-975C-44122970D510}"/>
    <cellStyle name="Comma 11 2 2 3 6 2" xfId="12346" xr:uid="{BF0CCB2E-4AC9-456A-8EB8-52234962E4FF}"/>
    <cellStyle name="Comma 11 2 2 3 6 2 2" xfId="27466" xr:uid="{76E3DF03-DB6F-49FF-9369-4FD17F1AF039}"/>
    <cellStyle name="Comma 11 2 2 3 6 2 2 2" xfId="57706" xr:uid="{955E1D14-BE72-4140-B47D-17DD129E7003}"/>
    <cellStyle name="Comma 11 2 2 3 6 2 3" xfId="42586" xr:uid="{8B61053D-7EA9-4044-9498-FEF7C1EC48B2}"/>
    <cellStyle name="Comma 11 2 2 3 6 3" xfId="18394" xr:uid="{9D41F43B-923D-43CE-99D2-868FCFF48525}"/>
    <cellStyle name="Comma 11 2 2 3 6 3 2" xfId="48634" xr:uid="{99B4FE91-FBA3-4779-A98F-902917474DEA}"/>
    <cellStyle name="Comma 11 2 2 3 6 4" xfId="33514" xr:uid="{2C5CEC75-56CB-4ECA-852C-090D1C3F52E5}"/>
    <cellStyle name="Comma 11 2 2 3 7" xfId="4786" xr:uid="{47E04DA9-529A-470B-BF28-92974B507B5D}"/>
    <cellStyle name="Comma 11 2 2 3 7 2" xfId="13858" xr:uid="{53505FC6-89A4-4C1F-80BF-D0EBF14F0B3B}"/>
    <cellStyle name="Comma 11 2 2 3 7 2 2" xfId="28978" xr:uid="{F418E91D-5DB3-431A-B952-112097BC9C80}"/>
    <cellStyle name="Comma 11 2 2 3 7 2 2 2" xfId="59218" xr:uid="{DE4CAA81-8054-4182-93A2-45FFEB6972AA}"/>
    <cellStyle name="Comma 11 2 2 3 7 2 3" xfId="44098" xr:uid="{2A6BB1B5-35FF-4336-80DD-4F6B76FFFACF}"/>
    <cellStyle name="Comma 11 2 2 3 7 3" xfId="19906" xr:uid="{351C0D5A-7FAB-4132-969F-DCF608CAE9E0}"/>
    <cellStyle name="Comma 11 2 2 3 7 3 2" xfId="50146" xr:uid="{39EB9371-93E7-49DB-9485-AF27B2345596}"/>
    <cellStyle name="Comma 11 2 2 3 7 4" xfId="35026" xr:uid="{768F8006-0DF5-49E4-AEF4-12FFEFFF2895}"/>
    <cellStyle name="Comma 11 2 2 3 8" xfId="6298" xr:uid="{286A097A-314D-4DA0-A57B-2CA124875318}"/>
    <cellStyle name="Comma 11 2 2 3 8 2" xfId="21418" xr:uid="{A280A40D-8CD9-4B36-B2D3-2F76086FBBA7}"/>
    <cellStyle name="Comma 11 2 2 3 8 2 2" xfId="51658" xr:uid="{531E1BD6-60E2-477D-BBEB-F54C79F18744}"/>
    <cellStyle name="Comma 11 2 2 3 8 3" xfId="36538" xr:uid="{247590FF-FB30-484A-A432-A0F580241EE2}"/>
    <cellStyle name="Comma 11 2 2 3 9" xfId="7810" xr:uid="{83926463-E1A0-41A6-BCEF-6D8309FE3AD7}"/>
    <cellStyle name="Comma 11 2 2 3 9 2" xfId="22930" xr:uid="{C064EA8C-0171-467D-8BB7-CE1CC622C6C1}"/>
    <cellStyle name="Comma 11 2 2 3 9 2 2" xfId="53170" xr:uid="{F202F5FA-2976-4D72-90B3-F9631C7FD92A}"/>
    <cellStyle name="Comma 11 2 2 3 9 3" xfId="38050" xr:uid="{15435B50-2C86-4814-991B-64075844B7FF}"/>
    <cellStyle name="Comma 11 2 2 4" xfId="334" xr:uid="{5291AB0E-0974-4EE7-97FC-404CB1C1F477}"/>
    <cellStyle name="Comma 11 2 2 4 10" xfId="30574" xr:uid="{1FE1243C-9E5B-45CC-BA2B-67038CBA6A22}"/>
    <cellStyle name="Comma 11 2 2 4 2" xfId="1090" xr:uid="{0F072BF5-558B-4B4F-8313-842578D2A5DF}"/>
    <cellStyle name="Comma 11 2 2 4 2 2" xfId="2602" xr:uid="{5ABCCFBE-7C35-4F75-9CB8-FC084598F761}"/>
    <cellStyle name="Comma 11 2 2 4 2 2 2" xfId="11674" xr:uid="{F599E9B1-9408-421B-A288-A9842056B740}"/>
    <cellStyle name="Comma 11 2 2 4 2 2 2 2" xfId="26794" xr:uid="{CB70DD8B-B375-4CF4-83D2-3EDD6B172A45}"/>
    <cellStyle name="Comma 11 2 2 4 2 2 2 2 2" xfId="57034" xr:uid="{4910488D-0E82-4143-9338-EF58B85A334C}"/>
    <cellStyle name="Comma 11 2 2 4 2 2 2 3" xfId="41914" xr:uid="{8312492E-70C2-4908-884D-A8F881EEA887}"/>
    <cellStyle name="Comma 11 2 2 4 2 2 3" xfId="17722" xr:uid="{2368D833-843B-4FC1-801E-129BE61C3A08}"/>
    <cellStyle name="Comma 11 2 2 4 2 2 3 2" xfId="47962" xr:uid="{7FAD1BD5-E137-45CA-B65F-15C5C17772EF}"/>
    <cellStyle name="Comma 11 2 2 4 2 2 4" xfId="32842" xr:uid="{218071FE-4990-4F30-A883-88FDB1301E9C}"/>
    <cellStyle name="Comma 11 2 2 4 2 3" xfId="4114" xr:uid="{D412123B-4EA5-4091-A518-EE9BCF17613E}"/>
    <cellStyle name="Comma 11 2 2 4 2 3 2" xfId="13186" xr:uid="{5E99A620-E1E2-42B7-B67C-F033C7D58D47}"/>
    <cellStyle name="Comma 11 2 2 4 2 3 2 2" xfId="28306" xr:uid="{289362AE-23AD-4D35-B9A2-298116F034D9}"/>
    <cellStyle name="Comma 11 2 2 4 2 3 2 2 2" xfId="58546" xr:uid="{ED0E447D-BA8D-491E-888A-9238B2561111}"/>
    <cellStyle name="Comma 11 2 2 4 2 3 2 3" xfId="43426" xr:uid="{DFD5F116-548A-4118-9655-F1A495673146}"/>
    <cellStyle name="Comma 11 2 2 4 2 3 3" xfId="19234" xr:uid="{9FC376C6-1396-4BE5-B1AC-E68226783BB8}"/>
    <cellStyle name="Comma 11 2 2 4 2 3 3 2" xfId="49474" xr:uid="{566DA35F-8697-429C-BDE7-D40F1727119F}"/>
    <cellStyle name="Comma 11 2 2 4 2 3 4" xfId="34354" xr:uid="{5DF93F9B-25B3-42F1-8407-12080E41A4A8}"/>
    <cellStyle name="Comma 11 2 2 4 2 4" xfId="5626" xr:uid="{0866DDF6-7D5D-4962-8C5A-FE006C4C3054}"/>
    <cellStyle name="Comma 11 2 2 4 2 4 2" xfId="14698" xr:uid="{179C3241-BD5A-4DCD-94E8-9DDAD2E72B6D}"/>
    <cellStyle name="Comma 11 2 2 4 2 4 2 2" xfId="29818" xr:uid="{E32C98FD-C46D-4764-8A1B-B789CF642384}"/>
    <cellStyle name="Comma 11 2 2 4 2 4 2 2 2" xfId="60058" xr:uid="{B7DEFFCD-64E7-4949-87C4-EE402455EBBB}"/>
    <cellStyle name="Comma 11 2 2 4 2 4 2 3" xfId="44938" xr:uid="{178F9673-66D1-43DF-92EE-9C943D812890}"/>
    <cellStyle name="Comma 11 2 2 4 2 4 3" xfId="20746" xr:uid="{4FB378FE-A793-42D1-9D90-11434730127A}"/>
    <cellStyle name="Comma 11 2 2 4 2 4 3 2" xfId="50986" xr:uid="{BA3B6452-1E27-4AE3-A26D-696E3E07CE81}"/>
    <cellStyle name="Comma 11 2 2 4 2 4 4" xfId="35866" xr:uid="{FD8DCA9B-EEB8-4679-A704-8B35B6DEA3CB}"/>
    <cellStyle name="Comma 11 2 2 4 2 5" xfId="7138" xr:uid="{AC04DD49-19D3-4924-BE37-DEB0F903960D}"/>
    <cellStyle name="Comma 11 2 2 4 2 5 2" xfId="22258" xr:uid="{DDA43B93-0B32-4B68-86BF-CC6876D2BD26}"/>
    <cellStyle name="Comma 11 2 2 4 2 5 2 2" xfId="52498" xr:uid="{0D144D43-E612-4741-9EFD-18E06ECF8973}"/>
    <cellStyle name="Comma 11 2 2 4 2 5 3" xfId="37378" xr:uid="{82837958-C75F-405E-9D22-C1589C4DE3F3}"/>
    <cellStyle name="Comma 11 2 2 4 2 6" xfId="8650" xr:uid="{BD4EFB53-BFDA-41D9-A274-08CC7A29639F}"/>
    <cellStyle name="Comma 11 2 2 4 2 6 2" xfId="23770" xr:uid="{12C3BCDC-CEC1-4763-8918-E79FD3FD89CF}"/>
    <cellStyle name="Comma 11 2 2 4 2 6 2 2" xfId="54010" xr:uid="{99036131-392C-42C3-8B35-1D097D0B97F0}"/>
    <cellStyle name="Comma 11 2 2 4 2 6 3" xfId="38890" xr:uid="{9C3CC889-2CFA-4DA8-B33E-9A32425E8954}"/>
    <cellStyle name="Comma 11 2 2 4 2 7" xfId="10162" xr:uid="{7A34F726-11B8-4EF6-A902-355FB957C279}"/>
    <cellStyle name="Comma 11 2 2 4 2 7 2" xfId="25282" xr:uid="{14476F27-1CF0-453A-BB05-E924671D5D52}"/>
    <cellStyle name="Comma 11 2 2 4 2 7 2 2" xfId="55522" xr:uid="{0A9AC6B8-7290-4934-B46D-5B4677585042}"/>
    <cellStyle name="Comma 11 2 2 4 2 7 3" xfId="40402" xr:uid="{FBEAE1C6-0E0C-48E8-A665-34FAA67D15D1}"/>
    <cellStyle name="Comma 11 2 2 4 2 8" xfId="16210" xr:uid="{C92E2DE0-BEFA-470D-AB5A-01C0F58DA8BE}"/>
    <cellStyle name="Comma 11 2 2 4 2 8 2" xfId="46450" xr:uid="{12D9F1D9-FE96-4DBC-822F-31AC0AC90DCE}"/>
    <cellStyle name="Comma 11 2 2 4 2 9" xfId="31330" xr:uid="{123A6582-2219-4B33-A722-4AAA5647CA6A}"/>
    <cellStyle name="Comma 11 2 2 4 3" xfId="1846" xr:uid="{A0BCCE4F-1D1F-46B9-BBF7-2898CC6F95AA}"/>
    <cellStyle name="Comma 11 2 2 4 3 2" xfId="10918" xr:uid="{38260516-08B8-432B-9906-12196CAC0B9D}"/>
    <cellStyle name="Comma 11 2 2 4 3 2 2" xfId="26038" xr:uid="{CFDC2EFF-7F2F-48BE-948D-7AC3487952DE}"/>
    <cellStyle name="Comma 11 2 2 4 3 2 2 2" xfId="56278" xr:uid="{C77D3CED-E428-4611-A1EA-9EF42F8CF18B}"/>
    <cellStyle name="Comma 11 2 2 4 3 2 3" xfId="41158" xr:uid="{5B13D10C-364E-442F-957A-A777DF395587}"/>
    <cellStyle name="Comma 11 2 2 4 3 3" xfId="16966" xr:uid="{50F949C7-F2BF-45AC-A5C6-0E59EC487595}"/>
    <cellStyle name="Comma 11 2 2 4 3 3 2" xfId="47206" xr:uid="{F0EFF8DD-9F2A-44AA-98F7-3AE9B22A83AE}"/>
    <cellStyle name="Comma 11 2 2 4 3 4" xfId="32086" xr:uid="{86C9FE31-24E0-4EF5-A8A4-DCB4571E9E36}"/>
    <cellStyle name="Comma 11 2 2 4 4" xfId="3358" xr:uid="{0AF0EC85-16E6-42E1-8390-2AF908C2BA64}"/>
    <cellStyle name="Comma 11 2 2 4 4 2" xfId="12430" xr:uid="{460C80AF-0EA9-42D3-8C98-014647E2B226}"/>
    <cellStyle name="Comma 11 2 2 4 4 2 2" xfId="27550" xr:uid="{FE0F2CF7-E7B1-416E-8B2B-7D9EDB38035F}"/>
    <cellStyle name="Comma 11 2 2 4 4 2 2 2" xfId="57790" xr:uid="{7651E36F-A60D-4437-8BFD-6C2182051AC1}"/>
    <cellStyle name="Comma 11 2 2 4 4 2 3" xfId="42670" xr:uid="{0A272178-2EBF-4D3D-9528-6B0B96CE323F}"/>
    <cellStyle name="Comma 11 2 2 4 4 3" xfId="18478" xr:uid="{9B45E007-6CD7-43F0-8131-42F565A106B0}"/>
    <cellStyle name="Comma 11 2 2 4 4 3 2" xfId="48718" xr:uid="{125E6281-13EE-4608-882B-AC190C477002}"/>
    <cellStyle name="Comma 11 2 2 4 4 4" xfId="33598" xr:uid="{201B5B5B-D276-4B17-9C3B-E53909BDF82A}"/>
    <cellStyle name="Comma 11 2 2 4 5" xfId="4870" xr:uid="{BA5DC0AE-2747-480C-A652-9C94202CC54C}"/>
    <cellStyle name="Comma 11 2 2 4 5 2" xfId="13942" xr:uid="{0BCAF371-4413-4EE1-961D-E484C5903E0D}"/>
    <cellStyle name="Comma 11 2 2 4 5 2 2" xfId="29062" xr:uid="{CA4BAC62-BC25-4F34-925E-DBF20D599EC0}"/>
    <cellStyle name="Comma 11 2 2 4 5 2 2 2" xfId="59302" xr:uid="{9EBB84EE-9277-480B-8208-152A0704AAD8}"/>
    <cellStyle name="Comma 11 2 2 4 5 2 3" xfId="44182" xr:uid="{22C57D2C-C599-446E-BEE2-28AE0A7C9E98}"/>
    <cellStyle name="Comma 11 2 2 4 5 3" xfId="19990" xr:uid="{25C66A41-E054-4D19-835C-024FF7EDEC6D}"/>
    <cellStyle name="Comma 11 2 2 4 5 3 2" xfId="50230" xr:uid="{93F10F90-C137-4D9F-AF34-C4DA5252574F}"/>
    <cellStyle name="Comma 11 2 2 4 5 4" xfId="35110" xr:uid="{6EC62EF4-6F7A-44A5-99FF-E5EE04E400EE}"/>
    <cellStyle name="Comma 11 2 2 4 6" xfId="6382" xr:uid="{A8DF3B8F-4194-46C0-8A72-975752F9A85C}"/>
    <cellStyle name="Comma 11 2 2 4 6 2" xfId="21502" xr:uid="{F829A98E-119B-4AB6-990E-1EEDF63AF0D1}"/>
    <cellStyle name="Comma 11 2 2 4 6 2 2" xfId="51742" xr:uid="{260CBB14-AE7D-4934-94B5-D1253958767B}"/>
    <cellStyle name="Comma 11 2 2 4 6 3" xfId="36622" xr:uid="{8D26CCD5-3DFF-46F9-9456-77532CCCE044}"/>
    <cellStyle name="Comma 11 2 2 4 7" xfId="7894" xr:uid="{6B3319E1-56E1-4A17-9FF5-4305E301612F}"/>
    <cellStyle name="Comma 11 2 2 4 7 2" xfId="23014" xr:uid="{88758980-A8AB-42B0-A91C-A206E61A4E63}"/>
    <cellStyle name="Comma 11 2 2 4 7 2 2" xfId="53254" xr:uid="{59F1E1DB-6624-487E-B73F-0B4C391ECEE1}"/>
    <cellStyle name="Comma 11 2 2 4 7 3" xfId="38134" xr:uid="{E37408E5-65A5-4EEB-8E12-60D65F865530}"/>
    <cellStyle name="Comma 11 2 2 4 8" xfId="9406" xr:uid="{D914F939-C4CD-491C-B214-F00E290E8810}"/>
    <cellStyle name="Comma 11 2 2 4 8 2" xfId="24526" xr:uid="{E6A391BC-020D-4D10-8894-4BFF75AC14E7}"/>
    <cellStyle name="Comma 11 2 2 4 8 2 2" xfId="54766" xr:uid="{01279D54-28A8-474C-B04F-37BA96D6381C}"/>
    <cellStyle name="Comma 11 2 2 4 8 3" xfId="39646" xr:uid="{97CC4038-6132-441B-A1AB-99027133FE5C}"/>
    <cellStyle name="Comma 11 2 2 4 9" xfId="15454" xr:uid="{F70CE366-B0E1-4761-92DB-768ECC85EF00}"/>
    <cellStyle name="Comma 11 2 2 4 9 2" xfId="45694" xr:uid="{93D81003-03A3-4638-9972-0EB22C25F15B}"/>
    <cellStyle name="Comma 11 2 2 5" xfId="586" xr:uid="{85520D8F-90F5-40AB-998B-2B725DA44B8D}"/>
    <cellStyle name="Comma 11 2 2 5 10" xfId="30826" xr:uid="{C9FD8444-3B30-466F-A3E8-57F3F2A1D914}"/>
    <cellStyle name="Comma 11 2 2 5 2" xfId="1342" xr:uid="{B66521CA-150C-4E85-ACC1-FA3261E59852}"/>
    <cellStyle name="Comma 11 2 2 5 2 2" xfId="2854" xr:uid="{E3144A69-F97D-46CB-AC1B-A45FBEE1C3A7}"/>
    <cellStyle name="Comma 11 2 2 5 2 2 2" xfId="11926" xr:uid="{D336C09C-FA52-412C-BEC0-549003970397}"/>
    <cellStyle name="Comma 11 2 2 5 2 2 2 2" xfId="27046" xr:uid="{4D76EB5E-C8E7-42FD-9462-483B0151D049}"/>
    <cellStyle name="Comma 11 2 2 5 2 2 2 2 2" xfId="57286" xr:uid="{F199C601-BD9A-4E69-ACC8-93E338B9C79E}"/>
    <cellStyle name="Comma 11 2 2 5 2 2 2 3" xfId="42166" xr:uid="{2BD1DE98-3314-4261-9043-30D373B84279}"/>
    <cellStyle name="Comma 11 2 2 5 2 2 3" xfId="17974" xr:uid="{7FB84112-2927-4971-9040-C22A12EEEAD9}"/>
    <cellStyle name="Comma 11 2 2 5 2 2 3 2" xfId="48214" xr:uid="{1505A542-8D75-41EE-8EF2-18F2240C8417}"/>
    <cellStyle name="Comma 11 2 2 5 2 2 4" xfId="33094" xr:uid="{7A1B2201-E5E0-4847-90FA-B436EBF7C95A}"/>
    <cellStyle name="Comma 11 2 2 5 2 3" xfId="4366" xr:uid="{1AA3DBAD-5262-4377-9914-6ACABBE3F559}"/>
    <cellStyle name="Comma 11 2 2 5 2 3 2" xfId="13438" xr:uid="{DF434DA1-EC77-4B79-A5A6-A443E8D90CF3}"/>
    <cellStyle name="Comma 11 2 2 5 2 3 2 2" xfId="28558" xr:uid="{2FCD5BBD-34FD-40E5-A1FD-BCA3BB0A41C2}"/>
    <cellStyle name="Comma 11 2 2 5 2 3 2 2 2" xfId="58798" xr:uid="{096AA27C-D820-4EEC-897B-CF7D3EA84070}"/>
    <cellStyle name="Comma 11 2 2 5 2 3 2 3" xfId="43678" xr:uid="{B2FC47F6-D14D-48F0-B077-90A1FE265E6D}"/>
    <cellStyle name="Comma 11 2 2 5 2 3 3" xfId="19486" xr:uid="{D051DEB0-2A09-49BC-A6F4-4AD75706E7C2}"/>
    <cellStyle name="Comma 11 2 2 5 2 3 3 2" xfId="49726" xr:uid="{5B82E407-17EF-4D51-80E4-7AA2F576F16C}"/>
    <cellStyle name="Comma 11 2 2 5 2 3 4" xfId="34606" xr:uid="{CCDF26D5-D104-4F4C-9B52-C8F32BE92FE8}"/>
    <cellStyle name="Comma 11 2 2 5 2 4" xfId="5878" xr:uid="{8EA1F31C-35C3-4B2E-B78E-E23E7AEFA7E6}"/>
    <cellStyle name="Comma 11 2 2 5 2 4 2" xfId="14950" xr:uid="{B36A87DC-4C5A-4A99-8A4B-0927732A8377}"/>
    <cellStyle name="Comma 11 2 2 5 2 4 2 2" xfId="30070" xr:uid="{B141CF07-A8BF-4041-8C72-65F577E403A7}"/>
    <cellStyle name="Comma 11 2 2 5 2 4 2 2 2" xfId="60310" xr:uid="{560EBDF9-6624-4B4A-B559-435282675273}"/>
    <cellStyle name="Comma 11 2 2 5 2 4 2 3" xfId="45190" xr:uid="{537EB6C8-7EC3-4B2F-89D9-12C47C0245B8}"/>
    <cellStyle name="Comma 11 2 2 5 2 4 3" xfId="20998" xr:uid="{07A68A77-9C16-49E3-97A9-21AC0A946142}"/>
    <cellStyle name="Comma 11 2 2 5 2 4 3 2" xfId="51238" xr:uid="{AB1ACE59-9713-49E9-A4BF-9DA49F55C4CD}"/>
    <cellStyle name="Comma 11 2 2 5 2 4 4" xfId="36118" xr:uid="{780DE25E-3D24-410F-91D5-5BFE0DF385D9}"/>
    <cellStyle name="Comma 11 2 2 5 2 5" xfId="7390" xr:uid="{E3FF07A5-D124-4132-A893-D5EFA25C2D34}"/>
    <cellStyle name="Comma 11 2 2 5 2 5 2" xfId="22510" xr:uid="{31954BF0-57A9-49AC-813D-D967E10449F0}"/>
    <cellStyle name="Comma 11 2 2 5 2 5 2 2" xfId="52750" xr:uid="{465DD47A-494E-4211-A8B9-5FDC0B70AC61}"/>
    <cellStyle name="Comma 11 2 2 5 2 5 3" xfId="37630" xr:uid="{A6D91C16-24A6-4852-9E8B-0B7D878ECCEA}"/>
    <cellStyle name="Comma 11 2 2 5 2 6" xfId="8902" xr:uid="{3B2A7ADE-9AAA-4758-B2D4-B59ED82DE9B3}"/>
    <cellStyle name="Comma 11 2 2 5 2 6 2" xfId="24022" xr:uid="{325AF196-7AAE-4E20-8E02-AD1200B867A5}"/>
    <cellStyle name="Comma 11 2 2 5 2 6 2 2" xfId="54262" xr:uid="{D92E7064-9AFD-4337-A307-F9BDE0DD5D5E}"/>
    <cellStyle name="Comma 11 2 2 5 2 6 3" xfId="39142" xr:uid="{2DBBCE25-A740-46F6-9870-0D537B4A87AC}"/>
    <cellStyle name="Comma 11 2 2 5 2 7" xfId="10414" xr:uid="{EF07C20E-CA2E-4ABD-A92C-C5F19CCD2639}"/>
    <cellStyle name="Comma 11 2 2 5 2 7 2" xfId="25534" xr:uid="{3DC17A4B-F6DF-4D61-AAE1-CBA92530A3AB}"/>
    <cellStyle name="Comma 11 2 2 5 2 7 2 2" xfId="55774" xr:uid="{60F06B77-62C8-4C70-906C-B67DAF0EF002}"/>
    <cellStyle name="Comma 11 2 2 5 2 7 3" xfId="40654" xr:uid="{1E02E7C8-D676-43DD-96B7-AE56B5DAA11F}"/>
    <cellStyle name="Comma 11 2 2 5 2 8" xfId="16462" xr:uid="{8839997F-81AB-4450-B244-78E8C2394B85}"/>
    <cellStyle name="Comma 11 2 2 5 2 8 2" xfId="46702" xr:uid="{0C7AFA63-A0E3-4E18-934C-F9E1197242D3}"/>
    <cellStyle name="Comma 11 2 2 5 2 9" xfId="31582" xr:uid="{74FED165-D01E-4CA3-A483-3FD73B84270D}"/>
    <cellStyle name="Comma 11 2 2 5 3" xfId="2098" xr:uid="{1080046F-3102-49F5-9E48-3670147129EB}"/>
    <cellStyle name="Comma 11 2 2 5 3 2" xfId="11170" xr:uid="{B6ACE106-A596-4D3F-8CA1-91BBC52507B2}"/>
    <cellStyle name="Comma 11 2 2 5 3 2 2" xfId="26290" xr:uid="{96EE09D4-1DD1-4613-A328-EC0D5D252010}"/>
    <cellStyle name="Comma 11 2 2 5 3 2 2 2" xfId="56530" xr:uid="{78F2B98B-B3CF-488E-B99F-2C6C596F73A2}"/>
    <cellStyle name="Comma 11 2 2 5 3 2 3" xfId="41410" xr:uid="{63E95941-FEAC-497D-A835-286C31267E53}"/>
    <cellStyle name="Comma 11 2 2 5 3 3" xfId="17218" xr:uid="{56516D32-D8B7-405F-BBCC-FFB38DCE9374}"/>
    <cellStyle name="Comma 11 2 2 5 3 3 2" xfId="47458" xr:uid="{73ABC8B6-3B6C-4B4A-BC90-198BB0BE2FE4}"/>
    <cellStyle name="Comma 11 2 2 5 3 4" xfId="32338" xr:uid="{029DCA3F-0893-4EED-9DB0-C0CD5B1AA5F8}"/>
    <cellStyle name="Comma 11 2 2 5 4" xfId="3610" xr:uid="{28A05362-2446-46C5-8E29-C201E0F131A9}"/>
    <cellStyle name="Comma 11 2 2 5 4 2" xfId="12682" xr:uid="{B0E6BC84-36AC-4F5B-911B-11B27E7FA5AE}"/>
    <cellStyle name="Comma 11 2 2 5 4 2 2" xfId="27802" xr:uid="{62570F4D-9168-440C-94C5-38A18F4A953A}"/>
    <cellStyle name="Comma 11 2 2 5 4 2 2 2" xfId="58042" xr:uid="{BAFE6026-F01A-42EC-B00F-6EF4B4D3097C}"/>
    <cellStyle name="Comma 11 2 2 5 4 2 3" xfId="42922" xr:uid="{D39A9CFD-379D-4A5C-9DE6-D4BEF4BC8389}"/>
    <cellStyle name="Comma 11 2 2 5 4 3" xfId="18730" xr:uid="{C44CD1FB-6173-4931-9C16-47C7ACD5F112}"/>
    <cellStyle name="Comma 11 2 2 5 4 3 2" xfId="48970" xr:uid="{420A121E-C8D0-4C32-AF56-D304431B7DE7}"/>
    <cellStyle name="Comma 11 2 2 5 4 4" xfId="33850" xr:uid="{12E4F6D3-8F38-4640-B617-05CB7209A685}"/>
    <cellStyle name="Comma 11 2 2 5 5" xfId="5122" xr:uid="{88D76DEF-FC41-48AA-9580-1F3902CF38BC}"/>
    <cellStyle name="Comma 11 2 2 5 5 2" xfId="14194" xr:uid="{27D84AF0-63F2-47C0-A737-4BA8CB87D03F}"/>
    <cellStyle name="Comma 11 2 2 5 5 2 2" xfId="29314" xr:uid="{C0098C08-DBB0-4E88-9E2F-87570224D3B0}"/>
    <cellStyle name="Comma 11 2 2 5 5 2 2 2" xfId="59554" xr:uid="{EFCAEA7A-22FD-4ECA-A54B-4E1350C36DB1}"/>
    <cellStyle name="Comma 11 2 2 5 5 2 3" xfId="44434" xr:uid="{8D189FBC-86D6-4032-8330-1CA5D0FA513D}"/>
    <cellStyle name="Comma 11 2 2 5 5 3" xfId="20242" xr:uid="{6D1413E7-CC94-4B80-9345-DFFF6F3E86CF}"/>
    <cellStyle name="Comma 11 2 2 5 5 3 2" xfId="50482" xr:uid="{FFEB3352-7A8F-4DC7-9398-4CB148F8F4DE}"/>
    <cellStyle name="Comma 11 2 2 5 5 4" xfId="35362" xr:uid="{47329433-F85C-46A6-871B-94842B468DF5}"/>
    <cellStyle name="Comma 11 2 2 5 6" xfId="6634" xr:uid="{71A4B75C-BFF6-4234-A5B1-D6BA7249C675}"/>
    <cellStyle name="Comma 11 2 2 5 6 2" xfId="21754" xr:uid="{48F05681-7685-4103-BB4A-4EFA34986AB0}"/>
    <cellStyle name="Comma 11 2 2 5 6 2 2" xfId="51994" xr:uid="{421809B6-FA57-4A9B-9458-C1ABBCF41F2D}"/>
    <cellStyle name="Comma 11 2 2 5 6 3" xfId="36874" xr:uid="{F601BA1E-BA48-482F-B34D-36A1D66347EA}"/>
    <cellStyle name="Comma 11 2 2 5 7" xfId="8146" xr:uid="{9AD00B10-B262-4393-B0AF-4A2173938FED}"/>
    <cellStyle name="Comma 11 2 2 5 7 2" xfId="23266" xr:uid="{4161DB3F-30EE-495D-BA93-658CB431B952}"/>
    <cellStyle name="Comma 11 2 2 5 7 2 2" xfId="53506" xr:uid="{6416A545-EA94-4F55-9ACF-BB4EE2070308}"/>
    <cellStyle name="Comma 11 2 2 5 7 3" xfId="38386" xr:uid="{C4AC0822-13F6-4C3A-A7CD-F6C0C5FE2D9A}"/>
    <cellStyle name="Comma 11 2 2 5 8" xfId="9658" xr:uid="{83944B1E-C855-4847-B06A-47BA3817A3BC}"/>
    <cellStyle name="Comma 11 2 2 5 8 2" xfId="24778" xr:uid="{1032618A-3837-43F8-A348-48FCAF5A00B3}"/>
    <cellStyle name="Comma 11 2 2 5 8 2 2" xfId="55018" xr:uid="{E343E8EE-E77E-4329-AB35-65404F5DD0D1}"/>
    <cellStyle name="Comma 11 2 2 5 8 3" xfId="39898" xr:uid="{DD23A0D5-E78C-4667-9E1D-53BA2EFF4743}"/>
    <cellStyle name="Comma 11 2 2 5 9" xfId="15706" xr:uid="{EE28A7F4-905B-40D8-825D-95059F948412}"/>
    <cellStyle name="Comma 11 2 2 5 9 2" xfId="45946" xr:uid="{AA8F0509-B523-4DB3-91C5-6B4AC7697A86}"/>
    <cellStyle name="Comma 11 2 2 6" xfId="838" xr:uid="{E096DE76-F156-489D-952E-8A8A0B4F5935}"/>
    <cellStyle name="Comma 11 2 2 6 2" xfId="2350" xr:uid="{DEA9F8D4-46BE-4043-810B-6F492F5C44F1}"/>
    <cellStyle name="Comma 11 2 2 6 2 2" xfId="11422" xr:uid="{6EDBE158-2CB7-4F4E-BE4F-AAF82BC1693B}"/>
    <cellStyle name="Comma 11 2 2 6 2 2 2" xfId="26542" xr:uid="{3FD8B2C0-1624-4A16-BD8E-3B398195D73C}"/>
    <cellStyle name="Comma 11 2 2 6 2 2 2 2" xfId="56782" xr:uid="{DE1612DB-5E24-42DC-B594-323F1EBD87B5}"/>
    <cellStyle name="Comma 11 2 2 6 2 2 3" xfId="41662" xr:uid="{E7EF5810-3AF3-4FEE-A0D9-DEFB798509E2}"/>
    <cellStyle name="Comma 11 2 2 6 2 3" xfId="17470" xr:uid="{7BE36775-CB51-4204-9685-99825E2BF09E}"/>
    <cellStyle name="Comma 11 2 2 6 2 3 2" xfId="47710" xr:uid="{3E9F922F-267D-4B22-9F06-7F02FEFA9C4F}"/>
    <cellStyle name="Comma 11 2 2 6 2 4" xfId="32590" xr:uid="{392D1E7E-1A3B-4185-BECE-4394865201A9}"/>
    <cellStyle name="Comma 11 2 2 6 3" xfId="3862" xr:uid="{D1BE2B43-753E-4ED0-AC8F-A0081E378ED3}"/>
    <cellStyle name="Comma 11 2 2 6 3 2" xfId="12934" xr:uid="{02E24E0E-9C6E-4025-89A6-8C59485EB5C7}"/>
    <cellStyle name="Comma 11 2 2 6 3 2 2" xfId="28054" xr:uid="{4E2EECE1-D203-4A27-9E0E-99F69CE2ED44}"/>
    <cellStyle name="Comma 11 2 2 6 3 2 2 2" xfId="58294" xr:uid="{5305BC7A-C788-4216-95CF-F23F04005EE1}"/>
    <cellStyle name="Comma 11 2 2 6 3 2 3" xfId="43174" xr:uid="{C10EAC99-0846-4A73-AD72-C9F0BB987D53}"/>
    <cellStyle name="Comma 11 2 2 6 3 3" xfId="18982" xr:uid="{224AD1B4-A3E9-439D-989D-8BFB9298A7E8}"/>
    <cellStyle name="Comma 11 2 2 6 3 3 2" xfId="49222" xr:uid="{0D811DF8-71D5-42F7-B08E-A27C1995D62D}"/>
    <cellStyle name="Comma 11 2 2 6 3 4" xfId="34102" xr:uid="{BA3EF308-DE09-4400-BCC9-8DD4AA973C88}"/>
    <cellStyle name="Comma 11 2 2 6 4" xfId="5374" xr:uid="{96FADDD6-C04B-4CD4-9B64-996151DF3C9B}"/>
    <cellStyle name="Comma 11 2 2 6 4 2" xfId="14446" xr:uid="{08DF08FA-5943-42DD-9B4A-3FB1B1A54AD8}"/>
    <cellStyle name="Comma 11 2 2 6 4 2 2" xfId="29566" xr:uid="{710BA23C-433D-4409-98D3-7F85EB095F2A}"/>
    <cellStyle name="Comma 11 2 2 6 4 2 2 2" xfId="59806" xr:uid="{D29460AF-9F07-48E8-A40E-1DFEC5D7FA55}"/>
    <cellStyle name="Comma 11 2 2 6 4 2 3" xfId="44686" xr:uid="{3C6AAF31-5F62-44AC-963F-DEE21CFBA195}"/>
    <cellStyle name="Comma 11 2 2 6 4 3" xfId="20494" xr:uid="{D4E030C1-7D26-481E-8812-B65E78FEE5DB}"/>
    <cellStyle name="Comma 11 2 2 6 4 3 2" xfId="50734" xr:uid="{41DC45C3-74FE-428A-8274-DF24C7B01752}"/>
    <cellStyle name="Comma 11 2 2 6 4 4" xfId="35614" xr:uid="{7DB3013E-61D2-483B-A28D-DE9ED4CDA989}"/>
    <cellStyle name="Comma 11 2 2 6 5" xfId="6886" xr:uid="{736812A5-001E-4C70-A656-8C0573EA680F}"/>
    <cellStyle name="Comma 11 2 2 6 5 2" xfId="22006" xr:uid="{7AAF351F-EDE2-4346-A136-10807B39FE21}"/>
    <cellStyle name="Comma 11 2 2 6 5 2 2" xfId="52246" xr:uid="{99F9C88F-6A39-40A9-AE68-B8BAEC8DF786}"/>
    <cellStyle name="Comma 11 2 2 6 5 3" xfId="37126" xr:uid="{72F720FE-9044-443A-9CB6-E0B2A76087EE}"/>
    <cellStyle name="Comma 11 2 2 6 6" xfId="8398" xr:uid="{E05D3C48-7D92-4AE8-BFD4-8CB37B8F3A5D}"/>
    <cellStyle name="Comma 11 2 2 6 6 2" xfId="23518" xr:uid="{475EACD9-8678-464B-B7CF-24A57821CFB5}"/>
    <cellStyle name="Comma 11 2 2 6 6 2 2" xfId="53758" xr:uid="{6768C0C7-A4C5-42AE-A178-2D1C6E0D66BC}"/>
    <cellStyle name="Comma 11 2 2 6 6 3" xfId="38638" xr:uid="{D08B3A6B-EC3F-49E3-BF2B-8E084F778E5D}"/>
    <cellStyle name="Comma 11 2 2 6 7" xfId="9910" xr:uid="{F9715966-5E78-487D-A3F7-A6D1EC373574}"/>
    <cellStyle name="Comma 11 2 2 6 7 2" xfId="25030" xr:uid="{86F90F16-8974-4CD1-8EEA-58143E55E944}"/>
    <cellStyle name="Comma 11 2 2 6 7 2 2" xfId="55270" xr:uid="{2E19728E-3D9A-45E4-A1F6-AFE860F3BC14}"/>
    <cellStyle name="Comma 11 2 2 6 7 3" xfId="40150" xr:uid="{7FAECA83-04D9-4B79-AA98-AF863BEAF42B}"/>
    <cellStyle name="Comma 11 2 2 6 8" xfId="15958" xr:uid="{6053ADA3-28DB-4A64-BE2E-72D4372EC76D}"/>
    <cellStyle name="Comma 11 2 2 6 8 2" xfId="46198" xr:uid="{D67EA79F-99C5-454E-8143-0AADFD697086}"/>
    <cellStyle name="Comma 11 2 2 6 9" xfId="31078" xr:uid="{2B4A993A-1665-4E26-8A5A-CB5F8A4B5FFD}"/>
    <cellStyle name="Comma 11 2 2 7" xfId="1594" xr:uid="{9ECDBF8A-4E64-4E5F-8618-BA9B1DFFBCAF}"/>
    <cellStyle name="Comma 11 2 2 7 2" xfId="10666" xr:uid="{25C1A153-DD6D-4A0B-A039-ED0E275D7680}"/>
    <cellStyle name="Comma 11 2 2 7 2 2" xfId="25786" xr:uid="{8A99F7AB-6D5B-421D-B786-7CEE8A43E32B}"/>
    <cellStyle name="Comma 11 2 2 7 2 2 2" xfId="56026" xr:uid="{9DEE6918-1C11-43E6-B814-FC8E88E5A6E8}"/>
    <cellStyle name="Comma 11 2 2 7 2 3" xfId="40906" xr:uid="{1B11DD33-666F-4B0A-833C-A05F648C49F0}"/>
    <cellStyle name="Comma 11 2 2 7 3" xfId="16714" xr:uid="{198A6793-5DD6-4E66-969B-7FFE4A75A7EF}"/>
    <cellStyle name="Comma 11 2 2 7 3 2" xfId="46954" xr:uid="{63ED8CEC-A79F-4F73-92C5-F84AC9397084}"/>
    <cellStyle name="Comma 11 2 2 7 4" xfId="31834" xr:uid="{ADC2B635-816A-4F35-8AF4-813F779B3CAD}"/>
    <cellStyle name="Comma 11 2 2 8" xfId="3106" xr:uid="{58B0680D-5CF8-47CA-90BD-9325B9FC920D}"/>
    <cellStyle name="Comma 11 2 2 8 2" xfId="12178" xr:uid="{DD3AA159-5F08-4BB0-B059-7CFFDC7A40FC}"/>
    <cellStyle name="Comma 11 2 2 8 2 2" xfId="27298" xr:uid="{C85159B6-D062-4C27-BFDE-DFD4208F86C8}"/>
    <cellStyle name="Comma 11 2 2 8 2 2 2" xfId="57538" xr:uid="{2E7987C2-F59A-4920-B610-7838C196A16B}"/>
    <cellStyle name="Comma 11 2 2 8 2 3" xfId="42418" xr:uid="{BBDF057C-9E65-442B-8E87-69215DD0A84D}"/>
    <cellStyle name="Comma 11 2 2 8 3" xfId="18226" xr:uid="{513B741E-D014-4A32-A0C1-B2329EC5E65E}"/>
    <cellStyle name="Comma 11 2 2 8 3 2" xfId="48466" xr:uid="{8A3CF045-C984-46AD-ADAB-728F637B9043}"/>
    <cellStyle name="Comma 11 2 2 8 4" xfId="33346" xr:uid="{4D677B59-3ED6-47B5-B41C-D84C3D171895}"/>
    <cellStyle name="Comma 11 2 2 9" xfId="4618" xr:uid="{BDC3C192-17EE-437A-83F0-36CFC5F690B6}"/>
    <cellStyle name="Comma 11 2 2 9 2" xfId="13690" xr:uid="{206024D0-98D6-4F6A-8777-5841CC36B780}"/>
    <cellStyle name="Comma 11 2 2 9 2 2" xfId="28810" xr:uid="{1A4D3194-AB2A-48D1-BC60-82A66B9571CD}"/>
    <cellStyle name="Comma 11 2 2 9 2 2 2" xfId="59050" xr:uid="{9C0C76B5-C563-4523-9D6D-7937D0917E19}"/>
    <cellStyle name="Comma 11 2 2 9 2 3" xfId="43930" xr:uid="{620A49F7-F379-4446-B078-81D263085EEF}"/>
    <cellStyle name="Comma 11 2 2 9 3" xfId="19738" xr:uid="{D519B0E1-E44A-4A7F-B7B7-ADFFFA378027}"/>
    <cellStyle name="Comma 11 2 2 9 3 2" xfId="49978" xr:uid="{E601B7F0-5F21-4E28-8245-BABBA0051E09}"/>
    <cellStyle name="Comma 11 2 2 9 4" xfId="34858" xr:uid="{8CA9B141-79BE-4A73-859A-775138683A7B}"/>
    <cellStyle name="Comma 11 2 3" xfId="124" xr:uid="{DD33647F-C5CE-4D83-A97A-15E95CF33829}"/>
    <cellStyle name="Comma 11 2 3 10" xfId="9196" xr:uid="{86DE91C3-16A2-47A5-BEC4-8924BD193001}"/>
    <cellStyle name="Comma 11 2 3 10 2" xfId="24316" xr:uid="{B4DAD01F-DE57-4A50-8930-5CF5E07E0511}"/>
    <cellStyle name="Comma 11 2 3 10 2 2" xfId="54556" xr:uid="{03B65EDB-E6C2-420E-B84E-DD00FAEFB2BB}"/>
    <cellStyle name="Comma 11 2 3 10 3" xfId="39436" xr:uid="{690F644F-94BC-44FA-B0D7-C3DD8B60F018}"/>
    <cellStyle name="Comma 11 2 3 11" xfId="15244" xr:uid="{B8989266-2642-43A2-9162-C614A3D03598}"/>
    <cellStyle name="Comma 11 2 3 11 2" xfId="45484" xr:uid="{770BF3A1-2B93-4AB4-8C3E-A9484947C66B}"/>
    <cellStyle name="Comma 11 2 3 12" xfId="30364" xr:uid="{C768D7F0-E59C-4E21-B6DE-721566EEF8C1}"/>
    <cellStyle name="Comma 11 2 3 2" xfId="376" xr:uid="{B5983FEE-D1A0-4A81-97E9-7231D6A1C321}"/>
    <cellStyle name="Comma 11 2 3 2 10" xfId="30616" xr:uid="{6D6ED2D9-35EA-4646-A261-98270B96F641}"/>
    <cellStyle name="Comma 11 2 3 2 2" xfId="1132" xr:uid="{C72E5DBA-B1C1-4868-B3DF-2478A9436FEF}"/>
    <cellStyle name="Comma 11 2 3 2 2 2" xfId="2644" xr:uid="{58FE9B92-7087-4A6B-BF83-45A80D07ECBA}"/>
    <cellStyle name="Comma 11 2 3 2 2 2 2" xfId="11716" xr:uid="{38D3921E-0120-4328-A746-947E40A7EAA3}"/>
    <cellStyle name="Comma 11 2 3 2 2 2 2 2" xfId="26836" xr:uid="{0CB90134-382B-474E-927C-BDA002780F84}"/>
    <cellStyle name="Comma 11 2 3 2 2 2 2 2 2" xfId="57076" xr:uid="{A307FA5F-0955-4B45-B275-709B01AEAF4A}"/>
    <cellStyle name="Comma 11 2 3 2 2 2 2 3" xfId="41956" xr:uid="{2516D3D4-C842-4E11-B060-92C5C5C8064B}"/>
    <cellStyle name="Comma 11 2 3 2 2 2 3" xfId="17764" xr:uid="{1A12AFD3-645A-4C1D-8D5A-9F30F4413606}"/>
    <cellStyle name="Comma 11 2 3 2 2 2 3 2" xfId="48004" xr:uid="{9B511799-BDB5-49FE-9A0E-E044045C31FB}"/>
    <cellStyle name="Comma 11 2 3 2 2 2 4" xfId="32884" xr:uid="{63A04861-C19B-4AC7-97A2-F400DA1739AB}"/>
    <cellStyle name="Comma 11 2 3 2 2 3" xfId="4156" xr:uid="{7A508AC6-E270-431A-85CD-2E8C603BAF36}"/>
    <cellStyle name="Comma 11 2 3 2 2 3 2" xfId="13228" xr:uid="{E7CA3533-8CAC-4E34-9789-614CFCCD6F74}"/>
    <cellStyle name="Comma 11 2 3 2 2 3 2 2" xfId="28348" xr:uid="{6F7DB317-5153-4915-B083-F12D27D62CD8}"/>
    <cellStyle name="Comma 11 2 3 2 2 3 2 2 2" xfId="58588" xr:uid="{83AE6699-11B9-484D-A787-D6347030AE7C}"/>
    <cellStyle name="Comma 11 2 3 2 2 3 2 3" xfId="43468" xr:uid="{060B2F8F-1797-49EF-9E88-0BF0A696F844}"/>
    <cellStyle name="Comma 11 2 3 2 2 3 3" xfId="19276" xr:uid="{148EE809-93F1-439D-9796-35723C4C00F7}"/>
    <cellStyle name="Comma 11 2 3 2 2 3 3 2" xfId="49516" xr:uid="{93B98E0E-9839-4B6B-B919-9C6E2A4848DF}"/>
    <cellStyle name="Comma 11 2 3 2 2 3 4" xfId="34396" xr:uid="{AA2D5D51-8F47-4220-B356-134463792BF2}"/>
    <cellStyle name="Comma 11 2 3 2 2 4" xfId="5668" xr:uid="{6F8FB33B-106B-4166-8225-8B4001C5BAA9}"/>
    <cellStyle name="Comma 11 2 3 2 2 4 2" xfId="14740" xr:uid="{858A3B75-AF5F-4522-A8C6-151240EEF3FF}"/>
    <cellStyle name="Comma 11 2 3 2 2 4 2 2" xfId="29860" xr:uid="{5D283E92-3B4C-4339-973F-4E5F82B6E149}"/>
    <cellStyle name="Comma 11 2 3 2 2 4 2 2 2" xfId="60100" xr:uid="{58AA3493-CDAB-42A2-A29E-A4CF668D1A49}"/>
    <cellStyle name="Comma 11 2 3 2 2 4 2 3" xfId="44980" xr:uid="{08F3B765-2716-49B9-8970-34601FD281B5}"/>
    <cellStyle name="Comma 11 2 3 2 2 4 3" xfId="20788" xr:uid="{3E698B96-6E0E-4B6F-87EF-BB2F8A88BCEB}"/>
    <cellStyle name="Comma 11 2 3 2 2 4 3 2" xfId="51028" xr:uid="{D7129E6A-684E-453A-BEE6-72C7231B4304}"/>
    <cellStyle name="Comma 11 2 3 2 2 4 4" xfId="35908" xr:uid="{E8304851-F87F-429F-9354-5DB63D285C96}"/>
    <cellStyle name="Comma 11 2 3 2 2 5" xfId="7180" xr:uid="{DE558E4A-E5EB-4471-8212-46E963BE53C0}"/>
    <cellStyle name="Comma 11 2 3 2 2 5 2" xfId="22300" xr:uid="{47886EB2-710D-417C-A139-68104AAE3244}"/>
    <cellStyle name="Comma 11 2 3 2 2 5 2 2" xfId="52540" xr:uid="{6BCDCC6C-FB6F-46DF-87E3-46C0463B021D}"/>
    <cellStyle name="Comma 11 2 3 2 2 5 3" xfId="37420" xr:uid="{6D1D7CB9-BF3E-4948-BD3B-D1A2124D741B}"/>
    <cellStyle name="Comma 11 2 3 2 2 6" xfId="8692" xr:uid="{2CC78E0B-44A4-40AD-90D0-CA169EB5668E}"/>
    <cellStyle name="Comma 11 2 3 2 2 6 2" xfId="23812" xr:uid="{B9FFA039-F565-4DB6-A024-2E671AD47161}"/>
    <cellStyle name="Comma 11 2 3 2 2 6 2 2" xfId="54052" xr:uid="{CDC51D28-2CE0-4F0D-9658-23D44BDF9719}"/>
    <cellStyle name="Comma 11 2 3 2 2 6 3" xfId="38932" xr:uid="{07EA5487-37FE-4056-9011-F735DFFE5627}"/>
    <cellStyle name="Comma 11 2 3 2 2 7" xfId="10204" xr:uid="{5BC25C48-DA81-437B-8A84-BCFFC562C713}"/>
    <cellStyle name="Comma 11 2 3 2 2 7 2" xfId="25324" xr:uid="{7DEA9E61-86C4-4B05-ACA2-D7987C1A43F6}"/>
    <cellStyle name="Comma 11 2 3 2 2 7 2 2" xfId="55564" xr:uid="{E40EAF52-ADC2-4F7C-891B-1BDB3A4A3916}"/>
    <cellStyle name="Comma 11 2 3 2 2 7 3" xfId="40444" xr:uid="{F08FFC98-1190-4E17-A9B6-EB3905A1460D}"/>
    <cellStyle name="Comma 11 2 3 2 2 8" xfId="16252" xr:uid="{A2A666EE-4ACF-45D6-A686-76378545AFB3}"/>
    <cellStyle name="Comma 11 2 3 2 2 8 2" xfId="46492" xr:uid="{2AB10147-1BBD-420D-A024-0B9693ED483E}"/>
    <cellStyle name="Comma 11 2 3 2 2 9" xfId="31372" xr:uid="{1397DFED-3C4E-4E61-9531-31A93D236E65}"/>
    <cellStyle name="Comma 11 2 3 2 3" xfId="1888" xr:uid="{A1BBA3DE-FF1D-44A8-9A8A-217CAE7363C5}"/>
    <cellStyle name="Comma 11 2 3 2 3 2" xfId="10960" xr:uid="{7AA5D753-D060-446D-B959-7B4B13262981}"/>
    <cellStyle name="Comma 11 2 3 2 3 2 2" xfId="26080" xr:uid="{9EB17891-42A3-4865-AC0C-F5F0B8E722C9}"/>
    <cellStyle name="Comma 11 2 3 2 3 2 2 2" xfId="56320" xr:uid="{88E880CA-6B6E-4C59-8262-49F4A286BAF3}"/>
    <cellStyle name="Comma 11 2 3 2 3 2 3" xfId="41200" xr:uid="{07844E4C-FBB4-457D-A28F-5EEB5C5947E1}"/>
    <cellStyle name="Comma 11 2 3 2 3 3" xfId="17008" xr:uid="{6D6EDF48-F9D4-4D8B-8400-43C538175296}"/>
    <cellStyle name="Comma 11 2 3 2 3 3 2" xfId="47248" xr:uid="{9B4EEC84-D761-4D22-B5CB-C38C8E7CAB2A}"/>
    <cellStyle name="Comma 11 2 3 2 3 4" xfId="32128" xr:uid="{9409D900-5436-4706-AE10-77C0C79483C9}"/>
    <cellStyle name="Comma 11 2 3 2 4" xfId="3400" xr:uid="{B477B601-FA23-48F5-A3B0-5EBD27D23542}"/>
    <cellStyle name="Comma 11 2 3 2 4 2" xfId="12472" xr:uid="{5A0911FD-5713-46EE-9AC2-0AF1FC490D0B}"/>
    <cellStyle name="Comma 11 2 3 2 4 2 2" xfId="27592" xr:uid="{549753AC-1205-4CDA-8733-163AF10C7798}"/>
    <cellStyle name="Comma 11 2 3 2 4 2 2 2" xfId="57832" xr:uid="{285A28D8-49A7-495B-9FD4-90D2D9F4B800}"/>
    <cellStyle name="Comma 11 2 3 2 4 2 3" xfId="42712" xr:uid="{A6FD600D-9525-4E91-912E-78AD15223615}"/>
    <cellStyle name="Comma 11 2 3 2 4 3" xfId="18520" xr:uid="{87235953-AF04-4AB6-8E94-54942C099699}"/>
    <cellStyle name="Comma 11 2 3 2 4 3 2" xfId="48760" xr:uid="{45D0D16D-73FA-43FA-BC89-E51E4EA850BD}"/>
    <cellStyle name="Comma 11 2 3 2 4 4" xfId="33640" xr:uid="{09457F20-2945-4A4C-8C46-023B92513C5A}"/>
    <cellStyle name="Comma 11 2 3 2 5" xfId="4912" xr:uid="{4C25D707-6BD3-481F-8A04-5892291B99C3}"/>
    <cellStyle name="Comma 11 2 3 2 5 2" xfId="13984" xr:uid="{7ACCCFE0-C32F-41AB-A432-7C2095D41BF3}"/>
    <cellStyle name="Comma 11 2 3 2 5 2 2" xfId="29104" xr:uid="{EDE2C2FA-003F-48B1-AD53-F3E7337CFFA1}"/>
    <cellStyle name="Comma 11 2 3 2 5 2 2 2" xfId="59344" xr:uid="{745C5004-1273-495E-8D22-7181714A9A5F}"/>
    <cellStyle name="Comma 11 2 3 2 5 2 3" xfId="44224" xr:uid="{48572502-AB15-4C1D-9675-341924AE1D74}"/>
    <cellStyle name="Comma 11 2 3 2 5 3" xfId="20032" xr:uid="{067BFCF6-8172-4ADE-A2CC-0AC3A43B47C6}"/>
    <cellStyle name="Comma 11 2 3 2 5 3 2" xfId="50272" xr:uid="{CCE45A2C-60F7-46C1-B3FB-EBA50BC9FB61}"/>
    <cellStyle name="Comma 11 2 3 2 5 4" xfId="35152" xr:uid="{F2893386-1FD2-42D0-B240-0E15FA42657B}"/>
    <cellStyle name="Comma 11 2 3 2 6" xfId="6424" xr:uid="{B8CF52CA-ADE1-4ED4-B17F-226164C9C717}"/>
    <cellStyle name="Comma 11 2 3 2 6 2" xfId="21544" xr:uid="{D3DF499D-4419-4737-BF2F-5CFA9319C85A}"/>
    <cellStyle name="Comma 11 2 3 2 6 2 2" xfId="51784" xr:uid="{0415755B-9AB9-4503-A928-AB7C507AFDF0}"/>
    <cellStyle name="Comma 11 2 3 2 6 3" xfId="36664" xr:uid="{3117FC03-0D79-44BB-97C5-C29AA4CB6454}"/>
    <cellStyle name="Comma 11 2 3 2 7" xfId="7936" xr:uid="{F680EFE9-CFFD-46A4-B682-8A2B7DFA6AFC}"/>
    <cellStyle name="Comma 11 2 3 2 7 2" xfId="23056" xr:uid="{0D9BC9A3-FA53-453A-8175-824885BCCE31}"/>
    <cellStyle name="Comma 11 2 3 2 7 2 2" xfId="53296" xr:uid="{C0DC2E06-C102-4897-81BD-20420A3D2CB9}"/>
    <cellStyle name="Comma 11 2 3 2 7 3" xfId="38176" xr:uid="{9827803E-9531-4BB3-92C2-EC16D977ED24}"/>
    <cellStyle name="Comma 11 2 3 2 8" xfId="9448" xr:uid="{E4C12544-E33A-44DE-98CF-B48F037AEF4F}"/>
    <cellStyle name="Comma 11 2 3 2 8 2" xfId="24568" xr:uid="{776E3FE9-2F37-4914-BD6A-E310366CEAE3}"/>
    <cellStyle name="Comma 11 2 3 2 8 2 2" xfId="54808" xr:uid="{ED01514E-9FA5-4C1B-A7DA-253596C00784}"/>
    <cellStyle name="Comma 11 2 3 2 8 3" xfId="39688" xr:uid="{C18C474D-8FE2-4238-9B92-782519EE2BB9}"/>
    <cellStyle name="Comma 11 2 3 2 9" xfId="15496" xr:uid="{5BB4908A-F8FC-4756-9A38-EFD31AB07E37}"/>
    <cellStyle name="Comma 11 2 3 2 9 2" xfId="45736" xr:uid="{A3756CAB-51E2-4281-9226-D47EF60B6007}"/>
    <cellStyle name="Comma 11 2 3 3" xfId="628" xr:uid="{1F90BDE0-A897-4E3F-96B4-A60B50482843}"/>
    <cellStyle name="Comma 11 2 3 3 10" xfId="30868" xr:uid="{CA42988A-D7F1-4BF6-AF94-9026072B93FA}"/>
    <cellStyle name="Comma 11 2 3 3 2" xfId="1384" xr:uid="{1DB758B7-AA2D-47CF-828A-12C8FDD06260}"/>
    <cellStyle name="Comma 11 2 3 3 2 2" xfId="2896" xr:uid="{C1F033E2-A5FC-4605-A03C-139218C17E1C}"/>
    <cellStyle name="Comma 11 2 3 3 2 2 2" xfId="11968" xr:uid="{FEADEE7F-1414-48AC-BAF2-D4932C2A0916}"/>
    <cellStyle name="Comma 11 2 3 3 2 2 2 2" xfId="27088" xr:uid="{B27F9608-3C2D-430F-AF9D-73B2C9670CE6}"/>
    <cellStyle name="Comma 11 2 3 3 2 2 2 2 2" xfId="57328" xr:uid="{EE6D6840-4F51-44DE-BF5F-97C9B8A7E5E0}"/>
    <cellStyle name="Comma 11 2 3 3 2 2 2 3" xfId="42208" xr:uid="{2CCC3F02-ED42-4679-A864-1C36597FA469}"/>
    <cellStyle name="Comma 11 2 3 3 2 2 3" xfId="18016" xr:uid="{ECF66754-F564-41A9-B605-DCE6E190163D}"/>
    <cellStyle name="Comma 11 2 3 3 2 2 3 2" xfId="48256" xr:uid="{7864D45C-319D-4D6B-8957-65B5017749B0}"/>
    <cellStyle name="Comma 11 2 3 3 2 2 4" xfId="33136" xr:uid="{3F459C8C-5BB7-4C6B-9160-C8B4032E6125}"/>
    <cellStyle name="Comma 11 2 3 3 2 3" xfId="4408" xr:uid="{DB9F8B13-DA05-4FDE-86FA-15CA06A7919D}"/>
    <cellStyle name="Comma 11 2 3 3 2 3 2" xfId="13480" xr:uid="{D7095C11-E71F-4892-AFDC-55EDA81DE07B}"/>
    <cellStyle name="Comma 11 2 3 3 2 3 2 2" xfId="28600" xr:uid="{18B475B7-4B3D-4200-B95E-ED81F11D6837}"/>
    <cellStyle name="Comma 11 2 3 3 2 3 2 2 2" xfId="58840" xr:uid="{981F4956-13F8-431B-9F5A-DDC0396EA6CF}"/>
    <cellStyle name="Comma 11 2 3 3 2 3 2 3" xfId="43720" xr:uid="{89EFB239-13EC-426B-AEB1-C7A35BADEA11}"/>
    <cellStyle name="Comma 11 2 3 3 2 3 3" xfId="19528" xr:uid="{C09DF35F-85F1-47E1-AFBE-4BBA69174331}"/>
    <cellStyle name="Comma 11 2 3 3 2 3 3 2" xfId="49768" xr:uid="{B50A20D0-2842-4F47-A420-E78EB537EC0B}"/>
    <cellStyle name="Comma 11 2 3 3 2 3 4" xfId="34648" xr:uid="{C1F42A4B-8AD5-46BF-8EA2-E996B01A563B}"/>
    <cellStyle name="Comma 11 2 3 3 2 4" xfId="5920" xr:uid="{B445B8B9-5F41-4656-B256-E87A2557A81B}"/>
    <cellStyle name="Comma 11 2 3 3 2 4 2" xfId="14992" xr:uid="{714F6EA3-896A-4062-9872-6B3A6D06880A}"/>
    <cellStyle name="Comma 11 2 3 3 2 4 2 2" xfId="30112" xr:uid="{4376E3AD-5DA6-4239-8E9D-6C07CB9C43FA}"/>
    <cellStyle name="Comma 11 2 3 3 2 4 2 2 2" xfId="60352" xr:uid="{C621C81D-BDEA-4D39-BFEE-22B90C6274C4}"/>
    <cellStyle name="Comma 11 2 3 3 2 4 2 3" xfId="45232" xr:uid="{A6F49111-5E6A-4E6B-8BDB-1F9E4F08AA52}"/>
    <cellStyle name="Comma 11 2 3 3 2 4 3" xfId="21040" xr:uid="{3E25BED1-8CF5-4B94-ABA8-27CE6A173B37}"/>
    <cellStyle name="Comma 11 2 3 3 2 4 3 2" xfId="51280" xr:uid="{0D93C3B4-9ACF-42F6-93BF-B3E5FCEF88B6}"/>
    <cellStyle name="Comma 11 2 3 3 2 4 4" xfId="36160" xr:uid="{607EB66B-20D3-4000-8DEB-4393B240A739}"/>
    <cellStyle name="Comma 11 2 3 3 2 5" xfId="7432" xr:uid="{920245FD-6D31-4B82-BD7D-A13A3AF20A69}"/>
    <cellStyle name="Comma 11 2 3 3 2 5 2" xfId="22552" xr:uid="{B2EB651E-49D6-49D6-901D-18751FC636D5}"/>
    <cellStyle name="Comma 11 2 3 3 2 5 2 2" xfId="52792" xr:uid="{093B7777-8E0F-47C0-AB83-6BCF699BF024}"/>
    <cellStyle name="Comma 11 2 3 3 2 5 3" xfId="37672" xr:uid="{EBE8E2D2-A569-4C9F-A3E8-60A9D514C3BF}"/>
    <cellStyle name="Comma 11 2 3 3 2 6" xfId="8944" xr:uid="{E82B2181-54DC-4F3F-B502-518CD3E6CEEB}"/>
    <cellStyle name="Comma 11 2 3 3 2 6 2" xfId="24064" xr:uid="{F292FFC1-7849-40AD-9909-7BBCAEBB4A9D}"/>
    <cellStyle name="Comma 11 2 3 3 2 6 2 2" xfId="54304" xr:uid="{72AB9721-724C-4289-872D-65A4AD3A2B81}"/>
    <cellStyle name="Comma 11 2 3 3 2 6 3" xfId="39184" xr:uid="{FD6A070A-6EEA-4494-BFD4-BB7F707B2F24}"/>
    <cellStyle name="Comma 11 2 3 3 2 7" xfId="10456" xr:uid="{7E84AF9B-7960-4985-B4D8-1C00DAC10712}"/>
    <cellStyle name="Comma 11 2 3 3 2 7 2" xfId="25576" xr:uid="{CF3B0E37-89FC-42BD-B33A-DEC90744E62B}"/>
    <cellStyle name="Comma 11 2 3 3 2 7 2 2" xfId="55816" xr:uid="{94CFE339-E71F-4F07-8B9C-7F186E0FEE66}"/>
    <cellStyle name="Comma 11 2 3 3 2 7 3" xfId="40696" xr:uid="{4B2EC1F0-90C1-46C9-9BE8-DC1F3259D5CE}"/>
    <cellStyle name="Comma 11 2 3 3 2 8" xfId="16504" xr:uid="{4641BBDC-2966-4460-96A7-ED6129A944EE}"/>
    <cellStyle name="Comma 11 2 3 3 2 8 2" xfId="46744" xr:uid="{F13E422B-A3BC-4F62-BB8B-A544EC67FB1C}"/>
    <cellStyle name="Comma 11 2 3 3 2 9" xfId="31624" xr:uid="{0159582E-E787-41FF-B7EF-89785600403B}"/>
    <cellStyle name="Comma 11 2 3 3 3" xfId="2140" xr:uid="{3E75900F-74ED-4798-9CBB-A67D1C22368D}"/>
    <cellStyle name="Comma 11 2 3 3 3 2" xfId="11212" xr:uid="{E2B9D4BD-469D-4EF0-AF97-25309522BCF6}"/>
    <cellStyle name="Comma 11 2 3 3 3 2 2" xfId="26332" xr:uid="{49B6C192-47FB-4E29-8E27-82CA1710DB90}"/>
    <cellStyle name="Comma 11 2 3 3 3 2 2 2" xfId="56572" xr:uid="{6FAB8703-4828-415D-B9F8-8060A76D7219}"/>
    <cellStyle name="Comma 11 2 3 3 3 2 3" xfId="41452" xr:uid="{1DE53353-272E-4F61-A24F-9A3560FE42AA}"/>
    <cellStyle name="Comma 11 2 3 3 3 3" xfId="17260" xr:uid="{8667CB74-886D-472C-B629-D4BC2C2D82A9}"/>
    <cellStyle name="Comma 11 2 3 3 3 3 2" xfId="47500" xr:uid="{4DD7BE93-C974-4465-85A1-3FE206C5CF8C}"/>
    <cellStyle name="Comma 11 2 3 3 3 4" xfId="32380" xr:uid="{AF8AFBA0-139F-4C8A-A2F1-F2DC272A46F9}"/>
    <cellStyle name="Comma 11 2 3 3 4" xfId="3652" xr:uid="{AE3B1A7C-892E-4625-8A31-9020F54ACA10}"/>
    <cellStyle name="Comma 11 2 3 3 4 2" xfId="12724" xr:uid="{13DA5803-9F17-40B4-97C5-F17D871F363C}"/>
    <cellStyle name="Comma 11 2 3 3 4 2 2" xfId="27844" xr:uid="{E41CC87F-3D41-473A-BE47-394A3BB0E4DF}"/>
    <cellStyle name="Comma 11 2 3 3 4 2 2 2" xfId="58084" xr:uid="{AA61F1A3-B0BD-4FD3-9589-450B4601679B}"/>
    <cellStyle name="Comma 11 2 3 3 4 2 3" xfId="42964" xr:uid="{17C64724-4048-4ECA-8E44-DF1ED09DDE12}"/>
    <cellStyle name="Comma 11 2 3 3 4 3" xfId="18772" xr:uid="{4EF640E5-73CC-4BAE-84BF-1B09D9B2137F}"/>
    <cellStyle name="Comma 11 2 3 3 4 3 2" xfId="49012" xr:uid="{CD1773EF-90EA-4EB5-82C2-6EA8F5EF4C96}"/>
    <cellStyle name="Comma 11 2 3 3 4 4" xfId="33892" xr:uid="{44C09099-CD42-4FF3-9613-E3609EA03F4C}"/>
    <cellStyle name="Comma 11 2 3 3 5" xfId="5164" xr:uid="{728828F0-73B0-4AB7-BBF7-5C8951D6A8AA}"/>
    <cellStyle name="Comma 11 2 3 3 5 2" xfId="14236" xr:uid="{95EAE124-C7AD-4942-9AF9-67BB7662700E}"/>
    <cellStyle name="Comma 11 2 3 3 5 2 2" xfId="29356" xr:uid="{1525EA96-95B5-4DFC-B585-4F01EF2C8C59}"/>
    <cellStyle name="Comma 11 2 3 3 5 2 2 2" xfId="59596" xr:uid="{B2B15061-0CC0-4B66-A743-7BB3EC92F491}"/>
    <cellStyle name="Comma 11 2 3 3 5 2 3" xfId="44476" xr:uid="{1BD7E5BF-C064-4042-B968-D1D4E23F0C82}"/>
    <cellStyle name="Comma 11 2 3 3 5 3" xfId="20284" xr:uid="{6B7A80B9-64B3-429E-9E5B-8CB7BB35A737}"/>
    <cellStyle name="Comma 11 2 3 3 5 3 2" xfId="50524" xr:uid="{B4EB9B2C-F969-4F6D-BCD0-1C31285C1912}"/>
    <cellStyle name="Comma 11 2 3 3 5 4" xfId="35404" xr:uid="{922602D4-D90B-4749-8363-2B345882D52C}"/>
    <cellStyle name="Comma 11 2 3 3 6" xfId="6676" xr:uid="{37CF1733-7AA4-4A09-AEFD-864B744AB01A}"/>
    <cellStyle name="Comma 11 2 3 3 6 2" xfId="21796" xr:uid="{EB352B09-5071-4E2F-A321-4F674A44AB40}"/>
    <cellStyle name="Comma 11 2 3 3 6 2 2" xfId="52036" xr:uid="{49357798-BB7B-4107-8E97-2AF638A2C995}"/>
    <cellStyle name="Comma 11 2 3 3 6 3" xfId="36916" xr:uid="{E290804B-D6FC-4905-BD42-79FD04C73B0F}"/>
    <cellStyle name="Comma 11 2 3 3 7" xfId="8188" xr:uid="{CEE800A3-6DD5-4319-B70F-68F2C0B550B7}"/>
    <cellStyle name="Comma 11 2 3 3 7 2" xfId="23308" xr:uid="{5351BF88-25ED-411F-902C-D36046EF47F8}"/>
    <cellStyle name="Comma 11 2 3 3 7 2 2" xfId="53548" xr:uid="{6153C696-0C2C-49BA-B6B4-C8965622EA3B}"/>
    <cellStyle name="Comma 11 2 3 3 7 3" xfId="38428" xr:uid="{6BAFA5E8-6FD2-4D3E-89F7-3FE2EA1AC9F1}"/>
    <cellStyle name="Comma 11 2 3 3 8" xfId="9700" xr:uid="{AA5E7F5C-5A4F-42BF-9B66-00795A42CB6D}"/>
    <cellStyle name="Comma 11 2 3 3 8 2" xfId="24820" xr:uid="{73935F6F-38BE-4289-9EAA-28BD084AE93C}"/>
    <cellStyle name="Comma 11 2 3 3 8 2 2" xfId="55060" xr:uid="{1E8637E9-1FED-4CBE-AA3F-4A97AD821764}"/>
    <cellStyle name="Comma 11 2 3 3 8 3" xfId="39940" xr:uid="{6D0E0FF1-0B63-462A-81AD-A1FE7B8F8BD1}"/>
    <cellStyle name="Comma 11 2 3 3 9" xfId="15748" xr:uid="{3E35A57E-FE52-42F1-8FDF-6C55270BDBCC}"/>
    <cellStyle name="Comma 11 2 3 3 9 2" xfId="45988" xr:uid="{42966F25-B54E-4689-A612-85CAA5C4F5BA}"/>
    <cellStyle name="Comma 11 2 3 4" xfId="880" xr:uid="{AE25746F-EC3E-4BBA-B72B-4FC362546B9B}"/>
    <cellStyle name="Comma 11 2 3 4 2" xfId="2392" xr:uid="{C6D68014-8670-42B2-91DC-64C635E8B9A0}"/>
    <cellStyle name="Comma 11 2 3 4 2 2" xfId="11464" xr:uid="{D7E54772-F270-41F6-83CF-3BEF999FF690}"/>
    <cellStyle name="Comma 11 2 3 4 2 2 2" xfId="26584" xr:uid="{11044E54-9570-4206-9950-FCCBB7D59BF6}"/>
    <cellStyle name="Comma 11 2 3 4 2 2 2 2" xfId="56824" xr:uid="{76F29400-17B6-4545-B904-35D070C8D0ED}"/>
    <cellStyle name="Comma 11 2 3 4 2 2 3" xfId="41704" xr:uid="{491BD42F-4426-4609-9959-0F07EFE6AB88}"/>
    <cellStyle name="Comma 11 2 3 4 2 3" xfId="17512" xr:uid="{5197FDA7-086C-4B00-94D8-58F38334A3A6}"/>
    <cellStyle name="Comma 11 2 3 4 2 3 2" xfId="47752" xr:uid="{99B27484-1931-4B87-9BCA-D14EC1B30E60}"/>
    <cellStyle name="Comma 11 2 3 4 2 4" xfId="32632" xr:uid="{6BB6C849-238A-401D-8AEE-38EA1475F453}"/>
    <cellStyle name="Comma 11 2 3 4 3" xfId="3904" xr:uid="{4FFD1057-D467-4FC2-ABF8-38462F18DE31}"/>
    <cellStyle name="Comma 11 2 3 4 3 2" xfId="12976" xr:uid="{DAF9FABB-FA53-49EC-B9DC-CAF2D0C4C87C}"/>
    <cellStyle name="Comma 11 2 3 4 3 2 2" xfId="28096" xr:uid="{EC8C4C34-53F3-4F16-8E62-E832572D5138}"/>
    <cellStyle name="Comma 11 2 3 4 3 2 2 2" xfId="58336" xr:uid="{675D1921-1274-4F23-9ED6-6E10328514B8}"/>
    <cellStyle name="Comma 11 2 3 4 3 2 3" xfId="43216" xr:uid="{B60C80DE-C741-4DCA-A749-36C07F3F6124}"/>
    <cellStyle name="Comma 11 2 3 4 3 3" xfId="19024" xr:uid="{DA2FA0F4-F30A-4723-AF8D-FF95AEF1CC17}"/>
    <cellStyle name="Comma 11 2 3 4 3 3 2" xfId="49264" xr:uid="{46EC6F0C-25CC-41CF-8D3C-9D85A5B3C0D9}"/>
    <cellStyle name="Comma 11 2 3 4 3 4" xfId="34144" xr:uid="{5CEC3451-F818-4F29-BA9D-74C9444B9ABF}"/>
    <cellStyle name="Comma 11 2 3 4 4" xfId="5416" xr:uid="{0593E234-E90C-4950-A268-4FA31C68A331}"/>
    <cellStyle name="Comma 11 2 3 4 4 2" xfId="14488" xr:uid="{03A36C89-4544-4957-A51E-8929C01D4ECA}"/>
    <cellStyle name="Comma 11 2 3 4 4 2 2" xfId="29608" xr:uid="{C77C89C2-828F-4E95-8889-EC9460305234}"/>
    <cellStyle name="Comma 11 2 3 4 4 2 2 2" xfId="59848" xr:uid="{547265D4-C3EB-4819-B4C3-464CB1FD2DE1}"/>
    <cellStyle name="Comma 11 2 3 4 4 2 3" xfId="44728" xr:uid="{E78DFA21-950E-4180-B1B4-AC3BA540759F}"/>
    <cellStyle name="Comma 11 2 3 4 4 3" xfId="20536" xr:uid="{E119BE66-C359-474D-804B-94E2E2A82A31}"/>
    <cellStyle name="Comma 11 2 3 4 4 3 2" xfId="50776" xr:uid="{14BB6B7B-7997-4DA4-99EF-0526738F1E43}"/>
    <cellStyle name="Comma 11 2 3 4 4 4" xfId="35656" xr:uid="{61764BBE-E56B-4282-BC14-9EEDE056ED6B}"/>
    <cellStyle name="Comma 11 2 3 4 5" xfId="6928" xr:uid="{1CBD26CD-A09E-4C4C-88EB-29CA6A6356C8}"/>
    <cellStyle name="Comma 11 2 3 4 5 2" xfId="22048" xr:uid="{01FD00DE-4D6D-4456-A168-171D754B69F9}"/>
    <cellStyle name="Comma 11 2 3 4 5 2 2" xfId="52288" xr:uid="{352E7B67-B716-46CE-AE8A-7B32B7F47F77}"/>
    <cellStyle name="Comma 11 2 3 4 5 3" xfId="37168" xr:uid="{8896BA02-8EC0-4971-A010-C95D63DD9FF3}"/>
    <cellStyle name="Comma 11 2 3 4 6" xfId="8440" xr:uid="{2FF8D5AD-8513-47CA-82CC-EAFC3DC1F10B}"/>
    <cellStyle name="Comma 11 2 3 4 6 2" xfId="23560" xr:uid="{A797AA96-90A1-4E14-A8D0-EF5BCA1D9934}"/>
    <cellStyle name="Comma 11 2 3 4 6 2 2" xfId="53800" xr:uid="{18E94E99-8B78-49DD-9A3C-4DACF1EC1A07}"/>
    <cellStyle name="Comma 11 2 3 4 6 3" xfId="38680" xr:uid="{F080C8D7-516E-4498-92ED-888A1F77E373}"/>
    <cellStyle name="Comma 11 2 3 4 7" xfId="9952" xr:uid="{9D090687-EED0-4CEF-853E-92E957C2E126}"/>
    <cellStyle name="Comma 11 2 3 4 7 2" xfId="25072" xr:uid="{6C005ADE-8B94-407D-B063-3B4C9D0ABFAF}"/>
    <cellStyle name="Comma 11 2 3 4 7 2 2" xfId="55312" xr:uid="{2C17EA1E-FC04-469C-8DDA-AF75C7A8752C}"/>
    <cellStyle name="Comma 11 2 3 4 7 3" xfId="40192" xr:uid="{494A7752-BC8C-4E3B-A8FF-6B4626053C22}"/>
    <cellStyle name="Comma 11 2 3 4 8" xfId="16000" xr:uid="{816958AC-3C22-4C45-80E0-76A621E480D0}"/>
    <cellStyle name="Comma 11 2 3 4 8 2" xfId="46240" xr:uid="{A7A0BB37-736D-4F5F-891A-E51DFA0BD712}"/>
    <cellStyle name="Comma 11 2 3 4 9" xfId="31120" xr:uid="{9B3246FE-D6C5-47F1-BEBF-136AB7AD84EC}"/>
    <cellStyle name="Comma 11 2 3 5" xfId="1636" xr:uid="{3178F60D-5FFE-431C-A05B-D2FDB7D558E1}"/>
    <cellStyle name="Comma 11 2 3 5 2" xfId="10708" xr:uid="{5C07A6D2-EA96-4191-928B-5F1D86E1D6E9}"/>
    <cellStyle name="Comma 11 2 3 5 2 2" xfId="25828" xr:uid="{5EF0DDF2-C78C-4397-A7C5-94A79AE7E87A}"/>
    <cellStyle name="Comma 11 2 3 5 2 2 2" xfId="56068" xr:uid="{B4A1C0BF-60F7-46F0-8F4D-7DEBF2F23471}"/>
    <cellStyle name="Comma 11 2 3 5 2 3" xfId="40948" xr:uid="{E474786E-5AF3-4526-86C3-25D60CB315CA}"/>
    <cellStyle name="Comma 11 2 3 5 3" xfId="16756" xr:uid="{DE9BD378-7427-4A34-8609-5760C5D6B44F}"/>
    <cellStyle name="Comma 11 2 3 5 3 2" xfId="46996" xr:uid="{E6CFD9EA-B9DA-47FE-B129-2F86D880B0CF}"/>
    <cellStyle name="Comma 11 2 3 5 4" xfId="31876" xr:uid="{17A763D5-58C9-41C9-BA5D-9B730D3FC0AA}"/>
    <cellStyle name="Comma 11 2 3 6" xfId="3148" xr:uid="{D57AB542-F58D-4586-913E-570AB5B03F82}"/>
    <cellStyle name="Comma 11 2 3 6 2" xfId="12220" xr:uid="{7583DB4D-DF05-4C51-8C7C-56C098DCD60D}"/>
    <cellStyle name="Comma 11 2 3 6 2 2" xfId="27340" xr:uid="{FA74E2DD-1BD6-44A4-8797-B0D71FED4701}"/>
    <cellStyle name="Comma 11 2 3 6 2 2 2" xfId="57580" xr:uid="{BBB6AE73-1581-48D8-B521-5FB3F3F45A1D}"/>
    <cellStyle name="Comma 11 2 3 6 2 3" xfId="42460" xr:uid="{434F0519-786D-42E7-A49F-6695E08CB443}"/>
    <cellStyle name="Comma 11 2 3 6 3" xfId="18268" xr:uid="{9C34CCB3-DC73-46D1-8D3F-633B4C8ADB4A}"/>
    <cellStyle name="Comma 11 2 3 6 3 2" xfId="48508" xr:uid="{67D64AC3-375E-4CD2-8679-19204CD0F9F9}"/>
    <cellStyle name="Comma 11 2 3 6 4" xfId="33388" xr:uid="{C243984C-9BA4-4EC8-84B4-5107B28FF66C}"/>
    <cellStyle name="Comma 11 2 3 7" xfId="4660" xr:uid="{E8EB3CB4-B62B-4ED2-B861-3D9D5417CB8D}"/>
    <cellStyle name="Comma 11 2 3 7 2" xfId="13732" xr:uid="{71CE9B27-B4AB-4C03-AE38-04CD8E0ADBA3}"/>
    <cellStyle name="Comma 11 2 3 7 2 2" xfId="28852" xr:uid="{C438E581-5527-4EF2-986F-B834B86194F1}"/>
    <cellStyle name="Comma 11 2 3 7 2 2 2" xfId="59092" xr:uid="{5B7F7F9D-823A-4D23-AA3E-41F2C0C8318C}"/>
    <cellStyle name="Comma 11 2 3 7 2 3" xfId="43972" xr:uid="{9D896316-043B-4598-B281-8E8A45E3972F}"/>
    <cellStyle name="Comma 11 2 3 7 3" xfId="19780" xr:uid="{8D37E4D9-7121-4C3A-BD3A-6FA4C7EB88BA}"/>
    <cellStyle name="Comma 11 2 3 7 3 2" xfId="50020" xr:uid="{23F2F3E6-5219-4D76-97CF-2B173ABDA9C2}"/>
    <cellStyle name="Comma 11 2 3 7 4" xfId="34900" xr:uid="{BC66C4D8-BF61-4873-B1BA-425797DAA2CD}"/>
    <cellStyle name="Comma 11 2 3 8" xfId="6172" xr:uid="{CD5D2F92-6E9C-4655-B60E-AAF0D0E6048E}"/>
    <cellStyle name="Comma 11 2 3 8 2" xfId="21292" xr:uid="{11E4775D-0185-415A-B749-FE751D39DC96}"/>
    <cellStyle name="Comma 11 2 3 8 2 2" xfId="51532" xr:uid="{DC300F40-241F-4CC1-94CE-74DE78C04832}"/>
    <cellStyle name="Comma 11 2 3 8 3" xfId="36412" xr:uid="{DEFD08B9-1219-41B3-9F5F-55D775E74DB1}"/>
    <cellStyle name="Comma 11 2 3 9" xfId="7684" xr:uid="{422D3D58-51BF-44DB-941A-256AA2D4AF24}"/>
    <cellStyle name="Comma 11 2 3 9 2" xfId="22804" xr:uid="{8B36998D-F64F-4260-AACF-A603BCD224C0}"/>
    <cellStyle name="Comma 11 2 3 9 2 2" xfId="53044" xr:uid="{0A633E00-7BC1-4E33-BE95-2D7D381C9D1A}"/>
    <cellStyle name="Comma 11 2 3 9 3" xfId="37924" xr:uid="{62F8CBB0-D888-4A6B-AECB-D76F783577D3}"/>
    <cellStyle name="Comma 11 2 4" xfId="208" xr:uid="{AC44E84E-B6B2-4146-8F3F-CAB82BEA8C46}"/>
    <cellStyle name="Comma 11 2 4 10" xfId="9280" xr:uid="{028A38DA-5C48-4C36-91F5-689B97E524E2}"/>
    <cellStyle name="Comma 11 2 4 10 2" xfId="24400" xr:uid="{126DFD1C-D4D5-48DA-A209-A90F7351678A}"/>
    <cellStyle name="Comma 11 2 4 10 2 2" xfId="54640" xr:uid="{25ED4AA3-EC82-42CB-B0D7-E92A641E44AA}"/>
    <cellStyle name="Comma 11 2 4 10 3" xfId="39520" xr:uid="{78C23660-9FA2-4C46-8AF2-BACF707EB7EC}"/>
    <cellStyle name="Comma 11 2 4 11" xfId="15328" xr:uid="{D6A1EA5C-E2F5-4B6F-B577-1B662FD4472D}"/>
    <cellStyle name="Comma 11 2 4 11 2" xfId="45568" xr:uid="{29A592DA-5B0F-404C-932F-1DF4702B1525}"/>
    <cellStyle name="Comma 11 2 4 12" xfId="30448" xr:uid="{13A9CC54-71BB-4AC3-AD10-2984862FE8C6}"/>
    <cellStyle name="Comma 11 2 4 2" xfId="460" xr:uid="{095E8A55-2ADC-4CCD-A99C-3A49484AED33}"/>
    <cellStyle name="Comma 11 2 4 2 10" xfId="30700" xr:uid="{C5F27291-5152-4DC8-8ABC-5A1397BB94FA}"/>
    <cellStyle name="Comma 11 2 4 2 2" xfId="1216" xr:uid="{40E21A67-D734-43DB-BF8F-932B9F4808D4}"/>
    <cellStyle name="Comma 11 2 4 2 2 2" xfId="2728" xr:uid="{6E9F5DFF-1F0C-44F8-8266-879FE80CD3B4}"/>
    <cellStyle name="Comma 11 2 4 2 2 2 2" xfId="11800" xr:uid="{C4237081-41D6-4A0E-B1EE-782A44CC0E62}"/>
    <cellStyle name="Comma 11 2 4 2 2 2 2 2" xfId="26920" xr:uid="{761607D7-FE61-40D0-9CB4-523949BD22FB}"/>
    <cellStyle name="Comma 11 2 4 2 2 2 2 2 2" xfId="57160" xr:uid="{F94C603A-2F89-42C2-BCB8-4C653910ACDB}"/>
    <cellStyle name="Comma 11 2 4 2 2 2 2 3" xfId="42040" xr:uid="{A8E4086B-EF33-422E-A834-2A8149CD4F7C}"/>
    <cellStyle name="Comma 11 2 4 2 2 2 3" xfId="17848" xr:uid="{4AE88E9F-FB72-4A61-BDC0-7ED21F9277C1}"/>
    <cellStyle name="Comma 11 2 4 2 2 2 3 2" xfId="48088" xr:uid="{6147F0BB-6259-4A42-8100-5961D6E2966F}"/>
    <cellStyle name="Comma 11 2 4 2 2 2 4" xfId="32968" xr:uid="{8879C8FD-9B8E-4508-8865-C5ACCF85E685}"/>
    <cellStyle name="Comma 11 2 4 2 2 3" xfId="4240" xr:uid="{DEBFFC9A-60CC-4C60-A934-DDBED1DA5539}"/>
    <cellStyle name="Comma 11 2 4 2 2 3 2" xfId="13312" xr:uid="{8E10B084-A440-4B49-B213-6AB4AD816EED}"/>
    <cellStyle name="Comma 11 2 4 2 2 3 2 2" xfId="28432" xr:uid="{DAD7F298-2A5F-48F9-9849-91A2A6A18965}"/>
    <cellStyle name="Comma 11 2 4 2 2 3 2 2 2" xfId="58672" xr:uid="{0F780869-B02B-4F24-9A6E-71E4C5096CB2}"/>
    <cellStyle name="Comma 11 2 4 2 2 3 2 3" xfId="43552" xr:uid="{94F18322-DA30-470A-8BED-D931D38D08E8}"/>
    <cellStyle name="Comma 11 2 4 2 2 3 3" xfId="19360" xr:uid="{F10B5007-EA0D-4C7B-A9D5-A8E11B0EEA05}"/>
    <cellStyle name="Comma 11 2 4 2 2 3 3 2" xfId="49600" xr:uid="{1944C377-2346-4624-856E-6DDB80722210}"/>
    <cellStyle name="Comma 11 2 4 2 2 3 4" xfId="34480" xr:uid="{96DAA135-A61F-4FA8-A261-2ED220B6F354}"/>
    <cellStyle name="Comma 11 2 4 2 2 4" xfId="5752" xr:uid="{0631A4CE-1063-44FB-81DA-7B4B44FB285D}"/>
    <cellStyle name="Comma 11 2 4 2 2 4 2" xfId="14824" xr:uid="{FF3BE253-A383-4CAF-A271-32F4F32C40C9}"/>
    <cellStyle name="Comma 11 2 4 2 2 4 2 2" xfId="29944" xr:uid="{4A905835-B04C-4C08-9BB1-484DA327A51B}"/>
    <cellStyle name="Comma 11 2 4 2 2 4 2 2 2" xfId="60184" xr:uid="{A7A61F6D-F4D6-44F5-A56C-DF5F75026075}"/>
    <cellStyle name="Comma 11 2 4 2 2 4 2 3" xfId="45064" xr:uid="{D8021BC3-CE35-4A1C-8F62-FBA491BB1BFD}"/>
    <cellStyle name="Comma 11 2 4 2 2 4 3" xfId="20872" xr:uid="{E2476EDE-2291-425A-AD1D-12F1167ABD05}"/>
    <cellStyle name="Comma 11 2 4 2 2 4 3 2" xfId="51112" xr:uid="{8E05B44D-C572-4E32-B17E-837BE3C9D5E7}"/>
    <cellStyle name="Comma 11 2 4 2 2 4 4" xfId="35992" xr:uid="{AC144158-5BEB-4626-AB51-9AD13DB98830}"/>
    <cellStyle name="Comma 11 2 4 2 2 5" xfId="7264" xr:uid="{E1B3D3EB-6DEE-4313-8B31-229B37FC94BD}"/>
    <cellStyle name="Comma 11 2 4 2 2 5 2" xfId="22384" xr:uid="{E9CA8E5D-B521-4FFA-A736-9EF6496D2ACD}"/>
    <cellStyle name="Comma 11 2 4 2 2 5 2 2" xfId="52624" xr:uid="{923BEA42-6693-4347-B7EA-AA2CBAEA1272}"/>
    <cellStyle name="Comma 11 2 4 2 2 5 3" xfId="37504" xr:uid="{32123E75-A9C1-441A-A7B2-6BAD826C8E85}"/>
    <cellStyle name="Comma 11 2 4 2 2 6" xfId="8776" xr:uid="{5175025E-0C6D-4C37-8A4B-BC0159C64DD5}"/>
    <cellStyle name="Comma 11 2 4 2 2 6 2" xfId="23896" xr:uid="{E6530326-D6C8-4B25-BA64-49BF3621D54C}"/>
    <cellStyle name="Comma 11 2 4 2 2 6 2 2" xfId="54136" xr:uid="{770A0D72-89C7-4355-917F-E38621A8958E}"/>
    <cellStyle name="Comma 11 2 4 2 2 6 3" xfId="39016" xr:uid="{C5C63855-76D1-4110-8909-7FF856320631}"/>
    <cellStyle name="Comma 11 2 4 2 2 7" xfId="10288" xr:uid="{BCEF1D5B-CCB8-481C-8C8C-8259284DD2D4}"/>
    <cellStyle name="Comma 11 2 4 2 2 7 2" xfId="25408" xr:uid="{D4F9EF52-88B6-4361-8749-50E50227F328}"/>
    <cellStyle name="Comma 11 2 4 2 2 7 2 2" xfId="55648" xr:uid="{00438C3B-3892-4ACF-81B3-CCD4641FA8AB}"/>
    <cellStyle name="Comma 11 2 4 2 2 7 3" xfId="40528" xr:uid="{6674E000-0325-4234-898D-C9EB36915B38}"/>
    <cellStyle name="Comma 11 2 4 2 2 8" xfId="16336" xr:uid="{7C5DD723-2BD9-43B8-8AE2-DD90C28CB0D9}"/>
    <cellStyle name="Comma 11 2 4 2 2 8 2" xfId="46576" xr:uid="{CA3C436C-B82E-4237-861A-C668A54C053A}"/>
    <cellStyle name="Comma 11 2 4 2 2 9" xfId="31456" xr:uid="{CE56C239-7674-4AA4-A8F6-07B704B80DD7}"/>
    <cellStyle name="Comma 11 2 4 2 3" xfId="1972" xr:uid="{F63D3A57-DA1A-4311-B695-B9F90D09DD38}"/>
    <cellStyle name="Comma 11 2 4 2 3 2" xfId="11044" xr:uid="{FC1F0049-96FC-41D6-B83C-21AD0F6CA42A}"/>
    <cellStyle name="Comma 11 2 4 2 3 2 2" xfId="26164" xr:uid="{7AEA1471-E039-448B-8A79-EFA116470622}"/>
    <cellStyle name="Comma 11 2 4 2 3 2 2 2" xfId="56404" xr:uid="{4092F7F0-0937-46FE-84E7-7ACA266056A9}"/>
    <cellStyle name="Comma 11 2 4 2 3 2 3" xfId="41284" xr:uid="{0E12D0F7-25A8-4ED6-9EAC-E3AD214AAF32}"/>
    <cellStyle name="Comma 11 2 4 2 3 3" xfId="17092" xr:uid="{99D73731-5E0C-49CC-B607-5D2B1C8CE7F6}"/>
    <cellStyle name="Comma 11 2 4 2 3 3 2" xfId="47332" xr:uid="{BEB22121-FB67-4C7D-82B2-0C01AB13EAE3}"/>
    <cellStyle name="Comma 11 2 4 2 3 4" xfId="32212" xr:uid="{8414F656-0FD2-4614-8D43-D066FDC87782}"/>
    <cellStyle name="Comma 11 2 4 2 4" xfId="3484" xr:uid="{7370713D-3517-424C-B85D-940BF8969F33}"/>
    <cellStyle name="Comma 11 2 4 2 4 2" xfId="12556" xr:uid="{00F980AE-03CF-49C7-8489-C8C8B520A0F5}"/>
    <cellStyle name="Comma 11 2 4 2 4 2 2" xfId="27676" xr:uid="{C1760244-0942-479C-A7AD-2854D6E9D9D2}"/>
    <cellStyle name="Comma 11 2 4 2 4 2 2 2" xfId="57916" xr:uid="{C53E23EF-7A2C-49CD-8D8D-82A679BF11A3}"/>
    <cellStyle name="Comma 11 2 4 2 4 2 3" xfId="42796" xr:uid="{00ED8338-6315-42D0-A45C-D636EA7790B0}"/>
    <cellStyle name="Comma 11 2 4 2 4 3" xfId="18604" xr:uid="{C0C915BB-3A83-4FF7-AF9D-D16B0CA2F424}"/>
    <cellStyle name="Comma 11 2 4 2 4 3 2" xfId="48844" xr:uid="{B2EFD265-926F-469F-91EB-ED4D80DD3FBC}"/>
    <cellStyle name="Comma 11 2 4 2 4 4" xfId="33724" xr:uid="{A0AB505C-120E-46A8-B5C0-26B334169165}"/>
    <cellStyle name="Comma 11 2 4 2 5" xfId="4996" xr:uid="{8472B8C2-C847-490A-BA0A-11904AB92FA9}"/>
    <cellStyle name="Comma 11 2 4 2 5 2" xfId="14068" xr:uid="{AF97B719-C6B9-4A7D-BD06-A42A4C634459}"/>
    <cellStyle name="Comma 11 2 4 2 5 2 2" xfId="29188" xr:uid="{7822A326-D42B-4B9E-BE23-F604E6D3E666}"/>
    <cellStyle name="Comma 11 2 4 2 5 2 2 2" xfId="59428" xr:uid="{02F1DC42-C51B-4287-8E87-A6585FDACEDB}"/>
    <cellStyle name="Comma 11 2 4 2 5 2 3" xfId="44308" xr:uid="{C2F54D58-7021-41C2-A515-B784EBD16DB3}"/>
    <cellStyle name="Comma 11 2 4 2 5 3" xfId="20116" xr:uid="{40E481FD-B001-4B35-A6D4-26F6A4C0FC48}"/>
    <cellStyle name="Comma 11 2 4 2 5 3 2" xfId="50356" xr:uid="{2948C4CA-608F-4C90-BC2F-8E2E08354769}"/>
    <cellStyle name="Comma 11 2 4 2 5 4" xfId="35236" xr:uid="{EBB98F41-F8F1-4306-ABF6-7E63CC64CD3D}"/>
    <cellStyle name="Comma 11 2 4 2 6" xfId="6508" xr:uid="{28FD9312-0DEE-48FE-B287-A051EE03E875}"/>
    <cellStyle name="Comma 11 2 4 2 6 2" xfId="21628" xr:uid="{01157519-1427-41A7-AB29-9260221A6E13}"/>
    <cellStyle name="Comma 11 2 4 2 6 2 2" xfId="51868" xr:uid="{77A88E82-A42E-456B-91F4-6F75634D60A1}"/>
    <cellStyle name="Comma 11 2 4 2 6 3" xfId="36748" xr:uid="{25BB0C28-A20A-42C8-A867-68C34A520721}"/>
    <cellStyle name="Comma 11 2 4 2 7" xfId="8020" xr:uid="{770E97DD-8CF4-4B08-84FC-37012A74A0C3}"/>
    <cellStyle name="Comma 11 2 4 2 7 2" xfId="23140" xr:uid="{7B8F1608-2893-4D54-AA5E-6E4F1E8169D0}"/>
    <cellStyle name="Comma 11 2 4 2 7 2 2" xfId="53380" xr:uid="{8B2E8DE6-0F2B-419D-B2D6-7E0E0BC4044F}"/>
    <cellStyle name="Comma 11 2 4 2 7 3" xfId="38260" xr:uid="{42FAF853-FBEB-48DA-9308-A3BED3AFADCC}"/>
    <cellStyle name="Comma 11 2 4 2 8" xfId="9532" xr:uid="{996AF0FE-0D6A-4C29-A447-D61F7EEDE001}"/>
    <cellStyle name="Comma 11 2 4 2 8 2" xfId="24652" xr:uid="{C157F345-0F69-4778-BFDD-A6F1DFFA6FDC}"/>
    <cellStyle name="Comma 11 2 4 2 8 2 2" xfId="54892" xr:uid="{0DFE56FE-057C-47E1-AA0C-6E0C6DF20A00}"/>
    <cellStyle name="Comma 11 2 4 2 8 3" xfId="39772" xr:uid="{4A9A8990-E170-4347-954F-D33BB46E7144}"/>
    <cellStyle name="Comma 11 2 4 2 9" xfId="15580" xr:uid="{98D2652A-0B4A-45B9-88C5-74E0EA16F506}"/>
    <cellStyle name="Comma 11 2 4 2 9 2" xfId="45820" xr:uid="{118F3FCE-6B24-4C6C-A347-64351B59F4FA}"/>
    <cellStyle name="Comma 11 2 4 3" xfId="712" xr:uid="{02FBCA7C-0CAD-48D2-883B-435F8D8A3D75}"/>
    <cellStyle name="Comma 11 2 4 3 10" xfId="30952" xr:uid="{275E70C0-1F1C-4380-86D0-C45B7CC53E33}"/>
    <cellStyle name="Comma 11 2 4 3 2" xfId="1468" xr:uid="{5BEFEAAB-74EA-4720-932A-5491DB192F3D}"/>
    <cellStyle name="Comma 11 2 4 3 2 2" xfId="2980" xr:uid="{72A0D8C8-CEC0-4486-A8C2-96B10E789BDB}"/>
    <cellStyle name="Comma 11 2 4 3 2 2 2" xfId="12052" xr:uid="{2D1FD0A6-8A01-4F2C-B7C7-B469C84C10AC}"/>
    <cellStyle name="Comma 11 2 4 3 2 2 2 2" xfId="27172" xr:uid="{CE49F8DE-D8B1-4F91-8564-BEF58A4BD3DF}"/>
    <cellStyle name="Comma 11 2 4 3 2 2 2 2 2" xfId="57412" xr:uid="{8C0FEB32-9074-49FA-827F-7610319C16E9}"/>
    <cellStyle name="Comma 11 2 4 3 2 2 2 3" xfId="42292" xr:uid="{702ABA09-6EE9-4FE9-9EB7-9F8EA9ECE19F}"/>
    <cellStyle name="Comma 11 2 4 3 2 2 3" xfId="18100" xr:uid="{02E9D549-2C8B-4E5F-B151-A7095E6234D9}"/>
    <cellStyle name="Comma 11 2 4 3 2 2 3 2" xfId="48340" xr:uid="{94B73AAF-D65D-4F96-8615-97505C4766B5}"/>
    <cellStyle name="Comma 11 2 4 3 2 2 4" xfId="33220" xr:uid="{04CAAE2D-3DA6-4DCB-A8DC-4F7DF6BAB38A}"/>
    <cellStyle name="Comma 11 2 4 3 2 3" xfId="4492" xr:uid="{AB81CDC4-6E8C-420F-8BF4-7DE1CFAFC220}"/>
    <cellStyle name="Comma 11 2 4 3 2 3 2" xfId="13564" xr:uid="{25BE0446-A07F-4E2C-86AB-203ADBC11567}"/>
    <cellStyle name="Comma 11 2 4 3 2 3 2 2" xfId="28684" xr:uid="{CE002205-3A0E-4366-BDE9-5AED00308CCB}"/>
    <cellStyle name="Comma 11 2 4 3 2 3 2 2 2" xfId="58924" xr:uid="{8B71AAC6-DDB2-408E-8A90-AB16B0ED4D4E}"/>
    <cellStyle name="Comma 11 2 4 3 2 3 2 3" xfId="43804" xr:uid="{8AC02E76-314C-463D-A724-431A7238FB5F}"/>
    <cellStyle name="Comma 11 2 4 3 2 3 3" xfId="19612" xr:uid="{584A033C-64DC-4E76-B5EA-EB41915F66C3}"/>
    <cellStyle name="Comma 11 2 4 3 2 3 3 2" xfId="49852" xr:uid="{A75B8438-32B3-4FE8-BF81-9C6E459C9ED4}"/>
    <cellStyle name="Comma 11 2 4 3 2 3 4" xfId="34732" xr:uid="{D4AC36DD-89AF-46CF-86F8-472AED184E78}"/>
    <cellStyle name="Comma 11 2 4 3 2 4" xfId="6004" xr:uid="{E98B4934-1316-4C3E-A879-9C0E52EAE0B6}"/>
    <cellStyle name="Comma 11 2 4 3 2 4 2" xfId="15076" xr:uid="{C6101AED-655A-47A2-8BCF-0CEF553343C6}"/>
    <cellStyle name="Comma 11 2 4 3 2 4 2 2" xfId="30196" xr:uid="{D103F1FA-9EBF-4B3D-AD8C-5A3D0D01C772}"/>
    <cellStyle name="Comma 11 2 4 3 2 4 2 2 2" xfId="60436" xr:uid="{1ECEE787-281F-454C-AA4E-8039EC010102}"/>
    <cellStyle name="Comma 11 2 4 3 2 4 2 3" xfId="45316" xr:uid="{6AB635FC-ABB9-4756-AE87-6ED7B0DEAF0E}"/>
    <cellStyle name="Comma 11 2 4 3 2 4 3" xfId="21124" xr:uid="{50546EB2-FE2A-4AFB-B85F-72B467A231C7}"/>
    <cellStyle name="Comma 11 2 4 3 2 4 3 2" xfId="51364" xr:uid="{EC17B7EA-7CD9-4489-85F3-0E06B177E976}"/>
    <cellStyle name="Comma 11 2 4 3 2 4 4" xfId="36244" xr:uid="{528F40EF-D31A-475B-9600-1DF12F4A84E8}"/>
    <cellStyle name="Comma 11 2 4 3 2 5" xfId="7516" xr:uid="{7C41C538-D229-48C5-8813-984AA1E50E6B}"/>
    <cellStyle name="Comma 11 2 4 3 2 5 2" xfId="22636" xr:uid="{92A4C22F-980E-4899-B885-6601A8B8D8D4}"/>
    <cellStyle name="Comma 11 2 4 3 2 5 2 2" xfId="52876" xr:uid="{B567DAAD-0006-4B66-B516-381526619AB6}"/>
    <cellStyle name="Comma 11 2 4 3 2 5 3" xfId="37756" xr:uid="{B5CB2576-5C3C-4B1E-AA55-A9E84C5A6517}"/>
    <cellStyle name="Comma 11 2 4 3 2 6" xfId="9028" xr:uid="{F6DE32AD-3B12-4066-96C8-0CCE3D906312}"/>
    <cellStyle name="Comma 11 2 4 3 2 6 2" xfId="24148" xr:uid="{B60C08D7-FE2A-4851-818E-1026A681D95C}"/>
    <cellStyle name="Comma 11 2 4 3 2 6 2 2" xfId="54388" xr:uid="{16990C5E-451E-4369-BC6D-E0CA29A6766E}"/>
    <cellStyle name="Comma 11 2 4 3 2 6 3" xfId="39268" xr:uid="{2732A8F8-8CAB-4683-8AC5-237787271A4C}"/>
    <cellStyle name="Comma 11 2 4 3 2 7" xfId="10540" xr:uid="{B48388D4-C0E9-4617-AFE4-F028EFD6BA97}"/>
    <cellStyle name="Comma 11 2 4 3 2 7 2" xfId="25660" xr:uid="{4C8264B1-4E8F-4459-9D9D-FFC3898B6A48}"/>
    <cellStyle name="Comma 11 2 4 3 2 7 2 2" xfId="55900" xr:uid="{695347C9-3732-491B-9708-FF72809AA40E}"/>
    <cellStyle name="Comma 11 2 4 3 2 7 3" xfId="40780" xr:uid="{ACC4E276-A95D-490A-B498-45835950468F}"/>
    <cellStyle name="Comma 11 2 4 3 2 8" xfId="16588" xr:uid="{29846DC2-4606-4A55-AE64-5FE1B3064475}"/>
    <cellStyle name="Comma 11 2 4 3 2 8 2" xfId="46828" xr:uid="{D427051C-FB74-4298-B956-AE35E812C8CB}"/>
    <cellStyle name="Comma 11 2 4 3 2 9" xfId="31708" xr:uid="{33831C4B-2602-4254-85C5-0CA204C93765}"/>
    <cellStyle name="Comma 11 2 4 3 3" xfId="2224" xr:uid="{90F2451B-E872-45FB-8C01-89AD54295A26}"/>
    <cellStyle name="Comma 11 2 4 3 3 2" xfId="11296" xr:uid="{FBBC6CA6-E9CF-4F38-8209-1613208CC275}"/>
    <cellStyle name="Comma 11 2 4 3 3 2 2" xfId="26416" xr:uid="{99BDC6D0-E89B-4477-A89A-499F86C57B69}"/>
    <cellStyle name="Comma 11 2 4 3 3 2 2 2" xfId="56656" xr:uid="{A48B6466-5E96-4D17-ACCE-1C48227FA49B}"/>
    <cellStyle name="Comma 11 2 4 3 3 2 3" xfId="41536" xr:uid="{8541EE51-14B8-42AE-B4EF-423D3F6A3A12}"/>
    <cellStyle name="Comma 11 2 4 3 3 3" xfId="17344" xr:uid="{3B197FA0-561F-4862-A444-8090EB25DB4D}"/>
    <cellStyle name="Comma 11 2 4 3 3 3 2" xfId="47584" xr:uid="{88611A4F-65CC-47B0-9B19-BD6B59BEF48E}"/>
    <cellStyle name="Comma 11 2 4 3 3 4" xfId="32464" xr:uid="{A5E73706-7D77-4765-AA21-8DEE3E563057}"/>
    <cellStyle name="Comma 11 2 4 3 4" xfId="3736" xr:uid="{A2DBCCFC-A3DB-46FC-94D6-8BB3573FCA23}"/>
    <cellStyle name="Comma 11 2 4 3 4 2" xfId="12808" xr:uid="{68CE191A-3674-4E9F-BCF0-88D0AC10EDD0}"/>
    <cellStyle name="Comma 11 2 4 3 4 2 2" xfId="27928" xr:uid="{B0404BDD-C673-4279-9627-3FD9E1FAD879}"/>
    <cellStyle name="Comma 11 2 4 3 4 2 2 2" xfId="58168" xr:uid="{B95EB7F0-1419-4AE1-B46D-B323AB9E93D5}"/>
    <cellStyle name="Comma 11 2 4 3 4 2 3" xfId="43048" xr:uid="{DF6522E4-28F6-40C5-8E3E-EEBBDEEE61C7}"/>
    <cellStyle name="Comma 11 2 4 3 4 3" xfId="18856" xr:uid="{A3522DC7-FAB4-4FDF-A708-53EED0E948C8}"/>
    <cellStyle name="Comma 11 2 4 3 4 3 2" xfId="49096" xr:uid="{08A6036A-6AE1-4407-849A-6BF5ACD3D940}"/>
    <cellStyle name="Comma 11 2 4 3 4 4" xfId="33976" xr:uid="{A7CEC565-C2B7-46EE-B561-C4F1DFA617B3}"/>
    <cellStyle name="Comma 11 2 4 3 5" xfId="5248" xr:uid="{7E2C7648-8DB1-4042-89AB-8455301E3891}"/>
    <cellStyle name="Comma 11 2 4 3 5 2" xfId="14320" xr:uid="{7BC5DD05-DAC8-43E4-A5D5-1E3CE32D6EEE}"/>
    <cellStyle name="Comma 11 2 4 3 5 2 2" xfId="29440" xr:uid="{167255D5-83C0-44F7-AFBD-698DB6A18E4C}"/>
    <cellStyle name="Comma 11 2 4 3 5 2 2 2" xfId="59680" xr:uid="{5CE0BC61-F47C-4185-8D8E-7C9F2B7C1F24}"/>
    <cellStyle name="Comma 11 2 4 3 5 2 3" xfId="44560" xr:uid="{B7AFF95F-8DCF-4096-A924-D16ED1B910D3}"/>
    <cellStyle name="Comma 11 2 4 3 5 3" xfId="20368" xr:uid="{926C4025-0001-4568-BC69-83A8C000C20B}"/>
    <cellStyle name="Comma 11 2 4 3 5 3 2" xfId="50608" xr:uid="{AB0EBD5D-1B4F-47EB-8E89-0FBE2A36E5CC}"/>
    <cellStyle name="Comma 11 2 4 3 5 4" xfId="35488" xr:uid="{A37D81BD-EF89-4F89-8EA9-A0DC8B09162D}"/>
    <cellStyle name="Comma 11 2 4 3 6" xfId="6760" xr:uid="{9D26672E-D704-42CA-A08C-5BE5D04FE795}"/>
    <cellStyle name="Comma 11 2 4 3 6 2" xfId="21880" xr:uid="{326C451B-8D43-490D-B445-817A47F1B105}"/>
    <cellStyle name="Comma 11 2 4 3 6 2 2" xfId="52120" xr:uid="{BB2AA27C-5C9F-4808-B920-792ECEC66C18}"/>
    <cellStyle name="Comma 11 2 4 3 6 3" xfId="37000" xr:uid="{6766FDCD-69D0-4B6F-96E4-68E42B66ED12}"/>
    <cellStyle name="Comma 11 2 4 3 7" xfId="8272" xr:uid="{AA0F46DA-1AC8-41DA-91DA-BE778F5BF193}"/>
    <cellStyle name="Comma 11 2 4 3 7 2" xfId="23392" xr:uid="{AC5DB17E-C494-469C-88DB-6E9A5EB4A587}"/>
    <cellStyle name="Comma 11 2 4 3 7 2 2" xfId="53632" xr:uid="{90EEF45C-E286-47BE-9C9E-9E435475F1B2}"/>
    <cellStyle name="Comma 11 2 4 3 7 3" xfId="38512" xr:uid="{9909C333-7B0C-4E5D-AC85-329423E1953C}"/>
    <cellStyle name="Comma 11 2 4 3 8" xfId="9784" xr:uid="{C477E178-45E8-4D6D-B280-29280AC4BF36}"/>
    <cellStyle name="Comma 11 2 4 3 8 2" xfId="24904" xr:uid="{15D7C77D-660D-4C21-B748-E7130A780920}"/>
    <cellStyle name="Comma 11 2 4 3 8 2 2" xfId="55144" xr:uid="{9AA32863-84C3-4CC3-9C3A-2A0C88D5E915}"/>
    <cellStyle name="Comma 11 2 4 3 8 3" xfId="40024" xr:uid="{4F4C3A7F-F638-4767-AF3D-C7208D7DD52A}"/>
    <cellStyle name="Comma 11 2 4 3 9" xfId="15832" xr:uid="{B3D301C5-B465-483B-8A9E-2AE9570AE1BD}"/>
    <cellStyle name="Comma 11 2 4 3 9 2" xfId="46072" xr:uid="{E4C5199B-83FB-47D5-866D-5DF43C767F85}"/>
    <cellStyle name="Comma 11 2 4 4" xfId="964" xr:uid="{24046E28-0758-4797-B724-5A58C0754BC6}"/>
    <cellStyle name="Comma 11 2 4 4 2" xfId="2476" xr:uid="{B890FEE1-FC4B-4BA9-B03F-6DE6F88FC329}"/>
    <cellStyle name="Comma 11 2 4 4 2 2" xfId="11548" xr:uid="{29D411D2-CA4C-4CC0-BF11-15090F08D45B}"/>
    <cellStyle name="Comma 11 2 4 4 2 2 2" xfId="26668" xr:uid="{866B0517-C757-41CF-AF75-B4648399852E}"/>
    <cellStyle name="Comma 11 2 4 4 2 2 2 2" xfId="56908" xr:uid="{20413674-4FA3-49B5-99BB-AC4607BB20FA}"/>
    <cellStyle name="Comma 11 2 4 4 2 2 3" xfId="41788" xr:uid="{BF176EB0-4F1C-43FC-80A3-D3B73CF03F56}"/>
    <cellStyle name="Comma 11 2 4 4 2 3" xfId="17596" xr:uid="{CEE08CE5-9B22-4F95-9F91-4D368773BDAD}"/>
    <cellStyle name="Comma 11 2 4 4 2 3 2" xfId="47836" xr:uid="{93171BA7-5C7C-4C0D-8125-30C90A77831D}"/>
    <cellStyle name="Comma 11 2 4 4 2 4" xfId="32716" xr:uid="{442DA6BC-8E16-433F-805B-613F4404AD68}"/>
    <cellStyle name="Comma 11 2 4 4 3" xfId="3988" xr:uid="{EC3B4DD6-0050-4BE6-A840-E765AB7B7AA3}"/>
    <cellStyle name="Comma 11 2 4 4 3 2" xfId="13060" xr:uid="{10EF267C-DF3C-416A-88E9-932A0A5308F4}"/>
    <cellStyle name="Comma 11 2 4 4 3 2 2" xfId="28180" xr:uid="{DF2C93E8-0516-4559-B35E-20C08758DDE8}"/>
    <cellStyle name="Comma 11 2 4 4 3 2 2 2" xfId="58420" xr:uid="{6E62D56B-30C2-400D-BC32-046D3FF18276}"/>
    <cellStyle name="Comma 11 2 4 4 3 2 3" xfId="43300" xr:uid="{113CDA66-D04A-404C-9317-99422F0C9A38}"/>
    <cellStyle name="Comma 11 2 4 4 3 3" xfId="19108" xr:uid="{8F3ED061-ECC5-4839-AC12-4955A0BC368D}"/>
    <cellStyle name="Comma 11 2 4 4 3 3 2" xfId="49348" xr:uid="{9C443126-3BD1-444D-A4DE-58B2DB456E2D}"/>
    <cellStyle name="Comma 11 2 4 4 3 4" xfId="34228" xr:uid="{F7DB48A6-5EB5-4BEF-8D2A-4D207940A6BC}"/>
    <cellStyle name="Comma 11 2 4 4 4" xfId="5500" xr:uid="{B4C1E2A0-3A15-4FB5-9624-1921C229C6F0}"/>
    <cellStyle name="Comma 11 2 4 4 4 2" xfId="14572" xr:uid="{3444E0E1-0134-45E8-8F46-18E01D6A41D2}"/>
    <cellStyle name="Comma 11 2 4 4 4 2 2" xfId="29692" xr:uid="{6855EC28-E213-4F3E-9CA2-B51EF771CE96}"/>
    <cellStyle name="Comma 11 2 4 4 4 2 2 2" xfId="59932" xr:uid="{DB95716B-C345-4635-82EE-9DCD437B5A50}"/>
    <cellStyle name="Comma 11 2 4 4 4 2 3" xfId="44812" xr:uid="{7B4B970E-39DA-4900-BB4D-D38CF77EFBD2}"/>
    <cellStyle name="Comma 11 2 4 4 4 3" xfId="20620" xr:uid="{1F16BC43-C534-495B-8336-DED3573D95D5}"/>
    <cellStyle name="Comma 11 2 4 4 4 3 2" xfId="50860" xr:uid="{E0BE82AD-C966-43C5-A38A-C113AB1AE2A4}"/>
    <cellStyle name="Comma 11 2 4 4 4 4" xfId="35740" xr:uid="{C94A61C5-AF1D-41F7-ABAB-F8E3D9ED6C08}"/>
    <cellStyle name="Comma 11 2 4 4 5" xfId="7012" xr:uid="{E090F765-6788-4CC2-8E52-66671A2BBE64}"/>
    <cellStyle name="Comma 11 2 4 4 5 2" xfId="22132" xr:uid="{4F791497-FFAC-47D2-BCF9-C6EEFF9A8205}"/>
    <cellStyle name="Comma 11 2 4 4 5 2 2" xfId="52372" xr:uid="{A9F1AD9D-6AE5-4CD2-8E1E-EB6B7BAA7FDB}"/>
    <cellStyle name="Comma 11 2 4 4 5 3" xfId="37252" xr:uid="{E52561CE-6529-41C4-AE72-2A1C8776EAB5}"/>
    <cellStyle name="Comma 11 2 4 4 6" xfId="8524" xr:uid="{B3E2F22E-4F70-4935-81C8-D2188B58F42C}"/>
    <cellStyle name="Comma 11 2 4 4 6 2" xfId="23644" xr:uid="{308B2A94-46EB-4EE7-93C5-1D30AF82D949}"/>
    <cellStyle name="Comma 11 2 4 4 6 2 2" xfId="53884" xr:uid="{5EC36C0D-67BA-4603-B1F6-84A5A0F31C71}"/>
    <cellStyle name="Comma 11 2 4 4 6 3" xfId="38764" xr:uid="{9B27966C-DF23-482D-96FB-E4A68F365234}"/>
    <cellStyle name="Comma 11 2 4 4 7" xfId="10036" xr:uid="{5D64F875-2612-46D0-954A-274F3C0AB2D4}"/>
    <cellStyle name="Comma 11 2 4 4 7 2" xfId="25156" xr:uid="{38210986-CC8B-4358-AD1E-8F8DEB604418}"/>
    <cellStyle name="Comma 11 2 4 4 7 2 2" xfId="55396" xr:uid="{FFB279F0-EE72-4A66-95E6-5A3DBECC795E}"/>
    <cellStyle name="Comma 11 2 4 4 7 3" xfId="40276" xr:uid="{30E0C597-6F66-4F0E-8C20-56683F4742CB}"/>
    <cellStyle name="Comma 11 2 4 4 8" xfId="16084" xr:uid="{17D8582D-92F7-4E99-BAF8-A97FB2E0870A}"/>
    <cellStyle name="Comma 11 2 4 4 8 2" xfId="46324" xr:uid="{7B63A20E-A23E-41A5-8DA4-CCA8515ABB33}"/>
    <cellStyle name="Comma 11 2 4 4 9" xfId="31204" xr:uid="{326F4717-AFC2-40CB-A3F7-3522037EAAEA}"/>
    <cellStyle name="Comma 11 2 4 5" xfId="1720" xr:uid="{DE4EFCAC-BA91-45BB-9800-33BC56082AA4}"/>
    <cellStyle name="Comma 11 2 4 5 2" xfId="10792" xr:uid="{01B66CEE-4BC6-4132-BCBC-8A076DFCCF86}"/>
    <cellStyle name="Comma 11 2 4 5 2 2" xfId="25912" xr:uid="{3CBCC0F5-828F-4947-A801-FB8F529CB8BB}"/>
    <cellStyle name="Comma 11 2 4 5 2 2 2" xfId="56152" xr:uid="{F9A99EFE-CE3F-4468-9C3A-8D137538CA37}"/>
    <cellStyle name="Comma 11 2 4 5 2 3" xfId="41032" xr:uid="{CFDD2912-744E-47AD-9BE2-FF96AE490CD1}"/>
    <cellStyle name="Comma 11 2 4 5 3" xfId="16840" xr:uid="{8A881589-2AA0-470B-88C6-A7F392907074}"/>
    <cellStyle name="Comma 11 2 4 5 3 2" xfId="47080" xr:uid="{6CD1BAB1-1F71-4F9F-988B-4973E5D66E95}"/>
    <cellStyle name="Comma 11 2 4 5 4" xfId="31960" xr:uid="{213EE6BA-EE7C-4D1C-8EB4-D11CFBE2AD65}"/>
    <cellStyle name="Comma 11 2 4 6" xfId="3232" xr:uid="{9701D367-5700-4740-86A5-E51B9640E902}"/>
    <cellStyle name="Comma 11 2 4 6 2" xfId="12304" xr:uid="{B6777FEE-497B-405B-BEBA-89C625EDD8DB}"/>
    <cellStyle name="Comma 11 2 4 6 2 2" xfId="27424" xr:uid="{B15AAAA0-2CB6-41B3-B024-302993E76EC8}"/>
    <cellStyle name="Comma 11 2 4 6 2 2 2" xfId="57664" xr:uid="{973B1612-2ECF-4087-B790-6EA752E315EF}"/>
    <cellStyle name="Comma 11 2 4 6 2 3" xfId="42544" xr:uid="{D7E4A6E8-8918-4B06-ABE3-58D86CE01F6C}"/>
    <cellStyle name="Comma 11 2 4 6 3" xfId="18352" xr:uid="{3661BBE9-471B-4D3B-ABB8-FA418F26914F}"/>
    <cellStyle name="Comma 11 2 4 6 3 2" xfId="48592" xr:uid="{C5320CF4-3B16-492D-BE27-5B1896F20058}"/>
    <cellStyle name="Comma 11 2 4 6 4" xfId="33472" xr:uid="{80A49EA0-8AD6-4473-AAC6-893668F67B8A}"/>
    <cellStyle name="Comma 11 2 4 7" xfId="4744" xr:uid="{1B0108E7-2341-4F8C-A74B-2C385DDB7EC6}"/>
    <cellStyle name="Comma 11 2 4 7 2" xfId="13816" xr:uid="{0669F4B5-9436-4566-A378-10F9992568E6}"/>
    <cellStyle name="Comma 11 2 4 7 2 2" xfId="28936" xr:uid="{0ABBAA96-11A0-4ABF-93DA-428958589D05}"/>
    <cellStyle name="Comma 11 2 4 7 2 2 2" xfId="59176" xr:uid="{8FB32646-5833-463D-85EA-61B4C86775CC}"/>
    <cellStyle name="Comma 11 2 4 7 2 3" xfId="44056" xr:uid="{D8F232B9-8C7C-40F8-85A9-05038FFFF057}"/>
    <cellStyle name="Comma 11 2 4 7 3" xfId="19864" xr:uid="{26F7B664-9DA8-4856-BE10-91B4F5F925FC}"/>
    <cellStyle name="Comma 11 2 4 7 3 2" xfId="50104" xr:uid="{2B226722-4D2D-42B0-B94C-D94EA15347AB}"/>
    <cellStyle name="Comma 11 2 4 7 4" xfId="34984" xr:uid="{8E179329-24DF-46D7-BD73-63FABE575B78}"/>
    <cellStyle name="Comma 11 2 4 8" xfId="6256" xr:uid="{82E32074-894B-4944-894F-75BEBEAE510C}"/>
    <cellStyle name="Comma 11 2 4 8 2" xfId="21376" xr:uid="{8986BEED-8B6B-4B16-AAAE-E12E4FB04D49}"/>
    <cellStyle name="Comma 11 2 4 8 2 2" xfId="51616" xr:uid="{AA083300-4C3B-4A60-9924-734E091F28D5}"/>
    <cellStyle name="Comma 11 2 4 8 3" xfId="36496" xr:uid="{1088FDB8-95B0-4351-AE17-42B9B1A92D1C}"/>
    <cellStyle name="Comma 11 2 4 9" xfId="7768" xr:uid="{A6F0E72E-7670-45EB-87FD-87395E4CCD65}"/>
    <cellStyle name="Comma 11 2 4 9 2" xfId="22888" xr:uid="{599015BD-E655-4A8F-BF31-88086293405F}"/>
    <cellStyle name="Comma 11 2 4 9 2 2" xfId="53128" xr:uid="{B7F410CF-3561-4AE5-8098-D12714A31513}"/>
    <cellStyle name="Comma 11 2 4 9 3" xfId="38008" xr:uid="{C479AC29-6B26-4743-B487-210CDD891881}"/>
    <cellStyle name="Comma 11 2 5" xfId="292" xr:uid="{723D93EA-6132-4D6F-AC2C-FD81EBFE25F7}"/>
    <cellStyle name="Comma 11 2 5 10" xfId="30532" xr:uid="{25BA34AA-5258-44D7-9B9A-705ED0E95FD0}"/>
    <cellStyle name="Comma 11 2 5 2" xfId="1048" xr:uid="{01516273-27F4-4D67-BBC5-469893DEE617}"/>
    <cellStyle name="Comma 11 2 5 2 2" xfId="2560" xr:uid="{17D82E00-5376-47F2-B53C-6423941A5E3B}"/>
    <cellStyle name="Comma 11 2 5 2 2 2" xfId="11632" xr:uid="{4A86F676-3602-41A7-BA1F-5A895CC03932}"/>
    <cellStyle name="Comma 11 2 5 2 2 2 2" xfId="26752" xr:uid="{41854978-7B5E-44A1-AFD4-5AB0EB70394A}"/>
    <cellStyle name="Comma 11 2 5 2 2 2 2 2" xfId="56992" xr:uid="{76EBCDF0-76C6-4E98-BE8A-7C8AE1634143}"/>
    <cellStyle name="Comma 11 2 5 2 2 2 3" xfId="41872" xr:uid="{927C878D-F5E1-416F-9AAD-FAA37FA7677A}"/>
    <cellStyle name="Comma 11 2 5 2 2 3" xfId="17680" xr:uid="{8EA88356-EF4F-4DF8-91EB-F30E3A394F45}"/>
    <cellStyle name="Comma 11 2 5 2 2 3 2" xfId="47920" xr:uid="{E750A419-9B67-49BE-B48D-5F2D16A3A2C0}"/>
    <cellStyle name="Comma 11 2 5 2 2 4" xfId="32800" xr:uid="{9A7EA5F6-7171-4FE5-84DD-27D056A0576E}"/>
    <cellStyle name="Comma 11 2 5 2 3" xfId="4072" xr:uid="{D9FFD80F-3820-4123-91E1-3E4381C2F209}"/>
    <cellStyle name="Comma 11 2 5 2 3 2" xfId="13144" xr:uid="{00661A70-82BB-41FB-85A0-4EF5274824BA}"/>
    <cellStyle name="Comma 11 2 5 2 3 2 2" xfId="28264" xr:uid="{8FA1BC0E-13AD-4CC3-8373-62725CF1A6D9}"/>
    <cellStyle name="Comma 11 2 5 2 3 2 2 2" xfId="58504" xr:uid="{EB925D86-5669-4E0C-9E4B-0BDDC18D9A63}"/>
    <cellStyle name="Comma 11 2 5 2 3 2 3" xfId="43384" xr:uid="{C7579A37-E1E3-4E8A-B351-EDF4F618AD59}"/>
    <cellStyle name="Comma 11 2 5 2 3 3" xfId="19192" xr:uid="{C397F683-5026-4FC2-836E-A99E81F98A99}"/>
    <cellStyle name="Comma 11 2 5 2 3 3 2" xfId="49432" xr:uid="{537DE519-1531-4B4C-B83F-DCBBED249D36}"/>
    <cellStyle name="Comma 11 2 5 2 3 4" xfId="34312" xr:uid="{26D42FED-AC92-40D4-BDF0-03F293B96F05}"/>
    <cellStyle name="Comma 11 2 5 2 4" xfId="5584" xr:uid="{27D882B9-748F-48A3-AA73-DCA63E7B0B44}"/>
    <cellStyle name="Comma 11 2 5 2 4 2" xfId="14656" xr:uid="{6AC7C157-D4CB-4B3A-AF76-B075E67C026E}"/>
    <cellStyle name="Comma 11 2 5 2 4 2 2" xfId="29776" xr:uid="{9119ECE0-FF09-4C70-AB46-A6762CAF0330}"/>
    <cellStyle name="Comma 11 2 5 2 4 2 2 2" xfId="60016" xr:uid="{4EDF5D32-5BED-4352-AC07-4E20BE7701F5}"/>
    <cellStyle name="Comma 11 2 5 2 4 2 3" xfId="44896" xr:uid="{744066AF-456F-412D-AF87-D249EA265DB0}"/>
    <cellStyle name="Comma 11 2 5 2 4 3" xfId="20704" xr:uid="{F5DAB76F-369A-45A9-9F17-3017FDB843D7}"/>
    <cellStyle name="Comma 11 2 5 2 4 3 2" xfId="50944" xr:uid="{F7D5B31A-51B5-4BDE-BC39-F97DDE715A19}"/>
    <cellStyle name="Comma 11 2 5 2 4 4" xfId="35824" xr:uid="{0C43F53E-3FA0-42D7-BC6D-05B35CB02E9C}"/>
    <cellStyle name="Comma 11 2 5 2 5" xfId="7096" xr:uid="{18C80C35-A4A0-4C51-A27F-4CCB816D6E42}"/>
    <cellStyle name="Comma 11 2 5 2 5 2" xfId="22216" xr:uid="{4913C1F0-BE0A-42D3-9796-E6488101DC20}"/>
    <cellStyle name="Comma 11 2 5 2 5 2 2" xfId="52456" xr:uid="{C471D82D-29B6-4D8C-BA89-4F6E13FC2BFD}"/>
    <cellStyle name="Comma 11 2 5 2 5 3" xfId="37336" xr:uid="{D1A451A8-B289-4404-B963-872121C24251}"/>
    <cellStyle name="Comma 11 2 5 2 6" xfId="8608" xr:uid="{87A052D9-CF03-41EB-815D-45C54EDD36B5}"/>
    <cellStyle name="Comma 11 2 5 2 6 2" xfId="23728" xr:uid="{692EE40F-2C52-41AE-BD3F-C0418CB1E12B}"/>
    <cellStyle name="Comma 11 2 5 2 6 2 2" xfId="53968" xr:uid="{82F731DC-5311-406B-B26A-A059EC23D3E5}"/>
    <cellStyle name="Comma 11 2 5 2 6 3" xfId="38848" xr:uid="{36665F51-D939-44F2-9430-BE4EAB12DCF8}"/>
    <cellStyle name="Comma 11 2 5 2 7" xfId="10120" xr:uid="{2AF10819-AE96-447B-869B-79D0A5EC30DF}"/>
    <cellStyle name="Comma 11 2 5 2 7 2" xfId="25240" xr:uid="{C9C7BFD5-1BC2-47F8-B424-63776810F1B4}"/>
    <cellStyle name="Comma 11 2 5 2 7 2 2" xfId="55480" xr:uid="{FF70E49F-4F31-4C9F-8939-1EB54E28C0B6}"/>
    <cellStyle name="Comma 11 2 5 2 7 3" xfId="40360" xr:uid="{8FDF599A-9BB4-447D-B912-E6A1F30D91B6}"/>
    <cellStyle name="Comma 11 2 5 2 8" xfId="16168" xr:uid="{947D6C51-1423-4275-A112-1B51EF5A433B}"/>
    <cellStyle name="Comma 11 2 5 2 8 2" xfId="46408" xr:uid="{208B8220-CAD9-4AFD-B1BC-D3DA141F632C}"/>
    <cellStyle name="Comma 11 2 5 2 9" xfId="31288" xr:uid="{9E97DAA8-850D-4154-9784-CB0527BDC06F}"/>
    <cellStyle name="Comma 11 2 5 3" xfId="1804" xr:uid="{B633AD67-FE28-44B9-BF69-E8911A207E19}"/>
    <cellStyle name="Comma 11 2 5 3 2" xfId="10876" xr:uid="{18D3C398-56DE-4572-9731-A35206610315}"/>
    <cellStyle name="Comma 11 2 5 3 2 2" xfId="25996" xr:uid="{7940484B-92FF-42E8-8988-9616747AAFB6}"/>
    <cellStyle name="Comma 11 2 5 3 2 2 2" xfId="56236" xr:uid="{FB9E56B9-44DB-41AA-9760-A3CFF09D645A}"/>
    <cellStyle name="Comma 11 2 5 3 2 3" xfId="41116" xr:uid="{F3289A05-7F35-4EC6-B628-51CEA5D8AD8D}"/>
    <cellStyle name="Comma 11 2 5 3 3" xfId="16924" xr:uid="{17C4A6E8-B059-4DA5-8800-C8A18E842B97}"/>
    <cellStyle name="Comma 11 2 5 3 3 2" xfId="47164" xr:uid="{F917FE85-FAEF-4F6E-9C5C-21FBEADBB81F}"/>
    <cellStyle name="Comma 11 2 5 3 4" xfId="32044" xr:uid="{08B87254-2DC0-415C-B9AC-A6043C19F353}"/>
    <cellStyle name="Comma 11 2 5 4" xfId="3316" xr:uid="{A422BD05-DEFC-42DB-BB62-AB26EE7E5111}"/>
    <cellStyle name="Comma 11 2 5 4 2" xfId="12388" xr:uid="{DA756F48-5164-49B9-AEFB-EBE6D4917717}"/>
    <cellStyle name="Comma 11 2 5 4 2 2" xfId="27508" xr:uid="{DE5C6789-11BB-4C13-A5B1-A29C851196CA}"/>
    <cellStyle name="Comma 11 2 5 4 2 2 2" xfId="57748" xr:uid="{6FE4E22E-260F-4BE7-B9B3-8F15B0F76E1E}"/>
    <cellStyle name="Comma 11 2 5 4 2 3" xfId="42628" xr:uid="{6AE631E4-91C5-4D26-91AC-A8ECF1DA23AF}"/>
    <cellStyle name="Comma 11 2 5 4 3" xfId="18436" xr:uid="{E9F7D0EC-C641-4D57-8B55-5D853CB5B4A3}"/>
    <cellStyle name="Comma 11 2 5 4 3 2" xfId="48676" xr:uid="{CCB7C66B-854C-4933-B8EB-4B3E9F8FDDB4}"/>
    <cellStyle name="Comma 11 2 5 4 4" xfId="33556" xr:uid="{BB0B7844-77FF-4441-8DB7-6ADCE6C911E2}"/>
    <cellStyle name="Comma 11 2 5 5" xfId="4828" xr:uid="{F1621DC1-FD66-4A72-BE3B-004EFBB6201A}"/>
    <cellStyle name="Comma 11 2 5 5 2" xfId="13900" xr:uid="{DA78A34F-73D8-4EBE-9B24-CD58EE13E2B5}"/>
    <cellStyle name="Comma 11 2 5 5 2 2" xfId="29020" xr:uid="{6015746F-AFE8-497F-8648-619020CA0ED0}"/>
    <cellStyle name="Comma 11 2 5 5 2 2 2" xfId="59260" xr:uid="{B5AF78FB-8849-4292-8715-1ECB74AD9C24}"/>
    <cellStyle name="Comma 11 2 5 5 2 3" xfId="44140" xr:uid="{06E8FAA8-57A9-4A16-A2E3-113142E3850E}"/>
    <cellStyle name="Comma 11 2 5 5 3" xfId="19948" xr:uid="{ED83895A-4593-4A2C-A19C-0DCE833231FE}"/>
    <cellStyle name="Comma 11 2 5 5 3 2" xfId="50188" xr:uid="{C84863C0-FDEF-46C3-B504-3E75C3A35541}"/>
    <cellStyle name="Comma 11 2 5 5 4" xfId="35068" xr:uid="{9205A3D9-70C9-49A0-BD61-DD2E2F3998FD}"/>
    <cellStyle name="Comma 11 2 5 6" xfId="6340" xr:uid="{85F51D74-80AD-4DFE-AEE3-CC37E7CD0C9C}"/>
    <cellStyle name="Comma 11 2 5 6 2" xfId="21460" xr:uid="{3777555E-07C1-4BF1-8A58-8A86C657B735}"/>
    <cellStyle name="Comma 11 2 5 6 2 2" xfId="51700" xr:uid="{F1F900B1-5254-4877-9C80-C916DBEA4EBE}"/>
    <cellStyle name="Comma 11 2 5 6 3" xfId="36580" xr:uid="{D8B90CEF-BA3D-443D-9728-A62F5F303387}"/>
    <cellStyle name="Comma 11 2 5 7" xfId="7852" xr:uid="{C154C1D2-D41A-47E5-AA41-B80A149FF463}"/>
    <cellStyle name="Comma 11 2 5 7 2" xfId="22972" xr:uid="{90A20C46-61AC-4B1E-B74B-7992DA56E06E}"/>
    <cellStyle name="Comma 11 2 5 7 2 2" xfId="53212" xr:uid="{AB006610-32FA-4FF1-ADDA-8A0C6386EBD4}"/>
    <cellStyle name="Comma 11 2 5 7 3" xfId="38092" xr:uid="{60EDE70E-1DFE-43BE-AEA3-E7542AF38FF6}"/>
    <cellStyle name="Comma 11 2 5 8" xfId="9364" xr:uid="{AAE95789-EAAF-40DD-AD0D-70E3884B41EA}"/>
    <cellStyle name="Comma 11 2 5 8 2" xfId="24484" xr:uid="{BDDE7924-AAA9-4792-B492-097D3FD95CA6}"/>
    <cellStyle name="Comma 11 2 5 8 2 2" xfId="54724" xr:uid="{62798E45-E97E-42A5-8A48-98FD9297B7BB}"/>
    <cellStyle name="Comma 11 2 5 8 3" xfId="39604" xr:uid="{9864DA17-02EF-47CE-BAAB-F1EBF295416F}"/>
    <cellStyle name="Comma 11 2 5 9" xfId="15412" xr:uid="{84CDADE8-F644-4706-9865-469936B6C1D5}"/>
    <cellStyle name="Comma 11 2 5 9 2" xfId="45652" xr:uid="{46102E2D-CC5F-4904-B83E-BD2F4F12B696}"/>
    <cellStyle name="Comma 11 2 6" xfId="544" xr:uid="{6498CC2D-57B5-4C6E-AEF5-0DD228791A2F}"/>
    <cellStyle name="Comma 11 2 6 10" xfId="30784" xr:uid="{9EB31BA6-E0F4-4C4E-893C-935DCB5BCE8B}"/>
    <cellStyle name="Comma 11 2 6 2" xfId="1300" xr:uid="{3023AD1D-B883-4CBD-9A00-B8BFC9867418}"/>
    <cellStyle name="Comma 11 2 6 2 2" xfId="2812" xr:uid="{FD3510FF-130B-4D1D-98B4-CB88DD812E22}"/>
    <cellStyle name="Comma 11 2 6 2 2 2" xfId="11884" xr:uid="{82D3BB96-3F6D-42F4-ADB5-82CDBD265DB1}"/>
    <cellStyle name="Comma 11 2 6 2 2 2 2" xfId="27004" xr:uid="{B5F02EBD-4ADF-4429-8F22-093443E78F46}"/>
    <cellStyle name="Comma 11 2 6 2 2 2 2 2" xfId="57244" xr:uid="{9A9BC065-45D1-4919-8BBD-235FFE673A5D}"/>
    <cellStyle name="Comma 11 2 6 2 2 2 3" xfId="42124" xr:uid="{95C1D805-2BFB-40E8-875F-6AFB03B16E22}"/>
    <cellStyle name="Comma 11 2 6 2 2 3" xfId="17932" xr:uid="{B56AE5E9-2B8A-4E27-9814-7A06FAD8C15C}"/>
    <cellStyle name="Comma 11 2 6 2 2 3 2" xfId="48172" xr:uid="{37ADEE54-D340-4ABA-BA5D-3723782BE908}"/>
    <cellStyle name="Comma 11 2 6 2 2 4" xfId="33052" xr:uid="{A116F824-F07D-4BAA-AC7C-7E2FEC71894F}"/>
    <cellStyle name="Comma 11 2 6 2 3" xfId="4324" xr:uid="{ADFA2970-AC0C-4DF8-A55A-70703E254EAB}"/>
    <cellStyle name="Comma 11 2 6 2 3 2" xfId="13396" xr:uid="{606235CD-9416-4E92-8291-61CE9E7D247C}"/>
    <cellStyle name="Comma 11 2 6 2 3 2 2" xfId="28516" xr:uid="{0DFC90FA-5DD9-433C-B9A3-02C489146747}"/>
    <cellStyle name="Comma 11 2 6 2 3 2 2 2" xfId="58756" xr:uid="{578BF995-3332-456E-8723-1D9A4F56BB7E}"/>
    <cellStyle name="Comma 11 2 6 2 3 2 3" xfId="43636" xr:uid="{6915EF92-092C-410C-9A84-B75EB161901F}"/>
    <cellStyle name="Comma 11 2 6 2 3 3" xfId="19444" xr:uid="{C1BA58CB-5F37-4C59-BB94-4EE06681217F}"/>
    <cellStyle name="Comma 11 2 6 2 3 3 2" xfId="49684" xr:uid="{F36CFFB7-E475-4C40-A37E-333812A6477E}"/>
    <cellStyle name="Comma 11 2 6 2 3 4" xfId="34564" xr:uid="{A21C58CF-A4B7-4610-8907-6452495698FD}"/>
    <cellStyle name="Comma 11 2 6 2 4" xfId="5836" xr:uid="{188FAF74-0BB7-40A4-9B5C-2A241377ACAE}"/>
    <cellStyle name="Comma 11 2 6 2 4 2" xfId="14908" xr:uid="{F2BB1653-8F6A-47D3-84CC-1DAADAFACE5F}"/>
    <cellStyle name="Comma 11 2 6 2 4 2 2" xfId="30028" xr:uid="{DEAAAF23-3FEF-43AE-937E-D22A8079AB1B}"/>
    <cellStyle name="Comma 11 2 6 2 4 2 2 2" xfId="60268" xr:uid="{2C073088-1C38-4104-A7FC-0814E085AD7B}"/>
    <cellStyle name="Comma 11 2 6 2 4 2 3" xfId="45148" xr:uid="{757D366E-24BA-413B-B982-3A2A854C2C49}"/>
    <cellStyle name="Comma 11 2 6 2 4 3" xfId="20956" xr:uid="{8DE47E81-9FDC-41A8-8A15-405B393B757F}"/>
    <cellStyle name="Comma 11 2 6 2 4 3 2" xfId="51196" xr:uid="{1B6EFD3D-5ED6-412B-81AE-F4B3242EB1C3}"/>
    <cellStyle name="Comma 11 2 6 2 4 4" xfId="36076" xr:uid="{E1FBCE2B-B669-4E0A-8E72-92220B96FED8}"/>
    <cellStyle name="Comma 11 2 6 2 5" xfId="7348" xr:uid="{EB211CFA-09C3-4E5B-9FBC-6FE67B7E9C12}"/>
    <cellStyle name="Comma 11 2 6 2 5 2" xfId="22468" xr:uid="{8C1F2F44-B482-4E13-A807-96C5FD09AAEE}"/>
    <cellStyle name="Comma 11 2 6 2 5 2 2" xfId="52708" xr:uid="{759ED7AD-8089-439E-AE70-0C520DF7696E}"/>
    <cellStyle name="Comma 11 2 6 2 5 3" xfId="37588" xr:uid="{449A6BD9-D63C-48F8-9313-A24DE7C0F4AE}"/>
    <cellStyle name="Comma 11 2 6 2 6" xfId="8860" xr:uid="{1197E03E-DC41-457B-A182-9B68267A1529}"/>
    <cellStyle name="Comma 11 2 6 2 6 2" xfId="23980" xr:uid="{9429B558-6FA3-486D-A6FF-1C07F86295AA}"/>
    <cellStyle name="Comma 11 2 6 2 6 2 2" xfId="54220" xr:uid="{5BB8EEE9-2A9B-4199-B124-E8D2F544B422}"/>
    <cellStyle name="Comma 11 2 6 2 6 3" xfId="39100" xr:uid="{4347EFF9-6B4D-4E9F-8217-121B1CFAAD5E}"/>
    <cellStyle name="Comma 11 2 6 2 7" xfId="10372" xr:uid="{A3BC3DB7-7073-4798-A373-14D8FE288FFE}"/>
    <cellStyle name="Comma 11 2 6 2 7 2" xfId="25492" xr:uid="{B4CAD655-B0F3-4F8B-8F4B-143FF3AB8808}"/>
    <cellStyle name="Comma 11 2 6 2 7 2 2" xfId="55732" xr:uid="{4451C6AC-ABBF-435C-B67B-29EAF18692B4}"/>
    <cellStyle name="Comma 11 2 6 2 7 3" xfId="40612" xr:uid="{275E06B4-6DC3-449A-9118-2D4230EFCEAE}"/>
    <cellStyle name="Comma 11 2 6 2 8" xfId="16420" xr:uid="{AB63D180-2C03-44FF-80A9-3C7932342C6C}"/>
    <cellStyle name="Comma 11 2 6 2 8 2" xfId="46660" xr:uid="{2946EF00-385C-45BD-A6E6-64B9BB544466}"/>
    <cellStyle name="Comma 11 2 6 2 9" xfId="31540" xr:uid="{91614FAB-076E-4CDC-9556-A15D1FA0B162}"/>
    <cellStyle name="Comma 11 2 6 3" xfId="2056" xr:uid="{DA935AF2-0357-46AB-B204-73FA82A4A42F}"/>
    <cellStyle name="Comma 11 2 6 3 2" xfId="11128" xr:uid="{C89F30DF-6057-4C7F-A64A-156B4B6A269D}"/>
    <cellStyle name="Comma 11 2 6 3 2 2" xfId="26248" xr:uid="{F89A9C56-CD30-463B-9143-3F088AE05FD3}"/>
    <cellStyle name="Comma 11 2 6 3 2 2 2" xfId="56488" xr:uid="{025DB10D-398E-4DA7-B4B4-A6CA688DB1AC}"/>
    <cellStyle name="Comma 11 2 6 3 2 3" xfId="41368" xr:uid="{25AEF327-BFA3-4A28-B17A-B89FBAE0077D}"/>
    <cellStyle name="Comma 11 2 6 3 3" xfId="17176" xr:uid="{F5CAF53C-D9E7-4ABF-8638-60335D633CAB}"/>
    <cellStyle name="Comma 11 2 6 3 3 2" xfId="47416" xr:uid="{D6E8AFB2-3FD7-44DC-9AF8-5790045BF3A8}"/>
    <cellStyle name="Comma 11 2 6 3 4" xfId="32296" xr:uid="{C519EFB0-0D7D-4416-8346-E9AC20F7F0E3}"/>
    <cellStyle name="Comma 11 2 6 4" xfId="3568" xr:uid="{7B59387E-4000-4B8C-99EB-21AA8C1FF25F}"/>
    <cellStyle name="Comma 11 2 6 4 2" xfId="12640" xr:uid="{668308C1-53E0-4833-9A9A-5EC3D7B688B1}"/>
    <cellStyle name="Comma 11 2 6 4 2 2" xfId="27760" xr:uid="{370B40DB-178D-4939-9765-857A9D5E43F7}"/>
    <cellStyle name="Comma 11 2 6 4 2 2 2" xfId="58000" xr:uid="{8F8573A2-DFCE-4EFE-86DA-1344CEB0E6C2}"/>
    <cellStyle name="Comma 11 2 6 4 2 3" xfId="42880" xr:uid="{ABA29111-30B8-420E-9BC3-62DAECF6D21C}"/>
    <cellStyle name="Comma 11 2 6 4 3" xfId="18688" xr:uid="{9245E780-E80B-4D49-ACBC-40C05B9BAFCA}"/>
    <cellStyle name="Comma 11 2 6 4 3 2" xfId="48928" xr:uid="{4811D177-2A94-475F-9EB5-9236AF494B1F}"/>
    <cellStyle name="Comma 11 2 6 4 4" xfId="33808" xr:uid="{B0AEE670-09DA-45C7-B9A3-4C3F0EB16AA1}"/>
    <cellStyle name="Comma 11 2 6 5" xfId="5080" xr:uid="{D0C709A5-6052-4DFE-9373-2C5D789DE7C2}"/>
    <cellStyle name="Comma 11 2 6 5 2" xfId="14152" xr:uid="{DF270CB1-7C12-44AD-8252-F8A26BFEB8B8}"/>
    <cellStyle name="Comma 11 2 6 5 2 2" xfId="29272" xr:uid="{40BD64F2-5BDD-4BD5-8CEE-78FACA687B02}"/>
    <cellStyle name="Comma 11 2 6 5 2 2 2" xfId="59512" xr:uid="{E3BE8F4D-B37C-4F3B-B899-4762299D0D10}"/>
    <cellStyle name="Comma 11 2 6 5 2 3" xfId="44392" xr:uid="{BAD52A52-5098-4E2A-933E-D86551982853}"/>
    <cellStyle name="Comma 11 2 6 5 3" xfId="20200" xr:uid="{87049920-ED14-43DF-8D9D-A09368DAF36C}"/>
    <cellStyle name="Comma 11 2 6 5 3 2" xfId="50440" xr:uid="{837FB7E8-63B4-4B9C-8503-2FA1522C7F19}"/>
    <cellStyle name="Comma 11 2 6 5 4" xfId="35320" xr:uid="{A57FCC0B-8AF1-4A9E-842A-0471A1722FF3}"/>
    <cellStyle name="Comma 11 2 6 6" xfId="6592" xr:uid="{F422E824-3AFC-4B3B-B4CD-D2660652D2C6}"/>
    <cellStyle name="Comma 11 2 6 6 2" xfId="21712" xr:uid="{7C99DC11-DDE5-411E-8366-B1838DF3CB70}"/>
    <cellStyle name="Comma 11 2 6 6 2 2" xfId="51952" xr:uid="{4FAF0A73-E10F-4FC3-9B2C-7AD52B953D64}"/>
    <cellStyle name="Comma 11 2 6 6 3" xfId="36832" xr:uid="{57D4CAC0-6AC3-4FB0-A65C-1CF3AFCD4E5B}"/>
    <cellStyle name="Comma 11 2 6 7" xfId="8104" xr:uid="{B4D2FD84-87CA-4372-A352-FC58D20492F6}"/>
    <cellStyle name="Comma 11 2 6 7 2" xfId="23224" xr:uid="{9B95F72B-B159-4E1E-B965-0BDD759EAF25}"/>
    <cellStyle name="Comma 11 2 6 7 2 2" xfId="53464" xr:uid="{2C3C2111-B82D-4481-AB58-A47C1E660898}"/>
    <cellStyle name="Comma 11 2 6 7 3" xfId="38344" xr:uid="{70E66EC4-ECCB-46B8-83AA-B296E6CAFFF4}"/>
    <cellStyle name="Comma 11 2 6 8" xfId="9616" xr:uid="{42E3D16F-0C1D-46B9-99B2-A136FBF61682}"/>
    <cellStyle name="Comma 11 2 6 8 2" xfId="24736" xr:uid="{4BE8C29C-3B97-43CC-8B8E-030887479B32}"/>
    <cellStyle name="Comma 11 2 6 8 2 2" xfId="54976" xr:uid="{0EB64A1F-D9DD-4E0C-A1D6-C51D47FE2263}"/>
    <cellStyle name="Comma 11 2 6 8 3" xfId="39856" xr:uid="{B7DCC07A-559C-4C68-8420-5A96B50DEBDA}"/>
    <cellStyle name="Comma 11 2 6 9" xfId="15664" xr:uid="{9C7A395B-BF7A-473E-870C-B3D99220154D}"/>
    <cellStyle name="Comma 11 2 6 9 2" xfId="45904" xr:uid="{574F7BB1-8386-48D7-9669-F55C13FB4049}"/>
    <cellStyle name="Comma 11 2 7" xfId="796" xr:uid="{E36E6504-B06C-44C7-AE84-9DB4F2C364C6}"/>
    <cellStyle name="Comma 11 2 7 2" xfId="2308" xr:uid="{DFC374EB-4E33-4C29-A159-60E35ED05E39}"/>
    <cellStyle name="Comma 11 2 7 2 2" xfId="11380" xr:uid="{380B3077-DEA5-44AF-BF9B-DB1FB7616584}"/>
    <cellStyle name="Comma 11 2 7 2 2 2" xfId="26500" xr:uid="{1DB2A009-4F09-45E6-8E6B-FE26CF556CD3}"/>
    <cellStyle name="Comma 11 2 7 2 2 2 2" xfId="56740" xr:uid="{106E7873-9094-45A7-A68D-6C7FA97C569E}"/>
    <cellStyle name="Comma 11 2 7 2 2 3" xfId="41620" xr:uid="{EC759DC2-9066-4249-B971-2DA2A859EE91}"/>
    <cellStyle name="Comma 11 2 7 2 3" xfId="17428" xr:uid="{9F64624B-4DDD-4E21-82CB-E3E8B6DC93AF}"/>
    <cellStyle name="Comma 11 2 7 2 3 2" xfId="47668" xr:uid="{5811A723-6801-4751-8613-395B64294B8E}"/>
    <cellStyle name="Comma 11 2 7 2 4" xfId="32548" xr:uid="{4D637E27-AF83-4B30-A763-E27B7AEBADB9}"/>
    <cellStyle name="Comma 11 2 7 3" xfId="3820" xr:uid="{08354197-6263-41C5-BEB1-A9A48E62DBC4}"/>
    <cellStyle name="Comma 11 2 7 3 2" xfId="12892" xr:uid="{12275F3E-94EF-45F1-A101-0ED420169A73}"/>
    <cellStyle name="Comma 11 2 7 3 2 2" xfId="28012" xr:uid="{CFBBC1FA-95F2-48A2-BDA8-AD43C8879965}"/>
    <cellStyle name="Comma 11 2 7 3 2 2 2" xfId="58252" xr:uid="{1FC0D1AC-A125-47CF-885B-7BCD439460B7}"/>
    <cellStyle name="Comma 11 2 7 3 2 3" xfId="43132" xr:uid="{D81BFCED-000B-4D40-8917-C5AC4838449F}"/>
    <cellStyle name="Comma 11 2 7 3 3" xfId="18940" xr:uid="{2CEFFC8F-0E5B-40EB-BC93-047823B51E90}"/>
    <cellStyle name="Comma 11 2 7 3 3 2" xfId="49180" xr:uid="{FBE30C1A-9261-411B-9E9B-84D2E596AC7A}"/>
    <cellStyle name="Comma 11 2 7 3 4" xfId="34060" xr:uid="{073A847F-CF79-45A2-95BD-80CBDA4C1669}"/>
    <cellStyle name="Comma 11 2 7 4" xfId="5332" xr:uid="{05AFDC25-DA63-463E-B555-61EAD71C2681}"/>
    <cellStyle name="Comma 11 2 7 4 2" xfId="14404" xr:uid="{BF4B0E73-35A1-450A-AEB1-9342D591C800}"/>
    <cellStyle name="Comma 11 2 7 4 2 2" xfId="29524" xr:uid="{0E31572E-7732-472D-B99F-02FB9870981F}"/>
    <cellStyle name="Comma 11 2 7 4 2 2 2" xfId="59764" xr:uid="{3F35D001-CBFD-446C-9510-C62541BB5392}"/>
    <cellStyle name="Comma 11 2 7 4 2 3" xfId="44644" xr:uid="{1D2D112B-D333-4B9D-8FD3-9AA32C91C902}"/>
    <cellStyle name="Comma 11 2 7 4 3" xfId="20452" xr:uid="{A6417788-2CC2-4B33-88D4-CD19EF4D881D}"/>
    <cellStyle name="Comma 11 2 7 4 3 2" xfId="50692" xr:uid="{B0E90FF0-CC23-41B7-827D-5E1A0DA1A5AA}"/>
    <cellStyle name="Comma 11 2 7 4 4" xfId="35572" xr:uid="{0326EFEF-B487-49A3-AE1D-FA06AAB1DB30}"/>
    <cellStyle name="Comma 11 2 7 5" xfId="6844" xr:uid="{4D03B496-172B-436E-B083-B89BB2B88F40}"/>
    <cellStyle name="Comma 11 2 7 5 2" xfId="21964" xr:uid="{B5171A9C-F758-4A9A-B750-C18E02B51F34}"/>
    <cellStyle name="Comma 11 2 7 5 2 2" xfId="52204" xr:uid="{DB3A8E55-ACC0-49E1-9475-DDA62A86C324}"/>
    <cellStyle name="Comma 11 2 7 5 3" xfId="37084" xr:uid="{DD8F7A56-3003-4AF9-82C8-8DAEEEB7DDBC}"/>
    <cellStyle name="Comma 11 2 7 6" xfId="8356" xr:uid="{934407CA-3597-46D8-BDDE-0B4F11EDBEAD}"/>
    <cellStyle name="Comma 11 2 7 6 2" xfId="23476" xr:uid="{65A92E06-7169-4E5E-93EF-EFCD5A5531E1}"/>
    <cellStyle name="Comma 11 2 7 6 2 2" xfId="53716" xr:uid="{F059853C-3F81-48DC-928D-93C69E6131D1}"/>
    <cellStyle name="Comma 11 2 7 6 3" xfId="38596" xr:uid="{E8A3585B-ED47-4962-805D-14CBF03F8FDC}"/>
    <cellStyle name="Comma 11 2 7 7" xfId="9868" xr:uid="{ACBB4441-AD24-4392-9B22-E1DB764EE9E6}"/>
    <cellStyle name="Comma 11 2 7 7 2" xfId="24988" xr:uid="{49592D21-60C5-40AF-9399-76AD58E75387}"/>
    <cellStyle name="Comma 11 2 7 7 2 2" xfId="55228" xr:uid="{C67B481C-A041-448B-809F-81A7FB0097B0}"/>
    <cellStyle name="Comma 11 2 7 7 3" xfId="40108" xr:uid="{62372D7F-AEF5-42E1-A47C-C1A7E085878D}"/>
    <cellStyle name="Comma 11 2 7 8" xfId="15916" xr:uid="{0F1A74B7-FB0A-4D01-9994-71A54C3EF805}"/>
    <cellStyle name="Comma 11 2 7 8 2" xfId="46156" xr:uid="{ECB915CD-6DAE-4341-B48C-3A15E8F180B2}"/>
    <cellStyle name="Comma 11 2 7 9" xfId="31036" xr:uid="{CF02B4FA-9041-4DC4-A5E4-B44FC87508CA}"/>
    <cellStyle name="Comma 11 2 8" xfId="1552" xr:uid="{1343E405-F865-43D3-8273-E55A1017D702}"/>
    <cellStyle name="Comma 11 2 8 2" xfId="10624" xr:uid="{CD4068DD-0503-411E-8D9E-357DAD2D8F43}"/>
    <cellStyle name="Comma 11 2 8 2 2" xfId="25744" xr:uid="{C3CC41DC-EC41-4064-BD78-B6578FD9BC4C}"/>
    <cellStyle name="Comma 11 2 8 2 2 2" xfId="55984" xr:uid="{13323D41-A92E-4579-A745-97AEB0196142}"/>
    <cellStyle name="Comma 11 2 8 2 3" xfId="40864" xr:uid="{52124BC1-C1DA-4F7B-9961-A1C445BBC2A5}"/>
    <cellStyle name="Comma 11 2 8 3" xfId="16672" xr:uid="{0DD36790-0667-4C34-A7E0-717F0D920E3C}"/>
    <cellStyle name="Comma 11 2 8 3 2" xfId="46912" xr:uid="{E61BA071-7A3E-4F90-B420-C6BDE1627262}"/>
    <cellStyle name="Comma 11 2 8 4" xfId="31792" xr:uid="{8ECFED88-7A7E-44CD-BE6E-0C272BA17EC3}"/>
    <cellStyle name="Comma 11 2 9" xfId="3064" xr:uid="{BD411A19-D6D5-4888-A451-BDD0CE697245}"/>
    <cellStyle name="Comma 11 2 9 2" xfId="12136" xr:uid="{417F6C94-5CB2-4F7A-8B33-3EE16E35A40D}"/>
    <cellStyle name="Comma 11 2 9 2 2" xfId="27256" xr:uid="{19C3605D-F9F1-4413-8772-D7660313832A}"/>
    <cellStyle name="Comma 11 2 9 2 2 2" xfId="57496" xr:uid="{3E0E3332-D12C-4214-AC25-2FF46F45CF9E}"/>
    <cellStyle name="Comma 11 2 9 2 3" xfId="42376" xr:uid="{4CBD9CC3-30EF-45BA-9F7E-0D65DB9819E6}"/>
    <cellStyle name="Comma 11 2 9 3" xfId="18184" xr:uid="{B033D7EE-15CE-4A04-8F2A-77ABFF8BF16F}"/>
    <cellStyle name="Comma 11 2 9 3 2" xfId="48424" xr:uid="{257E74ED-86A2-41B1-9E19-F74FB80792A1}"/>
    <cellStyle name="Comma 11 2 9 4" xfId="33304" xr:uid="{9B597C5B-EB53-43E0-8887-478727591663}"/>
    <cellStyle name="Comma 11 3" xfId="54" xr:uid="{414A9EE7-232B-4FBF-82C2-FDC6DCC5E6DE}"/>
    <cellStyle name="Comma 11 3 10" xfId="4590" xr:uid="{1B548B85-8474-44C0-8E35-6B26A54DA21E}"/>
    <cellStyle name="Comma 11 3 10 2" xfId="13662" xr:uid="{17F5ADBC-C760-4BA3-A819-20781375DE84}"/>
    <cellStyle name="Comma 11 3 10 2 2" xfId="28782" xr:uid="{B4F3A9E4-0E72-4116-9321-11E56C44F964}"/>
    <cellStyle name="Comma 11 3 10 2 2 2" xfId="59022" xr:uid="{57488768-8F56-4B03-8CD6-36DD0267C0CA}"/>
    <cellStyle name="Comma 11 3 10 2 3" xfId="43902" xr:uid="{0CCC8F81-95DE-4A17-B795-168CB3DE4E14}"/>
    <cellStyle name="Comma 11 3 10 3" xfId="19710" xr:uid="{7AB2BAEF-4A82-4BD3-8151-AA47E924B6C7}"/>
    <cellStyle name="Comma 11 3 10 3 2" xfId="49950" xr:uid="{4C69ED93-8310-42F4-98CD-5060EEC7709D}"/>
    <cellStyle name="Comma 11 3 10 4" xfId="34830" xr:uid="{4B3C0973-F8C9-476A-86C5-41FE2B4F854F}"/>
    <cellStyle name="Comma 11 3 11" xfId="6102" xr:uid="{F4FC528B-B2F9-45DC-BD23-2101F3009D8E}"/>
    <cellStyle name="Comma 11 3 11 2" xfId="21222" xr:uid="{D0EE7605-477A-4739-A5E6-6595D34AB451}"/>
    <cellStyle name="Comma 11 3 11 2 2" xfId="51462" xr:uid="{78E418FA-A144-4FB2-AB86-3297009702DD}"/>
    <cellStyle name="Comma 11 3 11 3" xfId="36342" xr:uid="{60E33581-A526-47AE-8F27-7F48D35D38BB}"/>
    <cellStyle name="Comma 11 3 12" xfId="7614" xr:uid="{CD8B367C-B2AE-4422-AA3E-BF7BB0940D8B}"/>
    <cellStyle name="Comma 11 3 12 2" xfId="22734" xr:uid="{5BC0BD8F-685B-4E6F-B04A-013F21F24570}"/>
    <cellStyle name="Comma 11 3 12 2 2" xfId="52974" xr:uid="{536B5FE7-3B0E-4BB3-A3D7-BCDC528A4667}"/>
    <cellStyle name="Comma 11 3 12 3" xfId="37854" xr:uid="{EE967212-E251-4D0E-A08C-F7656CCA7AD2}"/>
    <cellStyle name="Comma 11 3 13" xfId="9126" xr:uid="{FF49FD3C-1AEE-49DE-92A2-894A28B8B6A5}"/>
    <cellStyle name="Comma 11 3 13 2" xfId="24246" xr:uid="{0E42EF90-7E7B-4055-847B-85E0B8B12744}"/>
    <cellStyle name="Comma 11 3 13 2 2" xfId="54486" xr:uid="{CED2668A-90D1-4043-A306-9F473E9F4271}"/>
    <cellStyle name="Comma 11 3 13 3" xfId="39366" xr:uid="{CABE5407-83B3-4452-B868-74B483666D5E}"/>
    <cellStyle name="Comma 11 3 14" xfId="15174" xr:uid="{00ECA281-AFDD-47FD-B983-69118923B980}"/>
    <cellStyle name="Comma 11 3 14 2" xfId="45414" xr:uid="{7BD0CC12-ED07-4A14-8343-EF1517B295B5}"/>
    <cellStyle name="Comma 11 3 15" xfId="30294" xr:uid="{C87E7DC6-55E0-4677-8971-8DBA205A3E87}"/>
    <cellStyle name="Comma 11 3 2" xfId="96" xr:uid="{B40D5C71-FEB9-4ED3-8795-DA2FB8244FDE}"/>
    <cellStyle name="Comma 11 3 2 10" xfId="6144" xr:uid="{759B8CFA-F87A-4B40-BD65-8BE37E01E6EF}"/>
    <cellStyle name="Comma 11 3 2 10 2" xfId="21264" xr:uid="{4D36912C-905A-4C31-AF76-76D9D420A4ED}"/>
    <cellStyle name="Comma 11 3 2 10 2 2" xfId="51504" xr:uid="{CB9BFB7F-DAC0-4B48-9A19-2C583A845B54}"/>
    <cellStyle name="Comma 11 3 2 10 3" xfId="36384" xr:uid="{DCDDAA3B-B4A2-447A-AD50-498AD5DF1DAF}"/>
    <cellStyle name="Comma 11 3 2 11" xfId="7656" xr:uid="{55CD8567-3743-44D0-8068-2F2841A927F8}"/>
    <cellStyle name="Comma 11 3 2 11 2" xfId="22776" xr:uid="{43992113-692E-4031-90FF-16A817ECFBAA}"/>
    <cellStyle name="Comma 11 3 2 11 2 2" xfId="53016" xr:uid="{E49534DB-8BD1-41CD-872D-6A259C8A3838}"/>
    <cellStyle name="Comma 11 3 2 11 3" xfId="37896" xr:uid="{0A72CA89-4309-4CE4-910A-C2BA53BAE803}"/>
    <cellStyle name="Comma 11 3 2 12" xfId="9168" xr:uid="{5EC4D70C-F860-481E-A9F4-946559658FF1}"/>
    <cellStyle name="Comma 11 3 2 12 2" xfId="24288" xr:uid="{346F9E71-772C-4A99-9DC8-9D96D006DCD0}"/>
    <cellStyle name="Comma 11 3 2 12 2 2" xfId="54528" xr:uid="{FE86AE5F-1D35-4878-94E3-10E8846885E2}"/>
    <cellStyle name="Comma 11 3 2 12 3" xfId="39408" xr:uid="{F7DE3EDE-DC16-4029-A3F8-3E55F559874E}"/>
    <cellStyle name="Comma 11 3 2 13" xfId="15216" xr:uid="{CC0FC09B-34B6-46EE-A6AB-23575BD8D4ED}"/>
    <cellStyle name="Comma 11 3 2 13 2" xfId="45456" xr:uid="{380E0575-F7AB-4421-B292-CA6298822A4A}"/>
    <cellStyle name="Comma 11 3 2 14" xfId="30336" xr:uid="{286988F7-6D2C-4814-9BB9-8C75D755B249}"/>
    <cellStyle name="Comma 11 3 2 2" xfId="180" xr:uid="{FD733625-B909-4534-BE28-347B6928F557}"/>
    <cellStyle name="Comma 11 3 2 2 10" xfId="9252" xr:uid="{04547668-1EA1-41BD-997B-CCDB549AA034}"/>
    <cellStyle name="Comma 11 3 2 2 10 2" xfId="24372" xr:uid="{FCFCE096-E723-44B0-97F9-11F53EA772E6}"/>
    <cellStyle name="Comma 11 3 2 2 10 2 2" xfId="54612" xr:uid="{EFC544A1-C2E3-4723-8662-B4A5A16DC039}"/>
    <cellStyle name="Comma 11 3 2 2 10 3" xfId="39492" xr:uid="{A978BF18-D25E-4AD6-AC71-9712145D0A03}"/>
    <cellStyle name="Comma 11 3 2 2 11" xfId="15300" xr:uid="{60749A16-9B63-410A-BE18-A1409409FBEE}"/>
    <cellStyle name="Comma 11 3 2 2 11 2" xfId="45540" xr:uid="{1A759167-9E25-4EA0-869C-B77A3B36CF10}"/>
    <cellStyle name="Comma 11 3 2 2 12" xfId="30420" xr:uid="{2225982D-79EB-4D94-B2FD-DFCD864A8AF8}"/>
    <cellStyle name="Comma 11 3 2 2 2" xfId="432" xr:uid="{E1347242-39D6-46AC-8F3A-99A1A77E3B7C}"/>
    <cellStyle name="Comma 11 3 2 2 2 10" xfId="30672" xr:uid="{92896BE7-2EFD-4E55-B93C-F756BD9FCF3C}"/>
    <cellStyle name="Comma 11 3 2 2 2 2" xfId="1188" xr:uid="{B7C16E9F-D82C-4337-BB3D-8601445269D1}"/>
    <cellStyle name="Comma 11 3 2 2 2 2 2" xfId="2700" xr:uid="{8FE1C43D-BDC1-4C6B-BC68-9966E9C9F93F}"/>
    <cellStyle name="Comma 11 3 2 2 2 2 2 2" xfId="11772" xr:uid="{4D1BB4B1-EFDD-4F35-891C-956EE2D668F3}"/>
    <cellStyle name="Comma 11 3 2 2 2 2 2 2 2" xfId="26892" xr:uid="{2F04E4A8-4D7C-42ED-8764-0FF5A517C40E}"/>
    <cellStyle name="Comma 11 3 2 2 2 2 2 2 2 2" xfId="57132" xr:uid="{A04B951A-F59E-4151-A832-9516E8153FDF}"/>
    <cellStyle name="Comma 11 3 2 2 2 2 2 2 3" xfId="42012" xr:uid="{3511F367-226D-466B-9F8F-926C484811B0}"/>
    <cellStyle name="Comma 11 3 2 2 2 2 2 3" xfId="17820" xr:uid="{830210BD-8A60-471E-B0A1-A4989FC5BA30}"/>
    <cellStyle name="Comma 11 3 2 2 2 2 2 3 2" xfId="48060" xr:uid="{8FD15F89-858A-4D3A-9102-11AC220CF2D6}"/>
    <cellStyle name="Comma 11 3 2 2 2 2 2 4" xfId="32940" xr:uid="{5A124C19-B3B0-4314-A425-3CAD6B66CB5E}"/>
    <cellStyle name="Comma 11 3 2 2 2 2 3" xfId="4212" xr:uid="{8971D0D5-71D2-4567-A4E9-01EC722B2032}"/>
    <cellStyle name="Comma 11 3 2 2 2 2 3 2" xfId="13284" xr:uid="{CDD7DFA1-85C1-4A1D-965C-DC0537A88108}"/>
    <cellStyle name="Comma 11 3 2 2 2 2 3 2 2" xfId="28404" xr:uid="{D446B661-75C3-4DA7-A3E4-AC19C45D8859}"/>
    <cellStyle name="Comma 11 3 2 2 2 2 3 2 2 2" xfId="58644" xr:uid="{19128C1C-2D9E-4EE8-9729-3E12B9879CA4}"/>
    <cellStyle name="Comma 11 3 2 2 2 2 3 2 3" xfId="43524" xr:uid="{B9B8A49A-3A7B-473A-A3EA-30502D782094}"/>
    <cellStyle name="Comma 11 3 2 2 2 2 3 3" xfId="19332" xr:uid="{3F135CB4-D840-4248-92EB-1DC3D25D306B}"/>
    <cellStyle name="Comma 11 3 2 2 2 2 3 3 2" xfId="49572" xr:uid="{BFBC2468-2A1A-4CD7-87DA-DABFBB1DC26A}"/>
    <cellStyle name="Comma 11 3 2 2 2 2 3 4" xfId="34452" xr:uid="{6C55D10D-6173-4FF7-9E6F-A05F51AFDBD0}"/>
    <cellStyle name="Comma 11 3 2 2 2 2 4" xfId="5724" xr:uid="{3E497F3A-FF9C-4D38-AABA-E703AC4A11CF}"/>
    <cellStyle name="Comma 11 3 2 2 2 2 4 2" xfId="14796" xr:uid="{195F7D7A-8EF7-4B23-9DDC-6FE729733BFF}"/>
    <cellStyle name="Comma 11 3 2 2 2 2 4 2 2" xfId="29916" xr:uid="{333FEB9B-D7F1-49E7-A2B6-30ADA7CF7CBC}"/>
    <cellStyle name="Comma 11 3 2 2 2 2 4 2 2 2" xfId="60156" xr:uid="{3FCE7939-FC3E-487C-AFC2-2360AF5D9A2F}"/>
    <cellStyle name="Comma 11 3 2 2 2 2 4 2 3" xfId="45036" xr:uid="{E7D21900-5C69-4572-9525-1960B1FB80E8}"/>
    <cellStyle name="Comma 11 3 2 2 2 2 4 3" xfId="20844" xr:uid="{C677316D-47E5-475C-9B19-EA6E2CA41E86}"/>
    <cellStyle name="Comma 11 3 2 2 2 2 4 3 2" xfId="51084" xr:uid="{3F2F482B-1B21-4ABD-A904-B96870201083}"/>
    <cellStyle name="Comma 11 3 2 2 2 2 4 4" xfId="35964" xr:uid="{166B43D3-8BAF-428F-B024-DC5EDB32D5E1}"/>
    <cellStyle name="Comma 11 3 2 2 2 2 5" xfId="7236" xr:uid="{EB426012-06CF-4FC8-8D29-C67DB4F6A0E8}"/>
    <cellStyle name="Comma 11 3 2 2 2 2 5 2" xfId="22356" xr:uid="{976FBE63-649D-400A-AFF6-EBBFBB940681}"/>
    <cellStyle name="Comma 11 3 2 2 2 2 5 2 2" xfId="52596" xr:uid="{0BE286A0-1792-4FAE-A8D0-AAEB0A781537}"/>
    <cellStyle name="Comma 11 3 2 2 2 2 5 3" xfId="37476" xr:uid="{D83BEF09-73BF-4145-ABC5-DCDB4E9E4E3D}"/>
    <cellStyle name="Comma 11 3 2 2 2 2 6" xfId="8748" xr:uid="{BABFAE26-A441-4D51-92E2-2425DCB0F2E9}"/>
    <cellStyle name="Comma 11 3 2 2 2 2 6 2" xfId="23868" xr:uid="{AF979E64-3444-416E-9C99-24A753EEDC85}"/>
    <cellStyle name="Comma 11 3 2 2 2 2 6 2 2" xfId="54108" xr:uid="{71CE7F29-02D2-47EA-8538-12A4BA8F8062}"/>
    <cellStyle name="Comma 11 3 2 2 2 2 6 3" xfId="38988" xr:uid="{FDC90D33-6D4D-44A7-B3AB-831EC7BDD5C2}"/>
    <cellStyle name="Comma 11 3 2 2 2 2 7" xfId="10260" xr:uid="{5A8BAAE6-0DDD-409F-956C-D7B304488762}"/>
    <cellStyle name="Comma 11 3 2 2 2 2 7 2" xfId="25380" xr:uid="{40571957-5B09-4593-A188-26A6FB1BE2ED}"/>
    <cellStyle name="Comma 11 3 2 2 2 2 7 2 2" xfId="55620" xr:uid="{A0527554-7730-4AD6-BC46-1A0226050CE9}"/>
    <cellStyle name="Comma 11 3 2 2 2 2 7 3" xfId="40500" xr:uid="{6293BC88-B6A7-4C11-9AAE-8CF96A4571FC}"/>
    <cellStyle name="Comma 11 3 2 2 2 2 8" xfId="16308" xr:uid="{05C1EC61-CD6B-402C-822F-9F35E995D93B}"/>
    <cellStyle name="Comma 11 3 2 2 2 2 8 2" xfId="46548" xr:uid="{E582BE52-39DB-49FC-BB37-E0178C5EFAF5}"/>
    <cellStyle name="Comma 11 3 2 2 2 2 9" xfId="31428" xr:uid="{2EA49EF5-7D6C-42CD-AA67-33CB41F4F53A}"/>
    <cellStyle name="Comma 11 3 2 2 2 3" xfId="1944" xr:uid="{06BAA719-4BF5-491E-92AE-F1B09D0DCAF2}"/>
    <cellStyle name="Comma 11 3 2 2 2 3 2" xfId="11016" xr:uid="{656650D2-4718-479F-86D8-646CAE50C7D7}"/>
    <cellStyle name="Comma 11 3 2 2 2 3 2 2" xfId="26136" xr:uid="{1C1A5AB3-9B95-4BB5-B27A-C0D7711E4351}"/>
    <cellStyle name="Comma 11 3 2 2 2 3 2 2 2" xfId="56376" xr:uid="{0F48480B-8358-41DD-9114-110105EE79D4}"/>
    <cellStyle name="Comma 11 3 2 2 2 3 2 3" xfId="41256" xr:uid="{516D52B5-81E4-4E4C-8160-B7D59CA1FFF4}"/>
    <cellStyle name="Comma 11 3 2 2 2 3 3" xfId="17064" xr:uid="{F759D884-8FF1-4F02-BB0D-ABBFE828409B}"/>
    <cellStyle name="Comma 11 3 2 2 2 3 3 2" xfId="47304" xr:uid="{AC76DBF0-EDAC-4CAE-9A91-69A2B56B9645}"/>
    <cellStyle name="Comma 11 3 2 2 2 3 4" xfId="32184" xr:uid="{EE45EBE6-858A-47F5-BC44-F7D9551B6E31}"/>
    <cellStyle name="Comma 11 3 2 2 2 4" xfId="3456" xr:uid="{23898D76-F9A0-4B03-9F92-6BFF2F2EBC4D}"/>
    <cellStyle name="Comma 11 3 2 2 2 4 2" xfId="12528" xr:uid="{A9CA6C3B-0873-4106-9352-6A2A8F9B5223}"/>
    <cellStyle name="Comma 11 3 2 2 2 4 2 2" xfId="27648" xr:uid="{338560BF-4FC4-441D-B12B-3AE331A9C071}"/>
    <cellStyle name="Comma 11 3 2 2 2 4 2 2 2" xfId="57888" xr:uid="{0865DD7F-63C1-46AB-BA9D-DAECB4EBAF5D}"/>
    <cellStyle name="Comma 11 3 2 2 2 4 2 3" xfId="42768" xr:uid="{8A8CA5A6-F089-4FCB-9914-DBDC8CC6E1BD}"/>
    <cellStyle name="Comma 11 3 2 2 2 4 3" xfId="18576" xr:uid="{80301438-95B4-4AB2-8B2E-CAA32478055C}"/>
    <cellStyle name="Comma 11 3 2 2 2 4 3 2" xfId="48816" xr:uid="{EB7FA6F7-DA97-4399-815E-72400EFB4613}"/>
    <cellStyle name="Comma 11 3 2 2 2 4 4" xfId="33696" xr:uid="{44751689-3CF9-4E9F-ACEE-AD2F1E5BC3B7}"/>
    <cellStyle name="Comma 11 3 2 2 2 5" xfId="4968" xr:uid="{6740F966-B882-4583-B7E9-52398B9438FF}"/>
    <cellStyle name="Comma 11 3 2 2 2 5 2" xfId="14040" xr:uid="{E960E962-27D7-4357-9867-373455FC479B}"/>
    <cellStyle name="Comma 11 3 2 2 2 5 2 2" xfId="29160" xr:uid="{A22D1349-3F12-4A5C-A43D-E7535301A8AA}"/>
    <cellStyle name="Comma 11 3 2 2 2 5 2 2 2" xfId="59400" xr:uid="{A016F53B-3705-4713-B650-7107A12D9170}"/>
    <cellStyle name="Comma 11 3 2 2 2 5 2 3" xfId="44280" xr:uid="{68ACCC5A-5B20-4924-B2F8-48A273F03A9F}"/>
    <cellStyle name="Comma 11 3 2 2 2 5 3" xfId="20088" xr:uid="{23EB8599-9783-452C-8352-CAD91B95C7B5}"/>
    <cellStyle name="Comma 11 3 2 2 2 5 3 2" xfId="50328" xr:uid="{4F955942-6CC1-4677-9F19-F823AFCC53A8}"/>
    <cellStyle name="Comma 11 3 2 2 2 5 4" xfId="35208" xr:uid="{9CC90A79-E3F6-4998-BEFE-ED85345DECC3}"/>
    <cellStyle name="Comma 11 3 2 2 2 6" xfId="6480" xr:uid="{C1DB231F-5934-411C-82B0-79375266D190}"/>
    <cellStyle name="Comma 11 3 2 2 2 6 2" xfId="21600" xr:uid="{DA2FA548-D46C-41BE-8120-6D62BF053348}"/>
    <cellStyle name="Comma 11 3 2 2 2 6 2 2" xfId="51840" xr:uid="{7F2A60FB-4563-432A-B2AA-889F915B4858}"/>
    <cellStyle name="Comma 11 3 2 2 2 6 3" xfId="36720" xr:uid="{B1489E88-26CC-4B78-AF79-D11F315F846A}"/>
    <cellStyle name="Comma 11 3 2 2 2 7" xfId="7992" xr:uid="{9A84F9EE-0868-4045-9B92-1959A7CCCBB0}"/>
    <cellStyle name="Comma 11 3 2 2 2 7 2" xfId="23112" xr:uid="{7995DE53-2C41-4405-B197-A058D3C47743}"/>
    <cellStyle name="Comma 11 3 2 2 2 7 2 2" xfId="53352" xr:uid="{4F128ADA-6CA9-418E-A89D-AD5D6A68A725}"/>
    <cellStyle name="Comma 11 3 2 2 2 7 3" xfId="38232" xr:uid="{E386ED28-1A68-497C-9031-59F8774929FB}"/>
    <cellStyle name="Comma 11 3 2 2 2 8" xfId="9504" xr:uid="{FC25DC0B-800F-455D-8FE1-40EE4A579A89}"/>
    <cellStyle name="Comma 11 3 2 2 2 8 2" xfId="24624" xr:uid="{326887DB-ADEF-40F4-B49D-20853FA6FEDA}"/>
    <cellStyle name="Comma 11 3 2 2 2 8 2 2" xfId="54864" xr:uid="{406E95EA-F226-4573-9EEA-F3B62518768B}"/>
    <cellStyle name="Comma 11 3 2 2 2 8 3" xfId="39744" xr:uid="{4C0E3568-253F-4133-865E-36F3D5D33410}"/>
    <cellStyle name="Comma 11 3 2 2 2 9" xfId="15552" xr:uid="{EF9E3C79-06A4-4C00-BB53-3007B7C4CA95}"/>
    <cellStyle name="Comma 11 3 2 2 2 9 2" xfId="45792" xr:uid="{3CE86E5B-912E-4764-A8C2-D7CF7D05C571}"/>
    <cellStyle name="Comma 11 3 2 2 3" xfId="684" xr:uid="{B5AC2629-D0F1-4B4D-8F81-AD1F03458F32}"/>
    <cellStyle name="Comma 11 3 2 2 3 10" xfId="30924" xr:uid="{AC30FF43-BEA7-49DB-BB7A-DDC73C560F56}"/>
    <cellStyle name="Comma 11 3 2 2 3 2" xfId="1440" xr:uid="{A1720EEB-5F27-40C3-96C2-23FF22EAEEA8}"/>
    <cellStyle name="Comma 11 3 2 2 3 2 2" xfId="2952" xr:uid="{1FC35550-CD56-4A14-BB95-D0BDB93F116E}"/>
    <cellStyle name="Comma 11 3 2 2 3 2 2 2" xfId="12024" xr:uid="{47375866-5652-4324-8980-587FF86F6FDA}"/>
    <cellStyle name="Comma 11 3 2 2 3 2 2 2 2" xfId="27144" xr:uid="{AAA919CF-C110-4752-BBE4-51B3373C37EA}"/>
    <cellStyle name="Comma 11 3 2 2 3 2 2 2 2 2" xfId="57384" xr:uid="{ACBA8DEA-D88C-4708-963C-B4511AA538DE}"/>
    <cellStyle name="Comma 11 3 2 2 3 2 2 2 3" xfId="42264" xr:uid="{4B3DBD3B-A9CC-4F94-BF51-A2675AE94D54}"/>
    <cellStyle name="Comma 11 3 2 2 3 2 2 3" xfId="18072" xr:uid="{49156D7D-3DD2-4110-A879-EB9F6194B934}"/>
    <cellStyle name="Comma 11 3 2 2 3 2 2 3 2" xfId="48312" xr:uid="{AA00D136-42CF-4797-9E48-56F6895BD1CE}"/>
    <cellStyle name="Comma 11 3 2 2 3 2 2 4" xfId="33192" xr:uid="{95182C9A-6BD9-4E4D-9510-A36A94669A8C}"/>
    <cellStyle name="Comma 11 3 2 2 3 2 3" xfId="4464" xr:uid="{68E1D4F1-EA4A-412C-97DE-7D0FB63EA00E}"/>
    <cellStyle name="Comma 11 3 2 2 3 2 3 2" xfId="13536" xr:uid="{8B42F4A7-950E-4C46-B96C-149B59CF723B}"/>
    <cellStyle name="Comma 11 3 2 2 3 2 3 2 2" xfId="28656" xr:uid="{DF7EEB7E-4D8E-4EE9-9311-A3C804CB6533}"/>
    <cellStyle name="Comma 11 3 2 2 3 2 3 2 2 2" xfId="58896" xr:uid="{CA42948B-C4C1-4383-AEA6-7458F28F292C}"/>
    <cellStyle name="Comma 11 3 2 2 3 2 3 2 3" xfId="43776" xr:uid="{FD4AC920-F66B-4991-A951-B79FFBE0AA2A}"/>
    <cellStyle name="Comma 11 3 2 2 3 2 3 3" xfId="19584" xr:uid="{BC2AB627-0A2E-4A64-88E6-95D21117829C}"/>
    <cellStyle name="Comma 11 3 2 2 3 2 3 3 2" xfId="49824" xr:uid="{06ED4E76-912B-4B1D-95BA-099CD30822C4}"/>
    <cellStyle name="Comma 11 3 2 2 3 2 3 4" xfId="34704" xr:uid="{4D6D50C6-6AA3-4A91-AC0B-1ADC3A46E659}"/>
    <cellStyle name="Comma 11 3 2 2 3 2 4" xfId="5976" xr:uid="{BDCFC746-725B-4C55-8C9E-56E7087EB500}"/>
    <cellStyle name="Comma 11 3 2 2 3 2 4 2" xfId="15048" xr:uid="{2C1CD806-3E43-4C9B-896E-AAD8C11EEFB5}"/>
    <cellStyle name="Comma 11 3 2 2 3 2 4 2 2" xfId="30168" xr:uid="{9F9308A0-ABFF-466E-89DD-F771DD5C221E}"/>
    <cellStyle name="Comma 11 3 2 2 3 2 4 2 2 2" xfId="60408" xr:uid="{8612FD30-EE6D-4A50-ADCA-47D74498BDBA}"/>
    <cellStyle name="Comma 11 3 2 2 3 2 4 2 3" xfId="45288" xr:uid="{7F895577-A9A4-4174-875C-69D27A0072E9}"/>
    <cellStyle name="Comma 11 3 2 2 3 2 4 3" xfId="21096" xr:uid="{EFAB494A-1D53-41D4-A8A0-6D076B2331D7}"/>
    <cellStyle name="Comma 11 3 2 2 3 2 4 3 2" xfId="51336" xr:uid="{D0742CE8-5F6A-473B-85B7-2E927D99A182}"/>
    <cellStyle name="Comma 11 3 2 2 3 2 4 4" xfId="36216" xr:uid="{FCB98C08-BFDC-423B-89B6-AD530E5F5913}"/>
    <cellStyle name="Comma 11 3 2 2 3 2 5" xfId="7488" xr:uid="{B7A60B59-2240-4738-B46F-7B03F19F6BBB}"/>
    <cellStyle name="Comma 11 3 2 2 3 2 5 2" xfId="22608" xr:uid="{41A75E77-33BC-456A-BC21-D64630E428BF}"/>
    <cellStyle name="Comma 11 3 2 2 3 2 5 2 2" xfId="52848" xr:uid="{AA2708F2-5C6A-447B-8D33-0030C77251AF}"/>
    <cellStyle name="Comma 11 3 2 2 3 2 5 3" xfId="37728" xr:uid="{C49CAC83-AEBA-4ECB-9244-5CF413C4C4C1}"/>
    <cellStyle name="Comma 11 3 2 2 3 2 6" xfId="9000" xr:uid="{03F21B54-45E3-44E8-BC53-99C825861532}"/>
    <cellStyle name="Comma 11 3 2 2 3 2 6 2" xfId="24120" xr:uid="{739D9BAE-5433-4C63-BA20-6D2D1E4CEA85}"/>
    <cellStyle name="Comma 11 3 2 2 3 2 6 2 2" xfId="54360" xr:uid="{FD43FD1D-A770-4D3F-8415-AB9E8008057B}"/>
    <cellStyle name="Comma 11 3 2 2 3 2 6 3" xfId="39240" xr:uid="{C3671CA2-3507-4EC5-9CC8-06D287462231}"/>
    <cellStyle name="Comma 11 3 2 2 3 2 7" xfId="10512" xr:uid="{27828E00-F93A-49BB-B049-E3E7E7ADB0A6}"/>
    <cellStyle name="Comma 11 3 2 2 3 2 7 2" xfId="25632" xr:uid="{0034705C-864C-458A-85D9-0E769E7C8D4F}"/>
    <cellStyle name="Comma 11 3 2 2 3 2 7 2 2" xfId="55872" xr:uid="{293AFA5A-47A1-4D94-B832-AB41EAE7E5C9}"/>
    <cellStyle name="Comma 11 3 2 2 3 2 7 3" xfId="40752" xr:uid="{9915BE65-9E09-49EF-BF41-39CE9950EE55}"/>
    <cellStyle name="Comma 11 3 2 2 3 2 8" xfId="16560" xr:uid="{90594174-81B6-4A83-A12A-EA40BAE8E5CE}"/>
    <cellStyle name="Comma 11 3 2 2 3 2 8 2" xfId="46800" xr:uid="{622CD4A9-C1E4-4B06-BA25-F4BFBED8ED4D}"/>
    <cellStyle name="Comma 11 3 2 2 3 2 9" xfId="31680" xr:uid="{6B35F6BA-7912-4715-B70F-7923394352C9}"/>
    <cellStyle name="Comma 11 3 2 2 3 3" xfId="2196" xr:uid="{3EA883D4-08A4-497D-A035-566E464EE002}"/>
    <cellStyle name="Comma 11 3 2 2 3 3 2" xfId="11268" xr:uid="{67B1E7B6-E30D-4A5C-9360-DA7E2F8A9A45}"/>
    <cellStyle name="Comma 11 3 2 2 3 3 2 2" xfId="26388" xr:uid="{4D6B3577-F985-4CDD-B7F4-C9DEA3E29815}"/>
    <cellStyle name="Comma 11 3 2 2 3 3 2 2 2" xfId="56628" xr:uid="{72E2B1CB-6434-4933-8EC4-3938311AE516}"/>
    <cellStyle name="Comma 11 3 2 2 3 3 2 3" xfId="41508" xr:uid="{322BC964-4EC0-4331-B653-587DEE66A1A0}"/>
    <cellStyle name="Comma 11 3 2 2 3 3 3" xfId="17316" xr:uid="{B2DA2533-1A13-4A9D-A167-125B8DBD9E52}"/>
    <cellStyle name="Comma 11 3 2 2 3 3 3 2" xfId="47556" xr:uid="{8E71C32B-4F25-4E24-94F6-FA2773922947}"/>
    <cellStyle name="Comma 11 3 2 2 3 3 4" xfId="32436" xr:uid="{184E9991-28EC-4F41-A7A2-CD672BFEF81B}"/>
    <cellStyle name="Comma 11 3 2 2 3 4" xfId="3708" xr:uid="{5F0862D0-55F2-4881-840D-6C1F3F384D77}"/>
    <cellStyle name="Comma 11 3 2 2 3 4 2" xfId="12780" xr:uid="{714C6509-47FE-4EAA-ADC6-DDD68042C325}"/>
    <cellStyle name="Comma 11 3 2 2 3 4 2 2" xfId="27900" xr:uid="{E9796963-0EA4-474F-B672-1068D6C6323E}"/>
    <cellStyle name="Comma 11 3 2 2 3 4 2 2 2" xfId="58140" xr:uid="{E7DD2E0D-8241-4BD0-BB65-19FD0A668A4D}"/>
    <cellStyle name="Comma 11 3 2 2 3 4 2 3" xfId="43020" xr:uid="{C1A5BE72-A870-47EF-B0F8-09E3A557B3AC}"/>
    <cellStyle name="Comma 11 3 2 2 3 4 3" xfId="18828" xr:uid="{BA68C311-6984-4205-A2D5-BE1FE30AC12F}"/>
    <cellStyle name="Comma 11 3 2 2 3 4 3 2" xfId="49068" xr:uid="{86BFFE6A-9C12-4422-9288-C841F499ED86}"/>
    <cellStyle name="Comma 11 3 2 2 3 4 4" xfId="33948" xr:uid="{BDCC143F-109D-47BB-BC53-5E0A6227E815}"/>
    <cellStyle name="Comma 11 3 2 2 3 5" xfId="5220" xr:uid="{BFBFFB29-963C-4ADA-8118-BE1963CEA66E}"/>
    <cellStyle name="Comma 11 3 2 2 3 5 2" xfId="14292" xr:uid="{51568C77-8B0B-408A-A43F-22146CD70A7F}"/>
    <cellStyle name="Comma 11 3 2 2 3 5 2 2" xfId="29412" xr:uid="{11AF6F01-9B96-4CE5-B774-063397A5D50D}"/>
    <cellStyle name="Comma 11 3 2 2 3 5 2 2 2" xfId="59652" xr:uid="{C3D5BB6B-7B42-4C53-98EE-6A69765B1950}"/>
    <cellStyle name="Comma 11 3 2 2 3 5 2 3" xfId="44532" xr:uid="{3A5EFEE0-7054-4989-BFE3-766305A60A08}"/>
    <cellStyle name="Comma 11 3 2 2 3 5 3" xfId="20340" xr:uid="{69C3358E-19DF-4570-9364-E6F809E24210}"/>
    <cellStyle name="Comma 11 3 2 2 3 5 3 2" xfId="50580" xr:uid="{C4D22264-865B-4C77-BB38-79AD7D38275A}"/>
    <cellStyle name="Comma 11 3 2 2 3 5 4" xfId="35460" xr:uid="{57744D67-DA71-439E-8292-B90A964D4394}"/>
    <cellStyle name="Comma 11 3 2 2 3 6" xfId="6732" xr:uid="{CEB199C8-0B1F-4842-B1C3-418C7D7FF281}"/>
    <cellStyle name="Comma 11 3 2 2 3 6 2" xfId="21852" xr:uid="{E70E651E-9CF2-479F-B979-8710B322B045}"/>
    <cellStyle name="Comma 11 3 2 2 3 6 2 2" xfId="52092" xr:uid="{4937A939-7178-4978-AAF0-52BB33E21392}"/>
    <cellStyle name="Comma 11 3 2 2 3 6 3" xfId="36972" xr:uid="{051367FB-6C77-4A20-8ABD-391B8B8A0088}"/>
    <cellStyle name="Comma 11 3 2 2 3 7" xfId="8244" xr:uid="{CA19142B-A79E-4995-915D-A32D00B9F83A}"/>
    <cellStyle name="Comma 11 3 2 2 3 7 2" xfId="23364" xr:uid="{68921E77-B1F4-4E38-90BE-29F0A89C327F}"/>
    <cellStyle name="Comma 11 3 2 2 3 7 2 2" xfId="53604" xr:uid="{BEB74B0B-C2A3-47D2-8DBF-8E0560882A36}"/>
    <cellStyle name="Comma 11 3 2 2 3 7 3" xfId="38484" xr:uid="{42AE0C7F-26F7-42B0-BF4F-CD1CBA2559F0}"/>
    <cellStyle name="Comma 11 3 2 2 3 8" xfId="9756" xr:uid="{106A679F-82E9-4BC6-8798-A743F154DB76}"/>
    <cellStyle name="Comma 11 3 2 2 3 8 2" xfId="24876" xr:uid="{B5484CED-976F-4E8C-984B-AAD0B880CF4A}"/>
    <cellStyle name="Comma 11 3 2 2 3 8 2 2" xfId="55116" xr:uid="{A6F4B1EC-FDB8-4D9D-8039-0D889186AC67}"/>
    <cellStyle name="Comma 11 3 2 2 3 8 3" xfId="39996" xr:uid="{EEA5AEDE-6838-47BB-98EF-32873F652983}"/>
    <cellStyle name="Comma 11 3 2 2 3 9" xfId="15804" xr:uid="{B2E6DD90-11D6-4C26-9091-20A7FA0D8FF1}"/>
    <cellStyle name="Comma 11 3 2 2 3 9 2" xfId="46044" xr:uid="{9BF38692-A3A8-4C78-AFA3-FABC4DBCBBF1}"/>
    <cellStyle name="Comma 11 3 2 2 4" xfId="936" xr:uid="{8EF7D868-9624-4B88-BA4E-3CFF3A6019CA}"/>
    <cellStyle name="Comma 11 3 2 2 4 2" xfId="2448" xr:uid="{CE62738F-5151-4FD5-8B4F-91447F7E2EE4}"/>
    <cellStyle name="Comma 11 3 2 2 4 2 2" xfId="11520" xr:uid="{6DF2B923-B0CD-4CCC-9703-94EEB8D48950}"/>
    <cellStyle name="Comma 11 3 2 2 4 2 2 2" xfId="26640" xr:uid="{3F0B91B9-DC30-4AF7-82AA-725E50B96B28}"/>
    <cellStyle name="Comma 11 3 2 2 4 2 2 2 2" xfId="56880" xr:uid="{31015CE9-ABA0-4E48-9C33-210C6874FC9B}"/>
    <cellStyle name="Comma 11 3 2 2 4 2 2 3" xfId="41760" xr:uid="{93C07A96-458D-4626-AFAD-F15BE0DC2F8C}"/>
    <cellStyle name="Comma 11 3 2 2 4 2 3" xfId="17568" xr:uid="{08880834-E583-4C92-9940-BE0837B1D5A1}"/>
    <cellStyle name="Comma 11 3 2 2 4 2 3 2" xfId="47808" xr:uid="{6CDF7AF3-7D3C-486E-8CE8-622E4FC93163}"/>
    <cellStyle name="Comma 11 3 2 2 4 2 4" xfId="32688" xr:uid="{E317FAE8-B242-4D79-A36D-835088751E59}"/>
    <cellStyle name="Comma 11 3 2 2 4 3" xfId="3960" xr:uid="{A046EF44-F4B8-40CA-A1E8-974A22DA1F93}"/>
    <cellStyle name="Comma 11 3 2 2 4 3 2" xfId="13032" xr:uid="{69A30571-38F8-44BE-92EE-AA67F9BB59D9}"/>
    <cellStyle name="Comma 11 3 2 2 4 3 2 2" xfId="28152" xr:uid="{4E61E750-427F-459F-893A-62EBE8557B0E}"/>
    <cellStyle name="Comma 11 3 2 2 4 3 2 2 2" xfId="58392" xr:uid="{1E677D45-E037-4376-9F56-FC8AB837EBBA}"/>
    <cellStyle name="Comma 11 3 2 2 4 3 2 3" xfId="43272" xr:uid="{558FA5BB-ACB4-4D09-A072-A5A3AFCE6508}"/>
    <cellStyle name="Comma 11 3 2 2 4 3 3" xfId="19080" xr:uid="{311363B1-77BA-42A1-8CC6-E3DE428FF176}"/>
    <cellStyle name="Comma 11 3 2 2 4 3 3 2" xfId="49320" xr:uid="{7E275A75-E20A-4013-A616-17969D46EB7B}"/>
    <cellStyle name="Comma 11 3 2 2 4 3 4" xfId="34200" xr:uid="{4C1929E8-0DD2-451F-ABAC-2C98E707444C}"/>
    <cellStyle name="Comma 11 3 2 2 4 4" xfId="5472" xr:uid="{D632C5F7-105A-4359-957A-FA53618F481A}"/>
    <cellStyle name="Comma 11 3 2 2 4 4 2" xfId="14544" xr:uid="{A82916C4-AA92-4BF5-9CF0-DD8D6B15F407}"/>
    <cellStyle name="Comma 11 3 2 2 4 4 2 2" xfId="29664" xr:uid="{2EE91520-58F1-4126-9A75-C210A1A2350A}"/>
    <cellStyle name="Comma 11 3 2 2 4 4 2 2 2" xfId="59904" xr:uid="{7C51E43E-BBB3-467C-9629-B91330C667B1}"/>
    <cellStyle name="Comma 11 3 2 2 4 4 2 3" xfId="44784" xr:uid="{519E401A-EC4C-456D-AB6E-835F84287E95}"/>
    <cellStyle name="Comma 11 3 2 2 4 4 3" xfId="20592" xr:uid="{EE3EDB8C-8C47-4FE9-A023-E05A41C975E0}"/>
    <cellStyle name="Comma 11 3 2 2 4 4 3 2" xfId="50832" xr:uid="{CE5B484B-6D70-485A-81B1-6B7E5C10BBD5}"/>
    <cellStyle name="Comma 11 3 2 2 4 4 4" xfId="35712" xr:uid="{4D553A98-73DF-45F7-8130-732BF436FF3F}"/>
    <cellStyle name="Comma 11 3 2 2 4 5" xfId="6984" xr:uid="{2032BCBB-CB2B-461D-8603-9F782BFD3D60}"/>
    <cellStyle name="Comma 11 3 2 2 4 5 2" xfId="22104" xr:uid="{4FFD9C52-2A85-460E-A1EA-1C6867FFA941}"/>
    <cellStyle name="Comma 11 3 2 2 4 5 2 2" xfId="52344" xr:uid="{450599B4-EEDE-4A2C-9CE4-ACDE50010EF1}"/>
    <cellStyle name="Comma 11 3 2 2 4 5 3" xfId="37224" xr:uid="{AE7284FE-73EC-4CFA-B5B7-7DDFDEE8963E}"/>
    <cellStyle name="Comma 11 3 2 2 4 6" xfId="8496" xr:uid="{D8AC4BE4-4EA7-4ADD-AD27-4886DD3F8C30}"/>
    <cellStyle name="Comma 11 3 2 2 4 6 2" xfId="23616" xr:uid="{B18920F3-0528-495F-882F-3F31AB346B7C}"/>
    <cellStyle name="Comma 11 3 2 2 4 6 2 2" xfId="53856" xr:uid="{A7309A5C-1AE9-4917-AE4E-48ACA6AD957D}"/>
    <cellStyle name="Comma 11 3 2 2 4 6 3" xfId="38736" xr:uid="{0C26F3C2-7849-4EE0-88BC-55BD22CF398E}"/>
    <cellStyle name="Comma 11 3 2 2 4 7" xfId="10008" xr:uid="{B1E8FF46-2C80-451D-ACC1-27F64288AE2B}"/>
    <cellStyle name="Comma 11 3 2 2 4 7 2" xfId="25128" xr:uid="{42FC3AF6-86FA-451A-8AD5-E0B1ED83D5A3}"/>
    <cellStyle name="Comma 11 3 2 2 4 7 2 2" xfId="55368" xr:uid="{61DB03DE-8669-46B2-84A4-1BD34531E995}"/>
    <cellStyle name="Comma 11 3 2 2 4 7 3" xfId="40248" xr:uid="{CC43FBCA-E2A2-4D50-A770-18C83A3ED8CD}"/>
    <cellStyle name="Comma 11 3 2 2 4 8" xfId="16056" xr:uid="{09FA9F7D-4BDA-46C6-A79D-E20E6C059CFB}"/>
    <cellStyle name="Comma 11 3 2 2 4 8 2" xfId="46296" xr:uid="{365317E0-02C7-4058-B724-BAF1A709C028}"/>
    <cellStyle name="Comma 11 3 2 2 4 9" xfId="31176" xr:uid="{6DDBF821-671F-4CCB-BEF1-A721FFC453AC}"/>
    <cellStyle name="Comma 11 3 2 2 5" xfId="1692" xr:uid="{232D6353-D156-4946-94B0-E65D122F0A23}"/>
    <cellStyle name="Comma 11 3 2 2 5 2" xfId="10764" xr:uid="{6FD656AB-629B-42E6-9854-361C358E9077}"/>
    <cellStyle name="Comma 11 3 2 2 5 2 2" xfId="25884" xr:uid="{360D9857-6ABA-4022-8CA2-A0392CD098F1}"/>
    <cellStyle name="Comma 11 3 2 2 5 2 2 2" xfId="56124" xr:uid="{51D9BA92-4FBD-4FB7-9990-C4BBB081D38F}"/>
    <cellStyle name="Comma 11 3 2 2 5 2 3" xfId="41004" xr:uid="{DC316911-5799-470A-AADD-49C4F69CB4F1}"/>
    <cellStyle name="Comma 11 3 2 2 5 3" xfId="16812" xr:uid="{1BAA2A51-1BF9-44C8-94C2-95E50BFE136D}"/>
    <cellStyle name="Comma 11 3 2 2 5 3 2" xfId="47052" xr:uid="{5AA8D92F-35A2-41D8-AF26-B171ADB3BB94}"/>
    <cellStyle name="Comma 11 3 2 2 5 4" xfId="31932" xr:uid="{E2F22042-F48D-4327-B981-0F27A8F79B03}"/>
    <cellStyle name="Comma 11 3 2 2 6" xfId="3204" xr:uid="{FCF9D3EA-6090-43AC-ACFF-F0FF2A9A9C30}"/>
    <cellStyle name="Comma 11 3 2 2 6 2" xfId="12276" xr:uid="{883E79BF-744F-4D30-9540-287C61509AD6}"/>
    <cellStyle name="Comma 11 3 2 2 6 2 2" xfId="27396" xr:uid="{228A28D7-517C-498E-9D6A-F166175421B6}"/>
    <cellStyle name="Comma 11 3 2 2 6 2 2 2" xfId="57636" xr:uid="{9CB12A7C-88BA-45A8-9992-6D206D45EBC9}"/>
    <cellStyle name="Comma 11 3 2 2 6 2 3" xfId="42516" xr:uid="{BE39E9B0-5C1E-4DB4-B1DD-7CEAA7D1F6D1}"/>
    <cellStyle name="Comma 11 3 2 2 6 3" xfId="18324" xr:uid="{44D6474D-4A86-4CF7-A05B-C8635E55A4BB}"/>
    <cellStyle name="Comma 11 3 2 2 6 3 2" xfId="48564" xr:uid="{EDF880BB-D2D5-4CF4-A057-A62FA6C85CB5}"/>
    <cellStyle name="Comma 11 3 2 2 6 4" xfId="33444" xr:uid="{405453B8-C4EE-47C7-89F1-41E5C5A848CA}"/>
    <cellStyle name="Comma 11 3 2 2 7" xfId="4716" xr:uid="{E86F0768-FC7C-49DC-B100-1E4890DD3AFF}"/>
    <cellStyle name="Comma 11 3 2 2 7 2" xfId="13788" xr:uid="{FB797FD6-B9B0-426E-BF28-BA9B0A4319B7}"/>
    <cellStyle name="Comma 11 3 2 2 7 2 2" xfId="28908" xr:uid="{A7237920-11A6-4931-99D2-505429C27281}"/>
    <cellStyle name="Comma 11 3 2 2 7 2 2 2" xfId="59148" xr:uid="{082347CE-A714-4284-94FC-E72227A42240}"/>
    <cellStyle name="Comma 11 3 2 2 7 2 3" xfId="44028" xr:uid="{80B12729-32D0-4CA6-ADF4-C58794FBEA75}"/>
    <cellStyle name="Comma 11 3 2 2 7 3" xfId="19836" xr:uid="{1B7142B1-69E1-41A2-A5E5-1EF858C60B51}"/>
    <cellStyle name="Comma 11 3 2 2 7 3 2" xfId="50076" xr:uid="{A6D238D0-38BA-4579-90CC-7AF3F257CAE1}"/>
    <cellStyle name="Comma 11 3 2 2 7 4" xfId="34956" xr:uid="{F201C2F2-3270-485B-8FAC-DFE074B44E11}"/>
    <cellStyle name="Comma 11 3 2 2 8" xfId="6228" xr:uid="{00AED1CE-B14C-4F68-8F51-E947471F5883}"/>
    <cellStyle name="Comma 11 3 2 2 8 2" xfId="21348" xr:uid="{B9A20C30-4642-4327-BE7D-3E51C38DB5AD}"/>
    <cellStyle name="Comma 11 3 2 2 8 2 2" xfId="51588" xr:uid="{66960C3B-A483-4DAB-92B1-676301DE480A}"/>
    <cellStyle name="Comma 11 3 2 2 8 3" xfId="36468" xr:uid="{01259459-A673-4825-BBA0-797BECBEDB7E}"/>
    <cellStyle name="Comma 11 3 2 2 9" xfId="7740" xr:uid="{05D0D71E-8F41-4174-8094-0E5987D3CC17}"/>
    <cellStyle name="Comma 11 3 2 2 9 2" xfId="22860" xr:uid="{EC56B6E9-FD53-4943-9638-A94EC129A6EE}"/>
    <cellStyle name="Comma 11 3 2 2 9 2 2" xfId="53100" xr:uid="{0BB3693F-F533-44BE-B995-F3BF916B2E9D}"/>
    <cellStyle name="Comma 11 3 2 2 9 3" xfId="37980" xr:uid="{C08A7A64-5B0F-4F15-8C06-6ACA2D54070B}"/>
    <cellStyle name="Comma 11 3 2 3" xfId="264" xr:uid="{FEC64698-7D4E-4619-8423-32BC6E63E154}"/>
    <cellStyle name="Comma 11 3 2 3 10" xfId="9336" xr:uid="{D9966E9C-2A16-432D-B89B-2EB2DE85780E}"/>
    <cellStyle name="Comma 11 3 2 3 10 2" xfId="24456" xr:uid="{F1B72D15-F746-468C-BD6D-F8DB3CB9EE72}"/>
    <cellStyle name="Comma 11 3 2 3 10 2 2" xfId="54696" xr:uid="{0B47865F-4A6A-4C2F-A8A8-60CE2345750C}"/>
    <cellStyle name="Comma 11 3 2 3 10 3" xfId="39576" xr:uid="{6CB01420-C1AC-4A72-8567-28EECCE22F11}"/>
    <cellStyle name="Comma 11 3 2 3 11" xfId="15384" xr:uid="{5978461C-C952-4832-B6B5-6B2ECDEB080F}"/>
    <cellStyle name="Comma 11 3 2 3 11 2" xfId="45624" xr:uid="{75F04B70-46C2-4419-B026-3023D46A3C60}"/>
    <cellStyle name="Comma 11 3 2 3 12" xfId="30504" xr:uid="{F6950756-B5D9-4E88-9E18-C111893854F5}"/>
    <cellStyle name="Comma 11 3 2 3 2" xfId="516" xr:uid="{7846933E-3256-4975-8284-FB82E61D219E}"/>
    <cellStyle name="Comma 11 3 2 3 2 10" xfId="30756" xr:uid="{B720BFA8-CF64-4008-B52D-D532BE7EA16E}"/>
    <cellStyle name="Comma 11 3 2 3 2 2" xfId="1272" xr:uid="{ADA58ECC-1A1C-42DB-8F9B-0B5896741EF8}"/>
    <cellStyle name="Comma 11 3 2 3 2 2 2" xfId="2784" xr:uid="{6446BD71-2F1A-418A-AAE8-9721C342D06F}"/>
    <cellStyle name="Comma 11 3 2 3 2 2 2 2" xfId="11856" xr:uid="{F02719D4-3EE5-4FA2-B650-AC79CFDE71EF}"/>
    <cellStyle name="Comma 11 3 2 3 2 2 2 2 2" xfId="26976" xr:uid="{9927834F-40C2-4D9C-A433-8D9E1C82EF2C}"/>
    <cellStyle name="Comma 11 3 2 3 2 2 2 2 2 2" xfId="57216" xr:uid="{3C9C890F-C077-425A-AD6F-9106E1DE1B37}"/>
    <cellStyle name="Comma 11 3 2 3 2 2 2 2 3" xfId="42096" xr:uid="{DCC41F9B-805C-4A1E-ACCA-15BA07FFD5C7}"/>
    <cellStyle name="Comma 11 3 2 3 2 2 2 3" xfId="17904" xr:uid="{C2A85370-8C91-4941-89B4-7E37497E8BE7}"/>
    <cellStyle name="Comma 11 3 2 3 2 2 2 3 2" xfId="48144" xr:uid="{70707FA6-B913-49E6-A4DA-8AB4E7BAF69A}"/>
    <cellStyle name="Comma 11 3 2 3 2 2 2 4" xfId="33024" xr:uid="{99A0DDE4-6B3C-48D9-9AD6-79F913E68103}"/>
    <cellStyle name="Comma 11 3 2 3 2 2 3" xfId="4296" xr:uid="{DA1245F1-C0F2-4258-9AC7-CE173A52CA20}"/>
    <cellStyle name="Comma 11 3 2 3 2 2 3 2" xfId="13368" xr:uid="{18DF0BB1-9D74-45BC-8334-58054F71741F}"/>
    <cellStyle name="Comma 11 3 2 3 2 2 3 2 2" xfId="28488" xr:uid="{12E73A5B-3269-455F-A24E-D6E3B79F4654}"/>
    <cellStyle name="Comma 11 3 2 3 2 2 3 2 2 2" xfId="58728" xr:uid="{81A08EF6-2B67-469E-AE48-51E17A820EE9}"/>
    <cellStyle name="Comma 11 3 2 3 2 2 3 2 3" xfId="43608" xr:uid="{62515E6A-B087-4379-966E-88B45B19E95A}"/>
    <cellStyle name="Comma 11 3 2 3 2 2 3 3" xfId="19416" xr:uid="{63A38B4F-9ACC-4554-95A4-78E20E108A12}"/>
    <cellStyle name="Comma 11 3 2 3 2 2 3 3 2" xfId="49656" xr:uid="{39B2CBB3-8FE0-4485-9487-F712AA0DB185}"/>
    <cellStyle name="Comma 11 3 2 3 2 2 3 4" xfId="34536" xr:uid="{B00DDF0A-E00F-4219-B3C4-AAAFBCC867C6}"/>
    <cellStyle name="Comma 11 3 2 3 2 2 4" xfId="5808" xr:uid="{04F9DF1C-25F6-4FF8-A593-D1BFF284C53D}"/>
    <cellStyle name="Comma 11 3 2 3 2 2 4 2" xfId="14880" xr:uid="{3CB704F7-E91B-4BAE-AFE6-A3BBD68CF067}"/>
    <cellStyle name="Comma 11 3 2 3 2 2 4 2 2" xfId="30000" xr:uid="{50D3FB45-684F-4444-8A5C-4CB925142371}"/>
    <cellStyle name="Comma 11 3 2 3 2 2 4 2 2 2" xfId="60240" xr:uid="{8A1C744B-AEA5-4869-8E45-11917C1E5DCD}"/>
    <cellStyle name="Comma 11 3 2 3 2 2 4 2 3" xfId="45120" xr:uid="{EB05113C-93B8-4CE4-BC35-2DC4985D0DE3}"/>
    <cellStyle name="Comma 11 3 2 3 2 2 4 3" xfId="20928" xr:uid="{B0F8822C-042E-42D0-B17C-19E98FB50C0E}"/>
    <cellStyle name="Comma 11 3 2 3 2 2 4 3 2" xfId="51168" xr:uid="{983E8D45-B9B4-4891-B5B7-D565AC56B607}"/>
    <cellStyle name="Comma 11 3 2 3 2 2 4 4" xfId="36048" xr:uid="{725333FA-12E6-40DC-9E7E-37BE12EF0BC9}"/>
    <cellStyle name="Comma 11 3 2 3 2 2 5" xfId="7320" xr:uid="{F58E9E2B-9EB9-4B37-B86F-FCCD67720CE0}"/>
    <cellStyle name="Comma 11 3 2 3 2 2 5 2" xfId="22440" xr:uid="{D2D522D4-9EE5-4772-A861-560F1DCECE38}"/>
    <cellStyle name="Comma 11 3 2 3 2 2 5 2 2" xfId="52680" xr:uid="{EFA1DEE6-D055-47B2-9AF4-0B6BF4B6C5FD}"/>
    <cellStyle name="Comma 11 3 2 3 2 2 5 3" xfId="37560" xr:uid="{C0A0C80D-4470-40F3-873D-7740806FA1E4}"/>
    <cellStyle name="Comma 11 3 2 3 2 2 6" xfId="8832" xr:uid="{1D1FA414-FF83-40E6-AAFE-0B09FF0D0EFE}"/>
    <cellStyle name="Comma 11 3 2 3 2 2 6 2" xfId="23952" xr:uid="{17CEFD8A-C1D2-47F8-AC05-5F7E068B8C85}"/>
    <cellStyle name="Comma 11 3 2 3 2 2 6 2 2" xfId="54192" xr:uid="{467721D7-680E-407E-8BCE-AED266CFE960}"/>
    <cellStyle name="Comma 11 3 2 3 2 2 6 3" xfId="39072" xr:uid="{A24618E5-51A3-4FC6-A529-5A82B67CAD8B}"/>
    <cellStyle name="Comma 11 3 2 3 2 2 7" xfId="10344" xr:uid="{3062B5A9-52C6-41E0-BAEC-87B3F0A3A0F5}"/>
    <cellStyle name="Comma 11 3 2 3 2 2 7 2" xfId="25464" xr:uid="{C242B550-635D-4F35-931B-0728848CC0D6}"/>
    <cellStyle name="Comma 11 3 2 3 2 2 7 2 2" xfId="55704" xr:uid="{5F1170F8-704C-4609-A31E-A8A9ACAA60C9}"/>
    <cellStyle name="Comma 11 3 2 3 2 2 7 3" xfId="40584" xr:uid="{0DB15C9E-FA33-4425-B1D5-EB7D4779B956}"/>
    <cellStyle name="Comma 11 3 2 3 2 2 8" xfId="16392" xr:uid="{1D3152CB-68E9-4BEE-9DEA-AF803E47F772}"/>
    <cellStyle name="Comma 11 3 2 3 2 2 8 2" xfId="46632" xr:uid="{56EBDD4F-2B3F-49D6-B407-8C3804E79DA2}"/>
    <cellStyle name="Comma 11 3 2 3 2 2 9" xfId="31512" xr:uid="{13FDA92D-E20D-439D-94F5-3313E784D37E}"/>
    <cellStyle name="Comma 11 3 2 3 2 3" xfId="2028" xr:uid="{E5A6A7AE-40FD-4030-902C-3BD3840E7EF4}"/>
    <cellStyle name="Comma 11 3 2 3 2 3 2" xfId="11100" xr:uid="{64C10BF9-247E-457C-9016-65B1EEB71B7D}"/>
    <cellStyle name="Comma 11 3 2 3 2 3 2 2" xfId="26220" xr:uid="{9B01505B-B641-4F0D-9F0B-349C1E76576A}"/>
    <cellStyle name="Comma 11 3 2 3 2 3 2 2 2" xfId="56460" xr:uid="{B2AEEA12-9C45-467C-AB99-FC2052E89AC2}"/>
    <cellStyle name="Comma 11 3 2 3 2 3 2 3" xfId="41340" xr:uid="{89A1B3A5-4E88-49E9-AFE9-5A9DC059CE62}"/>
    <cellStyle name="Comma 11 3 2 3 2 3 3" xfId="17148" xr:uid="{C700AC1A-0547-4FE4-8DF7-5E7EAEEADAF9}"/>
    <cellStyle name="Comma 11 3 2 3 2 3 3 2" xfId="47388" xr:uid="{4F9F1FB1-8C72-4D2C-9642-B42080AF64A4}"/>
    <cellStyle name="Comma 11 3 2 3 2 3 4" xfId="32268" xr:uid="{A7D3EE84-186A-4745-924C-870C3B7BAB8E}"/>
    <cellStyle name="Comma 11 3 2 3 2 4" xfId="3540" xr:uid="{698088C8-27DB-4F3A-8AE2-8C3B04E10E4A}"/>
    <cellStyle name="Comma 11 3 2 3 2 4 2" xfId="12612" xr:uid="{2EAF7769-D942-4C66-BBBA-93F40346516D}"/>
    <cellStyle name="Comma 11 3 2 3 2 4 2 2" xfId="27732" xr:uid="{45CBC1A7-5382-4D97-B65E-703104C71020}"/>
    <cellStyle name="Comma 11 3 2 3 2 4 2 2 2" xfId="57972" xr:uid="{4676757C-F946-423F-BEFC-65C1BC58AD59}"/>
    <cellStyle name="Comma 11 3 2 3 2 4 2 3" xfId="42852" xr:uid="{E5B16ECC-6BDC-4EFF-8916-EC4801F3C1BC}"/>
    <cellStyle name="Comma 11 3 2 3 2 4 3" xfId="18660" xr:uid="{C11FA502-E71E-4058-ACDD-37AAF9333E70}"/>
    <cellStyle name="Comma 11 3 2 3 2 4 3 2" xfId="48900" xr:uid="{C20C81B4-4A5F-4F40-804E-EECEB15D2C1C}"/>
    <cellStyle name="Comma 11 3 2 3 2 4 4" xfId="33780" xr:uid="{35C703FE-1635-4D5A-8D4D-967741F34F7E}"/>
    <cellStyle name="Comma 11 3 2 3 2 5" xfId="5052" xr:uid="{4921A24B-0F3C-4EE1-A682-215CDF04D283}"/>
    <cellStyle name="Comma 11 3 2 3 2 5 2" xfId="14124" xr:uid="{D30FD1F2-ADEF-4B0F-9891-DE22DCB7AB12}"/>
    <cellStyle name="Comma 11 3 2 3 2 5 2 2" xfId="29244" xr:uid="{5E329F0D-5808-43FF-97EA-8DC95FAABABA}"/>
    <cellStyle name="Comma 11 3 2 3 2 5 2 2 2" xfId="59484" xr:uid="{5768C481-831C-4EA6-B47D-8A7961E9D435}"/>
    <cellStyle name="Comma 11 3 2 3 2 5 2 3" xfId="44364" xr:uid="{2CE8F157-0C21-4200-9F62-749834B5857F}"/>
    <cellStyle name="Comma 11 3 2 3 2 5 3" xfId="20172" xr:uid="{C3B2D424-5DF7-49E9-816F-851C2BC4B4A6}"/>
    <cellStyle name="Comma 11 3 2 3 2 5 3 2" xfId="50412" xr:uid="{F034FC15-400B-46BD-8627-EE38555009D7}"/>
    <cellStyle name="Comma 11 3 2 3 2 5 4" xfId="35292" xr:uid="{DA9CB275-9749-4C0D-9E69-96F4586FCA99}"/>
    <cellStyle name="Comma 11 3 2 3 2 6" xfId="6564" xr:uid="{A67C0BC6-AE84-48F5-BF23-C57B693959D1}"/>
    <cellStyle name="Comma 11 3 2 3 2 6 2" xfId="21684" xr:uid="{6B596627-D6D5-4229-8FA5-CD2B66C570F1}"/>
    <cellStyle name="Comma 11 3 2 3 2 6 2 2" xfId="51924" xr:uid="{ED967FD4-7F48-4AD4-8FE6-26FC09EF76EE}"/>
    <cellStyle name="Comma 11 3 2 3 2 6 3" xfId="36804" xr:uid="{49F04646-FE08-47EF-8A68-9555DA4CFB2D}"/>
    <cellStyle name="Comma 11 3 2 3 2 7" xfId="8076" xr:uid="{972C32DA-963F-4147-A0A6-53775AD4EE2C}"/>
    <cellStyle name="Comma 11 3 2 3 2 7 2" xfId="23196" xr:uid="{A4E5EED3-1B09-4869-A74E-4B847D5F3BA7}"/>
    <cellStyle name="Comma 11 3 2 3 2 7 2 2" xfId="53436" xr:uid="{F4651E42-79D9-4E8A-B879-66F86C868C85}"/>
    <cellStyle name="Comma 11 3 2 3 2 7 3" xfId="38316" xr:uid="{B6EDB4F8-2356-46EE-BD28-EE1BF300E180}"/>
    <cellStyle name="Comma 11 3 2 3 2 8" xfId="9588" xr:uid="{0A78F0F7-4959-4518-B8B7-A386DE9F9B0D}"/>
    <cellStyle name="Comma 11 3 2 3 2 8 2" xfId="24708" xr:uid="{7ACEB76D-2087-4316-A3FC-121F911ECFED}"/>
    <cellStyle name="Comma 11 3 2 3 2 8 2 2" xfId="54948" xr:uid="{5E001BA0-9CF8-4AF8-8C4F-E10963D3D02C}"/>
    <cellStyle name="Comma 11 3 2 3 2 8 3" xfId="39828" xr:uid="{DD9E3D56-0CD3-40DC-A17D-71DDC87870CA}"/>
    <cellStyle name="Comma 11 3 2 3 2 9" xfId="15636" xr:uid="{B96149FA-16A2-47A1-8A98-39DF9002E0FC}"/>
    <cellStyle name="Comma 11 3 2 3 2 9 2" xfId="45876" xr:uid="{9D1AA73B-49CE-4935-991A-951D8E9E7119}"/>
    <cellStyle name="Comma 11 3 2 3 3" xfId="768" xr:uid="{48513418-2761-4E57-B983-2D77A83E88A2}"/>
    <cellStyle name="Comma 11 3 2 3 3 10" xfId="31008" xr:uid="{5A1CB072-184D-45B0-9E57-43F97D628324}"/>
    <cellStyle name="Comma 11 3 2 3 3 2" xfId="1524" xr:uid="{69B67115-B90B-4B94-8ACC-007E65015591}"/>
    <cellStyle name="Comma 11 3 2 3 3 2 2" xfId="3036" xr:uid="{AE3C8051-1DB9-4433-9AB6-B98A4F5F5BEE}"/>
    <cellStyle name="Comma 11 3 2 3 3 2 2 2" xfId="12108" xr:uid="{DE486DC1-E587-4525-A6A3-44B430736A56}"/>
    <cellStyle name="Comma 11 3 2 3 3 2 2 2 2" xfId="27228" xr:uid="{D347C90A-26FA-4513-AE3D-12BC9DF205DF}"/>
    <cellStyle name="Comma 11 3 2 3 3 2 2 2 2 2" xfId="57468" xr:uid="{ADABA91A-40F7-4C5F-B72F-EF4F07AC5A55}"/>
    <cellStyle name="Comma 11 3 2 3 3 2 2 2 3" xfId="42348" xr:uid="{F9B1598D-B50A-4CB2-B1CE-D9D1ABF61BE8}"/>
    <cellStyle name="Comma 11 3 2 3 3 2 2 3" xfId="18156" xr:uid="{DDB994BB-B36C-4AD4-872F-EB2A4A977261}"/>
    <cellStyle name="Comma 11 3 2 3 3 2 2 3 2" xfId="48396" xr:uid="{5359DB03-163C-41D7-B7A0-7B38155E1A81}"/>
    <cellStyle name="Comma 11 3 2 3 3 2 2 4" xfId="33276" xr:uid="{C647844F-F9EC-40BF-8BD0-C7C8D6711084}"/>
    <cellStyle name="Comma 11 3 2 3 3 2 3" xfId="4548" xr:uid="{1EE2880A-C850-4299-B25F-BBC5813E0A17}"/>
    <cellStyle name="Comma 11 3 2 3 3 2 3 2" xfId="13620" xr:uid="{9F1D7F01-A38D-4078-9665-A1A42C742F0B}"/>
    <cellStyle name="Comma 11 3 2 3 3 2 3 2 2" xfId="28740" xr:uid="{C9BC72F7-02D7-45A2-B279-D38C1FC00EE8}"/>
    <cellStyle name="Comma 11 3 2 3 3 2 3 2 2 2" xfId="58980" xr:uid="{764F8887-D27C-4AD8-99AD-1F42497E1A11}"/>
    <cellStyle name="Comma 11 3 2 3 3 2 3 2 3" xfId="43860" xr:uid="{42B3AAAE-552C-4EF0-BE1F-310F8D8CD36A}"/>
    <cellStyle name="Comma 11 3 2 3 3 2 3 3" xfId="19668" xr:uid="{F2CDAD81-8A20-4575-AAA2-2369BAB492C8}"/>
    <cellStyle name="Comma 11 3 2 3 3 2 3 3 2" xfId="49908" xr:uid="{A92A50FA-1FB7-414D-AB3E-B349235132BA}"/>
    <cellStyle name="Comma 11 3 2 3 3 2 3 4" xfId="34788" xr:uid="{F921CF68-8EAA-4311-90C1-FFD77E616689}"/>
    <cellStyle name="Comma 11 3 2 3 3 2 4" xfId="6060" xr:uid="{359B47D1-AC84-408F-AA99-E6FFD2904704}"/>
    <cellStyle name="Comma 11 3 2 3 3 2 4 2" xfId="15132" xr:uid="{A65FDFD7-DD7A-4533-A644-8020E7EB6D8C}"/>
    <cellStyle name="Comma 11 3 2 3 3 2 4 2 2" xfId="30252" xr:uid="{66FBED4E-8F7D-485B-B36A-967D99CDA03B}"/>
    <cellStyle name="Comma 11 3 2 3 3 2 4 2 2 2" xfId="60492" xr:uid="{5D7A3614-3392-43CD-8421-83DF87062F2E}"/>
    <cellStyle name="Comma 11 3 2 3 3 2 4 2 3" xfId="45372" xr:uid="{27E80526-5026-459E-A623-92F9D9177B59}"/>
    <cellStyle name="Comma 11 3 2 3 3 2 4 3" xfId="21180" xr:uid="{01EF176B-FE7C-46DC-8AA2-208016D69B92}"/>
    <cellStyle name="Comma 11 3 2 3 3 2 4 3 2" xfId="51420" xr:uid="{8321AD11-F621-4230-900E-55DEC8CEA91B}"/>
    <cellStyle name="Comma 11 3 2 3 3 2 4 4" xfId="36300" xr:uid="{B54DE334-7C4B-4E96-93F3-2720DD8027DA}"/>
    <cellStyle name="Comma 11 3 2 3 3 2 5" xfId="7572" xr:uid="{F6B2EDCD-8F29-4C5D-B179-C3CED06D0A14}"/>
    <cellStyle name="Comma 11 3 2 3 3 2 5 2" xfId="22692" xr:uid="{81AB062C-3F92-4243-A950-81C72581CCCD}"/>
    <cellStyle name="Comma 11 3 2 3 3 2 5 2 2" xfId="52932" xr:uid="{F3D157D0-45EF-4B94-B704-0AFA7FAC37C1}"/>
    <cellStyle name="Comma 11 3 2 3 3 2 5 3" xfId="37812" xr:uid="{33B6DC94-7F84-4299-A163-ADB669692F02}"/>
    <cellStyle name="Comma 11 3 2 3 3 2 6" xfId="9084" xr:uid="{FD727BF7-223E-4C17-802F-4C7CC24D6526}"/>
    <cellStyle name="Comma 11 3 2 3 3 2 6 2" xfId="24204" xr:uid="{C09AE358-8FC6-4E09-AE5A-28DA43CFCDA7}"/>
    <cellStyle name="Comma 11 3 2 3 3 2 6 2 2" xfId="54444" xr:uid="{35125BAF-87B0-4B6C-8627-5574F6F95ACB}"/>
    <cellStyle name="Comma 11 3 2 3 3 2 6 3" xfId="39324" xr:uid="{3E2AB577-F69E-4890-B463-51AB12EE7D16}"/>
    <cellStyle name="Comma 11 3 2 3 3 2 7" xfId="10596" xr:uid="{B148DA63-8181-486C-8F96-ADE58C2E6B15}"/>
    <cellStyle name="Comma 11 3 2 3 3 2 7 2" xfId="25716" xr:uid="{FDAF0B39-F065-48B6-934D-C2EF22452723}"/>
    <cellStyle name="Comma 11 3 2 3 3 2 7 2 2" xfId="55956" xr:uid="{5D6E3246-E3DF-41BE-88B0-FFF4B70C37EC}"/>
    <cellStyle name="Comma 11 3 2 3 3 2 7 3" xfId="40836" xr:uid="{09EDF427-F630-4E74-86A3-957915DC3F81}"/>
    <cellStyle name="Comma 11 3 2 3 3 2 8" xfId="16644" xr:uid="{9AE19B07-B96C-4E77-8441-14B2FD83EA95}"/>
    <cellStyle name="Comma 11 3 2 3 3 2 8 2" xfId="46884" xr:uid="{3F1FD522-4D28-411D-9B74-7A52C8EA4772}"/>
    <cellStyle name="Comma 11 3 2 3 3 2 9" xfId="31764" xr:uid="{F92DDA5B-2A22-4BFC-B0CD-1461F69A38E9}"/>
    <cellStyle name="Comma 11 3 2 3 3 3" xfId="2280" xr:uid="{33126D59-4CE3-4AB5-ABAB-600BD00C78E5}"/>
    <cellStyle name="Comma 11 3 2 3 3 3 2" xfId="11352" xr:uid="{C8255E5A-26E2-418F-8548-139F0CE41AFA}"/>
    <cellStyle name="Comma 11 3 2 3 3 3 2 2" xfId="26472" xr:uid="{8C6FB145-0E18-45DC-A98C-F874A55C2D29}"/>
    <cellStyle name="Comma 11 3 2 3 3 3 2 2 2" xfId="56712" xr:uid="{2DFDB939-4D95-474D-A7A7-163F69A03B6A}"/>
    <cellStyle name="Comma 11 3 2 3 3 3 2 3" xfId="41592" xr:uid="{8F049A71-2BCA-4348-9810-D367E2C99A7B}"/>
    <cellStyle name="Comma 11 3 2 3 3 3 3" xfId="17400" xr:uid="{D3949093-4BBF-4F78-AA54-E14CDC40915E}"/>
    <cellStyle name="Comma 11 3 2 3 3 3 3 2" xfId="47640" xr:uid="{22EE92A3-570F-4C47-9C03-FFD0299CC46C}"/>
    <cellStyle name="Comma 11 3 2 3 3 3 4" xfId="32520" xr:uid="{58B1FF10-CF70-4DE6-8333-1473CC03E297}"/>
    <cellStyle name="Comma 11 3 2 3 3 4" xfId="3792" xr:uid="{A5BE8D22-AC2C-4E85-B11A-29F9E4A4D359}"/>
    <cellStyle name="Comma 11 3 2 3 3 4 2" xfId="12864" xr:uid="{78322311-E7C7-4012-A2AD-45F430927618}"/>
    <cellStyle name="Comma 11 3 2 3 3 4 2 2" xfId="27984" xr:uid="{5A6583B9-2053-4C6D-816B-CC9A5935573C}"/>
    <cellStyle name="Comma 11 3 2 3 3 4 2 2 2" xfId="58224" xr:uid="{FFFBDA33-9751-4F28-BE31-9561C3B94C2E}"/>
    <cellStyle name="Comma 11 3 2 3 3 4 2 3" xfId="43104" xr:uid="{A02AC822-9E89-4355-9773-4EC16C34020F}"/>
    <cellStyle name="Comma 11 3 2 3 3 4 3" xfId="18912" xr:uid="{A9AC3D07-6CE9-4762-8415-6159943E4813}"/>
    <cellStyle name="Comma 11 3 2 3 3 4 3 2" xfId="49152" xr:uid="{5694F071-7F19-47A9-999C-63713359293F}"/>
    <cellStyle name="Comma 11 3 2 3 3 4 4" xfId="34032" xr:uid="{C9F6B5FF-03C7-45FA-B9FB-B43FEC304DA5}"/>
    <cellStyle name="Comma 11 3 2 3 3 5" xfId="5304" xr:uid="{D1DD3F61-0AB7-49CA-A32E-9E3347AAAC3B}"/>
    <cellStyle name="Comma 11 3 2 3 3 5 2" xfId="14376" xr:uid="{F422144D-C7E1-4243-9455-2F2304230A05}"/>
    <cellStyle name="Comma 11 3 2 3 3 5 2 2" xfId="29496" xr:uid="{5F3A87B5-9E85-498D-BA78-71F17916D2CE}"/>
    <cellStyle name="Comma 11 3 2 3 3 5 2 2 2" xfId="59736" xr:uid="{04333878-F60C-42E9-8218-BD57F13FA420}"/>
    <cellStyle name="Comma 11 3 2 3 3 5 2 3" xfId="44616" xr:uid="{4696489E-CE46-4131-B094-6C7862485597}"/>
    <cellStyle name="Comma 11 3 2 3 3 5 3" xfId="20424" xr:uid="{E7AA4FA7-C118-4342-BC4E-B176B56519C4}"/>
    <cellStyle name="Comma 11 3 2 3 3 5 3 2" xfId="50664" xr:uid="{1D977883-9B08-4DBF-B683-4AC8C31225A7}"/>
    <cellStyle name="Comma 11 3 2 3 3 5 4" xfId="35544" xr:uid="{524A4BE2-DECB-4815-9B82-637DFF52CD89}"/>
    <cellStyle name="Comma 11 3 2 3 3 6" xfId="6816" xr:uid="{B7575F9A-7A64-4319-9CFD-230DEF54EEE0}"/>
    <cellStyle name="Comma 11 3 2 3 3 6 2" xfId="21936" xr:uid="{272DE731-B8CD-4F88-B8FA-AB6C9B3DB754}"/>
    <cellStyle name="Comma 11 3 2 3 3 6 2 2" xfId="52176" xr:uid="{09BE9852-A05B-42CA-892B-01EEB32420DA}"/>
    <cellStyle name="Comma 11 3 2 3 3 6 3" xfId="37056" xr:uid="{553C41D0-BAEA-4770-8CAA-BEED3578751D}"/>
    <cellStyle name="Comma 11 3 2 3 3 7" xfId="8328" xr:uid="{DA422994-77AC-4C29-9506-C320CE81623E}"/>
    <cellStyle name="Comma 11 3 2 3 3 7 2" xfId="23448" xr:uid="{6C2E3B8B-0505-46C5-AA8B-CA6A17F73F71}"/>
    <cellStyle name="Comma 11 3 2 3 3 7 2 2" xfId="53688" xr:uid="{1B4C30A9-E84E-4611-8851-9847CCA7D4D0}"/>
    <cellStyle name="Comma 11 3 2 3 3 7 3" xfId="38568" xr:uid="{8224A8B2-32C2-4D49-B180-429730E9A6D6}"/>
    <cellStyle name="Comma 11 3 2 3 3 8" xfId="9840" xr:uid="{C1735D02-8FAD-4621-980C-6FF6644FEDAD}"/>
    <cellStyle name="Comma 11 3 2 3 3 8 2" xfId="24960" xr:uid="{C54C49BC-DB77-4E10-B23E-5A9CBB3A8F41}"/>
    <cellStyle name="Comma 11 3 2 3 3 8 2 2" xfId="55200" xr:uid="{5DAB5B9D-1ED8-4576-AE99-8F39A3825289}"/>
    <cellStyle name="Comma 11 3 2 3 3 8 3" xfId="40080" xr:uid="{EEB786B1-DC25-464C-AD9B-66DB8629E974}"/>
    <cellStyle name="Comma 11 3 2 3 3 9" xfId="15888" xr:uid="{FF184E1F-D480-488C-A361-019FB3D9C94A}"/>
    <cellStyle name="Comma 11 3 2 3 3 9 2" xfId="46128" xr:uid="{2A72DCD0-D22B-4E2C-B545-C9A80C55CFDE}"/>
    <cellStyle name="Comma 11 3 2 3 4" xfId="1020" xr:uid="{2B660A61-9126-4726-97BD-F6D48F538C68}"/>
    <cellStyle name="Comma 11 3 2 3 4 2" xfId="2532" xr:uid="{C6A54F69-8D2E-4943-A33D-DAB6B03A8603}"/>
    <cellStyle name="Comma 11 3 2 3 4 2 2" xfId="11604" xr:uid="{12CDE956-30E3-40C4-9C67-3A8A31DE412F}"/>
    <cellStyle name="Comma 11 3 2 3 4 2 2 2" xfId="26724" xr:uid="{8F2E5E9D-DDC1-4ADD-87D2-139CE19353DE}"/>
    <cellStyle name="Comma 11 3 2 3 4 2 2 2 2" xfId="56964" xr:uid="{29E58622-3234-4FC8-82AF-EDB8FD41806E}"/>
    <cellStyle name="Comma 11 3 2 3 4 2 2 3" xfId="41844" xr:uid="{D662EE71-91B9-4CB2-997D-340A70C180D4}"/>
    <cellStyle name="Comma 11 3 2 3 4 2 3" xfId="17652" xr:uid="{0FB748C0-3E14-490C-B1F2-0CC5D4C211D0}"/>
    <cellStyle name="Comma 11 3 2 3 4 2 3 2" xfId="47892" xr:uid="{2EE0AF0F-57CC-4665-A2A9-0EF4AF3782FE}"/>
    <cellStyle name="Comma 11 3 2 3 4 2 4" xfId="32772" xr:uid="{DF865E66-7D6E-4388-BBB0-15BA01B11C70}"/>
    <cellStyle name="Comma 11 3 2 3 4 3" xfId="4044" xr:uid="{1339FC8A-1D4E-4FCF-A7BE-417D67D27070}"/>
    <cellStyle name="Comma 11 3 2 3 4 3 2" xfId="13116" xr:uid="{6ACE53D9-7AA4-4A67-83EC-1D523DFC3F99}"/>
    <cellStyle name="Comma 11 3 2 3 4 3 2 2" xfId="28236" xr:uid="{10A0ED50-8626-46B0-8952-236660B721A5}"/>
    <cellStyle name="Comma 11 3 2 3 4 3 2 2 2" xfId="58476" xr:uid="{C3A9035B-BD21-45E0-BA9F-286F703C7E52}"/>
    <cellStyle name="Comma 11 3 2 3 4 3 2 3" xfId="43356" xr:uid="{CE4FBC0D-F2AD-402C-8B97-79F77D05C5F9}"/>
    <cellStyle name="Comma 11 3 2 3 4 3 3" xfId="19164" xr:uid="{9472DB32-DC2C-4997-8314-8FF7552CB4E7}"/>
    <cellStyle name="Comma 11 3 2 3 4 3 3 2" xfId="49404" xr:uid="{DC7937B6-01DB-40A1-9A01-05AD675F163B}"/>
    <cellStyle name="Comma 11 3 2 3 4 3 4" xfId="34284" xr:uid="{F541AF7E-BA50-4851-B3F0-396F016C1841}"/>
    <cellStyle name="Comma 11 3 2 3 4 4" xfId="5556" xr:uid="{ABF9DEAB-9246-4F4E-80DC-AB6066511E59}"/>
    <cellStyle name="Comma 11 3 2 3 4 4 2" xfId="14628" xr:uid="{7CA88791-8E2B-492A-A5DB-A3F4A3798E30}"/>
    <cellStyle name="Comma 11 3 2 3 4 4 2 2" xfId="29748" xr:uid="{A9B09A0A-6008-4A0A-B4B8-E93A0842C25F}"/>
    <cellStyle name="Comma 11 3 2 3 4 4 2 2 2" xfId="59988" xr:uid="{7F9BDA60-3B20-4234-857E-20C71497A38C}"/>
    <cellStyle name="Comma 11 3 2 3 4 4 2 3" xfId="44868" xr:uid="{1F39A745-DB40-4997-A224-6D545FACC7C8}"/>
    <cellStyle name="Comma 11 3 2 3 4 4 3" xfId="20676" xr:uid="{B34D5566-DCDF-47ED-8D48-8CB9CD4AA33E}"/>
    <cellStyle name="Comma 11 3 2 3 4 4 3 2" xfId="50916" xr:uid="{6DF67D52-28EF-4864-BD41-7C958F1B1B5A}"/>
    <cellStyle name="Comma 11 3 2 3 4 4 4" xfId="35796" xr:uid="{E559B619-609F-4931-B1E4-E118F0108CE9}"/>
    <cellStyle name="Comma 11 3 2 3 4 5" xfId="7068" xr:uid="{D9B6FFE2-B67E-4822-A87E-20E0A1E5E68A}"/>
    <cellStyle name="Comma 11 3 2 3 4 5 2" xfId="22188" xr:uid="{AE1C3F94-C42C-4837-BA35-EB9921E9CAEF}"/>
    <cellStyle name="Comma 11 3 2 3 4 5 2 2" xfId="52428" xr:uid="{DC235D29-CF0D-4708-A6E3-600806D9D42A}"/>
    <cellStyle name="Comma 11 3 2 3 4 5 3" xfId="37308" xr:uid="{C87596FB-89ED-4D4A-A1DF-52F798DB4F17}"/>
    <cellStyle name="Comma 11 3 2 3 4 6" xfId="8580" xr:uid="{D7FEC56C-0545-4D10-89D4-241E8AB155C4}"/>
    <cellStyle name="Comma 11 3 2 3 4 6 2" xfId="23700" xr:uid="{3FD919DB-5ABE-4D65-B2A9-B19D6166601C}"/>
    <cellStyle name="Comma 11 3 2 3 4 6 2 2" xfId="53940" xr:uid="{7A963048-D272-4D59-BB87-0DD2AAF327F3}"/>
    <cellStyle name="Comma 11 3 2 3 4 6 3" xfId="38820" xr:uid="{D35DCB7F-707E-479F-A3EF-8E4D99BAECC0}"/>
    <cellStyle name="Comma 11 3 2 3 4 7" xfId="10092" xr:uid="{B400DDAC-F8A3-4CF3-997E-615AA309F6C7}"/>
    <cellStyle name="Comma 11 3 2 3 4 7 2" xfId="25212" xr:uid="{A68F691C-1C2D-45C9-8C75-0CE6D83877DE}"/>
    <cellStyle name="Comma 11 3 2 3 4 7 2 2" xfId="55452" xr:uid="{C5190A32-91B9-4784-A3D4-965AE157C2D3}"/>
    <cellStyle name="Comma 11 3 2 3 4 7 3" xfId="40332" xr:uid="{BB35F04C-6822-4773-BF14-869F48F982AE}"/>
    <cellStyle name="Comma 11 3 2 3 4 8" xfId="16140" xr:uid="{5AD4A6CF-A6C2-42A0-8F87-A39BFE28B121}"/>
    <cellStyle name="Comma 11 3 2 3 4 8 2" xfId="46380" xr:uid="{E0818344-7C2B-4E42-B47D-CD12A54A8296}"/>
    <cellStyle name="Comma 11 3 2 3 4 9" xfId="31260" xr:uid="{B146576C-7765-4F4A-AA71-F756169DC6BF}"/>
    <cellStyle name="Comma 11 3 2 3 5" xfId="1776" xr:uid="{139DF877-1275-4E5C-A92A-FEBDE12C371F}"/>
    <cellStyle name="Comma 11 3 2 3 5 2" xfId="10848" xr:uid="{858DAAC9-BE9F-4B23-8FB3-E6F10AC168AA}"/>
    <cellStyle name="Comma 11 3 2 3 5 2 2" xfId="25968" xr:uid="{5E07022E-5914-4D13-89E1-ADD56F3091FC}"/>
    <cellStyle name="Comma 11 3 2 3 5 2 2 2" xfId="56208" xr:uid="{3160449D-7A69-4A5A-ADBC-C845BCB195A6}"/>
    <cellStyle name="Comma 11 3 2 3 5 2 3" xfId="41088" xr:uid="{9E4E8B41-B436-4313-9556-ECE2670ED1A5}"/>
    <cellStyle name="Comma 11 3 2 3 5 3" xfId="16896" xr:uid="{2443772A-60E7-4C84-992D-08D1CAA4B54D}"/>
    <cellStyle name="Comma 11 3 2 3 5 3 2" xfId="47136" xr:uid="{285CD3FD-4A46-4873-BB95-40250954E7B5}"/>
    <cellStyle name="Comma 11 3 2 3 5 4" xfId="32016" xr:uid="{5767F67D-F42D-42C5-9EDB-15C0BDDF609A}"/>
    <cellStyle name="Comma 11 3 2 3 6" xfId="3288" xr:uid="{63C5619D-5C97-4009-B350-B421933BA30A}"/>
    <cellStyle name="Comma 11 3 2 3 6 2" xfId="12360" xr:uid="{D396E9FE-AAE3-45A0-84F4-C13F81F58CA2}"/>
    <cellStyle name="Comma 11 3 2 3 6 2 2" xfId="27480" xr:uid="{D682F361-F8E7-4966-B112-48479288DA40}"/>
    <cellStyle name="Comma 11 3 2 3 6 2 2 2" xfId="57720" xr:uid="{C5B5164B-6D83-4723-9D84-1B39DA2EF22D}"/>
    <cellStyle name="Comma 11 3 2 3 6 2 3" xfId="42600" xr:uid="{1119B06C-7033-495E-8228-98D8B8D4878D}"/>
    <cellStyle name="Comma 11 3 2 3 6 3" xfId="18408" xr:uid="{7A91D765-6ACD-4E8A-AF1E-41207910F2D9}"/>
    <cellStyle name="Comma 11 3 2 3 6 3 2" xfId="48648" xr:uid="{019FFEED-CDCD-4D34-A801-B6730805D59D}"/>
    <cellStyle name="Comma 11 3 2 3 6 4" xfId="33528" xr:uid="{C8B8A92C-A708-4450-BD3B-B86B8F3B0BAB}"/>
    <cellStyle name="Comma 11 3 2 3 7" xfId="4800" xr:uid="{6E05780D-A343-4D39-9F73-6A2C1DEF6A43}"/>
    <cellStyle name="Comma 11 3 2 3 7 2" xfId="13872" xr:uid="{A29AC0CD-C726-4BBE-A6BA-56FE5EEAB74B}"/>
    <cellStyle name="Comma 11 3 2 3 7 2 2" xfId="28992" xr:uid="{C5377F9C-F331-4C6E-9BD6-F10E6C2516AF}"/>
    <cellStyle name="Comma 11 3 2 3 7 2 2 2" xfId="59232" xr:uid="{C47B512B-47C6-4709-8E85-1DF2D9B5D922}"/>
    <cellStyle name="Comma 11 3 2 3 7 2 3" xfId="44112" xr:uid="{328CC20D-CBDB-425B-932B-0180D06E0BEC}"/>
    <cellStyle name="Comma 11 3 2 3 7 3" xfId="19920" xr:uid="{3D6F65F1-54C9-49EF-BE91-332EA4CE9BF0}"/>
    <cellStyle name="Comma 11 3 2 3 7 3 2" xfId="50160" xr:uid="{E0566E7D-12B6-48CD-9BD1-02809FE78D77}"/>
    <cellStyle name="Comma 11 3 2 3 7 4" xfId="35040" xr:uid="{E1C91A77-A3B7-447B-A1E7-57E4C801FB3C}"/>
    <cellStyle name="Comma 11 3 2 3 8" xfId="6312" xr:uid="{E8833D06-2FDB-499D-83AF-F893CF539D97}"/>
    <cellStyle name="Comma 11 3 2 3 8 2" xfId="21432" xr:uid="{072AC4E7-973C-4152-8377-EB32018383F0}"/>
    <cellStyle name="Comma 11 3 2 3 8 2 2" xfId="51672" xr:uid="{759338B7-B08F-4E11-B1B8-1B52EA1C70E2}"/>
    <cellStyle name="Comma 11 3 2 3 8 3" xfId="36552" xr:uid="{FE41E0BE-6156-477A-95A7-73B3A72DE68A}"/>
    <cellStyle name="Comma 11 3 2 3 9" xfId="7824" xr:uid="{32A1D9C8-E3A2-40C5-BF27-D6C215755E6B}"/>
    <cellStyle name="Comma 11 3 2 3 9 2" xfId="22944" xr:uid="{EAA82392-D317-405D-BFF4-5A6E300AB490}"/>
    <cellStyle name="Comma 11 3 2 3 9 2 2" xfId="53184" xr:uid="{4FCA63E7-163A-42A6-ABA3-001A7B48ECD9}"/>
    <cellStyle name="Comma 11 3 2 3 9 3" xfId="38064" xr:uid="{025671C9-6865-4B42-9D45-06D7E93B0B20}"/>
    <cellStyle name="Comma 11 3 2 4" xfId="348" xr:uid="{F5C30783-6783-4BD3-A8AD-035C374E857B}"/>
    <cellStyle name="Comma 11 3 2 4 10" xfId="30588" xr:uid="{1D9E6357-8476-4502-8824-62F90D840760}"/>
    <cellStyle name="Comma 11 3 2 4 2" xfId="1104" xr:uid="{1B724271-61DD-475E-8E11-49C349E7B8FD}"/>
    <cellStyle name="Comma 11 3 2 4 2 2" xfId="2616" xr:uid="{3A2E0BAA-8E82-474F-9D4D-ADFF31FB046C}"/>
    <cellStyle name="Comma 11 3 2 4 2 2 2" xfId="11688" xr:uid="{E47E75CF-7EAC-4593-89A3-B6B4B68AE341}"/>
    <cellStyle name="Comma 11 3 2 4 2 2 2 2" xfId="26808" xr:uid="{366D6509-02E1-45C8-A756-3F3C92413388}"/>
    <cellStyle name="Comma 11 3 2 4 2 2 2 2 2" xfId="57048" xr:uid="{CD16DFC3-046B-4BDA-887E-DD211D8FE1DB}"/>
    <cellStyle name="Comma 11 3 2 4 2 2 2 3" xfId="41928" xr:uid="{08780238-D362-4CB0-BB1D-715734BB1897}"/>
    <cellStyle name="Comma 11 3 2 4 2 2 3" xfId="17736" xr:uid="{CD6E125A-BD75-49F8-8D10-7BF8E2E0B8C2}"/>
    <cellStyle name="Comma 11 3 2 4 2 2 3 2" xfId="47976" xr:uid="{20C4053C-3CE3-47A7-9ED8-8D56501F99FA}"/>
    <cellStyle name="Comma 11 3 2 4 2 2 4" xfId="32856" xr:uid="{E9105FEB-EA09-4FDC-A0AF-A9E8C874D6B8}"/>
    <cellStyle name="Comma 11 3 2 4 2 3" xfId="4128" xr:uid="{7D336898-933A-461A-AEC5-8B336F63C77E}"/>
    <cellStyle name="Comma 11 3 2 4 2 3 2" xfId="13200" xr:uid="{DB36A7BD-9AFD-4574-BC24-20632BAC0A2D}"/>
    <cellStyle name="Comma 11 3 2 4 2 3 2 2" xfId="28320" xr:uid="{706A24FB-FCB2-4958-A5BE-1189B3EADEFA}"/>
    <cellStyle name="Comma 11 3 2 4 2 3 2 2 2" xfId="58560" xr:uid="{D72BB8B0-52EC-4143-A8BB-27F677CE7067}"/>
    <cellStyle name="Comma 11 3 2 4 2 3 2 3" xfId="43440" xr:uid="{B53248F9-79BA-43F1-BE4D-A2F33CF215A1}"/>
    <cellStyle name="Comma 11 3 2 4 2 3 3" xfId="19248" xr:uid="{62E632FC-112F-4169-9453-AE35DA44F69D}"/>
    <cellStyle name="Comma 11 3 2 4 2 3 3 2" xfId="49488" xr:uid="{F15E66F9-5197-463B-A203-583A0E5636C6}"/>
    <cellStyle name="Comma 11 3 2 4 2 3 4" xfId="34368" xr:uid="{8E6A2312-0DD0-46EC-859E-812EC514F878}"/>
    <cellStyle name="Comma 11 3 2 4 2 4" xfId="5640" xr:uid="{45BD7CED-71C2-426C-A9BA-9BBB908D04F0}"/>
    <cellStyle name="Comma 11 3 2 4 2 4 2" xfId="14712" xr:uid="{12864D2A-D773-4E20-9588-3359A1A77160}"/>
    <cellStyle name="Comma 11 3 2 4 2 4 2 2" xfId="29832" xr:uid="{5A11BA66-B311-475D-B814-16C2E7005BCC}"/>
    <cellStyle name="Comma 11 3 2 4 2 4 2 2 2" xfId="60072" xr:uid="{8DA2F4DB-94CB-4799-8E98-4E70E64260D2}"/>
    <cellStyle name="Comma 11 3 2 4 2 4 2 3" xfId="44952" xr:uid="{4F403F97-4DC5-4515-803D-E0A17E6C2181}"/>
    <cellStyle name="Comma 11 3 2 4 2 4 3" xfId="20760" xr:uid="{936F1CED-5F43-4D69-9D2C-A55806D3EEDD}"/>
    <cellStyle name="Comma 11 3 2 4 2 4 3 2" xfId="51000" xr:uid="{981AD1EC-598F-4226-97D6-E05966212C99}"/>
    <cellStyle name="Comma 11 3 2 4 2 4 4" xfId="35880" xr:uid="{1945BA0B-2A18-47C9-91B9-D3C93AFC8B81}"/>
    <cellStyle name="Comma 11 3 2 4 2 5" xfId="7152" xr:uid="{7F53C40C-3109-4D58-B359-C764121322D9}"/>
    <cellStyle name="Comma 11 3 2 4 2 5 2" xfId="22272" xr:uid="{37C14B69-77DE-4F9A-8BB3-2FB694481489}"/>
    <cellStyle name="Comma 11 3 2 4 2 5 2 2" xfId="52512" xr:uid="{B80FADE2-9946-4CFB-8337-B3D40D34BB6F}"/>
    <cellStyle name="Comma 11 3 2 4 2 5 3" xfId="37392" xr:uid="{E974C581-0326-4258-9A4E-BB3974589A7A}"/>
    <cellStyle name="Comma 11 3 2 4 2 6" xfId="8664" xr:uid="{5D2888A2-A83E-426E-BE25-5CACBCCD3942}"/>
    <cellStyle name="Comma 11 3 2 4 2 6 2" xfId="23784" xr:uid="{2FF2AA9D-9A90-4247-A2B0-CDBCF950A6A1}"/>
    <cellStyle name="Comma 11 3 2 4 2 6 2 2" xfId="54024" xr:uid="{F9BC9C7D-088E-475B-837D-E963B6775A86}"/>
    <cellStyle name="Comma 11 3 2 4 2 6 3" xfId="38904" xr:uid="{7581D88F-22EC-46DB-B416-D59D8C2A2CC4}"/>
    <cellStyle name="Comma 11 3 2 4 2 7" xfId="10176" xr:uid="{55E6D795-35A4-4EFB-8225-FF2FDD47BCCF}"/>
    <cellStyle name="Comma 11 3 2 4 2 7 2" xfId="25296" xr:uid="{CFDE82C9-53CC-4A6F-8448-1A3F249E55BE}"/>
    <cellStyle name="Comma 11 3 2 4 2 7 2 2" xfId="55536" xr:uid="{F251EE49-6145-46BA-A362-2A599B91309E}"/>
    <cellStyle name="Comma 11 3 2 4 2 7 3" xfId="40416" xr:uid="{34385AE7-0741-4781-B7C9-1300344C2AC8}"/>
    <cellStyle name="Comma 11 3 2 4 2 8" xfId="16224" xr:uid="{40D459DE-6348-4091-9D31-93BC5CB76173}"/>
    <cellStyle name="Comma 11 3 2 4 2 8 2" xfId="46464" xr:uid="{54DD14E8-0539-43AC-BD7B-B994ADD3AE6C}"/>
    <cellStyle name="Comma 11 3 2 4 2 9" xfId="31344" xr:uid="{5A2DB7BD-9D46-4369-BEA6-154410536DFD}"/>
    <cellStyle name="Comma 11 3 2 4 3" xfId="1860" xr:uid="{AB3CB39F-825F-4863-A769-649BDF79C7A6}"/>
    <cellStyle name="Comma 11 3 2 4 3 2" xfId="10932" xr:uid="{E7183541-EE64-42D3-AF22-603FC6BAB8E3}"/>
    <cellStyle name="Comma 11 3 2 4 3 2 2" xfId="26052" xr:uid="{1D7A1903-8450-49DC-8CF3-7462459D532C}"/>
    <cellStyle name="Comma 11 3 2 4 3 2 2 2" xfId="56292" xr:uid="{25D6EC34-BA16-4E23-83D0-DB972CDB2449}"/>
    <cellStyle name="Comma 11 3 2 4 3 2 3" xfId="41172" xr:uid="{147C753B-C22C-4E82-A792-A65C0CDE98CF}"/>
    <cellStyle name="Comma 11 3 2 4 3 3" xfId="16980" xr:uid="{C3831C51-7F94-4B3E-AA0A-E6AA9118A5E9}"/>
    <cellStyle name="Comma 11 3 2 4 3 3 2" xfId="47220" xr:uid="{3EE0A73D-8D62-461C-A820-9149579696F2}"/>
    <cellStyle name="Comma 11 3 2 4 3 4" xfId="32100" xr:uid="{7E0CCAC2-D328-4C83-9291-7E682DB340B3}"/>
    <cellStyle name="Comma 11 3 2 4 4" xfId="3372" xr:uid="{8E2EA2F8-D079-4CA2-A341-A7DF83C48F2E}"/>
    <cellStyle name="Comma 11 3 2 4 4 2" xfId="12444" xr:uid="{F4851607-B4DA-462F-B02B-2343B766E057}"/>
    <cellStyle name="Comma 11 3 2 4 4 2 2" xfId="27564" xr:uid="{CA86DE73-FB73-4618-939F-56FEBB61CE71}"/>
    <cellStyle name="Comma 11 3 2 4 4 2 2 2" xfId="57804" xr:uid="{C17D64FE-D7FC-4D4F-B5EE-2523FCBDDB93}"/>
    <cellStyle name="Comma 11 3 2 4 4 2 3" xfId="42684" xr:uid="{9B3F2A07-6287-4F9B-A61A-DB790538092E}"/>
    <cellStyle name="Comma 11 3 2 4 4 3" xfId="18492" xr:uid="{EEE37B04-ADFD-41EE-8CB6-EFAD3DB14CC6}"/>
    <cellStyle name="Comma 11 3 2 4 4 3 2" xfId="48732" xr:uid="{6A1450E7-0AEC-4757-9D03-1D560003849F}"/>
    <cellStyle name="Comma 11 3 2 4 4 4" xfId="33612" xr:uid="{0C850905-0C4F-49A4-9B99-A962ECFEBD27}"/>
    <cellStyle name="Comma 11 3 2 4 5" xfId="4884" xr:uid="{BBC0A86D-2E2B-42A7-9666-2AE4B586362C}"/>
    <cellStyle name="Comma 11 3 2 4 5 2" xfId="13956" xr:uid="{AA1C449A-909D-44B6-8AFC-787E9CB9B8CC}"/>
    <cellStyle name="Comma 11 3 2 4 5 2 2" xfId="29076" xr:uid="{60FF0B39-79C9-473A-98B7-58F60CE2666A}"/>
    <cellStyle name="Comma 11 3 2 4 5 2 2 2" xfId="59316" xr:uid="{0E596700-1502-49D7-BDBD-7823B0E36878}"/>
    <cellStyle name="Comma 11 3 2 4 5 2 3" xfId="44196" xr:uid="{7EC34CF3-DEC5-4FAE-96D0-6B2C1FC77051}"/>
    <cellStyle name="Comma 11 3 2 4 5 3" xfId="20004" xr:uid="{A524A923-C6B9-459F-BA98-BC920147D68D}"/>
    <cellStyle name="Comma 11 3 2 4 5 3 2" xfId="50244" xr:uid="{47BEB1D9-4FA4-4F00-9A09-D4B3DC6B05D2}"/>
    <cellStyle name="Comma 11 3 2 4 5 4" xfId="35124" xr:uid="{D843ABF7-2425-4F7A-8350-9490F471F8FB}"/>
    <cellStyle name="Comma 11 3 2 4 6" xfId="6396" xr:uid="{774F83D8-77D1-420D-9F15-42D4B3C0F177}"/>
    <cellStyle name="Comma 11 3 2 4 6 2" xfId="21516" xr:uid="{391E0983-8295-413B-9348-193FC175A07D}"/>
    <cellStyle name="Comma 11 3 2 4 6 2 2" xfId="51756" xr:uid="{CBA5163D-21D5-47BB-9197-2701D8FC7652}"/>
    <cellStyle name="Comma 11 3 2 4 6 3" xfId="36636" xr:uid="{DAA373CE-B474-46CE-8900-189C188FBA5F}"/>
    <cellStyle name="Comma 11 3 2 4 7" xfId="7908" xr:uid="{88E56DBE-AB2E-40C2-93F9-4DB36276BB20}"/>
    <cellStyle name="Comma 11 3 2 4 7 2" xfId="23028" xr:uid="{13444C9A-7A4B-4737-A056-463E041F3D6F}"/>
    <cellStyle name="Comma 11 3 2 4 7 2 2" xfId="53268" xr:uid="{345EF7DB-08DA-471C-B779-C02CA8269334}"/>
    <cellStyle name="Comma 11 3 2 4 7 3" xfId="38148" xr:uid="{9EFF943E-704B-4847-B6D7-D5568CB8BF52}"/>
    <cellStyle name="Comma 11 3 2 4 8" xfId="9420" xr:uid="{D00EF110-02F6-4BBE-B8DB-1837C40848EC}"/>
    <cellStyle name="Comma 11 3 2 4 8 2" xfId="24540" xr:uid="{DC6B54ED-519C-49F5-A550-032FB890EF89}"/>
    <cellStyle name="Comma 11 3 2 4 8 2 2" xfId="54780" xr:uid="{29FA7A55-BD73-4D27-ACF2-3DA904312662}"/>
    <cellStyle name="Comma 11 3 2 4 8 3" xfId="39660" xr:uid="{56083B08-F501-46A3-B763-5F644D755C48}"/>
    <cellStyle name="Comma 11 3 2 4 9" xfId="15468" xr:uid="{0F0B1DDA-6387-4296-AB86-B0B582E72B35}"/>
    <cellStyle name="Comma 11 3 2 4 9 2" xfId="45708" xr:uid="{06FEE35A-FB14-4CAF-98F2-7DCF23964E96}"/>
    <cellStyle name="Comma 11 3 2 5" xfId="600" xr:uid="{74322391-8C90-4490-847F-406D25EE720F}"/>
    <cellStyle name="Comma 11 3 2 5 10" xfId="30840" xr:uid="{7662F444-5A7A-4E50-BF61-FAFE7C29B5F3}"/>
    <cellStyle name="Comma 11 3 2 5 2" xfId="1356" xr:uid="{FB5DFA44-7746-4F43-BAF1-449D35E1117C}"/>
    <cellStyle name="Comma 11 3 2 5 2 2" xfId="2868" xr:uid="{5CB66016-B823-46E4-B8AB-A434432034E8}"/>
    <cellStyle name="Comma 11 3 2 5 2 2 2" xfId="11940" xr:uid="{0153C7CC-6A5F-440E-8644-6E98DB2143F8}"/>
    <cellStyle name="Comma 11 3 2 5 2 2 2 2" xfId="27060" xr:uid="{FC9309D6-7CF9-47A5-86F4-ED3D69DEB2C8}"/>
    <cellStyle name="Comma 11 3 2 5 2 2 2 2 2" xfId="57300" xr:uid="{A89C373E-B5F0-476C-A429-EA4741504C06}"/>
    <cellStyle name="Comma 11 3 2 5 2 2 2 3" xfId="42180" xr:uid="{568B986C-7F86-4C22-A41B-557D6D6B556B}"/>
    <cellStyle name="Comma 11 3 2 5 2 2 3" xfId="17988" xr:uid="{8F2D2018-7F42-4E9C-B54D-8394B804364C}"/>
    <cellStyle name="Comma 11 3 2 5 2 2 3 2" xfId="48228" xr:uid="{76052712-BC2B-46E3-8F51-C1B87BDD05FE}"/>
    <cellStyle name="Comma 11 3 2 5 2 2 4" xfId="33108" xr:uid="{5B1C0311-1864-40E4-BE1D-83B9C25A07A2}"/>
    <cellStyle name="Comma 11 3 2 5 2 3" xfId="4380" xr:uid="{09123D07-A83D-436B-BF79-2F063E0AA64A}"/>
    <cellStyle name="Comma 11 3 2 5 2 3 2" xfId="13452" xr:uid="{2119341D-D179-4430-947B-4A8B0662AA05}"/>
    <cellStyle name="Comma 11 3 2 5 2 3 2 2" xfId="28572" xr:uid="{570C9B86-DD65-4205-92F2-634876516791}"/>
    <cellStyle name="Comma 11 3 2 5 2 3 2 2 2" xfId="58812" xr:uid="{0BC97CA4-752F-4C86-931E-607F8C7C0A37}"/>
    <cellStyle name="Comma 11 3 2 5 2 3 2 3" xfId="43692" xr:uid="{21663704-15E1-4848-B46A-74813E148A80}"/>
    <cellStyle name="Comma 11 3 2 5 2 3 3" xfId="19500" xr:uid="{D9D59645-A6E7-4A0D-B4E4-13E475B24CAE}"/>
    <cellStyle name="Comma 11 3 2 5 2 3 3 2" xfId="49740" xr:uid="{09F4FEF0-B545-491A-8906-F551337F86AC}"/>
    <cellStyle name="Comma 11 3 2 5 2 3 4" xfId="34620" xr:uid="{5359D6DA-9353-4A1E-B013-7C3D9122E662}"/>
    <cellStyle name="Comma 11 3 2 5 2 4" xfId="5892" xr:uid="{550CB963-BC82-41B3-AB28-07A8EB06A693}"/>
    <cellStyle name="Comma 11 3 2 5 2 4 2" xfId="14964" xr:uid="{976986FE-D596-496E-9BA3-5897DC263FF0}"/>
    <cellStyle name="Comma 11 3 2 5 2 4 2 2" xfId="30084" xr:uid="{6668C488-8F48-4A12-BAF0-9BA1DD41CDFC}"/>
    <cellStyle name="Comma 11 3 2 5 2 4 2 2 2" xfId="60324" xr:uid="{BB943A6D-85D5-4D97-991A-E7AD914B8A9F}"/>
    <cellStyle name="Comma 11 3 2 5 2 4 2 3" xfId="45204" xr:uid="{504CCF83-655A-4FA5-8D77-58310E15A229}"/>
    <cellStyle name="Comma 11 3 2 5 2 4 3" xfId="21012" xr:uid="{7068F806-256E-44FB-B74A-807189AEA0D8}"/>
    <cellStyle name="Comma 11 3 2 5 2 4 3 2" xfId="51252" xr:uid="{241729C6-8FF2-4E9B-BD20-731C90F81F5F}"/>
    <cellStyle name="Comma 11 3 2 5 2 4 4" xfId="36132" xr:uid="{EDFBE772-8BA0-4F7A-9677-B73E2E68CC0B}"/>
    <cellStyle name="Comma 11 3 2 5 2 5" xfId="7404" xr:uid="{9E234893-00B8-4730-ACF9-93FF34E8437A}"/>
    <cellStyle name="Comma 11 3 2 5 2 5 2" xfId="22524" xr:uid="{C5D5F311-695E-40E4-8548-2D5DC7AB3D8F}"/>
    <cellStyle name="Comma 11 3 2 5 2 5 2 2" xfId="52764" xr:uid="{25ECAB6F-9469-4380-88D4-B7E26713F41B}"/>
    <cellStyle name="Comma 11 3 2 5 2 5 3" xfId="37644" xr:uid="{9F3577D0-6798-42C6-A54D-6E4B49C53187}"/>
    <cellStyle name="Comma 11 3 2 5 2 6" xfId="8916" xr:uid="{E8D18C2D-30B1-4904-9864-7BE7CF280661}"/>
    <cellStyle name="Comma 11 3 2 5 2 6 2" xfId="24036" xr:uid="{E71895F9-FD11-4D0A-B997-878BC6EB7E30}"/>
    <cellStyle name="Comma 11 3 2 5 2 6 2 2" xfId="54276" xr:uid="{9D0EBCBE-D3CA-45C9-B1EF-A4BC160EA9A4}"/>
    <cellStyle name="Comma 11 3 2 5 2 6 3" xfId="39156" xr:uid="{E9E7DE82-91AD-4AD6-A9C0-88D98F21B064}"/>
    <cellStyle name="Comma 11 3 2 5 2 7" xfId="10428" xr:uid="{5DAA6106-4933-4696-BD27-150BAA1DD8DD}"/>
    <cellStyle name="Comma 11 3 2 5 2 7 2" xfId="25548" xr:uid="{9C01B231-67DA-4C3C-A8F0-5B543E7A9227}"/>
    <cellStyle name="Comma 11 3 2 5 2 7 2 2" xfId="55788" xr:uid="{FF5AEDBA-24BA-40A3-A49E-CD304BDE16AE}"/>
    <cellStyle name="Comma 11 3 2 5 2 7 3" xfId="40668" xr:uid="{28DB0A74-F19A-4506-9804-1220CA688090}"/>
    <cellStyle name="Comma 11 3 2 5 2 8" xfId="16476" xr:uid="{B55D9878-B32F-4714-B2AD-7A1D13487CF3}"/>
    <cellStyle name="Comma 11 3 2 5 2 8 2" xfId="46716" xr:uid="{290A270E-D7AD-42D6-AC98-10DD3B4A7A7D}"/>
    <cellStyle name="Comma 11 3 2 5 2 9" xfId="31596" xr:uid="{829D175F-F1DA-4064-8EA7-513824067E0D}"/>
    <cellStyle name="Comma 11 3 2 5 3" xfId="2112" xr:uid="{B917C887-7528-4C6E-B9C6-7EE5F4A55033}"/>
    <cellStyle name="Comma 11 3 2 5 3 2" xfId="11184" xr:uid="{F8CE8F83-2634-46D8-8B59-AF9CAA86C236}"/>
    <cellStyle name="Comma 11 3 2 5 3 2 2" xfId="26304" xr:uid="{A0E0B599-A727-46C6-BF62-2C41B467C603}"/>
    <cellStyle name="Comma 11 3 2 5 3 2 2 2" xfId="56544" xr:uid="{ADE619E6-5806-46D5-84C5-139928E09991}"/>
    <cellStyle name="Comma 11 3 2 5 3 2 3" xfId="41424" xr:uid="{E6675B70-0233-40FF-8A63-176B3F160FE2}"/>
    <cellStyle name="Comma 11 3 2 5 3 3" xfId="17232" xr:uid="{8801AE51-E021-42D5-8839-FD2425256DF0}"/>
    <cellStyle name="Comma 11 3 2 5 3 3 2" xfId="47472" xr:uid="{41F6612D-C8EB-4E10-990C-0BDE8ED91793}"/>
    <cellStyle name="Comma 11 3 2 5 3 4" xfId="32352" xr:uid="{5A54BD59-C416-45AD-A51C-B1C92BB19968}"/>
    <cellStyle name="Comma 11 3 2 5 4" xfId="3624" xr:uid="{CA0960BE-F44F-412B-97A7-5A90EF226B50}"/>
    <cellStyle name="Comma 11 3 2 5 4 2" xfId="12696" xr:uid="{176F7516-B6B6-404A-95CF-BCE4D2EC127E}"/>
    <cellStyle name="Comma 11 3 2 5 4 2 2" xfId="27816" xr:uid="{150BC972-D5E1-4825-BAA0-B0AF0E3AC53E}"/>
    <cellStyle name="Comma 11 3 2 5 4 2 2 2" xfId="58056" xr:uid="{A66A6ED3-1441-4DAA-ADFD-E31E46AD67F6}"/>
    <cellStyle name="Comma 11 3 2 5 4 2 3" xfId="42936" xr:uid="{E2E9D627-2F3B-45E0-955C-46A583CC8175}"/>
    <cellStyle name="Comma 11 3 2 5 4 3" xfId="18744" xr:uid="{D2F7B6D9-62C5-4C5C-90A6-5CA320C3BC2B}"/>
    <cellStyle name="Comma 11 3 2 5 4 3 2" xfId="48984" xr:uid="{12DAA9DC-8951-4AC0-9466-AAE1D174B32D}"/>
    <cellStyle name="Comma 11 3 2 5 4 4" xfId="33864" xr:uid="{78215C39-882E-4C6D-BE67-F2683D6B24CA}"/>
    <cellStyle name="Comma 11 3 2 5 5" xfId="5136" xr:uid="{AF2550CE-154F-4B38-8DB4-8B0B52FDB07B}"/>
    <cellStyle name="Comma 11 3 2 5 5 2" xfId="14208" xr:uid="{522D118F-A648-4682-B670-0202290503D6}"/>
    <cellStyle name="Comma 11 3 2 5 5 2 2" xfId="29328" xr:uid="{3E2DFD81-CF33-4F9A-8E3F-D5934445E047}"/>
    <cellStyle name="Comma 11 3 2 5 5 2 2 2" xfId="59568" xr:uid="{7D6401B7-9260-4047-99C8-F55F38F2163C}"/>
    <cellStyle name="Comma 11 3 2 5 5 2 3" xfId="44448" xr:uid="{CF097E32-B517-4CAF-ABDF-DFC72A3D3AD6}"/>
    <cellStyle name="Comma 11 3 2 5 5 3" xfId="20256" xr:uid="{E864BBC2-67E0-4050-B48E-30162CDEFF8B}"/>
    <cellStyle name="Comma 11 3 2 5 5 3 2" xfId="50496" xr:uid="{A4EC4568-F94F-4CEF-A0EA-DA4AE283A239}"/>
    <cellStyle name="Comma 11 3 2 5 5 4" xfId="35376" xr:uid="{C3C9C8E6-3319-4F9F-BAB6-DB47DFEE211F}"/>
    <cellStyle name="Comma 11 3 2 5 6" xfId="6648" xr:uid="{639614AB-7272-41C5-8B62-9E969DE2FE27}"/>
    <cellStyle name="Comma 11 3 2 5 6 2" xfId="21768" xr:uid="{4BD6560E-BDAD-4E11-9B6D-28AB8F6E8E9F}"/>
    <cellStyle name="Comma 11 3 2 5 6 2 2" xfId="52008" xr:uid="{9EE90F25-3741-421B-8B52-BD3731FBFA52}"/>
    <cellStyle name="Comma 11 3 2 5 6 3" xfId="36888" xr:uid="{A73B2C75-51FE-49E0-A05D-DA1AEFDCF8F6}"/>
    <cellStyle name="Comma 11 3 2 5 7" xfId="8160" xr:uid="{ABEBBD2B-4385-465E-8B25-9B83CC1C81B6}"/>
    <cellStyle name="Comma 11 3 2 5 7 2" xfId="23280" xr:uid="{7E1D69EE-CB98-4D3B-BF07-56B50D1D5888}"/>
    <cellStyle name="Comma 11 3 2 5 7 2 2" xfId="53520" xr:uid="{53C3F6AE-3107-4F9E-9D81-7B1C4105FF5B}"/>
    <cellStyle name="Comma 11 3 2 5 7 3" xfId="38400" xr:uid="{AA72F572-2F74-4867-8683-1B8844ED07B7}"/>
    <cellStyle name="Comma 11 3 2 5 8" xfId="9672" xr:uid="{6BF78800-1D23-4EDB-AA97-99FCAC1D8086}"/>
    <cellStyle name="Comma 11 3 2 5 8 2" xfId="24792" xr:uid="{199028F1-B443-4437-B65A-351D3B3B6AED}"/>
    <cellStyle name="Comma 11 3 2 5 8 2 2" xfId="55032" xr:uid="{3508560E-C220-46CF-BE54-6F7AEE185DED}"/>
    <cellStyle name="Comma 11 3 2 5 8 3" xfId="39912" xr:uid="{6B9601D3-E2AF-4D3F-8932-163FA8259977}"/>
    <cellStyle name="Comma 11 3 2 5 9" xfId="15720" xr:uid="{50317512-D22B-4D07-ADD6-6C7D33376211}"/>
    <cellStyle name="Comma 11 3 2 5 9 2" xfId="45960" xr:uid="{849B752D-7CD9-49AA-BAC2-06CF69B93E06}"/>
    <cellStyle name="Comma 11 3 2 6" xfId="852" xr:uid="{9E131C3D-B92F-47F9-82D4-6F000A2BE30D}"/>
    <cellStyle name="Comma 11 3 2 6 2" xfId="2364" xr:uid="{8E6918BE-689A-4CA9-8A69-759F79B5A494}"/>
    <cellStyle name="Comma 11 3 2 6 2 2" xfId="11436" xr:uid="{84AFAAB1-38A7-4FCC-AE62-9F56369ED86B}"/>
    <cellStyle name="Comma 11 3 2 6 2 2 2" xfId="26556" xr:uid="{CF1CA2ED-0900-4BE5-A1C5-23143D8D9EB6}"/>
    <cellStyle name="Comma 11 3 2 6 2 2 2 2" xfId="56796" xr:uid="{1AB65110-B4D8-49D0-AFD4-F6FEE5D661C0}"/>
    <cellStyle name="Comma 11 3 2 6 2 2 3" xfId="41676" xr:uid="{B962D21E-9179-40E6-8825-C9D55467E746}"/>
    <cellStyle name="Comma 11 3 2 6 2 3" xfId="17484" xr:uid="{361148D0-D73E-456A-A8C8-F070167C7992}"/>
    <cellStyle name="Comma 11 3 2 6 2 3 2" xfId="47724" xr:uid="{F087E1B1-F99C-4B31-9923-FA26479A7F59}"/>
    <cellStyle name="Comma 11 3 2 6 2 4" xfId="32604" xr:uid="{3CD1D542-D065-42F7-B38F-C7AC16DECCC8}"/>
    <cellStyle name="Comma 11 3 2 6 3" xfId="3876" xr:uid="{4E0DD471-8D59-414F-A153-8BAB727164A8}"/>
    <cellStyle name="Comma 11 3 2 6 3 2" xfId="12948" xr:uid="{8C1CA73E-7FA3-4B7A-B2D7-9B73FF7CA5B8}"/>
    <cellStyle name="Comma 11 3 2 6 3 2 2" xfId="28068" xr:uid="{BEC8C868-8EC9-486E-8A5B-DC564AA51F43}"/>
    <cellStyle name="Comma 11 3 2 6 3 2 2 2" xfId="58308" xr:uid="{EF79885B-4D95-4267-AF91-D376904DCC8A}"/>
    <cellStyle name="Comma 11 3 2 6 3 2 3" xfId="43188" xr:uid="{C022078B-C61F-4722-8994-8632CFEEB3C9}"/>
    <cellStyle name="Comma 11 3 2 6 3 3" xfId="18996" xr:uid="{419E7C16-2640-4B30-B07E-03DECEE80BF2}"/>
    <cellStyle name="Comma 11 3 2 6 3 3 2" xfId="49236" xr:uid="{BBBACE51-770F-42B7-88E1-4C2BCB27140A}"/>
    <cellStyle name="Comma 11 3 2 6 3 4" xfId="34116" xr:uid="{6C7D1DBD-8D65-4473-8D68-BE95D483E91F}"/>
    <cellStyle name="Comma 11 3 2 6 4" xfId="5388" xr:uid="{76FA389E-6CAC-4FF2-9119-20FC3A5D3B01}"/>
    <cellStyle name="Comma 11 3 2 6 4 2" xfId="14460" xr:uid="{B5B09124-7D7B-4954-BBFE-85F739265F4C}"/>
    <cellStyle name="Comma 11 3 2 6 4 2 2" xfId="29580" xr:uid="{67C612FF-156C-4CBC-BA42-03552FA1CF76}"/>
    <cellStyle name="Comma 11 3 2 6 4 2 2 2" xfId="59820" xr:uid="{86BA263E-6513-41EF-91FB-A1088DF6E798}"/>
    <cellStyle name="Comma 11 3 2 6 4 2 3" xfId="44700" xr:uid="{58BE9525-38BF-4835-B6B3-68B041674A99}"/>
    <cellStyle name="Comma 11 3 2 6 4 3" xfId="20508" xr:uid="{0C46F985-D837-467B-BE2C-5B69504623CC}"/>
    <cellStyle name="Comma 11 3 2 6 4 3 2" xfId="50748" xr:uid="{5B233986-9989-4D53-A8D0-2D5100DCC47C}"/>
    <cellStyle name="Comma 11 3 2 6 4 4" xfId="35628" xr:uid="{BEBA8320-3183-4E15-B8D0-58F238E5BB40}"/>
    <cellStyle name="Comma 11 3 2 6 5" xfId="6900" xr:uid="{C0B76457-4731-48E2-B426-CC5CA03C95DC}"/>
    <cellStyle name="Comma 11 3 2 6 5 2" xfId="22020" xr:uid="{FF986D2B-B8C6-486D-89D8-F08727AFE916}"/>
    <cellStyle name="Comma 11 3 2 6 5 2 2" xfId="52260" xr:uid="{42BAA4EF-B963-46BD-832E-5642F932081F}"/>
    <cellStyle name="Comma 11 3 2 6 5 3" xfId="37140" xr:uid="{AAB8E8B1-3F82-4242-A98F-EA8A36471022}"/>
    <cellStyle name="Comma 11 3 2 6 6" xfId="8412" xr:uid="{266524BF-E4FA-4AB7-A758-20E2AA841FBC}"/>
    <cellStyle name="Comma 11 3 2 6 6 2" xfId="23532" xr:uid="{797D5292-A8E2-40D8-9DE1-1542DF8A5E75}"/>
    <cellStyle name="Comma 11 3 2 6 6 2 2" xfId="53772" xr:uid="{AE31327D-8432-43A3-B447-AD5413728074}"/>
    <cellStyle name="Comma 11 3 2 6 6 3" xfId="38652" xr:uid="{E3009E72-77B3-4C2F-9E0A-A0A7B220F429}"/>
    <cellStyle name="Comma 11 3 2 6 7" xfId="9924" xr:uid="{7887AC30-3844-4EF8-AD22-81445D22380D}"/>
    <cellStyle name="Comma 11 3 2 6 7 2" xfId="25044" xr:uid="{24D07F7D-7D75-4A0F-9301-4E48C7BAE5F7}"/>
    <cellStyle name="Comma 11 3 2 6 7 2 2" xfId="55284" xr:uid="{1AE19E1B-6188-4B99-A6FB-A9EFD6606C23}"/>
    <cellStyle name="Comma 11 3 2 6 7 3" xfId="40164" xr:uid="{0DD2B396-F4F4-4B2B-BD51-0E65BC9EB59B}"/>
    <cellStyle name="Comma 11 3 2 6 8" xfId="15972" xr:uid="{5EC62BED-B465-42DD-814A-A0F0209CEEDA}"/>
    <cellStyle name="Comma 11 3 2 6 8 2" xfId="46212" xr:uid="{D3197276-20B7-4FC7-ADC3-63F70EC68AE7}"/>
    <cellStyle name="Comma 11 3 2 6 9" xfId="31092" xr:uid="{D1435EE4-7D93-4FFE-9127-66A3F5F95A1F}"/>
    <cellStyle name="Comma 11 3 2 7" xfId="1608" xr:uid="{C5489CAE-7BFF-47BE-B47F-2B6EABC9887A}"/>
    <cellStyle name="Comma 11 3 2 7 2" xfId="10680" xr:uid="{B1AF9690-7932-4DD8-B536-EC41EA2DDA29}"/>
    <cellStyle name="Comma 11 3 2 7 2 2" xfId="25800" xr:uid="{53FFA27C-CCA6-4DB2-9C62-F22CC1BD9FE2}"/>
    <cellStyle name="Comma 11 3 2 7 2 2 2" xfId="56040" xr:uid="{A2A638E6-03C5-4BAC-A758-C3CF079A31A3}"/>
    <cellStyle name="Comma 11 3 2 7 2 3" xfId="40920" xr:uid="{84D0E65B-2585-40D8-8240-521D6C571525}"/>
    <cellStyle name="Comma 11 3 2 7 3" xfId="16728" xr:uid="{BDFFADAA-AE49-41EB-98F7-C5E036290808}"/>
    <cellStyle name="Comma 11 3 2 7 3 2" xfId="46968" xr:uid="{E05C490A-9BB5-4650-869C-F17EE9454BFB}"/>
    <cellStyle name="Comma 11 3 2 7 4" xfId="31848" xr:uid="{FAC5E716-D506-4088-9B15-2E2BDD77875F}"/>
    <cellStyle name="Comma 11 3 2 8" xfId="3120" xr:uid="{05AF32B8-C4EC-488C-96F1-5622322376AD}"/>
    <cellStyle name="Comma 11 3 2 8 2" xfId="12192" xr:uid="{A87C3296-EFDD-4958-9C3A-E90F1D4D751B}"/>
    <cellStyle name="Comma 11 3 2 8 2 2" xfId="27312" xr:uid="{FE565281-A1C0-4BBC-8282-6D343BC00AC6}"/>
    <cellStyle name="Comma 11 3 2 8 2 2 2" xfId="57552" xr:uid="{B48E91F6-041D-47FB-BF03-1BC829F8A027}"/>
    <cellStyle name="Comma 11 3 2 8 2 3" xfId="42432" xr:uid="{615CEDF8-57BE-4911-8145-6B38AC0F8E8C}"/>
    <cellStyle name="Comma 11 3 2 8 3" xfId="18240" xr:uid="{815266E8-30A4-4B31-AD5B-ADC47908D8FD}"/>
    <cellStyle name="Comma 11 3 2 8 3 2" xfId="48480" xr:uid="{E62D4D06-799E-4122-B852-6FB083FF051D}"/>
    <cellStyle name="Comma 11 3 2 8 4" xfId="33360" xr:uid="{1922740A-FD65-4A80-82AC-56F6CCD3E42B}"/>
    <cellStyle name="Comma 11 3 2 9" xfId="4632" xr:uid="{C97C3C8B-4B2C-4DAE-8ED4-17AE82206FD4}"/>
    <cellStyle name="Comma 11 3 2 9 2" xfId="13704" xr:uid="{8DAB8710-8F1C-4333-84E8-8B1D9A7E4435}"/>
    <cellStyle name="Comma 11 3 2 9 2 2" xfId="28824" xr:uid="{9443DA80-70D8-4216-BAE4-DBFB801E9FFC}"/>
    <cellStyle name="Comma 11 3 2 9 2 2 2" xfId="59064" xr:uid="{DF82BF0A-03B9-4851-B0EF-D8A73FE7263D}"/>
    <cellStyle name="Comma 11 3 2 9 2 3" xfId="43944" xr:uid="{5915473E-5828-4F43-80C6-7DF54C3D5BAD}"/>
    <cellStyle name="Comma 11 3 2 9 3" xfId="19752" xr:uid="{0D68D2B8-A134-4DDF-B3B5-80C73CDD4C1A}"/>
    <cellStyle name="Comma 11 3 2 9 3 2" xfId="49992" xr:uid="{73C3FC00-3706-4223-9D15-9CE5D1B87668}"/>
    <cellStyle name="Comma 11 3 2 9 4" xfId="34872" xr:uid="{951160D8-A75B-45B5-9B82-585D2420B444}"/>
    <cellStyle name="Comma 11 3 3" xfId="138" xr:uid="{43E21BE0-E918-4DBD-845B-E950BCFCA6ED}"/>
    <cellStyle name="Comma 11 3 3 10" xfId="9210" xr:uid="{09C1039E-D8D8-4FA6-BC45-BE821AF77E4B}"/>
    <cellStyle name="Comma 11 3 3 10 2" xfId="24330" xr:uid="{027B3A7E-7FF9-4DD0-A9BC-A2FC4D16496B}"/>
    <cellStyle name="Comma 11 3 3 10 2 2" xfId="54570" xr:uid="{8228B90E-8311-4E42-BA74-9CA0633E48E1}"/>
    <cellStyle name="Comma 11 3 3 10 3" xfId="39450" xr:uid="{E1D68B35-E207-414D-B36E-36B9BFCB34B0}"/>
    <cellStyle name="Comma 11 3 3 11" xfId="15258" xr:uid="{BA57BFDE-D640-49AC-AE69-DA4D635AE18B}"/>
    <cellStyle name="Comma 11 3 3 11 2" xfId="45498" xr:uid="{9F54B758-D065-4956-88E5-ADB1E74957A8}"/>
    <cellStyle name="Comma 11 3 3 12" xfId="30378" xr:uid="{F341AC48-515B-4DA2-B2A1-92BA7FB75E2B}"/>
    <cellStyle name="Comma 11 3 3 2" xfId="390" xr:uid="{16A2FC7D-12C6-4060-A50F-6B2E0CC7A71E}"/>
    <cellStyle name="Comma 11 3 3 2 10" xfId="30630" xr:uid="{73836896-9A52-4894-BDFB-69E56B8217C3}"/>
    <cellStyle name="Comma 11 3 3 2 2" xfId="1146" xr:uid="{43EF02CB-FDB0-4206-891E-11A92DF54AB6}"/>
    <cellStyle name="Comma 11 3 3 2 2 2" xfId="2658" xr:uid="{01308330-5FC6-4F0B-900A-658504FF81CB}"/>
    <cellStyle name="Comma 11 3 3 2 2 2 2" xfId="11730" xr:uid="{958D0039-2EBE-48C0-8620-A0C4F894DF6B}"/>
    <cellStyle name="Comma 11 3 3 2 2 2 2 2" xfId="26850" xr:uid="{78DC258B-1A53-49E9-AC2D-208C4131CE5F}"/>
    <cellStyle name="Comma 11 3 3 2 2 2 2 2 2" xfId="57090" xr:uid="{D470D6D5-1F94-48A4-88A8-94D2FA619CD6}"/>
    <cellStyle name="Comma 11 3 3 2 2 2 2 3" xfId="41970" xr:uid="{DE439930-E407-4538-93CE-C708C17227CA}"/>
    <cellStyle name="Comma 11 3 3 2 2 2 3" xfId="17778" xr:uid="{ECCE9299-0ECB-48C4-80F5-DF3A8EAF6AAE}"/>
    <cellStyle name="Comma 11 3 3 2 2 2 3 2" xfId="48018" xr:uid="{F7BE49D4-5618-413C-951E-07B5D224EFDD}"/>
    <cellStyle name="Comma 11 3 3 2 2 2 4" xfId="32898" xr:uid="{C4BB56E6-0333-40CB-92D7-91D30569A9D2}"/>
    <cellStyle name="Comma 11 3 3 2 2 3" xfId="4170" xr:uid="{2274F8E4-509B-45E1-86A6-346BE2ED7724}"/>
    <cellStyle name="Comma 11 3 3 2 2 3 2" xfId="13242" xr:uid="{A192FB02-98F4-4CE1-B1D2-055164DDC239}"/>
    <cellStyle name="Comma 11 3 3 2 2 3 2 2" xfId="28362" xr:uid="{8B2EA98D-E030-4404-BD48-B1403BB046D3}"/>
    <cellStyle name="Comma 11 3 3 2 2 3 2 2 2" xfId="58602" xr:uid="{3905DFFF-3138-457E-8D93-0D2C3BF627C3}"/>
    <cellStyle name="Comma 11 3 3 2 2 3 2 3" xfId="43482" xr:uid="{E1580566-D22E-41FA-AA47-A860971DD743}"/>
    <cellStyle name="Comma 11 3 3 2 2 3 3" xfId="19290" xr:uid="{1CBFCEB2-C32C-4F5E-8034-2B51883FD32B}"/>
    <cellStyle name="Comma 11 3 3 2 2 3 3 2" xfId="49530" xr:uid="{4414DFE5-6706-4AAA-89D1-12B7A11F212E}"/>
    <cellStyle name="Comma 11 3 3 2 2 3 4" xfId="34410" xr:uid="{0032AB92-0195-4E6C-BE2B-D29E87393690}"/>
    <cellStyle name="Comma 11 3 3 2 2 4" xfId="5682" xr:uid="{58AC826D-5435-47E6-909F-CFAA01C9B776}"/>
    <cellStyle name="Comma 11 3 3 2 2 4 2" xfId="14754" xr:uid="{9A66E4EA-F3E0-4E3A-8A82-C1F8CE72A1F4}"/>
    <cellStyle name="Comma 11 3 3 2 2 4 2 2" xfId="29874" xr:uid="{EF7769E4-F981-464C-9B83-28ADF5D24208}"/>
    <cellStyle name="Comma 11 3 3 2 2 4 2 2 2" xfId="60114" xr:uid="{BE317EA4-4601-4916-9E8F-CE1FA8AAD111}"/>
    <cellStyle name="Comma 11 3 3 2 2 4 2 3" xfId="44994" xr:uid="{5DC465D0-348F-4217-9D97-411876F64F3D}"/>
    <cellStyle name="Comma 11 3 3 2 2 4 3" xfId="20802" xr:uid="{0DA670CB-A890-4999-BEB1-07C852476853}"/>
    <cellStyle name="Comma 11 3 3 2 2 4 3 2" xfId="51042" xr:uid="{0E9BB816-70DD-461E-800F-4369F4AFE6DE}"/>
    <cellStyle name="Comma 11 3 3 2 2 4 4" xfId="35922" xr:uid="{415F0BEB-D2BC-4DC7-A8D4-F117A8B40ED3}"/>
    <cellStyle name="Comma 11 3 3 2 2 5" xfId="7194" xr:uid="{F9F89939-CD5F-4DC8-9D89-9AC0D446AFBB}"/>
    <cellStyle name="Comma 11 3 3 2 2 5 2" xfId="22314" xr:uid="{DA82FE3D-B0B2-44B8-BB45-9E028045F72A}"/>
    <cellStyle name="Comma 11 3 3 2 2 5 2 2" xfId="52554" xr:uid="{29C34FED-16F1-483C-B239-A792C24AA5B7}"/>
    <cellStyle name="Comma 11 3 3 2 2 5 3" xfId="37434" xr:uid="{340DC334-CE08-4218-A034-4BB8A0EA0F58}"/>
    <cellStyle name="Comma 11 3 3 2 2 6" xfId="8706" xr:uid="{0FCECDA5-3AF0-45B6-A104-2DB9E4D8FECA}"/>
    <cellStyle name="Comma 11 3 3 2 2 6 2" xfId="23826" xr:uid="{5D1C584D-09A9-4825-BDA6-1FE3ADDA4230}"/>
    <cellStyle name="Comma 11 3 3 2 2 6 2 2" xfId="54066" xr:uid="{2E73989F-0B5F-4A0D-80B1-134C6C355240}"/>
    <cellStyle name="Comma 11 3 3 2 2 6 3" xfId="38946" xr:uid="{74CC061C-5801-429F-A881-7B147C9C8EBF}"/>
    <cellStyle name="Comma 11 3 3 2 2 7" xfId="10218" xr:uid="{060AD957-A309-40D6-8B2B-E452669F8486}"/>
    <cellStyle name="Comma 11 3 3 2 2 7 2" xfId="25338" xr:uid="{087D7BC5-7EBD-4792-976A-C445479447BF}"/>
    <cellStyle name="Comma 11 3 3 2 2 7 2 2" xfId="55578" xr:uid="{F139C3BA-EEA0-4050-9E28-0ED6FF6F00B2}"/>
    <cellStyle name="Comma 11 3 3 2 2 7 3" xfId="40458" xr:uid="{C77CC500-8C5F-4840-9495-1438C1F80DFF}"/>
    <cellStyle name="Comma 11 3 3 2 2 8" xfId="16266" xr:uid="{B3573E10-27DF-4C86-B2E0-24CD66417058}"/>
    <cellStyle name="Comma 11 3 3 2 2 8 2" xfId="46506" xr:uid="{9ED5E8E0-58EE-4603-8EAA-6AA0E730CD9E}"/>
    <cellStyle name="Comma 11 3 3 2 2 9" xfId="31386" xr:uid="{6985D2A6-20D3-4617-ABE7-823DC066CA00}"/>
    <cellStyle name="Comma 11 3 3 2 3" xfId="1902" xr:uid="{C628C4ED-CE9D-426A-B1A8-B4687D4877BC}"/>
    <cellStyle name="Comma 11 3 3 2 3 2" xfId="10974" xr:uid="{A56C8448-D5C7-402D-AC0F-2AB051528FC6}"/>
    <cellStyle name="Comma 11 3 3 2 3 2 2" xfId="26094" xr:uid="{B2E40FEE-09F9-4A58-B207-8C4850A3B3E4}"/>
    <cellStyle name="Comma 11 3 3 2 3 2 2 2" xfId="56334" xr:uid="{F3BCD35D-2502-4321-A944-C645C38AA1C0}"/>
    <cellStyle name="Comma 11 3 3 2 3 2 3" xfId="41214" xr:uid="{ABE047DF-F2AD-4BCB-BF9A-A5E8DD856FEA}"/>
    <cellStyle name="Comma 11 3 3 2 3 3" xfId="17022" xr:uid="{1B4DA721-E853-449E-9DD1-4CD205B9415C}"/>
    <cellStyle name="Comma 11 3 3 2 3 3 2" xfId="47262" xr:uid="{C3EABB68-A672-4DAE-A600-EFCFD2D56E62}"/>
    <cellStyle name="Comma 11 3 3 2 3 4" xfId="32142" xr:uid="{9A6FF7EB-2E18-4778-96FA-E9F172844AEA}"/>
    <cellStyle name="Comma 11 3 3 2 4" xfId="3414" xr:uid="{474756DA-6227-4DF6-A643-93E2E44383BE}"/>
    <cellStyle name="Comma 11 3 3 2 4 2" xfId="12486" xr:uid="{3945D922-DA07-44AB-AE67-F30D9FB5096D}"/>
    <cellStyle name="Comma 11 3 3 2 4 2 2" xfId="27606" xr:uid="{A438CE9F-8D4B-4577-A457-4BB8857CA1EA}"/>
    <cellStyle name="Comma 11 3 3 2 4 2 2 2" xfId="57846" xr:uid="{9E2A9CD5-FFD1-4394-AEAD-29D7A519E9D6}"/>
    <cellStyle name="Comma 11 3 3 2 4 2 3" xfId="42726" xr:uid="{3565B88F-EB78-4D4A-BFCC-FB08845270F2}"/>
    <cellStyle name="Comma 11 3 3 2 4 3" xfId="18534" xr:uid="{4B268BAD-5876-4D14-8501-0E05300A3213}"/>
    <cellStyle name="Comma 11 3 3 2 4 3 2" xfId="48774" xr:uid="{5F3795F1-67B5-469E-B688-13966F2F5571}"/>
    <cellStyle name="Comma 11 3 3 2 4 4" xfId="33654" xr:uid="{C1C6DBA7-6826-4D4B-97B8-9313C0C1D063}"/>
    <cellStyle name="Comma 11 3 3 2 5" xfId="4926" xr:uid="{0F978395-9578-4BF4-8B7D-82836C5F8798}"/>
    <cellStyle name="Comma 11 3 3 2 5 2" xfId="13998" xr:uid="{531B21EE-D3FC-43EA-B140-594DFF1A4752}"/>
    <cellStyle name="Comma 11 3 3 2 5 2 2" xfId="29118" xr:uid="{16F9107E-34A0-4E9C-80A1-8C01826E2A03}"/>
    <cellStyle name="Comma 11 3 3 2 5 2 2 2" xfId="59358" xr:uid="{AAC8CD21-6376-4E95-8C13-48EBFF2FFD96}"/>
    <cellStyle name="Comma 11 3 3 2 5 2 3" xfId="44238" xr:uid="{CD6B4B69-EA00-404D-BD93-74EC9059EBB6}"/>
    <cellStyle name="Comma 11 3 3 2 5 3" xfId="20046" xr:uid="{A9AA7E84-7FB6-46FC-A6D5-F12466FCBFB4}"/>
    <cellStyle name="Comma 11 3 3 2 5 3 2" xfId="50286" xr:uid="{DC63EAD4-37BF-4A17-B007-777CACFABF6B}"/>
    <cellStyle name="Comma 11 3 3 2 5 4" xfId="35166" xr:uid="{E0A37BB4-34C7-4863-B7C4-CD61735A8F61}"/>
    <cellStyle name="Comma 11 3 3 2 6" xfId="6438" xr:uid="{DBC29D81-771D-4023-BB68-4959FD608519}"/>
    <cellStyle name="Comma 11 3 3 2 6 2" xfId="21558" xr:uid="{C6DE0FBA-5D77-45B5-B089-86D6A1E69402}"/>
    <cellStyle name="Comma 11 3 3 2 6 2 2" xfId="51798" xr:uid="{2BAAC5A3-A535-47A1-AE8E-1CB524DE0C46}"/>
    <cellStyle name="Comma 11 3 3 2 6 3" xfId="36678" xr:uid="{FA84E3EF-3F90-4BEF-ACB7-482A9667FA92}"/>
    <cellStyle name="Comma 11 3 3 2 7" xfId="7950" xr:uid="{A75FE809-52B7-48AA-90B0-E720B1F53447}"/>
    <cellStyle name="Comma 11 3 3 2 7 2" xfId="23070" xr:uid="{FC32171E-13F1-429E-8C91-C7EA05DB35AF}"/>
    <cellStyle name="Comma 11 3 3 2 7 2 2" xfId="53310" xr:uid="{E16ED015-A530-4664-B81E-A22D49DD3DC5}"/>
    <cellStyle name="Comma 11 3 3 2 7 3" xfId="38190" xr:uid="{AC307C07-2D3F-4377-8E90-F64D61C19058}"/>
    <cellStyle name="Comma 11 3 3 2 8" xfId="9462" xr:uid="{3A66B4EF-6648-401F-9E92-9A6D63DFDF1F}"/>
    <cellStyle name="Comma 11 3 3 2 8 2" xfId="24582" xr:uid="{84C417DC-111A-4D3E-A91B-8F5E12AC0BC5}"/>
    <cellStyle name="Comma 11 3 3 2 8 2 2" xfId="54822" xr:uid="{28601E65-4DDC-4514-BF58-079D806A6268}"/>
    <cellStyle name="Comma 11 3 3 2 8 3" xfId="39702" xr:uid="{83F5017C-793F-420E-8394-EA87B1F2C0FE}"/>
    <cellStyle name="Comma 11 3 3 2 9" xfId="15510" xr:uid="{400F9D5E-99F0-4C5E-A97B-0D6D6E003259}"/>
    <cellStyle name="Comma 11 3 3 2 9 2" xfId="45750" xr:uid="{96FEE31C-0D0F-4A48-9C00-97F90B7662DB}"/>
    <cellStyle name="Comma 11 3 3 3" xfId="642" xr:uid="{AB7EF475-3E37-4FEC-9FD5-2542AC401199}"/>
    <cellStyle name="Comma 11 3 3 3 10" xfId="30882" xr:uid="{6885AC26-3C87-4DFD-8F72-C22D05A15D3C}"/>
    <cellStyle name="Comma 11 3 3 3 2" xfId="1398" xr:uid="{EF32C095-6DE6-4B91-9FD0-89D54002B87B}"/>
    <cellStyle name="Comma 11 3 3 3 2 2" xfId="2910" xr:uid="{C8DEC70C-5625-44FC-8E6F-842A7C283005}"/>
    <cellStyle name="Comma 11 3 3 3 2 2 2" xfId="11982" xr:uid="{89989308-4FE5-461F-92ED-FFBA1BAABA8A}"/>
    <cellStyle name="Comma 11 3 3 3 2 2 2 2" xfId="27102" xr:uid="{1F2193ED-2AD7-44A8-BA74-09BD6DB10328}"/>
    <cellStyle name="Comma 11 3 3 3 2 2 2 2 2" xfId="57342" xr:uid="{CB023A55-A078-4AD5-B0E2-FA32E2976780}"/>
    <cellStyle name="Comma 11 3 3 3 2 2 2 3" xfId="42222" xr:uid="{44FD40E8-700F-48B1-92C7-F247D0EC6665}"/>
    <cellStyle name="Comma 11 3 3 3 2 2 3" xfId="18030" xr:uid="{4C403C48-11FB-4882-B17F-B99A54DC7BB5}"/>
    <cellStyle name="Comma 11 3 3 3 2 2 3 2" xfId="48270" xr:uid="{3D99A9BB-5690-4AE6-961A-DB48E34C972E}"/>
    <cellStyle name="Comma 11 3 3 3 2 2 4" xfId="33150" xr:uid="{E26D38C0-67E0-4D73-AEAF-7E30C0EAC12F}"/>
    <cellStyle name="Comma 11 3 3 3 2 3" xfId="4422" xr:uid="{E653B1CF-836A-4EDE-A8A4-ACE2C2F4E467}"/>
    <cellStyle name="Comma 11 3 3 3 2 3 2" xfId="13494" xr:uid="{7C3A9573-A172-4413-9E9C-426AB30A8595}"/>
    <cellStyle name="Comma 11 3 3 3 2 3 2 2" xfId="28614" xr:uid="{ECB9BDF4-1B80-4BBA-8849-AE7B9A7AD802}"/>
    <cellStyle name="Comma 11 3 3 3 2 3 2 2 2" xfId="58854" xr:uid="{4B823B82-A02B-402F-B2A7-C275660547E8}"/>
    <cellStyle name="Comma 11 3 3 3 2 3 2 3" xfId="43734" xr:uid="{677673FC-690B-45AC-98BE-EDE9079BD23F}"/>
    <cellStyle name="Comma 11 3 3 3 2 3 3" xfId="19542" xr:uid="{6A14B155-E8FA-43EA-9E4F-771611C725B5}"/>
    <cellStyle name="Comma 11 3 3 3 2 3 3 2" xfId="49782" xr:uid="{1523F1DF-3F28-486C-A5BD-4A4E60E70045}"/>
    <cellStyle name="Comma 11 3 3 3 2 3 4" xfId="34662" xr:uid="{F5E4C8C6-530E-4E56-93D2-52550F95A586}"/>
    <cellStyle name="Comma 11 3 3 3 2 4" xfId="5934" xr:uid="{DC90EE8D-EB4E-4774-8A6C-0769DFD90843}"/>
    <cellStyle name="Comma 11 3 3 3 2 4 2" xfId="15006" xr:uid="{9C6A9EAA-2378-41C0-B887-B5ADF23BCBF8}"/>
    <cellStyle name="Comma 11 3 3 3 2 4 2 2" xfId="30126" xr:uid="{1CCBA314-4D99-487C-AF93-E35B43E92AD5}"/>
    <cellStyle name="Comma 11 3 3 3 2 4 2 2 2" xfId="60366" xr:uid="{F6701754-E049-4ED2-B1EF-8DDD71F1AB8D}"/>
    <cellStyle name="Comma 11 3 3 3 2 4 2 3" xfId="45246" xr:uid="{71273FFB-ACFB-415C-9C71-1EA2EC275237}"/>
    <cellStyle name="Comma 11 3 3 3 2 4 3" xfId="21054" xr:uid="{A55AEE6D-9AFC-4A66-AB28-C44AC26A5C4B}"/>
    <cellStyle name="Comma 11 3 3 3 2 4 3 2" xfId="51294" xr:uid="{B170C0C4-77CC-4738-8BAB-F2CE3327931C}"/>
    <cellStyle name="Comma 11 3 3 3 2 4 4" xfId="36174" xr:uid="{EA45B9C4-7489-4F10-9CC2-344A70BFDF2B}"/>
    <cellStyle name="Comma 11 3 3 3 2 5" xfId="7446" xr:uid="{6A4F6DD5-AC23-471A-A555-A4301F2CCA04}"/>
    <cellStyle name="Comma 11 3 3 3 2 5 2" xfId="22566" xr:uid="{A4770A24-C6B4-4BB2-ABEA-F20870AF7CAC}"/>
    <cellStyle name="Comma 11 3 3 3 2 5 2 2" xfId="52806" xr:uid="{27EFD020-F278-4030-BA91-3BEC46DA27A4}"/>
    <cellStyle name="Comma 11 3 3 3 2 5 3" xfId="37686" xr:uid="{82CCDA1E-1AD0-4472-9FD5-130DC15FCCAD}"/>
    <cellStyle name="Comma 11 3 3 3 2 6" xfId="8958" xr:uid="{9ADB1E49-41F5-4971-A361-06F2C2C39C18}"/>
    <cellStyle name="Comma 11 3 3 3 2 6 2" xfId="24078" xr:uid="{B16AA41F-A9FF-496B-AF92-BD2058825009}"/>
    <cellStyle name="Comma 11 3 3 3 2 6 2 2" xfId="54318" xr:uid="{70056239-2C4D-416D-A57E-C8BE7FF1B3F0}"/>
    <cellStyle name="Comma 11 3 3 3 2 6 3" xfId="39198" xr:uid="{DCF510E7-10B2-4828-879F-346B1F8063F0}"/>
    <cellStyle name="Comma 11 3 3 3 2 7" xfId="10470" xr:uid="{C1A1A48C-91F3-4587-8A22-13DEB8BFB7AB}"/>
    <cellStyle name="Comma 11 3 3 3 2 7 2" xfId="25590" xr:uid="{0B8EB77E-48E7-4E85-BBD2-E9493386EDAA}"/>
    <cellStyle name="Comma 11 3 3 3 2 7 2 2" xfId="55830" xr:uid="{FB17A19C-E6E8-4287-8CBA-810B9ECFC716}"/>
    <cellStyle name="Comma 11 3 3 3 2 7 3" xfId="40710" xr:uid="{E9F655AB-B387-4D17-A74D-3D6E44AD61EB}"/>
    <cellStyle name="Comma 11 3 3 3 2 8" xfId="16518" xr:uid="{D12A1CC8-4D7C-4894-887C-BEE3BC096731}"/>
    <cellStyle name="Comma 11 3 3 3 2 8 2" xfId="46758" xr:uid="{1EF25290-578A-4C43-B0FA-DC9DFC1D36A2}"/>
    <cellStyle name="Comma 11 3 3 3 2 9" xfId="31638" xr:uid="{977DD2B8-AFD4-4314-9CCB-459EBA7AFC5F}"/>
    <cellStyle name="Comma 11 3 3 3 3" xfId="2154" xr:uid="{B3C9590B-42B9-4795-B8F1-04B05619CE99}"/>
    <cellStyle name="Comma 11 3 3 3 3 2" xfId="11226" xr:uid="{78093E22-184B-4A60-8F78-C9FCF6D00D7A}"/>
    <cellStyle name="Comma 11 3 3 3 3 2 2" xfId="26346" xr:uid="{9EFB76B8-D0E2-49A0-82CD-A1C0E223232A}"/>
    <cellStyle name="Comma 11 3 3 3 3 2 2 2" xfId="56586" xr:uid="{BBD5AA0D-4D57-4C4A-B31C-42D9508A5C8C}"/>
    <cellStyle name="Comma 11 3 3 3 3 2 3" xfId="41466" xr:uid="{CF3EE732-534A-40F1-B4FD-56FCC1C94ECD}"/>
    <cellStyle name="Comma 11 3 3 3 3 3" xfId="17274" xr:uid="{FFE32B0A-8377-4B6F-97C4-2414155BD773}"/>
    <cellStyle name="Comma 11 3 3 3 3 3 2" xfId="47514" xr:uid="{E9EA278D-52B5-4E8E-A944-DE2A60D6A440}"/>
    <cellStyle name="Comma 11 3 3 3 3 4" xfId="32394" xr:uid="{F6D0A3C5-3013-484A-A210-EFFE485FE759}"/>
    <cellStyle name="Comma 11 3 3 3 4" xfId="3666" xr:uid="{45B87FD8-B33C-43C6-90EB-2937D990807C}"/>
    <cellStyle name="Comma 11 3 3 3 4 2" xfId="12738" xr:uid="{0F387554-897B-4A79-AC89-AEED8A874D47}"/>
    <cellStyle name="Comma 11 3 3 3 4 2 2" xfId="27858" xr:uid="{7EC37250-D634-481B-BE28-338594EB2B14}"/>
    <cellStyle name="Comma 11 3 3 3 4 2 2 2" xfId="58098" xr:uid="{49C0BD7B-9CB6-406B-B685-F6EF7562D891}"/>
    <cellStyle name="Comma 11 3 3 3 4 2 3" xfId="42978" xr:uid="{CEF84D3D-E07B-484A-A0FA-A3D816507EEA}"/>
    <cellStyle name="Comma 11 3 3 3 4 3" xfId="18786" xr:uid="{947CDA5F-EB3A-4E2D-85FD-FD48CCA5854F}"/>
    <cellStyle name="Comma 11 3 3 3 4 3 2" xfId="49026" xr:uid="{4E7C5375-E40A-4824-B863-0AFD889CAA7A}"/>
    <cellStyle name="Comma 11 3 3 3 4 4" xfId="33906" xr:uid="{A5AA4B7E-5A49-4418-9F00-5B84F02ADC3F}"/>
    <cellStyle name="Comma 11 3 3 3 5" xfId="5178" xr:uid="{FEB6C299-AFF0-47C2-913F-368F5A58813F}"/>
    <cellStyle name="Comma 11 3 3 3 5 2" xfId="14250" xr:uid="{7D84AFB3-E9F7-4B71-A101-57902B6E9B2C}"/>
    <cellStyle name="Comma 11 3 3 3 5 2 2" xfId="29370" xr:uid="{CA07B147-E84D-437C-BE7F-2550BA949BC9}"/>
    <cellStyle name="Comma 11 3 3 3 5 2 2 2" xfId="59610" xr:uid="{CB409A4E-6401-4118-B234-C19A2A547F07}"/>
    <cellStyle name="Comma 11 3 3 3 5 2 3" xfId="44490" xr:uid="{E66CF5DA-551D-4314-B71A-286A26087260}"/>
    <cellStyle name="Comma 11 3 3 3 5 3" xfId="20298" xr:uid="{A3C304A6-8298-4E35-9C25-2AE0008AF0EA}"/>
    <cellStyle name="Comma 11 3 3 3 5 3 2" xfId="50538" xr:uid="{B5FBB032-3626-4E37-B958-E985568231F9}"/>
    <cellStyle name="Comma 11 3 3 3 5 4" xfId="35418" xr:uid="{60CE38D5-C29F-44B0-A7B5-563763FB1096}"/>
    <cellStyle name="Comma 11 3 3 3 6" xfId="6690" xr:uid="{6E647153-368D-4E14-8801-7AD3F747EAA2}"/>
    <cellStyle name="Comma 11 3 3 3 6 2" xfId="21810" xr:uid="{CA3EE5DE-EBE5-4A5F-93E6-4273CFFFB54A}"/>
    <cellStyle name="Comma 11 3 3 3 6 2 2" xfId="52050" xr:uid="{F580C0BE-8CC1-45C3-BF06-164F3F6BD1AF}"/>
    <cellStyle name="Comma 11 3 3 3 6 3" xfId="36930" xr:uid="{ECBDE83D-6A73-4383-BFA2-CC2BF4561047}"/>
    <cellStyle name="Comma 11 3 3 3 7" xfId="8202" xr:uid="{D6607DA2-0E92-4C17-B002-D5183B26A866}"/>
    <cellStyle name="Comma 11 3 3 3 7 2" xfId="23322" xr:uid="{E27BE755-4118-417C-99EA-3A2F94FC1A8C}"/>
    <cellStyle name="Comma 11 3 3 3 7 2 2" xfId="53562" xr:uid="{90CCEB43-F01C-4245-ADC4-6107D45A882B}"/>
    <cellStyle name="Comma 11 3 3 3 7 3" xfId="38442" xr:uid="{D96C141B-B09C-4BB1-99CB-F07468DC01EB}"/>
    <cellStyle name="Comma 11 3 3 3 8" xfId="9714" xr:uid="{A6499C16-E26A-4AA6-A3B2-DA11C6C95D4A}"/>
    <cellStyle name="Comma 11 3 3 3 8 2" xfId="24834" xr:uid="{344CD8E5-01A3-4845-83B3-312B9BA7D0C7}"/>
    <cellStyle name="Comma 11 3 3 3 8 2 2" xfId="55074" xr:uid="{E1AAF4B2-8D2B-4AF1-B5DB-962BABE491F4}"/>
    <cellStyle name="Comma 11 3 3 3 8 3" xfId="39954" xr:uid="{F2AC2D07-4C1D-4FD5-8F7F-B67C680C6E69}"/>
    <cellStyle name="Comma 11 3 3 3 9" xfId="15762" xr:uid="{B2C81A5B-D472-46F9-B76D-EAE0CE40C94A}"/>
    <cellStyle name="Comma 11 3 3 3 9 2" xfId="46002" xr:uid="{5FA7C046-3725-4186-B74A-4334C77C605A}"/>
    <cellStyle name="Comma 11 3 3 4" xfId="894" xr:uid="{74940532-E062-43CC-9EF3-53F7ED6E5115}"/>
    <cellStyle name="Comma 11 3 3 4 2" xfId="2406" xr:uid="{B9143B81-EC6E-41DE-A3EF-00D604963BE7}"/>
    <cellStyle name="Comma 11 3 3 4 2 2" xfId="11478" xr:uid="{8A76D1ED-268E-4DC3-96BE-B50A272E9540}"/>
    <cellStyle name="Comma 11 3 3 4 2 2 2" xfId="26598" xr:uid="{7F43A404-0AC1-446A-95A5-0A462A10D378}"/>
    <cellStyle name="Comma 11 3 3 4 2 2 2 2" xfId="56838" xr:uid="{C516A696-1120-4FC4-AEB5-8E45C276A8D1}"/>
    <cellStyle name="Comma 11 3 3 4 2 2 3" xfId="41718" xr:uid="{F34A2DEF-4756-41D1-8C1B-E1F5A942441C}"/>
    <cellStyle name="Comma 11 3 3 4 2 3" xfId="17526" xr:uid="{A279E578-12DA-4523-BBCA-ADC0E26050F3}"/>
    <cellStyle name="Comma 11 3 3 4 2 3 2" xfId="47766" xr:uid="{172DB4CE-6BB6-4CC8-A61B-B6999F98FA2E}"/>
    <cellStyle name="Comma 11 3 3 4 2 4" xfId="32646" xr:uid="{779F0BE3-6925-4EBB-A586-803E3ACE94B5}"/>
    <cellStyle name="Comma 11 3 3 4 3" xfId="3918" xr:uid="{B03A11DF-544A-44C6-B6A8-8037395EF080}"/>
    <cellStyle name="Comma 11 3 3 4 3 2" xfId="12990" xr:uid="{2A69D2BB-2C3D-4967-915B-8503648332CD}"/>
    <cellStyle name="Comma 11 3 3 4 3 2 2" xfId="28110" xr:uid="{46F85B58-0EFE-4AD1-A30F-EF920AA191EF}"/>
    <cellStyle name="Comma 11 3 3 4 3 2 2 2" xfId="58350" xr:uid="{80B75082-B36A-43D8-A51C-134FFA9CECD0}"/>
    <cellStyle name="Comma 11 3 3 4 3 2 3" xfId="43230" xr:uid="{3265FCFE-9B59-4CEC-8DF0-2FAB470F457B}"/>
    <cellStyle name="Comma 11 3 3 4 3 3" xfId="19038" xr:uid="{74C80554-0863-4AA5-83DA-12A20D4E4439}"/>
    <cellStyle name="Comma 11 3 3 4 3 3 2" xfId="49278" xr:uid="{529321BE-D1F0-45EB-9D9B-AE0415DE31F0}"/>
    <cellStyle name="Comma 11 3 3 4 3 4" xfId="34158" xr:uid="{310CE0D2-3CD0-45B3-B3E0-5AC9E9696691}"/>
    <cellStyle name="Comma 11 3 3 4 4" xfId="5430" xr:uid="{C4BF7BA6-1469-4CDD-8133-93FF2B3F231D}"/>
    <cellStyle name="Comma 11 3 3 4 4 2" xfId="14502" xr:uid="{DEF443B8-3006-45AE-AF58-9058E9CF996B}"/>
    <cellStyle name="Comma 11 3 3 4 4 2 2" xfId="29622" xr:uid="{A704F85B-E742-43B9-98F6-292B15294588}"/>
    <cellStyle name="Comma 11 3 3 4 4 2 2 2" xfId="59862" xr:uid="{B8F6AE1E-9C9B-45EE-943E-CF2DFC470E51}"/>
    <cellStyle name="Comma 11 3 3 4 4 2 3" xfId="44742" xr:uid="{1CA8FA75-C9F2-42E0-A9AB-82EC61DF12B0}"/>
    <cellStyle name="Comma 11 3 3 4 4 3" xfId="20550" xr:uid="{198BBA1E-626C-4384-BC54-D3E5620FA91B}"/>
    <cellStyle name="Comma 11 3 3 4 4 3 2" xfId="50790" xr:uid="{5E52AE11-2A07-459B-9184-236E9DEC234E}"/>
    <cellStyle name="Comma 11 3 3 4 4 4" xfId="35670" xr:uid="{232CDD99-B0D5-4147-9A38-C459C18233D2}"/>
    <cellStyle name="Comma 11 3 3 4 5" xfId="6942" xr:uid="{9E057BBD-B088-4B18-94AA-3906748726DF}"/>
    <cellStyle name="Comma 11 3 3 4 5 2" xfId="22062" xr:uid="{9144FDF8-3ACB-4C8C-A423-D1870CFA8876}"/>
    <cellStyle name="Comma 11 3 3 4 5 2 2" xfId="52302" xr:uid="{3428C9FB-3B58-4305-B234-D75EB451AAD9}"/>
    <cellStyle name="Comma 11 3 3 4 5 3" xfId="37182" xr:uid="{5941F2B6-D50F-4DF6-A34F-F0038D52BA55}"/>
    <cellStyle name="Comma 11 3 3 4 6" xfId="8454" xr:uid="{60FDA68A-826B-4C84-A58D-A08892983192}"/>
    <cellStyle name="Comma 11 3 3 4 6 2" xfId="23574" xr:uid="{8C9C9BAB-6189-4429-BF3C-15AEAC988E57}"/>
    <cellStyle name="Comma 11 3 3 4 6 2 2" xfId="53814" xr:uid="{EA047686-81D9-41B7-AB42-7990E33AD119}"/>
    <cellStyle name="Comma 11 3 3 4 6 3" xfId="38694" xr:uid="{08001417-5163-4D91-902E-48DDC038CCD9}"/>
    <cellStyle name="Comma 11 3 3 4 7" xfId="9966" xr:uid="{77AE26D4-A7B5-4060-90FB-7601D068CE82}"/>
    <cellStyle name="Comma 11 3 3 4 7 2" xfId="25086" xr:uid="{2142DFE3-3089-42E8-863B-FE5688279EC3}"/>
    <cellStyle name="Comma 11 3 3 4 7 2 2" xfId="55326" xr:uid="{62E75DB4-ED6F-4BFB-8383-A317E1C81E08}"/>
    <cellStyle name="Comma 11 3 3 4 7 3" xfId="40206" xr:uid="{673650CE-216D-4FC0-9979-AE7F1DBBC54B}"/>
    <cellStyle name="Comma 11 3 3 4 8" xfId="16014" xr:uid="{5528D548-6704-46CA-9C87-EFA546AA4BB1}"/>
    <cellStyle name="Comma 11 3 3 4 8 2" xfId="46254" xr:uid="{19BB64F8-F158-48DC-9F7A-99B021AB8BE0}"/>
    <cellStyle name="Comma 11 3 3 4 9" xfId="31134" xr:uid="{9385A7C1-6E19-4163-9110-4689528F31C8}"/>
    <cellStyle name="Comma 11 3 3 5" xfId="1650" xr:uid="{2795DEEC-781D-45C3-B1B3-EA171F9D471D}"/>
    <cellStyle name="Comma 11 3 3 5 2" xfId="10722" xr:uid="{4FE375B2-51C2-45FC-8AC5-56E60E89A0F4}"/>
    <cellStyle name="Comma 11 3 3 5 2 2" xfId="25842" xr:uid="{02D27E74-EB44-4FD6-9054-B2913693BF22}"/>
    <cellStyle name="Comma 11 3 3 5 2 2 2" xfId="56082" xr:uid="{05BC1E49-59FC-4058-A6BF-E1B9213EC6F6}"/>
    <cellStyle name="Comma 11 3 3 5 2 3" xfId="40962" xr:uid="{97301CB7-825E-442F-856C-07BB32F4E9B9}"/>
    <cellStyle name="Comma 11 3 3 5 3" xfId="16770" xr:uid="{B8B211CD-5E44-4DF7-8798-07D70DDBD254}"/>
    <cellStyle name="Comma 11 3 3 5 3 2" xfId="47010" xr:uid="{56A6DE68-C9C9-4715-AE11-216096298022}"/>
    <cellStyle name="Comma 11 3 3 5 4" xfId="31890" xr:uid="{1AEE4746-5133-4DB2-ACCD-A9CA578F4F36}"/>
    <cellStyle name="Comma 11 3 3 6" xfId="3162" xr:uid="{25881079-3380-4848-B626-C0166A054DC7}"/>
    <cellStyle name="Comma 11 3 3 6 2" xfId="12234" xr:uid="{50B21AA7-A344-47F0-8814-8CCA67F3255F}"/>
    <cellStyle name="Comma 11 3 3 6 2 2" xfId="27354" xr:uid="{615778D6-D344-48C9-86A0-4E3344085684}"/>
    <cellStyle name="Comma 11 3 3 6 2 2 2" xfId="57594" xr:uid="{4CF6899A-6A8A-4B2E-8FD1-2030983B3DC9}"/>
    <cellStyle name="Comma 11 3 3 6 2 3" xfId="42474" xr:uid="{F7FA455D-B26A-49B5-A987-A837A923BCA1}"/>
    <cellStyle name="Comma 11 3 3 6 3" xfId="18282" xr:uid="{721349DE-A81C-4F90-8BB0-B7258A018D3B}"/>
    <cellStyle name="Comma 11 3 3 6 3 2" xfId="48522" xr:uid="{EEE5498F-BA57-4613-91F6-A1A4043B8003}"/>
    <cellStyle name="Comma 11 3 3 6 4" xfId="33402" xr:uid="{579F5251-AD7F-4F8A-97B9-E025F85E73C9}"/>
    <cellStyle name="Comma 11 3 3 7" xfId="4674" xr:uid="{56CE0AE1-9826-4166-AEF5-C1D7AED9B918}"/>
    <cellStyle name="Comma 11 3 3 7 2" xfId="13746" xr:uid="{B50E5183-E065-487D-A9FC-29DD9DAE88D8}"/>
    <cellStyle name="Comma 11 3 3 7 2 2" xfId="28866" xr:uid="{B657BA84-B6F0-446E-B023-1BB57A4F4E03}"/>
    <cellStyle name="Comma 11 3 3 7 2 2 2" xfId="59106" xr:uid="{DCAF3DAA-818A-427C-AE36-176FB6645EF0}"/>
    <cellStyle name="Comma 11 3 3 7 2 3" xfId="43986" xr:uid="{B5AEEF76-3AE7-467D-8E8F-C865EA2BC73E}"/>
    <cellStyle name="Comma 11 3 3 7 3" xfId="19794" xr:uid="{8532602C-9AC6-466C-B053-B349BEA632FA}"/>
    <cellStyle name="Comma 11 3 3 7 3 2" xfId="50034" xr:uid="{33840E35-95C4-474D-9ED7-EAD5E6D8E5E8}"/>
    <cellStyle name="Comma 11 3 3 7 4" xfId="34914" xr:uid="{E69B49ED-3131-4E8D-89EE-A277C72A027B}"/>
    <cellStyle name="Comma 11 3 3 8" xfId="6186" xr:uid="{DA273A9C-FCC7-49E8-B6AE-FEF4D33F6551}"/>
    <cellStyle name="Comma 11 3 3 8 2" xfId="21306" xr:uid="{0778EE65-56CA-458A-8159-DCEF45A8F20C}"/>
    <cellStyle name="Comma 11 3 3 8 2 2" xfId="51546" xr:uid="{1BA8FB06-8FCB-4B08-B6B8-C7F0AF253AF5}"/>
    <cellStyle name="Comma 11 3 3 8 3" xfId="36426" xr:uid="{3C5169BF-1006-43AC-95AC-4EF965D8EAF7}"/>
    <cellStyle name="Comma 11 3 3 9" xfId="7698" xr:uid="{1D978D7B-9B04-44D1-964F-F05952E978F6}"/>
    <cellStyle name="Comma 11 3 3 9 2" xfId="22818" xr:uid="{C6037E8C-693C-4865-931D-10F6FA66A257}"/>
    <cellStyle name="Comma 11 3 3 9 2 2" xfId="53058" xr:uid="{5D06A188-ACFF-4889-9C46-89A4A76B4AEA}"/>
    <cellStyle name="Comma 11 3 3 9 3" xfId="37938" xr:uid="{6C2422AC-8690-4375-B28F-7FEB79EB2D3C}"/>
    <cellStyle name="Comma 11 3 4" xfId="222" xr:uid="{F824D53E-2F8A-46DA-BF86-75C68ED1C810}"/>
    <cellStyle name="Comma 11 3 4 10" xfId="9294" xr:uid="{E21E17B2-2E94-4D97-AF10-ED8066576583}"/>
    <cellStyle name="Comma 11 3 4 10 2" xfId="24414" xr:uid="{D1B7BAC8-0BF2-42A1-96D5-6B76F9694205}"/>
    <cellStyle name="Comma 11 3 4 10 2 2" xfId="54654" xr:uid="{B014D988-8355-4567-B4C6-8BD998620C5F}"/>
    <cellStyle name="Comma 11 3 4 10 3" xfId="39534" xr:uid="{459E60BF-5BD2-41D5-BCEF-05FF2A276337}"/>
    <cellStyle name="Comma 11 3 4 11" xfId="15342" xr:uid="{EA5EB0B8-AABB-4793-86AC-456EEDBB5F7F}"/>
    <cellStyle name="Comma 11 3 4 11 2" xfId="45582" xr:uid="{C7058059-2AB0-4787-9EDB-DD1371DCA70C}"/>
    <cellStyle name="Comma 11 3 4 12" xfId="30462" xr:uid="{842123C8-9BEE-429A-BCA0-2DAB7A3CECE0}"/>
    <cellStyle name="Comma 11 3 4 2" xfId="474" xr:uid="{1CEF0A15-1CE1-4E33-BE84-C488788DA8E9}"/>
    <cellStyle name="Comma 11 3 4 2 10" xfId="30714" xr:uid="{0297051D-FB88-4EAF-976E-6B462761C098}"/>
    <cellStyle name="Comma 11 3 4 2 2" xfId="1230" xr:uid="{05C3B396-007C-4D14-81FE-49EB69476A3F}"/>
    <cellStyle name="Comma 11 3 4 2 2 2" xfId="2742" xr:uid="{F3CA78C5-26AB-4E41-8441-7A88F2948046}"/>
    <cellStyle name="Comma 11 3 4 2 2 2 2" xfId="11814" xr:uid="{C8D562F8-BEEF-4DF6-83AB-9D1E13480B46}"/>
    <cellStyle name="Comma 11 3 4 2 2 2 2 2" xfId="26934" xr:uid="{5094FA81-78C5-4BC9-8F54-D0A657012D7A}"/>
    <cellStyle name="Comma 11 3 4 2 2 2 2 2 2" xfId="57174" xr:uid="{432A3184-7BC7-4F6F-B084-A26399FC3F16}"/>
    <cellStyle name="Comma 11 3 4 2 2 2 2 3" xfId="42054" xr:uid="{047A0FE3-F0D3-48AA-8588-846CF819615F}"/>
    <cellStyle name="Comma 11 3 4 2 2 2 3" xfId="17862" xr:uid="{64F657B0-D247-4949-817B-24D4A22EE485}"/>
    <cellStyle name="Comma 11 3 4 2 2 2 3 2" xfId="48102" xr:uid="{85F455DB-6920-4A21-A9F1-D92555D63D59}"/>
    <cellStyle name="Comma 11 3 4 2 2 2 4" xfId="32982" xr:uid="{06DE362F-8B78-40D6-9464-560BC0800B2F}"/>
    <cellStyle name="Comma 11 3 4 2 2 3" xfId="4254" xr:uid="{55D2135A-54E9-4777-987A-595479E73480}"/>
    <cellStyle name="Comma 11 3 4 2 2 3 2" xfId="13326" xr:uid="{C12467DC-5432-4E62-9962-9A5501D39A07}"/>
    <cellStyle name="Comma 11 3 4 2 2 3 2 2" xfId="28446" xr:uid="{0EB4E7A5-6E82-4964-B477-C949D7AA5536}"/>
    <cellStyle name="Comma 11 3 4 2 2 3 2 2 2" xfId="58686" xr:uid="{9057DB1F-4159-4BDD-B63E-6BA166A14F7F}"/>
    <cellStyle name="Comma 11 3 4 2 2 3 2 3" xfId="43566" xr:uid="{75016568-2A56-4F44-BCD2-31D1464EF59B}"/>
    <cellStyle name="Comma 11 3 4 2 2 3 3" xfId="19374" xr:uid="{7D670AFC-AA42-4DC6-A959-4784C2ACEFB8}"/>
    <cellStyle name="Comma 11 3 4 2 2 3 3 2" xfId="49614" xr:uid="{8E735DE7-5843-4844-99A7-C8F4A83E8305}"/>
    <cellStyle name="Comma 11 3 4 2 2 3 4" xfId="34494" xr:uid="{2BAD4C89-3A30-4BD6-81DF-364E00617D0F}"/>
    <cellStyle name="Comma 11 3 4 2 2 4" xfId="5766" xr:uid="{55F58120-4F88-4DE1-ADFB-E95C63F37D1F}"/>
    <cellStyle name="Comma 11 3 4 2 2 4 2" xfId="14838" xr:uid="{FAD23ABB-47C3-4C7A-B9EA-4CA43A522C6D}"/>
    <cellStyle name="Comma 11 3 4 2 2 4 2 2" xfId="29958" xr:uid="{55C23A87-9104-4206-9011-DBB297D12BA3}"/>
    <cellStyle name="Comma 11 3 4 2 2 4 2 2 2" xfId="60198" xr:uid="{494CC832-B584-4E07-B29D-ED32209EC066}"/>
    <cellStyle name="Comma 11 3 4 2 2 4 2 3" xfId="45078" xr:uid="{E9104FAE-E5A2-489B-A367-A946BEA1FEEE}"/>
    <cellStyle name="Comma 11 3 4 2 2 4 3" xfId="20886" xr:uid="{7388E38F-FCA6-42B0-AC8C-0BAC02FBD5D6}"/>
    <cellStyle name="Comma 11 3 4 2 2 4 3 2" xfId="51126" xr:uid="{DCD892AB-E766-4354-A73F-84A436E7B303}"/>
    <cellStyle name="Comma 11 3 4 2 2 4 4" xfId="36006" xr:uid="{501634F6-151C-4F45-AC47-408B94C6D456}"/>
    <cellStyle name="Comma 11 3 4 2 2 5" xfId="7278" xr:uid="{B52E9ABC-83DE-4DC2-9117-50608ACC6CF8}"/>
    <cellStyle name="Comma 11 3 4 2 2 5 2" xfId="22398" xr:uid="{809B517C-B058-45F2-B231-4BD9CB42F5B8}"/>
    <cellStyle name="Comma 11 3 4 2 2 5 2 2" xfId="52638" xr:uid="{D20CB628-9FD4-4F68-9965-26B5A253BE90}"/>
    <cellStyle name="Comma 11 3 4 2 2 5 3" xfId="37518" xr:uid="{4087B9B2-E433-4439-AD75-EE55FD0E9742}"/>
    <cellStyle name="Comma 11 3 4 2 2 6" xfId="8790" xr:uid="{6C47A940-6969-4F46-9D00-F614C6E55D81}"/>
    <cellStyle name="Comma 11 3 4 2 2 6 2" xfId="23910" xr:uid="{E473E857-CF88-4440-8A92-C7ED3889E551}"/>
    <cellStyle name="Comma 11 3 4 2 2 6 2 2" xfId="54150" xr:uid="{CC507418-6DBF-45F4-AC45-355E56A0E680}"/>
    <cellStyle name="Comma 11 3 4 2 2 6 3" xfId="39030" xr:uid="{E5CB5293-EDC6-4332-9E0A-E5BCFB83C5CF}"/>
    <cellStyle name="Comma 11 3 4 2 2 7" xfId="10302" xr:uid="{58EED944-1BFA-4BEA-B369-B719644AA76D}"/>
    <cellStyle name="Comma 11 3 4 2 2 7 2" xfId="25422" xr:uid="{0CB09E12-49CA-45BD-A2C1-780905C5AA20}"/>
    <cellStyle name="Comma 11 3 4 2 2 7 2 2" xfId="55662" xr:uid="{E95FC401-70BE-48B0-ACF8-B898C33F4CA6}"/>
    <cellStyle name="Comma 11 3 4 2 2 7 3" xfId="40542" xr:uid="{B556879C-511C-465B-8C10-261F727D762D}"/>
    <cellStyle name="Comma 11 3 4 2 2 8" xfId="16350" xr:uid="{B5E55F78-F726-42A7-A07C-479C3D03B469}"/>
    <cellStyle name="Comma 11 3 4 2 2 8 2" xfId="46590" xr:uid="{FBAA2EC0-BFF0-4B6A-B375-626B2D1A18A2}"/>
    <cellStyle name="Comma 11 3 4 2 2 9" xfId="31470" xr:uid="{A7EBF839-4915-40C5-8A8A-8B8789D1254B}"/>
    <cellStyle name="Comma 11 3 4 2 3" xfId="1986" xr:uid="{0009C248-E67C-44E2-8C96-2F803A698194}"/>
    <cellStyle name="Comma 11 3 4 2 3 2" xfId="11058" xr:uid="{0F823555-9E4A-4926-B488-65B61E2156AD}"/>
    <cellStyle name="Comma 11 3 4 2 3 2 2" xfId="26178" xr:uid="{D2AEBFA9-B7A0-4EEB-B8F3-37583767729C}"/>
    <cellStyle name="Comma 11 3 4 2 3 2 2 2" xfId="56418" xr:uid="{1594BFE3-BCC4-4E62-B638-7CD33B8746B4}"/>
    <cellStyle name="Comma 11 3 4 2 3 2 3" xfId="41298" xr:uid="{17FF3B65-2019-418C-BE85-F0354ACA4525}"/>
    <cellStyle name="Comma 11 3 4 2 3 3" xfId="17106" xr:uid="{EC0C6C69-DA07-4AA4-848A-C9B8C43161F5}"/>
    <cellStyle name="Comma 11 3 4 2 3 3 2" xfId="47346" xr:uid="{754379EB-E73C-4613-AE2C-8A1F7F9B0995}"/>
    <cellStyle name="Comma 11 3 4 2 3 4" xfId="32226" xr:uid="{4D890572-AFCB-4580-8C56-4E65A9A6C4BE}"/>
    <cellStyle name="Comma 11 3 4 2 4" xfId="3498" xr:uid="{9DB569EB-29BC-4EC5-9619-8A4F88D5FF1B}"/>
    <cellStyle name="Comma 11 3 4 2 4 2" xfId="12570" xr:uid="{8B2E0267-E65A-45D9-AF92-757AE45CDD65}"/>
    <cellStyle name="Comma 11 3 4 2 4 2 2" xfId="27690" xr:uid="{C9C11B9F-EAB9-4514-B15C-743AB0A2D6A7}"/>
    <cellStyle name="Comma 11 3 4 2 4 2 2 2" xfId="57930" xr:uid="{7D91C350-D5BB-472B-8CE2-028147CB7789}"/>
    <cellStyle name="Comma 11 3 4 2 4 2 3" xfId="42810" xr:uid="{F849F95E-5024-4701-9B2C-80D969C55127}"/>
    <cellStyle name="Comma 11 3 4 2 4 3" xfId="18618" xr:uid="{70702495-1C3C-4340-BCE1-41DBDC094634}"/>
    <cellStyle name="Comma 11 3 4 2 4 3 2" xfId="48858" xr:uid="{8DDF576B-E090-451F-B271-6A8E6497E386}"/>
    <cellStyle name="Comma 11 3 4 2 4 4" xfId="33738" xr:uid="{F4BEFCC0-2285-4ADA-B38B-508DC16EAF62}"/>
    <cellStyle name="Comma 11 3 4 2 5" xfId="5010" xr:uid="{FE0698F6-0EA1-40A9-9FEB-DB722ABEAF80}"/>
    <cellStyle name="Comma 11 3 4 2 5 2" xfId="14082" xr:uid="{4D443FC5-E296-42CD-A17F-517336E63BF0}"/>
    <cellStyle name="Comma 11 3 4 2 5 2 2" xfId="29202" xr:uid="{42DA1DEB-2155-41EF-A171-53D41D4CC739}"/>
    <cellStyle name="Comma 11 3 4 2 5 2 2 2" xfId="59442" xr:uid="{EDFD4A98-9876-48DA-92B2-7F9C80BFFEDD}"/>
    <cellStyle name="Comma 11 3 4 2 5 2 3" xfId="44322" xr:uid="{65FBEBC7-C7DB-4B1D-99FF-1B5520B5F002}"/>
    <cellStyle name="Comma 11 3 4 2 5 3" xfId="20130" xr:uid="{DCD8AB36-3088-444A-AC57-3CB9B53464DE}"/>
    <cellStyle name="Comma 11 3 4 2 5 3 2" xfId="50370" xr:uid="{D3A29E5D-B4C7-465B-97F8-B2020567C2E0}"/>
    <cellStyle name="Comma 11 3 4 2 5 4" xfId="35250" xr:uid="{186288FA-8472-455A-B614-71C80AB9DD0F}"/>
    <cellStyle name="Comma 11 3 4 2 6" xfId="6522" xr:uid="{F0803C08-15BF-4E4A-BC60-799A05E2BC43}"/>
    <cellStyle name="Comma 11 3 4 2 6 2" xfId="21642" xr:uid="{F44B17F8-1A62-409C-B30A-C832AC53DFF8}"/>
    <cellStyle name="Comma 11 3 4 2 6 2 2" xfId="51882" xr:uid="{684B53D9-19E4-4D57-8A0A-3A146E4DD8D8}"/>
    <cellStyle name="Comma 11 3 4 2 6 3" xfId="36762" xr:uid="{D929E299-6DF2-4EA2-978F-700CB51E5C07}"/>
    <cellStyle name="Comma 11 3 4 2 7" xfId="8034" xr:uid="{0A20F7D1-150C-4055-AD0E-FF2247152909}"/>
    <cellStyle name="Comma 11 3 4 2 7 2" xfId="23154" xr:uid="{DE45B174-6059-4AFF-B3C9-E90C1F6AA972}"/>
    <cellStyle name="Comma 11 3 4 2 7 2 2" xfId="53394" xr:uid="{1B634814-4A4D-40F5-BB66-45B35529ABD5}"/>
    <cellStyle name="Comma 11 3 4 2 7 3" xfId="38274" xr:uid="{C4B75DC1-ABDE-4740-BADA-8B8D21EEE510}"/>
    <cellStyle name="Comma 11 3 4 2 8" xfId="9546" xr:uid="{0FFCFF01-08C1-4B40-A1F9-1434015D0DE9}"/>
    <cellStyle name="Comma 11 3 4 2 8 2" xfId="24666" xr:uid="{8CB91001-9E82-4008-8897-2F455EC6922B}"/>
    <cellStyle name="Comma 11 3 4 2 8 2 2" xfId="54906" xr:uid="{853CE904-78D3-489B-ABC6-5768381ECE87}"/>
    <cellStyle name="Comma 11 3 4 2 8 3" xfId="39786" xr:uid="{2B7463C3-24A2-48C7-94D7-87CFDD7318F3}"/>
    <cellStyle name="Comma 11 3 4 2 9" xfId="15594" xr:uid="{8E2B5885-D566-4ABF-80ED-1793E14A17A9}"/>
    <cellStyle name="Comma 11 3 4 2 9 2" xfId="45834" xr:uid="{9EF52DAA-E1B9-430D-BB1B-9A7BFBD47EE9}"/>
    <cellStyle name="Comma 11 3 4 3" xfId="726" xr:uid="{AB991012-D194-4A23-A5DC-E6C8F99B9A7D}"/>
    <cellStyle name="Comma 11 3 4 3 10" xfId="30966" xr:uid="{974D648D-D581-46E9-A04B-499385683935}"/>
    <cellStyle name="Comma 11 3 4 3 2" xfId="1482" xr:uid="{EC95D320-1680-4127-82D1-B8EEB528BED9}"/>
    <cellStyle name="Comma 11 3 4 3 2 2" xfId="2994" xr:uid="{5DE26435-E3D0-4448-8D61-963FFE43D2D3}"/>
    <cellStyle name="Comma 11 3 4 3 2 2 2" xfId="12066" xr:uid="{FBC1003D-46CB-4A5E-A547-DA26306851EE}"/>
    <cellStyle name="Comma 11 3 4 3 2 2 2 2" xfId="27186" xr:uid="{F6908C19-0D51-487C-B676-333B7F7B500F}"/>
    <cellStyle name="Comma 11 3 4 3 2 2 2 2 2" xfId="57426" xr:uid="{7786AF22-FD91-48EB-AD9B-3B70108E7A57}"/>
    <cellStyle name="Comma 11 3 4 3 2 2 2 3" xfId="42306" xr:uid="{070A1EC5-FDFB-45F2-B131-38D1B2F9071D}"/>
    <cellStyle name="Comma 11 3 4 3 2 2 3" xfId="18114" xr:uid="{50F3F753-9582-492F-9A00-19CE9DAF2C4B}"/>
    <cellStyle name="Comma 11 3 4 3 2 2 3 2" xfId="48354" xr:uid="{7E00ADD8-2304-4E85-B334-E625ECB91BFA}"/>
    <cellStyle name="Comma 11 3 4 3 2 2 4" xfId="33234" xr:uid="{0554CA1C-3830-44A8-88FD-910E9F3CA131}"/>
    <cellStyle name="Comma 11 3 4 3 2 3" xfId="4506" xr:uid="{3A63A27B-28E6-40C7-A2BE-DB7CEE5E7D3E}"/>
    <cellStyle name="Comma 11 3 4 3 2 3 2" xfId="13578" xr:uid="{01A3BC64-B063-4202-9199-C3E3017D11CC}"/>
    <cellStyle name="Comma 11 3 4 3 2 3 2 2" xfId="28698" xr:uid="{BC76D2C2-A50D-4ABA-9F64-EF4C51607D53}"/>
    <cellStyle name="Comma 11 3 4 3 2 3 2 2 2" xfId="58938" xr:uid="{D26C62D4-EC77-41B0-A7C6-5167847DFA61}"/>
    <cellStyle name="Comma 11 3 4 3 2 3 2 3" xfId="43818" xr:uid="{5A4E24CC-74FA-47E4-9F2D-D7FF77B85481}"/>
    <cellStyle name="Comma 11 3 4 3 2 3 3" xfId="19626" xr:uid="{D63B4E3C-9C73-4142-8604-7EDB8DF864F0}"/>
    <cellStyle name="Comma 11 3 4 3 2 3 3 2" xfId="49866" xr:uid="{ACE3F6B8-E132-4477-B311-5E86456034BF}"/>
    <cellStyle name="Comma 11 3 4 3 2 3 4" xfId="34746" xr:uid="{C58367AA-B2CF-4E77-A990-F201667439D7}"/>
    <cellStyle name="Comma 11 3 4 3 2 4" xfId="6018" xr:uid="{442391C3-D92D-4A6D-9FCB-B04426A41ABC}"/>
    <cellStyle name="Comma 11 3 4 3 2 4 2" xfId="15090" xr:uid="{95E711E7-0BEE-43EC-B56F-8D2923C9E4B4}"/>
    <cellStyle name="Comma 11 3 4 3 2 4 2 2" xfId="30210" xr:uid="{83A1C6F7-BBEE-407E-9C69-88AF9184F5FE}"/>
    <cellStyle name="Comma 11 3 4 3 2 4 2 2 2" xfId="60450" xr:uid="{9610541B-09AB-46DD-91BF-77FE2C06122D}"/>
    <cellStyle name="Comma 11 3 4 3 2 4 2 3" xfId="45330" xr:uid="{A71FD9BF-67A2-4B79-A3FB-CA2BA9581C62}"/>
    <cellStyle name="Comma 11 3 4 3 2 4 3" xfId="21138" xr:uid="{0FACA38B-63DB-4FAF-9DBA-FCDEE8B7DB82}"/>
    <cellStyle name="Comma 11 3 4 3 2 4 3 2" xfId="51378" xr:uid="{80582784-2307-43FE-9C12-A9AA9C3C5E07}"/>
    <cellStyle name="Comma 11 3 4 3 2 4 4" xfId="36258" xr:uid="{F36B4406-82F0-4C32-93A0-0E5BFAAEFC1A}"/>
    <cellStyle name="Comma 11 3 4 3 2 5" xfId="7530" xr:uid="{79FE8D73-E200-4857-A8D9-8F72B4A84DCB}"/>
    <cellStyle name="Comma 11 3 4 3 2 5 2" xfId="22650" xr:uid="{C1BC5625-D8B9-44E2-BD9F-9CA47F0BFC27}"/>
    <cellStyle name="Comma 11 3 4 3 2 5 2 2" xfId="52890" xr:uid="{BD508876-E152-4ED6-97F9-39112D43B49D}"/>
    <cellStyle name="Comma 11 3 4 3 2 5 3" xfId="37770" xr:uid="{1767ECFB-9119-4B1D-B5FD-3AB1722C8587}"/>
    <cellStyle name="Comma 11 3 4 3 2 6" xfId="9042" xr:uid="{745FD1F2-365A-4AA4-80CC-A2166152F87D}"/>
    <cellStyle name="Comma 11 3 4 3 2 6 2" xfId="24162" xr:uid="{0B7C70C2-748C-4688-A4FD-B0EB84BB9EAD}"/>
    <cellStyle name="Comma 11 3 4 3 2 6 2 2" xfId="54402" xr:uid="{823BE7F4-6AB7-4637-93C8-F0459FADE5BE}"/>
    <cellStyle name="Comma 11 3 4 3 2 6 3" xfId="39282" xr:uid="{54D4D956-5119-4C4A-A24E-C8492934B08D}"/>
    <cellStyle name="Comma 11 3 4 3 2 7" xfId="10554" xr:uid="{639358E0-308F-4DF9-8B64-9E0801A398FC}"/>
    <cellStyle name="Comma 11 3 4 3 2 7 2" xfId="25674" xr:uid="{9A35BDCF-92AC-448F-9B9A-09F8C495F3C2}"/>
    <cellStyle name="Comma 11 3 4 3 2 7 2 2" xfId="55914" xr:uid="{F6E902DB-B4C5-46EC-8228-7BDBBA7744F8}"/>
    <cellStyle name="Comma 11 3 4 3 2 7 3" xfId="40794" xr:uid="{CF70385B-F486-47A4-8D9F-B0A4B1BAD8F5}"/>
    <cellStyle name="Comma 11 3 4 3 2 8" xfId="16602" xr:uid="{98F55A2D-C6DC-44EA-A901-8743C69E3BEF}"/>
    <cellStyle name="Comma 11 3 4 3 2 8 2" xfId="46842" xr:uid="{DD3C16C6-144B-4F97-8657-50F7619A219B}"/>
    <cellStyle name="Comma 11 3 4 3 2 9" xfId="31722" xr:uid="{7E1BD87B-3E55-4739-A8E9-6B651C8F500C}"/>
    <cellStyle name="Comma 11 3 4 3 3" xfId="2238" xr:uid="{977A0205-4E47-428A-B6D0-2C9C09E6F522}"/>
    <cellStyle name="Comma 11 3 4 3 3 2" xfId="11310" xr:uid="{08856C0B-A9C1-4E67-BC33-176D592C08E3}"/>
    <cellStyle name="Comma 11 3 4 3 3 2 2" xfId="26430" xr:uid="{18F85A2A-77FC-4E2A-B824-E27BCEAE33B8}"/>
    <cellStyle name="Comma 11 3 4 3 3 2 2 2" xfId="56670" xr:uid="{E564F02A-0D6A-4693-B70C-E6B72C976C16}"/>
    <cellStyle name="Comma 11 3 4 3 3 2 3" xfId="41550" xr:uid="{35B14620-6822-4D08-9A49-89589389CF24}"/>
    <cellStyle name="Comma 11 3 4 3 3 3" xfId="17358" xr:uid="{E4DA6581-FC2B-4B80-8844-7623F631FF4A}"/>
    <cellStyle name="Comma 11 3 4 3 3 3 2" xfId="47598" xr:uid="{423D9105-9EDB-493E-AEA7-6938D92AC1C4}"/>
    <cellStyle name="Comma 11 3 4 3 3 4" xfId="32478" xr:uid="{35BE0C84-8E57-4D0D-955C-764FADE9D181}"/>
    <cellStyle name="Comma 11 3 4 3 4" xfId="3750" xr:uid="{590D18D9-E791-4713-8606-22AC62ABBAB4}"/>
    <cellStyle name="Comma 11 3 4 3 4 2" xfId="12822" xr:uid="{8EFC8390-5399-4A06-81E4-6B7F531C3B6F}"/>
    <cellStyle name="Comma 11 3 4 3 4 2 2" xfId="27942" xr:uid="{86B7818D-FE2B-4199-8E24-8DA123A7DCC5}"/>
    <cellStyle name="Comma 11 3 4 3 4 2 2 2" xfId="58182" xr:uid="{79A4D830-22FC-45E7-8AD9-F62BD8121B25}"/>
    <cellStyle name="Comma 11 3 4 3 4 2 3" xfId="43062" xr:uid="{E7554E78-B31F-4D55-B362-5969D5711E04}"/>
    <cellStyle name="Comma 11 3 4 3 4 3" xfId="18870" xr:uid="{6F8665BF-F7CC-4FB7-89DB-6467B1FC885D}"/>
    <cellStyle name="Comma 11 3 4 3 4 3 2" xfId="49110" xr:uid="{CD69A6AC-7085-4349-AAD3-621020A3767F}"/>
    <cellStyle name="Comma 11 3 4 3 4 4" xfId="33990" xr:uid="{BA8A2B08-D051-4406-AE79-0D403EF24711}"/>
    <cellStyle name="Comma 11 3 4 3 5" xfId="5262" xr:uid="{B6FD9315-8435-45DE-951E-E126EE6B3EBD}"/>
    <cellStyle name="Comma 11 3 4 3 5 2" xfId="14334" xr:uid="{D68F2695-3DB8-4C97-9ADB-13C35B132F88}"/>
    <cellStyle name="Comma 11 3 4 3 5 2 2" xfId="29454" xr:uid="{C3C49681-0AA0-4B45-9DAD-B830B720D014}"/>
    <cellStyle name="Comma 11 3 4 3 5 2 2 2" xfId="59694" xr:uid="{2AED988D-6903-4935-8903-E4991B3C462A}"/>
    <cellStyle name="Comma 11 3 4 3 5 2 3" xfId="44574" xr:uid="{E470BC1B-2E72-4429-B182-A0E838054D1E}"/>
    <cellStyle name="Comma 11 3 4 3 5 3" xfId="20382" xr:uid="{FAF00DBA-598F-40B6-B504-685D8AE5852F}"/>
    <cellStyle name="Comma 11 3 4 3 5 3 2" xfId="50622" xr:uid="{10432A86-03AB-4F08-A65E-E71A9B4A17B7}"/>
    <cellStyle name="Comma 11 3 4 3 5 4" xfId="35502" xr:uid="{86073EAC-405C-4B2B-8F00-5F5C477D8753}"/>
    <cellStyle name="Comma 11 3 4 3 6" xfId="6774" xr:uid="{EF811A51-1A8C-40C7-9E93-0EAF566C9A59}"/>
    <cellStyle name="Comma 11 3 4 3 6 2" xfId="21894" xr:uid="{9A9714CE-B4A4-4179-B689-6383BA26C648}"/>
    <cellStyle name="Comma 11 3 4 3 6 2 2" xfId="52134" xr:uid="{CE3694C2-ABBA-4E67-A84A-EFA3B8C8BC1B}"/>
    <cellStyle name="Comma 11 3 4 3 6 3" xfId="37014" xr:uid="{AC1ECECF-1AFD-4C0E-BC7B-CF7C2A117408}"/>
    <cellStyle name="Comma 11 3 4 3 7" xfId="8286" xr:uid="{CB5ADF1F-06B0-4C34-BD66-A4413A3173D4}"/>
    <cellStyle name="Comma 11 3 4 3 7 2" xfId="23406" xr:uid="{C3C77A62-A82D-4128-B7BD-4FA2CC7650AF}"/>
    <cellStyle name="Comma 11 3 4 3 7 2 2" xfId="53646" xr:uid="{CD937AC0-7F1A-4C0B-93B2-9C9BD5D05136}"/>
    <cellStyle name="Comma 11 3 4 3 7 3" xfId="38526" xr:uid="{C4705D4C-AE8D-4325-9411-5A096FE2874C}"/>
    <cellStyle name="Comma 11 3 4 3 8" xfId="9798" xr:uid="{F7B82516-862E-40A5-9EC6-878443C30CF0}"/>
    <cellStyle name="Comma 11 3 4 3 8 2" xfId="24918" xr:uid="{B7C2FE0C-C2F6-4BD3-8759-80C7BB3C10CD}"/>
    <cellStyle name="Comma 11 3 4 3 8 2 2" xfId="55158" xr:uid="{6C7F3EB2-991B-4278-A75F-51DFEEF9F5AD}"/>
    <cellStyle name="Comma 11 3 4 3 8 3" xfId="40038" xr:uid="{FFBBD6D2-43B5-4F7A-A005-E55E7881FBAC}"/>
    <cellStyle name="Comma 11 3 4 3 9" xfId="15846" xr:uid="{19EABB09-CDBC-4E90-945F-A8430FC2A67C}"/>
    <cellStyle name="Comma 11 3 4 3 9 2" xfId="46086" xr:uid="{29289759-1518-47D3-9D88-2886ED3C4CE8}"/>
    <cellStyle name="Comma 11 3 4 4" xfId="978" xr:uid="{B1198B74-48DC-4567-A6B3-8678B85641E4}"/>
    <cellStyle name="Comma 11 3 4 4 2" xfId="2490" xr:uid="{0CC791FE-9593-4C03-829D-48D1E6B2F47A}"/>
    <cellStyle name="Comma 11 3 4 4 2 2" xfId="11562" xr:uid="{60437A5E-EB2D-4863-87C2-5168ECD09053}"/>
    <cellStyle name="Comma 11 3 4 4 2 2 2" xfId="26682" xr:uid="{FED762F9-D8AC-4CBD-B829-095D337DF2A0}"/>
    <cellStyle name="Comma 11 3 4 4 2 2 2 2" xfId="56922" xr:uid="{CB59C4A2-9E21-4EF1-BEC5-996F178DF47F}"/>
    <cellStyle name="Comma 11 3 4 4 2 2 3" xfId="41802" xr:uid="{40AE383F-BD66-49BE-8359-A231B8D74373}"/>
    <cellStyle name="Comma 11 3 4 4 2 3" xfId="17610" xr:uid="{C12F5CD7-BDFD-451C-883F-E9E0E2851C1D}"/>
    <cellStyle name="Comma 11 3 4 4 2 3 2" xfId="47850" xr:uid="{FB1BB9E8-DBB2-46B0-B9D0-1FC4DC381F5B}"/>
    <cellStyle name="Comma 11 3 4 4 2 4" xfId="32730" xr:uid="{0D79AD8D-22DE-4176-9E7A-0400D6BAA4B8}"/>
    <cellStyle name="Comma 11 3 4 4 3" xfId="4002" xr:uid="{976DD1D2-ECF4-4BAD-987E-8461BC623F81}"/>
    <cellStyle name="Comma 11 3 4 4 3 2" xfId="13074" xr:uid="{72F1B4CF-FD34-4AD7-B0A0-8B9439610A26}"/>
    <cellStyle name="Comma 11 3 4 4 3 2 2" xfId="28194" xr:uid="{267109A3-DDE5-4663-991C-81F71B298A4A}"/>
    <cellStyle name="Comma 11 3 4 4 3 2 2 2" xfId="58434" xr:uid="{2E46FD2E-729F-482E-9F4F-ADB3C6FC5D39}"/>
    <cellStyle name="Comma 11 3 4 4 3 2 3" xfId="43314" xr:uid="{48110BF1-430F-4DC5-BD69-3176FAA656C4}"/>
    <cellStyle name="Comma 11 3 4 4 3 3" xfId="19122" xr:uid="{C764D3D4-A860-4D20-A9C9-7903EF39595C}"/>
    <cellStyle name="Comma 11 3 4 4 3 3 2" xfId="49362" xr:uid="{0BBD4EA1-A06F-4094-B421-54D5345EF3F8}"/>
    <cellStyle name="Comma 11 3 4 4 3 4" xfId="34242" xr:uid="{53AF546E-8AAD-46D3-8C03-78846E04D08F}"/>
    <cellStyle name="Comma 11 3 4 4 4" xfId="5514" xr:uid="{7FC38A5C-B277-4E55-97DC-14C4E65743A3}"/>
    <cellStyle name="Comma 11 3 4 4 4 2" xfId="14586" xr:uid="{6DF93C3E-C391-4212-A427-E99BFBFD436F}"/>
    <cellStyle name="Comma 11 3 4 4 4 2 2" xfId="29706" xr:uid="{77F20346-15D1-4C36-91DC-E56BF18FCC84}"/>
    <cellStyle name="Comma 11 3 4 4 4 2 2 2" xfId="59946" xr:uid="{B8CCC9AB-E877-4382-A390-77C0C3031016}"/>
    <cellStyle name="Comma 11 3 4 4 4 2 3" xfId="44826" xr:uid="{C18C7AE5-B21B-4F29-A85E-56323CE4BFE5}"/>
    <cellStyle name="Comma 11 3 4 4 4 3" xfId="20634" xr:uid="{F2582B8A-0D26-4839-800B-0C4BCFFB026C}"/>
    <cellStyle name="Comma 11 3 4 4 4 3 2" xfId="50874" xr:uid="{DBF8E121-44A2-4468-B0AD-04BCCAEB64EB}"/>
    <cellStyle name="Comma 11 3 4 4 4 4" xfId="35754" xr:uid="{4D4E62C7-D685-4391-8FEB-4CAC11B54689}"/>
    <cellStyle name="Comma 11 3 4 4 5" xfId="7026" xr:uid="{0351A3FD-E982-4F06-AC36-E58D497351BD}"/>
    <cellStyle name="Comma 11 3 4 4 5 2" xfId="22146" xr:uid="{D443A185-D011-40D0-846C-83BD5E1B951F}"/>
    <cellStyle name="Comma 11 3 4 4 5 2 2" xfId="52386" xr:uid="{37AD278B-44FE-40E9-B22A-3971671EC3ED}"/>
    <cellStyle name="Comma 11 3 4 4 5 3" xfId="37266" xr:uid="{2E6A5591-4802-40D2-8593-B0F1EB61033B}"/>
    <cellStyle name="Comma 11 3 4 4 6" xfId="8538" xr:uid="{010C73BA-AD2C-4AE2-BA55-2D46332209CC}"/>
    <cellStyle name="Comma 11 3 4 4 6 2" xfId="23658" xr:uid="{B7227B0A-4CA2-48C1-8840-309206A15D2F}"/>
    <cellStyle name="Comma 11 3 4 4 6 2 2" xfId="53898" xr:uid="{F54358F1-9A5D-4921-B6A6-7142E659458A}"/>
    <cellStyle name="Comma 11 3 4 4 6 3" xfId="38778" xr:uid="{95C67AE3-CF9E-43BB-8E2D-A74C14D95493}"/>
    <cellStyle name="Comma 11 3 4 4 7" xfId="10050" xr:uid="{F4F8DA5C-396C-4F71-B9C2-C234A05D456A}"/>
    <cellStyle name="Comma 11 3 4 4 7 2" xfId="25170" xr:uid="{48A2DC04-4FE8-47C0-AEA8-4587E8C003E8}"/>
    <cellStyle name="Comma 11 3 4 4 7 2 2" xfId="55410" xr:uid="{0E964DB8-8474-4AA5-9D5E-B1AE7C726327}"/>
    <cellStyle name="Comma 11 3 4 4 7 3" xfId="40290" xr:uid="{4C7D3E2C-287B-4EA1-9153-E29D1A000D74}"/>
    <cellStyle name="Comma 11 3 4 4 8" xfId="16098" xr:uid="{8783052D-DDB4-4197-B252-7F91EF2B4B58}"/>
    <cellStyle name="Comma 11 3 4 4 8 2" xfId="46338" xr:uid="{39FDF90A-F3B9-4722-AD06-84E212FCF502}"/>
    <cellStyle name="Comma 11 3 4 4 9" xfId="31218" xr:uid="{56E4DE55-3738-4714-A31B-E7EF2B2238F5}"/>
    <cellStyle name="Comma 11 3 4 5" xfId="1734" xr:uid="{1D8644AE-32C1-4F9F-9B88-5021B09CAC09}"/>
    <cellStyle name="Comma 11 3 4 5 2" xfId="10806" xr:uid="{A5175ACA-3762-4028-8E87-F4CC04E23975}"/>
    <cellStyle name="Comma 11 3 4 5 2 2" xfId="25926" xr:uid="{0AD1B39C-FFE1-429B-A901-A38E4B9856D4}"/>
    <cellStyle name="Comma 11 3 4 5 2 2 2" xfId="56166" xr:uid="{4B579477-214A-47DF-A5DA-F333B023BF0F}"/>
    <cellStyle name="Comma 11 3 4 5 2 3" xfId="41046" xr:uid="{71B52706-C175-42E3-B978-05A15585532B}"/>
    <cellStyle name="Comma 11 3 4 5 3" xfId="16854" xr:uid="{1CB7E8C9-38CB-45F6-8E31-31C514F45DF3}"/>
    <cellStyle name="Comma 11 3 4 5 3 2" xfId="47094" xr:uid="{09CE5C48-7AFB-4C40-A093-6CA0DC7AD472}"/>
    <cellStyle name="Comma 11 3 4 5 4" xfId="31974" xr:uid="{330F4FAF-06D1-4EED-88B6-92DED3EC3B4F}"/>
    <cellStyle name="Comma 11 3 4 6" xfId="3246" xr:uid="{1B4EA92D-1E6F-4498-85ED-0E7B9E590FF0}"/>
    <cellStyle name="Comma 11 3 4 6 2" xfId="12318" xr:uid="{2F482CCC-3DAF-485F-B0AE-F001F4724331}"/>
    <cellStyle name="Comma 11 3 4 6 2 2" xfId="27438" xr:uid="{2155BAD4-AE55-44A6-9C04-3632502E737E}"/>
    <cellStyle name="Comma 11 3 4 6 2 2 2" xfId="57678" xr:uid="{EA9F0558-A1C9-42F7-81F7-676EFF65C6B2}"/>
    <cellStyle name="Comma 11 3 4 6 2 3" xfId="42558" xr:uid="{4465A4B3-AA64-45A3-A670-D0D752185E9A}"/>
    <cellStyle name="Comma 11 3 4 6 3" xfId="18366" xr:uid="{96FBC7A0-FBC2-4028-8BF6-1EC4A134FD98}"/>
    <cellStyle name="Comma 11 3 4 6 3 2" xfId="48606" xr:uid="{C87BA2D6-15A5-4CA2-B253-92A7A29B7612}"/>
    <cellStyle name="Comma 11 3 4 6 4" xfId="33486" xr:uid="{EE4EF8DD-2E98-48A4-BDA0-1614674B1071}"/>
    <cellStyle name="Comma 11 3 4 7" xfId="4758" xr:uid="{A1A19E2B-2260-45DD-A504-6D607819FBF1}"/>
    <cellStyle name="Comma 11 3 4 7 2" xfId="13830" xr:uid="{835689B6-03AC-470F-A094-3E5920A372D0}"/>
    <cellStyle name="Comma 11 3 4 7 2 2" xfId="28950" xr:uid="{436EFDBB-DCCC-4393-8FE5-161BD0ABCF59}"/>
    <cellStyle name="Comma 11 3 4 7 2 2 2" xfId="59190" xr:uid="{83B478B1-8F3F-449E-A48A-0A23319A8986}"/>
    <cellStyle name="Comma 11 3 4 7 2 3" xfId="44070" xr:uid="{6B6FE470-C269-4A5B-8A01-6EF7337D31F2}"/>
    <cellStyle name="Comma 11 3 4 7 3" xfId="19878" xr:uid="{FBD93F98-CF16-44D3-BE1A-F1EBF140E247}"/>
    <cellStyle name="Comma 11 3 4 7 3 2" xfId="50118" xr:uid="{BD2DAD22-0A6C-477D-BF9A-4A38BEB71FB3}"/>
    <cellStyle name="Comma 11 3 4 7 4" xfId="34998" xr:uid="{47AD3691-50DB-4127-9C44-7BE427BDD4DD}"/>
    <cellStyle name="Comma 11 3 4 8" xfId="6270" xr:uid="{DF3EA09B-CE1A-4065-B424-B1E054F2557B}"/>
    <cellStyle name="Comma 11 3 4 8 2" xfId="21390" xr:uid="{04600DB4-E96C-494A-A4CB-EEF812E0C21E}"/>
    <cellStyle name="Comma 11 3 4 8 2 2" xfId="51630" xr:uid="{AD9B82FC-925B-4983-8904-353512C7084D}"/>
    <cellStyle name="Comma 11 3 4 8 3" xfId="36510" xr:uid="{169D4AB1-D66C-4814-8FFC-0135FFEEE0E3}"/>
    <cellStyle name="Comma 11 3 4 9" xfId="7782" xr:uid="{A81B5A44-B2D9-4007-A20E-57B57EFD5925}"/>
    <cellStyle name="Comma 11 3 4 9 2" xfId="22902" xr:uid="{0AC5B6AD-80C2-4FA7-9324-CAE62FD43FC5}"/>
    <cellStyle name="Comma 11 3 4 9 2 2" xfId="53142" xr:uid="{3E5DFD96-175F-4D98-914B-07DCC2C6586D}"/>
    <cellStyle name="Comma 11 3 4 9 3" xfId="38022" xr:uid="{2FC7F303-73F4-465C-B8B1-522E8B76C354}"/>
    <cellStyle name="Comma 11 3 5" xfId="306" xr:uid="{374AF39D-4173-4473-AA8A-6AB6ED40B49E}"/>
    <cellStyle name="Comma 11 3 5 10" xfId="30546" xr:uid="{81063748-176D-4DF7-BDD4-DE706DFA3829}"/>
    <cellStyle name="Comma 11 3 5 2" xfId="1062" xr:uid="{673FABD3-5F55-49A9-825E-021C60B7CACF}"/>
    <cellStyle name="Comma 11 3 5 2 2" xfId="2574" xr:uid="{F239EFE3-5618-4442-BC77-BDCE7E304C15}"/>
    <cellStyle name="Comma 11 3 5 2 2 2" xfId="11646" xr:uid="{C4FE870C-B419-4C87-B0EC-B571E7F14FAE}"/>
    <cellStyle name="Comma 11 3 5 2 2 2 2" xfId="26766" xr:uid="{48ECA2FC-9186-445B-8093-E2FF591D42B2}"/>
    <cellStyle name="Comma 11 3 5 2 2 2 2 2" xfId="57006" xr:uid="{2EEFCEE9-74E2-4721-A419-64EB0F73314D}"/>
    <cellStyle name="Comma 11 3 5 2 2 2 3" xfId="41886" xr:uid="{0702A0FE-240F-48DE-8C53-1B97113D39D6}"/>
    <cellStyle name="Comma 11 3 5 2 2 3" xfId="17694" xr:uid="{4D965703-DD6C-4A48-B8DC-ADC44E8662B8}"/>
    <cellStyle name="Comma 11 3 5 2 2 3 2" xfId="47934" xr:uid="{D4F60D84-31AC-4B6D-BDFA-8ED2936A4B4E}"/>
    <cellStyle name="Comma 11 3 5 2 2 4" xfId="32814" xr:uid="{55ADF6EE-780C-4CD5-8E79-434789EC757C}"/>
    <cellStyle name="Comma 11 3 5 2 3" xfId="4086" xr:uid="{391160C3-7A85-4B7F-A5E0-25DB5A72BD3C}"/>
    <cellStyle name="Comma 11 3 5 2 3 2" xfId="13158" xr:uid="{239A276F-79FE-4F6B-A585-C7F59716BB2F}"/>
    <cellStyle name="Comma 11 3 5 2 3 2 2" xfId="28278" xr:uid="{CADD9DAF-7E1C-4562-94EE-7674E76CE0CA}"/>
    <cellStyle name="Comma 11 3 5 2 3 2 2 2" xfId="58518" xr:uid="{DE07D5E8-E63C-4C05-844B-2B22A00371F8}"/>
    <cellStyle name="Comma 11 3 5 2 3 2 3" xfId="43398" xr:uid="{7A6F3725-41EF-4935-90FC-2865F7D9C7F8}"/>
    <cellStyle name="Comma 11 3 5 2 3 3" xfId="19206" xr:uid="{0FEE89FA-DDB5-4E57-A87B-7DE128CDBB10}"/>
    <cellStyle name="Comma 11 3 5 2 3 3 2" xfId="49446" xr:uid="{8E8CEA18-7F1C-4E68-99ED-2E51A4563291}"/>
    <cellStyle name="Comma 11 3 5 2 3 4" xfId="34326" xr:uid="{DF4A9120-9102-4EEC-963E-D47CBC57F883}"/>
    <cellStyle name="Comma 11 3 5 2 4" xfId="5598" xr:uid="{723573A8-0BD9-45CD-8848-598D8F3D2BF0}"/>
    <cellStyle name="Comma 11 3 5 2 4 2" xfId="14670" xr:uid="{D8CD09BD-9098-4890-90CA-AC8609F52944}"/>
    <cellStyle name="Comma 11 3 5 2 4 2 2" xfId="29790" xr:uid="{73477021-AB8B-4EBB-8BEA-565F13AD3F5B}"/>
    <cellStyle name="Comma 11 3 5 2 4 2 2 2" xfId="60030" xr:uid="{7E614E7B-4868-48F3-A597-056DDE314307}"/>
    <cellStyle name="Comma 11 3 5 2 4 2 3" xfId="44910" xr:uid="{BB2125E9-1B1D-4357-8AE1-16D297FCCB72}"/>
    <cellStyle name="Comma 11 3 5 2 4 3" xfId="20718" xr:uid="{A5E603BD-396E-414A-932B-A7B2C14388CB}"/>
    <cellStyle name="Comma 11 3 5 2 4 3 2" xfId="50958" xr:uid="{747939EA-B740-4BB0-9162-8FEE8CA437F8}"/>
    <cellStyle name="Comma 11 3 5 2 4 4" xfId="35838" xr:uid="{8078A0FB-0391-4A7F-BB91-22C36BB92AFE}"/>
    <cellStyle name="Comma 11 3 5 2 5" xfId="7110" xr:uid="{FFD2EEA7-9B08-4073-AE24-4B4B9C12BFBE}"/>
    <cellStyle name="Comma 11 3 5 2 5 2" xfId="22230" xr:uid="{5CE7293F-BBC3-4B65-81FA-826169997125}"/>
    <cellStyle name="Comma 11 3 5 2 5 2 2" xfId="52470" xr:uid="{B50907A3-9A11-4A06-BD38-A1566A12AA31}"/>
    <cellStyle name="Comma 11 3 5 2 5 3" xfId="37350" xr:uid="{1367CB70-B166-41E1-A736-A3CC5545856A}"/>
    <cellStyle name="Comma 11 3 5 2 6" xfId="8622" xr:uid="{86FFF025-2009-466B-8B46-62F97FFDC757}"/>
    <cellStyle name="Comma 11 3 5 2 6 2" xfId="23742" xr:uid="{B25CD8FA-8867-48DE-81B0-4E04E3411740}"/>
    <cellStyle name="Comma 11 3 5 2 6 2 2" xfId="53982" xr:uid="{02252220-9400-4625-AEE7-BB8BF56DE31A}"/>
    <cellStyle name="Comma 11 3 5 2 6 3" xfId="38862" xr:uid="{CF1727E8-8288-453C-A4BB-B8C9CE977817}"/>
    <cellStyle name="Comma 11 3 5 2 7" xfId="10134" xr:uid="{D1AEDD33-83F9-4E22-9C2F-67C80A31D081}"/>
    <cellStyle name="Comma 11 3 5 2 7 2" xfId="25254" xr:uid="{8F491A6A-DD36-494F-9DEF-790D16C40B65}"/>
    <cellStyle name="Comma 11 3 5 2 7 2 2" xfId="55494" xr:uid="{454EC562-6C3F-4AAE-BDED-FC9E285849C2}"/>
    <cellStyle name="Comma 11 3 5 2 7 3" xfId="40374" xr:uid="{C69C49B7-C8CD-4454-A17C-E4B15BCD2E42}"/>
    <cellStyle name="Comma 11 3 5 2 8" xfId="16182" xr:uid="{7B5A0E45-BD75-4DE5-96FC-19CD93FF6992}"/>
    <cellStyle name="Comma 11 3 5 2 8 2" xfId="46422" xr:uid="{F592E4FB-DB39-41FC-8A88-B1BD6F4A7CE5}"/>
    <cellStyle name="Comma 11 3 5 2 9" xfId="31302" xr:uid="{4F215224-9A44-4469-8DA4-03F86F20B03A}"/>
    <cellStyle name="Comma 11 3 5 3" xfId="1818" xr:uid="{3CB3F8E3-E302-409E-B47F-AD18F234FAF8}"/>
    <cellStyle name="Comma 11 3 5 3 2" xfId="10890" xr:uid="{18BE354D-F907-498E-B2BF-37942F292BFD}"/>
    <cellStyle name="Comma 11 3 5 3 2 2" xfId="26010" xr:uid="{D414BAB1-D965-48D0-90BB-C5CEFE9720E5}"/>
    <cellStyle name="Comma 11 3 5 3 2 2 2" xfId="56250" xr:uid="{D571A2BF-33E9-4971-9632-ED316B908FA4}"/>
    <cellStyle name="Comma 11 3 5 3 2 3" xfId="41130" xr:uid="{9C135F89-879A-43C0-BD26-3CBD49930443}"/>
    <cellStyle name="Comma 11 3 5 3 3" xfId="16938" xr:uid="{5FA99DC6-02D8-46A5-B30A-EF5D3F57C98D}"/>
    <cellStyle name="Comma 11 3 5 3 3 2" xfId="47178" xr:uid="{D72167D3-A047-4199-AB98-C9E82BD83C6A}"/>
    <cellStyle name="Comma 11 3 5 3 4" xfId="32058" xr:uid="{F2EF4679-F221-45F4-B960-9D93A85E9218}"/>
    <cellStyle name="Comma 11 3 5 4" xfId="3330" xr:uid="{67C16B45-27F4-4C68-8D1A-FA5AF33E090C}"/>
    <cellStyle name="Comma 11 3 5 4 2" xfId="12402" xr:uid="{7F82E309-9A98-4660-9F8E-A4509D36B3FB}"/>
    <cellStyle name="Comma 11 3 5 4 2 2" xfId="27522" xr:uid="{E6BC46D8-E24C-4C6D-8D1A-284CB480C100}"/>
    <cellStyle name="Comma 11 3 5 4 2 2 2" xfId="57762" xr:uid="{7B5FFE7D-F916-4326-B295-6C0B55B62ABF}"/>
    <cellStyle name="Comma 11 3 5 4 2 3" xfId="42642" xr:uid="{19B5A60F-51B6-4036-A5CE-C4EE178E0A51}"/>
    <cellStyle name="Comma 11 3 5 4 3" xfId="18450" xr:uid="{D4A76AF3-DC21-49D7-A4C5-C28DDE720982}"/>
    <cellStyle name="Comma 11 3 5 4 3 2" xfId="48690" xr:uid="{0DA2E7DE-8B01-4BAF-807D-BE2C0E9F4CAB}"/>
    <cellStyle name="Comma 11 3 5 4 4" xfId="33570" xr:uid="{6BE99ECC-7BD9-450A-B8D6-34192FADF550}"/>
    <cellStyle name="Comma 11 3 5 5" xfId="4842" xr:uid="{1EAEACD1-ADC0-47C9-B0F1-CA3C5ED70029}"/>
    <cellStyle name="Comma 11 3 5 5 2" xfId="13914" xr:uid="{4A3BBC3B-4D94-43DD-8574-0C756B0607D0}"/>
    <cellStyle name="Comma 11 3 5 5 2 2" xfId="29034" xr:uid="{33494F00-424B-43E7-9DD9-A6FB755A06A2}"/>
    <cellStyle name="Comma 11 3 5 5 2 2 2" xfId="59274" xr:uid="{54578651-FB21-4BC7-986E-B02A4815AE80}"/>
    <cellStyle name="Comma 11 3 5 5 2 3" xfId="44154" xr:uid="{26CE5F72-9B31-42F5-83F9-595C2DB382C1}"/>
    <cellStyle name="Comma 11 3 5 5 3" xfId="19962" xr:uid="{36903511-1497-46D6-8DF7-D1C6FC84600F}"/>
    <cellStyle name="Comma 11 3 5 5 3 2" xfId="50202" xr:uid="{C007A30B-58E4-4CC5-9E04-F2CFC474C3DE}"/>
    <cellStyle name="Comma 11 3 5 5 4" xfId="35082" xr:uid="{C494F31D-1F25-4C48-8743-0D78972A9841}"/>
    <cellStyle name="Comma 11 3 5 6" xfId="6354" xr:uid="{4EFDE504-84B6-4F51-B688-DCBE7B2F3841}"/>
    <cellStyle name="Comma 11 3 5 6 2" xfId="21474" xr:uid="{ACC7C2FB-ABED-46BC-9D0C-E75023F57132}"/>
    <cellStyle name="Comma 11 3 5 6 2 2" xfId="51714" xr:uid="{50046341-36B7-43F8-A0CD-825836D7E945}"/>
    <cellStyle name="Comma 11 3 5 6 3" xfId="36594" xr:uid="{EE0628A6-DC04-47CB-8E46-75A19503E07B}"/>
    <cellStyle name="Comma 11 3 5 7" xfId="7866" xr:uid="{AC935A11-120F-46D2-B07A-6874CA73C354}"/>
    <cellStyle name="Comma 11 3 5 7 2" xfId="22986" xr:uid="{8B9F6601-AF57-4B73-9D3E-719326CF9840}"/>
    <cellStyle name="Comma 11 3 5 7 2 2" xfId="53226" xr:uid="{C93DA732-07F7-4D81-9373-64A035A19133}"/>
    <cellStyle name="Comma 11 3 5 7 3" xfId="38106" xr:uid="{97662EF6-BA5E-48EF-8A83-0A5DBFC3026D}"/>
    <cellStyle name="Comma 11 3 5 8" xfId="9378" xr:uid="{6494DB72-D9B3-4B32-9704-36139E185EEE}"/>
    <cellStyle name="Comma 11 3 5 8 2" xfId="24498" xr:uid="{7FDAF8FF-3F01-4143-B34D-14D9EB75D25D}"/>
    <cellStyle name="Comma 11 3 5 8 2 2" xfId="54738" xr:uid="{2C2279A7-4623-4D20-AC4F-C293161C3454}"/>
    <cellStyle name="Comma 11 3 5 8 3" xfId="39618" xr:uid="{007069C9-79AA-434D-8EF2-373379228990}"/>
    <cellStyle name="Comma 11 3 5 9" xfId="15426" xr:uid="{E38BA503-1D63-4DC5-846D-70E9A0BCFDA5}"/>
    <cellStyle name="Comma 11 3 5 9 2" xfId="45666" xr:uid="{CE6985DC-24C8-4A72-B966-CEADC300972A}"/>
    <cellStyle name="Comma 11 3 6" xfId="558" xr:uid="{F89A43EE-4A31-4DE7-98A2-CAC718AEF5C4}"/>
    <cellStyle name="Comma 11 3 6 10" xfId="30798" xr:uid="{BCA09AE8-ACA5-4B5E-9C48-20F575082BA8}"/>
    <cellStyle name="Comma 11 3 6 2" xfId="1314" xr:uid="{470E1937-E80B-4139-BE47-5F8339F00F34}"/>
    <cellStyle name="Comma 11 3 6 2 2" xfId="2826" xr:uid="{2BAB9FF7-11F4-4941-BB6E-241F6A9D4158}"/>
    <cellStyle name="Comma 11 3 6 2 2 2" xfId="11898" xr:uid="{A9F076CB-A277-488F-863D-1D738C8C1231}"/>
    <cellStyle name="Comma 11 3 6 2 2 2 2" xfId="27018" xr:uid="{85D8BA0E-993B-4D02-8D0C-97A46A761B5C}"/>
    <cellStyle name="Comma 11 3 6 2 2 2 2 2" xfId="57258" xr:uid="{5E0F0FE5-ED21-4A07-B95C-2005485F1F81}"/>
    <cellStyle name="Comma 11 3 6 2 2 2 3" xfId="42138" xr:uid="{B3A57235-453C-428D-91C8-B64B23525490}"/>
    <cellStyle name="Comma 11 3 6 2 2 3" xfId="17946" xr:uid="{97412DDA-5758-4DEB-8F94-867521401482}"/>
    <cellStyle name="Comma 11 3 6 2 2 3 2" xfId="48186" xr:uid="{D40138A2-F8BD-44BF-8E45-693820C2273A}"/>
    <cellStyle name="Comma 11 3 6 2 2 4" xfId="33066" xr:uid="{47BEE0A4-68F3-4C48-8CEA-1866F41E84D6}"/>
    <cellStyle name="Comma 11 3 6 2 3" xfId="4338" xr:uid="{EB25FD89-F57E-4331-93D2-218A6D8191A4}"/>
    <cellStyle name="Comma 11 3 6 2 3 2" xfId="13410" xr:uid="{BEF93406-B4C3-4564-8AEB-19D4A2D4F8DB}"/>
    <cellStyle name="Comma 11 3 6 2 3 2 2" xfId="28530" xr:uid="{DB606D6E-30D1-4960-B3C3-DD6D269B058A}"/>
    <cellStyle name="Comma 11 3 6 2 3 2 2 2" xfId="58770" xr:uid="{EACB5D08-9B3B-4D78-B626-4B49FC07004A}"/>
    <cellStyle name="Comma 11 3 6 2 3 2 3" xfId="43650" xr:uid="{87236516-37A3-4E09-B329-FA5DA649C93E}"/>
    <cellStyle name="Comma 11 3 6 2 3 3" xfId="19458" xr:uid="{1BDD29B7-4748-4979-9D34-4C4E1F8119DF}"/>
    <cellStyle name="Comma 11 3 6 2 3 3 2" xfId="49698" xr:uid="{C9E7EE56-9F9F-48F6-84E1-B717BC475F69}"/>
    <cellStyle name="Comma 11 3 6 2 3 4" xfId="34578" xr:uid="{0D324628-1C47-418E-98D7-AA304E4BE0F5}"/>
    <cellStyle name="Comma 11 3 6 2 4" xfId="5850" xr:uid="{872C6C7F-9F3A-4247-B0F1-F01BB5AF0F6F}"/>
    <cellStyle name="Comma 11 3 6 2 4 2" xfId="14922" xr:uid="{E1A167A7-1436-4AE3-9BFB-106A4EDE388D}"/>
    <cellStyle name="Comma 11 3 6 2 4 2 2" xfId="30042" xr:uid="{C8794AF2-E846-4366-8C6E-2E876C1EA0F3}"/>
    <cellStyle name="Comma 11 3 6 2 4 2 2 2" xfId="60282" xr:uid="{95F0E6BD-EDFE-4459-B17D-A6098DAF1BC0}"/>
    <cellStyle name="Comma 11 3 6 2 4 2 3" xfId="45162" xr:uid="{7C51A35D-F090-46EE-A113-48F43B88F4F1}"/>
    <cellStyle name="Comma 11 3 6 2 4 3" xfId="20970" xr:uid="{41C74165-B6DC-4C01-ADEA-5900E11BDE20}"/>
    <cellStyle name="Comma 11 3 6 2 4 3 2" xfId="51210" xr:uid="{465500BC-CA1A-487A-A5EE-381FDFDC0EFB}"/>
    <cellStyle name="Comma 11 3 6 2 4 4" xfId="36090" xr:uid="{767EBB4B-0537-490B-B246-CDDD30499E9F}"/>
    <cellStyle name="Comma 11 3 6 2 5" xfId="7362" xr:uid="{94DA4BC6-8C54-4C94-8A6E-E9F0CF14DFEB}"/>
    <cellStyle name="Comma 11 3 6 2 5 2" xfId="22482" xr:uid="{127FCD26-4B2E-4E9B-924E-98A3F447A020}"/>
    <cellStyle name="Comma 11 3 6 2 5 2 2" xfId="52722" xr:uid="{00D8F12B-6A8B-46AC-850A-287D3FE23F25}"/>
    <cellStyle name="Comma 11 3 6 2 5 3" xfId="37602" xr:uid="{31CC5167-37F8-47A4-8F37-8420292F4730}"/>
    <cellStyle name="Comma 11 3 6 2 6" xfId="8874" xr:uid="{0E3FC691-1B17-481D-B311-6FD24D4FDDB0}"/>
    <cellStyle name="Comma 11 3 6 2 6 2" xfId="23994" xr:uid="{CDACB614-90E3-4FB1-B695-0E918597701A}"/>
    <cellStyle name="Comma 11 3 6 2 6 2 2" xfId="54234" xr:uid="{8989379D-8E18-4694-AC2B-FED3BE853C40}"/>
    <cellStyle name="Comma 11 3 6 2 6 3" xfId="39114" xr:uid="{51E33016-15C5-4BCE-8BDD-4FF31A4852A8}"/>
    <cellStyle name="Comma 11 3 6 2 7" xfId="10386" xr:uid="{2B363174-2D41-4E15-80AA-AD1A7DB0D60B}"/>
    <cellStyle name="Comma 11 3 6 2 7 2" xfId="25506" xr:uid="{83A04336-3CDA-460E-9067-489850EE091F}"/>
    <cellStyle name="Comma 11 3 6 2 7 2 2" xfId="55746" xr:uid="{76E01343-7896-4B5B-9CA0-254F6AA5E282}"/>
    <cellStyle name="Comma 11 3 6 2 7 3" xfId="40626" xr:uid="{ABC6AD62-5D4C-4D81-B23C-4B0147405E0D}"/>
    <cellStyle name="Comma 11 3 6 2 8" xfId="16434" xr:uid="{F0418A75-5EF5-4A42-B117-C30692435240}"/>
    <cellStyle name="Comma 11 3 6 2 8 2" xfId="46674" xr:uid="{574372AB-0E98-40F7-9ABF-E913D8E47ABC}"/>
    <cellStyle name="Comma 11 3 6 2 9" xfId="31554" xr:uid="{87E5AF8E-1745-47DE-85A9-5131E986B101}"/>
    <cellStyle name="Comma 11 3 6 3" xfId="2070" xr:uid="{42A8DA87-773F-4E5C-89ED-E8CFF0F3EE84}"/>
    <cellStyle name="Comma 11 3 6 3 2" xfId="11142" xr:uid="{48A3F188-2E97-4428-9A08-64B5664719B3}"/>
    <cellStyle name="Comma 11 3 6 3 2 2" xfId="26262" xr:uid="{6D6D3488-2E24-4FA8-A605-159EE6234559}"/>
    <cellStyle name="Comma 11 3 6 3 2 2 2" xfId="56502" xr:uid="{4617AB2E-D0B3-4F8A-81C1-1DC92979154A}"/>
    <cellStyle name="Comma 11 3 6 3 2 3" xfId="41382" xr:uid="{6C419EB6-EAC0-4525-A123-562672A3928F}"/>
    <cellStyle name="Comma 11 3 6 3 3" xfId="17190" xr:uid="{19A0E832-0FDB-445C-BC88-A06ABDA1B780}"/>
    <cellStyle name="Comma 11 3 6 3 3 2" xfId="47430" xr:uid="{162B39AE-A6F9-42E5-B454-76F946B8B5BD}"/>
    <cellStyle name="Comma 11 3 6 3 4" xfId="32310" xr:uid="{E5F94FB8-CCB2-434D-B37A-7844E9D8C162}"/>
    <cellStyle name="Comma 11 3 6 4" xfId="3582" xr:uid="{5FCD0213-BB1C-4860-A20D-6986860156CD}"/>
    <cellStyle name="Comma 11 3 6 4 2" xfId="12654" xr:uid="{12CCCD10-7985-49FB-A93E-09C511F1AAC5}"/>
    <cellStyle name="Comma 11 3 6 4 2 2" xfId="27774" xr:uid="{11FB6D79-119A-4F60-8CE5-5048A0B905F0}"/>
    <cellStyle name="Comma 11 3 6 4 2 2 2" xfId="58014" xr:uid="{85E33C2B-6FFF-42D3-8ECE-BB4757E4D6A8}"/>
    <cellStyle name="Comma 11 3 6 4 2 3" xfId="42894" xr:uid="{3A0A65CD-C1B1-4421-A894-2E803E230F1F}"/>
    <cellStyle name="Comma 11 3 6 4 3" xfId="18702" xr:uid="{D8C31F14-442B-4E5D-B533-7675C617FEA5}"/>
    <cellStyle name="Comma 11 3 6 4 3 2" xfId="48942" xr:uid="{39F9DA3E-4AE5-4C9F-8AD5-D67D07B84A78}"/>
    <cellStyle name="Comma 11 3 6 4 4" xfId="33822" xr:uid="{7543C083-128C-4C2A-A785-42012D188B75}"/>
    <cellStyle name="Comma 11 3 6 5" xfId="5094" xr:uid="{B2D022BC-8878-41F0-B17B-DAE10507C219}"/>
    <cellStyle name="Comma 11 3 6 5 2" xfId="14166" xr:uid="{61E3E976-30EB-405F-A1D9-9008F22BD723}"/>
    <cellStyle name="Comma 11 3 6 5 2 2" xfId="29286" xr:uid="{A5AAE818-B153-4C37-A3F5-081275396812}"/>
    <cellStyle name="Comma 11 3 6 5 2 2 2" xfId="59526" xr:uid="{F3CEFF6F-5577-4D0C-A667-5AEE17822899}"/>
    <cellStyle name="Comma 11 3 6 5 2 3" xfId="44406" xr:uid="{BF80A146-40E0-4FEE-A627-162DC3C2C072}"/>
    <cellStyle name="Comma 11 3 6 5 3" xfId="20214" xr:uid="{498FADF1-5ACC-4853-9F94-6939CE32F37B}"/>
    <cellStyle name="Comma 11 3 6 5 3 2" xfId="50454" xr:uid="{4C63BFCB-0807-414F-821E-23FD340E4A6B}"/>
    <cellStyle name="Comma 11 3 6 5 4" xfId="35334" xr:uid="{D76CDBBC-CD99-4719-94DE-50F79B2E6E83}"/>
    <cellStyle name="Comma 11 3 6 6" xfId="6606" xr:uid="{FD3F6B18-9785-4A6D-863D-260F7035D072}"/>
    <cellStyle name="Comma 11 3 6 6 2" xfId="21726" xr:uid="{D7BF8888-13C2-41F9-890C-FA45A6180973}"/>
    <cellStyle name="Comma 11 3 6 6 2 2" xfId="51966" xr:uid="{3E3F479F-947E-46A5-A8F2-9654A38F7D82}"/>
    <cellStyle name="Comma 11 3 6 6 3" xfId="36846" xr:uid="{FB2DFBF3-A4FD-46C7-9891-3903DB4C30AD}"/>
    <cellStyle name="Comma 11 3 6 7" xfId="8118" xr:uid="{BBA17DA3-C1B7-475D-8B88-315491BA8DAA}"/>
    <cellStyle name="Comma 11 3 6 7 2" xfId="23238" xr:uid="{A1E9A085-7CC3-4ED1-9F90-5B8EF197017D}"/>
    <cellStyle name="Comma 11 3 6 7 2 2" xfId="53478" xr:uid="{CBD6D827-A0A1-492F-AD3A-299EFF0E3D78}"/>
    <cellStyle name="Comma 11 3 6 7 3" xfId="38358" xr:uid="{FEA2CA8F-692A-4EAC-8B58-E561F4B0A13E}"/>
    <cellStyle name="Comma 11 3 6 8" xfId="9630" xr:uid="{FBC126A5-560A-46F6-9E1C-F97F28C354B6}"/>
    <cellStyle name="Comma 11 3 6 8 2" xfId="24750" xr:uid="{72655BAA-1365-42D3-9B94-0D3A85AAC813}"/>
    <cellStyle name="Comma 11 3 6 8 2 2" xfId="54990" xr:uid="{9A2A08FB-0F62-4108-B70D-61CCFFFD2BF7}"/>
    <cellStyle name="Comma 11 3 6 8 3" xfId="39870" xr:uid="{645CCB1E-B037-456B-870A-FFC0726C991F}"/>
    <cellStyle name="Comma 11 3 6 9" xfId="15678" xr:uid="{12DE0B09-583A-46C9-956D-F9209F86C261}"/>
    <cellStyle name="Comma 11 3 6 9 2" xfId="45918" xr:uid="{259F2DDF-51A4-4584-AF3E-AC36A3605E91}"/>
    <cellStyle name="Comma 11 3 7" xfId="810" xr:uid="{83E1681B-2F0A-482B-933F-535181B3BFDE}"/>
    <cellStyle name="Comma 11 3 7 2" xfId="2322" xr:uid="{A32D6A0B-3427-4873-AF20-F653AC29E1E3}"/>
    <cellStyle name="Comma 11 3 7 2 2" xfId="11394" xr:uid="{8FCF2B18-946F-499B-8F6A-8EF004AD3166}"/>
    <cellStyle name="Comma 11 3 7 2 2 2" xfId="26514" xr:uid="{4FD482A6-6B13-40D4-97ED-5AE1912F367D}"/>
    <cellStyle name="Comma 11 3 7 2 2 2 2" xfId="56754" xr:uid="{EE6B159D-8A8B-42F4-BF09-15822087D8DB}"/>
    <cellStyle name="Comma 11 3 7 2 2 3" xfId="41634" xr:uid="{0080EE64-9CC6-43D5-B1FA-E4CAC1DC1222}"/>
    <cellStyle name="Comma 11 3 7 2 3" xfId="17442" xr:uid="{DEDD482A-2634-4457-B4D9-58D79D5AFF2C}"/>
    <cellStyle name="Comma 11 3 7 2 3 2" xfId="47682" xr:uid="{12C72DE7-E6BD-4916-9318-D435C0D5B104}"/>
    <cellStyle name="Comma 11 3 7 2 4" xfId="32562" xr:uid="{97C66F6B-CF93-49AD-91BD-E0308B3D653E}"/>
    <cellStyle name="Comma 11 3 7 3" xfId="3834" xr:uid="{02F6D36D-C553-40FD-8BF6-BA0F0050B1D1}"/>
    <cellStyle name="Comma 11 3 7 3 2" xfId="12906" xr:uid="{9F7ABD43-85BD-4811-B836-E3889CD7310E}"/>
    <cellStyle name="Comma 11 3 7 3 2 2" xfId="28026" xr:uid="{C8D6FAD2-A814-4601-837D-9AE80D222F68}"/>
    <cellStyle name="Comma 11 3 7 3 2 2 2" xfId="58266" xr:uid="{36702B63-C0A3-42AC-B7B0-ED712033C985}"/>
    <cellStyle name="Comma 11 3 7 3 2 3" xfId="43146" xr:uid="{36766721-9FFF-4071-A4F6-78981EFA06A4}"/>
    <cellStyle name="Comma 11 3 7 3 3" xfId="18954" xr:uid="{134A5DFB-42D7-45B2-B0E7-22FC2AAE29E9}"/>
    <cellStyle name="Comma 11 3 7 3 3 2" xfId="49194" xr:uid="{9B14342A-094B-4A41-B548-9DBEA5441CD2}"/>
    <cellStyle name="Comma 11 3 7 3 4" xfId="34074" xr:uid="{B14F0108-C5FB-49FF-8D03-2491CE59C2E6}"/>
    <cellStyle name="Comma 11 3 7 4" xfId="5346" xr:uid="{E78D2C9F-7AA8-4D5C-94FA-C6050A942352}"/>
    <cellStyle name="Comma 11 3 7 4 2" xfId="14418" xr:uid="{71A553BC-CDBE-490B-A196-2CCC2753C3E3}"/>
    <cellStyle name="Comma 11 3 7 4 2 2" xfId="29538" xr:uid="{5D77CFAB-3C9A-47E0-80F5-18F66C52C0BA}"/>
    <cellStyle name="Comma 11 3 7 4 2 2 2" xfId="59778" xr:uid="{AAB72D64-6D3B-47FF-92D1-9742376461EF}"/>
    <cellStyle name="Comma 11 3 7 4 2 3" xfId="44658" xr:uid="{30A27F76-59B9-418A-A31F-622F7D6CF3CE}"/>
    <cellStyle name="Comma 11 3 7 4 3" xfId="20466" xr:uid="{9B55A407-6B9F-4249-BB32-ACEEC48F67E7}"/>
    <cellStyle name="Comma 11 3 7 4 3 2" xfId="50706" xr:uid="{9E2779EF-8777-487C-991D-0DE34D516931}"/>
    <cellStyle name="Comma 11 3 7 4 4" xfId="35586" xr:uid="{09D83CFF-40F1-4182-A605-745CB972A1B6}"/>
    <cellStyle name="Comma 11 3 7 5" xfId="6858" xr:uid="{B5F6E539-DFDD-4960-B65A-694817141A6E}"/>
    <cellStyle name="Comma 11 3 7 5 2" xfId="21978" xr:uid="{7AE9931C-CA53-4D83-A806-12536A89CE94}"/>
    <cellStyle name="Comma 11 3 7 5 2 2" xfId="52218" xr:uid="{C9590558-5720-40CD-9598-CF51FD94BF9A}"/>
    <cellStyle name="Comma 11 3 7 5 3" xfId="37098" xr:uid="{3B564BBC-9ED2-44E6-B260-BE8CDBB1BB94}"/>
    <cellStyle name="Comma 11 3 7 6" xfId="8370" xr:uid="{BA53A884-30F2-44E1-B575-D85441F4270F}"/>
    <cellStyle name="Comma 11 3 7 6 2" xfId="23490" xr:uid="{F31D2833-CEB0-441D-BC79-11827D8E6ED1}"/>
    <cellStyle name="Comma 11 3 7 6 2 2" xfId="53730" xr:uid="{7E32AAB8-532A-40D6-B21F-DC0295B8BD4F}"/>
    <cellStyle name="Comma 11 3 7 6 3" xfId="38610" xr:uid="{A02B60E9-8548-40F4-9DB8-4F121308430B}"/>
    <cellStyle name="Comma 11 3 7 7" xfId="9882" xr:uid="{78B78621-21A1-482E-9BB5-42685AC8C0F9}"/>
    <cellStyle name="Comma 11 3 7 7 2" xfId="25002" xr:uid="{684E2423-DD6D-44A6-BF52-BADD25326EBF}"/>
    <cellStyle name="Comma 11 3 7 7 2 2" xfId="55242" xr:uid="{9EB78674-A7C6-42EB-B058-1A0D55C75981}"/>
    <cellStyle name="Comma 11 3 7 7 3" xfId="40122" xr:uid="{F820EB2E-EC54-4F46-B0D2-599E1DA7797F}"/>
    <cellStyle name="Comma 11 3 7 8" xfId="15930" xr:uid="{26976440-9BD9-4A9E-9499-DF49CA342039}"/>
    <cellStyle name="Comma 11 3 7 8 2" xfId="46170" xr:uid="{DA131CF1-9450-45DE-B69F-0E54350A2415}"/>
    <cellStyle name="Comma 11 3 7 9" xfId="31050" xr:uid="{8D97FF71-4726-4329-A5F8-3990F1E37E17}"/>
    <cellStyle name="Comma 11 3 8" xfId="1566" xr:uid="{9727D874-28EF-494C-8A66-2A216BAFB203}"/>
    <cellStyle name="Comma 11 3 8 2" xfId="10638" xr:uid="{11BE935E-C4F8-4AFF-91C8-933904AC2C01}"/>
    <cellStyle name="Comma 11 3 8 2 2" xfId="25758" xr:uid="{7CAE4336-FBE5-4CAE-97E5-3040D46356DC}"/>
    <cellStyle name="Comma 11 3 8 2 2 2" xfId="55998" xr:uid="{5C9B5AB6-1924-4773-A3D2-51DCD7909B41}"/>
    <cellStyle name="Comma 11 3 8 2 3" xfId="40878" xr:uid="{EF11CC47-EFEB-4535-93B9-19219C97F6BA}"/>
    <cellStyle name="Comma 11 3 8 3" xfId="16686" xr:uid="{25D2A32E-9948-456A-98B9-A1BC5790C9C5}"/>
    <cellStyle name="Comma 11 3 8 3 2" xfId="46926" xr:uid="{A89CB5BD-F39A-428A-8A62-167AEBB8D92D}"/>
    <cellStyle name="Comma 11 3 8 4" xfId="31806" xr:uid="{6FEA9F00-10EE-4668-B3DD-ACF1E9E132B6}"/>
    <cellStyle name="Comma 11 3 9" xfId="3078" xr:uid="{D81F26A1-3171-4AB6-818A-5D33D26AAD03}"/>
    <cellStyle name="Comma 11 3 9 2" xfId="12150" xr:uid="{BEFE7825-58BD-49D3-96C8-37545AFE237E}"/>
    <cellStyle name="Comma 11 3 9 2 2" xfId="27270" xr:uid="{CACE5CD5-47C5-417C-BE33-D62AEC827AA9}"/>
    <cellStyle name="Comma 11 3 9 2 2 2" xfId="57510" xr:uid="{56B2AF87-11CD-47A3-B2D3-9C952E23170B}"/>
    <cellStyle name="Comma 11 3 9 2 3" xfId="42390" xr:uid="{0ED3D185-2860-4A23-ACE2-2C3244B9368A}"/>
    <cellStyle name="Comma 11 3 9 3" xfId="18198" xr:uid="{D9E07945-7EF9-4803-9B37-5F9FAD24FBB7}"/>
    <cellStyle name="Comma 11 3 9 3 2" xfId="48438" xr:uid="{F3CC45DD-834F-45CD-A981-73F69AF6882D}"/>
    <cellStyle name="Comma 11 3 9 4" xfId="33318" xr:uid="{68716377-1EA4-4CF7-BFFE-525C94756C0E}"/>
    <cellStyle name="Comma 11 4" xfId="68" xr:uid="{1C06A127-D7C6-4A1E-AF04-547BEA61902A}"/>
    <cellStyle name="Comma 11 4 10" xfId="6116" xr:uid="{2A8E4139-C2F6-48D4-AEE6-A5D2041B60BF}"/>
    <cellStyle name="Comma 11 4 10 2" xfId="21236" xr:uid="{89F79CBB-DF76-4461-8829-247A951680FA}"/>
    <cellStyle name="Comma 11 4 10 2 2" xfId="51476" xr:uid="{D03B99FF-9861-45C1-8779-D4FFD3223019}"/>
    <cellStyle name="Comma 11 4 10 3" xfId="36356" xr:uid="{BE782F3C-2936-420F-BBDB-0CF226D89BF3}"/>
    <cellStyle name="Comma 11 4 11" xfId="7628" xr:uid="{505C5B2E-DBFD-4C22-8911-AD1131AA5884}"/>
    <cellStyle name="Comma 11 4 11 2" xfId="22748" xr:uid="{2D7D06DA-99F7-4FDF-93C8-8CC01F3C189E}"/>
    <cellStyle name="Comma 11 4 11 2 2" xfId="52988" xr:uid="{0E0933DE-7DCD-49C4-A877-95ED9A614DCD}"/>
    <cellStyle name="Comma 11 4 11 3" xfId="37868" xr:uid="{28B076AC-D79C-4648-8654-486A55BEC4BC}"/>
    <cellStyle name="Comma 11 4 12" xfId="9140" xr:uid="{B65F5C6E-1EF5-4CE2-AFCF-9E1F3277CB99}"/>
    <cellStyle name="Comma 11 4 12 2" xfId="24260" xr:uid="{DC8BAD73-0494-486E-B88D-492442780E90}"/>
    <cellStyle name="Comma 11 4 12 2 2" xfId="54500" xr:uid="{8BE6ADE0-D60C-4846-8E23-CDEABABBC4FE}"/>
    <cellStyle name="Comma 11 4 12 3" xfId="39380" xr:uid="{B26A3894-1562-46D0-9443-569A78F65A24}"/>
    <cellStyle name="Comma 11 4 13" xfId="15188" xr:uid="{8CBE5AEA-301B-4867-968E-45B020E1BB7A}"/>
    <cellStyle name="Comma 11 4 13 2" xfId="45428" xr:uid="{FB8D6E73-6DF9-4B07-AF4F-9F2EFA3151DF}"/>
    <cellStyle name="Comma 11 4 14" xfId="30308" xr:uid="{68B0ED29-7F0D-4BD3-A006-F23B5A6CF511}"/>
    <cellStyle name="Comma 11 4 2" xfId="152" xr:uid="{77590F78-640D-44F2-9069-1B31D7E527A5}"/>
    <cellStyle name="Comma 11 4 2 10" xfId="9224" xr:uid="{FFBE96EC-BC68-4483-8B56-340AF064B90A}"/>
    <cellStyle name="Comma 11 4 2 10 2" xfId="24344" xr:uid="{24342DFF-F284-49F7-BF15-0FA35C0FAD64}"/>
    <cellStyle name="Comma 11 4 2 10 2 2" xfId="54584" xr:uid="{DDACECCF-11A5-433B-8367-9F0038B8E16F}"/>
    <cellStyle name="Comma 11 4 2 10 3" xfId="39464" xr:uid="{3AA65F7F-ED0C-4B18-82E0-4354027CC31D}"/>
    <cellStyle name="Comma 11 4 2 11" xfId="15272" xr:uid="{3DE1723F-150A-447E-B4D3-AD7180E8F58C}"/>
    <cellStyle name="Comma 11 4 2 11 2" xfId="45512" xr:uid="{EFA51188-59B9-431A-8DD9-63C780218190}"/>
    <cellStyle name="Comma 11 4 2 12" xfId="30392" xr:uid="{0CF430AD-3AEE-4CC1-83AA-7B04D3486826}"/>
    <cellStyle name="Comma 11 4 2 2" xfId="404" xr:uid="{D3A30025-D2D1-4C1F-A498-2158221C0DBF}"/>
    <cellStyle name="Comma 11 4 2 2 10" xfId="30644" xr:uid="{24BA5989-C349-4142-81E5-069FBBD08844}"/>
    <cellStyle name="Comma 11 4 2 2 2" xfId="1160" xr:uid="{4579530B-2A4E-4D6F-9CD1-20C7BF5362AA}"/>
    <cellStyle name="Comma 11 4 2 2 2 2" xfId="2672" xr:uid="{259BC7CC-33DF-46F5-BD56-8FEA360EF715}"/>
    <cellStyle name="Comma 11 4 2 2 2 2 2" xfId="11744" xr:uid="{A8EECCF4-C866-4F8E-8ADA-BC78AF276D70}"/>
    <cellStyle name="Comma 11 4 2 2 2 2 2 2" xfId="26864" xr:uid="{4795B84C-D16E-4A7A-AA15-A9FFB1010C69}"/>
    <cellStyle name="Comma 11 4 2 2 2 2 2 2 2" xfId="57104" xr:uid="{E78C1B97-D334-4DCE-A568-56CBE8E0402A}"/>
    <cellStyle name="Comma 11 4 2 2 2 2 2 3" xfId="41984" xr:uid="{942DC2AA-C894-423A-A6C7-6E6AB71AEC3E}"/>
    <cellStyle name="Comma 11 4 2 2 2 2 3" xfId="17792" xr:uid="{D79F4330-773E-4356-87AB-54384CED51CC}"/>
    <cellStyle name="Comma 11 4 2 2 2 2 3 2" xfId="48032" xr:uid="{C9978C13-7207-4FD6-B9E7-BC291672BB04}"/>
    <cellStyle name="Comma 11 4 2 2 2 2 4" xfId="32912" xr:uid="{0E8D1C98-379F-4C25-ADF3-2B42E7D52173}"/>
    <cellStyle name="Comma 11 4 2 2 2 3" xfId="4184" xr:uid="{F1FD201A-3B0F-4C14-829C-7386E74EBA66}"/>
    <cellStyle name="Comma 11 4 2 2 2 3 2" xfId="13256" xr:uid="{6C983455-7AF2-4021-8600-A6F94EC7EFF3}"/>
    <cellStyle name="Comma 11 4 2 2 2 3 2 2" xfId="28376" xr:uid="{BDEDA891-09E1-496D-8335-627A2C66F26A}"/>
    <cellStyle name="Comma 11 4 2 2 2 3 2 2 2" xfId="58616" xr:uid="{9D4FE22B-0176-4533-97F3-18C44BFB92AC}"/>
    <cellStyle name="Comma 11 4 2 2 2 3 2 3" xfId="43496" xr:uid="{0978A6B0-AA53-4B61-A461-BAB51D25B546}"/>
    <cellStyle name="Comma 11 4 2 2 2 3 3" xfId="19304" xr:uid="{283E75B9-1BCE-4065-A6F1-930B0A7A687B}"/>
    <cellStyle name="Comma 11 4 2 2 2 3 3 2" xfId="49544" xr:uid="{240A43B7-5812-4ECF-BB17-A273FCFDF57C}"/>
    <cellStyle name="Comma 11 4 2 2 2 3 4" xfId="34424" xr:uid="{C295EA3A-0358-4F36-9D63-A0082E514621}"/>
    <cellStyle name="Comma 11 4 2 2 2 4" xfId="5696" xr:uid="{8CB33270-5ADA-4546-98D6-43FB19C9002D}"/>
    <cellStyle name="Comma 11 4 2 2 2 4 2" xfId="14768" xr:uid="{16B1DB9A-1443-4909-97E0-8714B0B4EB76}"/>
    <cellStyle name="Comma 11 4 2 2 2 4 2 2" xfId="29888" xr:uid="{82872B61-3129-41D1-ABB9-E6E7C82FF546}"/>
    <cellStyle name="Comma 11 4 2 2 2 4 2 2 2" xfId="60128" xr:uid="{EBC9FC50-0535-40B9-AE55-3D6E2B44696F}"/>
    <cellStyle name="Comma 11 4 2 2 2 4 2 3" xfId="45008" xr:uid="{B6C11241-13BB-44A2-9FC5-DD66E644B4D3}"/>
    <cellStyle name="Comma 11 4 2 2 2 4 3" xfId="20816" xr:uid="{9EEF71CA-8016-450F-9A44-8EDE4DEBF4A5}"/>
    <cellStyle name="Comma 11 4 2 2 2 4 3 2" xfId="51056" xr:uid="{31ABC44A-293F-44EF-8836-D1D32D3186BE}"/>
    <cellStyle name="Comma 11 4 2 2 2 4 4" xfId="35936" xr:uid="{94F2E7EF-29F2-4916-AF0C-E995EE92D89A}"/>
    <cellStyle name="Comma 11 4 2 2 2 5" xfId="7208" xr:uid="{C4962971-6C92-4577-A131-145ECE5B8E6A}"/>
    <cellStyle name="Comma 11 4 2 2 2 5 2" xfId="22328" xr:uid="{12E65AB9-4F7F-491F-8928-D90F4DCBDDAF}"/>
    <cellStyle name="Comma 11 4 2 2 2 5 2 2" xfId="52568" xr:uid="{8DF005A0-8383-4DF1-A972-AE48E26DBF0B}"/>
    <cellStyle name="Comma 11 4 2 2 2 5 3" xfId="37448" xr:uid="{1314AA38-7E4E-4476-9200-080B105B6715}"/>
    <cellStyle name="Comma 11 4 2 2 2 6" xfId="8720" xr:uid="{6E3C89C8-3D57-4814-A2D3-1344C3B2ECFE}"/>
    <cellStyle name="Comma 11 4 2 2 2 6 2" xfId="23840" xr:uid="{E82C6C47-133D-4E08-B86A-8E86FE07B067}"/>
    <cellStyle name="Comma 11 4 2 2 2 6 2 2" xfId="54080" xr:uid="{C9B1CDC2-5C2D-4571-908D-911DEAFDF703}"/>
    <cellStyle name="Comma 11 4 2 2 2 6 3" xfId="38960" xr:uid="{0C22013F-20B0-4F79-8612-5AF86194B728}"/>
    <cellStyle name="Comma 11 4 2 2 2 7" xfId="10232" xr:uid="{2CA8F794-BAF5-4368-8F23-6D451C9058F1}"/>
    <cellStyle name="Comma 11 4 2 2 2 7 2" xfId="25352" xr:uid="{CBBD165C-8D6E-41DA-8266-53A8D14233FB}"/>
    <cellStyle name="Comma 11 4 2 2 2 7 2 2" xfId="55592" xr:uid="{4A4A9638-0759-4499-BE7F-6FA4F2B01082}"/>
    <cellStyle name="Comma 11 4 2 2 2 7 3" xfId="40472" xr:uid="{169DC034-4354-467B-8033-C893EADF07AF}"/>
    <cellStyle name="Comma 11 4 2 2 2 8" xfId="16280" xr:uid="{2F3BF512-2098-4C72-B997-665F7E635987}"/>
    <cellStyle name="Comma 11 4 2 2 2 8 2" xfId="46520" xr:uid="{8B7416F9-EC40-458F-AF93-0F3E0A7C4DF0}"/>
    <cellStyle name="Comma 11 4 2 2 2 9" xfId="31400" xr:uid="{F0CE038C-EBD8-4D59-B33F-51A9F53906C3}"/>
    <cellStyle name="Comma 11 4 2 2 3" xfId="1916" xr:uid="{96BF34C9-8A26-4C47-A0A6-CFAF075E1AAE}"/>
    <cellStyle name="Comma 11 4 2 2 3 2" xfId="10988" xr:uid="{331A4322-1149-4C20-9112-9F67F97E45A1}"/>
    <cellStyle name="Comma 11 4 2 2 3 2 2" xfId="26108" xr:uid="{EC95A8AB-0698-453E-AACC-BFEE2241ACF5}"/>
    <cellStyle name="Comma 11 4 2 2 3 2 2 2" xfId="56348" xr:uid="{C32B12C8-ED14-4926-897F-179276A90E71}"/>
    <cellStyle name="Comma 11 4 2 2 3 2 3" xfId="41228" xr:uid="{45AE107C-3DCB-4F83-AF90-1ED84095C761}"/>
    <cellStyle name="Comma 11 4 2 2 3 3" xfId="17036" xr:uid="{FD985BAA-AEDD-45D6-BA8B-FC3D8CF752D7}"/>
    <cellStyle name="Comma 11 4 2 2 3 3 2" xfId="47276" xr:uid="{1AF079F8-7D51-48FA-940C-33E47860DCAE}"/>
    <cellStyle name="Comma 11 4 2 2 3 4" xfId="32156" xr:uid="{10C36CF3-AD88-4E61-8C22-7DDA1D672FAE}"/>
    <cellStyle name="Comma 11 4 2 2 4" xfId="3428" xr:uid="{66C270F5-9BA1-44BC-8B0D-DDF371D6D325}"/>
    <cellStyle name="Comma 11 4 2 2 4 2" xfId="12500" xr:uid="{9B4CB20A-99FA-48A1-B2CC-322B51ADBA20}"/>
    <cellStyle name="Comma 11 4 2 2 4 2 2" xfId="27620" xr:uid="{E27C93D3-064C-4167-B79F-CF584420E9C5}"/>
    <cellStyle name="Comma 11 4 2 2 4 2 2 2" xfId="57860" xr:uid="{FBC9D03A-B66E-4889-BE7A-FFBEF633F122}"/>
    <cellStyle name="Comma 11 4 2 2 4 2 3" xfId="42740" xr:uid="{7AA3378F-C765-489F-84BE-D34DF4544CD1}"/>
    <cellStyle name="Comma 11 4 2 2 4 3" xfId="18548" xr:uid="{4BADFDFD-8F5F-42C7-AACB-DD696E6BFC41}"/>
    <cellStyle name="Comma 11 4 2 2 4 3 2" xfId="48788" xr:uid="{B37112C3-7FAE-4345-8D20-544B7576ABD1}"/>
    <cellStyle name="Comma 11 4 2 2 4 4" xfId="33668" xr:uid="{4FA659CA-A222-4300-AEAC-F9DDB1B44950}"/>
    <cellStyle name="Comma 11 4 2 2 5" xfId="4940" xr:uid="{DF4AC298-A30D-4298-94BF-51F6363AAA7A}"/>
    <cellStyle name="Comma 11 4 2 2 5 2" xfId="14012" xr:uid="{0BE75983-1DC5-4E96-A661-535B3C76A70F}"/>
    <cellStyle name="Comma 11 4 2 2 5 2 2" xfId="29132" xr:uid="{D0AA0EA9-F346-469E-BA7B-9A9E662D6FD0}"/>
    <cellStyle name="Comma 11 4 2 2 5 2 2 2" xfId="59372" xr:uid="{47F4D746-7588-42C5-A89E-D6EC4F5F91F3}"/>
    <cellStyle name="Comma 11 4 2 2 5 2 3" xfId="44252" xr:uid="{8F731490-92D9-44E2-A748-EE5A518859BA}"/>
    <cellStyle name="Comma 11 4 2 2 5 3" xfId="20060" xr:uid="{0A1DCE95-A96F-4861-9DBB-B958FF2506A2}"/>
    <cellStyle name="Comma 11 4 2 2 5 3 2" xfId="50300" xr:uid="{35FDB18C-35CE-4748-A165-8F79A8A77011}"/>
    <cellStyle name="Comma 11 4 2 2 5 4" xfId="35180" xr:uid="{D9CF0830-F310-44D6-A200-5084B1662EAB}"/>
    <cellStyle name="Comma 11 4 2 2 6" xfId="6452" xr:uid="{80BD7564-0F97-4F99-95BF-36A887839B15}"/>
    <cellStyle name="Comma 11 4 2 2 6 2" xfId="21572" xr:uid="{A5ED1F1B-FA30-40F3-B2FA-E3DF2A927F47}"/>
    <cellStyle name="Comma 11 4 2 2 6 2 2" xfId="51812" xr:uid="{9C217AA2-632F-4206-9E15-69FABD15D1A5}"/>
    <cellStyle name="Comma 11 4 2 2 6 3" xfId="36692" xr:uid="{2FC01718-B652-4ED5-B5B4-5476F939ABD2}"/>
    <cellStyle name="Comma 11 4 2 2 7" xfId="7964" xr:uid="{19680B9A-7F42-4563-8583-5B04AAE26FCD}"/>
    <cellStyle name="Comma 11 4 2 2 7 2" xfId="23084" xr:uid="{E8677A12-FDCF-499A-9DBC-5EFA8C55588D}"/>
    <cellStyle name="Comma 11 4 2 2 7 2 2" xfId="53324" xr:uid="{D85E521F-8B81-4DA5-83CB-F9F045314378}"/>
    <cellStyle name="Comma 11 4 2 2 7 3" xfId="38204" xr:uid="{69B79060-9A18-47AB-AA3A-849BB2FC71B6}"/>
    <cellStyle name="Comma 11 4 2 2 8" xfId="9476" xr:uid="{57A8FC40-9F60-43E8-BE22-0C65C945DE27}"/>
    <cellStyle name="Comma 11 4 2 2 8 2" xfId="24596" xr:uid="{3E52A070-BE45-4C8E-876F-70A033B3D409}"/>
    <cellStyle name="Comma 11 4 2 2 8 2 2" xfId="54836" xr:uid="{044867B4-F797-4C69-9422-85AFC250B9FA}"/>
    <cellStyle name="Comma 11 4 2 2 8 3" xfId="39716" xr:uid="{17D46787-EDB6-4D9B-B382-4F449AAC81EB}"/>
    <cellStyle name="Comma 11 4 2 2 9" xfId="15524" xr:uid="{236DF7D6-38FE-4644-9585-045C65E74D54}"/>
    <cellStyle name="Comma 11 4 2 2 9 2" xfId="45764" xr:uid="{ACB2C43A-7F10-4E62-AFB0-528E5CBB36D0}"/>
    <cellStyle name="Comma 11 4 2 3" xfId="656" xr:uid="{A71DF703-CA97-43F8-B548-B7E7EC197DDD}"/>
    <cellStyle name="Comma 11 4 2 3 10" xfId="30896" xr:uid="{44820778-750E-4425-908E-F5522D6A0497}"/>
    <cellStyle name="Comma 11 4 2 3 2" xfId="1412" xr:uid="{88F3C17E-2608-4D19-8E89-8DD7FF50989F}"/>
    <cellStyle name="Comma 11 4 2 3 2 2" xfId="2924" xr:uid="{82CD9320-B63D-4BB2-AF71-E8B3C6BB0B22}"/>
    <cellStyle name="Comma 11 4 2 3 2 2 2" xfId="11996" xr:uid="{65F137F7-74CD-47A3-AA30-D1CA5BEE17AA}"/>
    <cellStyle name="Comma 11 4 2 3 2 2 2 2" xfId="27116" xr:uid="{AE38A1FD-8C20-4007-9D62-10635E7E8B2D}"/>
    <cellStyle name="Comma 11 4 2 3 2 2 2 2 2" xfId="57356" xr:uid="{0209EC1D-146B-4E0E-87DB-8A75CF63D18E}"/>
    <cellStyle name="Comma 11 4 2 3 2 2 2 3" xfId="42236" xr:uid="{51F1D8B8-9EC4-4668-891A-292DF2A7DF93}"/>
    <cellStyle name="Comma 11 4 2 3 2 2 3" xfId="18044" xr:uid="{53D64B72-2804-4F1D-801B-3C84CA8B5E8B}"/>
    <cellStyle name="Comma 11 4 2 3 2 2 3 2" xfId="48284" xr:uid="{675DA3FA-523C-4961-BF13-3855A344FC93}"/>
    <cellStyle name="Comma 11 4 2 3 2 2 4" xfId="33164" xr:uid="{05BDE753-A736-4F1A-B3BF-7167BB9B6D98}"/>
    <cellStyle name="Comma 11 4 2 3 2 3" xfId="4436" xr:uid="{1AE1DC5A-A45D-45FD-B503-544E90C1D4AC}"/>
    <cellStyle name="Comma 11 4 2 3 2 3 2" xfId="13508" xr:uid="{087A1F69-301E-4BA3-91FF-A322382E7D42}"/>
    <cellStyle name="Comma 11 4 2 3 2 3 2 2" xfId="28628" xr:uid="{1ED2B4C7-2756-4011-BAC9-C8C043BC5C51}"/>
    <cellStyle name="Comma 11 4 2 3 2 3 2 2 2" xfId="58868" xr:uid="{46EBDA91-E093-4ACA-A465-109CD67A999F}"/>
    <cellStyle name="Comma 11 4 2 3 2 3 2 3" xfId="43748" xr:uid="{C4B86E2D-2ECE-4DB7-BAF9-04CAAFE5DC9A}"/>
    <cellStyle name="Comma 11 4 2 3 2 3 3" xfId="19556" xr:uid="{F317719F-3611-4CDC-B812-8ED7D808EDB1}"/>
    <cellStyle name="Comma 11 4 2 3 2 3 3 2" xfId="49796" xr:uid="{B3D2A9B6-312E-4500-BE0C-2E33DD19E6ED}"/>
    <cellStyle name="Comma 11 4 2 3 2 3 4" xfId="34676" xr:uid="{0795DA49-8E45-4965-8586-52348259B730}"/>
    <cellStyle name="Comma 11 4 2 3 2 4" xfId="5948" xr:uid="{C94E7E24-EAEF-4EFF-B00B-AF6964899093}"/>
    <cellStyle name="Comma 11 4 2 3 2 4 2" xfId="15020" xr:uid="{D9668633-C334-47BE-982E-05984696A869}"/>
    <cellStyle name="Comma 11 4 2 3 2 4 2 2" xfId="30140" xr:uid="{ACEAF92A-B672-4CDE-8B2C-E84BF464EB56}"/>
    <cellStyle name="Comma 11 4 2 3 2 4 2 2 2" xfId="60380" xr:uid="{E0ED6147-3D36-4F60-9E45-72E9C94E8D1C}"/>
    <cellStyle name="Comma 11 4 2 3 2 4 2 3" xfId="45260" xr:uid="{20314DBD-B692-4FD4-A947-EFCFA1AF04FB}"/>
    <cellStyle name="Comma 11 4 2 3 2 4 3" xfId="21068" xr:uid="{ED468BE3-20F0-4B61-9AEA-6F7B6C464B27}"/>
    <cellStyle name="Comma 11 4 2 3 2 4 3 2" xfId="51308" xr:uid="{A00B5856-7893-404A-AC8A-2945C4B38ECD}"/>
    <cellStyle name="Comma 11 4 2 3 2 4 4" xfId="36188" xr:uid="{75FE3F87-5341-4C10-9A18-A642DD490802}"/>
    <cellStyle name="Comma 11 4 2 3 2 5" xfId="7460" xr:uid="{8D71DCC7-F4E7-43F1-865D-BF57F861BAB8}"/>
    <cellStyle name="Comma 11 4 2 3 2 5 2" xfId="22580" xr:uid="{F85EE138-21F3-4F7F-8F7D-CB0A2391A5A5}"/>
    <cellStyle name="Comma 11 4 2 3 2 5 2 2" xfId="52820" xr:uid="{25D0811C-FB01-45DF-BDB5-7681407350DC}"/>
    <cellStyle name="Comma 11 4 2 3 2 5 3" xfId="37700" xr:uid="{59FE9538-14EE-4EEE-BF12-7720BF5C1890}"/>
    <cellStyle name="Comma 11 4 2 3 2 6" xfId="8972" xr:uid="{2F28C318-BF2D-4AC8-BCBF-171DD49BEE96}"/>
    <cellStyle name="Comma 11 4 2 3 2 6 2" xfId="24092" xr:uid="{D2C8BB48-3270-4799-803E-13C456C6DFCB}"/>
    <cellStyle name="Comma 11 4 2 3 2 6 2 2" xfId="54332" xr:uid="{155DC453-D27E-4B4F-9F71-3BBDF35A2901}"/>
    <cellStyle name="Comma 11 4 2 3 2 6 3" xfId="39212" xr:uid="{DF89EDA8-E5BB-4A6D-9CFB-086CA6DF96FE}"/>
    <cellStyle name="Comma 11 4 2 3 2 7" xfId="10484" xr:uid="{269D2A07-D0EB-4D89-BDE4-56CBC698AF34}"/>
    <cellStyle name="Comma 11 4 2 3 2 7 2" xfId="25604" xr:uid="{18828792-9ECB-4226-B093-098A49C1C8A4}"/>
    <cellStyle name="Comma 11 4 2 3 2 7 2 2" xfId="55844" xr:uid="{DC37CD1B-B3CF-42C5-858A-2AE7C1620F83}"/>
    <cellStyle name="Comma 11 4 2 3 2 7 3" xfId="40724" xr:uid="{E344F92B-E350-4C8F-8BC3-1CE7774A8092}"/>
    <cellStyle name="Comma 11 4 2 3 2 8" xfId="16532" xr:uid="{7AAF1DBB-648A-498C-8728-FE38D7728516}"/>
    <cellStyle name="Comma 11 4 2 3 2 8 2" xfId="46772" xr:uid="{99C9DD5F-FBBB-4C0A-8924-9DEA06BECF65}"/>
    <cellStyle name="Comma 11 4 2 3 2 9" xfId="31652" xr:uid="{033FAC5A-EDF0-4301-82C1-ED4653DF8BEB}"/>
    <cellStyle name="Comma 11 4 2 3 3" xfId="2168" xr:uid="{CBC18E0B-9959-4408-9E46-0934449F4265}"/>
    <cellStyle name="Comma 11 4 2 3 3 2" xfId="11240" xr:uid="{ADA6F19C-D824-4654-B60F-8A71B73A3868}"/>
    <cellStyle name="Comma 11 4 2 3 3 2 2" xfId="26360" xr:uid="{2056C426-06A5-49C8-B3D4-30DFABE7FC7B}"/>
    <cellStyle name="Comma 11 4 2 3 3 2 2 2" xfId="56600" xr:uid="{5CB70093-2B3D-466E-BDE4-69C04E62C0CB}"/>
    <cellStyle name="Comma 11 4 2 3 3 2 3" xfId="41480" xr:uid="{17D59F03-11EA-4DDA-A3D9-6952FF52B27C}"/>
    <cellStyle name="Comma 11 4 2 3 3 3" xfId="17288" xr:uid="{EF5BC148-1751-4F98-B4C2-9513B54AEC7D}"/>
    <cellStyle name="Comma 11 4 2 3 3 3 2" xfId="47528" xr:uid="{08FECCD2-9C90-468C-8E75-B49E852E82B0}"/>
    <cellStyle name="Comma 11 4 2 3 3 4" xfId="32408" xr:uid="{D7AEB262-B96C-4EDC-95F6-67478A525C4D}"/>
    <cellStyle name="Comma 11 4 2 3 4" xfId="3680" xr:uid="{5BF53FDB-E0FA-40D3-9F71-E3D9F1BC31E9}"/>
    <cellStyle name="Comma 11 4 2 3 4 2" xfId="12752" xr:uid="{5B724227-D32C-4B19-8294-C050ECC82737}"/>
    <cellStyle name="Comma 11 4 2 3 4 2 2" xfId="27872" xr:uid="{CCF931A2-291F-4718-8101-7278EA882213}"/>
    <cellStyle name="Comma 11 4 2 3 4 2 2 2" xfId="58112" xr:uid="{0333DBB3-C502-4AF4-98D3-ABD2D0F455E6}"/>
    <cellStyle name="Comma 11 4 2 3 4 2 3" xfId="42992" xr:uid="{B2569BBD-125D-4716-BDD5-46FE3041F4E1}"/>
    <cellStyle name="Comma 11 4 2 3 4 3" xfId="18800" xr:uid="{E628C157-C606-4751-AA0C-A846B76A6C88}"/>
    <cellStyle name="Comma 11 4 2 3 4 3 2" xfId="49040" xr:uid="{38FFC989-017C-4234-AD1C-39FB758896EF}"/>
    <cellStyle name="Comma 11 4 2 3 4 4" xfId="33920" xr:uid="{294D4E80-8076-42B7-A742-E826574B6688}"/>
    <cellStyle name="Comma 11 4 2 3 5" xfId="5192" xr:uid="{9E39B56B-A5C7-4871-A03C-E3E511C495C4}"/>
    <cellStyle name="Comma 11 4 2 3 5 2" xfId="14264" xr:uid="{67A30629-F6FB-47B6-B664-A155E7A7BB54}"/>
    <cellStyle name="Comma 11 4 2 3 5 2 2" xfId="29384" xr:uid="{253A7FEE-01A9-452C-831B-A3CC595A483C}"/>
    <cellStyle name="Comma 11 4 2 3 5 2 2 2" xfId="59624" xr:uid="{CC42FB83-21B2-4494-A61E-66E7D142EA6F}"/>
    <cellStyle name="Comma 11 4 2 3 5 2 3" xfId="44504" xr:uid="{D26192DD-9083-49AF-9BC3-40B1EF44E17C}"/>
    <cellStyle name="Comma 11 4 2 3 5 3" xfId="20312" xr:uid="{DAB3929E-7B4F-4B6E-9169-630C391AC5CE}"/>
    <cellStyle name="Comma 11 4 2 3 5 3 2" xfId="50552" xr:uid="{E42A5958-22F1-4ACB-8095-E25960C7A57A}"/>
    <cellStyle name="Comma 11 4 2 3 5 4" xfId="35432" xr:uid="{7A4E6769-503D-4E20-8C24-8858B87E63B2}"/>
    <cellStyle name="Comma 11 4 2 3 6" xfId="6704" xr:uid="{ECBD6CBF-96B4-4F60-8AE6-DD6CF20C0888}"/>
    <cellStyle name="Comma 11 4 2 3 6 2" xfId="21824" xr:uid="{F3BD4183-FFF2-4BF0-9A88-F7C60E38580C}"/>
    <cellStyle name="Comma 11 4 2 3 6 2 2" xfId="52064" xr:uid="{917B86B0-412B-4B65-ACE5-12E6923B6037}"/>
    <cellStyle name="Comma 11 4 2 3 6 3" xfId="36944" xr:uid="{0187B0E9-4DD4-4A75-9E7B-FED7B641BD3E}"/>
    <cellStyle name="Comma 11 4 2 3 7" xfId="8216" xr:uid="{4992C3F3-78B0-43DB-9EE0-B7734D072AA8}"/>
    <cellStyle name="Comma 11 4 2 3 7 2" xfId="23336" xr:uid="{9857446A-4D1B-4992-8490-907B9120FE3C}"/>
    <cellStyle name="Comma 11 4 2 3 7 2 2" xfId="53576" xr:uid="{61B724F6-EC23-4059-9EF9-E1ACD0144A87}"/>
    <cellStyle name="Comma 11 4 2 3 7 3" xfId="38456" xr:uid="{1284A032-743D-4E87-9A07-AEE12B2F8C7C}"/>
    <cellStyle name="Comma 11 4 2 3 8" xfId="9728" xr:uid="{6C040698-A3AE-4E11-B898-1327B9756078}"/>
    <cellStyle name="Comma 11 4 2 3 8 2" xfId="24848" xr:uid="{FF4F1778-59A7-495E-89E2-72AE2726937F}"/>
    <cellStyle name="Comma 11 4 2 3 8 2 2" xfId="55088" xr:uid="{B5624ECF-5714-4803-A9C7-9BAF3C6413FD}"/>
    <cellStyle name="Comma 11 4 2 3 8 3" xfId="39968" xr:uid="{FC3D7381-D1B2-4CDC-B512-9FAD9A3F1D25}"/>
    <cellStyle name="Comma 11 4 2 3 9" xfId="15776" xr:uid="{2B200F5B-6250-425E-AE0D-09F920428ED6}"/>
    <cellStyle name="Comma 11 4 2 3 9 2" xfId="46016" xr:uid="{02611E8A-278D-4628-8ED7-FE018702AF93}"/>
    <cellStyle name="Comma 11 4 2 4" xfId="908" xr:uid="{1C82915A-CCBA-41E7-81A8-F30084851EA3}"/>
    <cellStyle name="Comma 11 4 2 4 2" xfId="2420" xr:uid="{D2CF0AF0-0C3C-4A03-8236-E66E809B1343}"/>
    <cellStyle name="Comma 11 4 2 4 2 2" xfId="11492" xr:uid="{0674C65A-12D9-46DD-A54C-DAA2465307DE}"/>
    <cellStyle name="Comma 11 4 2 4 2 2 2" xfId="26612" xr:uid="{A494D77B-9A03-450D-9544-D76004F0E75B}"/>
    <cellStyle name="Comma 11 4 2 4 2 2 2 2" xfId="56852" xr:uid="{4D9CE429-BFD3-47D9-AEFB-DE3F46FB1F8E}"/>
    <cellStyle name="Comma 11 4 2 4 2 2 3" xfId="41732" xr:uid="{4DD61457-D363-41E8-81AB-98D59889820A}"/>
    <cellStyle name="Comma 11 4 2 4 2 3" xfId="17540" xr:uid="{47DB41D7-4045-4242-B9E9-B6828AAA309D}"/>
    <cellStyle name="Comma 11 4 2 4 2 3 2" xfId="47780" xr:uid="{07011401-8F2D-424A-BF0E-F34CFF5AED77}"/>
    <cellStyle name="Comma 11 4 2 4 2 4" xfId="32660" xr:uid="{5E9189C0-E78A-4FD7-BD3E-AFF0D378BD79}"/>
    <cellStyle name="Comma 11 4 2 4 3" xfId="3932" xr:uid="{79234CC3-EE97-4623-9D4A-E7F21635C4EF}"/>
    <cellStyle name="Comma 11 4 2 4 3 2" xfId="13004" xr:uid="{387F2F6F-D5BD-4056-B07F-973ADFEF2A25}"/>
    <cellStyle name="Comma 11 4 2 4 3 2 2" xfId="28124" xr:uid="{7F2B41CD-02DD-4AB7-B44C-6BF99E23CE4A}"/>
    <cellStyle name="Comma 11 4 2 4 3 2 2 2" xfId="58364" xr:uid="{7B4B4335-CCE5-434E-BD89-A134DA9CABAE}"/>
    <cellStyle name="Comma 11 4 2 4 3 2 3" xfId="43244" xr:uid="{6D94041E-468F-4DEA-8476-C74C01485810}"/>
    <cellStyle name="Comma 11 4 2 4 3 3" xfId="19052" xr:uid="{A666D3AD-415C-4525-8715-4473B02C5D67}"/>
    <cellStyle name="Comma 11 4 2 4 3 3 2" xfId="49292" xr:uid="{1DBB81B4-7DC8-44EF-94C0-1DC365C0AD30}"/>
    <cellStyle name="Comma 11 4 2 4 3 4" xfId="34172" xr:uid="{19400997-528A-4429-AD81-CAB866F094C8}"/>
    <cellStyle name="Comma 11 4 2 4 4" xfId="5444" xr:uid="{3997CB2C-6E9C-43CF-B853-80AF444EC2F6}"/>
    <cellStyle name="Comma 11 4 2 4 4 2" xfId="14516" xr:uid="{F9C0D376-872F-4392-9966-4892B1FBEE96}"/>
    <cellStyle name="Comma 11 4 2 4 4 2 2" xfId="29636" xr:uid="{7F348F47-1914-4855-A753-60D821FE5A4E}"/>
    <cellStyle name="Comma 11 4 2 4 4 2 2 2" xfId="59876" xr:uid="{A17C1A91-B3CF-405C-8627-85008EBBC074}"/>
    <cellStyle name="Comma 11 4 2 4 4 2 3" xfId="44756" xr:uid="{64AA5FD1-70E2-4890-A081-674A9A0766CA}"/>
    <cellStyle name="Comma 11 4 2 4 4 3" xfId="20564" xr:uid="{913391DF-0D7F-4BE5-A7B2-5B874CCC84AF}"/>
    <cellStyle name="Comma 11 4 2 4 4 3 2" xfId="50804" xr:uid="{13EDCAF7-3576-4895-ACA0-84F68B30EF94}"/>
    <cellStyle name="Comma 11 4 2 4 4 4" xfId="35684" xr:uid="{111102D2-5153-420D-AD4E-2A095CF2ACCF}"/>
    <cellStyle name="Comma 11 4 2 4 5" xfId="6956" xr:uid="{F8063A58-6FC7-4B26-A664-8BED246D15AF}"/>
    <cellStyle name="Comma 11 4 2 4 5 2" xfId="22076" xr:uid="{086AF43B-6607-4EE1-BC6C-0614432CD267}"/>
    <cellStyle name="Comma 11 4 2 4 5 2 2" xfId="52316" xr:uid="{A78F8DE2-F9EC-452E-A609-7B2981964085}"/>
    <cellStyle name="Comma 11 4 2 4 5 3" xfId="37196" xr:uid="{9A01D28A-CD1F-41A0-AA42-CAA218A1B01C}"/>
    <cellStyle name="Comma 11 4 2 4 6" xfId="8468" xr:uid="{A782848E-B1FC-483A-9D47-B07B9ED78459}"/>
    <cellStyle name="Comma 11 4 2 4 6 2" xfId="23588" xr:uid="{AC6720FB-31A6-4C0C-A10B-335FEC1FB79E}"/>
    <cellStyle name="Comma 11 4 2 4 6 2 2" xfId="53828" xr:uid="{8C9D7096-3AF2-4D09-AF8A-BCB3BB806582}"/>
    <cellStyle name="Comma 11 4 2 4 6 3" xfId="38708" xr:uid="{23567067-032E-4B3C-AC5A-09F8FE3669F3}"/>
    <cellStyle name="Comma 11 4 2 4 7" xfId="9980" xr:uid="{E626D7D3-5327-47AF-9733-8523B40C8B56}"/>
    <cellStyle name="Comma 11 4 2 4 7 2" xfId="25100" xr:uid="{5BDE4C59-E406-408B-A130-C32061DCFDB1}"/>
    <cellStyle name="Comma 11 4 2 4 7 2 2" xfId="55340" xr:uid="{A8B73E35-F2F3-4FB1-A574-2DCE693B3B69}"/>
    <cellStyle name="Comma 11 4 2 4 7 3" xfId="40220" xr:uid="{D1D787D1-9D8E-4762-8B57-E3306221244D}"/>
    <cellStyle name="Comma 11 4 2 4 8" xfId="16028" xr:uid="{AA69746A-4528-4239-A729-BDF8AB223E66}"/>
    <cellStyle name="Comma 11 4 2 4 8 2" xfId="46268" xr:uid="{EE31EF78-198E-44AA-A335-A14CBFCDD4DA}"/>
    <cellStyle name="Comma 11 4 2 4 9" xfId="31148" xr:uid="{3D083A99-D6ED-4D11-A853-F018DFEE8CC7}"/>
    <cellStyle name="Comma 11 4 2 5" xfId="1664" xr:uid="{E868328E-E79B-40D6-91F7-F6A461D9C8F3}"/>
    <cellStyle name="Comma 11 4 2 5 2" xfId="10736" xr:uid="{13CA821D-8BE8-4C9C-8F2A-D59371AE169D}"/>
    <cellStyle name="Comma 11 4 2 5 2 2" xfId="25856" xr:uid="{600A27F6-B820-44B5-A513-7CB4F4AF18D0}"/>
    <cellStyle name="Comma 11 4 2 5 2 2 2" xfId="56096" xr:uid="{E970924F-F62A-4E38-9F60-4663F149D1C6}"/>
    <cellStyle name="Comma 11 4 2 5 2 3" xfId="40976" xr:uid="{137CD3CF-E948-4F9C-A92B-9233F234D864}"/>
    <cellStyle name="Comma 11 4 2 5 3" xfId="16784" xr:uid="{635103CE-5895-47F0-A1B3-039E8B761AD3}"/>
    <cellStyle name="Comma 11 4 2 5 3 2" xfId="47024" xr:uid="{E618B174-8C2A-419E-8E22-BBC89E024082}"/>
    <cellStyle name="Comma 11 4 2 5 4" xfId="31904" xr:uid="{FA614920-74A5-40D7-A624-23830DB4E5E6}"/>
    <cellStyle name="Comma 11 4 2 6" xfId="3176" xr:uid="{ED3C4F9F-E1A4-4833-9223-9814A8ED9DC5}"/>
    <cellStyle name="Comma 11 4 2 6 2" xfId="12248" xr:uid="{B80EFA45-E48F-41B7-9F9E-87C57023A013}"/>
    <cellStyle name="Comma 11 4 2 6 2 2" xfId="27368" xr:uid="{C3563541-965E-45E9-86F7-BB25A100F962}"/>
    <cellStyle name="Comma 11 4 2 6 2 2 2" xfId="57608" xr:uid="{5C0CC06A-1B1A-4E04-BCFB-BD3F0F9352EC}"/>
    <cellStyle name="Comma 11 4 2 6 2 3" xfId="42488" xr:uid="{A469A831-0277-4DD5-B46B-41E7028C04A6}"/>
    <cellStyle name="Comma 11 4 2 6 3" xfId="18296" xr:uid="{1331D4BF-A52A-4E92-A4A8-3328FA190A49}"/>
    <cellStyle name="Comma 11 4 2 6 3 2" xfId="48536" xr:uid="{493A0B84-D587-4CA0-ADDA-40367C71DEE7}"/>
    <cellStyle name="Comma 11 4 2 6 4" xfId="33416" xr:uid="{B101229E-3226-4131-8C7A-015485A8ACBD}"/>
    <cellStyle name="Comma 11 4 2 7" xfId="4688" xr:uid="{6B09C714-A6E1-417F-B978-C9FEDFA0AC36}"/>
    <cellStyle name="Comma 11 4 2 7 2" xfId="13760" xr:uid="{9AD067D9-6162-45F4-B900-852B8D9742E1}"/>
    <cellStyle name="Comma 11 4 2 7 2 2" xfId="28880" xr:uid="{427DA4B0-2EE9-48BA-A80B-C33B466A8FF2}"/>
    <cellStyle name="Comma 11 4 2 7 2 2 2" xfId="59120" xr:uid="{353D75AB-3491-4127-B57B-6A72C41562A8}"/>
    <cellStyle name="Comma 11 4 2 7 2 3" xfId="44000" xr:uid="{13148ADF-2902-460E-B2CD-A7083F838B65}"/>
    <cellStyle name="Comma 11 4 2 7 3" xfId="19808" xr:uid="{0D490858-3D6B-42E1-8CBF-07A806BA8688}"/>
    <cellStyle name="Comma 11 4 2 7 3 2" xfId="50048" xr:uid="{27720E69-A82F-4E11-AD8F-B44885810F09}"/>
    <cellStyle name="Comma 11 4 2 7 4" xfId="34928" xr:uid="{433590C8-A0A2-4D0D-A3C5-F423F5E0F5E4}"/>
    <cellStyle name="Comma 11 4 2 8" xfId="6200" xr:uid="{3C032C90-C05B-4652-A646-FD157248979A}"/>
    <cellStyle name="Comma 11 4 2 8 2" xfId="21320" xr:uid="{839FEB29-5376-4A20-BDA3-B1C69B2D8F0F}"/>
    <cellStyle name="Comma 11 4 2 8 2 2" xfId="51560" xr:uid="{40D37A1D-2DE1-4662-8BCB-68BB072F78CB}"/>
    <cellStyle name="Comma 11 4 2 8 3" xfId="36440" xr:uid="{88B8F199-48D2-4740-98A5-E0E2030EB401}"/>
    <cellStyle name="Comma 11 4 2 9" xfId="7712" xr:uid="{2E8FBCE4-E7FD-4D7C-A82C-5871B7C50E08}"/>
    <cellStyle name="Comma 11 4 2 9 2" xfId="22832" xr:uid="{85E0FB67-351D-46B9-B7FE-601259A97498}"/>
    <cellStyle name="Comma 11 4 2 9 2 2" xfId="53072" xr:uid="{9CCB8196-9CB1-4A63-B7FD-89E96929940A}"/>
    <cellStyle name="Comma 11 4 2 9 3" xfId="37952" xr:uid="{AABEB979-C41F-4087-BADA-AAEB6A70048C}"/>
    <cellStyle name="Comma 11 4 3" xfId="236" xr:uid="{3C8D7B5C-A244-41C4-85EF-38365B39B20C}"/>
    <cellStyle name="Comma 11 4 3 10" xfId="9308" xr:uid="{8BE04480-C60E-4D31-96BB-F8460D72425D}"/>
    <cellStyle name="Comma 11 4 3 10 2" xfId="24428" xr:uid="{2A4C4A23-F589-4C78-87DA-BA3FF7256168}"/>
    <cellStyle name="Comma 11 4 3 10 2 2" xfId="54668" xr:uid="{81959485-0AE3-42B2-AA28-A28E8B72CA0E}"/>
    <cellStyle name="Comma 11 4 3 10 3" xfId="39548" xr:uid="{4F71829D-8C4F-4E93-9CA4-D33307756880}"/>
    <cellStyle name="Comma 11 4 3 11" xfId="15356" xr:uid="{5E3FF17A-9671-4519-B3F0-757B425D545F}"/>
    <cellStyle name="Comma 11 4 3 11 2" xfId="45596" xr:uid="{A54F2B36-53B1-4756-BD79-0B3D5BDB06AE}"/>
    <cellStyle name="Comma 11 4 3 12" xfId="30476" xr:uid="{43CF1F97-5267-4D0B-ACEF-869B72FD734A}"/>
    <cellStyle name="Comma 11 4 3 2" xfId="488" xr:uid="{5DD9BC26-B0C8-4F80-99A8-5E5EC7E08F22}"/>
    <cellStyle name="Comma 11 4 3 2 10" xfId="30728" xr:uid="{D257058F-9DED-4CDB-8767-2D08BDF4AF8F}"/>
    <cellStyle name="Comma 11 4 3 2 2" xfId="1244" xr:uid="{F2704BC3-933F-448D-B099-D5273C259D24}"/>
    <cellStyle name="Comma 11 4 3 2 2 2" xfId="2756" xr:uid="{B386E0BB-02CD-4F4C-AA04-A67A77889BD5}"/>
    <cellStyle name="Comma 11 4 3 2 2 2 2" xfId="11828" xr:uid="{E2286423-7543-4D4E-B1FF-04DFB0D494D2}"/>
    <cellStyle name="Comma 11 4 3 2 2 2 2 2" xfId="26948" xr:uid="{26CAF292-958E-42DF-8C9A-74140470AD0B}"/>
    <cellStyle name="Comma 11 4 3 2 2 2 2 2 2" xfId="57188" xr:uid="{8F5FFAAD-5522-4C72-9A6D-378145AE5EA3}"/>
    <cellStyle name="Comma 11 4 3 2 2 2 2 3" xfId="42068" xr:uid="{C7D175B6-C69E-46D5-97D2-2011DF446AA1}"/>
    <cellStyle name="Comma 11 4 3 2 2 2 3" xfId="17876" xr:uid="{4E0E6CD4-01CF-4DDF-9E8A-F1F6E5EC66E6}"/>
    <cellStyle name="Comma 11 4 3 2 2 2 3 2" xfId="48116" xr:uid="{06F3D35C-7C2B-4553-87F6-A125CBB9C018}"/>
    <cellStyle name="Comma 11 4 3 2 2 2 4" xfId="32996" xr:uid="{6EAE5ECB-7E97-4F13-99D2-349EA2DD24EF}"/>
    <cellStyle name="Comma 11 4 3 2 2 3" xfId="4268" xr:uid="{471E99C9-2D34-4CCC-BE00-5F75942C7C57}"/>
    <cellStyle name="Comma 11 4 3 2 2 3 2" xfId="13340" xr:uid="{42B6024B-5F2C-45C7-AAEA-224F098F3B34}"/>
    <cellStyle name="Comma 11 4 3 2 2 3 2 2" xfId="28460" xr:uid="{FC652C2D-C5DD-4FA2-80B7-FAAE03E0CF6B}"/>
    <cellStyle name="Comma 11 4 3 2 2 3 2 2 2" xfId="58700" xr:uid="{1C37B789-F277-484A-8BCC-A759FDCEC02E}"/>
    <cellStyle name="Comma 11 4 3 2 2 3 2 3" xfId="43580" xr:uid="{DCBEE65A-2403-4A57-AF75-CCC94B0A9528}"/>
    <cellStyle name="Comma 11 4 3 2 2 3 3" xfId="19388" xr:uid="{89BD90E7-C791-483E-9452-7EDD3F8EFC04}"/>
    <cellStyle name="Comma 11 4 3 2 2 3 3 2" xfId="49628" xr:uid="{7CE00AE0-DD2A-4F10-B0F1-463377F3F8C4}"/>
    <cellStyle name="Comma 11 4 3 2 2 3 4" xfId="34508" xr:uid="{3A8C1E59-303A-48FA-8118-4455729B6296}"/>
    <cellStyle name="Comma 11 4 3 2 2 4" xfId="5780" xr:uid="{3060EB15-D590-4D6B-9262-A98F25ADD605}"/>
    <cellStyle name="Comma 11 4 3 2 2 4 2" xfId="14852" xr:uid="{90085CF4-DDB5-4EA8-8E62-8D05FB60E42B}"/>
    <cellStyle name="Comma 11 4 3 2 2 4 2 2" xfId="29972" xr:uid="{16731EAA-6BAA-4D75-B77A-164AB6E033CD}"/>
    <cellStyle name="Comma 11 4 3 2 2 4 2 2 2" xfId="60212" xr:uid="{721BCED9-3AE7-4F89-B07F-A031CCC604DB}"/>
    <cellStyle name="Comma 11 4 3 2 2 4 2 3" xfId="45092" xr:uid="{D29F60E8-E17D-48BC-849F-4B862D839D74}"/>
    <cellStyle name="Comma 11 4 3 2 2 4 3" xfId="20900" xr:uid="{7A868348-837D-4205-8C94-4EEC8490E17C}"/>
    <cellStyle name="Comma 11 4 3 2 2 4 3 2" xfId="51140" xr:uid="{F26AB398-20F0-47D0-9175-1C8F920C6774}"/>
    <cellStyle name="Comma 11 4 3 2 2 4 4" xfId="36020" xr:uid="{45A2346C-A286-48FC-A517-165A9E5E7AE2}"/>
    <cellStyle name="Comma 11 4 3 2 2 5" xfId="7292" xr:uid="{9961C726-ADC5-4A6F-8040-77712E14C3BF}"/>
    <cellStyle name="Comma 11 4 3 2 2 5 2" xfId="22412" xr:uid="{F4B796B9-D283-411A-94B2-ABD6E3A482C6}"/>
    <cellStyle name="Comma 11 4 3 2 2 5 2 2" xfId="52652" xr:uid="{556BE8CC-8725-461D-8485-EDCD858C634E}"/>
    <cellStyle name="Comma 11 4 3 2 2 5 3" xfId="37532" xr:uid="{7A7A77D5-650C-4A6F-B929-F5719023C2FC}"/>
    <cellStyle name="Comma 11 4 3 2 2 6" xfId="8804" xr:uid="{A42873B5-0F77-4916-8820-61834658F2D9}"/>
    <cellStyle name="Comma 11 4 3 2 2 6 2" xfId="23924" xr:uid="{C465A828-9382-44CC-B6D9-F52C9EC89DB9}"/>
    <cellStyle name="Comma 11 4 3 2 2 6 2 2" xfId="54164" xr:uid="{50972F8C-9AEE-4361-BED7-7868AD6D482C}"/>
    <cellStyle name="Comma 11 4 3 2 2 6 3" xfId="39044" xr:uid="{63917B81-2504-48DD-8B01-2154FEF2455B}"/>
    <cellStyle name="Comma 11 4 3 2 2 7" xfId="10316" xr:uid="{A60D7EC6-E5EC-4E81-AC7F-95744F97380C}"/>
    <cellStyle name="Comma 11 4 3 2 2 7 2" xfId="25436" xr:uid="{B5A7CC33-2862-42F8-9F6D-A508B56E4E32}"/>
    <cellStyle name="Comma 11 4 3 2 2 7 2 2" xfId="55676" xr:uid="{9D627D60-CCC3-4AB1-90B2-DF3BD24E4D2C}"/>
    <cellStyle name="Comma 11 4 3 2 2 7 3" xfId="40556" xr:uid="{8400240D-DEE8-43D1-B83C-799F37F53BCE}"/>
    <cellStyle name="Comma 11 4 3 2 2 8" xfId="16364" xr:uid="{4BE96515-1370-48B7-90AF-6FA29AEF7F25}"/>
    <cellStyle name="Comma 11 4 3 2 2 8 2" xfId="46604" xr:uid="{2895BA83-9867-464F-8FA6-1B1E4243E60E}"/>
    <cellStyle name="Comma 11 4 3 2 2 9" xfId="31484" xr:uid="{28188194-BAD9-46C8-A86E-DB510CC0B052}"/>
    <cellStyle name="Comma 11 4 3 2 3" xfId="2000" xr:uid="{D2804CC0-A42E-4EDE-BC8D-B46AAB41E653}"/>
    <cellStyle name="Comma 11 4 3 2 3 2" xfId="11072" xr:uid="{AC3DA9C7-F2C1-405E-B25B-D06E8A0F13F9}"/>
    <cellStyle name="Comma 11 4 3 2 3 2 2" xfId="26192" xr:uid="{116A652E-F76C-4616-9F6F-7054B0B72C4B}"/>
    <cellStyle name="Comma 11 4 3 2 3 2 2 2" xfId="56432" xr:uid="{CE32516D-D4CA-44FF-A026-66307C28A7A7}"/>
    <cellStyle name="Comma 11 4 3 2 3 2 3" xfId="41312" xr:uid="{9E2947BB-EAFB-4B18-B33B-0E0755C1CF89}"/>
    <cellStyle name="Comma 11 4 3 2 3 3" xfId="17120" xr:uid="{F4801392-F4C9-438A-8DFD-2272B39BB36C}"/>
    <cellStyle name="Comma 11 4 3 2 3 3 2" xfId="47360" xr:uid="{A4015F59-5627-440D-852D-A79646498253}"/>
    <cellStyle name="Comma 11 4 3 2 3 4" xfId="32240" xr:uid="{B5E12B60-117E-4706-899B-3A97F78BC8E6}"/>
    <cellStyle name="Comma 11 4 3 2 4" xfId="3512" xr:uid="{00527816-E1AE-4805-89AF-4A451741F1D2}"/>
    <cellStyle name="Comma 11 4 3 2 4 2" xfId="12584" xr:uid="{BF80367B-05D7-4A5C-BBCC-44AB318C7909}"/>
    <cellStyle name="Comma 11 4 3 2 4 2 2" xfId="27704" xr:uid="{2CD7A640-909E-4E4E-A6C6-16B1052694D2}"/>
    <cellStyle name="Comma 11 4 3 2 4 2 2 2" xfId="57944" xr:uid="{29CE3EDA-2EFA-44D5-8802-8C7D29FB57FF}"/>
    <cellStyle name="Comma 11 4 3 2 4 2 3" xfId="42824" xr:uid="{19B6326A-61F8-411E-8003-B09E14267521}"/>
    <cellStyle name="Comma 11 4 3 2 4 3" xfId="18632" xr:uid="{C3626856-1ED0-4640-A8EC-7940267F1B5D}"/>
    <cellStyle name="Comma 11 4 3 2 4 3 2" xfId="48872" xr:uid="{76EE704F-D6B0-452B-A0E9-88DA60BA592B}"/>
    <cellStyle name="Comma 11 4 3 2 4 4" xfId="33752" xr:uid="{617F7436-F38D-44E5-B84F-79DB743C765A}"/>
    <cellStyle name="Comma 11 4 3 2 5" xfId="5024" xr:uid="{99D22D8C-9F6F-4BBB-804B-964388499919}"/>
    <cellStyle name="Comma 11 4 3 2 5 2" xfId="14096" xr:uid="{185E09B6-140B-4338-80F9-541D50C4B19A}"/>
    <cellStyle name="Comma 11 4 3 2 5 2 2" xfId="29216" xr:uid="{A0ED7ED8-0675-426E-95BE-3AF8072A34D1}"/>
    <cellStyle name="Comma 11 4 3 2 5 2 2 2" xfId="59456" xr:uid="{5703D539-5FFD-4265-A8E0-97E713639C13}"/>
    <cellStyle name="Comma 11 4 3 2 5 2 3" xfId="44336" xr:uid="{A5ADCEAC-B222-4D99-A1A7-D0370E2B52B7}"/>
    <cellStyle name="Comma 11 4 3 2 5 3" xfId="20144" xr:uid="{3ED2AA4D-EDB5-4541-919F-59DCBB7E6EFD}"/>
    <cellStyle name="Comma 11 4 3 2 5 3 2" xfId="50384" xr:uid="{3818E085-ABE1-4A4B-9E5C-58949F649F0D}"/>
    <cellStyle name="Comma 11 4 3 2 5 4" xfId="35264" xr:uid="{0BF8307D-575D-4B94-B230-C13E064CF90A}"/>
    <cellStyle name="Comma 11 4 3 2 6" xfId="6536" xr:uid="{82D3FD48-1515-4F49-932C-A8788E38A2E7}"/>
    <cellStyle name="Comma 11 4 3 2 6 2" xfId="21656" xr:uid="{C9E87C1F-BC52-4D19-8F45-E42E53664BE3}"/>
    <cellStyle name="Comma 11 4 3 2 6 2 2" xfId="51896" xr:uid="{EB5DBFE1-D664-46CB-9BAB-AFD86699765A}"/>
    <cellStyle name="Comma 11 4 3 2 6 3" xfId="36776" xr:uid="{3AD4888C-269F-4D85-97A2-6A13E2B6AB16}"/>
    <cellStyle name="Comma 11 4 3 2 7" xfId="8048" xr:uid="{F100B791-63A3-4252-B37F-445BD3B8AB4E}"/>
    <cellStyle name="Comma 11 4 3 2 7 2" xfId="23168" xr:uid="{8E8A7911-FB6E-48D3-879B-90DC913A4D6C}"/>
    <cellStyle name="Comma 11 4 3 2 7 2 2" xfId="53408" xr:uid="{3C4E3596-6F02-431A-AECB-B36050576B8C}"/>
    <cellStyle name="Comma 11 4 3 2 7 3" xfId="38288" xr:uid="{E322EB5B-3EF9-44CE-A4A6-F77C0F90BB77}"/>
    <cellStyle name="Comma 11 4 3 2 8" xfId="9560" xr:uid="{BEA5D102-50A7-4EC5-B8DF-0A57B7D4F66B}"/>
    <cellStyle name="Comma 11 4 3 2 8 2" xfId="24680" xr:uid="{8B1F7A6F-78A8-41A1-B6EC-7B86D589AAFB}"/>
    <cellStyle name="Comma 11 4 3 2 8 2 2" xfId="54920" xr:uid="{6D6F0AC2-466B-41C1-A74D-E573C05B3B41}"/>
    <cellStyle name="Comma 11 4 3 2 8 3" xfId="39800" xr:uid="{41B9007C-D93F-4AB9-A752-F7F1D0CD507D}"/>
    <cellStyle name="Comma 11 4 3 2 9" xfId="15608" xr:uid="{F477AB41-F258-4A26-8600-0182591B0DC0}"/>
    <cellStyle name="Comma 11 4 3 2 9 2" xfId="45848" xr:uid="{6FC56A20-BEE4-487E-B797-394FE5B19BB2}"/>
    <cellStyle name="Comma 11 4 3 3" xfId="740" xr:uid="{CD8B93F7-DEEE-4BCF-9170-50938ED6669A}"/>
    <cellStyle name="Comma 11 4 3 3 10" xfId="30980" xr:uid="{5E3E2BFE-BC0E-4C0E-B914-C74F7ACDAD6B}"/>
    <cellStyle name="Comma 11 4 3 3 2" xfId="1496" xr:uid="{4E04F1AA-1E9F-450A-9FD2-4F4E29BF6C10}"/>
    <cellStyle name="Comma 11 4 3 3 2 2" xfId="3008" xr:uid="{7EE2AD0E-9D07-44BA-98B0-C9611E55785E}"/>
    <cellStyle name="Comma 11 4 3 3 2 2 2" xfId="12080" xr:uid="{B0D63292-F50D-4A76-8FCC-5C95D3E65C96}"/>
    <cellStyle name="Comma 11 4 3 3 2 2 2 2" xfId="27200" xr:uid="{71240AA0-1C61-4082-A435-E3E1525EB150}"/>
    <cellStyle name="Comma 11 4 3 3 2 2 2 2 2" xfId="57440" xr:uid="{DAE2F5D3-96D6-4EBC-8400-B527F5F5604D}"/>
    <cellStyle name="Comma 11 4 3 3 2 2 2 3" xfId="42320" xr:uid="{A6703489-A1CF-42DB-9ADC-4710FA222857}"/>
    <cellStyle name="Comma 11 4 3 3 2 2 3" xfId="18128" xr:uid="{34707535-02A6-469A-93A2-2CA744BB621D}"/>
    <cellStyle name="Comma 11 4 3 3 2 2 3 2" xfId="48368" xr:uid="{4CD5414E-E794-4890-BADF-13C32B8BD469}"/>
    <cellStyle name="Comma 11 4 3 3 2 2 4" xfId="33248" xr:uid="{57F78908-0312-4E76-83C5-3BA738B09C2D}"/>
    <cellStyle name="Comma 11 4 3 3 2 3" xfId="4520" xr:uid="{4DE6B083-795A-4B2B-A8B2-A102AFCA92F5}"/>
    <cellStyle name="Comma 11 4 3 3 2 3 2" xfId="13592" xr:uid="{00A0E446-E278-4B0C-82A5-C7E8E199E1BC}"/>
    <cellStyle name="Comma 11 4 3 3 2 3 2 2" xfId="28712" xr:uid="{9E698CEF-9EAE-4756-B347-CC3DD22B3748}"/>
    <cellStyle name="Comma 11 4 3 3 2 3 2 2 2" xfId="58952" xr:uid="{B3559F6B-1155-45F6-B805-B76D2920FE1E}"/>
    <cellStyle name="Comma 11 4 3 3 2 3 2 3" xfId="43832" xr:uid="{10E83B8B-A643-4B14-9F7A-257DF6D4A90E}"/>
    <cellStyle name="Comma 11 4 3 3 2 3 3" xfId="19640" xr:uid="{F3C65611-FC10-46A0-B18F-E813DDFA75C0}"/>
    <cellStyle name="Comma 11 4 3 3 2 3 3 2" xfId="49880" xr:uid="{FC2A75C4-514A-46BA-9C55-492F920CC7E1}"/>
    <cellStyle name="Comma 11 4 3 3 2 3 4" xfId="34760" xr:uid="{A68323C8-BA22-413F-B86C-F1B3D4746EB7}"/>
    <cellStyle name="Comma 11 4 3 3 2 4" xfId="6032" xr:uid="{B65276AC-7EC3-4CA1-82FF-3BD39C2FE976}"/>
    <cellStyle name="Comma 11 4 3 3 2 4 2" xfId="15104" xr:uid="{5E1DEAD9-4228-4220-8821-FEAEB65FF7D8}"/>
    <cellStyle name="Comma 11 4 3 3 2 4 2 2" xfId="30224" xr:uid="{F1C0ED4A-D2B7-4C65-B27C-111491172FCA}"/>
    <cellStyle name="Comma 11 4 3 3 2 4 2 2 2" xfId="60464" xr:uid="{A209A3DA-C42D-49F2-A4C0-59364B3E65B2}"/>
    <cellStyle name="Comma 11 4 3 3 2 4 2 3" xfId="45344" xr:uid="{750E7458-E884-4FFF-88C9-DD67EF016E70}"/>
    <cellStyle name="Comma 11 4 3 3 2 4 3" xfId="21152" xr:uid="{805C698C-1292-4818-B962-E0E564CF9563}"/>
    <cellStyle name="Comma 11 4 3 3 2 4 3 2" xfId="51392" xr:uid="{881524CD-E627-4B40-9B43-6A2628DADAF2}"/>
    <cellStyle name="Comma 11 4 3 3 2 4 4" xfId="36272" xr:uid="{7A4F7521-D1CF-43E5-BD6D-6898D0907539}"/>
    <cellStyle name="Comma 11 4 3 3 2 5" xfId="7544" xr:uid="{11C6F216-4BE4-4630-9B5D-EF8C6B3D6E6A}"/>
    <cellStyle name="Comma 11 4 3 3 2 5 2" xfId="22664" xr:uid="{83B97D30-0921-4649-BC05-FDF1497929C4}"/>
    <cellStyle name="Comma 11 4 3 3 2 5 2 2" xfId="52904" xr:uid="{5C532E89-36EF-4016-BB37-E93A497E2A2E}"/>
    <cellStyle name="Comma 11 4 3 3 2 5 3" xfId="37784" xr:uid="{3AF47685-8D35-45C9-A90C-9F77B05AE531}"/>
    <cellStyle name="Comma 11 4 3 3 2 6" xfId="9056" xr:uid="{A8176BC4-DAEE-48BC-BB6E-6FB1F2532F3A}"/>
    <cellStyle name="Comma 11 4 3 3 2 6 2" xfId="24176" xr:uid="{E9296C80-A1A2-4022-A974-E5B09FCA5EEC}"/>
    <cellStyle name="Comma 11 4 3 3 2 6 2 2" xfId="54416" xr:uid="{BDEE9F90-E778-4AF1-9B90-B65C942A2BC7}"/>
    <cellStyle name="Comma 11 4 3 3 2 6 3" xfId="39296" xr:uid="{FF4929B0-C814-456F-84F1-3C05D305DC4F}"/>
    <cellStyle name="Comma 11 4 3 3 2 7" xfId="10568" xr:uid="{D77FE61E-32DF-479E-A6B2-671A044694D2}"/>
    <cellStyle name="Comma 11 4 3 3 2 7 2" xfId="25688" xr:uid="{6465366C-BEDF-402A-8FFE-E26425BEA7E5}"/>
    <cellStyle name="Comma 11 4 3 3 2 7 2 2" xfId="55928" xr:uid="{78AF59F6-A4BA-46F1-9FD5-9EE90693C7F1}"/>
    <cellStyle name="Comma 11 4 3 3 2 7 3" xfId="40808" xr:uid="{FF75282A-EE13-47BD-9F90-AD9D3D391D88}"/>
    <cellStyle name="Comma 11 4 3 3 2 8" xfId="16616" xr:uid="{9FE3F648-E0FF-4CE5-A8D1-8535A539C777}"/>
    <cellStyle name="Comma 11 4 3 3 2 8 2" xfId="46856" xr:uid="{846E5200-EFFF-4398-AFA4-9B26CF0022E9}"/>
    <cellStyle name="Comma 11 4 3 3 2 9" xfId="31736" xr:uid="{A4F7C82B-88FE-4008-A4C1-A31B696DF698}"/>
    <cellStyle name="Comma 11 4 3 3 3" xfId="2252" xr:uid="{B7077031-83DC-4EAD-AC64-89F49D563B6E}"/>
    <cellStyle name="Comma 11 4 3 3 3 2" xfId="11324" xr:uid="{D5EA2700-1B8D-4CB7-8454-D75B02AB02DD}"/>
    <cellStyle name="Comma 11 4 3 3 3 2 2" xfId="26444" xr:uid="{2A781FFD-8258-4FD8-821E-C7A32191E055}"/>
    <cellStyle name="Comma 11 4 3 3 3 2 2 2" xfId="56684" xr:uid="{D715D593-B415-4E24-919A-0C44D5B605D7}"/>
    <cellStyle name="Comma 11 4 3 3 3 2 3" xfId="41564" xr:uid="{940643E2-B31A-4F15-B697-09F1EADEE803}"/>
    <cellStyle name="Comma 11 4 3 3 3 3" xfId="17372" xr:uid="{ED9BD5F0-42D0-429E-A2EA-9DA4395FB425}"/>
    <cellStyle name="Comma 11 4 3 3 3 3 2" xfId="47612" xr:uid="{4CD1E4B9-B55D-4163-AB7A-EB22140DB7B1}"/>
    <cellStyle name="Comma 11 4 3 3 3 4" xfId="32492" xr:uid="{1BB57A60-B62D-43D5-8CDF-4C97579E4242}"/>
    <cellStyle name="Comma 11 4 3 3 4" xfId="3764" xr:uid="{389EB08E-C994-42C5-8A00-72F3A94C81F3}"/>
    <cellStyle name="Comma 11 4 3 3 4 2" xfId="12836" xr:uid="{7B095316-B928-4F2B-8E4F-47C4DE0AB9F4}"/>
    <cellStyle name="Comma 11 4 3 3 4 2 2" xfId="27956" xr:uid="{D1B5FA14-F532-4116-9394-CC495D66F6C2}"/>
    <cellStyle name="Comma 11 4 3 3 4 2 2 2" xfId="58196" xr:uid="{08179D9A-36E7-45E1-9C25-A3F0869E7094}"/>
    <cellStyle name="Comma 11 4 3 3 4 2 3" xfId="43076" xr:uid="{5E08EEB5-BC24-4EFF-A36F-9199D7EBBCDB}"/>
    <cellStyle name="Comma 11 4 3 3 4 3" xfId="18884" xr:uid="{E7B25BBC-18EF-48C8-BE2E-5BCE1D14775C}"/>
    <cellStyle name="Comma 11 4 3 3 4 3 2" xfId="49124" xr:uid="{DC4C6C7F-0E18-4FCC-8B31-1C57207EF845}"/>
    <cellStyle name="Comma 11 4 3 3 4 4" xfId="34004" xr:uid="{8DBDB8F2-56DA-48DA-80C9-68C40E8E6C69}"/>
    <cellStyle name="Comma 11 4 3 3 5" xfId="5276" xr:uid="{5AAC50C7-001E-4102-959D-E03DA7AC3AEE}"/>
    <cellStyle name="Comma 11 4 3 3 5 2" xfId="14348" xr:uid="{125F360B-2274-4FBF-B37E-8B39895E6EBC}"/>
    <cellStyle name="Comma 11 4 3 3 5 2 2" xfId="29468" xr:uid="{43B600B3-E491-4CE3-ABFE-AEB80B0B5969}"/>
    <cellStyle name="Comma 11 4 3 3 5 2 2 2" xfId="59708" xr:uid="{D55B1072-D9BD-4141-A8CF-13F417F38676}"/>
    <cellStyle name="Comma 11 4 3 3 5 2 3" xfId="44588" xr:uid="{C3B9D5FC-FC15-427C-AF05-554BAF564D1E}"/>
    <cellStyle name="Comma 11 4 3 3 5 3" xfId="20396" xr:uid="{AE064E81-77F3-4D53-BD93-3B576B93DF3E}"/>
    <cellStyle name="Comma 11 4 3 3 5 3 2" xfId="50636" xr:uid="{AB3B9D86-0A17-4490-A3EA-EB128BFDF248}"/>
    <cellStyle name="Comma 11 4 3 3 5 4" xfId="35516" xr:uid="{77A8B201-DB86-429B-9676-0946C7B73208}"/>
    <cellStyle name="Comma 11 4 3 3 6" xfId="6788" xr:uid="{A1785974-45B5-40BA-BE0A-3A6F2927FC80}"/>
    <cellStyle name="Comma 11 4 3 3 6 2" xfId="21908" xr:uid="{A1CB359D-D0C8-49A5-8698-F84A3697331F}"/>
    <cellStyle name="Comma 11 4 3 3 6 2 2" xfId="52148" xr:uid="{47EB4333-482A-46C2-803B-EBE1E51D63F9}"/>
    <cellStyle name="Comma 11 4 3 3 6 3" xfId="37028" xr:uid="{492178F6-F047-4C26-90AE-9BB7A7DABD80}"/>
    <cellStyle name="Comma 11 4 3 3 7" xfId="8300" xr:uid="{7F585319-25FF-4901-BFC6-C5346EE66625}"/>
    <cellStyle name="Comma 11 4 3 3 7 2" xfId="23420" xr:uid="{8FA44FA3-AB54-4162-A1BF-66B9EED62DF2}"/>
    <cellStyle name="Comma 11 4 3 3 7 2 2" xfId="53660" xr:uid="{FD237935-C715-4FA4-B0D2-3A4DBBE84739}"/>
    <cellStyle name="Comma 11 4 3 3 7 3" xfId="38540" xr:uid="{91E7B7F4-EBAE-4921-8E51-F5EEE6C4A137}"/>
    <cellStyle name="Comma 11 4 3 3 8" xfId="9812" xr:uid="{4EF2B586-DE92-4E69-BDC5-E0380954497F}"/>
    <cellStyle name="Comma 11 4 3 3 8 2" xfId="24932" xr:uid="{B12FFD0A-8536-47E1-985B-DE59A621306C}"/>
    <cellStyle name="Comma 11 4 3 3 8 2 2" xfId="55172" xr:uid="{10CDE04B-1943-4975-ACE4-7325F1190F92}"/>
    <cellStyle name="Comma 11 4 3 3 8 3" xfId="40052" xr:uid="{2E53089C-02FE-4629-B552-66A2D37D0E3B}"/>
    <cellStyle name="Comma 11 4 3 3 9" xfId="15860" xr:uid="{9BD7AE49-7378-465A-AD64-26381EDB6007}"/>
    <cellStyle name="Comma 11 4 3 3 9 2" xfId="46100" xr:uid="{B6CF54EB-110A-49D3-A32A-D4A636DBB880}"/>
    <cellStyle name="Comma 11 4 3 4" xfId="992" xr:uid="{DA2757A6-7FD5-4090-9B01-5AC69419CD34}"/>
    <cellStyle name="Comma 11 4 3 4 2" xfId="2504" xr:uid="{25795D93-17BB-4124-BE26-9F656B614609}"/>
    <cellStyle name="Comma 11 4 3 4 2 2" xfId="11576" xr:uid="{085BE64C-0C55-42BF-B964-07ACDDDCAB69}"/>
    <cellStyle name="Comma 11 4 3 4 2 2 2" xfId="26696" xr:uid="{8E0A31B7-B443-4230-8DF0-CFFE572DE061}"/>
    <cellStyle name="Comma 11 4 3 4 2 2 2 2" xfId="56936" xr:uid="{EA3870EB-34E1-42F1-95EE-3EFE88F76113}"/>
    <cellStyle name="Comma 11 4 3 4 2 2 3" xfId="41816" xr:uid="{378A0A9F-1DA5-44F2-A568-56DA16C31E43}"/>
    <cellStyle name="Comma 11 4 3 4 2 3" xfId="17624" xr:uid="{8191D4D1-8B00-4F3F-BEA7-3103B24FD7E8}"/>
    <cellStyle name="Comma 11 4 3 4 2 3 2" xfId="47864" xr:uid="{4B3370F1-DAC1-4901-BE62-120FA0BD1AEF}"/>
    <cellStyle name="Comma 11 4 3 4 2 4" xfId="32744" xr:uid="{CFDC170C-4EF9-47E4-BAAC-214C4EE9DAAB}"/>
    <cellStyle name="Comma 11 4 3 4 3" xfId="4016" xr:uid="{E0117C69-AD81-44F0-82B1-B07C8222D016}"/>
    <cellStyle name="Comma 11 4 3 4 3 2" xfId="13088" xr:uid="{035C1F3B-9514-4D5F-899C-2EB451DB19FC}"/>
    <cellStyle name="Comma 11 4 3 4 3 2 2" xfId="28208" xr:uid="{39ECC8D5-337C-4081-B452-3819A0F79F13}"/>
    <cellStyle name="Comma 11 4 3 4 3 2 2 2" xfId="58448" xr:uid="{29EDBFFC-B08E-493D-B304-9A65996D0B74}"/>
    <cellStyle name="Comma 11 4 3 4 3 2 3" xfId="43328" xr:uid="{46B51FFE-0FDB-45C2-A5CA-A1ED756CAF3F}"/>
    <cellStyle name="Comma 11 4 3 4 3 3" xfId="19136" xr:uid="{9394C51A-020A-46B4-B4C4-9768B7221440}"/>
    <cellStyle name="Comma 11 4 3 4 3 3 2" xfId="49376" xr:uid="{406A3806-8AA0-4560-97DC-A3A398A72481}"/>
    <cellStyle name="Comma 11 4 3 4 3 4" xfId="34256" xr:uid="{BB2A04ED-9901-40E9-A151-5EEEDF412E2D}"/>
    <cellStyle name="Comma 11 4 3 4 4" xfId="5528" xr:uid="{26054F3F-962B-4069-B0CD-0348CBB65B87}"/>
    <cellStyle name="Comma 11 4 3 4 4 2" xfId="14600" xr:uid="{B9E6F2FA-C929-4C20-A60F-5AC62D80634B}"/>
    <cellStyle name="Comma 11 4 3 4 4 2 2" xfId="29720" xr:uid="{69F08ADA-3194-4083-8839-307EA091E73F}"/>
    <cellStyle name="Comma 11 4 3 4 4 2 2 2" xfId="59960" xr:uid="{4AF802C4-AE31-494F-855A-42D4C154325D}"/>
    <cellStyle name="Comma 11 4 3 4 4 2 3" xfId="44840" xr:uid="{4B9534DA-9160-4876-9994-331B9DF4139B}"/>
    <cellStyle name="Comma 11 4 3 4 4 3" xfId="20648" xr:uid="{7276FD15-406E-42B5-B030-F3759CA5D1D5}"/>
    <cellStyle name="Comma 11 4 3 4 4 3 2" xfId="50888" xr:uid="{3BC187EF-03D3-413D-A9AB-9A6A124E4ECA}"/>
    <cellStyle name="Comma 11 4 3 4 4 4" xfId="35768" xr:uid="{2791E1CD-A3C3-4C82-A0BC-7BB903EE86E6}"/>
    <cellStyle name="Comma 11 4 3 4 5" xfId="7040" xr:uid="{EE55E672-4737-4B6E-9798-3AECBE720244}"/>
    <cellStyle name="Comma 11 4 3 4 5 2" xfId="22160" xr:uid="{C88FE6EB-C3BB-4C78-807D-D4F4FBA74CD7}"/>
    <cellStyle name="Comma 11 4 3 4 5 2 2" xfId="52400" xr:uid="{1D16F7F3-9360-4293-BBA2-090A18E74F3C}"/>
    <cellStyle name="Comma 11 4 3 4 5 3" xfId="37280" xr:uid="{209FC148-9B08-409F-812E-565E0853324F}"/>
    <cellStyle name="Comma 11 4 3 4 6" xfId="8552" xr:uid="{1C90FB13-5430-44BA-8B30-8B8BD5780DFB}"/>
    <cellStyle name="Comma 11 4 3 4 6 2" xfId="23672" xr:uid="{49599DA3-540E-449D-AF90-93DDCF91A729}"/>
    <cellStyle name="Comma 11 4 3 4 6 2 2" xfId="53912" xr:uid="{5E2F8578-A0A4-4D32-8EA5-B47F6E90D8F3}"/>
    <cellStyle name="Comma 11 4 3 4 6 3" xfId="38792" xr:uid="{4BCE78B5-23A8-4E1F-B353-F970FB7FAA19}"/>
    <cellStyle name="Comma 11 4 3 4 7" xfId="10064" xr:uid="{8E97F0CC-1161-4209-80DC-87BF244D392E}"/>
    <cellStyle name="Comma 11 4 3 4 7 2" xfId="25184" xr:uid="{D95B0BE7-95C8-459E-8D98-2B2A9A5090EF}"/>
    <cellStyle name="Comma 11 4 3 4 7 2 2" xfId="55424" xr:uid="{5CD2AF5B-BB1D-428D-AE3F-75DE9863BAE0}"/>
    <cellStyle name="Comma 11 4 3 4 7 3" xfId="40304" xr:uid="{BEAA23DE-77B3-41FD-B573-6AE2CBD28C24}"/>
    <cellStyle name="Comma 11 4 3 4 8" xfId="16112" xr:uid="{3F1AAF3C-F9D2-459B-83D4-5E6A5BE0BE9A}"/>
    <cellStyle name="Comma 11 4 3 4 8 2" xfId="46352" xr:uid="{B3AC76D8-BE77-49A2-8CD3-42CD867012D8}"/>
    <cellStyle name="Comma 11 4 3 4 9" xfId="31232" xr:uid="{09A46AB0-6FBD-4254-B5F9-2DFD13F38136}"/>
    <cellStyle name="Comma 11 4 3 5" xfId="1748" xr:uid="{8F2D1228-4C8C-4609-95C7-DA4E0C2E116E}"/>
    <cellStyle name="Comma 11 4 3 5 2" xfId="10820" xr:uid="{2876349E-54E9-4EB2-8B30-56DBB45DD952}"/>
    <cellStyle name="Comma 11 4 3 5 2 2" xfId="25940" xr:uid="{AC771369-5E17-4B9E-BCDE-C6CE0861D87C}"/>
    <cellStyle name="Comma 11 4 3 5 2 2 2" xfId="56180" xr:uid="{74975EEB-662F-47BC-84EA-3A87EE586B1E}"/>
    <cellStyle name="Comma 11 4 3 5 2 3" xfId="41060" xr:uid="{E4825828-CB43-41B6-8FF9-675B99EB2686}"/>
    <cellStyle name="Comma 11 4 3 5 3" xfId="16868" xr:uid="{2C87057A-F6D0-4B73-B977-78DE793E2142}"/>
    <cellStyle name="Comma 11 4 3 5 3 2" xfId="47108" xr:uid="{CB1E0602-AC9A-411A-9655-49D77119EFF2}"/>
    <cellStyle name="Comma 11 4 3 5 4" xfId="31988" xr:uid="{BBBB7DA7-F344-48B6-97D9-5657149AC015}"/>
    <cellStyle name="Comma 11 4 3 6" xfId="3260" xr:uid="{C730B14A-912B-4018-9734-FC03900F72D5}"/>
    <cellStyle name="Comma 11 4 3 6 2" xfId="12332" xr:uid="{83E9B0CB-790D-471A-BC82-79AAA1AF4FDD}"/>
    <cellStyle name="Comma 11 4 3 6 2 2" xfId="27452" xr:uid="{7A63C69D-221F-4D8E-9EB3-12B78C40DC6A}"/>
    <cellStyle name="Comma 11 4 3 6 2 2 2" xfId="57692" xr:uid="{69E58C4F-7C97-4995-B059-0C1AED169EE4}"/>
    <cellStyle name="Comma 11 4 3 6 2 3" xfId="42572" xr:uid="{945A4237-90C0-47F1-8FED-12A6BD0E307F}"/>
    <cellStyle name="Comma 11 4 3 6 3" xfId="18380" xr:uid="{BF37C262-9440-4F04-8AA7-F1E175E49142}"/>
    <cellStyle name="Comma 11 4 3 6 3 2" xfId="48620" xr:uid="{DC6B459C-A4E7-4092-9097-D1184CCDD896}"/>
    <cellStyle name="Comma 11 4 3 6 4" xfId="33500" xr:uid="{A0512F7A-A825-409A-B955-B2AC7518E007}"/>
    <cellStyle name="Comma 11 4 3 7" xfId="4772" xr:uid="{9F387CDE-71E0-41F3-9A25-CB4B9D13C93A}"/>
    <cellStyle name="Comma 11 4 3 7 2" xfId="13844" xr:uid="{EFB387D0-244B-48FF-B7F3-C8E2FCC9170B}"/>
    <cellStyle name="Comma 11 4 3 7 2 2" xfId="28964" xr:uid="{53841F7A-3D08-43C1-B82D-E1CC96CD8DA2}"/>
    <cellStyle name="Comma 11 4 3 7 2 2 2" xfId="59204" xr:uid="{6D09CCCD-1CFE-4230-963F-C5908FB9FFB0}"/>
    <cellStyle name="Comma 11 4 3 7 2 3" xfId="44084" xr:uid="{4E8A178A-2EBE-46AE-A235-2E8ECF944EC0}"/>
    <cellStyle name="Comma 11 4 3 7 3" xfId="19892" xr:uid="{ED4DF944-A81B-4630-A382-F2D2FF5409D0}"/>
    <cellStyle name="Comma 11 4 3 7 3 2" xfId="50132" xr:uid="{5A79401B-DE74-4BFA-8C75-7BA407A98088}"/>
    <cellStyle name="Comma 11 4 3 7 4" xfId="35012" xr:uid="{B13076BC-8EBB-4687-BB2C-199663BEC799}"/>
    <cellStyle name="Comma 11 4 3 8" xfId="6284" xr:uid="{ED3C097F-AA5F-44C0-8091-843D2442813C}"/>
    <cellStyle name="Comma 11 4 3 8 2" xfId="21404" xr:uid="{E764C942-DFC2-4CCC-A02B-725F3E5D2B8F}"/>
    <cellStyle name="Comma 11 4 3 8 2 2" xfId="51644" xr:uid="{8BD588B0-7EB3-43B0-9C20-BC6517E38F99}"/>
    <cellStyle name="Comma 11 4 3 8 3" xfId="36524" xr:uid="{2FD4E901-4D89-48C1-8FDD-CAE0DD562200}"/>
    <cellStyle name="Comma 11 4 3 9" xfId="7796" xr:uid="{1099DEF7-BCB2-4B9D-A001-5D9FA994A00B}"/>
    <cellStyle name="Comma 11 4 3 9 2" xfId="22916" xr:uid="{F6596FA9-4F8A-41A4-AEA6-17A8B39AF8FB}"/>
    <cellStyle name="Comma 11 4 3 9 2 2" xfId="53156" xr:uid="{99A2EC5C-6D32-4FCA-BF4D-4A9E24A80139}"/>
    <cellStyle name="Comma 11 4 3 9 3" xfId="38036" xr:uid="{C5B5B0CE-E5B9-45FB-8A14-311C3244F52A}"/>
    <cellStyle name="Comma 11 4 4" xfId="320" xr:uid="{149CAF77-962E-47E8-8661-A9CDA52B9C3B}"/>
    <cellStyle name="Comma 11 4 4 10" xfId="30560" xr:uid="{FD363E2E-F986-4F33-BC6B-BACE824F2CC2}"/>
    <cellStyle name="Comma 11 4 4 2" xfId="1076" xr:uid="{C2FD6942-E6C0-43B1-91F6-FDA5468EA3ED}"/>
    <cellStyle name="Comma 11 4 4 2 2" xfId="2588" xr:uid="{F2D0AC3D-A492-46B8-93CB-8B2F59409142}"/>
    <cellStyle name="Comma 11 4 4 2 2 2" xfId="11660" xr:uid="{F81D6BBF-C7B4-47A9-8AC4-F1E4856CB331}"/>
    <cellStyle name="Comma 11 4 4 2 2 2 2" xfId="26780" xr:uid="{35F9F15E-0623-4EB0-AB29-B54171E8869D}"/>
    <cellStyle name="Comma 11 4 4 2 2 2 2 2" xfId="57020" xr:uid="{A07997FE-61C2-4460-948D-68AC1061790E}"/>
    <cellStyle name="Comma 11 4 4 2 2 2 3" xfId="41900" xr:uid="{0C5C3303-3284-4D5D-8287-D1CB4619980B}"/>
    <cellStyle name="Comma 11 4 4 2 2 3" xfId="17708" xr:uid="{A2F5A525-EE7A-465C-852A-6D60BE5D0B4E}"/>
    <cellStyle name="Comma 11 4 4 2 2 3 2" xfId="47948" xr:uid="{5810EED8-6041-4481-9166-033AF8861741}"/>
    <cellStyle name="Comma 11 4 4 2 2 4" xfId="32828" xr:uid="{18962470-0A78-4BCE-8AA1-C6F3A9F4232F}"/>
    <cellStyle name="Comma 11 4 4 2 3" xfId="4100" xr:uid="{98DBAC4C-5F8E-4CC1-BF8E-8766D886BA35}"/>
    <cellStyle name="Comma 11 4 4 2 3 2" xfId="13172" xr:uid="{335449F9-80E0-4159-9B74-19E44EB95762}"/>
    <cellStyle name="Comma 11 4 4 2 3 2 2" xfId="28292" xr:uid="{58488516-E894-43DD-9227-D619CBEFE1AB}"/>
    <cellStyle name="Comma 11 4 4 2 3 2 2 2" xfId="58532" xr:uid="{3F22E24A-7184-49D5-8B09-EAA1376A1162}"/>
    <cellStyle name="Comma 11 4 4 2 3 2 3" xfId="43412" xr:uid="{0B9E3790-0776-4982-B210-2BF8162C3ACD}"/>
    <cellStyle name="Comma 11 4 4 2 3 3" xfId="19220" xr:uid="{68432DAC-6F66-4C15-9FC5-805CDBA59224}"/>
    <cellStyle name="Comma 11 4 4 2 3 3 2" xfId="49460" xr:uid="{FE9ACF7C-6E81-4123-8EDB-CF71AF5B4A7C}"/>
    <cellStyle name="Comma 11 4 4 2 3 4" xfId="34340" xr:uid="{4567CA82-612F-4308-9C27-87240C9025F5}"/>
    <cellStyle name="Comma 11 4 4 2 4" xfId="5612" xr:uid="{F5733985-A417-4F8B-B70B-B0945D5DAF0B}"/>
    <cellStyle name="Comma 11 4 4 2 4 2" xfId="14684" xr:uid="{E46627F3-C500-4E2C-BC0E-143C23B444E3}"/>
    <cellStyle name="Comma 11 4 4 2 4 2 2" xfId="29804" xr:uid="{B9AB2A67-4535-4503-B9EA-4F8DBBB74A8E}"/>
    <cellStyle name="Comma 11 4 4 2 4 2 2 2" xfId="60044" xr:uid="{C14D3BC1-26C0-4162-8E91-E646991766FB}"/>
    <cellStyle name="Comma 11 4 4 2 4 2 3" xfId="44924" xr:uid="{53BC5410-607E-405A-BE2D-EA5F9A795F2F}"/>
    <cellStyle name="Comma 11 4 4 2 4 3" xfId="20732" xr:uid="{14E30D2A-E4F1-4C07-BCD7-317A6DD8EC2E}"/>
    <cellStyle name="Comma 11 4 4 2 4 3 2" xfId="50972" xr:uid="{AE174275-FE54-4AC2-A2CA-07D16353AE38}"/>
    <cellStyle name="Comma 11 4 4 2 4 4" xfId="35852" xr:uid="{5A00DE5E-42BA-4C92-9DC2-58901A7866F6}"/>
    <cellStyle name="Comma 11 4 4 2 5" xfId="7124" xr:uid="{67EBEB07-C374-424D-9C7F-9F6C6A288920}"/>
    <cellStyle name="Comma 11 4 4 2 5 2" xfId="22244" xr:uid="{09030F59-8543-4CE3-A056-DCDC1DCF9D7D}"/>
    <cellStyle name="Comma 11 4 4 2 5 2 2" xfId="52484" xr:uid="{1CD4A88B-63A0-4AAE-8CE1-4E51EA8E30B1}"/>
    <cellStyle name="Comma 11 4 4 2 5 3" xfId="37364" xr:uid="{DC5518A4-BA41-4A9A-87E4-64831810CDD5}"/>
    <cellStyle name="Comma 11 4 4 2 6" xfId="8636" xr:uid="{312C0421-E539-4A3F-BC00-3BDC88962FA4}"/>
    <cellStyle name="Comma 11 4 4 2 6 2" xfId="23756" xr:uid="{ECB254B9-5A41-44AA-9DD6-E6163D70E83F}"/>
    <cellStyle name="Comma 11 4 4 2 6 2 2" xfId="53996" xr:uid="{D24C68C5-C2F0-410E-BFA1-6AD0B78E720B}"/>
    <cellStyle name="Comma 11 4 4 2 6 3" xfId="38876" xr:uid="{D5A388AE-234A-4BD6-BBB0-2C856530353E}"/>
    <cellStyle name="Comma 11 4 4 2 7" xfId="10148" xr:uid="{10039382-1276-4B52-BDA3-5F938EE5F46C}"/>
    <cellStyle name="Comma 11 4 4 2 7 2" xfId="25268" xr:uid="{AB31699B-0D7B-464C-AAC3-A3CAD0A4406D}"/>
    <cellStyle name="Comma 11 4 4 2 7 2 2" xfId="55508" xr:uid="{CC4E71EF-8EDE-4EA0-B220-B45853555190}"/>
    <cellStyle name="Comma 11 4 4 2 7 3" xfId="40388" xr:uid="{B3F4E8E7-61D1-4565-82B5-D11913A923B2}"/>
    <cellStyle name="Comma 11 4 4 2 8" xfId="16196" xr:uid="{7BB03174-9654-4E29-83C2-3B7C1A656F9B}"/>
    <cellStyle name="Comma 11 4 4 2 8 2" xfId="46436" xr:uid="{28DDDB1F-F4B7-402D-8F20-50C5D71329EA}"/>
    <cellStyle name="Comma 11 4 4 2 9" xfId="31316" xr:uid="{6A9E8D05-6E0E-4D5E-B0D5-A768C8C5E426}"/>
    <cellStyle name="Comma 11 4 4 3" xfId="1832" xr:uid="{2E157F04-C399-4C5B-80F5-8F96B12F6CC7}"/>
    <cellStyle name="Comma 11 4 4 3 2" xfId="10904" xr:uid="{F5187FC0-F371-4906-86CB-5DF2728BA21E}"/>
    <cellStyle name="Comma 11 4 4 3 2 2" xfId="26024" xr:uid="{9D57D98E-6498-4446-A441-9D0898CFD572}"/>
    <cellStyle name="Comma 11 4 4 3 2 2 2" xfId="56264" xr:uid="{83F14331-2AE8-479B-8BF9-39DFCD8E553E}"/>
    <cellStyle name="Comma 11 4 4 3 2 3" xfId="41144" xr:uid="{0D931B49-0012-4B20-B5A7-C71F3CB9AE62}"/>
    <cellStyle name="Comma 11 4 4 3 3" xfId="16952" xr:uid="{9223C40F-EBEB-4767-9BD2-282639B196BA}"/>
    <cellStyle name="Comma 11 4 4 3 3 2" xfId="47192" xr:uid="{C3A0BB4B-8B26-4E68-A259-8324D2B9BBE5}"/>
    <cellStyle name="Comma 11 4 4 3 4" xfId="32072" xr:uid="{9A2199B4-7990-4BB4-B158-9A605417857C}"/>
    <cellStyle name="Comma 11 4 4 4" xfId="3344" xr:uid="{FDD374F3-6B45-46D2-84E9-0ADFBCB7B198}"/>
    <cellStyle name="Comma 11 4 4 4 2" xfId="12416" xr:uid="{2CC93C09-8F9D-454E-A998-F0CF803F46A0}"/>
    <cellStyle name="Comma 11 4 4 4 2 2" xfId="27536" xr:uid="{1273B3D0-F585-4EF4-9686-AB1AD2F08E21}"/>
    <cellStyle name="Comma 11 4 4 4 2 2 2" xfId="57776" xr:uid="{2E028B72-3877-4C89-B744-87834F165E34}"/>
    <cellStyle name="Comma 11 4 4 4 2 3" xfId="42656" xr:uid="{2099EDB1-4E2A-41C1-AF82-A10B3A64D503}"/>
    <cellStyle name="Comma 11 4 4 4 3" xfId="18464" xr:uid="{A87EB1F3-3C16-4459-9EE6-8D7A2E2E76F3}"/>
    <cellStyle name="Comma 11 4 4 4 3 2" xfId="48704" xr:uid="{D9F6ACDF-EA75-4DB5-A405-13CDC44CDE07}"/>
    <cellStyle name="Comma 11 4 4 4 4" xfId="33584" xr:uid="{61F4959F-0493-4EDF-AFD6-6B933A0A5C5D}"/>
    <cellStyle name="Comma 11 4 4 5" xfId="4856" xr:uid="{F91A77BA-7DA2-4F93-B687-E922BCBCCAB6}"/>
    <cellStyle name="Comma 11 4 4 5 2" xfId="13928" xr:uid="{BA077615-5630-49E6-A7EA-D38F028CC4B9}"/>
    <cellStyle name="Comma 11 4 4 5 2 2" xfId="29048" xr:uid="{5320D154-A7C9-41BA-858F-2C0597D38D7C}"/>
    <cellStyle name="Comma 11 4 4 5 2 2 2" xfId="59288" xr:uid="{FAF45667-3A06-47D0-95FD-54AF54BB3ACE}"/>
    <cellStyle name="Comma 11 4 4 5 2 3" xfId="44168" xr:uid="{C1EA414F-09C1-4308-AB8F-570301221FA1}"/>
    <cellStyle name="Comma 11 4 4 5 3" xfId="19976" xr:uid="{543299F1-1937-4CB8-9DEA-22F028BD2E4E}"/>
    <cellStyle name="Comma 11 4 4 5 3 2" xfId="50216" xr:uid="{D9564353-5258-4E96-97AC-97374A0D1700}"/>
    <cellStyle name="Comma 11 4 4 5 4" xfId="35096" xr:uid="{85C2F055-3189-48B3-82E9-EC2EBE50FB07}"/>
    <cellStyle name="Comma 11 4 4 6" xfId="6368" xr:uid="{B318B160-2EDA-4B52-8D39-B99DB1600E98}"/>
    <cellStyle name="Comma 11 4 4 6 2" xfId="21488" xr:uid="{74CBDA61-220D-4913-B78D-3A04A9CCBFC6}"/>
    <cellStyle name="Comma 11 4 4 6 2 2" xfId="51728" xr:uid="{C17842BB-A576-4A15-8F85-D35E99685487}"/>
    <cellStyle name="Comma 11 4 4 6 3" xfId="36608" xr:uid="{FF01ED84-2A11-4A98-B391-6AE754A903C1}"/>
    <cellStyle name="Comma 11 4 4 7" xfId="7880" xr:uid="{A76BA4E3-6DB3-42BC-B607-1426C5ED48F0}"/>
    <cellStyle name="Comma 11 4 4 7 2" xfId="23000" xr:uid="{E248110F-8200-4302-B549-ACED454AAF52}"/>
    <cellStyle name="Comma 11 4 4 7 2 2" xfId="53240" xr:uid="{0AB9190D-8531-4B8C-9DA8-D8C7B7A27292}"/>
    <cellStyle name="Comma 11 4 4 7 3" xfId="38120" xr:uid="{B5438CAC-28A6-441B-BE1E-C2BBB436847C}"/>
    <cellStyle name="Comma 11 4 4 8" xfId="9392" xr:uid="{48A1552E-DF7C-4BDA-9529-AB2D77FB02EC}"/>
    <cellStyle name="Comma 11 4 4 8 2" xfId="24512" xr:uid="{F90AF113-0809-4F18-B817-FFEF9E4035DD}"/>
    <cellStyle name="Comma 11 4 4 8 2 2" xfId="54752" xr:uid="{ADA83EB5-A074-4D7A-AA33-136612308815}"/>
    <cellStyle name="Comma 11 4 4 8 3" xfId="39632" xr:uid="{11499773-C0BF-47CB-B81F-E6D9253B51BE}"/>
    <cellStyle name="Comma 11 4 4 9" xfId="15440" xr:uid="{ED0FB383-E51E-431A-B449-B398C4568C7F}"/>
    <cellStyle name="Comma 11 4 4 9 2" xfId="45680" xr:uid="{A0168563-52C3-43B4-8E37-A151C454E175}"/>
    <cellStyle name="Comma 11 4 5" xfId="572" xr:uid="{B74EAC3C-9D1A-4B30-AB90-756ACDECF46D}"/>
    <cellStyle name="Comma 11 4 5 10" xfId="30812" xr:uid="{AA44280B-A374-441B-8034-17D2078D12DE}"/>
    <cellStyle name="Comma 11 4 5 2" xfId="1328" xr:uid="{05098EE2-2707-48E5-88D3-FF00D6D0494E}"/>
    <cellStyle name="Comma 11 4 5 2 2" xfId="2840" xr:uid="{7FCFE8E3-A88A-44A1-A59B-2CF1F892A48B}"/>
    <cellStyle name="Comma 11 4 5 2 2 2" xfId="11912" xr:uid="{A2D35AF6-0524-4EB0-940A-E095405974E8}"/>
    <cellStyle name="Comma 11 4 5 2 2 2 2" xfId="27032" xr:uid="{017350F0-69CB-4369-BE3C-9218DDCE8C1C}"/>
    <cellStyle name="Comma 11 4 5 2 2 2 2 2" xfId="57272" xr:uid="{46C292B7-4E19-4B5E-B71F-62A53B89A372}"/>
    <cellStyle name="Comma 11 4 5 2 2 2 3" xfId="42152" xr:uid="{8EE9A781-4398-4BF4-9478-68F0E501794B}"/>
    <cellStyle name="Comma 11 4 5 2 2 3" xfId="17960" xr:uid="{AC738E4A-8F8D-49C8-980A-1B99899FE43F}"/>
    <cellStyle name="Comma 11 4 5 2 2 3 2" xfId="48200" xr:uid="{FC7B4809-1C39-4859-BC8D-EC4B8E7D040F}"/>
    <cellStyle name="Comma 11 4 5 2 2 4" xfId="33080" xr:uid="{C43542DA-54C0-4103-94AC-05510737A989}"/>
    <cellStyle name="Comma 11 4 5 2 3" xfId="4352" xr:uid="{51E5DE5C-D289-45B3-86F8-6595262DA67C}"/>
    <cellStyle name="Comma 11 4 5 2 3 2" xfId="13424" xr:uid="{DC473CF2-758A-4136-87C1-656E524FBCB9}"/>
    <cellStyle name="Comma 11 4 5 2 3 2 2" xfId="28544" xr:uid="{C59A0BB2-1A84-4584-8987-DBA33A126382}"/>
    <cellStyle name="Comma 11 4 5 2 3 2 2 2" xfId="58784" xr:uid="{368B03C7-9DCA-4BE3-B89B-23F53ED1466D}"/>
    <cellStyle name="Comma 11 4 5 2 3 2 3" xfId="43664" xr:uid="{AF2B1A47-7F29-4F92-BBCB-1A2B46E6BA30}"/>
    <cellStyle name="Comma 11 4 5 2 3 3" xfId="19472" xr:uid="{D1706DF0-3530-4512-8C91-29B42C47127B}"/>
    <cellStyle name="Comma 11 4 5 2 3 3 2" xfId="49712" xr:uid="{DA5091BC-4030-4A85-ADBB-58469695719A}"/>
    <cellStyle name="Comma 11 4 5 2 3 4" xfId="34592" xr:uid="{73953716-873A-4021-8A16-2838FB30BD58}"/>
    <cellStyle name="Comma 11 4 5 2 4" xfId="5864" xr:uid="{259EF1CD-6C41-4F1E-9C69-623645DD3566}"/>
    <cellStyle name="Comma 11 4 5 2 4 2" xfId="14936" xr:uid="{1D478975-6017-4074-B08E-3A13AA565B75}"/>
    <cellStyle name="Comma 11 4 5 2 4 2 2" xfId="30056" xr:uid="{DD52496B-ED9D-43B8-8AF3-57979A131651}"/>
    <cellStyle name="Comma 11 4 5 2 4 2 2 2" xfId="60296" xr:uid="{05FA76DA-B471-42C6-960E-4F669027E970}"/>
    <cellStyle name="Comma 11 4 5 2 4 2 3" xfId="45176" xr:uid="{64984377-FAF6-4018-AA1A-A890AAC3D341}"/>
    <cellStyle name="Comma 11 4 5 2 4 3" xfId="20984" xr:uid="{77E436E5-5260-49FF-A542-E8EBA43BF405}"/>
    <cellStyle name="Comma 11 4 5 2 4 3 2" xfId="51224" xr:uid="{8D571D7D-0365-4184-BBFE-69A94E4EFB6B}"/>
    <cellStyle name="Comma 11 4 5 2 4 4" xfId="36104" xr:uid="{1D936412-DA85-426D-998A-EC9B97562339}"/>
    <cellStyle name="Comma 11 4 5 2 5" xfId="7376" xr:uid="{64B15FA7-8203-4878-9A43-49612B2C6E0E}"/>
    <cellStyle name="Comma 11 4 5 2 5 2" xfId="22496" xr:uid="{CD677AC7-D43D-4A32-BFA7-C3EB8B026736}"/>
    <cellStyle name="Comma 11 4 5 2 5 2 2" xfId="52736" xr:uid="{E260D190-C2DE-42DD-A0E1-31A5E9139071}"/>
    <cellStyle name="Comma 11 4 5 2 5 3" xfId="37616" xr:uid="{43145B09-2646-41B0-8049-44899BB9F3AA}"/>
    <cellStyle name="Comma 11 4 5 2 6" xfId="8888" xr:uid="{7870CEE5-B55F-4050-9E59-4673ED179132}"/>
    <cellStyle name="Comma 11 4 5 2 6 2" xfId="24008" xr:uid="{4BCEF1A0-2535-4164-A5BA-84490B401742}"/>
    <cellStyle name="Comma 11 4 5 2 6 2 2" xfId="54248" xr:uid="{C415E8D6-A77E-45D1-B2A2-8CB3B46C013E}"/>
    <cellStyle name="Comma 11 4 5 2 6 3" xfId="39128" xr:uid="{D3E45A17-E48A-4717-B896-EFC1F3843AE0}"/>
    <cellStyle name="Comma 11 4 5 2 7" xfId="10400" xr:uid="{195BF751-B942-41CE-9F11-0D257D6978DE}"/>
    <cellStyle name="Comma 11 4 5 2 7 2" xfId="25520" xr:uid="{9B1DE77A-34BA-40E3-8A32-09A7FC64C7AC}"/>
    <cellStyle name="Comma 11 4 5 2 7 2 2" xfId="55760" xr:uid="{069427DA-6FDD-4D96-9C20-13DB43CE5EED}"/>
    <cellStyle name="Comma 11 4 5 2 7 3" xfId="40640" xr:uid="{00D366D9-59B6-49C1-97FE-6897ADD8FD93}"/>
    <cellStyle name="Comma 11 4 5 2 8" xfId="16448" xr:uid="{59728E8D-22A6-4AA2-84A0-D8469827D5CA}"/>
    <cellStyle name="Comma 11 4 5 2 8 2" xfId="46688" xr:uid="{D9F11314-59A3-4651-BBCB-96854734473C}"/>
    <cellStyle name="Comma 11 4 5 2 9" xfId="31568" xr:uid="{715A972E-2FE4-4F7D-B510-229993CBB715}"/>
    <cellStyle name="Comma 11 4 5 3" xfId="2084" xr:uid="{2F555A4D-6B44-4D54-BA21-55F0E02EC3B4}"/>
    <cellStyle name="Comma 11 4 5 3 2" xfId="11156" xr:uid="{0DA0B70D-70C6-49AD-8876-0C080E28565A}"/>
    <cellStyle name="Comma 11 4 5 3 2 2" xfId="26276" xr:uid="{9DEDD2D0-B2CD-42BB-AC88-B5FE6A777A00}"/>
    <cellStyle name="Comma 11 4 5 3 2 2 2" xfId="56516" xr:uid="{93E876F9-AAB1-4D67-8D1B-485CCA148B72}"/>
    <cellStyle name="Comma 11 4 5 3 2 3" xfId="41396" xr:uid="{97572647-3EDD-426D-A6FF-D360B9417EDD}"/>
    <cellStyle name="Comma 11 4 5 3 3" xfId="17204" xr:uid="{45AF2C21-6137-45C9-ADE3-8C3EC8B0C8F1}"/>
    <cellStyle name="Comma 11 4 5 3 3 2" xfId="47444" xr:uid="{E8CC13C5-C17C-4CA8-8187-CD2D91F6C5FF}"/>
    <cellStyle name="Comma 11 4 5 3 4" xfId="32324" xr:uid="{12486DB2-1F42-4E50-93DA-3F62BED4B977}"/>
    <cellStyle name="Comma 11 4 5 4" xfId="3596" xr:uid="{A3B2D36D-95B0-4BBD-8593-5D8335C9C1B3}"/>
    <cellStyle name="Comma 11 4 5 4 2" xfId="12668" xr:uid="{C0F936A0-7731-4848-8A33-6B179B4101EC}"/>
    <cellStyle name="Comma 11 4 5 4 2 2" xfId="27788" xr:uid="{9A7F006D-677E-4877-8A2F-86287C36DD24}"/>
    <cellStyle name="Comma 11 4 5 4 2 2 2" xfId="58028" xr:uid="{142CA23A-9349-43A2-943A-259D45A91A2C}"/>
    <cellStyle name="Comma 11 4 5 4 2 3" xfId="42908" xr:uid="{C7788FC0-95BC-452B-AC83-4D964ED59C42}"/>
    <cellStyle name="Comma 11 4 5 4 3" xfId="18716" xr:uid="{99F2C346-FF8A-4653-9178-3C335D0BB186}"/>
    <cellStyle name="Comma 11 4 5 4 3 2" xfId="48956" xr:uid="{78D1C2B7-924C-4049-92DC-399662438D45}"/>
    <cellStyle name="Comma 11 4 5 4 4" xfId="33836" xr:uid="{DC554147-712C-489E-B090-9FE51B0A8A92}"/>
    <cellStyle name="Comma 11 4 5 5" xfId="5108" xr:uid="{38540291-9629-4BD4-B08F-C017D41E279C}"/>
    <cellStyle name="Comma 11 4 5 5 2" xfId="14180" xr:uid="{13642BDE-FEB4-444F-81CC-D644A36970DD}"/>
    <cellStyle name="Comma 11 4 5 5 2 2" xfId="29300" xr:uid="{B94BD629-58C2-47FD-B803-8C7851CE5AF2}"/>
    <cellStyle name="Comma 11 4 5 5 2 2 2" xfId="59540" xr:uid="{1223C293-013E-4EAE-8A5C-605276278090}"/>
    <cellStyle name="Comma 11 4 5 5 2 3" xfId="44420" xr:uid="{F1514C00-4FA7-4F88-B144-1E621676B73D}"/>
    <cellStyle name="Comma 11 4 5 5 3" xfId="20228" xr:uid="{54FF71F8-93B5-4702-87D2-3452DBFBB753}"/>
    <cellStyle name="Comma 11 4 5 5 3 2" xfId="50468" xr:uid="{56B386B6-D8AE-4F32-881D-94C3062AB134}"/>
    <cellStyle name="Comma 11 4 5 5 4" xfId="35348" xr:uid="{83526776-098A-47A5-925C-A7C9FE2C097B}"/>
    <cellStyle name="Comma 11 4 5 6" xfId="6620" xr:uid="{731AE3A0-014A-4D40-A115-2F3BD517E48B}"/>
    <cellStyle name="Comma 11 4 5 6 2" xfId="21740" xr:uid="{3E65CDA4-C5E8-42CB-B06D-ECD92788889A}"/>
    <cellStyle name="Comma 11 4 5 6 2 2" xfId="51980" xr:uid="{2526B963-75CA-4FFC-B416-EB91959452CC}"/>
    <cellStyle name="Comma 11 4 5 6 3" xfId="36860" xr:uid="{2DACD29F-3E4F-434B-A22D-1467B242BAFD}"/>
    <cellStyle name="Comma 11 4 5 7" xfId="8132" xr:uid="{838094A0-FB5C-4C2A-B949-6643D3FDB899}"/>
    <cellStyle name="Comma 11 4 5 7 2" xfId="23252" xr:uid="{5254556D-E143-4DE7-8D40-1D9258629112}"/>
    <cellStyle name="Comma 11 4 5 7 2 2" xfId="53492" xr:uid="{D5206DB2-29AB-4E4D-908F-C154884F0FC9}"/>
    <cellStyle name="Comma 11 4 5 7 3" xfId="38372" xr:uid="{DC82637B-8260-4A5B-BC5C-3B47E4FD9B85}"/>
    <cellStyle name="Comma 11 4 5 8" xfId="9644" xr:uid="{FEC0D017-2DD8-40B5-B783-B2A1FBD89A8D}"/>
    <cellStyle name="Comma 11 4 5 8 2" xfId="24764" xr:uid="{4B8BEA35-7EA5-487C-9BEF-BD7C5B823376}"/>
    <cellStyle name="Comma 11 4 5 8 2 2" xfId="55004" xr:uid="{906C1D77-6A0A-402E-A076-DB8788059217}"/>
    <cellStyle name="Comma 11 4 5 8 3" xfId="39884" xr:uid="{095EFCC9-096B-4ACA-9E35-5F993E17ACAB}"/>
    <cellStyle name="Comma 11 4 5 9" xfId="15692" xr:uid="{CAD7ED16-BA8C-4E63-A821-B423C2D69AF8}"/>
    <cellStyle name="Comma 11 4 5 9 2" xfId="45932" xr:uid="{A134BE7D-7E48-4C28-9AE0-4C4FD09BDEB8}"/>
    <cellStyle name="Comma 11 4 6" xfId="824" xr:uid="{4A3FC8DA-8C9C-4B9C-9407-8C4D82A35596}"/>
    <cellStyle name="Comma 11 4 6 2" xfId="2336" xr:uid="{F7CBE75A-824F-46C1-9A4F-EBF323F6ADB4}"/>
    <cellStyle name="Comma 11 4 6 2 2" xfId="11408" xr:uid="{45AE7380-62CE-498F-A836-58D51A782917}"/>
    <cellStyle name="Comma 11 4 6 2 2 2" xfId="26528" xr:uid="{1093B2BA-F1E1-4C0E-B78E-CE61F2899024}"/>
    <cellStyle name="Comma 11 4 6 2 2 2 2" xfId="56768" xr:uid="{6FA31942-980A-47B3-B0D0-490AB6279DCC}"/>
    <cellStyle name="Comma 11 4 6 2 2 3" xfId="41648" xr:uid="{8A0F84D2-8B4E-4FF7-BA93-EB98CD1A6A98}"/>
    <cellStyle name="Comma 11 4 6 2 3" xfId="17456" xr:uid="{5927F65D-BE81-4C26-8064-A8481596D663}"/>
    <cellStyle name="Comma 11 4 6 2 3 2" xfId="47696" xr:uid="{D8413888-D5B1-47B1-A839-646A808710BB}"/>
    <cellStyle name="Comma 11 4 6 2 4" xfId="32576" xr:uid="{A17878F2-DE3E-48DC-9E53-7CEFC836382B}"/>
    <cellStyle name="Comma 11 4 6 3" xfId="3848" xr:uid="{EB8007E6-1A2F-44FF-8617-2703257C70F3}"/>
    <cellStyle name="Comma 11 4 6 3 2" xfId="12920" xr:uid="{202D4E34-0301-4CE5-9871-D84C9CFBE06C}"/>
    <cellStyle name="Comma 11 4 6 3 2 2" xfId="28040" xr:uid="{086CB419-AE56-4502-BA08-72B6BDA0A0AC}"/>
    <cellStyle name="Comma 11 4 6 3 2 2 2" xfId="58280" xr:uid="{45C7E012-E625-4ACA-860A-0DB4CFE2909A}"/>
    <cellStyle name="Comma 11 4 6 3 2 3" xfId="43160" xr:uid="{E7ED307D-61C3-4DD6-8227-1737628814C3}"/>
    <cellStyle name="Comma 11 4 6 3 3" xfId="18968" xr:uid="{CC7BFB2C-79C7-481C-88AE-3F4661B5C5D6}"/>
    <cellStyle name="Comma 11 4 6 3 3 2" xfId="49208" xr:uid="{43B06CE9-BC4B-4096-ABA3-046FB3298EC7}"/>
    <cellStyle name="Comma 11 4 6 3 4" xfId="34088" xr:uid="{D29BDBEB-8921-4068-BDE7-7F03B3431FDA}"/>
    <cellStyle name="Comma 11 4 6 4" xfId="5360" xr:uid="{B8B8696D-569F-4C3B-A9A8-E50A0AF6F290}"/>
    <cellStyle name="Comma 11 4 6 4 2" xfId="14432" xr:uid="{8B2B5C91-E73D-41A1-8724-24A4EA6660E0}"/>
    <cellStyle name="Comma 11 4 6 4 2 2" xfId="29552" xr:uid="{1D8AF06F-D72F-43D4-B8A1-86B175729518}"/>
    <cellStyle name="Comma 11 4 6 4 2 2 2" xfId="59792" xr:uid="{23E4CCC6-59DD-45C6-8086-D0DE03D9BCC0}"/>
    <cellStyle name="Comma 11 4 6 4 2 3" xfId="44672" xr:uid="{0A0BB25D-8729-402C-8608-97A055F3090D}"/>
    <cellStyle name="Comma 11 4 6 4 3" xfId="20480" xr:uid="{0B69CE38-86BF-4F2A-9D97-A873211DF6C1}"/>
    <cellStyle name="Comma 11 4 6 4 3 2" xfId="50720" xr:uid="{45851617-EF8F-406C-8ECB-07541AC289FD}"/>
    <cellStyle name="Comma 11 4 6 4 4" xfId="35600" xr:uid="{C2F53063-771A-4D54-8C07-4E79A7567A62}"/>
    <cellStyle name="Comma 11 4 6 5" xfId="6872" xr:uid="{2F7EF11B-E936-4050-8044-735364E204F2}"/>
    <cellStyle name="Comma 11 4 6 5 2" xfId="21992" xr:uid="{89B7B3BF-A24D-46AD-89E6-0CAFFF0249EC}"/>
    <cellStyle name="Comma 11 4 6 5 2 2" xfId="52232" xr:uid="{ECFF3253-1B6E-4698-9891-71436B2230C3}"/>
    <cellStyle name="Comma 11 4 6 5 3" xfId="37112" xr:uid="{F69BD1C7-6FBE-4A03-80E2-36B7F066D9D8}"/>
    <cellStyle name="Comma 11 4 6 6" xfId="8384" xr:uid="{DF00EF58-3872-4352-AC51-C957AB78272B}"/>
    <cellStyle name="Comma 11 4 6 6 2" xfId="23504" xr:uid="{12A9F64D-FEE0-4B7E-AB43-23EF120A7600}"/>
    <cellStyle name="Comma 11 4 6 6 2 2" xfId="53744" xr:uid="{A5176A22-9BA5-45AA-A069-08E6EBF64294}"/>
    <cellStyle name="Comma 11 4 6 6 3" xfId="38624" xr:uid="{E4A81905-0F22-49AF-98C4-FFC97E160131}"/>
    <cellStyle name="Comma 11 4 6 7" xfId="9896" xr:uid="{69981F5A-FFFB-491C-96EB-928BE4DFAB7F}"/>
    <cellStyle name="Comma 11 4 6 7 2" xfId="25016" xr:uid="{E136B972-8781-4A82-98A6-CB78F5509BB5}"/>
    <cellStyle name="Comma 11 4 6 7 2 2" xfId="55256" xr:uid="{DF066983-6474-4DC1-890E-C7242D898B52}"/>
    <cellStyle name="Comma 11 4 6 7 3" xfId="40136" xr:uid="{08EE35C2-D6D7-44D1-A19B-0DE1B7489C7E}"/>
    <cellStyle name="Comma 11 4 6 8" xfId="15944" xr:uid="{A1DBA688-AB57-4692-B92E-BF6EA4D9C557}"/>
    <cellStyle name="Comma 11 4 6 8 2" xfId="46184" xr:uid="{AC17A39A-D8C1-4BD0-950F-92FCBBADF900}"/>
    <cellStyle name="Comma 11 4 6 9" xfId="31064" xr:uid="{9BBCCA3B-D563-486F-9FEB-474B12D3F927}"/>
    <cellStyle name="Comma 11 4 7" xfId="1580" xr:uid="{D69052C2-22D9-47CF-9D20-FEB31850B5F8}"/>
    <cellStyle name="Comma 11 4 7 2" xfId="10652" xr:uid="{5BB55F90-A7C2-4A16-9C90-1EC717356052}"/>
    <cellStyle name="Comma 11 4 7 2 2" xfId="25772" xr:uid="{1055FE15-809B-462B-B1E6-BE661BCBD026}"/>
    <cellStyle name="Comma 11 4 7 2 2 2" xfId="56012" xr:uid="{D7603930-BCFE-496E-A008-10FC2CE53851}"/>
    <cellStyle name="Comma 11 4 7 2 3" xfId="40892" xr:uid="{3E757BFB-5EEE-4738-A911-DACA59E8F4CF}"/>
    <cellStyle name="Comma 11 4 7 3" xfId="16700" xr:uid="{ABFA1786-FBA6-4C09-8AA0-B88201085A14}"/>
    <cellStyle name="Comma 11 4 7 3 2" xfId="46940" xr:uid="{4D485675-51DB-4379-9744-6E47445C60C9}"/>
    <cellStyle name="Comma 11 4 7 4" xfId="31820" xr:uid="{0C7A7F72-3219-4AB1-A29D-DEF88C5F527F}"/>
    <cellStyle name="Comma 11 4 8" xfId="3092" xr:uid="{513265B2-CDD4-4178-97C0-5D101F1939C7}"/>
    <cellStyle name="Comma 11 4 8 2" xfId="12164" xr:uid="{F6E46E79-9137-4E7D-9052-E44C8FC042A3}"/>
    <cellStyle name="Comma 11 4 8 2 2" xfId="27284" xr:uid="{FEFDB954-7C56-41D9-9C51-B03708917E7A}"/>
    <cellStyle name="Comma 11 4 8 2 2 2" xfId="57524" xr:uid="{3BBAC642-BEE7-4F68-98DD-F53F5DAE2D91}"/>
    <cellStyle name="Comma 11 4 8 2 3" xfId="42404" xr:uid="{797629DF-40E2-4291-A712-35403FB28CB2}"/>
    <cellStyle name="Comma 11 4 8 3" xfId="18212" xr:uid="{541DE1E4-DECA-4B14-8AE7-B74230DC39E4}"/>
    <cellStyle name="Comma 11 4 8 3 2" xfId="48452" xr:uid="{BA325B7D-DB0C-4127-B878-73A849773903}"/>
    <cellStyle name="Comma 11 4 8 4" xfId="33332" xr:uid="{C4D92C57-50A5-42D6-8E40-10EE2A698140}"/>
    <cellStyle name="Comma 11 4 9" xfId="4604" xr:uid="{96F1B900-1A91-4A80-A992-F9FD000C77E4}"/>
    <cellStyle name="Comma 11 4 9 2" xfId="13676" xr:uid="{21EFFBF4-08A3-422F-BDEC-943D92C254AC}"/>
    <cellStyle name="Comma 11 4 9 2 2" xfId="28796" xr:uid="{FF84331B-9F51-484E-AD70-6CACAB760FA7}"/>
    <cellStyle name="Comma 11 4 9 2 2 2" xfId="59036" xr:uid="{DEED0435-62FA-439B-ACEA-B8CA0E5C6C25}"/>
    <cellStyle name="Comma 11 4 9 2 3" xfId="43916" xr:uid="{F247757F-173B-448B-92E3-754903BEC067}"/>
    <cellStyle name="Comma 11 4 9 3" xfId="19724" xr:uid="{2774067B-EDF6-4149-9164-45E41B394D64}"/>
    <cellStyle name="Comma 11 4 9 3 2" xfId="49964" xr:uid="{938F29F6-6792-4147-816B-C6BECA038A8F}"/>
    <cellStyle name="Comma 11 4 9 4" xfId="34844" xr:uid="{6E939542-5DF4-434F-8EAC-40FD216858DD}"/>
    <cellStyle name="Comma 11 5" xfId="110" xr:uid="{CBA26730-D8A1-4ED6-9C1A-88F8E7DB491B}"/>
    <cellStyle name="Comma 11 5 10" xfId="9182" xr:uid="{9C89DAAA-DCB2-4508-9722-F328F3DF98AC}"/>
    <cellStyle name="Comma 11 5 10 2" xfId="24302" xr:uid="{8BA59A55-0EDA-4D38-BF87-4C796CA02DEA}"/>
    <cellStyle name="Comma 11 5 10 2 2" xfId="54542" xr:uid="{ECA0C4E0-49A0-4CC7-941B-03DCA92E9268}"/>
    <cellStyle name="Comma 11 5 10 3" xfId="39422" xr:uid="{2E5524FB-53E4-4C2B-83AD-B808E2866BA4}"/>
    <cellStyle name="Comma 11 5 11" xfId="15230" xr:uid="{3EB9319A-0EC1-42AD-9FC2-18636B0DF1C3}"/>
    <cellStyle name="Comma 11 5 11 2" xfId="45470" xr:uid="{E933F0A5-30AA-471A-B345-8EEF13B4F33F}"/>
    <cellStyle name="Comma 11 5 12" xfId="30350" xr:uid="{E183ED37-375C-4D21-9468-11473CB0A446}"/>
    <cellStyle name="Comma 11 5 2" xfId="362" xr:uid="{1C10ABB5-F7CF-4B32-BE2B-37D7F3523A6B}"/>
    <cellStyle name="Comma 11 5 2 10" xfId="30602" xr:uid="{D1A3085D-AA41-4B24-B44F-E4AD71171831}"/>
    <cellStyle name="Comma 11 5 2 2" xfId="1118" xr:uid="{A3A817E0-629A-4B39-B43D-199CE50DD5E6}"/>
    <cellStyle name="Comma 11 5 2 2 2" xfId="2630" xr:uid="{FA4DBCFD-991A-46AF-B043-54043B456813}"/>
    <cellStyle name="Comma 11 5 2 2 2 2" xfId="11702" xr:uid="{4FB85370-27E2-4AA6-B39F-BEF179FBD782}"/>
    <cellStyle name="Comma 11 5 2 2 2 2 2" xfId="26822" xr:uid="{CB0564EF-ED7D-4E3B-A96E-B4ECB4222155}"/>
    <cellStyle name="Comma 11 5 2 2 2 2 2 2" xfId="57062" xr:uid="{A6607624-95D5-4D05-913E-C00D21D72042}"/>
    <cellStyle name="Comma 11 5 2 2 2 2 3" xfId="41942" xr:uid="{6CB76A86-7D2A-470D-A18B-AEEE304D1EC9}"/>
    <cellStyle name="Comma 11 5 2 2 2 3" xfId="17750" xr:uid="{A9F0B544-D51D-465A-9979-CC7EE720977F}"/>
    <cellStyle name="Comma 11 5 2 2 2 3 2" xfId="47990" xr:uid="{7841CB94-59C1-48B2-ABC0-5E0C8EFD32C1}"/>
    <cellStyle name="Comma 11 5 2 2 2 4" xfId="32870" xr:uid="{D47E1A8B-0F25-4CB7-966C-667048B5B4C9}"/>
    <cellStyle name="Comma 11 5 2 2 3" xfId="4142" xr:uid="{E576E4AC-D81A-4C0E-A11F-D7BB14A5A3DE}"/>
    <cellStyle name="Comma 11 5 2 2 3 2" xfId="13214" xr:uid="{EF7F4136-3266-4435-8EEC-E2A090A0D5CD}"/>
    <cellStyle name="Comma 11 5 2 2 3 2 2" xfId="28334" xr:uid="{E174E521-9129-438D-A2E9-2453293DB591}"/>
    <cellStyle name="Comma 11 5 2 2 3 2 2 2" xfId="58574" xr:uid="{0E7A2FC8-7BC6-4DB6-B0B3-B019DDD6EAE8}"/>
    <cellStyle name="Comma 11 5 2 2 3 2 3" xfId="43454" xr:uid="{89B4A957-E4F1-4B60-AD62-E92ACC4BB689}"/>
    <cellStyle name="Comma 11 5 2 2 3 3" xfId="19262" xr:uid="{F62EF024-BDA6-4C0F-94B1-B6E04D5DA18F}"/>
    <cellStyle name="Comma 11 5 2 2 3 3 2" xfId="49502" xr:uid="{68F90602-9349-4BBE-A5C6-1DCB3CA81AAC}"/>
    <cellStyle name="Comma 11 5 2 2 3 4" xfId="34382" xr:uid="{BD0264C8-64D1-4B04-B91D-05721B1B9DA8}"/>
    <cellStyle name="Comma 11 5 2 2 4" xfId="5654" xr:uid="{4B09D0CF-0DE9-4437-A486-2DEE5D27F9D8}"/>
    <cellStyle name="Comma 11 5 2 2 4 2" xfId="14726" xr:uid="{0C425BD2-05CB-45D5-B259-6E2E64521963}"/>
    <cellStyle name="Comma 11 5 2 2 4 2 2" xfId="29846" xr:uid="{526BD971-69EA-4F7D-9118-99616135493F}"/>
    <cellStyle name="Comma 11 5 2 2 4 2 2 2" xfId="60086" xr:uid="{AA3AFCD0-9DBA-43FB-A7BF-22791CD2AA6E}"/>
    <cellStyle name="Comma 11 5 2 2 4 2 3" xfId="44966" xr:uid="{1556E2C7-A291-4D81-8B85-D97622D22EE6}"/>
    <cellStyle name="Comma 11 5 2 2 4 3" xfId="20774" xr:uid="{CADE5CA6-EC0A-4188-AA0B-C52232F4F66A}"/>
    <cellStyle name="Comma 11 5 2 2 4 3 2" xfId="51014" xr:uid="{A9CC4408-1E6C-4165-908C-69523C8FCFDC}"/>
    <cellStyle name="Comma 11 5 2 2 4 4" xfId="35894" xr:uid="{73B9572A-6BFE-4590-8D88-C19211192B83}"/>
    <cellStyle name="Comma 11 5 2 2 5" xfId="7166" xr:uid="{15CC2E12-9F7D-43EE-9B06-2F5C7E9A51B3}"/>
    <cellStyle name="Comma 11 5 2 2 5 2" xfId="22286" xr:uid="{8580E803-D759-4403-881A-DAAFBB1E91B2}"/>
    <cellStyle name="Comma 11 5 2 2 5 2 2" xfId="52526" xr:uid="{76FBEA7F-E6B8-4277-82CF-1C9F3AA668F7}"/>
    <cellStyle name="Comma 11 5 2 2 5 3" xfId="37406" xr:uid="{27A77D25-DB2D-467C-B322-555399F884F6}"/>
    <cellStyle name="Comma 11 5 2 2 6" xfId="8678" xr:uid="{D4EF831F-8EBA-43C4-8962-5AACF01B4442}"/>
    <cellStyle name="Comma 11 5 2 2 6 2" xfId="23798" xr:uid="{2609DA0E-5812-44E1-B1A6-9A105DD917AA}"/>
    <cellStyle name="Comma 11 5 2 2 6 2 2" xfId="54038" xr:uid="{BF8C35B7-F5B4-4C9B-95D6-9ABABCB0F6DC}"/>
    <cellStyle name="Comma 11 5 2 2 6 3" xfId="38918" xr:uid="{6426EB6B-F059-466E-8146-E3E8CCD03C59}"/>
    <cellStyle name="Comma 11 5 2 2 7" xfId="10190" xr:uid="{7DFF4CDA-6B8C-4E9B-BCD8-DE25E424EE60}"/>
    <cellStyle name="Comma 11 5 2 2 7 2" xfId="25310" xr:uid="{DCC5D645-5F57-4AA0-8B41-3DAE6C44CA8D}"/>
    <cellStyle name="Comma 11 5 2 2 7 2 2" xfId="55550" xr:uid="{B4CF7E46-87D1-43FB-AFC1-133512EF7891}"/>
    <cellStyle name="Comma 11 5 2 2 7 3" xfId="40430" xr:uid="{255EE944-275B-4BD4-8BF3-51FF2EEA2877}"/>
    <cellStyle name="Comma 11 5 2 2 8" xfId="16238" xr:uid="{42ED70FF-83B3-4D27-9920-4169ABA16BF2}"/>
    <cellStyle name="Comma 11 5 2 2 8 2" xfId="46478" xr:uid="{7DB179C8-C7AB-4C8F-A283-47A52A4484B6}"/>
    <cellStyle name="Comma 11 5 2 2 9" xfId="31358" xr:uid="{A1416754-A2B4-4509-A5D2-BFBC8D7C2F30}"/>
    <cellStyle name="Comma 11 5 2 3" xfId="1874" xr:uid="{2936E0CB-AB4D-4ED3-A0FB-EB2176751B1E}"/>
    <cellStyle name="Comma 11 5 2 3 2" xfId="10946" xr:uid="{B58C5916-0F07-4CBA-B4D6-D9C3AE76D15F}"/>
    <cellStyle name="Comma 11 5 2 3 2 2" xfId="26066" xr:uid="{AFE62A9E-0931-4720-95C7-488723B52F4C}"/>
    <cellStyle name="Comma 11 5 2 3 2 2 2" xfId="56306" xr:uid="{4AFC52E6-5277-4812-A31E-7B0A0FD0AB37}"/>
    <cellStyle name="Comma 11 5 2 3 2 3" xfId="41186" xr:uid="{9897E703-F444-4DC7-A561-06459D6762CF}"/>
    <cellStyle name="Comma 11 5 2 3 3" xfId="16994" xr:uid="{71278328-7C2E-4B95-AA71-B3EF99519B3E}"/>
    <cellStyle name="Comma 11 5 2 3 3 2" xfId="47234" xr:uid="{BAC2CD81-19AC-4B17-8CE0-CB072EB99AC5}"/>
    <cellStyle name="Comma 11 5 2 3 4" xfId="32114" xr:uid="{D8087C82-0A27-4A00-9F4F-A253AFAC8A67}"/>
    <cellStyle name="Comma 11 5 2 4" xfId="3386" xr:uid="{AC679FC1-AC47-4DBA-908C-E71382D79993}"/>
    <cellStyle name="Comma 11 5 2 4 2" xfId="12458" xr:uid="{C6760EA8-5AB9-4868-B098-688D28A84CB0}"/>
    <cellStyle name="Comma 11 5 2 4 2 2" xfId="27578" xr:uid="{B27D98DC-AC74-4994-8474-E91FB3A4F5F4}"/>
    <cellStyle name="Comma 11 5 2 4 2 2 2" xfId="57818" xr:uid="{8FAD45BE-DB6E-4700-BAA2-75D5B8BC3076}"/>
    <cellStyle name="Comma 11 5 2 4 2 3" xfId="42698" xr:uid="{B367DAAB-55F3-48D7-A7CF-58FD216BC312}"/>
    <cellStyle name="Comma 11 5 2 4 3" xfId="18506" xr:uid="{E8D5DF39-96B1-4E72-8F5D-A46696E137CE}"/>
    <cellStyle name="Comma 11 5 2 4 3 2" xfId="48746" xr:uid="{31C408D4-D70A-460B-ABD0-38981224BD4E}"/>
    <cellStyle name="Comma 11 5 2 4 4" xfId="33626" xr:uid="{69CEF199-A825-489D-837D-EA8E64EB49F0}"/>
    <cellStyle name="Comma 11 5 2 5" xfId="4898" xr:uid="{84035639-E03B-45E4-A4A9-4D7A8DD49B96}"/>
    <cellStyle name="Comma 11 5 2 5 2" xfId="13970" xr:uid="{CD4ECD8B-963D-473F-8482-AD3D41D33421}"/>
    <cellStyle name="Comma 11 5 2 5 2 2" xfId="29090" xr:uid="{D75DA923-9C1A-40DB-B148-321B9AF4679B}"/>
    <cellStyle name="Comma 11 5 2 5 2 2 2" xfId="59330" xr:uid="{069DFCD2-F47A-4822-96A6-E44749941BFE}"/>
    <cellStyle name="Comma 11 5 2 5 2 3" xfId="44210" xr:uid="{0047E003-A3F4-4BA8-AA10-AB0E23C97E60}"/>
    <cellStyle name="Comma 11 5 2 5 3" xfId="20018" xr:uid="{B9FAFC64-A189-48B2-85EF-71C8FD67284F}"/>
    <cellStyle name="Comma 11 5 2 5 3 2" xfId="50258" xr:uid="{125B2F65-F9BA-4748-9312-0B26120048D7}"/>
    <cellStyle name="Comma 11 5 2 5 4" xfId="35138" xr:uid="{1409C6D5-50BC-41CD-93DF-A910106D4F22}"/>
    <cellStyle name="Comma 11 5 2 6" xfId="6410" xr:uid="{C1CD7D2E-DB77-4F92-B23B-64C71B7A6A40}"/>
    <cellStyle name="Comma 11 5 2 6 2" xfId="21530" xr:uid="{264FA493-B4AC-4D9A-AD50-243C4451E8AD}"/>
    <cellStyle name="Comma 11 5 2 6 2 2" xfId="51770" xr:uid="{AD5A580B-0B67-40D1-A263-3D644228C1C7}"/>
    <cellStyle name="Comma 11 5 2 6 3" xfId="36650" xr:uid="{B1D75B31-5A67-432C-95A9-81618E3B023F}"/>
    <cellStyle name="Comma 11 5 2 7" xfId="7922" xr:uid="{D83FE0E3-8DE3-4966-9B7F-DEC5F7E8ED55}"/>
    <cellStyle name="Comma 11 5 2 7 2" xfId="23042" xr:uid="{70AC26D3-F670-401B-93A9-D12EEF93BBFD}"/>
    <cellStyle name="Comma 11 5 2 7 2 2" xfId="53282" xr:uid="{E35B63D0-A3C9-4EA2-943A-F96A401BB304}"/>
    <cellStyle name="Comma 11 5 2 7 3" xfId="38162" xr:uid="{9B6B7430-4D78-4865-83C7-BD2B73B4B635}"/>
    <cellStyle name="Comma 11 5 2 8" xfId="9434" xr:uid="{9AE067F6-07B8-4EDD-AAC8-74BA341C630E}"/>
    <cellStyle name="Comma 11 5 2 8 2" xfId="24554" xr:uid="{20434102-36E0-45E7-B7B4-5CC35DFD5CAC}"/>
    <cellStyle name="Comma 11 5 2 8 2 2" xfId="54794" xr:uid="{20C6A251-166D-4CD0-84DE-CA964430CC5E}"/>
    <cellStyle name="Comma 11 5 2 8 3" xfId="39674" xr:uid="{460AE677-BF8C-49E6-91D9-23485C5AA11A}"/>
    <cellStyle name="Comma 11 5 2 9" xfId="15482" xr:uid="{A14513E3-0420-4D51-A40D-6938FA09F345}"/>
    <cellStyle name="Comma 11 5 2 9 2" xfId="45722" xr:uid="{26F83FA9-C865-4A8B-A001-CA0A20964CB8}"/>
    <cellStyle name="Comma 11 5 3" xfId="614" xr:uid="{6E3A7400-CB42-43BB-91EF-A45B78BC2228}"/>
    <cellStyle name="Comma 11 5 3 10" xfId="30854" xr:uid="{09A9E15E-4838-42F0-8CE0-3373FF5740C6}"/>
    <cellStyle name="Comma 11 5 3 2" xfId="1370" xr:uid="{17C77E9C-0594-49B0-934B-0AD0B27B2817}"/>
    <cellStyle name="Comma 11 5 3 2 2" xfId="2882" xr:uid="{EEFA42F5-6FA9-4BE5-9474-7C2DBE76DC4E}"/>
    <cellStyle name="Comma 11 5 3 2 2 2" xfId="11954" xr:uid="{6880B689-66E6-4092-AF59-3667F75FE007}"/>
    <cellStyle name="Comma 11 5 3 2 2 2 2" xfId="27074" xr:uid="{B4F3142B-AD88-4A24-A3E6-55543834F6C6}"/>
    <cellStyle name="Comma 11 5 3 2 2 2 2 2" xfId="57314" xr:uid="{1152C032-515A-4160-9055-A5D3C14E4DB8}"/>
    <cellStyle name="Comma 11 5 3 2 2 2 3" xfId="42194" xr:uid="{D6E05C01-AF2B-4D4E-BA82-2BAD42090863}"/>
    <cellStyle name="Comma 11 5 3 2 2 3" xfId="18002" xr:uid="{AFA5E565-2469-4D91-9950-D50EAF5A0810}"/>
    <cellStyle name="Comma 11 5 3 2 2 3 2" xfId="48242" xr:uid="{2E85FAD3-F82A-453A-B8FF-4162DF36CBDD}"/>
    <cellStyle name="Comma 11 5 3 2 2 4" xfId="33122" xr:uid="{FDCCD2F9-445B-4E45-B8DD-B6584DDA6283}"/>
    <cellStyle name="Comma 11 5 3 2 3" xfId="4394" xr:uid="{E2D199DD-0517-45A7-9602-A457B3E844DC}"/>
    <cellStyle name="Comma 11 5 3 2 3 2" xfId="13466" xr:uid="{735002C8-42A7-4FDB-857B-62CDFEB3E17B}"/>
    <cellStyle name="Comma 11 5 3 2 3 2 2" xfId="28586" xr:uid="{2B99FD3B-C668-4D29-91A4-495858D8C28A}"/>
    <cellStyle name="Comma 11 5 3 2 3 2 2 2" xfId="58826" xr:uid="{889FE0E2-436E-4038-9077-47D4688D8684}"/>
    <cellStyle name="Comma 11 5 3 2 3 2 3" xfId="43706" xr:uid="{C1FAB506-9112-4681-8835-0784BEF48B59}"/>
    <cellStyle name="Comma 11 5 3 2 3 3" xfId="19514" xr:uid="{6AB1BDD6-EDB9-40D3-BDB7-FBFD2A55DBB7}"/>
    <cellStyle name="Comma 11 5 3 2 3 3 2" xfId="49754" xr:uid="{B2B25E0E-71CE-4B23-BE00-91A292B011C3}"/>
    <cellStyle name="Comma 11 5 3 2 3 4" xfId="34634" xr:uid="{26250D11-3FDF-4E71-97E6-FAA01DE8DAD1}"/>
    <cellStyle name="Comma 11 5 3 2 4" xfId="5906" xr:uid="{32582A30-4EF0-4B7C-A398-7CB96C28E530}"/>
    <cellStyle name="Comma 11 5 3 2 4 2" xfId="14978" xr:uid="{3970B690-A846-4A74-AE5E-F97CB20F7FBD}"/>
    <cellStyle name="Comma 11 5 3 2 4 2 2" xfId="30098" xr:uid="{1747E072-1BC2-44E8-8D70-6FFBEF2AF27C}"/>
    <cellStyle name="Comma 11 5 3 2 4 2 2 2" xfId="60338" xr:uid="{EB2C8077-3A38-4AB5-8818-7CDD19C150A9}"/>
    <cellStyle name="Comma 11 5 3 2 4 2 3" xfId="45218" xr:uid="{B49F2540-B7E6-471E-9217-29A4D6C846EB}"/>
    <cellStyle name="Comma 11 5 3 2 4 3" xfId="21026" xr:uid="{BC3C9CA5-4218-4F8A-813C-A01C491AB451}"/>
    <cellStyle name="Comma 11 5 3 2 4 3 2" xfId="51266" xr:uid="{AEEFAF0B-784C-45C1-BF2F-8029042C89B9}"/>
    <cellStyle name="Comma 11 5 3 2 4 4" xfId="36146" xr:uid="{9B687787-4C7D-4CFF-8F85-467370DD9904}"/>
    <cellStyle name="Comma 11 5 3 2 5" xfId="7418" xr:uid="{05D3A703-EA47-4A91-956E-E6D40092972E}"/>
    <cellStyle name="Comma 11 5 3 2 5 2" xfId="22538" xr:uid="{2BFE14C6-34DF-4BDF-91FB-F9C852242BAB}"/>
    <cellStyle name="Comma 11 5 3 2 5 2 2" xfId="52778" xr:uid="{3C974DF9-BBBB-49E1-A080-93F24AA78554}"/>
    <cellStyle name="Comma 11 5 3 2 5 3" xfId="37658" xr:uid="{3CFDD4E9-1A7E-44E7-B998-7CABFA0BBE6C}"/>
    <cellStyle name="Comma 11 5 3 2 6" xfId="8930" xr:uid="{CDE758AA-F012-43D4-9A0F-7502D1653451}"/>
    <cellStyle name="Comma 11 5 3 2 6 2" xfId="24050" xr:uid="{6189E241-A8F8-4E95-8D79-A577776EDC1B}"/>
    <cellStyle name="Comma 11 5 3 2 6 2 2" xfId="54290" xr:uid="{097AA192-70F4-4681-BB9F-8DFF5EB9B2A5}"/>
    <cellStyle name="Comma 11 5 3 2 6 3" xfId="39170" xr:uid="{55BC3B82-3351-4702-ABBE-36BDD95C334E}"/>
    <cellStyle name="Comma 11 5 3 2 7" xfId="10442" xr:uid="{4F7AFF08-878C-492C-BDA3-2FB1C765E44F}"/>
    <cellStyle name="Comma 11 5 3 2 7 2" xfId="25562" xr:uid="{16ECA23A-43F6-48C5-841C-556922391C5C}"/>
    <cellStyle name="Comma 11 5 3 2 7 2 2" xfId="55802" xr:uid="{2F5B7BE5-5000-40F9-AD02-534539A15FE3}"/>
    <cellStyle name="Comma 11 5 3 2 7 3" xfId="40682" xr:uid="{D762DE7D-6AD9-4997-B928-B13E43128D63}"/>
    <cellStyle name="Comma 11 5 3 2 8" xfId="16490" xr:uid="{773F632F-540E-452F-859B-F30EC4771BC5}"/>
    <cellStyle name="Comma 11 5 3 2 8 2" xfId="46730" xr:uid="{CB0ECA13-C9AD-4C65-921D-89E1B54A0D82}"/>
    <cellStyle name="Comma 11 5 3 2 9" xfId="31610" xr:uid="{7A651C0D-32F2-42DF-B609-9A87B4F8BE14}"/>
    <cellStyle name="Comma 11 5 3 3" xfId="2126" xr:uid="{037F3898-C705-485F-A055-44158106492F}"/>
    <cellStyle name="Comma 11 5 3 3 2" xfId="11198" xr:uid="{353CC791-805F-4905-90B1-CB4A4AD8A3DB}"/>
    <cellStyle name="Comma 11 5 3 3 2 2" xfId="26318" xr:uid="{5747181B-2B69-4BA5-8422-7F1DDE03C7A0}"/>
    <cellStyle name="Comma 11 5 3 3 2 2 2" xfId="56558" xr:uid="{19E5A5FF-9D2F-4554-9316-30FD50CD911A}"/>
    <cellStyle name="Comma 11 5 3 3 2 3" xfId="41438" xr:uid="{CF61FC6D-EA2D-4195-AA96-19C3D4204FA7}"/>
    <cellStyle name="Comma 11 5 3 3 3" xfId="17246" xr:uid="{6868D304-0CF9-463B-9DE2-4F38AD85A9B4}"/>
    <cellStyle name="Comma 11 5 3 3 3 2" xfId="47486" xr:uid="{805D8DF0-FFB3-4DBE-9537-9A0F93DDF37E}"/>
    <cellStyle name="Comma 11 5 3 3 4" xfId="32366" xr:uid="{5F366506-582E-4B1D-A1F1-D6AFE237EAFB}"/>
    <cellStyle name="Comma 11 5 3 4" xfId="3638" xr:uid="{4FD397A1-9C88-4ACF-9A8C-A47D8D8198D0}"/>
    <cellStyle name="Comma 11 5 3 4 2" xfId="12710" xr:uid="{25D3F764-E12C-47C9-AA71-78BE435B976D}"/>
    <cellStyle name="Comma 11 5 3 4 2 2" xfId="27830" xr:uid="{2F79ABD7-2C6C-4703-8517-580CC8686CF6}"/>
    <cellStyle name="Comma 11 5 3 4 2 2 2" xfId="58070" xr:uid="{D326BF55-04D6-4B64-AA2E-5FE98D6BFFD5}"/>
    <cellStyle name="Comma 11 5 3 4 2 3" xfId="42950" xr:uid="{949C165C-5A58-4CD5-BC10-FCDEE6BE55B8}"/>
    <cellStyle name="Comma 11 5 3 4 3" xfId="18758" xr:uid="{7E41F799-3DD1-4CEE-B38D-3E1B66BC85CF}"/>
    <cellStyle name="Comma 11 5 3 4 3 2" xfId="48998" xr:uid="{B01BCAB7-2179-45D3-9204-B232C75EFA19}"/>
    <cellStyle name="Comma 11 5 3 4 4" xfId="33878" xr:uid="{39AA54DF-9B78-4F44-8B83-CF03A34CC291}"/>
    <cellStyle name="Comma 11 5 3 5" xfId="5150" xr:uid="{8B918436-02B3-4FBC-80AA-0049B2518036}"/>
    <cellStyle name="Comma 11 5 3 5 2" xfId="14222" xr:uid="{09638055-D3C2-4582-9E0C-1B0E2670A65B}"/>
    <cellStyle name="Comma 11 5 3 5 2 2" xfId="29342" xr:uid="{B0D29A4A-DFFD-4DFF-AD3F-E3FED5564A27}"/>
    <cellStyle name="Comma 11 5 3 5 2 2 2" xfId="59582" xr:uid="{F62CC200-B443-41F5-813C-5A5DA1905E97}"/>
    <cellStyle name="Comma 11 5 3 5 2 3" xfId="44462" xr:uid="{1730401C-BC8F-458D-9135-7C5AD243DF7C}"/>
    <cellStyle name="Comma 11 5 3 5 3" xfId="20270" xr:uid="{69C0F447-9FE6-47E2-9670-FAF6E06C1DE9}"/>
    <cellStyle name="Comma 11 5 3 5 3 2" xfId="50510" xr:uid="{5C526CCD-F023-4BC5-AC05-E7CDD314607E}"/>
    <cellStyle name="Comma 11 5 3 5 4" xfId="35390" xr:uid="{7CAFFF14-213A-4044-912E-C0BF25AE22E7}"/>
    <cellStyle name="Comma 11 5 3 6" xfId="6662" xr:uid="{4D2D5268-4894-46EB-A9FA-7BC90B868CDB}"/>
    <cellStyle name="Comma 11 5 3 6 2" xfId="21782" xr:uid="{7133B4F5-5290-4B50-991B-716EB6867DEB}"/>
    <cellStyle name="Comma 11 5 3 6 2 2" xfId="52022" xr:uid="{20989CC5-7532-4AD0-964E-C62107524FE9}"/>
    <cellStyle name="Comma 11 5 3 6 3" xfId="36902" xr:uid="{E4413758-C0C0-4503-B860-984BB72FD7DC}"/>
    <cellStyle name="Comma 11 5 3 7" xfId="8174" xr:uid="{6361FBD5-3D1F-49EB-B388-82CFFACB3198}"/>
    <cellStyle name="Comma 11 5 3 7 2" xfId="23294" xr:uid="{BD643EF1-B389-4AAE-A78B-7C9260EC2ACC}"/>
    <cellStyle name="Comma 11 5 3 7 2 2" xfId="53534" xr:uid="{B60EC9CC-96CD-4906-A5DD-880E6656FFB6}"/>
    <cellStyle name="Comma 11 5 3 7 3" xfId="38414" xr:uid="{025E0D92-17CE-4BFD-843C-64D81C7DA0EE}"/>
    <cellStyle name="Comma 11 5 3 8" xfId="9686" xr:uid="{B30173B0-E4C5-4E33-91F3-6B4C5FC893BA}"/>
    <cellStyle name="Comma 11 5 3 8 2" xfId="24806" xr:uid="{C500838C-469E-4A15-9B31-ECC96D846272}"/>
    <cellStyle name="Comma 11 5 3 8 2 2" xfId="55046" xr:uid="{774D8C44-00C7-4FC7-8273-77BA2C6262A0}"/>
    <cellStyle name="Comma 11 5 3 8 3" xfId="39926" xr:uid="{800CC438-53AD-43F4-9FCE-854B1821EA0B}"/>
    <cellStyle name="Comma 11 5 3 9" xfId="15734" xr:uid="{54A2A65C-5410-49B5-A9B3-3018FFFB6047}"/>
    <cellStyle name="Comma 11 5 3 9 2" xfId="45974" xr:uid="{FE883B62-2374-4BD9-963D-77175B39F1FC}"/>
    <cellStyle name="Comma 11 5 4" xfId="866" xr:uid="{0D756605-DDE4-4F5A-8C75-688D67680D58}"/>
    <cellStyle name="Comma 11 5 4 2" xfId="2378" xr:uid="{B563DD8E-111A-4584-9490-435865A13210}"/>
    <cellStyle name="Comma 11 5 4 2 2" xfId="11450" xr:uid="{EF6B9821-9DCD-48F1-9F18-7910EB2681E4}"/>
    <cellStyle name="Comma 11 5 4 2 2 2" xfId="26570" xr:uid="{7A774B0F-F8E3-4316-9546-CBC0CDFD3711}"/>
    <cellStyle name="Comma 11 5 4 2 2 2 2" xfId="56810" xr:uid="{06DFA715-C83E-490A-B31A-7524D6700F98}"/>
    <cellStyle name="Comma 11 5 4 2 2 3" xfId="41690" xr:uid="{ED962E1B-2BD3-408A-AA03-B2E8E64EEB01}"/>
    <cellStyle name="Comma 11 5 4 2 3" xfId="17498" xr:uid="{FDAE7E06-7FE0-4575-97DD-338A1C26FB15}"/>
    <cellStyle name="Comma 11 5 4 2 3 2" xfId="47738" xr:uid="{688EF6C4-4515-47A8-897B-75E19F88DCF9}"/>
    <cellStyle name="Comma 11 5 4 2 4" xfId="32618" xr:uid="{F46C009C-C034-4FB9-A893-F1149AA79B9C}"/>
    <cellStyle name="Comma 11 5 4 3" xfId="3890" xr:uid="{70A10DCA-CFDE-4D34-88E7-E1BB993815BE}"/>
    <cellStyle name="Comma 11 5 4 3 2" xfId="12962" xr:uid="{BD3DC69B-88A8-4153-9486-29A6D22B86D1}"/>
    <cellStyle name="Comma 11 5 4 3 2 2" xfId="28082" xr:uid="{F300FB63-3444-43F3-B5D2-65C1A351C181}"/>
    <cellStyle name="Comma 11 5 4 3 2 2 2" xfId="58322" xr:uid="{3563167A-8D1B-475B-92A3-5E7B4C88EC84}"/>
    <cellStyle name="Comma 11 5 4 3 2 3" xfId="43202" xr:uid="{7F18CCE8-76E2-4762-98D9-63384E0D3AC1}"/>
    <cellStyle name="Comma 11 5 4 3 3" xfId="19010" xr:uid="{DD41A3B2-A10B-41A8-B872-0F002B2961FF}"/>
    <cellStyle name="Comma 11 5 4 3 3 2" xfId="49250" xr:uid="{DB4CD587-60DD-4531-A634-EE523F6A0B88}"/>
    <cellStyle name="Comma 11 5 4 3 4" xfId="34130" xr:uid="{567747A0-4B99-43A1-A6AC-EBFE9C2766C8}"/>
    <cellStyle name="Comma 11 5 4 4" xfId="5402" xr:uid="{F12E988D-85F9-4D25-9D81-4D2F443B013E}"/>
    <cellStyle name="Comma 11 5 4 4 2" xfId="14474" xr:uid="{0CED3B35-831A-4120-B84C-03D60AF2E642}"/>
    <cellStyle name="Comma 11 5 4 4 2 2" xfId="29594" xr:uid="{382075C6-D0A2-4143-9038-7840F5251A92}"/>
    <cellStyle name="Comma 11 5 4 4 2 2 2" xfId="59834" xr:uid="{4D3B6B0F-09AA-4741-954F-F1C86D800E9A}"/>
    <cellStyle name="Comma 11 5 4 4 2 3" xfId="44714" xr:uid="{6D1E53CB-1BCF-434F-9946-2657AEC5961B}"/>
    <cellStyle name="Comma 11 5 4 4 3" xfId="20522" xr:uid="{491AC003-67AF-4C11-A2B2-DFA395570D9A}"/>
    <cellStyle name="Comma 11 5 4 4 3 2" xfId="50762" xr:uid="{16F2DECC-9866-4E89-A369-A486D7C70D1F}"/>
    <cellStyle name="Comma 11 5 4 4 4" xfId="35642" xr:uid="{9A84656E-B30D-4D76-83CE-1E6C4B1E0BA4}"/>
    <cellStyle name="Comma 11 5 4 5" xfId="6914" xr:uid="{3750B088-49FC-42B5-ACD7-DE967AB62000}"/>
    <cellStyle name="Comma 11 5 4 5 2" xfId="22034" xr:uid="{3E980040-1C7C-460F-B704-1C48E74290B0}"/>
    <cellStyle name="Comma 11 5 4 5 2 2" xfId="52274" xr:uid="{899FA411-0F02-4A41-A15D-3A73960D4528}"/>
    <cellStyle name="Comma 11 5 4 5 3" xfId="37154" xr:uid="{79A83D4C-742F-41EA-A5C1-98A2060C4AAD}"/>
    <cellStyle name="Comma 11 5 4 6" xfId="8426" xr:uid="{05BEF0C5-5E25-4995-B0FF-1B7A9B026C76}"/>
    <cellStyle name="Comma 11 5 4 6 2" xfId="23546" xr:uid="{FF8B664D-FD28-4EF9-863D-3FD101B9EF51}"/>
    <cellStyle name="Comma 11 5 4 6 2 2" xfId="53786" xr:uid="{4AE915A9-910F-48D8-A2A9-3E358A00B3E9}"/>
    <cellStyle name="Comma 11 5 4 6 3" xfId="38666" xr:uid="{03B11CB2-89BE-4B98-95C1-47E39D6C5658}"/>
    <cellStyle name="Comma 11 5 4 7" xfId="9938" xr:uid="{15974035-4BCE-4974-963F-1DE8BCD2BD43}"/>
    <cellStyle name="Comma 11 5 4 7 2" xfId="25058" xr:uid="{EDDE82E8-CEB8-4B77-8663-6D89419815F5}"/>
    <cellStyle name="Comma 11 5 4 7 2 2" xfId="55298" xr:uid="{1131BCD5-79AA-4942-B552-21AA30B478AD}"/>
    <cellStyle name="Comma 11 5 4 7 3" xfId="40178" xr:uid="{3291A0DF-2118-4B39-BD31-DD962DFE726E}"/>
    <cellStyle name="Comma 11 5 4 8" xfId="15986" xr:uid="{799D6C94-FA42-4E69-B457-42E476328184}"/>
    <cellStyle name="Comma 11 5 4 8 2" xfId="46226" xr:uid="{A38E8D8E-5FA9-4E5C-BC63-94C089120E00}"/>
    <cellStyle name="Comma 11 5 4 9" xfId="31106" xr:uid="{242BCEDC-20A2-4ABC-8AC2-93992BAD1D68}"/>
    <cellStyle name="Comma 11 5 5" xfId="1622" xr:uid="{15BBD863-C439-4D2D-A00D-BE66194B16A8}"/>
    <cellStyle name="Comma 11 5 5 2" xfId="10694" xr:uid="{09C59442-EFEB-4F3E-A67B-50D8386C587B}"/>
    <cellStyle name="Comma 11 5 5 2 2" xfId="25814" xr:uid="{B0670D1D-D67B-4837-AA4E-DFFC73028DDE}"/>
    <cellStyle name="Comma 11 5 5 2 2 2" xfId="56054" xr:uid="{D9182216-03DD-453A-B4BD-529CB11D1F5B}"/>
    <cellStyle name="Comma 11 5 5 2 3" xfId="40934" xr:uid="{015168AF-60E7-4FB1-A272-36A9CBB9FB89}"/>
    <cellStyle name="Comma 11 5 5 3" xfId="16742" xr:uid="{A7220260-74C0-476D-BD3D-44F83E30F827}"/>
    <cellStyle name="Comma 11 5 5 3 2" xfId="46982" xr:uid="{5B5224F0-027F-420F-9234-A73C457EB74F}"/>
    <cellStyle name="Comma 11 5 5 4" xfId="31862" xr:uid="{60F76D59-C873-4BE6-8D24-1FF3FFEC7F31}"/>
    <cellStyle name="Comma 11 5 6" xfId="3134" xr:uid="{BCC17D8D-B959-4EF1-8A67-F24080E98CEC}"/>
    <cellStyle name="Comma 11 5 6 2" xfId="12206" xr:uid="{1E8B44F6-41E3-45E9-8203-E42344FD6D1F}"/>
    <cellStyle name="Comma 11 5 6 2 2" xfId="27326" xr:uid="{FA06D03D-B092-4562-AAFC-7E1212945925}"/>
    <cellStyle name="Comma 11 5 6 2 2 2" xfId="57566" xr:uid="{2DFDA12F-D573-43A4-9323-81AA6887E140}"/>
    <cellStyle name="Comma 11 5 6 2 3" xfId="42446" xr:uid="{E26F18F6-E93B-4FF8-875B-C4119B30B80A}"/>
    <cellStyle name="Comma 11 5 6 3" xfId="18254" xr:uid="{0CC40F71-DD3D-49F3-BB9C-69EED01A89E0}"/>
    <cellStyle name="Comma 11 5 6 3 2" xfId="48494" xr:uid="{5664A8D9-DAFF-430A-81E6-64B177C9DDAC}"/>
    <cellStyle name="Comma 11 5 6 4" xfId="33374" xr:uid="{FCAF484A-3654-4489-88B7-472F8FA131A9}"/>
    <cellStyle name="Comma 11 5 7" xfId="4646" xr:uid="{8F3DC013-02CD-41D4-BC5E-FEF7DD39C41B}"/>
    <cellStyle name="Comma 11 5 7 2" xfId="13718" xr:uid="{DEFC439A-E0E0-4507-9EAB-390D4FC74C8B}"/>
    <cellStyle name="Comma 11 5 7 2 2" xfId="28838" xr:uid="{77B5DA52-D8CF-4CD3-A567-0F47544582A0}"/>
    <cellStyle name="Comma 11 5 7 2 2 2" xfId="59078" xr:uid="{9347A214-0B3E-4A48-8750-2F05CD960179}"/>
    <cellStyle name="Comma 11 5 7 2 3" xfId="43958" xr:uid="{522CC073-9BE6-4238-A1D5-A6E165C9AF29}"/>
    <cellStyle name="Comma 11 5 7 3" xfId="19766" xr:uid="{FB79B783-8213-4712-956B-7FD59E43103C}"/>
    <cellStyle name="Comma 11 5 7 3 2" xfId="50006" xr:uid="{B9FCCD04-918A-4A82-AFE8-E099739CD885}"/>
    <cellStyle name="Comma 11 5 7 4" xfId="34886" xr:uid="{756C529B-144C-4247-A0BD-458DF886419D}"/>
    <cellStyle name="Comma 11 5 8" xfId="6158" xr:uid="{551E3921-BF73-4A64-B32F-F5CBAAB482DC}"/>
    <cellStyle name="Comma 11 5 8 2" xfId="21278" xr:uid="{5BE53D55-5F5B-4471-9426-C029ED677184}"/>
    <cellStyle name="Comma 11 5 8 2 2" xfId="51518" xr:uid="{56E6A7E5-FB6D-42F5-B874-15538D88DDB5}"/>
    <cellStyle name="Comma 11 5 8 3" xfId="36398" xr:uid="{E21E575C-F277-4B79-9994-1C05229115C0}"/>
    <cellStyle name="Comma 11 5 9" xfId="7670" xr:uid="{A2E93152-7CC4-49D2-A624-5F0F60A81BF9}"/>
    <cellStyle name="Comma 11 5 9 2" xfId="22790" xr:uid="{FC10F9BA-119C-431A-BB31-6C937E7F239B}"/>
    <cellStyle name="Comma 11 5 9 2 2" xfId="53030" xr:uid="{9C1B8D3D-6E8D-48FE-80F1-3CF059CA59A8}"/>
    <cellStyle name="Comma 11 5 9 3" xfId="37910" xr:uid="{3A6FE149-BA4C-4F6F-B539-8EFFCC310AC4}"/>
    <cellStyle name="Comma 11 6" xfId="194" xr:uid="{2326949B-88C8-4F19-A299-9C92064BA5B1}"/>
    <cellStyle name="Comma 11 6 10" xfId="9266" xr:uid="{C9B1FF8E-7FB0-464C-BF6F-0DA219C7B654}"/>
    <cellStyle name="Comma 11 6 10 2" xfId="24386" xr:uid="{295810FE-AF07-4727-8860-88257AE2359E}"/>
    <cellStyle name="Comma 11 6 10 2 2" xfId="54626" xr:uid="{0E3390CF-4BC4-4818-A10B-CF3DB257DB40}"/>
    <cellStyle name="Comma 11 6 10 3" xfId="39506" xr:uid="{5026F453-85A1-40FD-8F02-4F1536F6774D}"/>
    <cellStyle name="Comma 11 6 11" xfId="15314" xr:uid="{E3F68BEE-243B-4734-B21B-841B65814331}"/>
    <cellStyle name="Comma 11 6 11 2" xfId="45554" xr:uid="{47B0D7CC-6485-4DA8-B2FA-4215E10E3FD1}"/>
    <cellStyle name="Comma 11 6 12" xfId="30434" xr:uid="{1DAE294B-5D6A-4CC2-AAC9-F48B099A4EB2}"/>
    <cellStyle name="Comma 11 6 2" xfId="446" xr:uid="{5D2575B8-52C0-4281-9FD7-F25734E05E11}"/>
    <cellStyle name="Comma 11 6 2 10" xfId="30686" xr:uid="{37063590-3827-480F-9986-D0ED23D9218A}"/>
    <cellStyle name="Comma 11 6 2 2" xfId="1202" xr:uid="{349F592F-D629-4CBE-BFA0-928FB8A5411E}"/>
    <cellStyle name="Comma 11 6 2 2 2" xfId="2714" xr:uid="{214CF715-58EC-4A2D-928B-37BF5DD569D1}"/>
    <cellStyle name="Comma 11 6 2 2 2 2" xfId="11786" xr:uid="{74F5E757-8B49-42B5-9969-0AD9A24251F7}"/>
    <cellStyle name="Comma 11 6 2 2 2 2 2" xfId="26906" xr:uid="{98194EA4-97EC-4A77-A439-4B510CC8C8E2}"/>
    <cellStyle name="Comma 11 6 2 2 2 2 2 2" xfId="57146" xr:uid="{9FAE09A1-84F0-4156-84C5-94AA5C73472F}"/>
    <cellStyle name="Comma 11 6 2 2 2 2 3" xfId="42026" xr:uid="{654C2F9C-AF3E-4CC6-B87E-EF2145EC8164}"/>
    <cellStyle name="Comma 11 6 2 2 2 3" xfId="17834" xr:uid="{BA840A53-BCD5-4B3E-B6B6-AE770D359F7B}"/>
    <cellStyle name="Comma 11 6 2 2 2 3 2" xfId="48074" xr:uid="{6D5444A6-BE39-447F-90E1-F1F201120333}"/>
    <cellStyle name="Comma 11 6 2 2 2 4" xfId="32954" xr:uid="{D8DB351E-0728-4C98-A14D-64D4DBF94EA4}"/>
    <cellStyle name="Comma 11 6 2 2 3" xfId="4226" xr:uid="{884C899C-B9D4-4140-86DD-713F0B236B37}"/>
    <cellStyle name="Comma 11 6 2 2 3 2" xfId="13298" xr:uid="{350D0203-F719-4FFD-A511-B785CDBF594B}"/>
    <cellStyle name="Comma 11 6 2 2 3 2 2" xfId="28418" xr:uid="{EEABCFB9-8F5D-4B3A-A940-DDCA5E3B3C37}"/>
    <cellStyle name="Comma 11 6 2 2 3 2 2 2" xfId="58658" xr:uid="{FAAFD198-BB46-43A2-9B76-A5FD442BA05B}"/>
    <cellStyle name="Comma 11 6 2 2 3 2 3" xfId="43538" xr:uid="{EB26AFFA-7323-4D1B-B37B-F6800C61D9A2}"/>
    <cellStyle name="Comma 11 6 2 2 3 3" xfId="19346" xr:uid="{5C0DDB03-EFEE-4ECB-BD42-46A8315E9E69}"/>
    <cellStyle name="Comma 11 6 2 2 3 3 2" xfId="49586" xr:uid="{565F59EC-D397-4112-81BF-895FF58DBAC9}"/>
    <cellStyle name="Comma 11 6 2 2 3 4" xfId="34466" xr:uid="{442EC449-1B6E-405D-91D3-C7CCC00695BF}"/>
    <cellStyle name="Comma 11 6 2 2 4" xfId="5738" xr:uid="{86B2F792-EDC8-41A7-B1EF-3E577CFC9D9B}"/>
    <cellStyle name="Comma 11 6 2 2 4 2" xfId="14810" xr:uid="{3B2B26ED-6046-473A-9F9B-C0DD7CAB0B7E}"/>
    <cellStyle name="Comma 11 6 2 2 4 2 2" xfId="29930" xr:uid="{BDCA253C-D009-449A-8E1A-1A313229CD4E}"/>
    <cellStyle name="Comma 11 6 2 2 4 2 2 2" xfId="60170" xr:uid="{AC21E8C3-148E-4A9C-92DD-8F57584DE61E}"/>
    <cellStyle name="Comma 11 6 2 2 4 2 3" xfId="45050" xr:uid="{ADED402C-5089-4212-80B3-B99CE222EB85}"/>
    <cellStyle name="Comma 11 6 2 2 4 3" xfId="20858" xr:uid="{9D14C734-FF0C-4B6A-A108-EBF498E254BC}"/>
    <cellStyle name="Comma 11 6 2 2 4 3 2" xfId="51098" xr:uid="{6A6CA1F8-2308-4D7B-B88E-157A01CC7A20}"/>
    <cellStyle name="Comma 11 6 2 2 4 4" xfId="35978" xr:uid="{6B04C6EE-12BB-4D8C-A39E-B57BA4FF8A01}"/>
    <cellStyle name="Comma 11 6 2 2 5" xfId="7250" xr:uid="{7FD1F25C-A237-483E-BDC6-926AF3AEFE87}"/>
    <cellStyle name="Comma 11 6 2 2 5 2" xfId="22370" xr:uid="{9A121B4E-02B4-4D18-A336-7B8AE3084BE9}"/>
    <cellStyle name="Comma 11 6 2 2 5 2 2" xfId="52610" xr:uid="{87F165C4-908B-4984-8DEB-67E57B6743F3}"/>
    <cellStyle name="Comma 11 6 2 2 5 3" xfId="37490" xr:uid="{FD0542EE-D061-4CCC-978A-9C1D1625F31B}"/>
    <cellStyle name="Comma 11 6 2 2 6" xfId="8762" xr:uid="{6217BD14-0BF2-41EB-9CA9-27E5DA024779}"/>
    <cellStyle name="Comma 11 6 2 2 6 2" xfId="23882" xr:uid="{90F26B67-5A78-4BEE-B932-637A4636C1D5}"/>
    <cellStyle name="Comma 11 6 2 2 6 2 2" xfId="54122" xr:uid="{D4129B89-590C-4023-9068-974706C2C1B1}"/>
    <cellStyle name="Comma 11 6 2 2 6 3" xfId="39002" xr:uid="{9236C3D7-AC08-45A3-A164-BB3DD3C1910E}"/>
    <cellStyle name="Comma 11 6 2 2 7" xfId="10274" xr:uid="{37567346-9276-40AC-A151-73A894FD2CE9}"/>
    <cellStyle name="Comma 11 6 2 2 7 2" xfId="25394" xr:uid="{47F7D2BD-1904-4BFA-BF9F-DC1584555FD8}"/>
    <cellStyle name="Comma 11 6 2 2 7 2 2" xfId="55634" xr:uid="{4CCDFF18-A623-463B-9154-C702543446D2}"/>
    <cellStyle name="Comma 11 6 2 2 7 3" xfId="40514" xr:uid="{2F3E9990-FADC-4955-9E17-DF4E6E8557EB}"/>
    <cellStyle name="Comma 11 6 2 2 8" xfId="16322" xr:uid="{EE673E3E-3B87-4585-8B96-55BC60C3BC9C}"/>
    <cellStyle name="Comma 11 6 2 2 8 2" xfId="46562" xr:uid="{00AEE578-3D5A-49BC-BB0C-44E2383789D5}"/>
    <cellStyle name="Comma 11 6 2 2 9" xfId="31442" xr:uid="{239381F8-413B-4E45-8999-F65A99188C5E}"/>
    <cellStyle name="Comma 11 6 2 3" xfId="1958" xr:uid="{CC2A7745-8D0A-4DF8-80E6-897BF534C021}"/>
    <cellStyle name="Comma 11 6 2 3 2" xfId="11030" xr:uid="{B8410C81-7AE6-409F-BE70-A8A42FB769AF}"/>
    <cellStyle name="Comma 11 6 2 3 2 2" xfId="26150" xr:uid="{11A351B2-7E1D-4783-B6F7-D6D5568E08C8}"/>
    <cellStyle name="Comma 11 6 2 3 2 2 2" xfId="56390" xr:uid="{78D105F4-2B69-410B-A0C9-8A3B1599946A}"/>
    <cellStyle name="Comma 11 6 2 3 2 3" xfId="41270" xr:uid="{5D3D21AF-10DA-4451-979D-9AE07CEB3866}"/>
    <cellStyle name="Comma 11 6 2 3 3" xfId="17078" xr:uid="{CCFBA178-0ED7-44EB-87DE-D97E1EAA96D6}"/>
    <cellStyle name="Comma 11 6 2 3 3 2" xfId="47318" xr:uid="{603BE4A5-9B46-42CD-AEC3-C9D9B9C46BE5}"/>
    <cellStyle name="Comma 11 6 2 3 4" xfId="32198" xr:uid="{05C6EF29-310D-49F6-B190-DBBFCCDF0062}"/>
    <cellStyle name="Comma 11 6 2 4" xfId="3470" xr:uid="{2141C1BA-0A29-4C7F-B10D-907AE7BE8B3C}"/>
    <cellStyle name="Comma 11 6 2 4 2" xfId="12542" xr:uid="{4F5B97F5-14E5-4818-956B-323449929C5D}"/>
    <cellStyle name="Comma 11 6 2 4 2 2" xfId="27662" xr:uid="{1521612D-0CFB-4F85-8077-E7A15A42A3B1}"/>
    <cellStyle name="Comma 11 6 2 4 2 2 2" xfId="57902" xr:uid="{D81F34BA-95C3-4F72-A8CB-2E30DD8BF6A4}"/>
    <cellStyle name="Comma 11 6 2 4 2 3" xfId="42782" xr:uid="{C47DD6B2-678F-404D-9AD0-E58CC8311A96}"/>
    <cellStyle name="Comma 11 6 2 4 3" xfId="18590" xr:uid="{CBD354CD-DA3F-4A95-8EEB-FC35DAC6DC30}"/>
    <cellStyle name="Comma 11 6 2 4 3 2" xfId="48830" xr:uid="{A0C9896C-D988-44BC-A34E-8FCE2AA04C57}"/>
    <cellStyle name="Comma 11 6 2 4 4" xfId="33710" xr:uid="{58CB6DB8-008F-43F4-940E-D0BF6B403114}"/>
    <cellStyle name="Comma 11 6 2 5" xfId="4982" xr:uid="{4970E8FC-79D3-45D1-A30B-4AB12338340A}"/>
    <cellStyle name="Comma 11 6 2 5 2" xfId="14054" xr:uid="{D4C85959-96B8-4B09-994C-4F4733C92840}"/>
    <cellStyle name="Comma 11 6 2 5 2 2" xfId="29174" xr:uid="{AB621F03-8D58-4FAB-A638-6005B3866521}"/>
    <cellStyle name="Comma 11 6 2 5 2 2 2" xfId="59414" xr:uid="{70452E67-2101-44BF-AE74-D9D9E470A8CB}"/>
    <cellStyle name="Comma 11 6 2 5 2 3" xfId="44294" xr:uid="{8B67DFCE-A15C-459A-BF6D-B3E2A2A8A072}"/>
    <cellStyle name="Comma 11 6 2 5 3" xfId="20102" xr:uid="{4BDC2489-6D0E-4EE5-BCD2-A2EF51A3F895}"/>
    <cellStyle name="Comma 11 6 2 5 3 2" xfId="50342" xr:uid="{10915F4C-2BC4-46F5-BB09-07D6BA7DABD9}"/>
    <cellStyle name="Comma 11 6 2 5 4" xfId="35222" xr:uid="{8C614C16-CCA7-40CD-BAD6-C23CB9053BC9}"/>
    <cellStyle name="Comma 11 6 2 6" xfId="6494" xr:uid="{C94C45E5-1F0E-4597-A267-E3723ADD242E}"/>
    <cellStyle name="Comma 11 6 2 6 2" xfId="21614" xr:uid="{4541F88D-77C0-4454-BD83-D0319803EA33}"/>
    <cellStyle name="Comma 11 6 2 6 2 2" xfId="51854" xr:uid="{7435EA2D-86B7-41F9-ACD8-F898E9263316}"/>
    <cellStyle name="Comma 11 6 2 6 3" xfId="36734" xr:uid="{70EDF454-48F5-4040-A3D7-84556F3F552E}"/>
    <cellStyle name="Comma 11 6 2 7" xfId="8006" xr:uid="{640B949A-6B3B-4924-8F69-8587E7D9768D}"/>
    <cellStyle name="Comma 11 6 2 7 2" xfId="23126" xr:uid="{EA7A5F32-0394-4B85-A1ED-9E323F125D4C}"/>
    <cellStyle name="Comma 11 6 2 7 2 2" xfId="53366" xr:uid="{06A5410C-C564-4824-99B5-0E43101115A0}"/>
    <cellStyle name="Comma 11 6 2 7 3" xfId="38246" xr:uid="{54C58883-DF69-4F9E-B8FF-AA723E70278E}"/>
    <cellStyle name="Comma 11 6 2 8" xfId="9518" xr:uid="{47B1F282-5768-46A8-851D-021B8E7A3496}"/>
    <cellStyle name="Comma 11 6 2 8 2" xfId="24638" xr:uid="{90D19F4E-D6F0-4FC2-B630-65149C446A80}"/>
    <cellStyle name="Comma 11 6 2 8 2 2" xfId="54878" xr:uid="{E7FC190F-8C89-4787-83A7-D717F86F0103}"/>
    <cellStyle name="Comma 11 6 2 8 3" xfId="39758" xr:uid="{2FE8422E-0321-4F1A-8A93-8FE61D34817B}"/>
    <cellStyle name="Comma 11 6 2 9" xfId="15566" xr:uid="{D54BC463-0864-44FB-9459-9C52A9B85633}"/>
    <cellStyle name="Comma 11 6 2 9 2" xfId="45806" xr:uid="{A8C10D7F-A1E7-4B91-9DB2-DE1542D366AB}"/>
    <cellStyle name="Comma 11 6 3" xfId="698" xr:uid="{14774192-4FA3-4E81-AB27-B05AE93CBF84}"/>
    <cellStyle name="Comma 11 6 3 10" xfId="30938" xr:uid="{93C2C64B-497E-48E4-9898-3A0E3DCB3AEA}"/>
    <cellStyle name="Comma 11 6 3 2" xfId="1454" xr:uid="{1156E2FB-5CDE-4F60-AD12-66829B99F2DB}"/>
    <cellStyle name="Comma 11 6 3 2 2" xfId="2966" xr:uid="{0ABA42FB-40BA-4527-9790-1E397CCB8301}"/>
    <cellStyle name="Comma 11 6 3 2 2 2" xfId="12038" xr:uid="{F1AB0349-16E5-435F-B716-389B48D257D6}"/>
    <cellStyle name="Comma 11 6 3 2 2 2 2" xfId="27158" xr:uid="{54279963-1AC4-40C5-B175-3FF50C507C36}"/>
    <cellStyle name="Comma 11 6 3 2 2 2 2 2" xfId="57398" xr:uid="{EA98BB2C-6240-453E-9F4C-8C662CB1DD70}"/>
    <cellStyle name="Comma 11 6 3 2 2 2 3" xfId="42278" xr:uid="{D0AE7136-0049-41F5-9E65-44906A174596}"/>
    <cellStyle name="Comma 11 6 3 2 2 3" xfId="18086" xr:uid="{90946C34-6566-4C5D-B108-C4D0C89E66F0}"/>
    <cellStyle name="Comma 11 6 3 2 2 3 2" xfId="48326" xr:uid="{80913847-9357-4E7E-8AFC-F804547B3A9B}"/>
    <cellStyle name="Comma 11 6 3 2 2 4" xfId="33206" xr:uid="{E5F83632-8F1E-42A9-BF93-0530E18D8002}"/>
    <cellStyle name="Comma 11 6 3 2 3" xfId="4478" xr:uid="{58149767-E4FF-4A9E-9710-6B293AC97A9A}"/>
    <cellStyle name="Comma 11 6 3 2 3 2" xfId="13550" xr:uid="{54B25EF6-D25E-40C9-96A7-4B5E264A9774}"/>
    <cellStyle name="Comma 11 6 3 2 3 2 2" xfId="28670" xr:uid="{E69514F3-E96D-4680-B571-EBAA8A989FEB}"/>
    <cellStyle name="Comma 11 6 3 2 3 2 2 2" xfId="58910" xr:uid="{C1577FE4-5483-4002-9D0D-D7AE648C7C45}"/>
    <cellStyle name="Comma 11 6 3 2 3 2 3" xfId="43790" xr:uid="{92C2DDDD-317D-486E-B27E-6B76B686A046}"/>
    <cellStyle name="Comma 11 6 3 2 3 3" xfId="19598" xr:uid="{CF508551-E231-49FB-A0EB-4CBF4EBDC6D7}"/>
    <cellStyle name="Comma 11 6 3 2 3 3 2" xfId="49838" xr:uid="{8C56D992-8B14-4AE7-9E9D-8EFB3F004BF1}"/>
    <cellStyle name="Comma 11 6 3 2 3 4" xfId="34718" xr:uid="{372E81B4-C537-41B2-A174-ABAC90883E70}"/>
    <cellStyle name="Comma 11 6 3 2 4" xfId="5990" xr:uid="{A233CAA5-02AF-4D66-86EB-A143982C380C}"/>
    <cellStyle name="Comma 11 6 3 2 4 2" xfId="15062" xr:uid="{3D260513-F6A5-456D-95BD-F8BFEF05EA14}"/>
    <cellStyle name="Comma 11 6 3 2 4 2 2" xfId="30182" xr:uid="{97C254AB-53C8-4556-B1BB-B98EC45720B1}"/>
    <cellStyle name="Comma 11 6 3 2 4 2 2 2" xfId="60422" xr:uid="{FBB59B37-8AAB-48D3-A9F7-A7CF149F0918}"/>
    <cellStyle name="Comma 11 6 3 2 4 2 3" xfId="45302" xr:uid="{0D23D3E4-F99B-4975-8B05-5091B06B2B5B}"/>
    <cellStyle name="Comma 11 6 3 2 4 3" xfId="21110" xr:uid="{451B5398-76D1-4D66-9F0A-8A570A54189C}"/>
    <cellStyle name="Comma 11 6 3 2 4 3 2" xfId="51350" xr:uid="{77894E0E-68E2-4066-B028-4B39D9D422BC}"/>
    <cellStyle name="Comma 11 6 3 2 4 4" xfId="36230" xr:uid="{8459BF03-179E-4C98-9904-4FCBE732319A}"/>
    <cellStyle name="Comma 11 6 3 2 5" xfId="7502" xr:uid="{391D5871-8B8A-460A-B4AB-AE2424ACE689}"/>
    <cellStyle name="Comma 11 6 3 2 5 2" xfId="22622" xr:uid="{27B1E423-FD58-43B9-9B4D-FE239FD98F4B}"/>
    <cellStyle name="Comma 11 6 3 2 5 2 2" xfId="52862" xr:uid="{AD9429D9-72E3-4BBD-8333-6894BF308094}"/>
    <cellStyle name="Comma 11 6 3 2 5 3" xfId="37742" xr:uid="{BC938557-CEB4-4EA2-B9FE-68080AA06CCB}"/>
    <cellStyle name="Comma 11 6 3 2 6" xfId="9014" xr:uid="{96A2E73B-D89A-46A4-B9B2-BDA723CD1730}"/>
    <cellStyle name="Comma 11 6 3 2 6 2" xfId="24134" xr:uid="{36D3D45E-3A25-4FAD-919E-82B2A8801243}"/>
    <cellStyle name="Comma 11 6 3 2 6 2 2" xfId="54374" xr:uid="{2A1DAB90-CD59-42DE-BAB2-541D2132FB2D}"/>
    <cellStyle name="Comma 11 6 3 2 6 3" xfId="39254" xr:uid="{ADF4A33D-F503-40A7-9923-F2D67621FA7B}"/>
    <cellStyle name="Comma 11 6 3 2 7" xfId="10526" xr:uid="{C1C4CCDE-D2F2-42B6-A0CE-BE62989A2EB0}"/>
    <cellStyle name="Comma 11 6 3 2 7 2" xfId="25646" xr:uid="{DD966086-1403-4DE0-9AD0-24845E6D8181}"/>
    <cellStyle name="Comma 11 6 3 2 7 2 2" xfId="55886" xr:uid="{40F076A4-AF08-456B-8A8A-F939F4D29A20}"/>
    <cellStyle name="Comma 11 6 3 2 7 3" xfId="40766" xr:uid="{0315FBFD-2A55-4CDA-B4E5-48FD4797CEBE}"/>
    <cellStyle name="Comma 11 6 3 2 8" xfId="16574" xr:uid="{EA50615D-5031-418B-AEEA-B376D95123DD}"/>
    <cellStyle name="Comma 11 6 3 2 8 2" xfId="46814" xr:uid="{A7E618FF-5D72-464A-B6D6-978DA735850C}"/>
    <cellStyle name="Comma 11 6 3 2 9" xfId="31694" xr:uid="{19F1BE49-DF2A-4228-9803-DFDA4794ACD3}"/>
    <cellStyle name="Comma 11 6 3 3" xfId="2210" xr:uid="{D76FD4F2-CAFA-4488-BE95-A3F8F527248A}"/>
    <cellStyle name="Comma 11 6 3 3 2" xfId="11282" xr:uid="{2AB2A0EA-7C43-42E0-AC70-C3C478D48BBC}"/>
    <cellStyle name="Comma 11 6 3 3 2 2" xfId="26402" xr:uid="{226FD88F-F462-4267-AC0E-C7904680F9EB}"/>
    <cellStyle name="Comma 11 6 3 3 2 2 2" xfId="56642" xr:uid="{8AF96AC5-1692-4A0C-8481-226931920F66}"/>
    <cellStyle name="Comma 11 6 3 3 2 3" xfId="41522" xr:uid="{46D92B5C-FCC2-4AF8-9B6B-CB8C5B72CFE9}"/>
    <cellStyle name="Comma 11 6 3 3 3" xfId="17330" xr:uid="{B898032C-5026-49E8-A33C-9EF4B96634AA}"/>
    <cellStyle name="Comma 11 6 3 3 3 2" xfId="47570" xr:uid="{FE982F0A-A9AB-482B-8C60-C6DD22ADDABB}"/>
    <cellStyle name="Comma 11 6 3 3 4" xfId="32450" xr:uid="{909A0D8D-3C81-4E1C-89A4-CAFDD7C9B499}"/>
    <cellStyle name="Comma 11 6 3 4" xfId="3722" xr:uid="{A72FE7F2-7563-49C6-938A-2D26AB4CDA99}"/>
    <cellStyle name="Comma 11 6 3 4 2" xfId="12794" xr:uid="{BE499CEE-6B2F-4752-8A9F-C3366DD39B15}"/>
    <cellStyle name="Comma 11 6 3 4 2 2" xfId="27914" xr:uid="{89E2BE2C-A49E-42D6-9084-E56963AAF6ED}"/>
    <cellStyle name="Comma 11 6 3 4 2 2 2" xfId="58154" xr:uid="{CF91D10B-47F0-4587-8C2F-7E6BA966D3D5}"/>
    <cellStyle name="Comma 11 6 3 4 2 3" xfId="43034" xr:uid="{88E0F182-6112-454F-9EAE-9C8B0A910314}"/>
    <cellStyle name="Comma 11 6 3 4 3" xfId="18842" xr:uid="{FB7ADE07-AF93-4F04-84FC-C293F6F803B4}"/>
    <cellStyle name="Comma 11 6 3 4 3 2" xfId="49082" xr:uid="{C6255CA0-A991-423C-A851-47250D69572F}"/>
    <cellStyle name="Comma 11 6 3 4 4" xfId="33962" xr:uid="{425D33C8-4C65-4E3C-8A11-87BF8ECFA4FA}"/>
    <cellStyle name="Comma 11 6 3 5" xfId="5234" xr:uid="{EF1F9F0D-CDCA-4C3B-9074-9967B6DE518A}"/>
    <cellStyle name="Comma 11 6 3 5 2" xfId="14306" xr:uid="{C5923890-4268-4165-99D2-B473502E3609}"/>
    <cellStyle name="Comma 11 6 3 5 2 2" xfId="29426" xr:uid="{BFCDC9CC-5326-4522-A6C6-ED471F87BD78}"/>
    <cellStyle name="Comma 11 6 3 5 2 2 2" xfId="59666" xr:uid="{76830BE0-3592-4D64-9436-5D236B3A9333}"/>
    <cellStyle name="Comma 11 6 3 5 2 3" xfId="44546" xr:uid="{B6847476-3B89-4316-86FC-5FCDAC3C0A03}"/>
    <cellStyle name="Comma 11 6 3 5 3" xfId="20354" xr:uid="{BAF727B5-C54A-43F7-8FA9-D0AD1CA05564}"/>
    <cellStyle name="Comma 11 6 3 5 3 2" xfId="50594" xr:uid="{4B14641F-7A5F-4C95-AF13-A91AE93CC19B}"/>
    <cellStyle name="Comma 11 6 3 5 4" xfId="35474" xr:uid="{5ADDC83B-472C-47E2-BB2E-B33E7A59E437}"/>
    <cellStyle name="Comma 11 6 3 6" xfId="6746" xr:uid="{A1A82DAD-CAA3-4557-95CE-ED0251AF5041}"/>
    <cellStyle name="Comma 11 6 3 6 2" xfId="21866" xr:uid="{D3D051D4-50F3-4B87-9CD8-407F2FA366F9}"/>
    <cellStyle name="Comma 11 6 3 6 2 2" xfId="52106" xr:uid="{E9018A1D-897B-4237-8D39-EFC1EF8790D9}"/>
    <cellStyle name="Comma 11 6 3 6 3" xfId="36986" xr:uid="{531258D3-2E82-43FB-BF1F-9C58E956D354}"/>
    <cellStyle name="Comma 11 6 3 7" xfId="8258" xr:uid="{785F1630-D680-439B-ADA1-B8F6246A0A9B}"/>
    <cellStyle name="Comma 11 6 3 7 2" xfId="23378" xr:uid="{933973BB-FB15-4C33-9AD8-A31A7E22B9E2}"/>
    <cellStyle name="Comma 11 6 3 7 2 2" xfId="53618" xr:uid="{B6C05A6F-8331-4402-9C1F-048613ADD619}"/>
    <cellStyle name="Comma 11 6 3 7 3" xfId="38498" xr:uid="{3919F655-D6EA-453F-ADB2-381C7B319290}"/>
    <cellStyle name="Comma 11 6 3 8" xfId="9770" xr:uid="{98432C93-07FE-47C1-ADC4-FDFCB2B84CE5}"/>
    <cellStyle name="Comma 11 6 3 8 2" xfId="24890" xr:uid="{6F997D00-A3BD-4F0C-95F6-D02454FC1F4E}"/>
    <cellStyle name="Comma 11 6 3 8 2 2" xfId="55130" xr:uid="{0B10BC14-8ECB-41FD-96C5-5D284507468E}"/>
    <cellStyle name="Comma 11 6 3 8 3" xfId="40010" xr:uid="{6DA92FB2-F5E3-480E-9FFB-385414835C98}"/>
    <cellStyle name="Comma 11 6 3 9" xfId="15818" xr:uid="{CBC03C59-0216-46C8-A7F1-CE565B9964B4}"/>
    <cellStyle name="Comma 11 6 3 9 2" xfId="46058" xr:uid="{40558732-F4E2-416E-A549-887E4D16AF3E}"/>
    <cellStyle name="Comma 11 6 4" xfId="950" xr:uid="{FF166902-F94B-44B4-BDBA-646EB8A466F6}"/>
    <cellStyle name="Comma 11 6 4 2" xfId="2462" xr:uid="{554A3FC0-14C3-439A-AFAF-E6808778A233}"/>
    <cellStyle name="Comma 11 6 4 2 2" xfId="11534" xr:uid="{3D228645-862C-48F6-A4C7-E96EA231483F}"/>
    <cellStyle name="Comma 11 6 4 2 2 2" xfId="26654" xr:uid="{4409B2B4-B456-474A-B9A1-8AFDEA43E405}"/>
    <cellStyle name="Comma 11 6 4 2 2 2 2" xfId="56894" xr:uid="{ADFA5A5F-06F7-49C2-A4C6-1187663F5AA1}"/>
    <cellStyle name="Comma 11 6 4 2 2 3" xfId="41774" xr:uid="{692F7DC1-19AA-4497-B0C0-39E769DB043A}"/>
    <cellStyle name="Comma 11 6 4 2 3" xfId="17582" xr:uid="{4C71B3E6-B883-4987-AF2C-94044B5284B8}"/>
    <cellStyle name="Comma 11 6 4 2 3 2" xfId="47822" xr:uid="{38C84B27-5553-489C-897A-0C6C01CF18D2}"/>
    <cellStyle name="Comma 11 6 4 2 4" xfId="32702" xr:uid="{B21EC4CC-6D7A-4575-8211-8C04EAE4E738}"/>
    <cellStyle name="Comma 11 6 4 3" xfId="3974" xr:uid="{B3AE62C9-4084-4C12-BC2D-D128AC9D1D69}"/>
    <cellStyle name="Comma 11 6 4 3 2" xfId="13046" xr:uid="{1A0F682E-6EC4-4153-A9F7-1BE05D674C43}"/>
    <cellStyle name="Comma 11 6 4 3 2 2" xfId="28166" xr:uid="{7C677383-B577-404E-B5F6-5312F769405C}"/>
    <cellStyle name="Comma 11 6 4 3 2 2 2" xfId="58406" xr:uid="{D0A36AF2-758C-4C77-8DFB-12149D3894FC}"/>
    <cellStyle name="Comma 11 6 4 3 2 3" xfId="43286" xr:uid="{F12C926F-8594-43FF-A3B6-00E8ADCB638B}"/>
    <cellStyle name="Comma 11 6 4 3 3" xfId="19094" xr:uid="{64598521-1981-46AE-AC90-ABF8A65BC797}"/>
    <cellStyle name="Comma 11 6 4 3 3 2" xfId="49334" xr:uid="{C980E9DC-4D84-48DB-97EC-5FC648905690}"/>
    <cellStyle name="Comma 11 6 4 3 4" xfId="34214" xr:uid="{A8EC679A-82CC-45C6-9DD4-864B23B6AA55}"/>
    <cellStyle name="Comma 11 6 4 4" xfId="5486" xr:uid="{ACE748F8-4740-43C1-B4FB-F6EDEE4555C8}"/>
    <cellStyle name="Comma 11 6 4 4 2" xfId="14558" xr:uid="{3C28E88B-FF96-4F13-BA12-56EB697A4038}"/>
    <cellStyle name="Comma 11 6 4 4 2 2" xfId="29678" xr:uid="{1243F7EB-550A-43F1-BC63-09BC5C69E851}"/>
    <cellStyle name="Comma 11 6 4 4 2 2 2" xfId="59918" xr:uid="{A2DD58CB-DDD7-4613-8BE8-0333184A1042}"/>
    <cellStyle name="Comma 11 6 4 4 2 3" xfId="44798" xr:uid="{F44FCADF-18DE-416B-866E-FB604D1F1A4D}"/>
    <cellStyle name="Comma 11 6 4 4 3" xfId="20606" xr:uid="{AD676462-C905-4219-A6ED-3044A3D691D9}"/>
    <cellStyle name="Comma 11 6 4 4 3 2" xfId="50846" xr:uid="{9755FA06-EDCE-4A20-823A-6529DD277CC3}"/>
    <cellStyle name="Comma 11 6 4 4 4" xfId="35726" xr:uid="{3CD6D835-F52F-4177-BCC2-037221243893}"/>
    <cellStyle name="Comma 11 6 4 5" xfId="6998" xr:uid="{EAF3C305-B5F3-4384-8B80-262AC5958348}"/>
    <cellStyle name="Comma 11 6 4 5 2" xfId="22118" xr:uid="{436D8ABB-B396-4A99-BFA9-5E7C5D238847}"/>
    <cellStyle name="Comma 11 6 4 5 2 2" xfId="52358" xr:uid="{3A1D80CD-F81D-4FC9-BED3-8A59E57BC310}"/>
    <cellStyle name="Comma 11 6 4 5 3" xfId="37238" xr:uid="{D4292F84-EA4E-4C2C-847E-6658DAADBDBA}"/>
    <cellStyle name="Comma 11 6 4 6" xfId="8510" xr:uid="{5DED345D-5DFC-4701-ADCA-1CDB26DEAF98}"/>
    <cellStyle name="Comma 11 6 4 6 2" xfId="23630" xr:uid="{D40A428C-8668-45C3-AF56-9B9F922836F0}"/>
    <cellStyle name="Comma 11 6 4 6 2 2" xfId="53870" xr:uid="{0BE000AC-D8D0-45B8-8FAC-74AA787DF303}"/>
    <cellStyle name="Comma 11 6 4 6 3" xfId="38750" xr:uid="{6FE747E9-7D33-415B-8D2F-EB85C861B49C}"/>
    <cellStyle name="Comma 11 6 4 7" xfId="10022" xr:uid="{584AF693-5DF2-41BE-ABC4-4F6AF2D9710B}"/>
    <cellStyle name="Comma 11 6 4 7 2" xfId="25142" xr:uid="{D61FCA90-28A5-4FAF-AA80-995B8C301380}"/>
    <cellStyle name="Comma 11 6 4 7 2 2" xfId="55382" xr:uid="{D00794B0-56AC-4C2A-8ED1-DA0A5B2B82A3}"/>
    <cellStyle name="Comma 11 6 4 7 3" xfId="40262" xr:uid="{9872321E-B803-4107-8F6C-AF53C538D60E}"/>
    <cellStyle name="Comma 11 6 4 8" xfId="16070" xr:uid="{441D67FF-B87E-43C1-B11E-1814351A4D12}"/>
    <cellStyle name="Comma 11 6 4 8 2" xfId="46310" xr:uid="{CB014AF0-4735-4819-9586-79AA7D5D1AF0}"/>
    <cellStyle name="Comma 11 6 4 9" xfId="31190" xr:uid="{B7FB8B94-0AFC-48B8-9586-025CA8E49A74}"/>
    <cellStyle name="Comma 11 6 5" xfId="1706" xr:uid="{6C50E0EF-007A-4455-8465-607BDD3A436C}"/>
    <cellStyle name="Comma 11 6 5 2" xfId="10778" xr:uid="{7DDE6A3A-CC4B-41EC-9577-1D17A968F46D}"/>
    <cellStyle name="Comma 11 6 5 2 2" xfId="25898" xr:uid="{C21B29EC-7BEF-4B71-84EF-B8CBBDC21D1F}"/>
    <cellStyle name="Comma 11 6 5 2 2 2" xfId="56138" xr:uid="{71A2B216-A543-4EC8-83C0-2840B2AF2310}"/>
    <cellStyle name="Comma 11 6 5 2 3" xfId="41018" xr:uid="{A4A1EA0C-66CC-444C-9C35-34C45AFC3D38}"/>
    <cellStyle name="Comma 11 6 5 3" xfId="16826" xr:uid="{6CB55F12-EFF3-427F-A724-460560BBDA12}"/>
    <cellStyle name="Comma 11 6 5 3 2" xfId="47066" xr:uid="{2B91EC83-665C-49DF-BF03-B1B2A20E1348}"/>
    <cellStyle name="Comma 11 6 5 4" xfId="31946" xr:uid="{935A5097-0ABD-4B6E-ADDF-FDEA8B424188}"/>
    <cellStyle name="Comma 11 6 6" xfId="3218" xr:uid="{B29677C4-2B80-428E-9606-F57E9D56D4E9}"/>
    <cellStyle name="Comma 11 6 6 2" xfId="12290" xr:uid="{8718CDE3-B194-4B54-8DAD-B9CBFF95E213}"/>
    <cellStyle name="Comma 11 6 6 2 2" xfId="27410" xr:uid="{039FD654-37D9-46CF-8210-9891BA3DF064}"/>
    <cellStyle name="Comma 11 6 6 2 2 2" xfId="57650" xr:uid="{44EAB2EC-84E2-4051-BAD9-2BD8B819D462}"/>
    <cellStyle name="Comma 11 6 6 2 3" xfId="42530" xr:uid="{AC3C1974-AF52-4521-BCF7-C640A5CF38B1}"/>
    <cellStyle name="Comma 11 6 6 3" xfId="18338" xr:uid="{B6590165-805F-44C7-A90F-C88BA46D66AD}"/>
    <cellStyle name="Comma 11 6 6 3 2" xfId="48578" xr:uid="{54353164-BE8B-4AB0-9A1F-D6A421EA6861}"/>
    <cellStyle name="Comma 11 6 6 4" xfId="33458" xr:uid="{B1EE9433-D50F-4839-9CC6-BAF665E735B0}"/>
    <cellStyle name="Comma 11 6 7" xfId="4730" xr:uid="{81AA2E31-C9C0-492B-880E-2A351B36701E}"/>
    <cellStyle name="Comma 11 6 7 2" xfId="13802" xr:uid="{84867EC4-A92D-4419-B730-E02D8A1BD488}"/>
    <cellStyle name="Comma 11 6 7 2 2" xfId="28922" xr:uid="{CEC4480E-06BA-4335-B0B8-CA9E08EAB72B}"/>
    <cellStyle name="Comma 11 6 7 2 2 2" xfId="59162" xr:uid="{D36E2AE5-CE85-4842-BB71-FA8358F28C01}"/>
    <cellStyle name="Comma 11 6 7 2 3" xfId="44042" xr:uid="{E85161AA-6732-4A3B-A259-E2072DA0778C}"/>
    <cellStyle name="Comma 11 6 7 3" xfId="19850" xr:uid="{C42BCE6A-054D-44B0-880A-3F287ECDF292}"/>
    <cellStyle name="Comma 11 6 7 3 2" xfId="50090" xr:uid="{0FCEB6E6-7A78-4407-89B2-5369C683E681}"/>
    <cellStyle name="Comma 11 6 7 4" xfId="34970" xr:uid="{AE2432A3-9BD5-4A47-85E3-7EA3422E3466}"/>
    <cellStyle name="Comma 11 6 8" xfId="6242" xr:uid="{883EEBCC-3B55-4E24-AB62-9E0482BE1E94}"/>
    <cellStyle name="Comma 11 6 8 2" xfId="21362" xr:uid="{5B837575-29F6-4DD8-A094-42D731B1C1E2}"/>
    <cellStyle name="Comma 11 6 8 2 2" xfId="51602" xr:uid="{E0B9210C-6CC0-4823-A100-F25559470E39}"/>
    <cellStyle name="Comma 11 6 8 3" xfId="36482" xr:uid="{4F6A0593-C447-4D04-8032-F9CFAFE785FA}"/>
    <cellStyle name="Comma 11 6 9" xfId="7754" xr:uid="{B566FE25-31E8-49C1-94F4-30D913846FBC}"/>
    <cellStyle name="Comma 11 6 9 2" xfId="22874" xr:uid="{0D9B6C5E-61B7-493D-8C66-BB07A2738AE8}"/>
    <cellStyle name="Comma 11 6 9 2 2" xfId="53114" xr:uid="{9A717567-0607-4BAC-B83A-74A5240AB989}"/>
    <cellStyle name="Comma 11 6 9 3" xfId="37994" xr:uid="{177079D8-05D2-4A0F-8168-8BD3E1B23B1A}"/>
    <cellStyle name="Comma 11 7" xfId="278" xr:uid="{21676C12-6D5F-4C23-B378-90257033D75A}"/>
    <cellStyle name="Comma 11 7 10" xfId="30518" xr:uid="{B724F3AE-0A11-4046-B7B1-44D8902DB6F3}"/>
    <cellStyle name="Comma 11 7 2" xfId="1034" xr:uid="{98D58B3B-BF67-4012-B651-F853108A6774}"/>
    <cellStyle name="Comma 11 7 2 2" xfId="2546" xr:uid="{CC3B0CBD-1D44-4E07-AAF4-95CAD2AFD421}"/>
    <cellStyle name="Comma 11 7 2 2 2" xfId="11618" xr:uid="{8CA30207-ADD1-473D-BD7C-79AFEA4A4FB3}"/>
    <cellStyle name="Comma 11 7 2 2 2 2" xfId="26738" xr:uid="{CD7517EC-6ADE-4D0A-ABBA-9E73004B2D27}"/>
    <cellStyle name="Comma 11 7 2 2 2 2 2" xfId="56978" xr:uid="{54A92BF4-E3D4-4A43-B40B-B2686662766D}"/>
    <cellStyle name="Comma 11 7 2 2 2 3" xfId="41858" xr:uid="{0E343AB3-E348-49D2-8573-37221E60B19E}"/>
    <cellStyle name="Comma 11 7 2 2 3" xfId="17666" xr:uid="{121FF53D-51EE-45D2-8093-46A51B3584B6}"/>
    <cellStyle name="Comma 11 7 2 2 3 2" xfId="47906" xr:uid="{84E7707D-756F-47AB-AC41-A30FABCD7253}"/>
    <cellStyle name="Comma 11 7 2 2 4" xfId="32786" xr:uid="{2002CFC3-083C-4BBF-B95E-033519EA9F93}"/>
    <cellStyle name="Comma 11 7 2 3" xfId="4058" xr:uid="{CFD0124C-E37D-48D4-8B93-3E3B30F2C1CF}"/>
    <cellStyle name="Comma 11 7 2 3 2" xfId="13130" xr:uid="{5EC254E2-A407-4701-A86B-3A641AB9901A}"/>
    <cellStyle name="Comma 11 7 2 3 2 2" xfId="28250" xr:uid="{8BFD5664-8391-4CEB-B87E-36AF7858C948}"/>
    <cellStyle name="Comma 11 7 2 3 2 2 2" xfId="58490" xr:uid="{423A2427-1D8F-4685-8551-A439AAF2FB88}"/>
    <cellStyle name="Comma 11 7 2 3 2 3" xfId="43370" xr:uid="{8382B0C6-3367-479F-B61D-15438192B128}"/>
    <cellStyle name="Comma 11 7 2 3 3" xfId="19178" xr:uid="{E1928C31-D48C-47A5-938A-12C8312AE188}"/>
    <cellStyle name="Comma 11 7 2 3 3 2" xfId="49418" xr:uid="{39329A97-7E95-4512-901E-E9C5B1B337B7}"/>
    <cellStyle name="Comma 11 7 2 3 4" xfId="34298" xr:uid="{B36AA9F2-C728-49D7-AADE-D5A5CCA13CD2}"/>
    <cellStyle name="Comma 11 7 2 4" xfId="5570" xr:uid="{DFD14C56-BB65-4159-A615-FB9E87390548}"/>
    <cellStyle name="Comma 11 7 2 4 2" xfId="14642" xr:uid="{C69DA500-972C-4BDB-B3EC-E30C3C8FD189}"/>
    <cellStyle name="Comma 11 7 2 4 2 2" xfId="29762" xr:uid="{5E0FCF3E-8EB7-4FD4-A593-B873BF4D1BE4}"/>
    <cellStyle name="Comma 11 7 2 4 2 2 2" xfId="60002" xr:uid="{EA7D31EB-D91C-405F-9E42-53641B09C4DA}"/>
    <cellStyle name="Comma 11 7 2 4 2 3" xfId="44882" xr:uid="{B8D98579-20D6-451E-BD2F-A57CB7F14938}"/>
    <cellStyle name="Comma 11 7 2 4 3" xfId="20690" xr:uid="{B929BC4F-D8B7-4447-8FE4-547AE8E332FD}"/>
    <cellStyle name="Comma 11 7 2 4 3 2" xfId="50930" xr:uid="{E6C98D80-8F01-4A15-8183-53780E6CBFDD}"/>
    <cellStyle name="Comma 11 7 2 4 4" xfId="35810" xr:uid="{0DDDF741-0794-4FE8-B68F-2B4D72C5A749}"/>
    <cellStyle name="Comma 11 7 2 5" xfId="7082" xr:uid="{98A48279-2D06-4CDD-BC1F-BB62D97BAD6E}"/>
    <cellStyle name="Comma 11 7 2 5 2" xfId="22202" xr:uid="{1FA1014B-4B74-4951-B719-FD61D1763959}"/>
    <cellStyle name="Comma 11 7 2 5 2 2" xfId="52442" xr:uid="{EBBD48DE-FA31-4B5D-8479-5979E6BD77F8}"/>
    <cellStyle name="Comma 11 7 2 5 3" xfId="37322" xr:uid="{AC4CD899-D302-4E15-8451-1A7E61207880}"/>
    <cellStyle name="Comma 11 7 2 6" xfId="8594" xr:uid="{68DF2FCF-52E6-4D23-A94D-D4775CDF7374}"/>
    <cellStyle name="Comma 11 7 2 6 2" xfId="23714" xr:uid="{12D8BAAA-B52C-4A4A-BDE9-5FD7925956C6}"/>
    <cellStyle name="Comma 11 7 2 6 2 2" xfId="53954" xr:uid="{C04B771F-61B0-4C3B-8965-D5D00584CD5D}"/>
    <cellStyle name="Comma 11 7 2 6 3" xfId="38834" xr:uid="{76452853-6471-4DA7-9074-54DEFD6CDE05}"/>
    <cellStyle name="Comma 11 7 2 7" xfId="10106" xr:uid="{3D2C675C-4187-4F9D-B18E-3DD2768F47B5}"/>
    <cellStyle name="Comma 11 7 2 7 2" xfId="25226" xr:uid="{13393073-DD6B-4161-93E8-2660C36B51FB}"/>
    <cellStyle name="Comma 11 7 2 7 2 2" xfId="55466" xr:uid="{CF270397-1A98-44F0-80AE-2CECD7891858}"/>
    <cellStyle name="Comma 11 7 2 7 3" xfId="40346" xr:uid="{040044EA-E63D-4772-B810-AEBCB80E69D9}"/>
    <cellStyle name="Comma 11 7 2 8" xfId="16154" xr:uid="{3DEBC775-172B-4F05-BC01-016045434C90}"/>
    <cellStyle name="Comma 11 7 2 8 2" xfId="46394" xr:uid="{95A3A8DC-C2FA-4F32-8E08-7AD85F2E1B88}"/>
    <cellStyle name="Comma 11 7 2 9" xfId="31274" xr:uid="{EC01A1DD-2522-4088-9CEB-66A3F37B62B8}"/>
    <cellStyle name="Comma 11 7 3" xfId="1790" xr:uid="{DBB2816E-63C5-48DF-A68C-45EE9CDE4503}"/>
    <cellStyle name="Comma 11 7 3 2" xfId="10862" xr:uid="{212411E2-11A6-4B11-AFF4-E0833757BE6B}"/>
    <cellStyle name="Comma 11 7 3 2 2" xfId="25982" xr:uid="{329BA0DA-AF48-4F0C-9BE6-68CC557EDF22}"/>
    <cellStyle name="Comma 11 7 3 2 2 2" xfId="56222" xr:uid="{B2CC3F08-0E90-465B-85D8-D945660035EE}"/>
    <cellStyle name="Comma 11 7 3 2 3" xfId="41102" xr:uid="{B30A999D-E5AE-40A4-89BE-0EBFE4039CD9}"/>
    <cellStyle name="Comma 11 7 3 3" xfId="16910" xr:uid="{778C664B-BED6-4072-9813-48538F7402A4}"/>
    <cellStyle name="Comma 11 7 3 3 2" xfId="47150" xr:uid="{27302280-E1C0-4070-8224-7668748A77B4}"/>
    <cellStyle name="Comma 11 7 3 4" xfId="32030" xr:uid="{72FC908E-78EB-43BB-8768-AEC42D1116D7}"/>
    <cellStyle name="Comma 11 7 4" xfId="3302" xr:uid="{B80931B2-6A70-47CA-B1EB-A7CB072AB717}"/>
    <cellStyle name="Comma 11 7 4 2" xfId="12374" xr:uid="{89522312-E681-4858-B166-FDD18682ABDF}"/>
    <cellStyle name="Comma 11 7 4 2 2" xfId="27494" xr:uid="{455F75CA-252D-4FDE-B2AF-36C67092AA05}"/>
    <cellStyle name="Comma 11 7 4 2 2 2" xfId="57734" xr:uid="{93369C0E-1F97-490A-BB4D-9E08A5C2FFB5}"/>
    <cellStyle name="Comma 11 7 4 2 3" xfId="42614" xr:uid="{D1E4E9B8-773B-4221-95ED-64E751CB2777}"/>
    <cellStyle name="Comma 11 7 4 3" xfId="18422" xr:uid="{652D30DD-D355-4A4B-BDAA-8318CCC7B4E2}"/>
    <cellStyle name="Comma 11 7 4 3 2" xfId="48662" xr:uid="{D9E0DEAB-950A-4B02-B59F-59C1F4749739}"/>
    <cellStyle name="Comma 11 7 4 4" xfId="33542" xr:uid="{2669B5CC-EFA5-47DC-9C8F-E22B94AAABB6}"/>
    <cellStyle name="Comma 11 7 5" xfId="4814" xr:uid="{5781BFF4-45BF-45A0-BA1B-FB3908A5D034}"/>
    <cellStyle name="Comma 11 7 5 2" xfId="13886" xr:uid="{C69B1C54-3026-475F-A688-5EAA0550CCA5}"/>
    <cellStyle name="Comma 11 7 5 2 2" xfId="29006" xr:uid="{CA21B41F-718D-4509-8981-B9749DADFDBF}"/>
    <cellStyle name="Comma 11 7 5 2 2 2" xfId="59246" xr:uid="{DED69921-A5B5-402E-B72E-A6BBD9840450}"/>
    <cellStyle name="Comma 11 7 5 2 3" xfId="44126" xr:uid="{A48F4BFD-0417-4B59-A28E-F75AB1FC7487}"/>
    <cellStyle name="Comma 11 7 5 3" xfId="19934" xr:uid="{553DA7F3-5EF6-4965-9950-84BD6DE68217}"/>
    <cellStyle name="Comma 11 7 5 3 2" xfId="50174" xr:uid="{21C4FD2F-6EB0-42C1-8783-F58D1CB177ED}"/>
    <cellStyle name="Comma 11 7 5 4" xfId="35054" xr:uid="{91C039AC-8D9E-4131-B56D-FA44E46C6E2B}"/>
    <cellStyle name="Comma 11 7 6" xfId="6326" xr:uid="{12C1211A-5B87-4C84-AF46-4DF492145C64}"/>
    <cellStyle name="Comma 11 7 6 2" xfId="21446" xr:uid="{7DEDBDE4-2069-4829-9C7D-6DCA72AA7F6E}"/>
    <cellStyle name="Comma 11 7 6 2 2" xfId="51686" xr:uid="{799F2C6F-6BBD-470F-88DD-69C3CB0273CE}"/>
    <cellStyle name="Comma 11 7 6 3" xfId="36566" xr:uid="{E700CD4F-92FB-45DA-A308-5B1E5C1054B7}"/>
    <cellStyle name="Comma 11 7 7" xfId="7838" xr:uid="{3AA943F1-3B03-497A-8917-0BD859EF1B1F}"/>
    <cellStyle name="Comma 11 7 7 2" xfId="22958" xr:uid="{6138BA80-7099-48D8-9E29-5EF01D416813}"/>
    <cellStyle name="Comma 11 7 7 2 2" xfId="53198" xr:uid="{52F562F8-9765-43E8-8C1A-DEF8264B2C44}"/>
    <cellStyle name="Comma 11 7 7 3" xfId="38078" xr:uid="{9C241E4D-DE51-4FB7-AE4F-74AF2DAC1843}"/>
    <cellStyle name="Comma 11 7 8" xfId="9350" xr:uid="{3D44D2AD-BF3C-4FEA-AF29-FE56ACCAEB4B}"/>
    <cellStyle name="Comma 11 7 8 2" xfId="24470" xr:uid="{3EB19309-4239-486E-834F-91AF6DF98B5D}"/>
    <cellStyle name="Comma 11 7 8 2 2" xfId="54710" xr:uid="{91FA64C0-0B45-4A77-98B1-C63E47501371}"/>
    <cellStyle name="Comma 11 7 8 3" xfId="39590" xr:uid="{767BDFC3-022C-42D1-9984-46575DDBBD21}"/>
    <cellStyle name="Comma 11 7 9" xfId="15398" xr:uid="{C33AACEB-AE95-4A76-826E-434B7CCE0E43}"/>
    <cellStyle name="Comma 11 7 9 2" xfId="45638" xr:uid="{79D4E2A5-C2EA-47ED-9907-F7D475C0136F}"/>
    <cellStyle name="Comma 11 8" xfId="530" xr:uid="{C21D7517-FEE4-480A-9A1D-B5DEB8C4E8D5}"/>
    <cellStyle name="Comma 11 8 10" xfId="30770" xr:uid="{E8F4DD8A-30E1-48ED-BA3A-9470DD6724F0}"/>
    <cellStyle name="Comma 11 8 2" xfId="1286" xr:uid="{77907E66-C810-490D-A2B6-B1D900DDA21D}"/>
    <cellStyle name="Comma 11 8 2 2" xfId="2798" xr:uid="{B8B1C8B3-1033-49DE-8F83-C2C7339DBBD0}"/>
    <cellStyle name="Comma 11 8 2 2 2" xfId="11870" xr:uid="{270AB0CE-4114-400B-8B60-061EDBB03C6A}"/>
    <cellStyle name="Comma 11 8 2 2 2 2" xfId="26990" xr:uid="{F82721F7-E4C3-4F08-B3B0-2A53FAC97C47}"/>
    <cellStyle name="Comma 11 8 2 2 2 2 2" xfId="57230" xr:uid="{7376A1EF-C332-4B98-9F34-801E23AB411F}"/>
    <cellStyle name="Comma 11 8 2 2 2 3" xfId="42110" xr:uid="{424BF6B3-7D92-4EE3-9033-F2B7E412952C}"/>
    <cellStyle name="Comma 11 8 2 2 3" xfId="17918" xr:uid="{1C4A0AFA-A43C-48B8-942C-20029F343DE5}"/>
    <cellStyle name="Comma 11 8 2 2 3 2" xfId="48158" xr:uid="{B0972F42-1ABE-46B2-A80E-173FE3A111A8}"/>
    <cellStyle name="Comma 11 8 2 2 4" xfId="33038" xr:uid="{4A62CAFE-5264-425D-9265-B58E24973416}"/>
    <cellStyle name="Comma 11 8 2 3" xfId="4310" xr:uid="{F6C196F0-16A2-4C1C-9F68-A44B6682C375}"/>
    <cellStyle name="Comma 11 8 2 3 2" xfId="13382" xr:uid="{88F4F1C7-68B8-4790-9998-2F0DE3E76712}"/>
    <cellStyle name="Comma 11 8 2 3 2 2" xfId="28502" xr:uid="{145C2FBF-3100-4489-821D-5529C1710CDF}"/>
    <cellStyle name="Comma 11 8 2 3 2 2 2" xfId="58742" xr:uid="{24E30CC9-34E9-4FB0-A828-7056B5B3BEFE}"/>
    <cellStyle name="Comma 11 8 2 3 2 3" xfId="43622" xr:uid="{8D26843E-CB64-4A4D-A842-E8D9BC10D22B}"/>
    <cellStyle name="Comma 11 8 2 3 3" xfId="19430" xr:uid="{47CAC96A-3D3B-4AD7-A382-3FF7ED02D5CE}"/>
    <cellStyle name="Comma 11 8 2 3 3 2" xfId="49670" xr:uid="{2A8CF5FF-3D71-412B-81F5-A06DBD644650}"/>
    <cellStyle name="Comma 11 8 2 3 4" xfId="34550" xr:uid="{A9720FF0-457E-46BA-BC80-5491BCC5F908}"/>
    <cellStyle name="Comma 11 8 2 4" xfId="5822" xr:uid="{A37B4773-DD99-46E6-AB50-D9CEFC627FF5}"/>
    <cellStyle name="Comma 11 8 2 4 2" xfId="14894" xr:uid="{A7805EA7-01C6-44FC-9CF6-5244C5819A02}"/>
    <cellStyle name="Comma 11 8 2 4 2 2" xfId="30014" xr:uid="{06AB3428-3F61-4F2C-9471-0B1F6BF622DF}"/>
    <cellStyle name="Comma 11 8 2 4 2 2 2" xfId="60254" xr:uid="{EA800F8F-1350-4B5A-992A-7C67633DDB87}"/>
    <cellStyle name="Comma 11 8 2 4 2 3" xfId="45134" xr:uid="{837B3CB6-2ABA-4F80-AD2E-6BFC8D3A21FC}"/>
    <cellStyle name="Comma 11 8 2 4 3" xfId="20942" xr:uid="{A1E69A47-837F-4B93-8F01-40DE132B3C10}"/>
    <cellStyle name="Comma 11 8 2 4 3 2" xfId="51182" xr:uid="{718E4813-F692-4EFD-BCA9-8D723FA5E91E}"/>
    <cellStyle name="Comma 11 8 2 4 4" xfId="36062" xr:uid="{94A25236-5321-4952-8B2A-B387E428BC4B}"/>
    <cellStyle name="Comma 11 8 2 5" xfId="7334" xr:uid="{3DCB414B-4739-4405-954E-2DE0801DA8B3}"/>
    <cellStyle name="Comma 11 8 2 5 2" xfId="22454" xr:uid="{0D81AB22-F3F3-4F66-B779-CF6DDAC5559A}"/>
    <cellStyle name="Comma 11 8 2 5 2 2" xfId="52694" xr:uid="{2365E032-10F9-4779-8256-446788F4595F}"/>
    <cellStyle name="Comma 11 8 2 5 3" xfId="37574" xr:uid="{AE5D4C1E-E5A1-4854-BFDB-22D78B4409DA}"/>
    <cellStyle name="Comma 11 8 2 6" xfId="8846" xr:uid="{6F1AECF8-DDBB-4A96-BDC1-5D5C46E1F015}"/>
    <cellStyle name="Comma 11 8 2 6 2" xfId="23966" xr:uid="{4C7B4646-983B-434C-9AF1-E30C576F8BAA}"/>
    <cellStyle name="Comma 11 8 2 6 2 2" xfId="54206" xr:uid="{AC756A57-E08A-4380-9B77-B02B9B34CC63}"/>
    <cellStyle name="Comma 11 8 2 6 3" xfId="39086" xr:uid="{4EB51D59-B426-48BB-91D1-5E638C19862E}"/>
    <cellStyle name="Comma 11 8 2 7" xfId="10358" xr:uid="{54C62BBF-554E-495F-8F32-D30F1928E984}"/>
    <cellStyle name="Comma 11 8 2 7 2" xfId="25478" xr:uid="{D39F01E9-5489-4052-A0F1-C19D4608829D}"/>
    <cellStyle name="Comma 11 8 2 7 2 2" xfId="55718" xr:uid="{28D8D03C-20EB-43EB-88F9-18C5C9BFA3F4}"/>
    <cellStyle name="Comma 11 8 2 7 3" xfId="40598" xr:uid="{ED8B9CED-38B9-4DE8-B17E-323F8884A55E}"/>
    <cellStyle name="Comma 11 8 2 8" xfId="16406" xr:uid="{4D160291-1F91-409A-88AD-E36FB1779E88}"/>
    <cellStyle name="Comma 11 8 2 8 2" xfId="46646" xr:uid="{6062C5FA-DACC-43A3-9D98-CC24A7FB0048}"/>
    <cellStyle name="Comma 11 8 2 9" xfId="31526" xr:uid="{D85B81CA-09B3-42E6-A39E-28AC33624C2E}"/>
    <cellStyle name="Comma 11 8 3" xfId="2042" xr:uid="{9023AB00-BF28-40D3-853B-A1FC9843BAFF}"/>
    <cellStyle name="Comma 11 8 3 2" xfId="11114" xr:uid="{2EF9086D-9808-4326-8144-469AA20E99FE}"/>
    <cellStyle name="Comma 11 8 3 2 2" xfId="26234" xr:uid="{7D1755BA-2D63-44AF-9F1B-57642CA2FA7B}"/>
    <cellStyle name="Comma 11 8 3 2 2 2" xfId="56474" xr:uid="{844EF6C5-C6E7-4398-8AE6-1F6EB6AFD9A7}"/>
    <cellStyle name="Comma 11 8 3 2 3" xfId="41354" xr:uid="{FD4ECBFA-AB07-4AA2-8A28-FEA26C6AD903}"/>
    <cellStyle name="Comma 11 8 3 3" xfId="17162" xr:uid="{DB267A6A-04EA-4508-9E33-183DEDE33CF9}"/>
    <cellStyle name="Comma 11 8 3 3 2" xfId="47402" xr:uid="{C598DF2D-F519-48D6-B8B8-C0A2425E26BE}"/>
    <cellStyle name="Comma 11 8 3 4" xfId="32282" xr:uid="{477AFB20-47B6-4A87-A7D7-330F17AA16EA}"/>
    <cellStyle name="Comma 11 8 4" xfId="3554" xr:uid="{F34E8650-6FF7-4D2B-98C6-4AAF7A848DAF}"/>
    <cellStyle name="Comma 11 8 4 2" xfId="12626" xr:uid="{6714EBA7-CE36-4196-95DA-5796757AD3BD}"/>
    <cellStyle name="Comma 11 8 4 2 2" xfId="27746" xr:uid="{99FACE9B-9DBB-4FFD-BFAA-8F1CECF6A4CE}"/>
    <cellStyle name="Comma 11 8 4 2 2 2" xfId="57986" xr:uid="{BF779F96-C61D-487B-BF72-F6BCCD4AE5CC}"/>
    <cellStyle name="Comma 11 8 4 2 3" xfId="42866" xr:uid="{9CA37D90-FFAB-4C0A-B97B-396F7AA1906E}"/>
    <cellStyle name="Comma 11 8 4 3" xfId="18674" xr:uid="{75307090-1039-4C47-B5DE-8C337C2A0821}"/>
    <cellStyle name="Comma 11 8 4 3 2" xfId="48914" xr:uid="{36B14BDF-DD7D-4A61-B8F8-9A6ADC5609E1}"/>
    <cellStyle name="Comma 11 8 4 4" xfId="33794" xr:uid="{EFB78E74-AA66-4CDC-A1A4-C30D6B22FA96}"/>
    <cellStyle name="Comma 11 8 5" xfId="5066" xr:uid="{0D7A7DF9-1741-48BA-B882-9A63E5D65416}"/>
    <cellStyle name="Comma 11 8 5 2" xfId="14138" xr:uid="{9EA91464-8EDD-4636-80AB-21E597AC3478}"/>
    <cellStyle name="Comma 11 8 5 2 2" xfId="29258" xr:uid="{F117814B-A431-4ACC-ABD4-3694ED4C32E5}"/>
    <cellStyle name="Comma 11 8 5 2 2 2" xfId="59498" xr:uid="{6CB7F523-2CFF-4A81-87CE-F9B12D62313E}"/>
    <cellStyle name="Comma 11 8 5 2 3" xfId="44378" xr:uid="{344AE067-1ADE-47A5-ADC7-E63E7E985A2F}"/>
    <cellStyle name="Comma 11 8 5 3" xfId="20186" xr:uid="{E42F6F99-01FC-4472-9D5C-926ACC5BED42}"/>
    <cellStyle name="Comma 11 8 5 3 2" xfId="50426" xr:uid="{A9FCC4FA-D8E3-4259-83EC-B5B0CB1ECB63}"/>
    <cellStyle name="Comma 11 8 5 4" xfId="35306" xr:uid="{2E5AD2C2-92C8-48FB-A269-541AD9A58E19}"/>
    <cellStyle name="Comma 11 8 6" xfId="6578" xr:uid="{96A94DC4-440B-4B17-8C2B-FD1D5FB2A368}"/>
    <cellStyle name="Comma 11 8 6 2" xfId="21698" xr:uid="{E0670BDF-A005-4FE2-8523-2677386B46D4}"/>
    <cellStyle name="Comma 11 8 6 2 2" xfId="51938" xr:uid="{318809DE-C760-4CB6-9F37-D850FDFBC493}"/>
    <cellStyle name="Comma 11 8 6 3" xfId="36818" xr:uid="{C352C629-7FDE-48DD-9254-FE4569D43239}"/>
    <cellStyle name="Comma 11 8 7" xfId="8090" xr:uid="{A294441E-D0D0-40D0-8E00-3C8CC1F63786}"/>
    <cellStyle name="Comma 11 8 7 2" xfId="23210" xr:uid="{4E0DD82B-514A-4D64-B1DD-B8FE1DA2E9EF}"/>
    <cellStyle name="Comma 11 8 7 2 2" xfId="53450" xr:uid="{3F49A5BB-EAA5-4D81-A64C-55521B4E5AFC}"/>
    <cellStyle name="Comma 11 8 7 3" xfId="38330" xr:uid="{A3A1B165-4695-496C-8C9E-B3D7C414FF94}"/>
    <cellStyle name="Comma 11 8 8" xfId="9602" xr:uid="{EB834340-5948-4F93-81C7-DD0608EFB6CC}"/>
    <cellStyle name="Comma 11 8 8 2" xfId="24722" xr:uid="{A8FE82DF-5855-4333-9501-CF82D77A3BE6}"/>
    <cellStyle name="Comma 11 8 8 2 2" xfId="54962" xr:uid="{E2E379DF-CE25-4B51-9ABF-69D7301CBC3A}"/>
    <cellStyle name="Comma 11 8 8 3" xfId="39842" xr:uid="{5157E78D-871E-413F-ABAF-78E5A0B826A2}"/>
    <cellStyle name="Comma 11 8 9" xfId="15650" xr:uid="{A8BC6DDF-8FD2-46D9-8A76-00DA0A02163B}"/>
    <cellStyle name="Comma 11 8 9 2" xfId="45890" xr:uid="{AF31587B-B3A2-4AE3-A802-5D5075DD12E1}"/>
    <cellStyle name="Comma 11 9" xfId="782" xr:uid="{D83C3C4D-7C87-46B0-B9D7-02B33FE5143F}"/>
    <cellStyle name="Comma 11 9 2" xfId="2294" xr:uid="{D908D734-CD70-44F7-8D4F-727EC5FCA45F}"/>
    <cellStyle name="Comma 11 9 2 2" xfId="11366" xr:uid="{66B50F64-AD34-4E99-B8B5-EF5A7017E06D}"/>
    <cellStyle name="Comma 11 9 2 2 2" xfId="26486" xr:uid="{8E5F344F-5015-4AEE-BB9B-739F453BA56C}"/>
    <cellStyle name="Comma 11 9 2 2 2 2" xfId="56726" xr:uid="{A3CC4D17-5A08-4B6B-9C0A-A36DF06C97F5}"/>
    <cellStyle name="Comma 11 9 2 2 3" xfId="41606" xr:uid="{9718C4E2-302B-41A2-B621-1805E7DA4FC7}"/>
    <cellStyle name="Comma 11 9 2 3" xfId="17414" xr:uid="{98A9FEA0-BFF8-4840-BB0D-EE04D5E390A8}"/>
    <cellStyle name="Comma 11 9 2 3 2" xfId="47654" xr:uid="{45E8164F-B592-41FF-BA26-28E066EA982F}"/>
    <cellStyle name="Comma 11 9 2 4" xfId="32534" xr:uid="{C77563AB-ADDB-4AA3-99A3-7D28EEBF315F}"/>
    <cellStyle name="Comma 11 9 3" xfId="3806" xr:uid="{D0EC5524-3942-4FC0-919F-0AD58F350D84}"/>
    <cellStyle name="Comma 11 9 3 2" xfId="12878" xr:uid="{CEE41017-FD4E-4DEB-9478-6D9B6E689927}"/>
    <cellStyle name="Comma 11 9 3 2 2" xfId="27998" xr:uid="{C0EACA40-4675-48DA-8885-BD48657B960E}"/>
    <cellStyle name="Comma 11 9 3 2 2 2" xfId="58238" xr:uid="{36796BA2-42AE-4CE5-AE3B-E80A11B98ABB}"/>
    <cellStyle name="Comma 11 9 3 2 3" xfId="43118" xr:uid="{09FF3182-9DD5-4992-9AA1-37E5191CDB08}"/>
    <cellStyle name="Comma 11 9 3 3" xfId="18926" xr:uid="{77BFA6C5-EF58-447E-AEBC-D05415D564DD}"/>
    <cellStyle name="Comma 11 9 3 3 2" xfId="49166" xr:uid="{B1E5C7FB-9F92-4895-9378-9AD57CC6359D}"/>
    <cellStyle name="Comma 11 9 3 4" xfId="34046" xr:uid="{F46AEED8-4E62-4FBE-8EBD-7097D525ED9C}"/>
    <cellStyle name="Comma 11 9 4" xfId="5318" xr:uid="{B82B3769-4E0B-40EF-BE82-354B7A321FFB}"/>
    <cellStyle name="Comma 11 9 4 2" xfId="14390" xr:uid="{FAEBA5EC-DE33-4209-929D-7FE1B8A3156C}"/>
    <cellStyle name="Comma 11 9 4 2 2" xfId="29510" xr:uid="{EEB2DFB3-9775-430F-864B-52480B266756}"/>
    <cellStyle name="Comma 11 9 4 2 2 2" xfId="59750" xr:uid="{30CF0A4B-C179-4547-A8F1-92048AFC10FC}"/>
    <cellStyle name="Comma 11 9 4 2 3" xfId="44630" xr:uid="{E9FFAB3A-B198-4C52-A34D-E19849000C71}"/>
    <cellStyle name="Comma 11 9 4 3" xfId="20438" xr:uid="{06E17BFC-A91D-4E70-B63C-4528FAB73669}"/>
    <cellStyle name="Comma 11 9 4 3 2" xfId="50678" xr:uid="{D4B4A497-6924-4B50-91F1-18A4DFCE4F6B}"/>
    <cellStyle name="Comma 11 9 4 4" xfId="35558" xr:uid="{AF6B5A7F-C844-4A4A-8657-2CB680CBE923}"/>
    <cellStyle name="Comma 11 9 5" xfId="6830" xr:uid="{28029DEE-0392-4141-AA9D-297583072647}"/>
    <cellStyle name="Comma 11 9 5 2" xfId="21950" xr:uid="{843AADAD-0145-40E2-B76C-A765EEB7259E}"/>
    <cellStyle name="Comma 11 9 5 2 2" xfId="52190" xr:uid="{7A6E7708-E331-4C9B-8A11-66C2DAB5A7E8}"/>
    <cellStyle name="Comma 11 9 5 3" xfId="37070" xr:uid="{6F97F6AA-D647-4A2B-BAE0-953DCD293E2D}"/>
    <cellStyle name="Comma 11 9 6" xfId="8342" xr:uid="{1DC4B436-EEFE-4F6A-8EEA-F7EBCDFF58F8}"/>
    <cellStyle name="Comma 11 9 6 2" xfId="23462" xr:uid="{D461BBFF-AA05-476A-92DC-7C4A4A172C74}"/>
    <cellStyle name="Comma 11 9 6 2 2" xfId="53702" xr:uid="{605DA376-0BB1-492C-8B09-F63B6AA6E001}"/>
    <cellStyle name="Comma 11 9 6 3" xfId="38582" xr:uid="{5CF887E9-E536-424C-AA43-AA22D60EA74F}"/>
    <cellStyle name="Comma 11 9 7" xfId="9854" xr:uid="{D211EB07-8AB7-4698-909E-52794AEBED90}"/>
    <cellStyle name="Comma 11 9 7 2" xfId="24974" xr:uid="{4C2E5EDC-D63F-4FAB-B809-AE4AFA7DA5B3}"/>
    <cellStyle name="Comma 11 9 7 2 2" xfId="55214" xr:uid="{3B442080-A43A-42FB-82F7-E171D6D275C0}"/>
    <cellStyle name="Comma 11 9 7 3" xfId="40094" xr:uid="{853DD9E3-E210-4E96-BD4A-A30D2D6B435B}"/>
    <cellStyle name="Comma 11 9 8" xfId="15902" xr:uid="{0AAF288B-72BD-4809-AC4C-214F9709C8E7}"/>
    <cellStyle name="Comma 11 9 8 2" xfId="46142" xr:uid="{505A20BD-E097-4629-AFE9-26266FF0ADF4}"/>
    <cellStyle name="Comma 11 9 9" xfId="31022" xr:uid="{A98A375A-78CD-41AE-960E-57AF79951D23}"/>
    <cellStyle name="Comma 12" xfId="27" xr:uid="{5985531E-0D3F-4569-843C-37C31F2BF0D5}"/>
    <cellStyle name="Comma 12 10" xfId="1539" xr:uid="{EAA7A694-A55B-4E0B-97B4-58D5A652F57A}"/>
    <cellStyle name="Comma 12 10 2" xfId="10611" xr:uid="{E19B2180-7B7C-46AD-9B4D-05C58E7BBCF7}"/>
    <cellStyle name="Comma 12 10 2 2" xfId="25731" xr:uid="{ABD54BAD-4C66-4620-8494-EFF9F324FA8C}"/>
    <cellStyle name="Comma 12 10 2 2 2" xfId="55971" xr:uid="{759395B9-A986-46B9-9E77-8B23328B3876}"/>
    <cellStyle name="Comma 12 10 2 3" xfId="40851" xr:uid="{86CAA51D-BFCD-4525-B599-8FF44E831870}"/>
    <cellStyle name="Comma 12 10 3" xfId="16659" xr:uid="{2BFA32BC-9778-4EC5-B9FB-93219A8812BD}"/>
    <cellStyle name="Comma 12 10 3 2" xfId="46899" xr:uid="{FB0733A9-8B86-423A-907B-27A400B59A1B}"/>
    <cellStyle name="Comma 12 10 4" xfId="31779" xr:uid="{2A3C9427-F5C2-40FA-B86B-42685996DA93}"/>
    <cellStyle name="Comma 12 11" xfId="3051" xr:uid="{31C63AA1-DF2C-4B9A-8934-D745077A16AD}"/>
    <cellStyle name="Comma 12 11 2" xfId="12123" xr:uid="{BF31FD25-FF0F-4A34-9DAB-1D81569001BC}"/>
    <cellStyle name="Comma 12 11 2 2" xfId="27243" xr:uid="{1454C2B6-13B5-4094-A233-B2075BF0047B}"/>
    <cellStyle name="Comma 12 11 2 2 2" xfId="57483" xr:uid="{243EBE44-A4B8-4C5A-B113-7318BA75FEEA}"/>
    <cellStyle name="Comma 12 11 2 3" xfId="42363" xr:uid="{7A3C9FDA-F554-4DDB-AAA9-AE488E218C0E}"/>
    <cellStyle name="Comma 12 11 3" xfId="18171" xr:uid="{FBC0723C-44B7-4940-908F-50D88FE4D0B0}"/>
    <cellStyle name="Comma 12 11 3 2" xfId="48411" xr:uid="{F41771B2-44A8-49AF-BD00-569624C133CA}"/>
    <cellStyle name="Comma 12 11 4" xfId="33291" xr:uid="{C9D4B7F5-38FA-4B8F-9ED2-089B09479369}"/>
    <cellStyle name="Comma 12 12" xfId="4563" xr:uid="{9DF958C5-05DE-4E29-ADC7-72793748133E}"/>
    <cellStyle name="Comma 12 12 2" xfId="13635" xr:uid="{3EC17E56-DBCB-4F79-97BC-3E6E26070955}"/>
    <cellStyle name="Comma 12 12 2 2" xfId="28755" xr:uid="{4A973E4E-1E9C-4D86-83DF-07C4FA119404}"/>
    <cellStyle name="Comma 12 12 2 2 2" xfId="58995" xr:uid="{44DF68E3-C09C-4732-BE0C-9F0DDBDF7590}"/>
    <cellStyle name="Comma 12 12 2 3" xfId="43875" xr:uid="{B28EE4D1-A10C-4E45-A221-5C9E46DE7BFE}"/>
    <cellStyle name="Comma 12 12 3" xfId="19683" xr:uid="{A6035F76-4028-414C-83EF-03F68F8E0F05}"/>
    <cellStyle name="Comma 12 12 3 2" xfId="49923" xr:uid="{AF37AFD3-92F5-458E-80AD-A8494ED92133}"/>
    <cellStyle name="Comma 12 12 4" xfId="34803" xr:uid="{24FE2804-B65D-4E74-9F0F-AAA9C72F1973}"/>
    <cellStyle name="Comma 12 13" xfId="6075" xr:uid="{3D876278-594E-4E4C-BA0E-BD49D77A7DDD}"/>
    <cellStyle name="Comma 12 13 2" xfId="21195" xr:uid="{53E5D0DF-4239-4559-94EB-8BB590738470}"/>
    <cellStyle name="Comma 12 13 2 2" xfId="51435" xr:uid="{ECB69978-B2EB-42E7-B4FD-6DAD6BD76064}"/>
    <cellStyle name="Comma 12 13 3" xfId="36315" xr:uid="{18B388FD-0534-4701-B338-E2FCF403CCF9}"/>
    <cellStyle name="Comma 12 14" xfId="7587" xr:uid="{5BD4D3D4-C86F-47A1-AB61-EE3D8E6A7F60}"/>
    <cellStyle name="Comma 12 14 2" xfId="22707" xr:uid="{D6B94772-D608-47E0-AEE8-02C4540CBE63}"/>
    <cellStyle name="Comma 12 14 2 2" xfId="52947" xr:uid="{B0BEB2C2-CF82-47BC-82B0-AEAF25D4D901}"/>
    <cellStyle name="Comma 12 14 3" xfId="37827" xr:uid="{45D404A4-961C-4A1C-96A3-AA29D0F41E2D}"/>
    <cellStyle name="Comma 12 15" xfId="9099" xr:uid="{8A52C19D-7484-4E10-B6D2-E8D51EDFF164}"/>
    <cellStyle name="Comma 12 15 2" xfId="24219" xr:uid="{B5FEFAEC-8CB4-4DEF-8254-9AB20E7E1FF0}"/>
    <cellStyle name="Comma 12 15 2 2" xfId="54459" xr:uid="{D77170C4-CC89-4243-9A83-072B45643086}"/>
    <cellStyle name="Comma 12 15 3" xfId="39339" xr:uid="{7FA8B4A6-982B-4F83-AAC6-2D9F036FB552}"/>
    <cellStyle name="Comma 12 16" xfId="15147" xr:uid="{42D1ADB7-B338-4C41-B235-A405898BA73D}"/>
    <cellStyle name="Comma 12 16 2" xfId="45387" xr:uid="{44C3877F-7565-4FD9-B842-A7600CBC7F03}"/>
    <cellStyle name="Comma 12 17" xfId="30267" xr:uid="{3F4159AE-C972-49FC-92E6-88599602B8FD}"/>
    <cellStyle name="Comma 12 2" xfId="41" xr:uid="{2AF42A05-4460-420C-BA01-791408CF0A49}"/>
    <cellStyle name="Comma 12 2 10" xfId="4577" xr:uid="{CA0E4FA3-2253-4C34-AE62-3DD49E461D06}"/>
    <cellStyle name="Comma 12 2 10 2" xfId="13649" xr:uid="{0134E985-850C-49E5-A2DC-9B0230BEEE92}"/>
    <cellStyle name="Comma 12 2 10 2 2" xfId="28769" xr:uid="{93EB3969-3E79-4F8D-969A-E4421C352CA5}"/>
    <cellStyle name="Comma 12 2 10 2 2 2" xfId="59009" xr:uid="{B32EB9C6-90A4-489E-A474-5A433A85E613}"/>
    <cellStyle name="Comma 12 2 10 2 3" xfId="43889" xr:uid="{369ECB39-2E17-46F6-8180-A8D06B740F84}"/>
    <cellStyle name="Comma 12 2 10 3" xfId="19697" xr:uid="{B4D5C710-6FC3-43B1-A3B8-C6C504DB0F35}"/>
    <cellStyle name="Comma 12 2 10 3 2" xfId="49937" xr:uid="{6BD87BA7-CB19-402A-9CB4-15242F9EFC91}"/>
    <cellStyle name="Comma 12 2 10 4" xfId="34817" xr:uid="{8A5B49DE-D62B-412E-B3C3-870379E7166C}"/>
    <cellStyle name="Comma 12 2 11" xfId="6089" xr:uid="{FFC18201-475C-4697-AD54-B746A782F15D}"/>
    <cellStyle name="Comma 12 2 11 2" xfId="21209" xr:uid="{B2A326A9-BD13-4F4E-83E8-7E53E782B37A}"/>
    <cellStyle name="Comma 12 2 11 2 2" xfId="51449" xr:uid="{D26B29EB-BBEC-40C8-B941-28F61E4F2B1F}"/>
    <cellStyle name="Comma 12 2 11 3" xfId="36329" xr:uid="{2FD3799B-2867-4D0E-A164-F7286B30688F}"/>
    <cellStyle name="Comma 12 2 12" xfId="7601" xr:uid="{01E31AC7-B6A9-4E2A-82E3-311E8E2BC533}"/>
    <cellStyle name="Comma 12 2 12 2" xfId="22721" xr:uid="{CF5FC7B9-1B45-4988-87C1-E2567B98F552}"/>
    <cellStyle name="Comma 12 2 12 2 2" xfId="52961" xr:uid="{35B7BAF7-A34B-40CD-B76A-010D31F96C70}"/>
    <cellStyle name="Comma 12 2 12 3" xfId="37841" xr:uid="{38E2FE4A-99A4-47D6-A916-9C10FAB71FF1}"/>
    <cellStyle name="Comma 12 2 13" xfId="9113" xr:uid="{D4307CEB-DD11-4B7E-84CD-E2A49AA2EFB9}"/>
    <cellStyle name="Comma 12 2 13 2" xfId="24233" xr:uid="{38588847-DF60-43B9-BEEA-0C5A7061A337}"/>
    <cellStyle name="Comma 12 2 13 2 2" xfId="54473" xr:uid="{E35F83F6-D186-4833-8DEB-8DC1C6155512}"/>
    <cellStyle name="Comma 12 2 13 3" xfId="39353" xr:uid="{A0061BB2-2FEA-410A-AB04-C8901ECCE140}"/>
    <cellStyle name="Comma 12 2 14" xfId="15161" xr:uid="{ADF266D4-E2CE-406D-A958-ED1A4700C1E0}"/>
    <cellStyle name="Comma 12 2 14 2" xfId="45401" xr:uid="{1BE90C50-6783-4616-AE57-306B1DC50CC4}"/>
    <cellStyle name="Comma 12 2 15" xfId="30281" xr:uid="{0E4C7053-A545-4259-8645-E45B727190E1}"/>
    <cellStyle name="Comma 12 2 2" xfId="83" xr:uid="{FAF2BFF7-AF7C-4C2E-B46D-9DD66C75F397}"/>
    <cellStyle name="Comma 12 2 2 10" xfId="6131" xr:uid="{1CC3DC04-63A5-4B42-92EC-1A2371B5C698}"/>
    <cellStyle name="Comma 12 2 2 10 2" xfId="21251" xr:uid="{DB0664DF-4088-417E-A488-DD0FD317CA1D}"/>
    <cellStyle name="Comma 12 2 2 10 2 2" xfId="51491" xr:uid="{AE8E9E10-AF16-4D8A-B471-3CA34149AA0F}"/>
    <cellStyle name="Comma 12 2 2 10 3" xfId="36371" xr:uid="{77A28077-AE15-4749-AA37-B3CD982F2716}"/>
    <cellStyle name="Comma 12 2 2 11" xfId="7643" xr:uid="{12BEFF38-B409-469D-9479-5FE5B22A8109}"/>
    <cellStyle name="Comma 12 2 2 11 2" xfId="22763" xr:uid="{DAD9ACDC-AC27-4987-B497-CB77D5077D2B}"/>
    <cellStyle name="Comma 12 2 2 11 2 2" xfId="53003" xr:uid="{29415897-1041-4358-8981-74DCF02B0048}"/>
    <cellStyle name="Comma 12 2 2 11 3" xfId="37883" xr:uid="{E6D8EEEC-A824-4DB6-BD55-268CC41A557F}"/>
    <cellStyle name="Comma 12 2 2 12" xfId="9155" xr:uid="{166CDDBD-760E-40EC-BB62-80CB6E01C090}"/>
    <cellStyle name="Comma 12 2 2 12 2" xfId="24275" xr:uid="{D665BD70-CA9B-4D0A-902E-2076F1559A21}"/>
    <cellStyle name="Comma 12 2 2 12 2 2" xfId="54515" xr:uid="{EC3C50F5-2832-4513-A0DF-5700C63C2B0D}"/>
    <cellStyle name="Comma 12 2 2 12 3" xfId="39395" xr:uid="{D4DE2895-3F0D-4C5D-BF32-07220B3A5A38}"/>
    <cellStyle name="Comma 12 2 2 13" xfId="15203" xr:uid="{F84E8295-C72E-48C0-BA09-9BF50D45B44F}"/>
    <cellStyle name="Comma 12 2 2 13 2" xfId="45443" xr:uid="{F02ADA47-72EC-4F7B-8848-EBB2D7C11A94}"/>
    <cellStyle name="Comma 12 2 2 14" xfId="30323" xr:uid="{2A94D6E3-DFD2-4B8A-AA60-3B06BBEEB0C1}"/>
    <cellStyle name="Comma 12 2 2 2" xfId="167" xr:uid="{273C24A1-5072-4825-B9BE-6CE1032588DB}"/>
    <cellStyle name="Comma 12 2 2 2 10" xfId="9239" xr:uid="{C5D5C184-7946-4D81-9871-0128B5603837}"/>
    <cellStyle name="Comma 12 2 2 2 10 2" xfId="24359" xr:uid="{116C29FE-C430-447C-9294-30B5CBDE4D34}"/>
    <cellStyle name="Comma 12 2 2 2 10 2 2" xfId="54599" xr:uid="{FD2AE6B8-6DC8-4128-A7B9-42F33C42CBB1}"/>
    <cellStyle name="Comma 12 2 2 2 10 3" xfId="39479" xr:uid="{A37E907D-C871-4FB2-B2B6-BDFCF6CA31D3}"/>
    <cellStyle name="Comma 12 2 2 2 11" xfId="15287" xr:uid="{8DB30070-267A-44CC-9511-402A86DCA12E}"/>
    <cellStyle name="Comma 12 2 2 2 11 2" xfId="45527" xr:uid="{314A9777-29EE-4818-95A3-4FF9A70B4C53}"/>
    <cellStyle name="Comma 12 2 2 2 12" xfId="30407" xr:uid="{43BFD20D-285E-4E2A-8357-33B4379ED031}"/>
    <cellStyle name="Comma 12 2 2 2 2" xfId="419" xr:uid="{71AF151B-AEA6-45C0-AB5F-67B05D871D6D}"/>
    <cellStyle name="Comma 12 2 2 2 2 10" xfId="30659" xr:uid="{AC4618BC-6B0B-47B6-891C-EE02C50B66E6}"/>
    <cellStyle name="Comma 12 2 2 2 2 2" xfId="1175" xr:uid="{CE5FBAE8-AA0D-4C01-B093-F38B05921139}"/>
    <cellStyle name="Comma 12 2 2 2 2 2 2" xfId="2687" xr:uid="{ADC62106-5A36-4547-8C43-7B5E67203A17}"/>
    <cellStyle name="Comma 12 2 2 2 2 2 2 2" xfId="11759" xr:uid="{D5BD2CAF-99C1-4B14-95B7-2782C560AFFF}"/>
    <cellStyle name="Comma 12 2 2 2 2 2 2 2 2" xfId="26879" xr:uid="{649000F4-38EE-467F-BA52-E0D362FBA5C8}"/>
    <cellStyle name="Comma 12 2 2 2 2 2 2 2 2 2" xfId="57119" xr:uid="{20108AFF-9689-4EF6-ABC3-8A3267C830E7}"/>
    <cellStyle name="Comma 12 2 2 2 2 2 2 2 3" xfId="41999" xr:uid="{F6DB0ACA-C428-48C9-A86D-E93209779A3D}"/>
    <cellStyle name="Comma 12 2 2 2 2 2 2 3" xfId="17807" xr:uid="{CEED8DCF-9D52-414E-97F9-A24D4C1EB20A}"/>
    <cellStyle name="Comma 12 2 2 2 2 2 2 3 2" xfId="48047" xr:uid="{78C7D899-AD49-4099-9497-73095B52F6F4}"/>
    <cellStyle name="Comma 12 2 2 2 2 2 2 4" xfId="32927" xr:uid="{9F47C751-AB77-4AFE-8DA1-339917F332AD}"/>
    <cellStyle name="Comma 12 2 2 2 2 2 3" xfId="4199" xr:uid="{5659B8F5-29CD-43C1-968B-0CAA01C4CD4D}"/>
    <cellStyle name="Comma 12 2 2 2 2 2 3 2" xfId="13271" xr:uid="{F99E03B5-0966-4405-89C3-0406AFBE3445}"/>
    <cellStyle name="Comma 12 2 2 2 2 2 3 2 2" xfId="28391" xr:uid="{3B0112AB-1B4C-4F47-9437-C1904C72A97F}"/>
    <cellStyle name="Comma 12 2 2 2 2 2 3 2 2 2" xfId="58631" xr:uid="{92BFFE6B-701A-4CED-B7B3-5433EA7F6C57}"/>
    <cellStyle name="Comma 12 2 2 2 2 2 3 2 3" xfId="43511" xr:uid="{297AC3E3-882A-4BCC-B931-68290821CC39}"/>
    <cellStyle name="Comma 12 2 2 2 2 2 3 3" xfId="19319" xr:uid="{04BCDAA4-3557-4388-97B1-E844BC905737}"/>
    <cellStyle name="Comma 12 2 2 2 2 2 3 3 2" xfId="49559" xr:uid="{29C7045A-FE4D-4E7D-BDD7-98A73F005592}"/>
    <cellStyle name="Comma 12 2 2 2 2 2 3 4" xfId="34439" xr:uid="{6E77E41B-7496-4E01-B158-D7590087573B}"/>
    <cellStyle name="Comma 12 2 2 2 2 2 4" xfId="5711" xr:uid="{49BA375A-1E7A-4715-8EE2-46D6FC7C57EC}"/>
    <cellStyle name="Comma 12 2 2 2 2 2 4 2" xfId="14783" xr:uid="{44329569-326D-4E71-AE10-B11997105B16}"/>
    <cellStyle name="Comma 12 2 2 2 2 2 4 2 2" xfId="29903" xr:uid="{D13EDCEA-7CAB-4840-8F34-7E83C78975C6}"/>
    <cellStyle name="Comma 12 2 2 2 2 2 4 2 2 2" xfId="60143" xr:uid="{221A97E7-C8F1-4325-B681-051992E6DD7F}"/>
    <cellStyle name="Comma 12 2 2 2 2 2 4 2 3" xfId="45023" xr:uid="{EEABE508-0AF4-421E-87C4-4932CF545E16}"/>
    <cellStyle name="Comma 12 2 2 2 2 2 4 3" xfId="20831" xr:uid="{47F2B687-3A09-497B-8ACE-2155B00B71C6}"/>
    <cellStyle name="Comma 12 2 2 2 2 2 4 3 2" xfId="51071" xr:uid="{3BDBC637-4D98-4880-A0A6-45619595C5A1}"/>
    <cellStyle name="Comma 12 2 2 2 2 2 4 4" xfId="35951" xr:uid="{DE8E052F-BFBD-446E-8C50-906BC49DB0AB}"/>
    <cellStyle name="Comma 12 2 2 2 2 2 5" xfId="7223" xr:uid="{6BA64181-39E4-4033-B944-BB39B9F369C7}"/>
    <cellStyle name="Comma 12 2 2 2 2 2 5 2" xfId="22343" xr:uid="{76AA1BBE-D212-4190-A1FE-D42CF54C8EBB}"/>
    <cellStyle name="Comma 12 2 2 2 2 2 5 2 2" xfId="52583" xr:uid="{0BB2693C-13B3-42A3-9A3B-E15367692802}"/>
    <cellStyle name="Comma 12 2 2 2 2 2 5 3" xfId="37463" xr:uid="{D4C91E0B-88B6-400D-8DA4-EC47BDE66E9C}"/>
    <cellStyle name="Comma 12 2 2 2 2 2 6" xfId="8735" xr:uid="{001A9A42-8691-49FE-9734-44E261D492B9}"/>
    <cellStyle name="Comma 12 2 2 2 2 2 6 2" xfId="23855" xr:uid="{A52F66E4-C7BE-4DAF-BEE3-19FA315DE074}"/>
    <cellStyle name="Comma 12 2 2 2 2 2 6 2 2" xfId="54095" xr:uid="{E0AEDD0A-E867-4440-ACA5-86A2B93F9301}"/>
    <cellStyle name="Comma 12 2 2 2 2 2 6 3" xfId="38975" xr:uid="{212A4F5A-B08E-4B9B-ABC9-E2BBC1CC5B09}"/>
    <cellStyle name="Comma 12 2 2 2 2 2 7" xfId="10247" xr:uid="{26D60C41-465B-4693-8000-3807F5BFD42E}"/>
    <cellStyle name="Comma 12 2 2 2 2 2 7 2" xfId="25367" xr:uid="{DF672982-EDE9-46E4-9B9E-05659A5FA9EB}"/>
    <cellStyle name="Comma 12 2 2 2 2 2 7 2 2" xfId="55607" xr:uid="{DA4D5310-38AF-4029-AF5C-953498557DEA}"/>
    <cellStyle name="Comma 12 2 2 2 2 2 7 3" xfId="40487" xr:uid="{950985A5-3B31-4D1B-B629-381C1819445A}"/>
    <cellStyle name="Comma 12 2 2 2 2 2 8" xfId="16295" xr:uid="{607432CA-6048-443D-910D-F4A27DDD6409}"/>
    <cellStyle name="Comma 12 2 2 2 2 2 8 2" xfId="46535" xr:uid="{515BCE2B-D5FE-4E3C-AA99-27EF324F0D7A}"/>
    <cellStyle name="Comma 12 2 2 2 2 2 9" xfId="31415" xr:uid="{039B06C9-253E-4137-BE29-150408CB0FC6}"/>
    <cellStyle name="Comma 12 2 2 2 2 3" xfId="1931" xr:uid="{DDF6F702-C82D-4FCB-8865-DD5E6D6576D3}"/>
    <cellStyle name="Comma 12 2 2 2 2 3 2" xfId="11003" xr:uid="{5374AA2F-C293-46E4-B28B-E1F965DB1BE2}"/>
    <cellStyle name="Comma 12 2 2 2 2 3 2 2" xfId="26123" xr:uid="{B686ADB2-5AFE-40D6-98DF-966536DEBAA8}"/>
    <cellStyle name="Comma 12 2 2 2 2 3 2 2 2" xfId="56363" xr:uid="{74309200-FD15-44B1-8151-02E3012ACB2A}"/>
    <cellStyle name="Comma 12 2 2 2 2 3 2 3" xfId="41243" xr:uid="{65C5EAD2-5B4E-4EBE-BF25-3B17CA7ED541}"/>
    <cellStyle name="Comma 12 2 2 2 2 3 3" xfId="17051" xr:uid="{387173C9-7936-46BE-BBF2-32870ECF8962}"/>
    <cellStyle name="Comma 12 2 2 2 2 3 3 2" xfId="47291" xr:uid="{B2149DCE-4485-4910-9942-DF0EFB2A91AA}"/>
    <cellStyle name="Comma 12 2 2 2 2 3 4" xfId="32171" xr:uid="{2D1CFCF2-3C07-40C7-B959-B3C73022B5DD}"/>
    <cellStyle name="Comma 12 2 2 2 2 4" xfId="3443" xr:uid="{58BAC8CB-8E28-49F4-A329-B85BEE1440AF}"/>
    <cellStyle name="Comma 12 2 2 2 2 4 2" xfId="12515" xr:uid="{A7E8D995-9A18-485E-9FE1-D5A67F884418}"/>
    <cellStyle name="Comma 12 2 2 2 2 4 2 2" xfId="27635" xr:uid="{6A867A24-7D91-45EC-9DF3-202F51B4FFF3}"/>
    <cellStyle name="Comma 12 2 2 2 2 4 2 2 2" xfId="57875" xr:uid="{6BFFD45F-594B-40CF-9872-E4DE5B02187F}"/>
    <cellStyle name="Comma 12 2 2 2 2 4 2 3" xfId="42755" xr:uid="{34E0AC8C-0C88-4772-8C67-7764391E2A2C}"/>
    <cellStyle name="Comma 12 2 2 2 2 4 3" xfId="18563" xr:uid="{CA3809CF-31A1-4AD6-BA59-B1FA92A5CA28}"/>
    <cellStyle name="Comma 12 2 2 2 2 4 3 2" xfId="48803" xr:uid="{CF6DEE22-0D67-43F7-A14C-E2C11AD6882C}"/>
    <cellStyle name="Comma 12 2 2 2 2 4 4" xfId="33683" xr:uid="{F1D42CED-178A-47A0-93E5-50D878FC9849}"/>
    <cellStyle name="Comma 12 2 2 2 2 5" xfId="4955" xr:uid="{7CEBF59F-E1A1-4805-8CC2-5371CAA74E67}"/>
    <cellStyle name="Comma 12 2 2 2 2 5 2" xfId="14027" xr:uid="{2C5DEAC2-1C3B-44D9-BD31-868F953A8B22}"/>
    <cellStyle name="Comma 12 2 2 2 2 5 2 2" xfId="29147" xr:uid="{9609B783-0498-4A01-941E-7BDF36315509}"/>
    <cellStyle name="Comma 12 2 2 2 2 5 2 2 2" xfId="59387" xr:uid="{A265A334-5CE2-4BFE-9592-B2E302BB49D1}"/>
    <cellStyle name="Comma 12 2 2 2 2 5 2 3" xfId="44267" xr:uid="{7DC07EC3-3B31-4C29-917E-FD19D178DF17}"/>
    <cellStyle name="Comma 12 2 2 2 2 5 3" xfId="20075" xr:uid="{C08F6489-749B-4972-A057-3F3384B040FB}"/>
    <cellStyle name="Comma 12 2 2 2 2 5 3 2" xfId="50315" xr:uid="{CF4425EA-7D84-4AA9-BA78-14506A513753}"/>
    <cellStyle name="Comma 12 2 2 2 2 5 4" xfId="35195" xr:uid="{C6D73399-F827-4CC3-887C-FA2E42BD8CBF}"/>
    <cellStyle name="Comma 12 2 2 2 2 6" xfId="6467" xr:uid="{7B2ADD83-33AA-4322-A3C7-F544D25503F5}"/>
    <cellStyle name="Comma 12 2 2 2 2 6 2" xfId="21587" xr:uid="{971A53D6-2B28-4C9A-A539-4BA10EC45940}"/>
    <cellStyle name="Comma 12 2 2 2 2 6 2 2" xfId="51827" xr:uid="{D291A553-827D-4282-85E0-D5656BC3B94B}"/>
    <cellStyle name="Comma 12 2 2 2 2 6 3" xfId="36707" xr:uid="{92EE9A15-CCB5-4297-9CF2-2EBAD3BCCE06}"/>
    <cellStyle name="Comma 12 2 2 2 2 7" xfId="7979" xr:uid="{35F76EBC-CA45-4254-87B2-66283894B576}"/>
    <cellStyle name="Comma 12 2 2 2 2 7 2" xfId="23099" xr:uid="{0E8B00C6-3F65-40F2-82E8-207A756E1C1A}"/>
    <cellStyle name="Comma 12 2 2 2 2 7 2 2" xfId="53339" xr:uid="{B3D43E26-4C47-4AD6-8514-2DB357FD81D9}"/>
    <cellStyle name="Comma 12 2 2 2 2 7 3" xfId="38219" xr:uid="{B18D73B3-C12F-42DB-8404-9983A248F574}"/>
    <cellStyle name="Comma 12 2 2 2 2 8" xfId="9491" xr:uid="{14E98848-A2FB-4126-BF1F-2DCE63B275E8}"/>
    <cellStyle name="Comma 12 2 2 2 2 8 2" xfId="24611" xr:uid="{14DB774A-40A3-46C1-930B-F27B704DC07F}"/>
    <cellStyle name="Comma 12 2 2 2 2 8 2 2" xfId="54851" xr:uid="{2C07C5C9-ED59-4A7A-ACFE-48DDAC273873}"/>
    <cellStyle name="Comma 12 2 2 2 2 8 3" xfId="39731" xr:uid="{3D362B62-619C-4E40-8463-E65B02F362BC}"/>
    <cellStyle name="Comma 12 2 2 2 2 9" xfId="15539" xr:uid="{CD8C3A89-37B0-46D0-8274-D2C856889DED}"/>
    <cellStyle name="Comma 12 2 2 2 2 9 2" xfId="45779" xr:uid="{5E3BA74D-CDD1-4365-A5DC-016140CA0710}"/>
    <cellStyle name="Comma 12 2 2 2 3" xfId="671" xr:uid="{0316814C-7A8A-4150-A8A8-0E010FC3E75D}"/>
    <cellStyle name="Comma 12 2 2 2 3 10" xfId="30911" xr:uid="{BF4497B9-C69B-4EE5-8449-933574FFDB8E}"/>
    <cellStyle name="Comma 12 2 2 2 3 2" xfId="1427" xr:uid="{43E4F72A-6317-429A-BBC2-8BE5046CD2E9}"/>
    <cellStyle name="Comma 12 2 2 2 3 2 2" xfId="2939" xr:uid="{35E536F6-852C-4BE5-968A-EB65576B4180}"/>
    <cellStyle name="Comma 12 2 2 2 3 2 2 2" xfId="12011" xr:uid="{9B2CFF60-A112-48A5-AE88-812BB6160DE1}"/>
    <cellStyle name="Comma 12 2 2 2 3 2 2 2 2" xfId="27131" xr:uid="{6FDAF57B-B6CA-40AE-9B7D-123E4FBB8FDF}"/>
    <cellStyle name="Comma 12 2 2 2 3 2 2 2 2 2" xfId="57371" xr:uid="{B5D58EC4-5BA5-4D7F-AC3D-05FC87B19176}"/>
    <cellStyle name="Comma 12 2 2 2 3 2 2 2 3" xfId="42251" xr:uid="{33DFB662-D571-429D-B432-22A255B9890E}"/>
    <cellStyle name="Comma 12 2 2 2 3 2 2 3" xfId="18059" xr:uid="{275E224E-5559-48F0-828B-C3CBDD81D21D}"/>
    <cellStyle name="Comma 12 2 2 2 3 2 2 3 2" xfId="48299" xr:uid="{E971FB4E-7788-4591-84A1-59EC66937F84}"/>
    <cellStyle name="Comma 12 2 2 2 3 2 2 4" xfId="33179" xr:uid="{0A493517-4205-4732-A0B6-90FE95307B31}"/>
    <cellStyle name="Comma 12 2 2 2 3 2 3" xfId="4451" xr:uid="{59E2249D-C6B2-4033-9DC8-D9EFA5F07AD4}"/>
    <cellStyle name="Comma 12 2 2 2 3 2 3 2" xfId="13523" xr:uid="{81320B89-39E6-48A7-8F30-70F196215968}"/>
    <cellStyle name="Comma 12 2 2 2 3 2 3 2 2" xfId="28643" xr:uid="{0CD699BE-2D5D-48C8-A743-A38DD50CBB0D}"/>
    <cellStyle name="Comma 12 2 2 2 3 2 3 2 2 2" xfId="58883" xr:uid="{D77BE7F2-3A61-4E0A-92B3-B8D99819DFE6}"/>
    <cellStyle name="Comma 12 2 2 2 3 2 3 2 3" xfId="43763" xr:uid="{66593C92-78C0-44C3-8053-7973DC642836}"/>
    <cellStyle name="Comma 12 2 2 2 3 2 3 3" xfId="19571" xr:uid="{7EC630BF-98D3-41DF-8825-8494FD8F6427}"/>
    <cellStyle name="Comma 12 2 2 2 3 2 3 3 2" xfId="49811" xr:uid="{B60293EF-7127-4D55-8964-76EA00AB2A1B}"/>
    <cellStyle name="Comma 12 2 2 2 3 2 3 4" xfId="34691" xr:uid="{BAFF5493-9385-4371-9419-A5F073309FC1}"/>
    <cellStyle name="Comma 12 2 2 2 3 2 4" xfId="5963" xr:uid="{294DD21A-BD74-4EC8-A9E1-3DCC1A65CC48}"/>
    <cellStyle name="Comma 12 2 2 2 3 2 4 2" xfId="15035" xr:uid="{4BCEC968-7BF9-49B2-954D-BBE04ABCA2FA}"/>
    <cellStyle name="Comma 12 2 2 2 3 2 4 2 2" xfId="30155" xr:uid="{D3392655-416F-478C-BA0F-49C79B279904}"/>
    <cellStyle name="Comma 12 2 2 2 3 2 4 2 2 2" xfId="60395" xr:uid="{63A20386-7C57-465E-B315-960D33766150}"/>
    <cellStyle name="Comma 12 2 2 2 3 2 4 2 3" xfId="45275" xr:uid="{56076CF4-0EC8-417B-9B35-7B57C1315DE0}"/>
    <cellStyle name="Comma 12 2 2 2 3 2 4 3" xfId="21083" xr:uid="{FB3496E4-E775-481A-A75D-FCDB84D72EE2}"/>
    <cellStyle name="Comma 12 2 2 2 3 2 4 3 2" xfId="51323" xr:uid="{D0A36610-9C07-4C3F-A600-4118812F61E2}"/>
    <cellStyle name="Comma 12 2 2 2 3 2 4 4" xfId="36203" xr:uid="{0A26777A-D12B-4BCD-9833-961D13315F79}"/>
    <cellStyle name="Comma 12 2 2 2 3 2 5" xfId="7475" xr:uid="{FB8F861F-76CA-4FE9-B880-5F19703BBCBA}"/>
    <cellStyle name="Comma 12 2 2 2 3 2 5 2" xfId="22595" xr:uid="{55F0C32A-5A79-44DA-AD65-F3BC9E4E4A9C}"/>
    <cellStyle name="Comma 12 2 2 2 3 2 5 2 2" xfId="52835" xr:uid="{8601308D-E14D-478F-8F10-F8FBFCD18193}"/>
    <cellStyle name="Comma 12 2 2 2 3 2 5 3" xfId="37715" xr:uid="{FFC3FE70-32C7-4362-B583-A5A6F3802237}"/>
    <cellStyle name="Comma 12 2 2 2 3 2 6" xfId="8987" xr:uid="{B58D07D1-E777-41E0-B920-1F5903F412A9}"/>
    <cellStyle name="Comma 12 2 2 2 3 2 6 2" xfId="24107" xr:uid="{A74F43F0-2754-4AD2-94B0-8E683B13ED20}"/>
    <cellStyle name="Comma 12 2 2 2 3 2 6 2 2" xfId="54347" xr:uid="{9F445E85-AD7A-4E7D-B339-26A4E220534E}"/>
    <cellStyle name="Comma 12 2 2 2 3 2 6 3" xfId="39227" xr:uid="{DDD251E3-6497-4A78-A455-795260D65CEF}"/>
    <cellStyle name="Comma 12 2 2 2 3 2 7" xfId="10499" xr:uid="{5B885564-6ABA-48D5-A1D7-FA73BAEE0DCE}"/>
    <cellStyle name="Comma 12 2 2 2 3 2 7 2" xfId="25619" xr:uid="{A205D268-BE2B-40EA-8639-B7E4F7C2C988}"/>
    <cellStyle name="Comma 12 2 2 2 3 2 7 2 2" xfId="55859" xr:uid="{8DC1FAEE-C16C-45BB-AE0A-F9667A8A5C63}"/>
    <cellStyle name="Comma 12 2 2 2 3 2 7 3" xfId="40739" xr:uid="{2FC43F12-2CDD-4FEC-8E0A-04A2F66D9C30}"/>
    <cellStyle name="Comma 12 2 2 2 3 2 8" xfId="16547" xr:uid="{51A914B8-1716-4FC4-953D-7F8DB2FD6AB7}"/>
    <cellStyle name="Comma 12 2 2 2 3 2 8 2" xfId="46787" xr:uid="{43BA1090-000B-4695-9806-FF648F5A2724}"/>
    <cellStyle name="Comma 12 2 2 2 3 2 9" xfId="31667" xr:uid="{68A4530C-A225-4EF5-8DE3-D41E9DDAC073}"/>
    <cellStyle name="Comma 12 2 2 2 3 3" xfId="2183" xr:uid="{42FA45BA-9FD2-401C-A3F0-7235BC199A0D}"/>
    <cellStyle name="Comma 12 2 2 2 3 3 2" xfId="11255" xr:uid="{F2C65FD0-77F9-4541-BB29-7BCBE1629B85}"/>
    <cellStyle name="Comma 12 2 2 2 3 3 2 2" xfId="26375" xr:uid="{EEFFE556-9516-4C61-A459-2CF6D519D9DD}"/>
    <cellStyle name="Comma 12 2 2 2 3 3 2 2 2" xfId="56615" xr:uid="{9355BA6C-424C-42EA-B2EC-36CCF09A6959}"/>
    <cellStyle name="Comma 12 2 2 2 3 3 2 3" xfId="41495" xr:uid="{B3E24DBB-9C15-41AB-9D8C-3F9999B1F4F6}"/>
    <cellStyle name="Comma 12 2 2 2 3 3 3" xfId="17303" xr:uid="{C51AD80F-5313-46D6-A76B-C34E3980678B}"/>
    <cellStyle name="Comma 12 2 2 2 3 3 3 2" xfId="47543" xr:uid="{D29E9EB6-C7D2-4175-B092-4F4BA213CF56}"/>
    <cellStyle name="Comma 12 2 2 2 3 3 4" xfId="32423" xr:uid="{7866A639-9391-4F3B-9492-69A1A3B690F7}"/>
    <cellStyle name="Comma 12 2 2 2 3 4" xfId="3695" xr:uid="{EBE4DEC0-482C-4AEA-BC7D-F71CBEB0C40A}"/>
    <cellStyle name="Comma 12 2 2 2 3 4 2" xfId="12767" xr:uid="{2C33F6C5-88B3-4642-A659-ADE0CC12EDD3}"/>
    <cellStyle name="Comma 12 2 2 2 3 4 2 2" xfId="27887" xr:uid="{200D3985-5D1E-4805-A28D-7CA56A485E24}"/>
    <cellStyle name="Comma 12 2 2 2 3 4 2 2 2" xfId="58127" xr:uid="{748AF19D-4A4E-410A-A87C-B92B9EDD6108}"/>
    <cellStyle name="Comma 12 2 2 2 3 4 2 3" xfId="43007" xr:uid="{89192408-C60D-4141-BF8B-A92C8A868D09}"/>
    <cellStyle name="Comma 12 2 2 2 3 4 3" xfId="18815" xr:uid="{BD24FBB8-543D-4732-BCB7-608E563950D3}"/>
    <cellStyle name="Comma 12 2 2 2 3 4 3 2" xfId="49055" xr:uid="{F740CA8D-E888-45F0-8C7F-481AAD7486D9}"/>
    <cellStyle name="Comma 12 2 2 2 3 4 4" xfId="33935" xr:uid="{60198151-6A7F-4A8C-901B-E51F0D82066E}"/>
    <cellStyle name="Comma 12 2 2 2 3 5" xfId="5207" xr:uid="{7D61C0C8-8786-4C42-8C5D-C6D376156B75}"/>
    <cellStyle name="Comma 12 2 2 2 3 5 2" xfId="14279" xr:uid="{F181225A-29B0-4414-B727-957B05A7D52D}"/>
    <cellStyle name="Comma 12 2 2 2 3 5 2 2" xfId="29399" xr:uid="{EB7738AC-E5F4-453A-B9EF-1F733CEE690E}"/>
    <cellStyle name="Comma 12 2 2 2 3 5 2 2 2" xfId="59639" xr:uid="{3EB4B382-7703-4518-A176-0C2A0345F9D5}"/>
    <cellStyle name="Comma 12 2 2 2 3 5 2 3" xfId="44519" xr:uid="{DB36E6DC-D679-41F2-90A5-AB5A68BB02C8}"/>
    <cellStyle name="Comma 12 2 2 2 3 5 3" xfId="20327" xr:uid="{95256034-37E6-4652-9527-A5125CC599C8}"/>
    <cellStyle name="Comma 12 2 2 2 3 5 3 2" xfId="50567" xr:uid="{066B9EB5-489E-43B9-9359-FB65DA3237BE}"/>
    <cellStyle name="Comma 12 2 2 2 3 5 4" xfId="35447" xr:uid="{782717F1-B767-4971-B65C-64451404D828}"/>
    <cellStyle name="Comma 12 2 2 2 3 6" xfId="6719" xr:uid="{DB400004-1F8D-42E7-B519-478F2FD385F8}"/>
    <cellStyle name="Comma 12 2 2 2 3 6 2" xfId="21839" xr:uid="{EB5F1EBA-0AFA-4A6F-A583-87A648112F27}"/>
    <cellStyle name="Comma 12 2 2 2 3 6 2 2" xfId="52079" xr:uid="{778DACE0-1F5F-4AAB-9301-74A649A4C8D6}"/>
    <cellStyle name="Comma 12 2 2 2 3 6 3" xfId="36959" xr:uid="{0BD30354-9224-4B97-B6F5-AD911129ED7C}"/>
    <cellStyle name="Comma 12 2 2 2 3 7" xfId="8231" xr:uid="{D32F078E-507B-4A0D-B980-F69DD613154A}"/>
    <cellStyle name="Comma 12 2 2 2 3 7 2" xfId="23351" xr:uid="{BAF454C1-2FAA-45E9-B5CB-B1AF1E453564}"/>
    <cellStyle name="Comma 12 2 2 2 3 7 2 2" xfId="53591" xr:uid="{738FD2C8-D6DD-40CC-BBDB-08C9D937C47B}"/>
    <cellStyle name="Comma 12 2 2 2 3 7 3" xfId="38471" xr:uid="{81666870-1704-4D4E-809F-674554DAE9BB}"/>
    <cellStyle name="Comma 12 2 2 2 3 8" xfId="9743" xr:uid="{4F53FA41-6909-4145-84D6-99DAA8C1F6A9}"/>
    <cellStyle name="Comma 12 2 2 2 3 8 2" xfId="24863" xr:uid="{1FB324C4-437E-4824-AF53-9B5991972543}"/>
    <cellStyle name="Comma 12 2 2 2 3 8 2 2" xfId="55103" xr:uid="{0FDA7E87-E75A-4E05-B5B2-68D539678068}"/>
    <cellStyle name="Comma 12 2 2 2 3 8 3" xfId="39983" xr:uid="{C350EF32-B8F0-4AFF-ABA4-0E02EBE75F79}"/>
    <cellStyle name="Comma 12 2 2 2 3 9" xfId="15791" xr:uid="{50091F81-5407-4F9C-B203-1E99714563FE}"/>
    <cellStyle name="Comma 12 2 2 2 3 9 2" xfId="46031" xr:uid="{5C30838A-627A-401E-B30A-CB3716B0AECE}"/>
    <cellStyle name="Comma 12 2 2 2 4" xfId="923" xr:uid="{1B617A07-7DFC-4003-9144-07668D0F1279}"/>
    <cellStyle name="Comma 12 2 2 2 4 2" xfId="2435" xr:uid="{A3017486-34C2-4DD9-B681-D5F0A81AE046}"/>
    <cellStyle name="Comma 12 2 2 2 4 2 2" xfId="11507" xr:uid="{A70CDA4D-7D16-4194-B8BC-E26369B93427}"/>
    <cellStyle name="Comma 12 2 2 2 4 2 2 2" xfId="26627" xr:uid="{CF79789C-A7A1-4756-A5DE-84278A1DEBEB}"/>
    <cellStyle name="Comma 12 2 2 2 4 2 2 2 2" xfId="56867" xr:uid="{A9FDE742-CA42-4D2F-8956-BCF2D17B38EE}"/>
    <cellStyle name="Comma 12 2 2 2 4 2 2 3" xfId="41747" xr:uid="{F2880B08-EB68-45A1-BFDE-FB97D28F69C0}"/>
    <cellStyle name="Comma 12 2 2 2 4 2 3" xfId="17555" xr:uid="{EB7B7194-5A8D-4E1F-8B0C-44AD636C5021}"/>
    <cellStyle name="Comma 12 2 2 2 4 2 3 2" xfId="47795" xr:uid="{42B1070F-4786-43C9-B715-5C6714162E30}"/>
    <cellStyle name="Comma 12 2 2 2 4 2 4" xfId="32675" xr:uid="{4E735E7B-E27D-4356-817F-C3CA093BC7B0}"/>
    <cellStyle name="Comma 12 2 2 2 4 3" xfId="3947" xr:uid="{7DCEE6A2-2E00-494F-B9C6-00FD7E8BB041}"/>
    <cellStyle name="Comma 12 2 2 2 4 3 2" xfId="13019" xr:uid="{5C54511C-E7D0-4CC9-86C1-DB171C59ED98}"/>
    <cellStyle name="Comma 12 2 2 2 4 3 2 2" xfId="28139" xr:uid="{484B9C26-D3EC-482C-A57E-CAE094D38CB4}"/>
    <cellStyle name="Comma 12 2 2 2 4 3 2 2 2" xfId="58379" xr:uid="{1836BD5D-53B9-40CE-82F1-670CB1D9C492}"/>
    <cellStyle name="Comma 12 2 2 2 4 3 2 3" xfId="43259" xr:uid="{356D01C4-3437-4358-8AC2-34B15C8BEAA6}"/>
    <cellStyle name="Comma 12 2 2 2 4 3 3" xfId="19067" xr:uid="{FC825806-C0AE-4E80-826B-AE3EAA42B49B}"/>
    <cellStyle name="Comma 12 2 2 2 4 3 3 2" xfId="49307" xr:uid="{8C44BDF5-C7D5-4851-9039-5AB2A3647F59}"/>
    <cellStyle name="Comma 12 2 2 2 4 3 4" xfId="34187" xr:uid="{F3133AFA-18B3-4F62-9E69-60BE9A68105F}"/>
    <cellStyle name="Comma 12 2 2 2 4 4" xfId="5459" xr:uid="{44E486FA-AD80-4D4C-8F7C-B2F97B7F82E1}"/>
    <cellStyle name="Comma 12 2 2 2 4 4 2" xfId="14531" xr:uid="{AF875C45-923C-4ADB-8995-CE855E19CA05}"/>
    <cellStyle name="Comma 12 2 2 2 4 4 2 2" xfId="29651" xr:uid="{B40C2F96-D019-4E87-A7FA-3EAFA4620FF7}"/>
    <cellStyle name="Comma 12 2 2 2 4 4 2 2 2" xfId="59891" xr:uid="{27856482-07F0-4E90-81F2-B3932263CD7B}"/>
    <cellStyle name="Comma 12 2 2 2 4 4 2 3" xfId="44771" xr:uid="{CC563CB6-B821-4C44-9A0A-B6BD0DD0DCBD}"/>
    <cellStyle name="Comma 12 2 2 2 4 4 3" xfId="20579" xr:uid="{24BDF0B0-76BE-42A1-9EF1-813E515126C0}"/>
    <cellStyle name="Comma 12 2 2 2 4 4 3 2" xfId="50819" xr:uid="{F6E4ADCC-85F3-4734-B9C6-B4FCCBE3C249}"/>
    <cellStyle name="Comma 12 2 2 2 4 4 4" xfId="35699" xr:uid="{74A7BE67-C7FA-4EB0-910C-D4115C373DEF}"/>
    <cellStyle name="Comma 12 2 2 2 4 5" xfId="6971" xr:uid="{72626212-45F8-4CED-8BAC-8B7E24A46FCE}"/>
    <cellStyle name="Comma 12 2 2 2 4 5 2" xfId="22091" xr:uid="{7E5F72CA-24DC-4CD1-B0A0-AC1DD3E0FC15}"/>
    <cellStyle name="Comma 12 2 2 2 4 5 2 2" xfId="52331" xr:uid="{14F65646-C3BE-4C9B-8CC9-022C12DBDD12}"/>
    <cellStyle name="Comma 12 2 2 2 4 5 3" xfId="37211" xr:uid="{FD96358B-4104-486F-9610-F59FFA8A195B}"/>
    <cellStyle name="Comma 12 2 2 2 4 6" xfId="8483" xr:uid="{FB9FD6E8-26A1-4C30-A26F-8D6A9D852C57}"/>
    <cellStyle name="Comma 12 2 2 2 4 6 2" xfId="23603" xr:uid="{2ACDD9AC-2F7F-4B16-BD68-193B196BE3FA}"/>
    <cellStyle name="Comma 12 2 2 2 4 6 2 2" xfId="53843" xr:uid="{CFC8F38A-458C-49B6-964D-D5761D3800D9}"/>
    <cellStyle name="Comma 12 2 2 2 4 6 3" xfId="38723" xr:uid="{958AF302-2E98-4346-B42D-20B9B4EF3F0B}"/>
    <cellStyle name="Comma 12 2 2 2 4 7" xfId="9995" xr:uid="{2D21F0E1-FD9C-41AF-ACE5-DB47BA6E90B6}"/>
    <cellStyle name="Comma 12 2 2 2 4 7 2" xfId="25115" xr:uid="{402A38BE-C403-48D1-A6FC-8014EEA551FD}"/>
    <cellStyle name="Comma 12 2 2 2 4 7 2 2" xfId="55355" xr:uid="{A8F31FF2-0B96-45B3-837D-5BE67AAE2BDC}"/>
    <cellStyle name="Comma 12 2 2 2 4 7 3" xfId="40235" xr:uid="{F9DC8D93-3540-4144-B82E-5B9F0DA7BBD5}"/>
    <cellStyle name="Comma 12 2 2 2 4 8" xfId="16043" xr:uid="{8061D47B-3A79-4A2C-9CDF-F850ADCE04DF}"/>
    <cellStyle name="Comma 12 2 2 2 4 8 2" xfId="46283" xr:uid="{CDCC1FDC-3F41-44D1-9034-6F1313367645}"/>
    <cellStyle name="Comma 12 2 2 2 4 9" xfId="31163" xr:uid="{EA3E93D0-B521-449C-A5D0-E420E4D81D7D}"/>
    <cellStyle name="Comma 12 2 2 2 5" xfId="1679" xr:uid="{441891A1-48B0-412F-A5B7-C8522570C857}"/>
    <cellStyle name="Comma 12 2 2 2 5 2" xfId="10751" xr:uid="{C3E856E9-7A8D-47A8-8CFA-DD28C754D1FC}"/>
    <cellStyle name="Comma 12 2 2 2 5 2 2" xfId="25871" xr:uid="{094627B7-AFB3-494D-B855-62FEEF8FBDBA}"/>
    <cellStyle name="Comma 12 2 2 2 5 2 2 2" xfId="56111" xr:uid="{BC360591-FF42-4CA5-B6B4-A8ACBB931BDA}"/>
    <cellStyle name="Comma 12 2 2 2 5 2 3" xfId="40991" xr:uid="{829AD4AD-499A-417C-B666-104D3EAF12F5}"/>
    <cellStyle name="Comma 12 2 2 2 5 3" xfId="16799" xr:uid="{64E6DF3C-4364-45F5-AF04-FE8384510E09}"/>
    <cellStyle name="Comma 12 2 2 2 5 3 2" xfId="47039" xr:uid="{038B5D63-E286-4827-A23D-91FEC7C91A62}"/>
    <cellStyle name="Comma 12 2 2 2 5 4" xfId="31919" xr:uid="{6809B848-C657-4227-8F76-D59EE6386E98}"/>
    <cellStyle name="Comma 12 2 2 2 6" xfId="3191" xr:uid="{C67E01D0-75A7-48B8-89FE-462F01A95718}"/>
    <cellStyle name="Comma 12 2 2 2 6 2" xfId="12263" xr:uid="{0BA0A0F4-0B2B-4BE8-9F2C-6AC399E0889E}"/>
    <cellStyle name="Comma 12 2 2 2 6 2 2" xfId="27383" xr:uid="{89A3E24C-B9C8-4E5C-A694-E1968EDF3F06}"/>
    <cellStyle name="Comma 12 2 2 2 6 2 2 2" xfId="57623" xr:uid="{F7AB4A5E-017A-4EF1-842D-8D6C10CC10F3}"/>
    <cellStyle name="Comma 12 2 2 2 6 2 3" xfId="42503" xr:uid="{4FAE1744-91F1-4840-BA38-42C097984122}"/>
    <cellStyle name="Comma 12 2 2 2 6 3" xfId="18311" xr:uid="{C296A44D-B6DB-4349-8EE5-D52988B01015}"/>
    <cellStyle name="Comma 12 2 2 2 6 3 2" xfId="48551" xr:uid="{55D10EAE-DF74-43C6-8FA6-357B267F2920}"/>
    <cellStyle name="Comma 12 2 2 2 6 4" xfId="33431" xr:uid="{9B022845-5F99-4C71-8D7D-A11790CF77C8}"/>
    <cellStyle name="Comma 12 2 2 2 7" xfId="4703" xr:uid="{5EB6C82B-9F31-4C34-9111-C523F5713FB7}"/>
    <cellStyle name="Comma 12 2 2 2 7 2" xfId="13775" xr:uid="{45538C03-24E8-4D2E-A382-B6824ECE7FA0}"/>
    <cellStyle name="Comma 12 2 2 2 7 2 2" xfId="28895" xr:uid="{4B2F5127-9C59-4135-B680-929A59D471ED}"/>
    <cellStyle name="Comma 12 2 2 2 7 2 2 2" xfId="59135" xr:uid="{2DF767B4-2089-4FF5-A163-11AB4790D4B0}"/>
    <cellStyle name="Comma 12 2 2 2 7 2 3" xfId="44015" xr:uid="{F5BBDF43-4446-4E0F-8384-50A3D5D457B1}"/>
    <cellStyle name="Comma 12 2 2 2 7 3" xfId="19823" xr:uid="{FBA14EBA-9283-4BA0-889C-7341A956EC23}"/>
    <cellStyle name="Comma 12 2 2 2 7 3 2" xfId="50063" xr:uid="{82FCA3D5-6654-4F12-A900-2F42E2E970E9}"/>
    <cellStyle name="Comma 12 2 2 2 7 4" xfId="34943" xr:uid="{4B754DBC-F3D8-4ED9-B1F8-3B39926BD7E2}"/>
    <cellStyle name="Comma 12 2 2 2 8" xfId="6215" xr:uid="{B5F9418D-692A-40F5-A3CE-42CC796BB473}"/>
    <cellStyle name="Comma 12 2 2 2 8 2" xfId="21335" xr:uid="{0E810041-BA97-47A4-87BB-92366909E12F}"/>
    <cellStyle name="Comma 12 2 2 2 8 2 2" xfId="51575" xr:uid="{E5CA74A0-85DB-4F29-A096-3F64BCC32C6D}"/>
    <cellStyle name="Comma 12 2 2 2 8 3" xfId="36455" xr:uid="{9293CBBC-17F3-4B2F-9137-49240A2643F5}"/>
    <cellStyle name="Comma 12 2 2 2 9" xfId="7727" xr:uid="{5939231D-D305-468B-B632-E59A91E1B4E9}"/>
    <cellStyle name="Comma 12 2 2 2 9 2" xfId="22847" xr:uid="{08824231-085B-4E66-B604-4AA66BF2CA43}"/>
    <cellStyle name="Comma 12 2 2 2 9 2 2" xfId="53087" xr:uid="{183B60E7-5377-41E6-9F81-7E3F1E40362A}"/>
    <cellStyle name="Comma 12 2 2 2 9 3" xfId="37967" xr:uid="{B942A343-836A-4F94-A7D0-8E3DCCCF5F43}"/>
    <cellStyle name="Comma 12 2 2 3" xfId="251" xr:uid="{5A5FC08A-75D6-4A50-BB65-2E66C86F50F5}"/>
    <cellStyle name="Comma 12 2 2 3 10" xfId="9323" xr:uid="{9EF05DAF-A4EF-4F90-BC4E-912E31B8690D}"/>
    <cellStyle name="Comma 12 2 2 3 10 2" xfId="24443" xr:uid="{E4D4C882-11F6-4D98-8611-40D0D8B0997A}"/>
    <cellStyle name="Comma 12 2 2 3 10 2 2" xfId="54683" xr:uid="{6E8392D8-ACB9-4504-AB80-D3D4450AA207}"/>
    <cellStyle name="Comma 12 2 2 3 10 3" xfId="39563" xr:uid="{2B383FC5-11C5-48A5-8EAD-080A909F01CE}"/>
    <cellStyle name="Comma 12 2 2 3 11" xfId="15371" xr:uid="{80F6F64D-A3F0-46E3-9D64-9ADF6D6DAB46}"/>
    <cellStyle name="Comma 12 2 2 3 11 2" xfId="45611" xr:uid="{3C450B11-693E-4C0A-A026-1484EEC7CF26}"/>
    <cellStyle name="Comma 12 2 2 3 12" xfId="30491" xr:uid="{56CFDA6A-5276-4B9E-BFFB-86E7B10B8E73}"/>
    <cellStyle name="Comma 12 2 2 3 2" xfId="503" xr:uid="{0AF10458-D923-4348-A192-DC7A34AC40CE}"/>
    <cellStyle name="Comma 12 2 2 3 2 10" xfId="30743" xr:uid="{5CEEB4A4-D0A5-4520-AB97-1460F26DAA7B}"/>
    <cellStyle name="Comma 12 2 2 3 2 2" xfId="1259" xr:uid="{D9AADD43-D3F9-4827-B9B7-F6D93A0B4EF6}"/>
    <cellStyle name="Comma 12 2 2 3 2 2 2" xfId="2771" xr:uid="{88D534AC-DC55-469C-BD88-064168BBD250}"/>
    <cellStyle name="Comma 12 2 2 3 2 2 2 2" xfId="11843" xr:uid="{8392F258-328A-4FCB-8CD9-E7222E153B2B}"/>
    <cellStyle name="Comma 12 2 2 3 2 2 2 2 2" xfId="26963" xr:uid="{C34D6F7A-9F38-4676-878B-144F2AB224CB}"/>
    <cellStyle name="Comma 12 2 2 3 2 2 2 2 2 2" xfId="57203" xr:uid="{30CC93F2-C06E-4A03-B226-13ADF88C39E5}"/>
    <cellStyle name="Comma 12 2 2 3 2 2 2 2 3" xfId="42083" xr:uid="{1A45860B-94D6-4E1E-89A6-AD015BB8CF8F}"/>
    <cellStyle name="Comma 12 2 2 3 2 2 2 3" xfId="17891" xr:uid="{6126F49A-71E9-4A23-9546-F821DEC85C6A}"/>
    <cellStyle name="Comma 12 2 2 3 2 2 2 3 2" xfId="48131" xr:uid="{7094A147-6CB2-4E8F-983C-A861993B46D1}"/>
    <cellStyle name="Comma 12 2 2 3 2 2 2 4" xfId="33011" xr:uid="{DD13E462-45A2-4401-9253-12D971F17406}"/>
    <cellStyle name="Comma 12 2 2 3 2 2 3" xfId="4283" xr:uid="{4EED5A69-DB8E-4E37-B01F-57B25878E8A6}"/>
    <cellStyle name="Comma 12 2 2 3 2 2 3 2" xfId="13355" xr:uid="{527D71AD-C3DF-4676-B98C-6E8826070D3B}"/>
    <cellStyle name="Comma 12 2 2 3 2 2 3 2 2" xfId="28475" xr:uid="{5A945ECD-2F42-4D84-9B9A-5FE144D72A2C}"/>
    <cellStyle name="Comma 12 2 2 3 2 2 3 2 2 2" xfId="58715" xr:uid="{8D069EDC-8F1A-4FF5-8966-933EE5CE6DDB}"/>
    <cellStyle name="Comma 12 2 2 3 2 2 3 2 3" xfId="43595" xr:uid="{FEB57C9F-3E7A-4930-97C4-AF6993988176}"/>
    <cellStyle name="Comma 12 2 2 3 2 2 3 3" xfId="19403" xr:uid="{B7295BA4-B426-4B61-BF02-D1F271B8D9D7}"/>
    <cellStyle name="Comma 12 2 2 3 2 2 3 3 2" xfId="49643" xr:uid="{388CCCE2-7F3D-4597-94F8-CAD60C0E0F62}"/>
    <cellStyle name="Comma 12 2 2 3 2 2 3 4" xfId="34523" xr:uid="{8E621EEC-7567-452C-BF71-DF01BEE11360}"/>
    <cellStyle name="Comma 12 2 2 3 2 2 4" xfId="5795" xr:uid="{EBD3F735-4B00-43B4-8DA4-C7DC8FD62EB5}"/>
    <cellStyle name="Comma 12 2 2 3 2 2 4 2" xfId="14867" xr:uid="{4BD5F60F-17F4-4020-BA00-C83EBA811DF6}"/>
    <cellStyle name="Comma 12 2 2 3 2 2 4 2 2" xfId="29987" xr:uid="{26E589F5-A872-4B76-AB69-BF3D44AC7E17}"/>
    <cellStyle name="Comma 12 2 2 3 2 2 4 2 2 2" xfId="60227" xr:uid="{A6089638-0AA9-4C7C-BCAD-8861BB4A4328}"/>
    <cellStyle name="Comma 12 2 2 3 2 2 4 2 3" xfId="45107" xr:uid="{332EC52C-BC74-4E85-84D0-9B3B55A583F1}"/>
    <cellStyle name="Comma 12 2 2 3 2 2 4 3" xfId="20915" xr:uid="{B24E79A1-D924-4D7F-96D2-742F4C26F66E}"/>
    <cellStyle name="Comma 12 2 2 3 2 2 4 3 2" xfId="51155" xr:uid="{2944460A-4A8F-4E3D-B671-2A05210FDE1E}"/>
    <cellStyle name="Comma 12 2 2 3 2 2 4 4" xfId="36035" xr:uid="{A083CC80-BD3F-4781-AADA-F13F12F45F7A}"/>
    <cellStyle name="Comma 12 2 2 3 2 2 5" xfId="7307" xr:uid="{6C5756F5-5937-41E9-BC07-5303A3A6C8B4}"/>
    <cellStyle name="Comma 12 2 2 3 2 2 5 2" xfId="22427" xr:uid="{88A9D045-CBF8-4DC1-A503-DDB56725900B}"/>
    <cellStyle name="Comma 12 2 2 3 2 2 5 2 2" xfId="52667" xr:uid="{946CE946-A15B-4809-B1B2-196F3BA5CAFC}"/>
    <cellStyle name="Comma 12 2 2 3 2 2 5 3" xfId="37547" xr:uid="{73B4CE77-BA03-4024-9775-6F4BD32CE2A7}"/>
    <cellStyle name="Comma 12 2 2 3 2 2 6" xfId="8819" xr:uid="{68C62F05-3BC0-4222-8AE5-14B8FF7AE4FF}"/>
    <cellStyle name="Comma 12 2 2 3 2 2 6 2" xfId="23939" xr:uid="{13ACC7CF-F96F-4C31-968D-4647958288D0}"/>
    <cellStyle name="Comma 12 2 2 3 2 2 6 2 2" xfId="54179" xr:uid="{E333977C-EE9A-492E-90D8-DDB7695D6791}"/>
    <cellStyle name="Comma 12 2 2 3 2 2 6 3" xfId="39059" xr:uid="{6B2B7998-B6AD-47CA-A18F-91CE27C86F1A}"/>
    <cellStyle name="Comma 12 2 2 3 2 2 7" xfId="10331" xr:uid="{301698F6-1282-42D3-B0B8-1E1E921CAB1F}"/>
    <cellStyle name="Comma 12 2 2 3 2 2 7 2" xfId="25451" xr:uid="{877E18A8-7CAD-4D1E-BFDB-C06821C02534}"/>
    <cellStyle name="Comma 12 2 2 3 2 2 7 2 2" xfId="55691" xr:uid="{D2CFD73F-9581-4284-9AED-DE6093CAD367}"/>
    <cellStyle name="Comma 12 2 2 3 2 2 7 3" xfId="40571" xr:uid="{86763B68-CEB7-4F46-974E-8EB41CE22175}"/>
    <cellStyle name="Comma 12 2 2 3 2 2 8" xfId="16379" xr:uid="{5133001C-8E14-418B-B9F3-FB76334060CF}"/>
    <cellStyle name="Comma 12 2 2 3 2 2 8 2" xfId="46619" xr:uid="{BCAF29B9-6D70-48DC-BE99-5A5818DB57E0}"/>
    <cellStyle name="Comma 12 2 2 3 2 2 9" xfId="31499" xr:uid="{96D9C7B4-179C-4E89-983A-5BC0C15CAC75}"/>
    <cellStyle name="Comma 12 2 2 3 2 3" xfId="2015" xr:uid="{18FDC54D-F639-44FE-9B76-5B31BB5C59E6}"/>
    <cellStyle name="Comma 12 2 2 3 2 3 2" xfId="11087" xr:uid="{D4B26583-6787-43F8-A1A6-5441C85BC21F}"/>
    <cellStyle name="Comma 12 2 2 3 2 3 2 2" xfId="26207" xr:uid="{208EEF01-AD48-4362-BFDD-B63CB85B6F33}"/>
    <cellStyle name="Comma 12 2 2 3 2 3 2 2 2" xfId="56447" xr:uid="{B7ACAC28-69D0-4983-9935-C02F593F3B9F}"/>
    <cellStyle name="Comma 12 2 2 3 2 3 2 3" xfId="41327" xr:uid="{7E281C26-5567-498F-85E8-A2D91BD92EC2}"/>
    <cellStyle name="Comma 12 2 2 3 2 3 3" xfId="17135" xr:uid="{C622F5EA-4877-4EC7-A166-E80388629391}"/>
    <cellStyle name="Comma 12 2 2 3 2 3 3 2" xfId="47375" xr:uid="{49D5D5A0-ACBF-49A1-8A80-8E22476C1BA6}"/>
    <cellStyle name="Comma 12 2 2 3 2 3 4" xfId="32255" xr:uid="{CED62BA6-2CC6-44D2-A76E-03743F2F9489}"/>
    <cellStyle name="Comma 12 2 2 3 2 4" xfId="3527" xr:uid="{11D9B2C1-511E-42BD-A697-E39F8184D360}"/>
    <cellStyle name="Comma 12 2 2 3 2 4 2" xfId="12599" xr:uid="{D292BA4C-CE68-4C4A-8F0C-666C833A4AB4}"/>
    <cellStyle name="Comma 12 2 2 3 2 4 2 2" xfId="27719" xr:uid="{E6D9ECFE-1544-463B-AE4B-9784B01DB3EA}"/>
    <cellStyle name="Comma 12 2 2 3 2 4 2 2 2" xfId="57959" xr:uid="{C79ADF7C-F631-4844-ABE0-B4A0983C0AB8}"/>
    <cellStyle name="Comma 12 2 2 3 2 4 2 3" xfId="42839" xr:uid="{46E1A635-6412-4031-88F9-D30F2898CB05}"/>
    <cellStyle name="Comma 12 2 2 3 2 4 3" xfId="18647" xr:uid="{3AAB6420-8BFE-4E51-BF1B-28E3B595E3F5}"/>
    <cellStyle name="Comma 12 2 2 3 2 4 3 2" xfId="48887" xr:uid="{1888B201-E705-4E62-9443-F64A0BF1A283}"/>
    <cellStyle name="Comma 12 2 2 3 2 4 4" xfId="33767" xr:uid="{716A7F58-A2AF-4ED5-B750-BDEF5B7B3B8F}"/>
    <cellStyle name="Comma 12 2 2 3 2 5" xfId="5039" xr:uid="{EE47C643-84CF-412D-A6C4-84F787356C52}"/>
    <cellStyle name="Comma 12 2 2 3 2 5 2" xfId="14111" xr:uid="{5BA35E73-7EDF-4FCB-9F2C-C842017C932B}"/>
    <cellStyle name="Comma 12 2 2 3 2 5 2 2" xfId="29231" xr:uid="{1C8E51D1-17EE-4B4C-8137-6EF49B438B26}"/>
    <cellStyle name="Comma 12 2 2 3 2 5 2 2 2" xfId="59471" xr:uid="{E18461BA-51C6-43BB-9DA9-012CAD733A61}"/>
    <cellStyle name="Comma 12 2 2 3 2 5 2 3" xfId="44351" xr:uid="{5D13D1B4-6607-46B6-B592-A202AEF89AD7}"/>
    <cellStyle name="Comma 12 2 2 3 2 5 3" xfId="20159" xr:uid="{6F2D75E5-85CD-4177-A9C2-7B383359A827}"/>
    <cellStyle name="Comma 12 2 2 3 2 5 3 2" xfId="50399" xr:uid="{E6A41394-3EA4-49E4-BBC6-603E8CA858AA}"/>
    <cellStyle name="Comma 12 2 2 3 2 5 4" xfId="35279" xr:uid="{351CC14D-E7B8-4314-8C65-9EBE91F58891}"/>
    <cellStyle name="Comma 12 2 2 3 2 6" xfId="6551" xr:uid="{BD2A327A-BB7E-43BE-8A90-18379DBF943B}"/>
    <cellStyle name="Comma 12 2 2 3 2 6 2" xfId="21671" xr:uid="{23D97807-D3AF-4DED-9022-27822186E429}"/>
    <cellStyle name="Comma 12 2 2 3 2 6 2 2" xfId="51911" xr:uid="{39BB5385-9D0F-4049-908C-AA8308E98395}"/>
    <cellStyle name="Comma 12 2 2 3 2 6 3" xfId="36791" xr:uid="{5FCD2CE6-9A2D-449F-B3DB-05325BC85492}"/>
    <cellStyle name="Comma 12 2 2 3 2 7" xfId="8063" xr:uid="{4A039A7D-6FF8-4E62-995D-5A1475F86F67}"/>
    <cellStyle name="Comma 12 2 2 3 2 7 2" xfId="23183" xr:uid="{51F47C2C-E43C-4F81-B82B-A3DDF040FB64}"/>
    <cellStyle name="Comma 12 2 2 3 2 7 2 2" xfId="53423" xr:uid="{44A39781-D7B4-4D5D-87C4-DD9844F30B30}"/>
    <cellStyle name="Comma 12 2 2 3 2 7 3" xfId="38303" xr:uid="{1D523CAD-FF4C-426D-BEA0-66C397435B2F}"/>
    <cellStyle name="Comma 12 2 2 3 2 8" xfId="9575" xr:uid="{CB1F2395-67A0-49D6-A69E-C8319A51CE6C}"/>
    <cellStyle name="Comma 12 2 2 3 2 8 2" xfId="24695" xr:uid="{9C91C966-09D1-4598-8404-3676083684E3}"/>
    <cellStyle name="Comma 12 2 2 3 2 8 2 2" xfId="54935" xr:uid="{91909102-140B-475E-963C-0BDFE53ED490}"/>
    <cellStyle name="Comma 12 2 2 3 2 8 3" xfId="39815" xr:uid="{6E0EA2E4-1E19-4170-962C-5154792A7392}"/>
    <cellStyle name="Comma 12 2 2 3 2 9" xfId="15623" xr:uid="{6EAB3897-6EBD-4290-B69A-463A945B3468}"/>
    <cellStyle name="Comma 12 2 2 3 2 9 2" xfId="45863" xr:uid="{0D9483DF-764E-4446-A347-F89312B8AE53}"/>
    <cellStyle name="Comma 12 2 2 3 3" xfId="755" xr:uid="{86F35868-863C-4684-AD8E-D22DE5F26CBC}"/>
    <cellStyle name="Comma 12 2 2 3 3 10" xfId="30995" xr:uid="{73463AB9-CC06-4F5C-A791-1FB799FC672D}"/>
    <cellStyle name="Comma 12 2 2 3 3 2" xfId="1511" xr:uid="{370EFDAE-3466-42E0-A446-A0F31ED5D1DB}"/>
    <cellStyle name="Comma 12 2 2 3 3 2 2" xfId="3023" xr:uid="{18F2FA86-E12F-4EC9-8663-0DE480CC005C}"/>
    <cellStyle name="Comma 12 2 2 3 3 2 2 2" xfId="12095" xr:uid="{8633A856-AB65-4686-A6BA-465F90B0D9D1}"/>
    <cellStyle name="Comma 12 2 2 3 3 2 2 2 2" xfId="27215" xr:uid="{FAEC4E8B-172A-418E-B627-EF57A67B7FD4}"/>
    <cellStyle name="Comma 12 2 2 3 3 2 2 2 2 2" xfId="57455" xr:uid="{A11E357C-84AD-4D53-BF7A-DB5FDC2CB5F9}"/>
    <cellStyle name="Comma 12 2 2 3 3 2 2 2 3" xfId="42335" xr:uid="{74DBA021-E11D-493E-A534-C6C43FAFD330}"/>
    <cellStyle name="Comma 12 2 2 3 3 2 2 3" xfId="18143" xr:uid="{5F905DB3-2F4F-424F-AB78-762C7F407267}"/>
    <cellStyle name="Comma 12 2 2 3 3 2 2 3 2" xfId="48383" xr:uid="{6A8C62C2-C44C-4661-8623-C38254A5AF30}"/>
    <cellStyle name="Comma 12 2 2 3 3 2 2 4" xfId="33263" xr:uid="{6BE5B426-3316-448B-93DA-17D3F07996EF}"/>
    <cellStyle name="Comma 12 2 2 3 3 2 3" xfId="4535" xr:uid="{54F341E3-2F8B-4DD3-BB7E-09CDCBDF8519}"/>
    <cellStyle name="Comma 12 2 2 3 3 2 3 2" xfId="13607" xr:uid="{C536CA76-4999-427E-9DAF-7EB2DD9CC49B}"/>
    <cellStyle name="Comma 12 2 2 3 3 2 3 2 2" xfId="28727" xr:uid="{79F4E0AA-4079-453C-A128-484544A673D3}"/>
    <cellStyle name="Comma 12 2 2 3 3 2 3 2 2 2" xfId="58967" xr:uid="{9F2B038F-8279-41AD-A9D8-2DD618528098}"/>
    <cellStyle name="Comma 12 2 2 3 3 2 3 2 3" xfId="43847" xr:uid="{E766895C-6CD8-49B6-8461-66E59F0A5B8C}"/>
    <cellStyle name="Comma 12 2 2 3 3 2 3 3" xfId="19655" xr:uid="{0D57690A-BA84-4187-A875-EEF1AAEC7056}"/>
    <cellStyle name="Comma 12 2 2 3 3 2 3 3 2" xfId="49895" xr:uid="{EAFDF312-DF7F-456B-806D-B2A08A902D71}"/>
    <cellStyle name="Comma 12 2 2 3 3 2 3 4" xfId="34775" xr:uid="{5B874722-FCF6-4DED-9B66-5B0A66D9C6F1}"/>
    <cellStyle name="Comma 12 2 2 3 3 2 4" xfId="6047" xr:uid="{2FA80D73-6047-49CB-9320-2E801DF1D57C}"/>
    <cellStyle name="Comma 12 2 2 3 3 2 4 2" xfId="15119" xr:uid="{AF369B0E-85B0-4807-86C2-65145E6FBF4B}"/>
    <cellStyle name="Comma 12 2 2 3 3 2 4 2 2" xfId="30239" xr:uid="{55261753-DE92-46E0-B32A-80F525D09294}"/>
    <cellStyle name="Comma 12 2 2 3 3 2 4 2 2 2" xfId="60479" xr:uid="{E26C33C2-36D5-41B2-B7DC-53BA4E3065D5}"/>
    <cellStyle name="Comma 12 2 2 3 3 2 4 2 3" xfId="45359" xr:uid="{FB08C1B7-2060-4D10-883A-F2D3CF26ED02}"/>
    <cellStyle name="Comma 12 2 2 3 3 2 4 3" xfId="21167" xr:uid="{A6A64A95-5861-47AE-A4D3-1DF8332A502E}"/>
    <cellStyle name="Comma 12 2 2 3 3 2 4 3 2" xfId="51407" xr:uid="{BB909E4D-E8C0-4BA9-B083-A1724F3F8B39}"/>
    <cellStyle name="Comma 12 2 2 3 3 2 4 4" xfId="36287" xr:uid="{8C72A19E-68B5-47D4-8BDD-904859BAC9DA}"/>
    <cellStyle name="Comma 12 2 2 3 3 2 5" xfId="7559" xr:uid="{8533594F-0FE4-4A53-9A75-F2B444820061}"/>
    <cellStyle name="Comma 12 2 2 3 3 2 5 2" xfId="22679" xr:uid="{EB4F07EE-5F84-49FE-928C-B073CD457FA4}"/>
    <cellStyle name="Comma 12 2 2 3 3 2 5 2 2" xfId="52919" xr:uid="{3CF754CF-609D-403A-BE3C-B9BDA54437D3}"/>
    <cellStyle name="Comma 12 2 2 3 3 2 5 3" xfId="37799" xr:uid="{6D80CA58-78F7-4875-B62B-F2D8223E7850}"/>
    <cellStyle name="Comma 12 2 2 3 3 2 6" xfId="9071" xr:uid="{5AFFF1A0-F6B7-4DEE-B95E-0C0FC03C454A}"/>
    <cellStyle name="Comma 12 2 2 3 3 2 6 2" xfId="24191" xr:uid="{318884B4-7C76-420A-A352-3CD942DE907E}"/>
    <cellStyle name="Comma 12 2 2 3 3 2 6 2 2" xfId="54431" xr:uid="{C5A63D08-A00F-4962-AD7B-E8B0C5199C47}"/>
    <cellStyle name="Comma 12 2 2 3 3 2 6 3" xfId="39311" xr:uid="{214CC67B-B0A9-4DCB-BC8F-F4A2D5C9AC1C}"/>
    <cellStyle name="Comma 12 2 2 3 3 2 7" xfId="10583" xr:uid="{55F6E42E-F918-462C-8873-27526F403593}"/>
    <cellStyle name="Comma 12 2 2 3 3 2 7 2" xfId="25703" xr:uid="{F00576DB-729C-4754-9FE3-BC8549714742}"/>
    <cellStyle name="Comma 12 2 2 3 3 2 7 2 2" xfId="55943" xr:uid="{82C6E4BF-AFD8-4646-B856-69EA9C2B64B4}"/>
    <cellStyle name="Comma 12 2 2 3 3 2 7 3" xfId="40823" xr:uid="{C88E40A5-7721-419C-81D0-7AA946FB6095}"/>
    <cellStyle name="Comma 12 2 2 3 3 2 8" xfId="16631" xr:uid="{B867D3F9-4E20-489D-8C1A-ED09C8285CF2}"/>
    <cellStyle name="Comma 12 2 2 3 3 2 8 2" xfId="46871" xr:uid="{BE8F90BE-A4A6-4F5C-9E1F-DDC6762819EA}"/>
    <cellStyle name="Comma 12 2 2 3 3 2 9" xfId="31751" xr:uid="{EE089337-23D4-4211-A577-2545D2A0355B}"/>
    <cellStyle name="Comma 12 2 2 3 3 3" xfId="2267" xr:uid="{E4C430BC-EACD-4879-AFA3-52854A649E7D}"/>
    <cellStyle name="Comma 12 2 2 3 3 3 2" xfId="11339" xr:uid="{D3967F2B-B547-443D-9264-42B956B83B42}"/>
    <cellStyle name="Comma 12 2 2 3 3 3 2 2" xfId="26459" xr:uid="{7F989784-BE2A-4A22-926E-CA1F2C2958BD}"/>
    <cellStyle name="Comma 12 2 2 3 3 3 2 2 2" xfId="56699" xr:uid="{F27C17F0-B68B-4083-B180-D7C2FDDFAD30}"/>
    <cellStyle name="Comma 12 2 2 3 3 3 2 3" xfId="41579" xr:uid="{85E64669-F7D5-4A35-9205-C223EC7640F0}"/>
    <cellStyle name="Comma 12 2 2 3 3 3 3" xfId="17387" xr:uid="{DAF68005-318F-4072-9A21-5EB5760F685C}"/>
    <cellStyle name="Comma 12 2 2 3 3 3 3 2" xfId="47627" xr:uid="{6A7C6439-B1AD-484A-9625-892435A99ED2}"/>
    <cellStyle name="Comma 12 2 2 3 3 3 4" xfId="32507" xr:uid="{1060B55A-6E05-418E-96B3-F92393B3D66B}"/>
    <cellStyle name="Comma 12 2 2 3 3 4" xfId="3779" xr:uid="{1B7EA508-40FF-4A18-AF2C-61984ACCEFB4}"/>
    <cellStyle name="Comma 12 2 2 3 3 4 2" xfId="12851" xr:uid="{407C9081-0B98-4327-86D2-FF4E692F7A37}"/>
    <cellStyle name="Comma 12 2 2 3 3 4 2 2" xfId="27971" xr:uid="{98F08700-6C06-456F-A536-DA522D23845F}"/>
    <cellStyle name="Comma 12 2 2 3 3 4 2 2 2" xfId="58211" xr:uid="{FACD9365-4A31-4DC0-B1B9-CE3AA3C615A7}"/>
    <cellStyle name="Comma 12 2 2 3 3 4 2 3" xfId="43091" xr:uid="{A553922A-ABDF-46BD-8211-AD2A93EC491D}"/>
    <cellStyle name="Comma 12 2 2 3 3 4 3" xfId="18899" xr:uid="{52B3F49F-03CD-4A0D-AAB7-6A280801A10D}"/>
    <cellStyle name="Comma 12 2 2 3 3 4 3 2" xfId="49139" xr:uid="{C8192937-F068-4AF3-8704-448475246013}"/>
    <cellStyle name="Comma 12 2 2 3 3 4 4" xfId="34019" xr:uid="{5ED96DF8-948D-4019-BCD6-C605F0DBE249}"/>
    <cellStyle name="Comma 12 2 2 3 3 5" xfId="5291" xr:uid="{47F9845E-3E56-4502-B68F-3D21E7275B8E}"/>
    <cellStyle name="Comma 12 2 2 3 3 5 2" xfId="14363" xr:uid="{6C0284F4-1C15-4BD6-B903-312DDD490A95}"/>
    <cellStyle name="Comma 12 2 2 3 3 5 2 2" xfId="29483" xr:uid="{76ED1709-DD53-4154-AE31-1E264E51D0C0}"/>
    <cellStyle name="Comma 12 2 2 3 3 5 2 2 2" xfId="59723" xr:uid="{B8622727-41FC-408E-871D-F967747B8015}"/>
    <cellStyle name="Comma 12 2 2 3 3 5 2 3" xfId="44603" xr:uid="{B4C09AD1-DE1E-4570-88BD-89B533725D62}"/>
    <cellStyle name="Comma 12 2 2 3 3 5 3" xfId="20411" xr:uid="{29ED2111-95BC-47C8-8AF1-6129A42DD17D}"/>
    <cellStyle name="Comma 12 2 2 3 3 5 3 2" xfId="50651" xr:uid="{89E360E5-7F78-4B53-B91A-4F9AECA0A54A}"/>
    <cellStyle name="Comma 12 2 2 3 3 5 4" xfId="35531" xr:uid="{69A263FC-A2D7-4128-A3BF-9EDA0DBB7D23}"/>
    <cellStyle name="Comma 12 2 2 3 3 6" xfId="6803" xr:uid="{F06DACB3-1D94-401B-9D26-D0552A789F63}"/>
    <cellStyle name="Comma 12 2 2 3 3 6 2" xfId="21923" xr:uid="{2EC695F6-DB6C-4F5C-AE65-B9F2932B3F07}"/>
    <cellStyle name="Comma 12 2 2 3 3 6 2 2" xfId="52163" xr:uid="{3980ACFE-2026-417A-BA43-43D49D0201EF}"/>
    <cellStyle name="Comma 12 2 2 3 3 6 3" xfId="37043" xr:uid="{11D0F0C6-BE03-4857-BC83-ED86B8804D3B}"/>
    <cellStyle name="Comma 12 2 2 3 3 7" xfId="8315" xr:uid="{73DBC7F6-AB61-4F40-83C5-1660ACC57B62}"/>
    <cellStyle name="Comma 12 2 2 3 3 7 2" xfId="23435" xr:uid="{BB0A05FC-2665-46A8-B852-06FCEA2C44BD}"/>
    <cellStyle name="Comma 12 2 2 3 3 7 2 2" xfId="53675" xr:uid="{9958DA6B-383D-452C-AFF6-085DE0A02855}"/>
    <cellStyle name="Comma 12 2 2 3 3 7 3" xfId="38555" xr:uid="{FF5375B6-23AA-4A26-890C-3AF15ECC006D}"/>
    <cellStyle name="Comma 12 2 2 3 3 8" xfId="9827" xr:uid="{216E2C1A-ACFB-48E6-A3B5-F98061C13287}"/>
    <cellStyle name="Comma 12 2 2 3 3 8 2" xfId="24947" xr:uid="{90464BC5-915D-49B4-9643-AE1C585AA4B6}"/>
    <cellStyle name="Comma 12 2 2 3 3 8 2 2" xfId="55187" xr:uid="{7429EA00-CB38-4361-B703-3A1BA2A970EF}"/>
    <cellStyle name="Comma 12 2 2 3 3 8 3" xfId="40067" xr:uid="{55340194-F9C3-4A8F-BAD5-707B4BF85C9F}"/>
    <cellStyle name="Comma 12 2 2 3 3 9" xfId="15875" xr:uid="{FC7F7A15-02DA-449D-869F-1E35C13F972F}"/>
    <cellStyle name="Comma 12 2 2 3 3 9 2" xfId="46115" xr:uid="{23F053B1-0FC9-41CB-826B-1101DA782940}"/>
    <cellStyle name="Comma 12 2 2 3 4" xfId="1007" xr:uid="{AC65386D-026C-4D0A-B2C7-F568B0D90F06}"/>
    <cellStyle name="Comma 12 2 2 3 4 2" xfId="2519" xr:uid="{D9D62841-61E8-40B7-A9D4-EE6685129962}"/>
    <cellStyle name="Comma 12 2 2 3 4 2 2" xfId="11591" xr:uid="{2F838889-6CFD-40E8-BA35-E6F6F13DECCF}"/>
    <cellStyle name="Comma 12 2 2 3 4 2 2 2" xfId="26711" xr:uid="{9F531278-FCDC-4696-A483-A8E2A8EAA05F}"/>
    <cellStyle name="Comma 12 2 2 3 4 2 2 2 2" xfId="56951" xr:uid="{0F344994-DC90-424F-BB87-B8C2794B4AD6}"/>
    <cellStyle name="Comma 12 2 2 3 4 2 2 3" xfId="41831" xr:uid="{88549D3B-A1C2-4C75-9E64-2CD06E86A993}"/>
    <cellStyle name="Comma 12 2 2 3 4 2 3" xfId="17639" xr:uid="{6F26E112-4E32-46FA-AC54-0518FAC0AE3D}"/>
    <cellStyle name="Comma 12 2 2 3 4 2 3 2" xfId="47879" xr:uid="{AD91216B-4BD1-45D8-BE3F-B81679FB735B}"/>
    <cellStyle name="Comma 12 2 2 3 4 2 4" xfId="32759" xr:uid="{C209BD08-83B5-4189-B545-92C039D9DCEF}"/>
    <cellStyle name="Comma 12 2 2 3 4 3" xfId="4031" xr:uid="{E8DC02AB-81B0-4F25-A627-3A8991128802}"/>
    <cellStyle name="Comma 12 2 2 3 4 3 2" xfId="13103" xr:uid="{D96611FB-934C-4BFF-A1D7-11B0778936F3}"/>
    <cellStyle name="Comma 12 2 2 3 4 3 2 2" xfId="28223" xr:uid="{70FE3B31-A521-40A5-8493-F27ADBD748CB}"/>
    <cellStyle name="Comma 12 2 2 3 4 3 2 2 2" xfId="58463" xr:uid="{DC4E66BD-943B-44D4-8E17-F12EFDAD24EF}"/>
    <cellStyle name="Comma 12 2 2 3 4 3 2 3" xfId="43343" xr:uid="{DF5BC098-81DE-415E-AE7E-B0DBC3256654}"/>
    <cellStyle name="Comma 12 2 2 3 4 3 3" xfId="19151" xr:uid="{E56B7834-7CDB-461A-A262-E05D860800B6}"/>
    <cellStyle name="Comma 12 2 2 3 4 3 3 2" xfId="49391" xr:uid="{13583423-1EBB-4362-AD78-BEAE7951CEAC}"/>
    <cellStyle name="Comma 12 2 2 3 4 3 4" xfId="34271" xr:uid="{D8FD0AC4-F40F-43AD-B756-DB21799BD2FF}"/>
    <cellStyle name="Comma 12 2 2 3 4 4" xfId="5543" xr:uid="{84047C57-2245-43AE-92A5-0646F4F0A908}"/>
    <cellStyle name="Comma 12 2 2 3 4 4 2" xfId="14615" xr:uid="{E6ACC3F8-6F66-48C7-8DAC-9BF965135D2C}"/>
    <cellStyle name="Comma 12 2 2 3 4 4 2 2" xfId="29735" xr:uid="{D4D340A6-6FD5-46CD-8DFC-88FCE80C14FF}"/>
    <cellStyle name="Comma 12 2 2 3 4 4 2 2 2" xfId="59975" xr:uid="{09DEDCFE-0EF5-4756-8B45-53FF0C2E578E}"/>
    <cellStyle name="Comma 12 2 2 3 4 4 2 3" xfId="44855" xr:uid="{C6E1A93B-F5AC-4CC8-B66F-E405E5F25F7B}"/>
    <cellStyle name="Comma 12 2 2 3 4 4 3" xfId="20663" xr:uid="{52DFEAA0-48A5-4F6D-97FA-FA25278D2F32}"/>
    <cellStyle name="Comma 12 2 2 3 4 4 3 2" xfId="50903" xr:uid="{75A7500B-2A62-4286-B1B2-262CA5654E91}"/>
    <cellStyle name="Comma 12 2 2 3 4 4 4" xfId="35783" xr:uid="{91921169-3584-4BAF-A047-6213FC281EDE}"/>
    <cellStyle name="Comma 12 2 2 3 4 5" xfId="7055" xr:uid="{D5E3598A-AE7F-40D7-B100-56DCCE400109}"/>
    <cellStyle name="Comma 12 2 2 3 4 5 2" xfId="22175" xr:uid="{9BE70D05-A58F-41D4-BC9F-D8367B703B6F}"/>
    <cellStyle name="Comma 12 2 2 3 4 5 2 2" xfId="52415" xr:uid="{5CC56723-F78D-4AA3-878B-5399A324D6A5}"/>
    <cellStyle name="Comma 12 2 2 3 4 5 3" xfId="37295" xr:uid="{AAA25606-0384-4AE6-8677-51406FA7505C}"/>
    <cellStyle name="Comma 12 2 2 3 4 6" xfId="8567" xr:uid="{B75ED313-9920-4213-85B5-4DCA361788ED}"/>
    <cellStyle name="Comma 12 2 2 3 4 6 2" xfId="23687" xr:uid="{FEC56A09-3F09-421B-98D9-EF6156887546}"/>
    <cellStyle name="Comma 12 2 2 3 4 6 2 2" xfId="53927" xr:uid="{E42E67DA-B017-4E39-A445-CA05A7144BEE}"/>
    <cellStyle name="Comma 12 2 2 3 4 6 3" xfId="38807" xr:uid="{64272F6D-7E29-42E4-B2F9-F1E408090948}"/>
    <cellStyle name="Comma 12 2 2 3 4 7" xfId="10079" xr:uid="{2BB100BA-FCFE-4FD8-87FE-5D7D7053A5FF}"/>
    <cellStyle name="Comma 12 2 2 3 4 7 2" xfId="25199" xr:uid="{9FBBECB3-61EC-4169-9D02-173F23E2ED80}"/>
    <cellStyle name="Comma 12 2 2 3 4 7 2 2" xfId="55439" xr:uid="{7693CD52-B8A3-4594-BF1C-2D5DDBCEFF2B}"/>
    <cellStyle name="Comma 12 2 2 3 4 7 3" xfId="40319" xr:uid="{E7020ABE-7183-487F-ABFF-4D4EF6B81DB2}"/>
    <cellStyle name="Comma 12 2 2 3 4 8" xfId="16127" xr:uid="{9DDFE1EE-C995-4EE4-89A0-DE309C2E8AAA}"/>
    <cellStyle name="Comma 12 2 2 3 4 8 2" xfId="46367" xr:uid="{D2E88E26-E40F-480D-A53D-1A5BDC7B6B61}"/>
    <cellStyle name="Comma 12 2 2 3 4 9" xfId="31247" xr:uid="{F36F873D-90C5-4C73-A2C6-39E2A12D2034}"/>
    <cellStyle name="Comma 12 2 2 3 5" xfId="1763" xr:uid="{4269A1C8-D4B5-43A0-9235-9EB8A343DE26}"/>
    <cellStyle name="Comma 12 2 2 3 5 2" xfId="10835" xr:uid="{0B76785E-9A02-410E-BD65-0B3EA141CA8F}"/>
    <cellStyle name="Comma 12 2 2 3 5 2 2" xfId="25955" xr:uid="{ACBC8A24-03C0-4E96-95F7-3D5059C3CB0E}"/>
    <cellStyle name="Comma 12 2 2 3 5 2 2 2" xfId="56195" xr:uid="{AC011CED-3693-4B63-9C87-75147E235001}"/>
    <cellStyle name="Comma 12 2 2 3 5 2 3" xfId="41075" xr:uid="{1F6CBEB4-5BE1-4193-A086-6CDA7AD6B0C7}"/>
    <cellStyle name="Comma 12 2 2 3 5 3" xfId="16883" xr:uid="{82EC403F-A404-4725-9932-0914EFF33BB0}"/>
    <cellStyle name="Comma 12 2 2 3 5 3 2" xfId="47123" xr:uid="{DC9C62CC-D67C-4B74-B3C9-F2B4E79C4FC4}"/>
    <cellStyle name="Comma 12 2 2 3 5 4" xfId="32003" xr:uid="{44B7EFBF-5869-4C9A-A455-A319B9EF3265}"/>
    <cellStyle name="Comma 12 2 2 3 6" xfId="3275" xr:uid="{5E7C16B1-6EAB-4152-BCFA-A8A88AA85252}"/>
    <cellStyle name="Comma 12 2 2 3 6 2" xfId="12347" xr:uid="{0B9EAF72-ADEC-4882-BB44-2A9051095F7D}"/>
    <cellStyle name="Comma 12 2 2 3 6 2 2" xfId="27467" xr:uid="{3249F8B9-6628-4972-9E9F-80F3CBECE220}"/>
    <cellStyle name="Comma 12 2 2 3 6 2 2 2" xfId="57707" xr:uid="{2A57731D-8C98-4443-B442-96D91C44F6D1}"/>
    <cellStyle name="Comma 12 2 2 3 6 2 3" xfId="42587" xr:uid="{95AEFED1-A54D-4EA0-B13D-20D146F55FE8}"/>
    <cellStyle name="Comma 12 2 2 3 6 3" xfId="18395" xr:uid="{0C8F8702-5EEB-4111-AA00-821ADC04823C}"/>
    <cellStyle name="Comma 12 2 2 3 6 3 2" xfId="48635" xr:uid="{D41A6D43-E645-4A89-A1FA-E6B996C5C8A3}"/>
    <cellStyle name="Comma 12 2 2 3 6 4" xfId="33515" xr:uid="{2314945D-513E-4179-B22F-264A005FD70C}"/>
    <cellStyle name="Comma 12 2 2 3 7" xfId="4787" xr:uid="{36204E13-F83D-4332-A6C2-F043959AB1FA}"/>
    <cellStyle name="Comma 12 2 2 3 7 2" xfId="13859" xr:uid="{7DF56EFF-0379-47F2-BA8F-5B1DCA79422C}"/>
    <cellStyle name="Comma 12 2 2 3 7 2 2" xfId="28979" xr:uid="{6FD0765F-26AB-4AEB-A2C3-764F3E9E003A}"/>
    <cellStyle name="Comma 12 2 2 3 7 2 2 2" xfId="59219" xr:uid="{034FA4FC-011B-41CE-A113-96F6EE2F6260}"/>
    <cellStyle name="Comma 12 2 2 3 7 2 3" xfId="44099" xr:uid="{6A974141-97BB-40D4-893D-321FFFF151BD}"/>
    <cellStyle name="Comma 12 2 2 3 7 3" xfId="19907" xr:uid="{90978623-F976-4CAA-8BFF-802D11D7E418}"/>
    <cellStyle name="Comma 12 2 2 3 7 3 2" xfId="50147" xr:uid="{6282E66B-1327-46FD-86DA-520EA9DFF447}"/>
    <cellStyle name="Comma 12 2 2 3 7 4" xfId="35027" xr:uid="{24FD516E-D28A-4CB2-8D75-8DB88B7665B3}"/>
    <cellStyle name="Comma 12 2 2 3 8" xfId="6299" xr:uid="{7358120C-D3B5-4A74-BE44-8EFF1322442D}"/>
    <cellStyle name="Comma 12 2 2 3 8 2" xfId="21419" xr:uid="{387A5A4C-BB22-498E-96BD-BB516D36C1FA}"/>
    <cellStyle name="Comma 12 2 2 3 8 2 2" xfId="51659" xr:uid="{6CE8CC21-C631-4962-A404-12E7ABF54427}"/>
    <cellStyle name="Comma 12 2 2 3 8 3" xfId="36539" xr:uid="{56174898-EE86-4625-A55B-8155DB03CE52}"/>
    <cellStyle name="Comma 12 2 2 3 9" xfId="7811" xr:uid="{CB8613A0-1BD3-4FB3-95CD-0FC2F24D1F3C}"/>
    <cellStyle name="Comma 12 2 2 3 9 2" xfId="22931" xr:uid="{247D831D-4636-4211-82F2-8139C9B1FD66}"/>
    <cellStyle name="Comma 12 2 2 3 9 2 2" xfId="53171" xr:uid="{3C1D6319-6B63-4D34-876A-6BA643D304D4}"/>
    <cellStyle name="Comma 12 2 2 3 9 3" xfId="38051" xr:uid="{39236DA7-B930-42AB-A890-7D642F590954}"/>
    <cellStyle name="Comma 12 2 2 4" xfId="335" xr:uid="{90213ECB-DA50-4E41-B959-8FFB1ED6928A}"/>
    <cellStyle name="Comma 12 2 2 4 10" xfId="30575" xr:uid="{E65CCD3E-5791-4B60-9E4D-4988FFE8A01A}"/>
    <cellStyle name="Comma 12 2 2 4 2" xfId="1091" xr:uid="{B3BE967A-9915-40A5-9FF7-B2FD0590779D}"/>
    <cellStyle name="Comma 12 2 2 4 2 2" xfId="2603" xr:uid="{8C368429-0B30-416B-AEDA-16C51A44C99F}"/>
    <cellStyle name="Comma 12 2 2 4 2 2 2" xfId="11675" xr:uid="{5D01B7C8-5686-41C0-8163-C66E798917E9}"/>
    <cellStyle name="Comma 12 2 2 4 2 2 2 2" xfId="26795" xr:uid="{CCCF5ECC-C762-4DA3-8FEF-1D8F2B5C7E73}"/>
    <cellStyle name="Comma 12 2 2 4 2 2 2 2 2" xfId="57035" xr:uid="{690F771C-EA5E-4426-8602-9A728C4FD7B1}"/>
    <cellStyle name="Comma 12 2 2 4 2 2 2 3" xfId="41915" xr:uid="{35087A02-9717-4D6B-997B-17C98FB86B6D}"/>
    <cellStyle name="Comma 12 2 2 4 2 2 3" xfId="17723" xr:uid="{437A5F80-1D52-499A-AF9A-9DF7167387A2}"/>
    <cellStyle name="Comma 12 2 2 4 2 2 3 2" xfId="47963" xr:uid="{EDB6EF8E-269C-436B-9537-F6448087B2FC}"/>
    <cellStyle name="Comma 12 2 2 4 2 2 4" xfId="32843" xr:uid="{D5429D66-27D7-43E5-8B8B-D454162F3F1A}"/>
    <cellStyle name="Comma 12 2 2 4 2 3" xfId="4115" xr:uid="{1310433A-959D-4DBB-9764-EB5A49445CBA}"/>
    <cellStyle name="Comma 12 2 2 4 2 3 2" xfId="13187" xr:uid="{A6B7E4F6-B5E1-412B-A79F-E251725810B0}"/>
    <cellStyle name="Comma 12 2 2 4 2 3 2 2" xfId="28307" xr:uid="{AF14E287-DB28-4072-B9B5-692CA48440E0}"/>
    <cellStyle name="Comma 12 2 2 4 2 3 2 2 2" xfId="58547" xr:uid="{04583190-10CD-457A-973B-17F388E047DA}"/>
    <cellStyle name="Comma 12 2 2 4 2 3 2 3" xfId="43427" xr:uid="{C85EBCCF-90A2-4636-AA9F-E4A9DDFF9517}"/>
    <cellStyle name="Comma 12 2 2 4 2 3 3" xfId="19235" xr:uid="{3D155BE9-0676-44CE-9842-950A7335FA4F}"/>
    <cellStyle name="Comma 12 2 2 4 2 3 3 2" xfId="49475" xr:uid="{4847D314-F2E0-4934-AA1D-7FCAF4AF8F4D}"/>
    <cellStyle name="Comma 12 2 2 4 2 3 4" xfId="34355" xr:uid="{B4DB05F9-E209-4BEA-9894-12FACE19205C}"/>
    <cellStyle name="Comma 12 2 2 4 2 4" xfId="5627" xr:uid="{DEB4EF73-91B1-437A-9C72-3C05D406BBE5}"/>
    <cellStyle name="Comma 12 2 2 4 2 4 2" xfId="14699" xr:uid="{E6450EDF-D359-4779-B2A9-75029BC58D29}"/>
    <cellStyle name="Comma 12 2 2 4 2 4 2 2" xfId="29819" xr:uid="{016D0E2A-7C34-44C6-A71C-E87E9954E024}"/>
    <cellStyle name="Comma 12 2 2 4 2 4 2 2 2" xfId="60059" xr:uid="{61795921-59C2-4BCC-A93B-20A7706026AA}"/>
    <cellStyle name="Comma 12 2 2 4 2 4 2 3" xfId="44939" xr:uid="{E202C425-FA96-4CDD-8D69-7F782BE7434E}"/>
    <cellStyle name="Comma 12 2 2 4 2 4 3" xfId="20747" xr:uid="{E0EC9FDD-53B9-4567-8CD8-998EA35DA991}"/>
    <cellStyle name="Comma 12 2 2 4 2 4 3 2" xfId="50987" xr:uid="{8501AF12-3868-4922-98D4-81B4C9E9C907}"/>
    <cellStyle name="Comma 12 2 2 4 2 4 4" xfId="35867" xr:uid="{0E57011C-A0F4-4B35-9E1A-27E41F108D63}"/>
    <cellStyle name="Comma 12 2 2 4 2 5" xfId="7139" xr:uid="{2DDA0501-3005-4826-A7C1-D470B03398A3}"/>
    <cellStyle name="Comma 12 2 2 4 2 5 2" xfId="22259" xr:uid="{AE550F72-A615-456E-B6AB-1DDD0221A443}"/>
    <cellStyle name="Comma 12 2 2 4 2 5 2 2" xfId="52499" xr:uid="{0B494CE4-6E99-4A35-9975-AF45037C91C1}"/>
    <cellStyle name="Comma 12 2 2 4 2 5 3" xfId="37379" xr:uid="{33D34064-0C77-43C5-B752-133D3BAA48BE}"/>
    <cellStyle name="Comma 12 2 2 4 2 6" xfId="8651" xr:uid="{C43DA002-3487-4018-8291-86608AEC41B6}"/>
    <cellStyle name="Comma 12 2 2 4 2 6 2" xfId="23771" xr:uid="{AA858082-69EE-4B09-BD46-483FFA17CCB4}"/>
    <cellStyle name="Comma 12 2 2 4 2 6 2 2" xfId="54011" xr:uid="{538C80F6-02D9-4517-9281-FC0BFF1E54C6}"/>
    <cellStyle name="Comma 12 2 2 4 2 6 3" xfId="38891" xr:uid="{166D44BD-F931-445C-8030-D24F8A56455D}"/>
    <cellStyle name="Comma 12 2 2 4 2 7" xfId="10163" xr:uid="{EB8E7E56-5E4C-4479-985F-056D8C638FAB}"/>
    <cellStyle name="Comma 12 2 2 4 2 7 2" xfId="25283" xr:uid="{9105800C-A009-435A-94E2-EC22949AF495}"/>
    <cellStyle name="Comma 12 2 2 4 2 7 2 2" xfId="55523" xr:uid="{D3A528DB-2409-4DAB-BE6F-3C046B08BB1E}"/>
    <cellStyle name="Comma 12 2 2 4 2 7 3" xfId="40403" xr:uid="{906D0A2B-EAFB-43C3-B50E-1B240AF680DD}"/>
    <cellStyle name="Comma 12 2 2 4 2 8" xfId="16211" xr:uid="{C047E416-2A95-4887-9A5C-E1E04286DFFE}"/>
    <cellStyle name="Comma 12 2 2 4 2 8 2" xfId="46451" xr:uid="{2A0298C3-D01A-4DFA-B2E3-E7AC4D1F7CB0}"/>
    <cellStyle name="Comma 12 2 2 4 2 9" xfId="31331" xr:uid="{ADCDA692-FE4B-42AA-88CB-A4F4CCA94096}"/>
    <cellStyle name="Comma 12 2 2 4 3" xfId="1847" xr:uid="{3FB48967-402A-4D23-82EE-239D41231F3D}"/>
    <cellStyle name="Comma 12 2 2 4 3 2" xfId="10919" xr:uid="{42FAA81C-17C7-43F3-8308-1BAA484B8F51}"/>
    <cellStyle name="Comma 12 2 2 4 3 2 2" xfId="26039" xr:uid="{84144986-959D-40A4-9BEA-654F8DAB0060}"/>
    <cellStyle name="Comma 12 2 2 4 3 2 2 2" xfId="56279" xr:uid="{C698E2C0-1FF2-441F-95AF-3308E236FF8B}"/>
    <cellStyle name="Comma 12 2 2 4 3 2 3" xfId="41159" xr:uid="{9E04D8FA-456E-459F-89CB-E0940EA8D953}"/>
    <cellStyle name="Comma 12 2 2 4 3 3" xfId="16967" xr:uid="{14732341-69ED-4EFF-9C3F-C548D590D47D}"/>
    <cellStyle name="Comma 12 2 2 4 3 3 2" xfId="47207" xr:uid="{733A029C-2FA3-42A6-8BF7-32E77C46AC7C}"/>
    <cellStyle name="Comma 12 2 2 4 3 4" xfId="32087" xr:uid="{671E8E46-F7FE-41AC-ABA4-C79E632B11F6}"/>
    <cellStyle name="Comma 12 2 2 4 4" xfId="3359" xr:uid="{7D11FD54-7028-4CAE-9D89-3644B877C709}"/>
    <cellStyle name="Comma 12 2 2 4 4 2" xfId="12431" xr:uid="{5113AAB0-FE6A-4C4D-A3F8-2F4739D43DCE}"/>
    <cellStyle name="Comma 12 2 2 4 4 2 2" xfId="27551" xr:uid="{45E39216-CAC8-4AB7-9062-80FD01B82303}"/>
    <cellStyle name="Comma 12 2 2 4 4 2 2 2" xfId="57791" xr:uid="{22175443-067E-422D-A0BD-C754FF264CF3}"/>
    <cellStyle name="Comma 12 2 2 4 4 2 3" xfId="42671" xr:uid="{1DA92288-343F-4DD9-B828-B951251C17DB}"/>
    <cellStyle name="Comma 12 2 2 4 4 3" xfId="18479" xr:uid="{9AAFC75B-62C2-47D8-A727-C21E35EB2107}"/>
    <cellStyle name="Comma 12 2 2 4 4 3 2" xfId="48719" xr:uid="{0EF83589-D8B7-4C86-8616-A023D4F515CD}"/>
    <cellStyle name="Comma 12 2 2 4 4 4" xfId="33599" xr:uid="{B1488056-FE41-4E86-A258-2F6D59536B13}"/>
    <cellStyle name="Comma 12 2 2 4 5" xfId="4871" xr:uid="{45397AD7-251E-421A-BC6B-574EC3509A43}"/>
    <cellStyle name="Comma 12 2 2 4 5 2" xfId="13943" xr:uid="{D4CA1EA9-D169-4651-A18E-358E9479E581}"/>
    <cellStyle name="Comma 12 2 2 4 5 2 2" xfId="29063" xr:uid="{F3DF0FF2-22D8-41F7-AA5A-2D48647FE1C5}"/>
    <cellStyle name="Comma 12 2 2 4 5 2 2 2" xfId="59303" xr:uid="{E9D1D629-CA88-4A30-B86F-E442A4C92426}"/>
    <cellStyle name="Comma 12 2 2 4 5 2 3" xfId="44183" xr:uid="{9BD44748-15AD-404E-9321-0EC7BADE8044}"/>
    <cellStyle name="Comma 12 2 2 4 5 3" xfId="19991" xr:uid="{63A3D4E4-F327-45C0-9BE0-B3887FCA3BD3}"/>
    <cellStyle name="Comma 12 2 2 4 5 3 2" xfId="50231" xr:uid="{CECC9863-6AE7-4299-A484-31B2364B00B3}"/>
    <cellStyle name="Comma 12 2 2 4 5 4" xfId="35111" xr:uid="{20938D58-0B05-41AE-8AAD-F50866BCEB1B}"/>
    <cellStyle name="Comma 12 2 2 4 6" xfId="6383" xr:uid="{76EFB913-A54A-4C5F-ADEF-B93B98FE6CE3}"/>
    <cellStyle name="Comma 12 2 2 4 6 2" xfId="21503" xr:uid="{FCFC063E-DAFE-446D-AE87-F2363A26CABA}"/>
    <cellStyle name="Comma 12 2 2 4 6 2 2" xfId="51743" xr:uid="{6CE02D48-6783-418D-B07C-63A5CF9DE350}"/>
    <cellStyle name="Comma 12 2 2 4 6 3" xfId="36623" xr:uid="{65924462-9093-41DB-BB38-633F98B97A0E}"/>
    <cellStyle name="Comma 12 2 2 4 7" xfId="7895" xr:uid="{38838226-F2F4-4C2B-8ABA-FEF3122F35D2}"/>
    <cellStyle name="Comma 12 2 2 4 7 2" xfId="23015" xr:uid="{BA231C78-BA47-4A87-8E01-5F93081E3B27}"/>
    <cellStyle name="Comma 12 2 2 4 7 2 2" xfId="53255" xr:uid="{FA47F780-B33D-4AE1-B0CD-F118F24FC9E9}"/>
    <cellStyle name="Comma 12 2 2 4 7 3" xfId="38135" xr:uid="{CBC3B1EF-5262-4FE2-8905-51A53707646F}"/>
    <cellStyle name="Comma 12 2 2 4 8" xfId="9407" xr:uid="{F82C7BD3-3750-4503-BDF1-32A80E531164}"/>
    <cellStyle name="Comma 12 2 2 4 8 2" xfId="24527" xr:uid="{DB2BA02A-C21D-4C7A-B088-F2B6BB0B6E22}"/>
    <cellStyle name="Comma 12 2 2 4 8 2 2" xfId="54767" xr:uid="{90F5B35F-8F14-4F68-9358-6B0A24E0703E}"/>
    <cellStyle name="Comma 12 2 2 4 8 3" xfId="39647" xr:uid="{5514D4A9-C40C-4D38-A306-3EC58F6419B2}"/>
    <cellStyle name="Comma 12 2 2 4 9" xfId="15455" xr:uid="{BD98D94A-BF46-4308-BE60-B2719F8A4DD0}"/>
    <cellStyle name="Comma 12 2 2 4 9 2" xfId="45695" xr:uid="{56D46935-5053-4473-B23B-194F2E781D51}"/>
    <cellStyle name="Comma 12 2 2 5" xfId="587" xr:uid="{ED0E1294-7D0F-4BD5-BD66-7C6514D6E7BD}"/>
    <cellStyle name="Comma 12 2 2 5 10" xfId="30827" xr:uid="{32B7A31F-3974-4115-8C20-61EB21363B6C}"/>
    <cellStyle name="Comma 12 2 2 5 2" xfId="1343" xr:uid="{30D03C0E-BE25-4C28-9AF7-31E932D75795}"/>
    <cellStyle name="Comma 12 2 2 5 2 2" xfId="2855" xr:uid="{3B29330C-541E-4ED0-9CBB-21841E98B332}"/>
    <cellStyle name="Comma 12 2 2 5 2 2 2" xfId="11927" xr:uid="{341F6F65-72AC-4129-A9A1-949305903AD1}"/>
    <cellStyle name="Comma 12 2 2 5 2 2 2 2" xfId="27047" xr:uid="{BC881ADF-3CC9-46D6-9C6F-CF827F30F745}"/>
    <cellStyle name="Comma 12 2 2 5 2 2 2 2 2" xfId="57287" xr:uid="{3643039C-4242-467C-ACD4-7434F42225E2}"/>
    <cellStyle name="Comma 12 2 2 5 2 2 2 3" xfId="42167" xr:uid="{D35D2D71-20D5-4C6A-A4F8-CE943F76B083}"/>
    <cellStyle name="Comma 12 2 2 5 2 2 3" xfId="17975" xr:uid="{FB447B96-9479-4723-B777-310993389888}"/>
    <cellStyle name="Comma 12 2 2 5 2 2 3 2" xfId="48215" xr:uid="{D3B3F387-C0D0-4A15-91EB-5699C6202B56}"/>
    <cellStyle name="Comma 12 2 2 5 2 2 4" xfId="33095" xr:uid="{60C2A422-0958-4747-B131-E50250ACBB54}"/>
    <cellStyle name="Comma 12 2 2 5 2 3" xfId="4367" xr:uid="{DC07D512-70F9-4845-A5EC-CEAA33290608}"/>
    <cellStyle name="Comma 12 2 2 5 2 3 2" xfId="13439" xr:uid="{7FB7A72F-1DC5-4EFC-ADE9-4B1E5C2A11DC}"/>
    <cellStyle name="Comma 12 2 2 5 2 3 2 2" xfId="28559" xr:uid="{0DC1AEAC-0D1E-49F1-8268-EEDBCDC494B4}"/>
    <cellStyle name="Comma 12 2 2 5 2 3 2 2 2" xfId="58799" xr:uid="{DE5D4F1A-AFF4-4313-BA6E-35F49DE82C37}"/>
    <cellStyle name="Comma 12 2 2 5 2 3 2 3" xfId="43679" xr:uid="{CAD60CE7-F5A8-4704-BDBF-6A0A70AE64B1}"/>
    <cellStyle name="Comma 12 2 2 5 2 3 3" xfId="19487" xr:uid="{315B81AF-EA43-4E36-BB2E-2918D1B5247D}"/>
    <cellStyle name="Comma 12 2 2 5 2 3 3 2" xfId="49727" xr:uid="{F607F355-E9F3-4A1B-846E-80709CB1F22E}"/>
    <cellStyle name="Comma 12 2 2 5 2 3 4" xfId="34607" xr:uid="{97D436E5-D063-4C2B-8074-A1EAC2497A50}"/>
    <cellStyle name="Comma 12 2 2 5 2 4" xfId="5879" xr:uid="{68014E88-EF88-41D2-A688-E5D86D2FCA61}"/>
    <cellStyle name="Comma 12 2 2 5 2 4 2" xfId="14951" xr:uid="{C26BC260-FC39-464C-AC5F-808A14FB1F7F}"/>
    <cellStyle name="Comma 12 2 2 5 2 4 2 2" xfId="30071" xr:uid="{A7B8CC58-A3EA-428A-A8F8-C85D4A18E65D}"/>
    <cellStyle name="Comma 12 2 2 5 2 4 2 2 2" xfId="60311" xr:uid="{7DB93436-53BC-4A9E-B0B6-B78C1A6E54CF}"/>
    <cellStyle name="Comma 12 2 2 5 2 4 2 3" xfId="45191" xr:uid="{DE23D9F2-BA4B-4D7E-8296-EFECF353E628}"/>
    <cellStyle name="Comma 12 2 2 5 2 4 3" xfId="20999" xr:uid="{EFA23FB9-D9C5-4FBE-BC3A-330222FF4396}"/>
    <cellStyle name="Comma 12 2 2 5 2 4 3 2" xfId="51239" xr:uid="{4C8494AF-FF2D-4E26-B465-950E0A6AC4F6}"/>
    <cellStyle name="Comma 12 2 2 5 2 4 4" xfId="36119" xr:uid="{B5348E79-D48A-497B-94E8-91461620C8AC}"/>
    <cellStyle name="Comma 12 2 2 5 2 5" xfId="7391" xr:uid="{8F74B31F-5343-4ABD-A213-0C9A8427DFC3}"/>
    <cellStyle name="Comma 12 2 2 5 2 5 2" xfId="22511" xr:uid="{D318851B-EA7E-4524-86EF-0FB9A0BDBB8B}"/>
    <cellStyle name="Comma 12 2 2 5 2 5 2 2" xfId="52751" xr:uid="{086AB5D4-F03D-4342-B1F3-EB777237CD9C}"/>
    <cellStyle name="Comma 12 2 2 5 2 5 3" xfId="37631" xr:uid="{86A254F7-01A6-49F4-95D3-E1C9EBAB8706}"/>
    <cellStyle name="Comma 12 2 2 5 2 6" xfId="8903" xr:uid="{137A9289-5880-4B8C-BF26-6B304D271BBA}"/>
    <cellStyle name="Comma 12 2 2 5 2 6 2" xfId="24023" xr:uid="{FF6F6859-4062-4BEF-8CCB-68DEB441C8AA}"/>
    <cellStyle name="Comma 12 2 2 5 2 6 2 2" xfId="54263" xr:uid="{2600A39B-E9E9-42EB-AE38-6C0CB01BF643}"/>
    <cellStyle name="Comma 12 2 2 5 2 6 3" xfId="39143" xr:uid="{72134402-3256-4B17-9DA3-3B1CBDF46217}"/>
    <cellStyle name="Comma 12 2 2 5 2 7" xfId="10415" xr:uid="{8D9CB2D3-C0F5-4F61-9A39-C68FF31B6A3F}"/>
    <cellStyle name="Comma 12 2 2 5 2 7 2" xfId="25535" xr:uid="{01A9EEB3-03F4-4256-A08C-731834BBB211}"/>
    <cellStyle name="Comma 12 2 2 5 2 7 2 2" xfId="55775" xr:uid="{7291F3E6-9B6A-4E66-B42C-7C7B63B9825A}"/>
    <cellStyle name="Comma 12 2 2 5 2 7 3" xfId="40655" xr:uid="{B83069CE-798E-4AA7-8923-9C896A872C96}"/>
    <cellStyle name="Comma 12 2 2 5 2 8" xfId="16463" xr:uid="{FEB7764D-581C-4278-BF7F-65379E2520A5}"/>
    <cellStyle name="Comma 12 2 2 5 2 8 2" xfId="46703" xr:uid="{0670699D-9859-492A-85BE-9E3798374B58}"/>
    <cellStyle name="Comma 12 2 2 5 2 9" xfId="31583" xr:uid="{1A99F8DA-01A1-4BB3-863D-500DBFB837BD}"/>
    <cellStyle name="Comma 12 2 2 5 3" xfId="2099" xr:uid="{3EA5EE2F-EA8E-41C3-A6B5-55C634CC9F17}"/>
    <cellStyle name="Comma 12 2 2 5 3 2" xfId="11171" xr:uid="{50CE8F55-B2EA-47C8-B547-9D52653F7751}"/>
    <cellStyle name="Comma 12 2 2 5 3 2 2" xfId="26291" xr:uid="{FA1BAB10-A948-4294-9C9C-D9917BDEF166}"/>
    <cellStyle name="Comma 12 2 2 5 3 2 2 2" xfId="56531" xr:uid="{61D2F7AD-7410-42F1-BBF0-5D08A79A9BE7}"/>
    <cellStyle name="Comma 12 2 2 5 3 2 3" xfId="41411" xr:uid="{8F63C4DB-C876-4479-92D3-617549393C09}"/>
    <cellStyle name="Comma 12 2 2 5 3 3" xfId="17219" xr:uid="{8121EB39-7294-48A9-BDD3-6BA288C347B8}"/>
    <cellStyle name="Comma 12 2 2 5 3 3 2" xfId="47459" xr:uid="{539139A3-48FE-4BA1-A50C-E45DE666AA79}"/>
    <cellStyle name="Comma 12 2 2 5 3 4" xfId="32339" xr:uid="{8A408A8E-C7D4-4961-B529-60B5EFA49C3B}"/>
    <cellStyle name="Comma 12 2 2 5 4" xfId="3611" xr:uid="{AEB211CC-07B0-4F00-8DFE-6B2EFD4568C6}"/>
    <cellStyle name="Comma 12 2 2 5 4 2" xfId="12683" xr:uid="{596984B1-B7B3-448B-B9E8-D272DC3D48F1}"/>
    <cellStyle name="Comma 12 2 2 5 4 2 2" xfId="27803" xr:uid="{0B0B0129-215B-45D7-BF69-CE4F4659D93D}"/>
    <cellStyle name="Comma 12 2 2 5 4 2 2 2" xfId="58043" xr:uid="{5566350A-B908-46B0-BEF1-3F58B53AED51}"/>
    <cellStyle name="Comma 12 2 2 5 4 2 3" xfId="42923" xr:uid="{14E7BE6B-5739-452D-9C75-5A0DF314CFB4}"/>
    <cellStyle name="Comma 12 2 2 5 4 3" xfId="18731" xr:uid="{BDA08FB8-CEAE-467A-B66F-98896778456C}"/>
    <cellStyle name="Comma 12 2 2 5 4 3 2" xfId="48971" xr:uid="{1A7744E7-63EE-44C3-A53C-404836D23756}"/>
    <cellStyle name="Comma 12 2 2 5 4 4" xfId="33851" xr:uid="{2A3203B5-A269-42AB-AD30-4193D997FF26}"/>
    <cellStyle name="Comma 12 2 2 5 5" xfId="5123" xr:uid="{7688D792-2D66-40FF-A64E-12202BCF3EFE}"/>
    <cellStyle name="Comma 12 2 2 5 5 2" xfId="14195" xr:uid="{1F0574B3-CDB3-40E2-A040-C99B176E8F7C}"/>
    <cellStyle name="Comma 12 2 2 5 5 2 2" xfId="29315" xr:uid="{AD8B2ACC-CFCB-483B-97A3-4E15C993F918}"/>
    <cellStyle name="Comma 12 2 2 5 5 2 2 2" xfId="59555" xr:uid="{EECE661C-D6CD-4A5B-97D5-DFBD5974A1A0}"/>
    <cellStyle name="Comma 12 2 2 5 5 2 3" xfId="44435" xr:uid="{DC50A168-0266-4D7E-94B7-49B121CC0302}"/>
    <cellStyle name="Comma 12 2 2 5 5 3" xfId="20243" xr:uid="{6B1A2D38-E7F5-459C-929A-3D986A64F3BC}"/>
    <cellStyle name="Comma 12 2 2 5 5 3 2" xfId="50483" xr:uid="{6D50AA2C-0A12-4067-BCAA-68285EAE3C2F}"/>
    <cellStyle name="Comma 12 2 2 5 5 4" xfId="35363" xr:uid="{FC4F9997-7E2C-48E7-8D98-A2716EA25CA7}"/>
    <cellStyle name="Comma 12 2 2 5 6" xfId="6635" xr:uid="{9DC13344-88FB-49FE-9CC6-A0B706A7FDEE}"/>
    <cellStyle name="Comma 12 2 2 5 6 2" xfId="21755" xr:uid="{E4555658-AE18-49C2-A9FC-3FD1E6803A75}"/>
    <cellStyle name="Comma 12 2 2 5 6 2 2" xfId="51995" xr:uid="{6CA0E080-3AB3-4175-B696-17DFCA97E72D}"/>
    <cellStyle name="Comma 12 2 2 5 6 3" xfId="36875" xr:uid="{6FC52E23-4882-4936-8C34-5F773DF6C196}"/>
    <cellStyle name="Comma 12 2 2 5 7" xfId="8147" xr:uid="{659E75B2-22E9-46FB-AAC5-522072800B14}"/>
    <cellStyle name="Comma 12 2 2 5 7 2" xfId="23267" xr:uid="{9033FC67-BBF2-466B-9655-43837FAF579C}"/>
    <cellStyle name="Comma 12 2 2 5 7 2 2" xfId="53507" xr:uid="{D18963CC-94E1-4134-824B-1B4D1E916B40}"/>
    <cellStyle name="Comma 12 2 2 5 7 3" xfId="38387" xr:uid="{A14C076D-80BB-494C-A7EA-8CA8F7D8311E}"/>
    <cellStyle name="Comma 12 2 2 5 8" xfId="9659" xr:uid="{4E8551A4-7B07-461D-BAC5-686419B365BD}"/>
    <cellStyle name="Comma 12 2 2 5 8 2" xfId="24779" xr:uid="{A3420DC4-D07F-4152-AA48-240E94704B26}"/>
    <cellStyle name="Comma 12 2 2 5 8 2 2" xfId="55019" xr:uid="{0A69073E-F544-42E2-B944-5A0B165EFBE6}"/>
    <cellStyle name="Comma 12 2 2 5 8 3" xfId="39899" xr:uid="{60006872-06AB-4B2A-8F97-DAB9F0D6F7C6}"/>
    <cellStyle name="Comma 12 2 2 5 9" xfId="15707" xr:uid="{68E83AF4-8495-4FFA-B52F-B2C2C6B3F2B6}"/>
    <cellStyle name="Comma 12 2 2 5 9 2" xfId="45947" xr:uid="{CAF67055-C3AA-4B3E-9A6C-4482A23B6553}"/>
    <cellStyle name="Comma 12 2 2 6" xfId="839" xr:uid="{D262DA1E-25C7-4032-BBCC-4DA743498876}"/>
    <cellStyle name="Comma 12 2 2 6 2" xfId="2351" xr:uid="{96F0B237-CEB7-487C-8923-57823873CB97}"/>
    <cellStyle name="Comma 12 2 2 6 2 2" xfId="11423" xr:uid="{D98A3ED8-7944-47E6-8C9C-0CC92BFB2D9A}"/>
    <cellStyle name="Comma 12 2 2 6 2 2 2" xfId="26543" xr:uid="{F84461BB-D642-401F-8EB2-52D9A0A14FA8}"/>
    <cellStyle name="Comma 12 2 2 6 2 2 2 2" xfId="56783" xr:uid="{9A264BE4-2C5C-4413-AB8C-B38CA31927B2}"/>
    <cellStyle name="Comma 12 2 2 6 2 2 3" xfId="41663" xr:uid="{B1D75598-5AA1-421D-85E7-A30342AB94B8}"/>
    <cellStyle name="Comma 12 2 2 6 2 3" xfId="17471" xr:uid="{17A03869-4C0C-4C87-B537-F556B6CEF317}"/>
    <cellStyle name="Comma 12 2 2 6 2 3 2" xfId="47711" xr:uid="{8420CEA9-13D5-40D0-AC68-D49734EFB91A}"/>
    <cellStyle name="Comma 12 2 2 6 2 4" xfId="32591" xr:uid="{491575B3-A0FA-45E6-BCEC-775D3A50F7D9}"/>
    <cellStyle name="Comma 12 2 2 6 3" xfId="3863" xr:uid="{6B61238C-CF50-42D5-9025-3A118AF16B1C}"/>
    <cellStyle name="Comma 12 2 2 6 3 2" xfId="12935" xr:uid="{6E4B40FE-AFC2-4DB0-8730-AF2D52C08A0F}"/>
    <cellStyle name="Comma 12 2 2 6 3 2 2" xfId="28055" xr:uid="{B90616CD-5984-4D80-9D44-420969887ED4}"/>
    <cellStyle name="Comma 12 2 2 6 3 2 2 2" xfId="58295" xr:uid="{CE3FF818-6352-4998-A31A-3AAB96A55F40}"/>
    <cellStyle name="Comma 12 2 2 6 3 2 3" xfId="43175" xr:uid="{823C3748-9F63-4F49-B3E1-4AC69304C1AD}"/>
    <cellStyle name="Comma 12 2 2 6 3 3" xfId="18983" xr:uid="{A8BD5D01-2850-44C8-A942-00EFA1D2B169}"/>
    <cellStyle name="Comma 12 2 2 6 3 3 2" xfId="49223" xr:uid="{4456233D-85D1-4958-BAEB-7EFED0A09CB9}"/>
    <cellStyle name="Comma 12 2 2 6 3 4" xfId="34103" xr:uid="{A9BF5EC4-DFF5-49DD-A53F-733726BCEB79}"/>
    <cellStyle name="Comma 12 2 2 6 4" xfId="5375" xr:uid="{EC6083D3-9B61-464F-9F51-BF62CCCAF74C}"/>
    <cellStyle name="Comma 12 2 2 6 4 2" xfId="14447" xr:uid="{93B80507-3019-48DB-A699-8EA0FAE328E0}"/>
    <cellStyle name="Comma 12 2 2 6 4 2 2" xfId="29567" xr:uid="{9285994F-C85C-4FB9-A4EE-6319980909A2}"/>
    <cellStyle name="Comma 12 2 2 6 4 2 2 2" xfId="59807" xr:uid="{B26B1204-79D9-4881-BC7E-4457AC3A3395}"/>
    <cellStyle name="Comma 12 2 2 6 4 2 3" xfId="44687" xr:uid="{81BDE67D-9C86-4BC9-828D-A7109D346072}"/>
    <cellStyle name="Comma 12 2 2 6 4 3" xfId="20495" xr:uid="{29CFC8F0-117F-4AE9-9281-FDC38D1CB555}"/>
    <cellStyle name="Comma 12 2 2 6 4 3 2" xfId="50735" xr:uid="{12B7C233-E382-4635-A46E-E1FA909D7E18}"/>
    <cellStyle name="Comma 12 2 2 6 4 4" xfId="35615" xr:uid="{6949775A-AB5C-4895-BD1E-8FD2D6DBD168}"/>
    <cellStyle name="Comma 12 2 2 6 5" xfId="6887" xr:uid="{EEB5FDA3-535C-424F-A804-16D5CC60C511}"/>
    <cellStyle name="Comma 12 2 2 6 5 2" xfId="22007" xr:uid="{163310C9-C758-4847-8CF6-171032C41B1D}"/>
    <cellStyle name="Comma 12 2 2 6 5 2 2" xfId="52247" xr:uid="{15384A5A-7694-49A0-BF0B-DC93A2ADE5A9}"/>
    <cellStyle name="Comma 12 2 2 6 5 3" xfId="37127" xr:uid="{61AD1499-F074-45E7-AEB2-4FCD3911BC93}"/>
    <cellStyle name="Comma 12 2 2 6 6" xfId="8399" xr:uid="{A5FE172A-3246-4273-A5C8-3EFDEFBB1C62}"/>
    <cellStyle name="Comma 12 2 2 6 6 2" xfId="23519" xr:uid="{FB040B54-4F0C-4B0B-B151-F6B2B26A7E31}"/>
    <cellStyle name="Comma 12 2 2 6 6 2 2" xfId="53759" xr:uid="{D2E3289D-5FAD-4140-B615-5AD2E748C0C2}"/>
    <cellStyle name="Comma 12 2 2 6 6 3" xfId="38639" xr:uid="{702E4CE1-0AE9-4612-9418-AA525EB2D033}"/>
    <cellStyle name="Comma 12 2 2 6 7" xfId="9911" xr:uid="{58EE641E-8AFA-4BAE-BB96-BD571302EB17}"/>
    <cellStyle name="Comma 12 2 2 6 7 2" xfId="25031" xr:uid="{46576E82-3C30-4E9A-8EB8-BE6AB0BD0D45}"/>
    <cellStyle name="Comma 12 2 2 6 7 2 2" xfId="55271" xr:uid="{932613C6-40BE-4340-8681-9E660F484221}"/>
    <cellStyle name="Comma 12 2 2 6 7 3" xfId="40151" xr:uid="{86ABA3A0-D079-4920-8F0C-522968EE927F}"/>
    <cellStyle name="Comma 12 2 2 6 8" xfId="15959" xr:uid="{E7F3133A-D305-4940-8A5C-79FB0FD023FB}"/>
    <cellStyle name="Comma 12 2 2 6 8 2" xfId="46199" xr:uid="{5964BD9E-73F9-4022-B20B-7DBE7630FFCA}"/>
    <cellStyle name="Comma 12 2 2 6 9" xfId="31079" xr:uid="{CC1FF553-083B-4C55-9537-087AE20A174E}"/>
    <cellStyle name="Comma 12 2 2 7" xfId="1595" xr:uid="{1BCA54F3-1362-419C-97D5-16EF030B1BCE}"/>
    <cellStyle name="Comma 12 2 2 7 2" xfId="10667" xr:uid="{FB7727A3-D937-4A40-B31E-8C57A7ECC1A2}"/>
    <cellStyle name="Comma 12 2 2 7 2 2" xfId="25787" xr:uid="{9EB098AE-65CB-4129-88E6-D5D35895649A}"/>
    <cellStyle name="Comma 12 2 2 7 2 2 2" xfId="56027" xr:uid="{BCDA311A-B882-4A4D-BAAC-D5B372DD1B2C}"/>
    <cellStyle name="Comma 12 2 2 7 2 3" xfId="40907" xr:uid="{265004F2-8778-4703-8A3F-6FA78B5CD32E}"/>
    <cellStyle name="Comma 12 2 2 7 3" xfId="16715" xr:uid="{0701CC53-D5D6-4111-BEAA-392DA305E3D8}"/>
    <cellStyle name="Comma 12 2 2 7 3 2" xfId="46955" xr:uid="{06BDEB4B-4D8C-43AE-A7CC-E942E723FF26}"/>
    <cellStyle name="Comma 12 2 2 7 4" xfId="31835" xr:uid="{36FBEACE-F9BE-4176-BD93-6008D8361F34}"/>
    <cellStyle name="Comma 12 2 2 8" xfId="3107" xr:uid="{F10A6AC3-4631-4E04-B294-ACDF60BEBD6A}"/>
    <cellStyle name="Comma 12 2 2 8 2" xfId="12179" xr:uid="{20FCD9FD-688C-4D12-8B1E-3E5F6B4FB94F}"/>
    <cellStyle name="Comma 12 2 2 8 2 2" xfId="27299" xr:uid="{D6C561EB-702C-4421-90DA-0780B5ED6BAC}"/>
    <cellStyle name="Comma 12 2 2 8 2 2 2" xfId="57539" xr:uid="{9AFB5742-BEC6-491D-B6B5-D13DD9ACB96A}"/>
    <cellStyle name="Comma 12 2 2 8 2 3" xfId="42419" xr:uid="{BC41C094-B5FD-47EC-BB89-8BDA3CF76766}"/>
    <cellStyle name="Comma 12 2 2 8 3" xfId="18227" xr:uid="{7742F65C-4556-474F-8E79-A4E0E9E82BF8}"/>
    <cellStyle name="Comma 12 2 2 8 3 2" xfId="48467" xr:uid="{84E1831E-BAE3-4CDF-B657-6A44FAD6F969}"/>
    <cellStyle name="Comma 12 2 2 8 4" xfId="33347" xr:uid="{0543D718-2746-40F2-9190-E368CBA5C43B}"/>
    <cellStyle name="Comma 12 2 2 9" xfId="4619" xr:uid="{297902AF-4CB3-41CB-A14A-BE7C3531BB3F}"/>
    <cellStyle name="Comma 12 2 2 9 2" xfId="13691" xr:uid="{CC89B026-4A9A-454A-B575-C2D2E4B0535E}"/>
    <cellStyle name="Comma 12 2 2 9 2 2" xfId="28811" xr:uid="{551064CE-3641-4BC3-A988-40055C2CDA68}"/>
    <cellStyle name="Comma 12 2 2 9 2 2 2" xfId="59051" xr:uid="{8055D3C1-7505-4607-BB62-7E45D80E810C}"/>
    <cellStyle name="Comma 12 2 2 9 2 3" xfId="43931" xr:uid="{2311E09F-3323-4E64-A60E-6683F131B7F2}"/>
    <cellStyle name="Comma 12 2 2 9 3" xfId="19739" xr:uid="{442A5DA5-9FA6-4DA3-A7D6-C9399E5680EA}"/>
    <cellStyle name="Comma 12 2 2 9 3 2" xfId="49979" xr:uid="{4BF72071-8861-4B9A-B86F-71E67954B0B2}"/>
    <cellStyle name="Comma 12 2 2 9 4" xfId="34859" xr:uid="{E12EEEAD-1808-4497-B009-986EF3299697}"/>
    <cellStyle name="Comma 12 2 3" xfId="125" xr:uid="{CE852AB7-3497-449B-84FC-12D2760B2B45}"/>
    <cellStyle name="Comma 12 2 3 10" xfId="9197" xr:uid="{43122ECC-EA5F-4A95-BBB1-91E7B3A84014}"/>
    <cellStyle name="Comma 12 2 3 10 2" xfId="24317" xr:uid="{FA906D97-C757-411D-94E5-EE00A8B1E5A0}"/>
    <cellStyle name="Comma 12 2 3 10 2 2" xfId="54557" xr:uid="{69489780-ABE3-4139-B458-EBBDEAFDB95D}"/>
    <cellStyle name="Comma 12 2 3 10 3" xfId="39437" xr:uid="{D1E8E805-B3F3-4C70-BD3D-4E054F8739D1}"/>
    <cellStyle name="Comma 12 2 3 11" xfId="15245" xr:uid="{178CA1B7-B777-4B08-80F4-B59D26E9E19C}"/>
    <cellStyle name="Comma 12 2 3 11 2" xfId="45485" xr:uid="{21274ABF-4736-488A-8283-71A7A3DEA4C1}"/>
    <cellStyle name="Comma 12 2 3 12" xfId="30365" xr:uid="{9EC4CF32-02CE-47CF-A54E-FECC9F56ED64}"/>
    <cellStyle name="Comma 12 2 3 2" xfId="377" xr:uid="{D3EF69CD-AE72-45E2-BB73-BE399A364ADB}"/>
    <cellStyle name="Comma 12 2 3 2 10" xfId="30617" xr:uid="{1A77E8B7-A639-491D-8A4B-0B7791D4CC4C}"/>
    <cellStyle name="Comma 12 2 3 2 2" xfId="1133" xr:uid="{B60D7EE8-AABD-495B-97CE-957DFEE9AE67}"/>
    <cellStyle name="Comma 12 2 3 2 2 2" xfId="2645" xr:uid="{FCD01020-4069-4D7A-B8AA-E9EE81C69A56}"/>
    <cellStyle name="Comma 12 2 3 2 2 2 2" xfId="11717" xr:uid="{CAD62AF8-B3B7-4DEB-93B7-34F1B0AE3D55}"/>
    <cellStyle name="Comma 12 2 3 2 2 2 2 2" xfId="26837" xr:uid="{0182090D-DC11-4D6A-8568-00583FA42D12}"/>
    <cellStyle name="Comma 12 2 3 2 2 2 2 2 2" xfId="57077" xr:uid="{68C50AE4-93BB-413D-A4A3-F73F1A67A8E3}"/>
    <cellStyle name="Comma 12 2 3 2 2 2 2 3" xfId="41957" xr:uid="{749F638A-E924-4418-8D6A-E43098473AF3}"/>
    <cellStyle name="Comma 12 2 3 2 2 2 3" xfId="17765" xr:uid="{83CE729F-30C4-40C0-B6C4-8F2BC557E4A0}"/>
    <cellStyle name="Comma 12 2 3 2 2 2 3 2" xfId="48005" xr:uid="{053C216B-1DB2-44F9-ADE8-AA59BE8220C9}"/>
    <cellStyle name="Comma 12 2 3 2 2 2 4" xfId="32885" xr:uid="{2D96DF67-9602-47D9-AD30-EE64E485B58C}"/>
    <cellStyle name="Comma 12 2 3 2 2 3" xfId="4157" xr:uid="{0D171D22-79B3-4876-A053-D0672A698848}"/>
    <cellStyle name="Comma 12 2 3 2 2 3 2" xfId="13229" xr:uid="{E52966B8-92D5-465C-87E4-CCAFE0E7E8EC}"/>
    <cellStyle name="Comma 12 2 3 2 2 3 2 2" xfId="28349" xr:uid="{1FCA9555-9586-428E-B14E-4A000AEC8527}"/>
    <cellStyle name="Comma 12 2 3 2 2 3 2 2 2" xfId="58589" xr:uid="{747CB3DF-FBDF-41F2-BB3D-D4BBCBC995A2}"/>
    <cellStyle name="Comma 12 2 3 2 2 3 2 3" xfId="43469" xr:uid="{9B48D43C-577D-47CD-A38F-C73052B8E8A9}"/>
    <cellStyle name="Comma 12 2 3 2 2 3 3" xfId="19277" xr:uid="{C628A628-8056-428F-B72E-A62A9D9821B5}"/>
    <cellStyle name="Comma 12 2 3 2 2 3 3 2" xfId="49517" xr:uid="{2A552448-3178-40C0-B63A-06AEB401D510}"/>
    <cellStyle name="Comma 12 2 3 2 2 3 4" xfId="34397" xr:uid="{12918748-3B0C-4D8C-AA35-271D5B4FD91C}"/>
    <cellStyle name="Comma 12 2 3 2 2 4" xfId="5669" xr:uid="{696C68CC-2333-423C-8E12-25613F120E45}"/>
    <cellStyle name="Comma 12 2 3 2 2 4 2" xfId="14741" xr:uid="{6D23AC03-AEE2-43FD-9E11-0FBB07BA0025}"/>
    <cellStyle name="Comma 12 2 3 2 2 4 2 2" xfId="29861" xr:uid="{D0B6C562-CDB6-4318-9013-EAFFC09383C1}"/>
    <cellStyle name="Comma 12 2 3 2 2 4 2 2 2" xfId="60101" xr:uid="{C5BC58D5-88B9-435A-AB88-195B7BD9BBF3}"/>
    <cellStyle name="Comma 12 2 3 2 2 4 2 3" xfId="44981" xr:uid="{90C26865-1CE7-4ABA-BED7-E93831D73DFA}"/>
    <cellStyle name="Comma 12 2 3 2 2 4 3" xfId="20789" xr:uid="{D6C5A07E-6CB7-4EAA-AA98-9EE4E9536CA2}"/>
    <cellStyle name="Comma 12 2 3 2 2 4 3 2" xfId="51029" xr:uid="{68A1E3A5-16D4-44C3-8BE9-E78E05DBA01C}"/>
    <cellStyle name="Comma 12 2 3 2 2 4 4" xfId="35909" xr:uid="{3CE694A0-1D0C-4C24-BCA3-0487F5C8F56C}"/>
    <cellStyle name="Comma 12 2 3 2 2 5" xfId="7181" xr:uid="{C0ABCB8A-128D-4384-AD28-D669326B978F}"/>
    <cellStyle name="Comma 12 2 3 2 2 5 2" xfId="22301" xr:uid="{09587C44-CF62-49A4-91DF-4CFE8BA09427}"/>
    <cellStyle name="Comma 12 2 3 2 2 5 2 2" xfId="52541" xr:uid="{762CA6D0-5615-4FA2-8CA5-005C1DC7CB8F}"/>
    <cellStyle name="Comma 12 2 3 2 2 5 3" xfId="37421" xr:uid="{8B95502C-24BD-4F93-BC24-A0150ACD3192}"/>
    <cellStyle name="Comma 12 2 3 2 2 6" xfId="8693" xr:uid="{CD6A3A5F-380C-42CB-ADAE-85DD5AAD82BF}"/>
    <cellStyle name="Comma 12 2 3 2 2 6 2" xfId="23813" xr:uid="{90333A7A-2B07-4023-9F24-3F10285947AC}"/>
    <cellStyle name="Comma 12 2 3 2 2 6 2 2" xfId="54053" xr:uid="{9C140B15-31A3-41AF-8BEF-2F544482E0CD}"/>
    <cellStyle name="Comma 12 2 3 2 2 6 3" xfId="38933" xr:uid="{26BD3611-D6CF-4151-98DB-042529F739ED}"/>
    <cellStyle name="Comma 12 2 3 2 2 7" xfId="10205" xr:uid="{280681CB-00DE-4F1A-83F4-9204BBE6244B}"/>
    <cellStyle name="Comma 12 2 3 2 2 7 2" xfId="25325" xr:uid="{76B8E5B8-5275-4457-AADF-1B1925ED55DA}"/>
    <cellStyle name="Comma 12 2 3 2 2 7 2 2" xfId="55565" xr:uid="{B13E089E-C259-4F28-B11A-80AF76D1A2F0}"/>
    <cellStyle name="Comma 12 2 3 2 2 7 3" xfId="40445" xr:uid="{1EADF04C-1B63-479D-8906-807972BD3CBD}"/>
    <cellStyle name="Comma 12 2 3 2 2 8" xfId="16253" xr:uid="{DEA38A33-FBCD-4153-B846-74BC4117A156}"/>
    <cellStyle name="Comma 12 2 3 2 2 8 2" xfId="46493" xr:uid="{FFB71040-4CD4-4321-AB52-D4B319B95D5E}"/>
    <cellStyle name="Comma 12 2 3 2 2 9" xfId="31373" xr:uid="{F7CB07E0-CAEC-45C2-9004-D73D756D1AA1}"/>
    <cellStyle name="Comma 12 2 3 2 3" xfId="1889" xr:uid="{60C95A5D-5FB8-484B-8656-EB82FCFAF903}"/>
    <cellStyle name="Comma 12 2 3 2 3 2" xfId="10961" xr:uid="{BB78819F-6BF6-4170-A96E-D1C629010633}"/>
    <cellStyle name="Comma 12 2 3 2 3 2 2" xfId="26081" xr:uid="{E5B70B08-FEF9-4D3B-9E7B-5CADB7A9728F}"/>
    <cellStyle name="Comma 12 2 3 2 3 2 2 2" xfId="56321" xr:uid="{6C7083C4-BD27-4319-83E9-6A07B31DC480}"/>
    <cellStyle name="Comma 12 2 3 2 3 2 3" xfId="41201" xr:uid="{BF2233D4-D61C-4D30-ACAD-0089109A2318}"/>
    <cellStyle name="Comma 12 2 3 2 3 3" xfId="17009" xr:uid="{B76386D1-3584-4BAA-95F1-5E9329B7FF4B}"/>
    <cellStyle name="Comma 12 2 3 2 3 3 2" xfId="47249" xr:uid="{C42EFF1E-E0F5-4C38-89C3-CF2B7B7DBA0E}"/>
    <cellStyle name="Comma 12 2 3 2 3 4" xfId="32129" xr:uid="{0208E501-A763-4B7A-82E8-AA4ED6C69533}"/>
    <cellStyle name="Comma 12 2 3 2 4" xfId="3401" xr:uid="{EA1460DE-72AE-402D-9FF7-AB4C5F9D44FB}"/>
    <cellStyle name="Comma 12 2 3 2 4 2" xfId="12473" xr:uid="{B5012E74-0427-4EFD-B9E1-C63A7D333E18}"/>
    <cellStyle name="Comma 12 2 3 2 4 2 2" xfId="27593" xr:uid="{4D87A060-E74E-4682-9074-8314B7A587FD}"/>
    <cellStyle name="Comma 12 2 3 2 4 2 2 2" xfId="57833" xr:uid="{4750AE28-FFB9-4426-B174-94666EEA5CC2}"/>
    <cellStyle name="Comma 12 2 3 2 4 2 3" xfId="42713" xr:uid="{E35DBD47-0ADB-4A7F-B81E-1B16B18B8681}"/>
    <cellStyle name="Comma 12 2 3 2 4 3" xfId="18521" xr:uid="{656C1670-B5F6-4AF7-B934-8E0648788D28}"/>
    <cellStyle name="Comma 12 2 3 2 4 3 2" xfId="48761" xr:uid="{AC535536-4781-4B32-926D-6F00D113053B}"/>
    <cellStyle name="Comma 12 2 3 2 4 4" xfId="33641" xr:uid="{164839CD-BED6-43F1-85D7-79EC292F76AC}"/>
    <cellStyle name="Comma 12 2 3 2 5" xfId="4913" xr:uid="{ACBE64ED-7B29-46DD-9F26-E61AB2B8584B}"/>
    <cellStyle name="Comma 12 2 3 2 5 2" xfId="13985" xr:uid="{19911049-3D16-447D-A027-E8BBD2E37049}"/>
    <cellStyle name="Comma 12 2 3 2 5 2 2" xfId="29105" xr:uid="{CD0935DB-5ABA-4F48-B6DC-A6A6FF8C448B}"/>
    <cellStyle name="Comma 12 2 3 2 5 2 2 2" xfId="59345" xr:uid="{AB961EF6-5DC9-4F95-B727-5D94889311D6}"/>
    <cellStyle name="Comma 12 2 3 2 5 2 3" xfId="44225" xr:uid="{B715503A-4583-4A2C-A8D0-16283BA618F1}"/>
    <cellStyle name="Comma 12 2 3 2 5 3" xfId="20033" xr:uid="{2F85722F-8C1A-49DA-8E31-10AE9324CEF4}"/>
    <cellStyle name="Comma 12 2 3 2 5 3 2" xfId="50273" xr:uid="{70C5CF0E-29F5-44DE-AE90-70F0C7909021}"/>
    <cellStyle name="Comma 12 2 3 2 5 4" xfId="35153" xr:uid="{30F8E8BB-4054-40AE-8CB8-C0C9C682AF91}"/>
    <cellStyle name="Comma 12 2 3 2 6" xfId="6425" xr:uid="{3234774B-0844-4A05-82AA-62C44DC46232}"/>
    <cellStyle name="Comma 12 2 3 2 6 2" xfId="21545" xr:uid="{BAD9DE90-8979-4E6C-AAAA-1D6B35D7FEBC}"/>
    <cellStyle name="Comma 12 2 3 2 6 2 2" xfId="51785" xr:uid="{6595DC3B-329B-422B-810B-41B90274D136}"/>
    <cellStyle name="Comma 12 2 3 2 6 3" xfId="36665" xr:uid="{5914054C-F7B0-4A17-89B7-28D9BBB7C15F}"/>
    <cellStyle name="Comma 12 2 3 2 7" xfId="7937" xr:uid="{E7BB8FFE-AB76-4F85-9CAB-CB5C8BB0FF6F}"/>
    <cellStyle name="Comma 12 2 3 2 7 2" xfId="23057" xr:uid="{04AFF718-53F7-4A62-9D96-58DC03F0D4DA}"/>
    <cellStyle name="Comma 12 2 3 2 7 2 2" xfId="53297" xr:uid="{167F9E37-EB0F-4D34-98B3-7853336D1DC2}"/>
    <cellStyle name="Comma 12 2 3 2 7 3" xfId="38177" xr:uid="{CB46782F-A204-4482-B663-C7A62A5558B8}"/>
    <cellStyle name="Comma 12 2 3 2 8" xfId="9449" xr:uid="{F38625EB-38C8-4300-AB8A-D606B872738F}"/>
    <cellStyle name="Comma 12 2 3 2 8 2" xfId="24569" xr:uid="{19D95B85-143B-4FCD-97B5-3B668003F585}"/>
    <cellStyle name="Comma 12 2 3 2 8 2 2" xfId="54809" xr:uid="{4BB93A70-F6D3-4311-894D-72D6DB18B191}"/>
    <cellStyle name="Comma 12 2 3 2 8 3" xfId="39689" xr:uid="{FC13A2DE-B94C-4CEF-8E29-3F04456D562B}"/>
    <cellStyle name="Comma 12 2 3 2 9" xfId="15497" xr:uid="{37DCC415-0002-44E2-8044-FC13EC820B1E}"/>
    <cellStyle name="Comma 12 2 3 2 9 2" xfId="45737" xr:uid="{0A321A8D-9F2C-494D-B6B8-9499451BDAD9}"/>
    <cellStyle name="Comma 12 2 3 3" xfId="629" xr:uid="{DE67FD43-3BAB-4687-9B56-33326FC396DC}"/>
    <cellStyle name="Comma 12 2 3 3 10" xfId="30869" xr:uid="{48F998A4-A192-4DCF-B95F-0700D6710455}"/>
    <cellStyle name="Comma 12 2 3 3 2" xfId="1385" xr:uid="{55F4236D-CC9D-4F85-BC2B-159FC0595217}"/>
    <cellStyle name="Comma 12 2 3 3 2 2" xfId="2897" xr:uid="{E8794368-D753-4E06-84AE-1680930BAEBE}"/>
    <cellStyle name="Comma 12 2 3 3 2 2 2" xfId="11969" xr:uid="{286A8B7B-0C69-46CB-9A2D-FEFB01B0467E}"/>
    <cellStyle name="Comma 12 2 3 3 2 2 2 2" xfId="27089" xr:uid="{1A6D33A7-0D90-4BB8-A349-6FB0A669636E}"/>
    <cellStyle name="Comma 12 2 3 3 2 2 2 2 2" xfId="57329" xr:uid="{D36B4B10-2005-4C2A-A24F-7559CE318DED}"/>
    <cellStyle name="Comma 12 2 3 3 2 2 2 3" xfId="42209" xr:uid="{B3F35C8B-F626-418D-A845-36DE2ABBCEBB}"/>
    <cellStyle name="Comma 12 2 3 3 2 2 3" xfId="18017" xr:uid="{40D29829-57F3-4FC9-9B72-74027FE3E8A5}"/>
    <cellStyle name="Comma 12 2 3 3 2 2 3 2" xfId="48257" xr:uid="{3FC07EAA-F898-444C-906B-275937B9642E}"/>
    <cellStyle name="Comma 12 2 3 3 2 2 4" xfId="33137" xr:uid="{27FA6C38-027E-4111-BABD-1B92864A1309}"/>
    <cellStyle name="Comma 12 2 3 3 2 3" xfId="4409" xr:uid="{7D4F4119-3457-439B-8869-23B220B7C9D9}"/>
    <cellStyle name="Comma 12 2 3 3 2 3 2" xfId="13481" xr:uid="{018EBD4A-B058-4448-BA37-C6BC21503293}"/>
    <cellStyle name="Comma 12 2 3 3 2 3 2 2" xfId="28601" xr:uid="{8DF17980-5B72-43E9-9996-8FD978B6D55F}"/>
    <cellStyle name="Comma 12 2 3 3 2 3 2 2 2" xfId="58841" xr:uid="{688928BE-4681-4083-B145-8EFF7F9F1825}"/>
    <cellStyle name="Comma 12 2 3 3 2 3 2 3" xfId="43721" xr:uid="{459FC726-33CB-4486-9F77-F634902BC51E}"/>
    <cellStyle name="Comma 12 2 3 3 2 3 3" xfId="19529" xr:uid="{D09E9D3A-D6B5-4070-B8E1-74DD2AEDDA72}"/>
    <cellStyle name="Comma 12 2 3 3 2 3 3 2" xfId="49769" xr:uid="{2C19004B-C938-4938-A939-10DB2C8ECBE7}"/>
    <cellStyle name="Comma 12 2 3 3 2 3 4" xfId="34649" xr:uid="{FCF7A682-BE11-4513-AEDD-7A6A32974960}"/>
    <cellStyle name="Comma 12 2 3 3 2 4" xfId="5921" xr:uid="{D73C5624-44DB-4E15-B6A4-1404EF9509BA}"/>
    <cellStyle name="Comma 12 2 3 3 2 4 2" xfId="14993" xr:uid="{2CA5A68A-D9C7-4D41-824D-00E31CF60641}"/>
    <cellStyle name="Comma 12 2 3 3 2 4 2 2" xfId="30113" xr:uid="{F4626ACC-970B-4FED-A69C-8694F5351A05}"/>
    <cellStyle name="Comma 12 2 3 3 2 4 2 2 2" xfId="60353" xr:uid="{4AE5D295-13FB-41DA-9C61-4A7306B098D7}"/>
    <cellStyle name="Comma 12 2 3 3 2 4 2 3" xfId="45233" xr:uid="{9EF3753B-CCBE-4B27-9C69-0AD134A51045}"/>
    <cellStyle name="Comma 12 2 3 3 2 4 3" xfId="21041" xr:uid="{6065D792-A935-41CD-9314-1CCB2ECAE553}"/>
    <cellStyle name="Comma 12 2 3 3 2 4 3 2" xfId="51281" xr:uid="{F0E8CFDB-EA52-471F-AF8F-28E0E94CD0D9}"/>
    <cellStyle name="Comma 12 2 3 3 2 4 4" xfId="36161" xr:uid="{23FB74D1-F4CC-4B52-99C1-762AF9B47AB8}"/>
    <cellStyle name="Comma 12 2 3 3 2 5" xfId="7433" xr:uid="{6D8686BB-42C2-40DB-8FFA-827B9B612E2C}"/>
    <cellStyle name="Comma 12 2 3 3 2 5 2" xfId="22553" xr:uid="{3DED3C5E-E01C-4EF9-947F-1FB2E8E92945}"/>
    <cellStyle name="Comma 12 2 3 3 2 5 2 2" xfId="52793" xr:uid="{A51D4DAD-3C5D-4E99-9A1B-4DA38D75FD89}"/>
    <cellStyle name="Comma 12 2 3 3 2 5 3" xfId="37673" xr:uid="{3538CE0C-395B-40B7-9782-39CFE2755939}"/>
    <cellStyle name="Comma 12 2 3 3 2 6" xfId="8945" xr:uid="{2383AC24-34AE-4DAC-BEB4-19B672FB499A}"/>
    <cellStyle name="Comma 12 2 3 3 2 6 2" xfId="24065" xr:uid="{38756293-EA4E-44F0-A47A-DBA3EFECF6B1}"/>
    <cellStyle name="Comma 12 2 3 3 2 6 2 2" xfId="54305" xr:uid="{248F2B83-5E10-4C68-82A9-E6A6A49528BF}"/>
    <cellStyle name="Comma 12 2 3 3 2 6 3" xfId="39185" xr:uid="{F259F97D-8D89-461C-AF9C-C25489666B0C}"/>
    <cellStyle name="Comma 12 2 3 3 2 7" xfId="10457" xr:uid="{EF982373-5C8B-475B-A031-1BD4B902C302}"/>
    <cellStyle name="Comma 12 2 3 3 2 7 2" xfId="25577" xr:uid="{9B0A33FC-EF15-442E-A929-38CB43952F58}"/>
    <cellStyle name="Comma 12 2 3 3 2 7 2 2" xfId="55817" xr:uid="{FD893BB9-0DBA-4F74-8FB8-D3A9933435D8}"/>
    <cellStyle name="Comma 12 2 3 3 2 7 3" xfId="40697" xr:uid="{E41666AC-ABC3-4316-88F1-77BB9D2236FC}"/>
    <cellStyle name="Comma 12 2 3 3 2 8" xfId="16505" xr:uid="{AA23038D-9A7B-4784-9987-0981D1DBBBC9}"/>
    <cellStyle name="Comma 12 2 3 3 2 8 2" xfId="46745" xr:uid="{3150D335-4955-414B-A603-D91BBE432271}"/>
    <cellStyle name="Comma 12 2 3 3 2 9" xfId="31625" xr:uid="{D7D782AD-7854-49BA-8440-9FB29B60ED60}"/>
    <cellStyle name="Comma 12 2 3 3 3" xfId="2141" xr:uid="{B506F279-5384-4378-8F6F-E4D0145ADC0A}"/>
    <cellStyle name="Comma 12 2 3 3 3 2" xfId="11213" xr:uid="{BFB20450-7E04-4BD3-B664-8C1331DD8613}"/>
    <cellStyle name="Comma 12 2 3 3 3 2 2" xfId="26333" xr:uid="{F995AC3B-74D1-44CA-844A-93718F0185B0}"/>
    <cellStyle name="Comma 12 2 3 3 3 2 2 2" xfId="56573" xr:uid="{D834EF64-046D-44C2-8650-55E506B5DB0C}"/>
    <cellStyle name="Comma 12 2 3 3 3 2 3" xfId="41453" xr:uid="{2DBAC6EF-DD55-4B52-A61C-37CAF41CE615}"/>
    <cellStyle name="Comma 12 2 3 3 3 3" xfId="17261" xr:uid="{3C209BA5-7698-4D04-AF74-37B88AA86BB6}"/>
    <cellStyle name="Comma 12 2 3 3 3 3 2" xfId="47501" xr:uid="{914F74CD-8E20-46B0-9C2A-1CABF00E586D}"/>
    <cellStyle name="Comma 12 2 3 3 3 4" xfId="32381" xr:uid="{B0844C5A-A387-4A38-AE61-E22EC039928C}"/>
    <cellStyle name="Comma 12 2 3 3 4" xfId="3653" xr:uid="{FB8F34B5-51C7-4CF4-820F-E8269CC1D5A3}"/>
    <cellStyle name="Comma 12 2 3 3 4 2" xfId="12725" xr:uid="{FEF6F5E5-BE55-41BE-ACC6-DEC527A21F7D}"/>
    <cellStyle name="Comma 12 2 3 3 4 2 2" xfId="27845" xr:uid="{3908D608-B506-4CC2-A4AF-65B28B458DC5}"/>
    <cellStyle name="Comma 12 2 3 3 4 2 2 2" xfId="58085" xr:uid="{2F1BAE16-104B-4844-8E5F-0D6D80A0F80C}"/>
    <cellStyle name="Comma 12 2 3 3 4 2 3" xfId="42965" xr:uid="{D91B7ED6-C069-4BE2-9CBB-01D3C6F079BC}"/>
    <cellStyle name="Comma 12 2 3 3 4 3" xfId="18773" xr:uid="{526D5B46-3326-4153-A18E-00290360B4DB}"/>
    <cellStyle name="Comma 12 2 3 3 4 3 2" xfId="49013" xr:uid="{B23B23FA-936E-4610-B795-5CB16287D933}"/>
    <cellStyle name="Comma 12 2 3 3 4 4" xfId="33893" xr:uid="{1B89207A-60A2-4C35-B5AF-E7311B7B2EBC}"/>
    <cellStyle name="Comma 12 2 3 3 5" xfId="5165" xr:uid="{993572A3-1E37-4833-B7BF-864ADC299BF9}"/>
    <cellStyle name="Comma 12 2 3 3 5 2" xfId="14237" xr:uid="{5543164C-9A39-47A1-88EE-0A14C98C79DC}"/>
    <cellStyle name="Comma 12 2 3 3 5 2 2" xfId="29357" xr:uid="{F2B8E48B-058B-49DD-8765-0C8E33FCDEC3}"/>
    <cellStyle name="Comma 12 2 3 3 5 2 2 2" xfId="59597" xr:uid="{5D1676A2-E715-43B6-8429-E41C64821D5E}"/>
    <cellStyle name="Comma 12 2 3 3 5 2 3" xfId="44477" xr:uid="{DCBDB1DB-3F81-4E87-8E00-2EE4F92B0999}"/>
    <cellStyle name="Comma 12 2 3 3 5 3" xfId="20285" xr:uid="{CFAF984C-9A1B-4783-B13A-D660CC151F60}"/>
    <cellStyle name="Comma 12 2 3 3 5 3 2" xfId="50525" xr:uid="{2E7ED2CE-E5D5-4189-BCDC-108BA43C684D}"/>
    <cellStyle name="Comma 12 2 3 3 5 4" xfId="35405" xr:uid="{87C5E110-8B18-4195-A81E-41F087C65688}"/>
    <cellStyle name="Comma 12 2 3 3 6" xfId="6677" xr:uid="{4500BF38-2605-497F-81F7-10AE6EDB1951}"/>
    <cellStyle name="Comma 12 2 3 3 6 2" xfId="21797" xr:uid="{8AC3B591-2ABB-4ABF-9670-2CF664C935DF}"/>
    <cellStyle name="Comma 12 2 3 3 6 2 2" xfId="52037" xr:uid="{C252BE3E-8254-4132-BE17-9AE17FF42532}"/>
    <cellStyle name="Comma 12 2 3 3 6 3" xfId="36917" xr:uid="{7CCE6C5E-F579-488F-8982-8A66AE3F8191}"/>
    <cellStyle name="Comma 12 2 3 3 7" xfId="8189" xr:uid="{F31AA887-A127-4764-9A24-7D3F4E5BF8FB}"/>
    <cellStyle name="Comma 12 2 3 3 7 2" xfId="23309" xr:uid="{28A639DF-6F96-43C5-9B27-E90826B5155C}"/>
    <cellStyle name="Comma 12 2 3 3 7 2 2" xfId="53549" xr:uid="{C325A73F-FEEB-4B06-B7FC-064D877324E1}"/>
    <cellStyle name="Comma 12 2 3 3 7 3" xfId="38429" xr:uid="{CE50469C-EA81-4DAB-AD12-B7FAF50E191A}"/>
    <cellStyle name="Comma 12 2 3 3 8" xfId="9701" xr:uid="{E2F61A23-0799-43EA-8DD0-6340C1C4C9C1}"/>
    <cellStyle name="Comma 12 2 3 3 8 2" xfId="24821" xr:uid="{468ED911-EBCD-457F-9836-29F7BF111752}"/>
    <cellStyle name="Comma 12 2 3 3 8 2 2" xfId="55061" xr:uid="{C8E72342-8468-46F6-94C5-44FE6532E14C}"/>
    <cellStyle name="Comma 12 2 3 3 8 3" xfId="39941" xr:uid="{F299D110-D11B-4DE2-A0D6-CC1D75DB13BF}"/>
    <cellStyle name="Comma 12 2 3 3 9" xfId="15749" xr:uid="{AEC528AD-D089-4F4B-986A-4B46D901DC85}"/>
    <cellStyle name="Comma 12 2 3 3 9 2" xfId="45989" xr:uid="{C95D1860-4D90-41AB-B892-E576B36B37D5}"/>
    <cellStyle name="Comma 12 2 3 4" xfId="881" xr:uid="{7C25EC5B-FFBB-4152-9042-F344C3A8C231}"/>
    <cellStyle name="Comma 12 2 3 4 2" xfId="2393" xr:uid="{0ACFE365-837B-44D5-BCB3-C9F61A8A9C6B}"/>
    <cellStyle name="Comma 12 2 3 4 2 2" xfId="11465" xr:uid="{A348612B-CD5C-42A7-82F5-BC59A6E94B61}"/>
    <cellStyle name="Comma 12 2 3 4 2 2 2" xfId="26585" xr:uid="{53EE61D2-1002-4821-A9E4-B6BACB15400F}"/>
    <cellStyle name="Comma 12 2 3 4 2 2 2 2" xfId="56825" xr:uid="{F3375EB0-E70F-4541-8688-D8066369AC81}"/>
    <cellStyle name="Comma 12 2 3 4 2 2 3" xfId="41705" xr:uid="{8710A6FF-E515-4584-8F6B-8FFFC502AB49}"/>
    <cellStyle name="Comma 12 2 3 4 2 3" xfId="17513" xr:uid="{BBF16E4C-6E1E-41AC-B9DB-479B07AA5621}"/>
    <cellStyle name="Comma 12 2 3 4 2 3 2" xfId="47753" xr:uid="{77FE90D0-3D75-44D3-B9C6-7702C02B2A65}"/>
    <cellStyle name="Comma 12 2 3 4 2 4" xfId="32633" xr:uid="{4A3C0637-0ADD-4CD5-B7A4-4C711CDAF00C}"/>
    <cellStyle name="Comma 12 2 3 4 3" xfId="3905" xr:uid="{56F3B4B9-9058-4B65-9063-6DB9F14A5170}"/>
    <cellStyle name="Comma 12 2 3 4 3 2" xfId="12977" xr:uid="{B139DE9F-417C-4456-AC1C-16C3FBBF397B}"/>
    <cellStyle name="Comma 12 2 3 4 3 2 2" xfId="28097" xr:uid="{855AF16A-F496-4731-933C-C780E16DC043}"/>
    <cellStyle name="Comma 12 2 3 4 3 2 2 2" xfId="58337" xr:uid="{3665FFA6-FB88-42DF-B304-888974DCA3B0}"/>
    <cellStyle name="Comma 12 2 3 4 3 2 3" xfId="43217" xr:uid="{39B3894B-687F-4FC2-A539-0EAEE60FB6DB}"/>
    <cellStyle name="Comma 12 2 3 4 3 3" xfId="19025" xr:uid="{653586D8-BFBB-42E9-B25A-F361FD466BC3}"/>
    <cellStyle name="Comma 12 2 3 4 3 3 2" xfId="49265" xr:uid="{31D863D0-155F-4C99-A48B-B7FFCA9184DE}"/>
    <cellStyle name="Comma 12 2 3 4 3 4" xfId="34145" xr:uid="{F8569ADF-E39D-4277-BE5E-87C7DD9C16C4}"/>
    <cellStyle name="Comma 12 2 3 4 4" xfId="5417" xr:uid="{9B6E38B5-E3E1-4779-98B9-9AB6BDB84914}"/>
    <cellStyle name="Comma 12 2 3 4 4 2" xfId="14489" xr:uid="{B8BAF837-C4EE-4D02-B674-B9B2499FBCC9}"/>
    <cellStyle name="Comma 12 2 3 4 4 2 2" xfId="29609" xr:uid="{AA622564-AC0D-435F-ADA3-C3993D0977D4}"/>
    <cellStyle name="Comma 12 2 3 4 4 2 2 2" xfId="59849" xr:uid="{4FDCDE9E-64DF-42B8-BAA9-107D5C404641}"/>
    <cellStyle name="Comma 12 2 3 4 4 2 3" xfId="44729" xr:uid="{350F221C-E02E-4C64-BA0E-A468DFE0C791}"/>
    <cellStyle name="Comma 12 2 3 4 4 3" xfId="20537" xr:uid="{45BFC64C-64BE-48D2-A15D-A6C5997EA4D6}"/>
    <cellStyle name="Comma 12 2 3 4 4 3 2" xfId="50777" xr:uid="{1C6C07CB-04EB-468C-A714-E609F19B9A7A}"/>
    <cellStyle name="Comma 12 2 3 4 4 4" xfId="35657" xr:uid="{6BF48A5D-9ABB-408F-8EA0-718571D43AE8}"/>
    <cellStyle name="Comma 12 2 3 4 5" xfId="6929" xr:uid="{59DBB634-D9ED-476D-932E-4ABD7D7E09AF}"/>
    <cellStyle name="Comma 12 2 3 4 5 2" xfId="22049" xr:uid="{2F34B40E-9985-48FF-BCB3-4EA6A1CC1A0C}"/>
    <cellStyle name="Comma 12 2 3 4 5 2 2" xfId="52289" xr:uid="{46619E90-4803-428F-9FF3-41938B6D85E9}"/>
    <cellStyle name="Comma 12 2 3 4 5 3" xfId="37169" xr:uid="{F5EBB3D6-3773-48C2-AE64-8308E5D1BD67}"/>
    <cellStyle name="Comma 12 2 3 4 6" xfId="8441" xr:uid="{90174C89-1AD6-477E-B9BD-4AE1D2A3912E}"/>
    <cellStyle name="Comma 12 2 3 4 6 2" xfId="23561" xr:uid="{E558A3C9-5A21-48D6-8F7B-5F4AFE3426D3}"/>
    <cellStyle name="Comma 12 2 3 4 6 2 2" xfId="53801" xr:uid="{6BAEF44B-D603-4A68-8826-AD50EAD96FB1}"/>
    <cellStyle name="Comma 12 2 3 4 6 3" xfId="38681" xr:uid="{D2F22775-A469-456A-82CE-F026272FB54E}"/>
    <cellStyle name="Comma 12 2 3 4 7" xfId="9953" xr:uid="{F0EBC570-889A-45C2-9198-EC7854F52170}"/>
    <cellStyle name="Comma 12 2 3 4 7 2" xfId="25073" xr:uid="{9DFC07BA-8D0F-4662-B2D6-7121A1BC208D}"/>
    <cellStyle name="Comma 12 2 3 4 7 2 2" xfId="55313" xr:uid="{B7979DAF-CCB7-41D1-9A64-318CAE7E62B4}"/>
    <cellStyle name="Comma 12 2 3 4 7 3" xfId="40193" xr:uid="{23E8304B-AF22-49AF-9C52-55BC6C3AF5C4}"/>
    <cellStyle name="Comma 12 2 3 4 8" xfId="16001" xr:uid="{7FCA8825-D3AB-4E9C-94F2-A582031373C7}"/>
    <cellStyle name="Comma 12 2 3 4 8 2" xfId="46241" xr:uid="{14E8C8F8-72E5-4A67-9315-4807DF6CCD6F}"/>
    <cellStyle name="Comma 12 2 3 4 9" xfId="31121" xr:uid="{B916E198-1E6D-4236-AB84-E69E9DC346C4}"/>
    <cellStyle name="Comma 12 2 3 5" xfId="1637" xr:uid="{749848BB-8306-4B7C-AACA-1405568B5878}"/>
    <cellStyle name="Comma 12 2 3 5 2" xfId="10709" xr:uid="{487E545A-7BF9-43DA-887B-718CDCB0D874}"/>
    <cellStyle name="Comma 12 2 3 5 2 2" xfId="25829" xr:uid="{028613EE-0E74-4E75-B480-A3D9AC52C7E3}"/>
    <cellStyle name="Comma 12 2 3 5 2 2 2" xfId="56069" xr:uid="{2AB6E4F8-753E-4579-994C-9FD6706A0672}"/>
    <cellStyle name="Comma 12 2 3 5 2 3" xfId="40949" xr:uid="{33EF6074-E61A-449C-ABCA-F203E915EFDE}"/>
    <cellStyle name="Comma 12 2 3 5 3" xfId="16757" xr:uid="{DBBC70DD-BD93-43DE-9A23-3BEAB8B8C8C9}"/>
    <cellStyle name="Comma 12 2 3 5 3 2" xfId="46997" xr:uid="{BE2061D4-CCD0-44DE-AC70-42AD56780B8F}"/>
    <cellStyle name="Comma 12 2 3 5 4" xfId="31877" xr:uid="{455C6B88-D687-4110-8FBE-8EBD14345ECE}"/>
    <cellStyle name="Comma 12 2 3 6" xfId="3149" xr:uid="{9358DA7D-0CBE-41EE-A8F6-2F46EF1503F0}"/>
    <cellStyle name="Comma 12 2 3 6 2" xfId="12221" xr:uid="{6EA56D55-7CA5-48BD-871B-179FF98B8C80}"/>
    <cellStyle name="Comma 12 2 3 6 2 2" xfId="27341" xr:uid="{E90D3A73-785E-47D6-BA93-23A2F1E1759B}"/>
    <cellStyle name="Comma 12 2 3 6 2 2 2" xfId="57581" xr:uid="{A68EBDA0-182E-4CD3-B323-4A6AE93774FA}"/>
    <cellStyle name="Comma 12 2 3 6 2 3" xfId="42461" xr:uid="{099FEC5A-690A-40DB-A1FE-F4F48DAEA04B}"/>
    <cellStyle name="Comma 12 2 3 6 3" xfId="18269" xr:uid="{88284A19-9763-4CD4-93E4-373AB392C7D9}"/>
    <cellStyle name="Comma 12 2 3 6 3 2" xfId="48509" xr:uid="{A0187CF6-8CF8-4B24-A4B9-8CC13327F2DD}"/>
    <cellStyle name="Comma 12 2 3 6 4" xfId="33389" xr:uid="{0CFB431B-CF79-49EC-82FF-5AB4D53579C1}"/>
    <cellStyle name="Comma 12 2 3 7" xfId="4661" xr:uid="{5802C93D-EB19-429F-B83C-EE1B4155540D}"/>
    <cellStyle name="Comma 12 2 3 7 2" xfId="13733" xr:uid="{30555E21-47B4-43F2-BF68-7A94E04EB740}"/>
    <cellStyle name="Comma 12 2 3 7 2 2" xfId="28853" xr:uid="{1DB736EB-030E-4D62-85AF-1534A189E4E1}"/>
    <cellStyle name="Comma 12 2 3 7 2 2 2" xfId="59093" xr:uid="{1339182C-BA77-44D6-B376-7DE59611794D}"/>
    <cellStyle name="Comma 12 2 3 7 2 3" xfId="43973" xr:uid="{ADC0FEAE-580C-45BB-95E8-2E2527FA7F6F}"/>
    <cellStyle name="Comma 12 2 3 7 3" xfId="19781" xr:uid="{8D002B64-E509-4A9D-A04F-E9BA898AE4A2}"/>
    <cellStyle name="Comma 12 2 3 7 3 2" xfId="50021" xr:uid="{A9553505-AE01-4F78-A9F0-D1269E067CE0}"/>
    <cellStyle name="Comma 12 2 3 7 4" xfId="34901" xr:uid="{C1568673-ED25-449F-AD5B-BD54307B3686}"/>
    <cellStyle name="Comma 12 2 3 8" xfId="6173" xr:uid="{13EEDADB-A3D2-4DE9-B0FD-DDB0ECBEBEF4}"/>
    <cellStyle name="Comma 12 2 3 8 2" xfId="21293" xr:uid="{D51B7648-A49E-40D7-890E-E4D38FBC2D7E}"/>
    <cellStyle name="Comma 12 2 3 8 2 2" xfId="51533" xr:uid="{0E518E21-62DD-4859-A7F2-94BD443B1EFF}"/>
    <cellStyle name="Comma 12 2 3 8 3" xfId="36413" xr:uid="{730E3472-857D-45BA-91B1-F7B6100F4812}"/>
    <cellStyle name="Comma 12 2 3 9" xfId="7685" xr:uid="{CD0DE2D0-0445-4FA9-A877-BEA0BC1E1A51}"/>
    <cellStyle name="Comma 12 2 3 9 2" xfId="22805" xr:uid="{26BE6F10-22A5-4AE3-B884-717D8DC48AD9}"/>
    <cellStyle name="Comma 12 2 3 9 2 2" xfId="53045" xr:uid="{62024F68-B361-4CB4-947F-1D13115BC8A2}"/>
    <cellStyle name="Comma 12 2 3 9 3" xfId="37925" xr:uid="{A598CB5D-CC0A-481C-957D-6E18CD1A6CBF}"/>
    <cellStyle name="Comma 12 2 4" xfId="209" xr:uid="{30098DB4-29A2-4736-8496-6749BA5EDB91}"/>
    <cellStyle name="Comma 12 2 4 10" xfId="9281" xr:uid="{D62749E0-FC8D-4947-9B75-85167764880A}"/>
    <cellStyle name="Comma 12 2 4 10 2" xfId="24401" xr:uid="{7700C51C-9EF5-4192-84B4-498066EA0CEF}"/>
    <cellStyle name="Comma 12 2 4 10 2 2" xfId="54641" xr:uid="{9584F359-8B2D-435E-8D68-BF39EB7CEDB0}"/>
    <cellStyle name="Comma 12 2 4 10 3" xfId="39521" xr:uid="{5E2B0295-B82F-435C-9990-991E24A51364}"/>
    <cellStyle name="Comma 12 2 4 11" xfId="15329" xr:uid="{6DE7217A-5281-4843-8E6B-70E161F2AF5D}"/>
    <cellStyle name="Comma 12 2 4 11 2" xfId="45569" xr:uid="{B144054E-2035-44A0-B72E-B7EE46F42151}"/>
    <cellStyle name="Comma 12 2 4 12" xfId="30449" xr:uid="{BE6FFB80-50F3-4FB3-A6F3-212A0FAD6D35}"/>
    <cellStyle name="Comma 12 2 4 2" xfId="461" xr:uid="{6C8BEEDF-DD71-4087-B930-D6FD3451CA05}"/>
    <cellStyle name="Comma 12 2 4 2 10" xfId="30701" xr:uid="{13326A0C-FCA6-45AC-A83F-928FDD1A64FD}"/>
    <cellStyle name="Comma 12 2 4 2 2" xfId="1217" xr:uid="{0379EEC8-E8D5-4EBB-910C-4F4283B02462}"/>
    <cellStyle name="Comma 12 2 4 2 2 2" xfId="2729" xr:uid="{D9C98510-2B23-481D-891F-11AB1DAF5E82}"/>
    <cellStyle name="Comma 12 2 4 2 2 2 2" xfId="11801" xr:uid="{702B1F31-1201-4F8A-9F48-B5E25015118C}"/>
    <cellStyle name="Comma 12 2 4 2 2 2 2 2" xfId="26921" xr:uid="{914084BD-48DD-4142-B01D-584D806722BD}"/>
    <cellStyle name="Comma 12 2 4 2 2 2 2 2 2" xfId="57161" xr:uid="{215433E6-65D5-4F1F-8227-AC12C58D9A6B}"/>
    <cellStyle name="Comma 12 2 4 2 2 2 2 3" xfId="42041" xr:uid="{50D3A155-A811-4963-9618-BBF067FB3BD5}"/>
    <cellStyle name="Comma 12 2 4 2 2 2 3" xfId="17849" xr:uid="{6F5608B1-6264-4E98-B628-8A526DE0C5AF}"/>
    <cellStyle name="Comma 12 2 4 2 2 2 3 2" xfId="48089" xr:uid="{50396E24-ECD4-49F9-8FD2-D08792C20B2B}"/>
    <cellStyle name="Comma 12 2 4 2 2 2 4" xfId="32969" xr:uid="{EA5148CD-B9F3-4653-AD89-5A2B8A1C8BB3}"/>
    <cellStyle name="Comma 12 2 4 2 2 3" xfId="4241" xr:uid="{C0BC20FE-0403-43A1-BE63-B4D3794FCA0D}"/>
    <cellStyle name="Comma 12 2 4 2 2 3 2" xfId="13313" xr:uid="{448866DF-2D01-43E3-8A5E-6D2F485CC87E}"/>
    <cellStyle name="Comma 12 2 4 2 2 3 2 2" xfId="28433" xr:uid="{9F004798-333B-41A6-8362-2064ABD3F521}"/>
    <cellStyle name="Comma 12 2 4 2 2 3 2 2 2" xfId="58673" xr:uid="{3FA92517-32AF-43C1-B9D2-B4BC23173251}"/>
    <cellStyle name="Comma 12 2 4 2 2 3 2 3" xfId="43553" xr:uid="{8B6A0D7B-0325-43F2-B445-11CF30292BFF}"/>
    <cellStyle name="Comma 12 2 4 2 2 3 3" xfId="19361" xr:uid="{11FCC0EA-D544-4B5B-B9F6-BF73D9FDB671}"/>
    <cellStyle name="Comma 12 2 4 2 2 3 3 2" xfId="49601" xr:uid="{12C7E80E-0F5A-4A68-8FD5-515BADD0A0D3}"/>
    <cellStyle name="Comma 12 2 4 2 2 3 4" xfId="34481" xr:uid="{B1329481-7253-49C7-9227-53923286A49A}"/>
    <cellStyle name="Comma 12 2 4 2 2 4" xfId="5753" xr:uid="{F701056B-DAC6-4BF3-AA44-5AD64631C9AF}"/>
    <cellStyle name="Comma 12 2 4 2 2 4 2" xfId="14825" xr:uid="{5F738AD2-A87C-4214-A400-3BED3182F0B6}"/>
    <cellStyle name="Comma 12 2 4 2 2 4 2 2" xfId="29945" xr:uid="{C73391FA-CFBB-4FD8-87D9-0CC46A8E7D4A}"/>
    <cellStyle name="Comma 12 2 4 2 2 4 2 2 2" xfId="60185" xr:uid="{074B8A85-415A-4371-A48B-D56008C7F7D9}"/>
    <cellStyle name="Comma 12 2 4 2 2 4 2 3" xfId="45065" xr:uid="{A3A3DF86-B442-44F6-B219-DA6C3048E357}"/>
    <cellStyle name="Comma 12 2 4 2 2 4 3" xfId="20873" xr:uid="{86A0DF6F-E64A-43BD-BFD6-A8A36ED15E28}"/>
    <cellStyle name="Comma 12 2 4 2 2 4 3 2" xfId="51113" xr:uid="{FA245E83-9A28-4794-8762-E46542D602B9}"/>
    <cellStyle name="Comma 12 2 4 2 2 4 4" xfId="35993" xr:uid="{B4B0FC02-D049-441B-99E5-0EBCA0F6770F}"/>
    <cellStyle name="Comma 12 2 4 2 2 5" xfId="7265" xr:uid="{68B206C9-72E8-41D7-BA89-2C82D0D030E8}"/>
    <cellStyle name="Comma 12 2 4 2 2 5 2" xfId="22385" xr:uid="{0E244EC2-57A1-45A0-A638-B1A45511AC5F}"/>
    <cellStyle name="Comma 12 2 4 2 2 5 2 2" xfId="52625" xr:uid="{03C98C30-6742-486F-B671-7488068F8164}"/>
    <cellStyle name="Comma 12 2 4 2 2 5 3" xfId="37505" xr:uid="{4B654B9F-CE52-465B-8987-81368DBFC461}"/>
    <cellStyle name="Comma 12 2 4 2 2 6" xfId="8777" xr:uid="{B8F6CFC0-72DD-46D3-9F6F-A4000CBE34CF}"/>
    <cellStyle name="Comma 12 2 4 2 2 6 2" xfId="23897" xr:uid="{C1D1437A-C40C-4E6D-B386-EC5D87E4533B}"/>
    <cellStyle name="Comma 12 2 4 2 2 6 2 2" xfId="54137" xr:uid="{16E047F6-93A8-4451-BEC0-D12B7769D380}"/>
    <cellStyle name="Comma 12 2 4 2 2 6 3" xfId="39017" xr:uid="{13FBA62D-D88C-455D-9A0A-14A09402E9F5}"/>
    <cellStyle name="Comma 12 2 4 2 2 7" xfId="10289" xr:uid="{3EBAA145-8D53-4717-863A-D0E0E445B9BA}"/>
    <cellStyle name="Comma 12 2 4 2 2 7 2" xfId="25409" xr:uid="{14775964-0D5E-43A3-97B3-9FAA5D343CBF}"/>
    <cellStyle name="Comma 12 2 4 2 2 7 2 2" xfId="55649" xr:uid="{875D15FB-0F80-4D0E-8CD2-0896920562B4}"/>
    <cellStyle name="Comma 12 2 4 2 2 7 3" xfId="40529" xr:uid="{3E0AAC8E-CF08-4FA0-9E39-5DD09A89A7BA}"/>
    <cellStyle name="Comma 12 2 4 2 2 8" xfId="16337" xr:uid="{107EFD64-2877-49A6-B4BA-7FACBA6A05B0}"/>
    <cellStyle name="Comma 12 2 4 2 2 8 2" xfId="46577" xr:uid="{4FAB23D5-58F9-4BD4-9105-C9FE79A3DCF2}"/>
    <cellStyle name="Comma 12 2 4 2 2 9" xfId="31457" xr:uid="{8C820464-C459-47B4-98A9-C48B4CBCACF9}"/>
    <cellStyle name="Comma 12 2 4 2 3" xfId="1973" xr:uid="{C1144AF5-09C2-47E5-96FD-D1343F96DDB0}"/>
    <cellStyle name="Comma 12 2 4 2 3 2" xfId="11045" xr:uid="{6A5B419B-B54A-4362-988C-B9AEF42B7EFB}"/>
    <cellStyle name="Comma 12 2 4 2 3 2 2" xfId="26165" xr:uid="{8694E142-E897-4696-AC49-195B55961B09}"/>
    <cellStyle name="Comma 12 2 4 2 3 2 2 2" xfId="56405" xr:uid="{31315B74-5981-4B92-A0EC-543DECB4FEB4}"/>
    <cellStyle name="Comma 12 2 4 2 3 2 3" xfId="41285" xr:uid="{146C2685-1528-4E33-B95A-19D560E96335}"/>
    <cellStyle name="Comma 12 2 4 2 3 3" xfId="17093" xr:uid="{9A1657D7-A142-406D-A7B6-846ED710614B}"/>
    <cellStyle name="Comma 12 2 4 2 3 3 2" xfId="47333" xr:uid="{9EC147E3-5562-464C-8EE1-4FFD2064F87A}"/>
    <cellStyle name="Comma 12 2 4 2 3 4" xfId="32213" xr:uid="{4C08982A-00C1-4C8A-B200-FA29A3F7F4FF}"/>
    <cellStyle name="Comma 12 2 4 2 4" xfId="3485" xr:uid="{909F0A6E-ECB5-4C53-9731-B4AA2679A74B}"/>
    <cellStyle name="Comma 12 2 4 2 4 2" xfId="12557" xr:uid="{2F042EE2-67CB-4DDC-B859-50DD2F45D9A4}"/>
    <cellStyle name="Comma 12 2 4 2 4 2 2" xfId="27677" xr:uid="{F2EF765E-3F65-424B-AB65-ACEEB5395408}"/>
    <cellStyle name="Comma 12 2 4 2 4 2 2 2" xfId="57917" xr:uid="{9C3E2B38-34C8-4EE1-8D50-8543BCD9CE46}"/>
    <cellStyle name="Comma 12 2 4 2 4 2 3" xfId="42797" xr:uid="{7D93CAF1-4999-46ED-A81F-38FB87858C02}"/>
    <cellStyle name="Comma 12 2 4 2 4 3" xfId="18605" xr:uid="{42689BE8-C1ED-40EE-8AE0-EF7F0DDB0965}"/>
    <cellStyle name="Comma 12 2 4 2 4 3 2" xfId="48845" xr:uid="{A42A2078-D583-4455-95E8-DCA8E541C127}"/>
    <cellStyle name="Comma 12 2 4 2 4 4" xfId="33725" xr:uid="{3925126A-4E90-40A6-936D-10F967437803}"/>
    <cellStyle name="Comma 12 2 4 2 5" xfId="4997" xr:uid="{D066B032-3E9C-4822-8D52-90E8AA6D914A}"/>
    <cellStyle name="Comma 12 2 4 2 5 2" xfId="14069" xr:uid="{496C2AB7-70EF-4EE9-BBB9-0B0BA74B14C5}"/>
    <cellStyle name="Comma 12 2 4 2 5 2 2" xfId="29189" xr:uid="{690E053E-B1F8-4321-BE6C-6CBC78960CA8}"/>
    <cellStyle name="Comma 12 2 4 2 5 2 2 2" xfId="59429" xr:uid="{B9AC4204-EB87-4AC0-922A-7CFF3670FD32}"/>
    <cellStyle name="Comma 12 2 4 2 5 2 3" xfId="44309" xr:uid="{4E2D54AF-970B-4ED8-96CE-C619BDB7057E}"/>
    <cellStyle name="Comma 12 2 4 2 5 3" xfId="20117" xr:uid="{FE3F2223-097A-45DC-8421-E13B4963250B}"/>
    <cellStyle name="Comma 12 2 4 2 5 3 2" xfId="50357" xr:uid="{DD3A5502-542A-439C-980B-B38F8CF62E65}"/>
    <cellStyle name="Comma 12 2 4 2 5 4" xfId="35237" xr:uid="{491479A8-C71B-47FC-B10A-209B9E35E971}"/>
    <cellStyle name="Comma 12 2 4 2 6" xfId="6509" xr:uid="{F2CFA831-C7C3-4156-A47D-9093789DA415}"/>
    <cellStyle name="Comma 12 2 4 2 6 2" xfId="21629" xr:uid="{C93DEB26-339E-4598-8A53-B897AD57C6BF}"/>
    <cellStyle name="Comma 12 2 4 2 6 2 2" xfId="51869" xr:uid="{CC5830BE-9AFA-4055-B129-74229A65886E}"/>
    <cellStyle name="Comma 12 2 4 2 6 3" xfId="36749" xr:uid="{5E11EBD1-E098-432D-9A85-2FAC1589843D}"/>
    <cellStyle name="Comma 12 2 4 2 7" xfId="8021" xr:uid="{0ABF6275-D3AC-42C9-9382-6E1CF108E07A}"/>
    <cellStyle name="Comma 12 2 4 2 7 2" xfId="23141" xr:uid="{A4CC51BB-5E55-4982-8BC1-DF018E9F4141}"/>
    <cellStyle name="Comma 12 2 4 2 7 2 2" xfId="53381" xr:uid="{7AF0C8C4-556F-495C-9468-B9A9A29014E1}"/>
    <cellStyle name="Comma 12 2 4 2 7 3" xfId="38261" xr:uid="{76763C09-6EC4-4BB7-8942-042A307CDBE6}"/>
    <cellStyle name="Comma 12 2 4 2 8" xfId="9533" xr:uid="{8270C9F9-C8D2-49C3-B9F0-FA48ACD58986}"/>
    <cellStyle name="Comma 12 2 4 2 8 2" xfId="24653" xr:uid="{2745D681-4D58-4A4F-AB8E-D89C9748CB20}"/>
    <cellStyle name="Comma 12 2 4 2 8 2 2" xfId="54893" xr:uid="{31D43632-4986-420A-B1EF-3C73B2F09D27}"/>
    <cellStyle name="Comma 12 2 4 2 8 3" xfId="39773" xr:uid="{2C234A82-7192-4C43-A795-551DE81538CB}"/>
    <cellStyle name="Comma 12 2 4 2 9" xfId="15581" xr:uid="{E808CA04-FF8C-48E9-8C4F-70363CACE250}"/>
    <cellStyle name="Comma 12 2 4 2 9 2" xfId="45821" xr:uid="{99CCEF8B-8272-4BC0-9B92-EF7D72708C9D}"/>
    <cellStyle name="Comma 12 2 4 3" xfId="713" xr:uid="{8F6E8787-A59D-4658-8345-DA3335191892}"/>
    <cellStyle name="Comma 12 2 4 3 10" xfId="30953" xr:uid="{89329593-EFF9-4281-AA57-6628933FF4AF}"/>
    <cellStyle name="Comma 12 2 4 3 2" xfId="1469" xr:uid="{6845E53B-431C-431B-899E-3DCFBD7EAF19}"/>
    <cellStyle name="Comma 12 2 4 3 2 2" xfId="2981" xr:uid="{02594C80-E85D-469E-B2C9-6AF6492FCFFC}"/>
    <cellStyle name="Comma 12 2 4 3 2 2 2" xfId="12053" xr:uid="{F473387B-BFAE-490E-8D15-69B014CA900F}"/>
    <cellStyle name="Comma 12 2 4 3 2 2 2 2" xfId="27173" xr:uid="{DBC83382-B508-456D-8321-9AA91CB4210F}"/>
    <cellStyle name="Comma 12 2 4 3 2 2 2 2 2" xfId="57413" xr:uid="{13A42A72-1AAE-4216-A6DB-8279A96220F1}"/>
    <cellStyle name="Comma 12 2 4 3 2 2 2 3" xfId="42293" xr:uid="{36D073A2-4FF1-444B-9D09-BFFCDBB25B69}"/>
    <cellStyle name="Comma 12 2 4 3 2 2 3" xfId="18101" xr:uid="{B49EED08-B965-4B6A-A057-0C6CDF6B9429}"/>
    <cellStyle name="Comma 12 2 4 3 2 2 3 2" xfId="48341" xr:uid="{96B080B4-87B4-4382-B221-D89E24559EE5}"/>
    <cellStyle name="Comma 12 2 4 3 2 2 4" xfId="33221" xr:uid="{9C7C63FF-3B3A-4B01-A262-C14D5E67716C}"/>
    <cellStyle name="Comma 12 2 4 3 2 3" xfId="4493" xr:uid="{055BDBE2-D497-4508-B907-310CBC5B9B50}"/>
    <cellStyle name="Comma 12 2 4 3 2 3 2" xfId="13565" xr:uid="{A8FD854A-3B77-4B55-A1DB-12B8FB03BB65}"/>
    <cellStyle name="Comma 12 2 4 3 2 3 2 2" xfId="28685" xr:uid="{F3B99EEE-182C-417C-A4FA-9E4258791FC9}"/>
    <cellStyle name="Comma 12 2 4 3 2 3 2 2 2" xfId="58925" xr:uid="{AEB8363F-A7D5-4554-868C-62487458BE6D}"/>
    <cellStyle name="Comma 12 2 4 3 2 3 2 3" xfId="43805" xr:uid="{3251FFD2-8BA7-46C3-9433-16A3FBCA35E0}"/>
    <cellStyle name="Comma 12 2 4 3 2 3 3" xfId="19613" xr:uid="{DC05B5C5-D8BE-4DB4-99CE-BA7F9EBE07C9}"/>
    <cellStyle name="Comma 12 2 4 3 2 3 3 2" xfId="49853" xr:uid="{6E24CB2E-DB80-4FE7-8249-E0CADCA9C501}"/>
    <cellStyle name="Comma 12 2 4 3 2 3 4" xfId="34733" xr:uid="{A0BB03C6-EDC6-4815-A08B-3C82A1557148}"/>
    <cellStyle name="Comma 12 2 4 3 2 4" xfId="6005" xr:uid="{223502E9-BD73-49E7-ADB0-96029E01B2DA}"/>
    <cellStyle name="Comma 12 2 4 3 2 4 2" xfId="15077" xr:uid="{D340AAFB-C861-4F02-B8A6-2039064E3E69}"/>
    <cellStyle name="Comma 12 2 4 3 2 4 2 2" xfId="30197" xr:uid="{EF965602-1F42-469E-B744-95F55E9DDA45}"/>
    <cellStyle name="Comma 12 2 4 3 2 4 2 2 2" xfId="60437" xr:uid="{567B128F-C58D-49EB-A45E-42271C21701E}"/>
    <cellStyle name="Comma 12 2 4 3 2 4 2 3" xfId="45317" xr:uid="{E9E55368-17E4-4980-89A1-1D583B8284D8}"/>
    <cellStyle name="Comma 12 2 4 3 2 4 3" xfId="21125" xr:uid="{86AA69B5-7E53-4F86-A617-F5935BBC234C}"/>
    <cellStyle name="Comma 12 2 4 3 2 4 3 2" xfId="51365" xr:uid="{C94A77D8-FCDF-4D87-BA13-1250343E3AA3}"/>
    <cellStyle name="Comma 12 2 4 3 2 4 4" xfId="36245" xr:uid="{2188CB4A-4458-4797-B84F-2D28F867F11C}"/>
    <cellStyle name="Comma 12 2 4 3 2 5" xfId="7517" xr:uid="{1F43909A-221D-4AAC-9A40-5A67EAC6EB71}"/>
    <cellStyle name="Comma 12 2 4 3 2 5 2" xfId="22637" xr:uid="{846B3EB7-C3AA-4F63-B8A2-3FABB0A9076B}"/>
    <cellStyle name="Comma 12 2 4 3 2 5 2 2" xfId="52877" xr:uid="{8D5843A3-C4DD-4EED-964B-E795A12DC544}"/>
    <cellStyle name="Comma 12 2 4 3 2 5 3" xfId="37757" xr:uid="{3ACF0FE3-8264-49D3-A010-E24A19809AB7}"/>
    <cellStyle name="Comma 12 2 4 3 2 6" xfId="9029" xr:uid="{8EFC4920-416C-4DE8-A93C-6AB11DEBAD0C}"/>
    <cellStyle name="Comma 12 2 4 3 2 6 2" xfId="24149" xr:uid="{1A2AC721-9154-45A9-9373-D9526ED3C32A}"/>
    <cellStyle name="Comma 12 2 4 3 2 6 2 2" xfId="54389" xr:uid="{8ABDA3C3-5B76-4BBF-A36A-0F21D604B028}"/>
    <cellStyle name="Comma 12 2 4 3 2 6 3" xfId="39269" xr:uid="{CAE1DFCC-D346-46B4-A4F6-5FBF8DBB7D22}"/>
    <cellStyle name="Comma 12 2 4 3 2 7" xfId="10541" xr:uid="{6657413E-8368-4F86-9C63-FF139EC6584A}"/>
    <cellStyle name="Comma 12 2 4 3 2 7 2" xfId="25661" xr:uid="{3D4DE556-F5F3-4D6F-8C08-ABD3150B0A75}"/>
    <cellStyle name="Comma 12 2 4 3 2 7 2 2" xfId="55901" xr:uid="{491FEF64-BCDC-4EDA-8F17-A3F6F7637A08}"/>
    <cellStyle name="Comma 12 2 4 3 2 7 3" xfId="40781" xr:uid="{4622366E-9C2E-469A-991E-4A9C39B36A6F}"/>
    <cellStyle name="Comma 12 2 4 3 2 8" xfId="16589" xr:uid="{07C55963-EE45-42FD-BFA7-8217A830F03A}"/>
    <cellStyle name="Comma 12 2 4 3 2 8 2" xfId="46829" xr:uid="{14B58897-45FA-4110-84F8-D3B3C894660F}"/>
    <cellStyle name="Comma 12 2 4 3 2 9" xfId="31709" xr:uid="{611A00B3-ABEE-494A-AF46-82B08350E516}"/>
    <cellStyle name="Comma 12 2 4 3 3" xfId="2225" xr:uid="{806718FC-65B4-4BDE-939A-BE797DF7754F}"/>
    <cellStyle name="Comma 12 2 4 3 3 2" xfId="11297" xr:uid="{7554861E-B301-42B4-8E04-A211C9465476}"/>
    <cellStyle name="Comma 12 2 4 3 3 2 2" xfId="26417" xr:uid="{D53BFDDE-57DC-4311-AB80-184D0CC7D1CA}"/>
    <cellStyle name="Comma 12 2 4 3 3 2 2 2" xfId="56657" xr:uid="{FE49C8D0-174A-436D-A544-2F6A3EDC1CEA}"/>
    <cellStyle name="Comma 12 2 4 3 3 2 3" xfId="41537" xr:uid="{7BF45416-D8AD-4D4A-AB2D-9A7305450B71}"/>
    <cellStyle name="Comma 12 2 4 3 3 3" xfId="17345" xr:uid="{983C67AE-D73C-4331-9A32-52AB0E1417DC}"/>
    <cellStyle name="Comma 12 2 4 3 3 3 2" xfId="47585" xr:uid="{39A58894-745F-4DF8-9625-1DD1AAF5D16C}"/>
    <cellStyle name="Comma 12 2 4 3 3 4" xfId="32465" xr:uid="{367D574B-3BE3-463A-96C7-6E074B00AF21}"/>
    <cellStyle name="Comma 12 2 4 3 4" xfId="3737" xr:uid="{A1D53F74-6BA7-4846-9DE8-BE22F3029D4B}"/>
    <cellStyle name="Comma 12 2 4 3 4 2" xfId="12809" xr:uid="{7C2230B9-D98E-4B00-800E-8AF5E345F693}"/>
    <cellStyle name="Comma 12 2 4 3 4 2 2" xfId="27929" xr:uid="{40E1231B-94B5-488D-989F-8E060008EAC2}"/>
    <cellStyle name="Comma 12 2 4 3 4 2 2 2" xfId="58169" xr:uid="{3BA98FB7-3BAC-4B2D-9417-909AE94C9F55}"/>
    <cellStyle name="Comma 12 2 4 3 4 2 3" xfId="43049" xr:uid="{5D616930-77EC-4410-8C5D-CD8E2767676F}"/>
    <cellStyle name="Comma 12 2 4 3 4 3" xfId="18857" xr:uid="{78DE2FB3-883E-4FC2-8146-3D4F461B2C5C}"/>
    <cellStyle name="Comma 12 2 4 3 4 3 2" xfId="49097" xr:uid="{CA8607B1-E350-467D-8CF6-8F98CFF7E190}"/>
    <cellStyle name="Comma 12 2 4 3 4 4" xfId="33977" xr:uid="{2625070F-F722-4EBA-BAFD-73593FB558F2}"/>
    <cellStyle name="Comma 12 2 4 3 5" xfId="5249" xr:uid="{B10E7490-DD11-4705-B41E-50867037B659}"/>
    <cellStyle name="Comma 12 2 4 3 5 2" xfId="14321" xr:uid="{571C10CD-EDC6-4A7F-94D9-487EF0546205}"/>
    <cellStyle name="Comma 12 2 4 3 5 2 2" xfId="29441" xr:uid="{C9B4A559-7027-4DCF-BD29-55CBBD0B504E}"/>
    <cellStyle name="Comma 12 2 4 3 5 2 2 2" xfId="59681" xr:uid="{3E2A25F5-F691-4AB4-88E9-490BB7086338}"/>
    <cellStyle name="Comma 12 2 4 3 5 2 3" xfId="44561" xr:uid="{52A4108F-7AAE-48E2-8A1E-17542EFC61ED}"/>
    <cellStyle name="Comma 12 2 4 3 5 3" xfId="20369" xr:uid="{25E8FB1E-9BD4-459B-B598-98A6E7A529A4}"/>
    <cellStyle name="Comma 12 2 4 3 5 3 2" xfId="50609" xr:uid="{3DF16F12-2FF7-4B2F-A706-C3A4479ECA25}"/>
    <cellStyle name="Comma 12 2 4 3 5 4" xfId="35489" xr:uid="{2F4D33EF-60C4-4BF0-AC4B-968C2C77F6AD}"/>
    <cellStyle name="Comma 12 2 4 3 6" xfId="6761" xr:uid="{BC4A8F8B-5DB8-4F04-99E3-F132F1EB4C17}"/>
    <cellStyle name="Comma 12 2 4 3 6 2" xfId="21881" xr:uid="{3886E25A-4314-4753-A821-69CBD3CA221E}"/>
    <cellStyle name="Comma 12 2 4 3 6 2 2" xfId="52121" xr:uid="{A20AF425-FC56-40F4-ACBC-244459409CB2}"/>
    <cellStyle name="Comma 12 2 4 3 6 3" xfId="37001" xr:uid="{B7330A17-64D7-426F-B789-578969D4E018}"/>
    <cellStyle name="Comma 12 2 4 3 7" xfId="8273" xr:uid="{70FA8CF9-A7EE-4CA2-A364-433DE9398549}"/>
    <cellStyle name="Comma 12 2 4 3 7 2" xfId="23393" xr:uid="{A3759F2A-7E05-43A4-A75D-4CBE0B956325}"/>
    <cellStyle name="Comma 12 2 4 3 7 2 2" xfId="53633" xr:uid="{A43BDC3B-3177-4B21-993D-C92C4AFD0C07}"/>
    <cellStyle name="Comma 12 2 4 3 7 3" xfId="38513" xr:uid="{7F243192-64A8-489C-BE25-AF5871A50463}"/>
    <cellStyle name="Comma 12 2 4 3 8" xfId="9785" xr:uid="{7CB5004D-FF34-470E-B79F-4DA122B0D293}"/>
    <cellStyle name="Comma 12 2 4 3 8 2" xfId="24905" xr:uid="{FEA6156A-173C-4E79-B8A1-FAA5B87BFB0D}"/>
    <cellStyle name="Comma 12 2 4 3 8 2 2" xfId="55145" xr:uid="{B3F0E7A4-1F59-4D53-8701-1168CA4F854F}"/>
    <cellStyle name="Comma 12 2 4 3 8 3" xfId="40025" xr:uid="{87B4AC00-FBBE-4586-AEF1-5D1B6B69B1B6}"/>
    <cellStyle name="Comma 12 2 4 3 9" xfId="15833" xr:uid="{5D18C9E4-EE60-4562-91EE-AEFCE1FE697C}"/>
    <cellStyle name="Comma 12 2 4 3 9 2" xfId="46073" xr:uid="{F258D6BA-1F91-4C28-8A9B-799D169C2322}"/>
    <cellStyle name="Comma 12 2 4 4" xfId="965" xr:uid="{8F49CC1F-BA02-49D8-8858-08AB87BB6B22}"/>
    <cellStyle name="Comma 12 2 4 4 2" xfId="2477" xr:uid="{84772BA8-F06C-4ED6-B60F-C4B48AB84645}"/>
    <cellStyle name="Comma 12 2 4 4 2 2" xfId="11549" xr:uid="{55DFEB50-4351-4AD2-9F3B-2A4FEDCE05CB}"/>
    <cellStyle name="Comma 12 2 4 4 2 2 2" xfId="26669" xr:uid="{91310C6C-8BEF-430C-A833-BA72CC353E69}"/>
    <cellStyle name="Comma 12 2 4 4 2 2 2 2" xfId="56909" xr:uid="{527AA3B1-78E0-402C-95CF-D85AA4930B3A}"/>
    <cellStyle name="Comma 12 2 4 4 2 2 3" xfId="41789" xr:uid="{666D20C2-86C6-4D1A-BF8F-7BE5F553BD6B}"/>
    <cellStyle name="Comma 12 2 4 4 2 3" xfId="17597" xr:uid="{A51974BB-925E-459E-9382-9866AEE75252}"/>
    <cellStyle name="Comma 12 2 4 4 2 3 2" xfId="47837" xr:uid="{5835C914-EDBF-42E8-93AB-0CBBCD1334B9}"/>
    <cellStyle name="Comma 12 2 4 4 2 4" xfId="32717" xr:uid="{C8D9E93D-7611-4311-88AD-427408EA9092}"/>
    <cellStyle name="Comma 12 2 4 4 3" xfId="3989" xr:uid="{2F92D656-0901-4DA6-A35F-94A72AEA49D7}"/>
    <cellStyle name="Comma 12 2 4 4 3 2" xfId="13061" xr:uid="{BE02AFC0-6CCE-4D40-8F6D-232A272CBA11}"/>
    <cellStyle name="Comma 12 2 4 4 3 2 2" xfId="28181" xr:uid="{3EF9310D-58C9-406F-A470-21427D76FC4B}"/>
    <cellStyle name="Comma 12 2 4 4 3 2 2 2" xfId="58421" xr:uid="{BEB00E5D-3578-4A5B-8913-FCD7B7C53A36}"/>
    <cellStyle name="Comma 12 2 4 4 3 2 3" xfId="43301" xr:uid="{F46EA22C-2B94-4CC0-A6AA-BD59F25B5837}"/>
    <cellStyle name="Comma 12 2 4 4 3 3" xfId="19109" xr:uid="{6475FE8D-5E78-495D-BC1E-17BC926DAFE9}"/>
    <cellStyle name="Comma 12 2 4 4 3 3 2" xfId="49349" xr:uid="{AA89D4EF-8001-43D9-9358-AB498F8CE2B4}"/>
    <cellStyle name="Comma 12 2 4 4 3 4" xfId="34229" xr:uid="{58F71430-3B42-4D2A-9ABE-9F83BCC8B1CA}"/>
    <cellStyle name="Comma 12 2 4 4 4" xfId="5501" xr:uid="{D3A00A51-9BA0-45FC-91CD-9EFEAA252DBD}"/>
    <cellStyle name="Comma 12 2 4 4 4 2" xfId="14573" xr:uid="{08030B6F-4956-4BD4-852C-F9695B51238D}"/>
    <cellStyle name="Comma 12 2 4 4 4 2 2" xfId="29693" xr:uid="{90B3979D-0984-4731-A14C-48EAA46CA687}"/>
    <cellStyle name="Comma 12 2 4 4 4 2 2 2" xfId="59933" xr:uid="{9DF6B0EF-587B-4BD0-977D-933972D23612}"/>
    <cellStyle name="Comma 12 2 4 4 4 2 3" xfId="44813" xr:uid="{142A8724-07AC-4687-A0EE-794AC004F39A}"/>
    <cellStyle name="Comma 12 2 4 4 4 3" xfId="20621" xr:uid="{D296A12D-E4EE-487F-A38D-EFE8B98B3EF8}"/>
    <cellStyle name="Comma 12 2 4 4 4 3 2" xfId="50861" xr:uid="{0848512D-18F9-4856-B28A-267273BE95D1}"/>
    <cellStyle name="Comma 12 2 4 4 4 4" xfId="35741" xr:uid="{5C7CAEE2-85F7-476B-A220-0E26C7AFC62E}"/>
    <cellStyle name="Comma 12 2 4 4 5" xfId="7013" xr:uid="{B903EC5D-78CD-451A-8AF7-73388EBF6C64}"/>
    <cellStyle name="Comma 12 2 4 4 5 2" xfId="22133" xr:uid="{63470F3A-8FE7-42D6-A2FE-068913A0D69C}"/>
    <cellStyle name="Comma 12 2 4 4 5 2 2" xfId="52373" xr:uid="{624FC9C7-23A5-4959-9DC0-A230B3414C38}"/>
    <cellStyle name="Comma 12 2 4 4 5 3" xfId="37253" xr:uid="{25BECC49-962D-40C9-A62A-5B5882F2B033}"/>
    <cellStyle name="Comma 12 2 4 4 6" xfId="8525" xr:uid="{1F6843E1-54B8-4A75-A02C-B7C39DDC79D4}"/>
    <cellStyle name="Comma 12 2 4 4 6 2" xfId="23645" xr:uid="{5A3C4E8F-826F-4166-B618-AFA8617AE481}"/>
    <cellStyle name="Comma 12 2 4 4 6 2 2" xfId="53885" xr:uid="{1873D494-DAD0-415E-857D-0BF5E458B712}"/>
    <cellStyle name="Comma 12 2 4 4 6 3" xfId="38765" xr:uid="{771D39A1-CC73-4ADA-8F49-23DD632F34B7}"/>
    <cellStyle name="Comma 12 2 4 4 7" xfId="10037" xr:uid="{DD66B7CB-3AA3-4ADA-B81A-8B8A6E35C20C}"/>
    <cellStyle name="Comma 12 2 4 4 7 2" xfId="25157" xr:uid="{2D7172C3-EE88-4985-85E6-9269831726A2}"/>
    <cellStyle name="Comma 12 2 4 4 7 2 2" xfId="55397" xr:uid="{302BFBCC-1010-4A3C-BA41-2AA52A1DD2BD}"/>
    <cellStyle name="Comma 12 2 4 4 7 3" xfId="40277" xr:uid="{254CC43A-0BDD-4869-B74F-ABF08D811FE8}"/>
    <cellStyle name="Comma 12 2 4 4 8" xfId="16085" xr:uid="{B33D33C2-F817-4862-8137-584C7EB81B97}"/>
    <cellStyle name="Comma 12 2 4 4 8 2" xfId="46325" xr:uid="{30BBBDB7-AED8-4CAD-A93F-2DECF38FA78D}"/>
    <cellStyle name="Comma 12 2 4 4 9" xfId="31205" xr:uid="{602A6D47-B924-4C88-9F45-61B1836775D2}"/>
    <cellStyle name="Comma 12 2 4 5" xfId="1721" xr:uid="{0A08FFB4-3AF9-485B-A214-599B7329EB63}"/>
    <cellStyle name="Comma 12 2 4 5 2" xfId="10793" xr:uid="{D8C6E983-9F80-4D1E-BF8D-C0EBD5E5923C}"/>
    <cellStyle name="Comma 12 2 4 5 2 2" xfId="25913" xr:uid="{8E8ED3AB-AA5D-4332-9A5F-70F5B7180B6C}"/>
    <cellStyle name="Comma 12 2 4 5 2 2 2" xfId="56153" xr:uid="{43382D01-645B-4D07-AFAC-101BE2DD5CCA}"/>
    <cellStyle name="Comma 12 2 4 5 2 3" xfId="41033" xr:uid="{1E141989-D771-4BA3-A1BA-38DD979BD880}"/>
    <cellStyle name="Comma 12 2 4 5 3" xfId="16841" xr:uid="{619E289A-0708-48C1-819E-75FFF083E65E}"/>
    <cellStyle name="Comma 12 2 4 5 3 2" xfId="47081" xr:uid="{A362002A-CD3B-481D-9E1A-F95FFB39084D}"/>
    <cellStyle name="Comma 12 2 4 5 4" xfId="31961" xr:uid="{AA70C43D-6ED7-4268-A9A3-2A634C1D20F4}"/>
    <cellStyle name="Comma 12 2 4 6" xfId="3233" xr:uid="{A664C4D2-68CA-46D8-B1DF-B0886E4107F9}"/>
    <cellStyle name="Comma 12 2 4 6 2" xfId="12305" xr:uid="{7CF24EF4-A0FD-4B97-8A64-482DE476093D}"/>
    <cellStyle name="Comma 12 2 4 6 2 2" xfId="27425" xr:uid="{618C6B14-17F2-4304-B9A1-8B8E15EC50B1}"/>
    <cellStyle name="Comma 12 2 4 6 2 2 2" xfId="57665" xr:uid="{6929B1E5-B172-4E80-B73D-34306FE3ADC4}"/>
    <cellStyle name="Comma 12 2 4 6 2 3" xfId="42545" xr:uid="{3A494DDE-6767-4D8E-8A4B-6884366FEA3F}"/>
    <cellStyle name="Comma 12 2 4 6 3" xfId="18353" xr:uid="{2E03DD04-DF6A-4330-B7E1-975D1C49BA32}"/>
    <cellStyle name="Comma 12 2 4 6 3 2" xfId="48593" xr:uid="{A41C63D3-214F-47B5-8E55-057B4A69CE72}"/>
    <cellStyle name="Comma 12 2 4 6 4" xfId="33473" xr:uid="{632F179D-E023-4671-A324-5F6AE04EBD1B}"/>
    <cellStyle name="Comma 12 2 4 7" xfId="4745" xr:uid="{36BB780D-A138-4479-AAAA-0EE4E36E92EE}"/>
    <cellStyle name="Comma 12 2 4 7 2" xfId="13817" xr:uid="{405D1B80-FF76-4EF7-81B0-9639AC0BED60}"/>
    <cellStyle name="Comma 12 2 4 7 2 2" xfId="28937" xr:uid="{36DD6282-0485-4789-8FD4-ED960C1A12C9}"/>
    <cellStyle name="Comma 12 2 4 7 2 2 2" xfId="59177" xr:uid="{1F503592-C96B-4206-89A4-0B6A0245012F}"/>
    <cellStyle name="Comma 12 2 4 7 2 3" xfId="44057" xr:uid="{3540F1C7-8A71-402B-B648-16124A55ABBB}"/>
    <cellStyle name="Comma 12 2 4 7 3" xfId="19865" xr:uid="{DCFD3F85-E2D9-44CD-8C0F-8D41AC020ADA}"/>
    <cellStyle name="Comma 12 2 4 7 3 2" xfId="50105" xr:uid="{4ECFCC26-FA76-467C-AE02-E4E1C59D8717}"/>
    <cellStyle name="Comma 12 2 4 7 4" xfId="34985" xr:uid="{868E9540-2918-4288-8CA4-CE69D084380B}"/>
    <cellStyle name="Comma 12 2 4 8" xfId="6257" xr:uid="{1D7DAE93-C5FD-4FF8-BA20-370E72B90B6E}"/>
    <cellStyle name="Comma 12 2 4 8 2" xfId="21377" xr:uid="{DC6EBC68-9E0A-4FC9-845A-9F041CC6BB7A}"/>
    <cellStyle name="Comma 12 2 4 8 2 2" xfId="51617" xr:uid="{0F1ACCC6-DE2B-4B37-B2B2-9E17BEFE439E}"/>
    <cellStyle name="Comma 12 2 4 8 3" xfId="36497" xr:uid="{A1DD844E-8D59-4FCD-804A-1DD39A76BD4D}"/>
    <cellStyle name="Comma 12 2 4 9" xfId="7769" xr:uid="{131CC45F-B99F-428C-9E28-3F5A35FF6453}"/>
    <cellStyle name="Comma 12 2 4 9 2" xfId="22889" xr:uid="{6F4679C6-C908-4F22-BD12-4A9C73F66C61}"/>
    <cellStyle name="Comma 12 2 4 9 2 2" xfId="53129" xr:uid="{22ABA7C1-661D-4974-B8C3-C75E68872EB7}"/>
    <cellStyle name="Comma 12 2 4 9 3" xfId="38009" xr:uid="{A54C124F-9B74-40B8-A9C8-9B29847A92D4}"/>
    <cellStyle name="Comma 12 2 5" xfId="293" xr:uid="{77FE17F5-067F-431B-8D91-4B872ACA66A1}"/>
    <cellStyle name="Comma 12 2 5 10" xfId="30533" xr:uid="{41F3E2EB-11A6-4829-8EAE-61DB9D3F30E7}"/>
    <cellStyle name="Comma 12 2 5 2" xfId="1049" xr:uid="{FECD9FD2-EA0F-4839-A8A7-785CEDE799ED}"/>
    <cellStyle name="Comma 12 2 5 2 2" xfId="2561" xr:uid="{41609EAB-C720-4C08-9F7D-D9FDB3FF84BE}"/>
    <cellStyle name="Comma 12 2 5 2 2 2" xfId="11633" xr:uid="{2CF3CACF-E497-4B05-BA13-E30F26AA179B}"/>
    <cellStyle name="Comma 12 2 5 2 2 2 2" xfId="26753" xr:uid="{824206F4-0E0A-45C1-AEFB-686DF54FEDF5}"/>
    <cellStyle name="Comma 12 2 5 2 2 2 2 2" xfId="56993" xr:uid="{88BDB02A-B8E3-4C3E-BCE7-D5BBC413CF1D}"/>
    <cellStyle name="Comma 12 2 5 2 2 2 3" xfId="41873" xr:uid="{5419F68A-16E8-4600-AAE6-BC1EED2081DE}"/>
    <cellStyle name="Comma 12 2 5 2 2 3" xfId="17681" xr:uid="{B188006A-3F25-4BBD-A6BC-ED82068D9C00}"/>
    <cellStyle name="Comma 12 2 5 2 2 3 2" xfId="47921" xr:uid="{B8AD1F18-BA79-4142-B41C-B6ECCA083633}"/>
    <cellStyle name="Comma 12 2 5 2 2 4" xfId="32801" xr:uid="{830E50DB-D459-431B-B4FF-97B159EA8B7B}"/>
    <cellStyle name="Comma 12 2 5 2 3" xfId="4073" xr:uid="{EFBAEBB7-63D8-4240-A885-B605BCE214BB}"/>
    <cellStyle name="Comma 12 2 5 2 3 2" xfId="13145" xr:uid="{8ADF5EF3-16B3-447F-B8A6-668006E364F4}"/>
    <cellStyle name="Comma 12 2 5 2 3 2 2" xfId="28265" xr:uid="{D5E859BA-879D-4F6C-A54C-A5AD97E09848}"/>
    <cellStyle name="Comma 12 2 5 2 3 2 2 2" xfId="58505" xr:uid="{132FDC9F-CBCD-46BA-93C9-38893797C6D9}"/>
    <cellStyle name="Comma 12 2 5 2 3 2 3" xfId="43385" xr:uid="{6470590D-5407-4AF8-9641-18AFFEBB2255}"/>
    <cellStyle name="Comma 12 2 5 2 3 3" xfId="19193" xr:uid="{3E82C31D-480C-4A5C-AD71-21FDCB656FD6}"/>
    <cellStyle name="Comma 12 2 5 2 3 3 2" xfId="49433" xr:uid="{AD4432A9-29B1-4A87-8797-E5F23386554F}"/>
    <cellStyle name="Comma 12 2 5 2 3 4" xfId="34313" xr:uid="{C9BB48B0-39F7-41A0-BBB8-20CAF6D39949}"/>
    <cellStyle name="Comma 12 2 5 2 4" xfId="5585" xr:uid="{5CDBD385-87BF-4F08-BEFD-2898A30B49B3}"/>
    <cellStyle name="Comma 12 2 5 2 4 2" xfId="14657" xr:uid="{5B75478B-AA42-49CC-9B81-3F08A207DDCE}"/>
    <cellStyle name="Comma 12 2 5 2 4 2 2" xfId="29777" xr:uid="{4DF3F4DA-AE6C-4E5E-A26F-5C68999CF33C}"/>
    <cellStyle name="Comma 12 2 5 2 4 2 2 2" xfId="60017" xr:uid="{98DC165B-EC78-4F2B-AECB-95D5364E3D67}"/>
    <cellStyle name="Comma 12 2 5 2 4 2 3" xfId="44897" xr:uid="{41092976-6319-4AD2-B831-5E21367021E2}"/>
    <cellStyle name="Comma 12 2 5 2 4 3" xfId="20705" xr:uid="{979C9126-02E2-4740-BDEB-E62876B007B1}"/>
    <cellStyle name="Comma 12 2 5 2 4 3 2" xfId="50945" xr:uid="{EC3F3C22-51BC-4A28-9664-32B6DB7CE464}"/>
    <cellStyle name="Comma 12 2 5 2 4 4" xfId="35825" xr:uid="{883779F7-980C-4A5F-A611-1E6BB9A44CE9}"/>
    <cellStyle name="Comma 12 2 5 2 5" xfId="7097" xr:uid="{AB669C34-FB06-474A-B576-021DFB6002FC}"/>
    <cellStyle name="Comma 12 2 5 2 5 2" xfId="22217" xr:uid="{26D5DE6D-07FC-4016-845A-F4182005EA82}"/>
    <cellStyle name="Comma 12 2 5 2 5 2 2" xfId="52457" xr:uid="{3C0A39B8-FFCC-4BD6-AC28-998209591287}"/>
    <cellStyle name="Comma 12 2 5 2 5 3" xfId="37337" xr:uid="{BF555CAE-AE75-4CD4-A358-9E6F70D58802}"/>
    <cellStyle name="Comma 12 2 5 2 6" xfId="8609" xr:uid="{E287ADAA-C15E-4CB4-AE9D-428FD7B0F41B}"/>
    <cellStyle name="Comma 12 2 5 2 6 2" xfId="23729" xr:uid="{B4D81DAB-E20F-4024-B4EA-F9A626085CF7}"/>
    <cellStyle name="Comma 12 2 5 2 6 2 2" xfId="53969" xr:uid="{471F6813-9878-4F53-B9EF-42E122CC9FB7}"/>
    <cellStyle name="Comma 12 2 5 2 6 3" xfId="38849" xr:uid="{E5C8A3C2-DB1F-41CE-B6BF-961285953A85}"/>
    <cellStyle name="Comma 12 2 5 2 7" xfId="10121" xr:uid="{52BA42A8-4B80-48BE-94FA-90B952877366}"/>
    <cellStyle name="Comma 12 2 5 2 7 2" xfId="25241" xr:uid="{2F2941D4-7B39-470A-BFD2-12123B31F63A}"/>
    <cellStyle name="Comma 12 2 5 2 7 2 2" xfId="55481" xr:uid="{F877B8EE-C324-4F86-A49A-48008A0E0453}"/>
    <cellStyle name="Comma 12 2 5 2 7 3" xfId="40361" xr:uid="{797AD0CC-6DE5-43F6-B612-8771483CC2EB}"/>
    <cellStyle name="Comma 12 2 5 2 8" xfId="16169" xr:uid="{E71ECE00-695E-4033-A097-16415581839D}"/>
    <cellStyle name="Comma 12 2 5 2 8 2" xfId="46409" xr:uid="{B9CA16BE-63B4-4757-A2F5-5E8048D691C6}"/>
    <cellStyle name="Comma 12 2 5 2 9" xfId="31289" xr:uid="{CE5F9F97-1E2A-4D4C-BDB2-F52DEBCA3B2F}"/>
    <cellStyle name="Comma 12 2 5 3" xfId="1805" xr:uid="{C95682DE-854D-4027-B730-E8FA8F7DC14E}"/>
    <cellStyle name="Comma 12 2 5 3 2" xfId="10877" xr:uid="{319D45C1-7DD5-4075-8685-349BD5275EBA}"/>
    <cellStyle name="Comma 12 2 5 3 2 2" xfId="25997" xr:uid="{F58827B0-932B-4544-B38F-F11913BAE143}"/>
    <cellStyle name="Comma 12 2 5 3 2 2 2" xfId="56237" xr:uid="{CA2063AA-E600-4E25-8A08-A3D8B1B6182E}"/>
    <cellStyle name="Comma 12 2 5 3 2 3" xfId="41117" xr:uid="{62362EF2-E933-4D30-9959-6E53A007319B}"/>
    <cellStyle name="Comma 12 2 5 3 3" xfId="16925" xr:uid="{5DD889AE-948A-43A4-9F53-9CF55B7BC465}"/>
    <cellStyle name="Comma 12 2 5 3 3 2" xfId="47165" xr:uid="{3A1780B4-54D8-4886-99CC-B37E4C518EC7}"/>
    <cellStyle name="Comma 12 2 5 3 4" xfId="32045" xr:uid="{0BD2462D-1D34-4E15-B852-BD1084ACAAAC}"/>
    <cellStyle name="Comma 12 2 5 4" xfId="3317" xr:uid="{66ECE878-EED4-41AB-9C4C-415E00B09C3F}"/>
    <cellStyle name="Comma 12 2 5 4 2" xfId="12389" xr:uid="{9D76A3EB-8DBA-45CE-87E2-5F02EBA43DBF}"/>
    <cellStyle name="Comma 12 2 5 4 2 2" xfId="27509" xr:uid="{D80BB6AD-5B34-4058-A15E-66AD9E4A7AE5}"/>
    <cellStyle name="Comma 12 2 5 4 2 2 2" xfId="57749" xr:uid="{7ABCC76B-7DA7-46CB-9C15-9FD6F95E08EC}"/>
    <cellStyle name="Comma 12 2 5 4 2 3" xfId="42629" xr:uid="{060A5C70-28CC-459D-B47E-6F9B6987171D}"/>
    <cellStyle name="Comma 12 2 5 4 3" xfId="18437" xr:uid="{00EB2E00-9645-4D97-B97D-F7A547199367}"/>
    <cellStyle name="Comma 12 2 5 4 3 2" xfId="48677" xr:uid="{8341DA63-8040-4A4C-9D0D-0FA99CA1B99E}"/>
    <cellStyle name="Comma 12 2 5 4 4" xfId="33557" xr:uid="{FB338AED-1532-44AD-ACAA-F84F8B428EF6}"/>
    <cellStyle name="Comma 12 2 5 5" xfId="4829" xr:uid="{5FB4210F-8981-460C-9547-ECC62621B191}"/>
    <cellStyle name="Comma 12 2 5 5 2" xfId="13901" xr:uid="{BF42083B-557E-4F50-9E18-565025F7121E}"/>
    <cellStyle name="Comma 12 2 5 5 2 2" xfId="29021" xr:uid="{9C08D543-433E-4232-9193-9831921B7338}"/>
    <cellStyle name="Comma 12 2 5 5 2 2 2" xfId="59261" xr:uid="{D7DE7709-162D-4E2C-A163-2CCF6CF5A353}"/>
    <cellStyle name="Comma 12 2 5 5 2 3" xfId="44141" xr:uid="{AD65F967-6728-4910-A589-EC5A10F7788E}"/>
    <cellStyle name="Comma 12 2 5 5 3" xfId="19949" xr:uid="{9CDFA813-EF33-47FC-A527-263AEFF41C3A}"/>
    <cellStyle name="Comma 12 2 5 5 3 2" xfId="50189" xr:uid="{E4137F4A-AA0C-4F9D-8EF0-957993E3D579}"/>
    <cellStyle name="Comma 12 2 5 5 4" xfId="35069" xr:uid="{1AE478EA-36F3-4B9A-ADE0-F14F7989CBFD}"/>
    <cellStyle name="Comma 12 2 5 6" xfId="6341" xr:uid="{0CA46915-1B0B-4657-95D7-F1EFCA09E4F2}"/>
    <cellStyle name="Comma 12 2 5 6 2" xfId="21461" xr:uid="{A9081AD4-74C3-4B13-9703-16C99B3D2EE4}"/>
    <cellStyle name="Comma 12 2 5 6 2 2" xfId="51701" xr:uid="{888FE862-2F5B-4C80-B685-21F97A73CB61}"/>
    <cellStyle name="Comma 12 2 5 6 3" xfId="36581" xr:uid="{855F3D15-0CBD-4A22-B8D1-3ED856DD5535}"/>
    <cellStyle name="Comma 12 2 5 7" xfId="7853" xr:uid="{77332E4C-F195-45B6-8C55-D826511FB42A}"/>
    <cellStyle name="Comma 12 2 5 7 2" xfId="22973" xr:uid="{E8F4E134-9DF6-4BC1-BB28-F902E4E7E019}"/>
    <cellStyle name="Comma 12 2 5 7 2 2" xfId="53213" xr:uid="{DB34E596-D28A-4053-BC89-F68138CCAE4D}"/>
    <cellStyle name="Comma 12 2 5 7 3" xfId="38093" xr:uid="{A384D985-A481-47BB-9CA6-B6DAB948843D}"/>
    <cellStyle name="Comma 12 2 5 8" xfId="9365" xr:uid="{21C2FC60-C25B-4777-B764-737AC237AB54}"/>
    <cellStyle name="Comma 12 2 5 8 2" xfId="24485" xr:uid="{40D37646-8622-4E31-8349-2600251C3712}"/>
    <cellStyle name="Comma 12 2 5 8 2 2" xfId="54725" xr:uid="{902BFBAC-BB39-4295-A7DF-016D57BBAFEF}"/>
    <cellStyle name="Comma 12 2 5 8 3" xfId="39605" xr:uid="{8E444E81-B9D3-4AB0-BE0B-32AEFC5B4AEA}"/>
    <cellStyle name="Comma 12 2 5 9" xfId="15413" xr:uid="{095B12A2-B046-4D62-92AD-B2D0515E6A4A}"/>
    <cellStyle name="Comma 12 2 5 9 2" xfId="45653" xr:uid="{A453B8C8-6D22-452F-8F57-DF0A0D3C5CF3}"/>
    <cellStyle name="Comma 12 2 6" xfId="545" xr:uid="{A098E5BA-6E13-4559-9964-00DEDF5AA2B9}"/>
    <cellStyle name="Comma 12 2 6 10" xfId="30785" xr:uid="{E1CF8148-3E45-4328-B2C4-CDDAC60D0048}"/>
    <cellStyle name="Comma 12 2 6 2" xfId="1301" xr:uid="{AE3DDF73-1970-4A6E-9FE7-E0B68FEAEEA8}"/>
    <cellStyle name="Comma 12 2 6 2 2" xfId="2813" xr:uid="{131FC713-D350-4263-9A13-5E1D4AC55153}"/>
    <cellStyle name="Comma 12 2 6 2 2 2" xfId="11885" xr:uid="{01672A15-9809-4734-A594-9FFC02CB6185}"/>
    <cellStyle name="Comma 12 2 6 2 2 2 2" xfId="27005" xr:uid="{BE48E383-5DBA-4DF9-B006-2865D68BC0BF}"/>
    <cellStyle name="Comma 12 2 6 2 2 2 2 2" xfId="57245" xr:uid="{1D0D7B28-75CD-4E73-A08D-6DE760B01DF8}"/>
    <cellStyle name="Comma 12 2 6 2 2 2 3" xfId="42125" xr:uid="{B5EE5F59-7839-47A2-A114-00E85BB55F61}"/>
    <cellStyle name="Comma 12 2 6 2 2 3" xfId="17933" xr:uid="{9F05E333-0960-4AB4-BAC1-496C774C353E}"/>
    <cellStyle name="Comma 12 2 6 2 2 3 2" xfId="48173" xr:uid="{4A7F2599-4179-42A0-AE1F-C18487A1A041}"/>
    <cellStyle name="Comma 12 2 6 2 2 4" xfId="33053" xr:uid="{EB91442F-AA58-43F8-8339-43555648DE43}"/>
    <cellStyle name="Comma 12 2 6 2 3" xfId="4325" xr:uid="{23CE60EC-1E7F-4939-A6CC-B3BC0C17FFFA}"/>
    <cellStyle name="Comma 12 2 6 2 3 2" xfId="13397" xr:uid="{EED16FCC-BFFF-4606-9E81-F51C9E835DF1}"/>
    <cellStyle name="Comma 12 2 6 2 3 2 2" xfId="28517" xr:uid="{68FA65B9-81A4-4C34-8065-7F63EB45FC2C}"/>
    <cellStyle name="Comma 12 2 6 2 3 2 2 2" xfId="58757" xr:uid="{DB721908-62DC-47E0-85BC-4E31C90CBA67}"/>
    <cellStyle name="Comma 12 2 6 2 3 2 3" xfId="43637" xr:uid="{0081FE77-7507-4AE9-B444-4B2716B60835}"/>
    <cellStyle name="Comma 12 2 6 2 3 3" xfId="19445" xr:uid="{2329F12B-73E0-4DB0-A116-3F074281F7CE}"/>
    <cellStyle name="Comma 12 2 6 2 3 3 2" xfId="49685" xr:uid="{D1A3A022-7309-4897-B9AE-0FB5A7E2129E}"/>
    <cellStyle name="Comma 12 2 6 2 3 4" xfId="34565" xr:uid="{D8B12C65-9D58-4D17-AAA6-4461AEF3FA30}"/>
    <cellStyle name="Comma 12 2 6 2 4" xfId="5837" xr:uid="{C24B27A8-6BDC-4F67-A781-059F1B5DC845}"/>
    <cellStyle name="Comma 12 2 6 2 4 2" xfId="14909" xr:uid="{5ADDEC9F-E69E-4DFE-89D5-2E76857E1C5D}"/>
    <cellStyle name="Comma 12 2 6 2 4 2 2" xfId="30029" xr:uid="{B13485FE-527E-41EB-9038-CA9F7335C83F}"/>
    <cellStyle name="Comma 12 2 6 2 4 2 2 2" xfId="60269" xr:uid="{759DC435-2370-4852-BDB3-204E5A1F5107}"/>
    <cellStyle name="Comma 12 2 6 2 4 2 3" xfId="45149" xr:uid="{8B94059C-93CB-4E84-B2E0-E7969B3550D6}"/>
    <cellStyle name="Comma 12 2 6 2 4 3" xfId="20957" xr:uid="{FDDB6EFB-5DD3-4776-BB1C-23A2671E7E31}"/>
    <cellStyle name="Comma 12 2 6 2 4 3 2" xfId="51197" xr:uid="{C2C1160D-75D6-45F7-A300-B1B526A14C19}"/>
    <cellStyle name="Comma 12 2 6 2 4 4" xfId="36077" xr:uid="{235ED0A6-BF34-424B-BC0B-5AF64F81307F}"/>
    <cellStyle name="Comma 12 2 6 2 5" xfId="7349" xr:uid="{710729F2-5B07-4E1C-ABCE-DEC7FBE31474}"/>
    <cellStyle name="Comma 12 2 6 2 5 2" xfId="22469" xr:uid="{EBF3F8D8-AC5E-4EC1-8630-E225BE614567}"/>
    <cellStyle name="Comma 12 2 6 2 5 2 2" xfId="52709" xr:uid="{B8B6FC7F-73D8-4C1C-B04D-065095EAD75C}"/>
    <cellStyle name="Comma 12 2 6 2 5 3" xfId="37589" xr:uid="{D4B54A6F-F27B-4DDB-8BF3-AA8DA51E0264}"/>
    <cellStyle name="Comma 12 2 6 2 6" xfId="8861" xr:uid="{89BB88C0-10FB-4B68-812C-84A9D241114F}"/>
    <cellStyle name="Comma 12 2 6 2 6 2" xfId="23981" xr:uid="{BD7A7A23-7830-4F45-8032-0908BDFDA1C7}"/>
    <cellStyle name="Comma 12 2 6 2 6 2 2" xfId="54221" xr:uid="{607122D3-3B38-4AFF-AE8D-FAB2F233727F}"/>
    <cellStyle name="Comma 12 2 6 2 6 3" xfId="39101" xr:uid="{7964E68F-9027-4935-A613-E759490DE549}"/>
    <cellStyle name="Comma 12 2 6 2 7" xfId="10373" xr:uid="{BE1FAC3D-9055-4B1A-9525-1D8E507BD470}"/>
    <cellStyle name="Comma 12 2 6 2 7 2" xfId="25493" xr:uid="{D4F68D2C-1E68-452C-9D17-CE51CC011C97}"/>
    <cellStyle name="Comma 12 2 6 2 7 2 2" xfId="55733" xr:uid="{32A5C352-8BD6-4436-83D9-F709E4A516AD}"/>
    <cellStyle name="Comma 12 2 6 2 7 3" xfId="40613" xr:uid="{FB8740E6-C4F4-4EE8-B0E7-A322EA3658FE}"/>
    <cellStyle name="Comma 12 2 6 2 8" xfId="16421" xr:uid="{A99B892E-E467-4C13-B24F-FF1487F5824E}"/>
    <cellStyle name="Comma 12 2 6 2 8 2" xfId="46661" xr:uid="{84EF413D-7506-4226-AFE8-3569DD967B51}"/>
    <cellStyle name="Comma 12 2 6 2 9" xfId="31541" xr:uid="{9C3EA63A-C2E2-453B-8BC4-1CA69D923E2F}"/>
    <cellStyle name="Comma 12 2 6 3" xfId="2057" xr:uid="{2CF8F30F-141B-4A8B-B369-658837EA8B14}"/>
    <cellStyle name="Comma 12 2 6 3 2" xfId="11129" xr:uid="{AE6AAA0F-E8E8-4A3A-AA7D-78D74545692D}"/>
    <cellStyle name="Comma 12 2 6 3 2 2" xfId="26249" xr:uid="{0FE576C8-9CED-481F-8719-227EB23D08C8}"/>
    <cellStyle name="Comma 12 2 6 3 2 2 2" xfId="56489" xr:uid="{309FE769-80E4-4863-B527-B4941A8AA429}"/>
    <cellStyle name="Comma 12 2 6 3 2 3" xfId="41369" xr:uid="{1CE437C8-399A-4118-9C30-AD9C2805D948}"/>
    <cellStyle name="Comma 12 2 6 3 3" xfId="17177" xr:uid="{AD14C57A-39AA-430A-89A0-8DE98A7EA544}"/>
    <cellStyle name="Comma 12 2 6 3 3 2" xfId="47417" xr:uid="{AD14A9D8-0249-497F-A108-02E316224403}"/>
    <cellStyle name="Comma 12 2 6 3 4" xfId="32297" xr:uid="{59950A31-49D5-4DF9-BDD9-AB02CC847571}"/>
    <cellStyle name="Comma 12 2 6 4" xfId="3569" xr:uid="{FD7D203C-80E7-4D65-A6DE-09DFFEEBC962}"/>
    <cellStyle name="Comma 12 2 6 4 2" xfId="12641" xr:uid="{680A31C0-6D2D-410F-9E2E-47DF4C1EC967}"/>
    <cellStyle name="Comma 12 2 6 4 2 2" xfId="27761" xr:uid="{9FCF130A-BC1D-4028-B220-BCA9AEA0F155}"/>
    <cellStyle name="Comma 12 2 6 4 2 2 2" xfId="58001" xr:uid="{E1D70484-E56D-46F7-AC5F-5CA71C7D79BE}"/>
    <cellStyle name="Comma 12 2 6 4 2 3" xfId="42881" xr:uid="{79F93BAC-7B80-4563-8F00-22393242FBCD}"/>
    <cellStyle name="Comma 12 2 6 4 3" xfId="18689" xr:uid="{56691D36-E714-4FF0-9822-273FDC701BDD}"/>
    <cellStyle name="Comma 12 2 6 4 3 2" xfId="48929" xr:uid="{E7B6C8C1-32CE-4D21-BF23-8C5CDBC3E684}"/>
    <cellStyle name="Comma 12 2 6 4 4" xfId="33809" xr:uid="{0B142654-E73F-4900-96AD-01955297DA52}"/>
    <cellStyle name="Comma 12 2 6 5" xfId="5081" xr:uid="{7F0F94FB-B842-4C91-92E0-631CFDCD3FF1}"/>
    <cellStyle name="Comma 12 2 6 5 2" xfId="14153" xr:uid="{185F9124-E707-482A-822E-B14E061DD39D}"/>
    <cellStyle name="Comma 12 2 6 5 2 2" xfId="29273" xr:uid="{7F3BE9BF-6E98-4370-9D21-EB4B89464D4B}"/>
    <cellStyle name="Comma 12 2 6 5 2 2 2" xfId="59513" xr:uid="{11C84C62-B05C-4DBC-8ABD-E3052994399B}"/>
    <cellStyle name="Comma 12 2 6 5 2 3" xfId="44393" xr:uid="{85023BF3-B7CF-4064-B88D-32674743F961}"/>
    <cellStyle name="Comma 12 2 6 5 3" xfId="20201" xr:uid="{075F5CB7-EF0E-4C25-8E58-74C08C16E743}"/>
    <cellStyle name="Comma 12 2 6 5 3 2" xfId="50441" xr:uid="{B3CED749-FBAD-4E20-8A0E-3F6CA1AD25D6}"/>
    <cellStyle name="Comma 12 2 6 5 4" xfId="35321" xr:uid="{D9ED55B2-4CC3-46C3-A35B-34F7DAC3E45B}"/>
    <cellStyle name="Comma 12 2 6 6" xfId="6593" xr:uid="{E9423CE6-E9FB-4B30-AB6D-526BFA08E8D2}"/>
    <cellStyle name="Comma 12 2 6 6 2" xfId="21713" xr:uid="{6AF746F3-AB3E-4E96-B87C-6A32799F33EC}"/>
    <cellStyle name="Comma 12 2 6 6 2 2" xfId="51953" xr:uid="{E1CEF1E7-544A-4A0E-9E9C-7F77239EB63D}"/>
    <cellStyle name="Comma 12 2 6 6 3" xfId="36833" xr:uid="{3985EA60-A32B-48B9-9A99-5C5AE1557E6D}"/>
    <cellStyle name="Comma 12 2 6 7" xfId="8105" xr:uid="{54DE7248-C1E4-40EC-8967-428F691F76C8}"/>
    <cellStyle name="Comma 12 2 6 7 2" xfId="23225" xr:uid="{E230F94F-00F3-46D2-AC87-772608E81EDF}"/>
    <cellStyle name="Comma 12 2 6 7 2 2" xfId="53465" xr:uid="{E33ECF49-F93C-4D76-B952-3C2F43B8F8FD}"/>
    <cellStyle name="Comma 12 2 6 7 3" xfId="38345" xr:uid="{C9721919-7967-4845-B547-923E614EEC5A}"/>
    <cellStyle name="Comma 12 2 6 8" xfId="9617" xr:uid="{44956DE4-6193-426A-8A87-A06F7A4916D7}"/>
    <cellStyle name="Comma 12 2 6 8 2" xfId="24737" xr:uid="{DB0B6BCB-05B8-43B8-834D-7A5EF21C954E}"/>
    <cellStyle name="Comma 12 2 6 8 2 2" xfId="54977" xr:uid="{ECA7490B-B7A1-4F74-8880-35F9C7916D9E}"/>
    <cellStyle name="Comma 12 2 6 8 3" xfId="39857" xr:uid="{E8804539-D2D7-4EE5-94C5-7F146456CCCF}"/>
    <cellStyle name="Comma 12 2 6 9" xfId="15665" xr:uid="{D5F3CF51-4627-426C-838A-A1F8422793FB}"/>
    <cellStyle name="Comma 12 2 6 9 2" xfId="45905" xr:uid="{7BFE061C-3CF1-4B4A-AF6F-1DC738ED15A3}"/>
    <cellStyle name="Comma 12 2 7" xfId="797" xr:uid="{15517B43-CC58-4296-AA3E-25E324CA4478}"/>
    <cellStyle name="Comma 12 2 7 2" xfId="2309" xr:uid="{9FE355E5-687A-459D-BC3E-1BEC71620CCB}"/>
    <cellStyle name="Comma 12 2 7 2 2" xfId="11381" xr:uid="{6810FFD5-C99F-4F37-A452-12C2EC4FD14A}"/>
    <cellStyle name="Comma 12 2 7 2 2 2" xfId="26501" xr:uid="{0A37BADA-C71F-417F-80A0-94B7CBEC83ED}"/>
    <cellStyle name="Comma 12 2 7 2 2 2 2" xfId="56741" xr:uid="{70EC032F-91A6-40BF-89CE-817A8EEE9E2D}"/>
    <cellStyle name="Comma 12 2 7 2 2 3" xfId="41621" xr:uid="{D4BE2838-9141-42B5-BBB8-20E6EBBCA0E4}"/>
    <cellStyle name="Comma 12 2 7 2 3" xfId="17429" xr:uid="{DAEB70C5-5E84-4066-894A-21324DB8C8B0}"/>
    <cellStyle name="Comma 12 2 7 2 3 2" xfId="47669" xr:uid="{7829DCFE-21FC-450A-B5AC-FBCC8D5586BD}"/>
    <cellStyle name="Comma 12 2 7 2 4" xfId="32549" xr:uid="{1002E153-8F2D-4B51-8F86-EE2595283133}"/>
    <cellStyle name="Comma 12 2 7 3" xfId="3821" xr:uid="{6409E642-B406-4685-8DAE-857F3EC75B61}"/>
    <cellStyle name="Comma 12 2 7 3 2" xfId="12893" xr:uid="{F75BD6E0-2275-4A15-99FC-3E198FC98FF0}"/>
    <cellStyle name="Comma 12 2 7 3 2 2" xfId="28013" xr:uid="{B746C6E9-E5BF-4975-A12B-8B9919BE7610}"/>
    <cellStyle name="Comma 12 2 7 3 2 2 2" xfId="58253" xr:uid="{EA5D34CE-F8A8-4974-A3A4-32B47E33A07B}"/>
    <cellStyle name="Comma 12 2 7 3 2 3" xfId="43133" xr:uid="{ED22758B-48F6-4E12-AA51-67C8C710B87C}"/>
    <cellStyle name="Comma 12 2 7 3 3" xfId="18941" xr:uid="{226A7AB1-9724-4EC4-A501-D1B25F8F36D5}"/>
    <cellStyle name="Comma 12 2 7 3 3 2" xfId="49181" xr:uid="{D331E74D-B1E5-49D8-8585-AE7BCACC10D9}"/>
    <cellStyle name="Comma 12 2 7 3 4" xfId="34061" xr:uid="{F2E89CB7-A6D4-417F-88F0-9376D4CD5F95}"/>
    <cellStyle name="Comma 12 2 7 4" xfId="5333" xr:uid="{FB3192A6-1B0C-438D-BAB3-ED99C06F8C47}"/>
    <cellStyle name="Comma 12 2 7 4 2" xfId="14405" xr:uid="{BEF751CD-CD22-43B6-A279-1E28B840B7ED}"/>
    <cellStyle name="Comma 12 2 7 4 2 2" xfId="29525" xr:uid="{A1D48D9B-40FC-431A-AEB2-DB7999A4E245}"/>
    <cellStyle name="Comma 12 2 7 4 2 2 2" xfId="59765" xr:uid="{B84A772B-4F93-4BB4-9D18-43834312448C}"/>
    <cellStyle name="Comma 12 2 7 4 2 3" xfId="44645" xr:uid="{2125028D-EA5B-408B-B313-0F1F7F01210F}"/>
    <cellStyle name="Comma 12 2 7 4 3" xfId="20453" xr:uid="{C96C0488-4BFD-402C-A5F1-4DAB1EA2E9E6}"/>
    <cellStyle name="Comma 12 2 7 4 3 2" xfId="50693" xr:uid="{34B9E68B-7C52-4AC8-83B1-6B5BB9DF2148}"/>
    <cellStyle name="Comma 12 2 7 4 4" xfId="35573" xr:uid="{8B7BD2D5-A4E7-4F02-9CD0-FCD3B5CE528B}"/>
    <cellStyle name="Comma 12 2 7 5" xfId="6845" xr:uid="{8E259AE9-2F15-4D31-81E0-BEE5CB36FE0B}"/>
    <cellStyle name="Comma 12 2 7 5 2" xfId="21965" xr:uid="{39833D11-1FEE-4164-9021-5542C0FDE630}"/>
    <cellStyle name="Comma 12 2 7 5 2 2" xfId="52205" xr:uid="{F2F2717C-E932-4C4B-9C81-6383F4923E25}"/>
    <cellStyle name="Comma 12 2 7 5 3" xfId="37085" xr:uid="{C8119DD0-828D-462E-85CE-EFBC0EC7EDBF}"/>
    <cellStyle name="Comma 12 2 7 6" xfId="8357" xr:uid="{D95AA151-7A47-4692-AD69-4E3030EA6AC1}"/>
    <cellStyle name="Comma 12 2 7 6 2" xfId="23477" xr:uid="{8FE97F60-8B0E-4788-918B-936E7DF81A99}"/>
    <cellStyle name="Comma 12 2 7 6 2 2" xfId="53717" xr:uid="{D6DB22EC-7EBE-426C-B50E-840E8DA1078E}"/>
    <cellStyle name="Comma 12 2 7 6 3" xfId="38597" xr:uid="{67FBC701-3557-4E8E-96BA-A8AB5402968B}"/>
    <cellStyle name="Comma 12 2 7 7" xfId="9869" xr:uid="{7732ED5C-1DDB-4F55-8337-77C65E7F2FFA}"/>
    <cellStyle name="Comma 12 2 7 7 2" xfId="24989" xr:uid="{ECBDD8E4-5FBF-4F6B-9A59-7369B323CFA3}"/>
    <cellStyle name="Comma 12 2 7 7 2 2" xfId="55229" xr:uid="{F0B09B9B-6FA4-455A-8528-53AF70BE3FE6}"/>
    <cellStyle name="Comma 12 2 7 7 3" xfId="40109" xr:uid="{0B8AE2CB-7748-433B-B006-011E917C0202}"/>
    <cellStyle name="Comma 12 2 7 8" xfId="15917" xr:uid="{53F24CD1-8C76-4A92-9358-D21C6C788236}"/>
    <cellStyle name="Comma 12 2 7 8 2" xfId="46157" xr:uid="{EA036D9F-64A7-48BE-A646-5AD93EA2DCF5}"/>
    <cellStyle name="Comma 12 2 7 9" xfId="31037" xr:uid="{40E664E1-EA78-4146-8A06-4503D1614C64}"/>
    <cellStyle name="Comma 12 2 8" xfId="1553" xr:uid="{A2A533DF-F930-453C-A19E-BB56143EB38D}"/>
    <cellStyle name="Comma 12 2 8 2" xfId="10625" xr:uid="{98F34A85-0A77-4463-9B4F-DC3AA12D52E9}"/>
    <cellStyle name="Comma 12 2 8 2 2" xfId="25745" xr:uid="{B849ADB7-938F-49B2-9382-DBAA7A20AFDE}"/>
    <cellStyle name="Comma 12 2 8 2 2 2" xfId="55985" xr:uid="{1693DCDD-1FA9-4A2D-AF92-DC27A6CB2C9D}"/>
    <cellStyle name="Comma 12 2 8 2 3" xfId="40865" xr:uid="{D57C026C-687C-4DEC-916F-2C4F7CC284E9}"/>
    <cellStyle name="Comma 12 2 8 3" xfId="16673" xr:uid="{E6AEA4B4-761D-496F-B92A-CF2689931678}"/>
    <cellStyle name="Comma 12 2 8 3 2" xfId="46913" xr:uid="{6C9110EF-68EA-4C4F-82D8-5122B63D5872}"/>
    <cellStyle name="Comma 12 2 8 4" xfId="31793" xr:uid="{D8A0E93A-E255-457D-8472-62FA478E4EBC}"/>
    <cellStyle name="Comma 12 2 9" xfId="3065" xr:uid="{F6EAB210-5E14-4CF9-84AF-A28E85ADCD86}"/>
    <cellStyle name="Comma 12 2 9 2" xfId="12137" xr:uid="{B3A15680-1D06-4B68-9759-8DEFA42CE543}"/>
    <cellStyle name="Comma 12 2 9 2 2" xfId="27257" xr:uid="{6D64A1E6-212A-4A19-B3CC-5667D7FD94F2}"/>
    <cellStyle name="Comma 12 2 9 2 2 2" xfId="57497" xr:uid="{272453F0-3604-4507-9205-E2BB9A643615}"/>
    <cellStyle name="Comma 12 2 9 2 3" xfId="42377" xr:uid="{8BD4737D-3778-4303-82CE-D4178BB8311F}"/>
    <cellStyle name="Comma 12 2 9 3" xfId="18185" xr:uid="{3FF2F96B-C780-45FC-A9F8-2A09871A225E}"/>
    <cellStyle name="Comma 12 2 9 3 2" xfId="48425" xr:uid="{8C8A37CF-C032-4AD0-B29C-1E22B6EE7988}"/>
    <cellStyle name="Comma 12 2 9 4" xfId="33305" xr:uid="{83746F24-2631-4B3A-94CE-DF50CBB5D3E2}"/>
    <cellStyle name="Comma 12 3" xfId="55" xr:uid="{B476851F-5776-47F8-B4E7-B92A9AAEBA37}"/>
    <cellStyle name="Comma 12 3 10" xfId="4591" xr:uid="{2D3CD4D8-81C3-41FB-98E2-C98C48B584C3}"/>
    <cellStyle name="Comma 12 3 10 2" xfId="13663" xr:uid="{10824F8C-C9E3-4A7C-95C4-A86C4CE43351}"/>
    <cellStyle name="Comma 12 3 10 2 2" xfId="28783" xr:uid="{E778702F-3D89-407D-80FB-729ACF254357}"/>
    <cellStyle name="Comma 12 3 10 2 2 2" xfId="59023" xr:uid="{0B184948-A858-42EA-83D7-F9E2E1C21E2F}"/>
    <cellStyle name="Comma 12 3 10 2 3" xfId="43903" xr:uid="{3173D849-31EA-4997-85FF-B68F1C2C19E2}"/>
    <cellStyle name="Comma 12 3 10 3" xfId="19711" xr:uid="{443CBF1C-4574-491E-BE06-C2DB95B393D2}"/>
    <cellStyle name="Comma 12 3 10 3 2" xfId="49951" xr:uid="{781AC66C-ADD6-4245-90C4-148F16F07A38}"/>
    <cellStyle name="Comma 12 3 10 4" xfId="34831" xr:uid="{BD0BC4A9-1F7E-4097-ABE4-B1F3C75937A0}"/>
    <cellStyle name="Comma 12 3 11" xfId="6103" xr:uid="{DFD1CC4A-1C00-40BC-BEED-DF709206E8EB}"/>
    <cellStyle name="Comma 12 3 11 2" xfId="21223" xr:uid="{DAAA2371-CCFD-4882-B9B9-BCEEFD8AC5A5}"/>
    <cellStyle name="Comma 12 3 11 2 2" xfId="51463" xr:uid="{AD8DAF47-DA41-409E-A191-B3B10DE63684}"/>
    <cellStyle name="Comma 12 3 11 3" xfId="36343" xr:uid="{C057446B-9DDE-4A34-B793-B34E9AF60AD7}"/>
    <cellStyle name="Comma 12 3 12" xfId="7615" xr:uid="{428877DD-C45E-4A71-B369-B30145430BA8}"/>
    <cellStyle name="Comma 12 3 12 2" xfId="22735" xr:uid="{7EBD35E0-1128-4C18-A29E-5262DE6E4F91}"/>
    <cellStyle name="Comma 12 3 12 2 2" xfId="52975" xr:uid="{CACD32B1-3A81-4A8A-A574-2DF1C3EEF851}"/>
    <cellStyle name="Comma 12 3 12 3" xfId="37855" xr:uid="{BDDAF858-E737-492E-ABF4-D1E4781901D8}"/>
    <cellStyle name="Comma 12 3 13" xfId="9127" xr:uid="{EF56429B-5362-4CEE-9D46-4BD67DABE01F}"/>
    <cellStyle name="Comma 12 3 13 2" xfId="24247" xr:uid="{D8A2BC40-B6D1-401A-A745-3610B8D31BF1}"/>
    <cellStyle name="Comma 12 3 13 2 2" xfId="54487" xr:uid="{B8BE4518-C293-4FB9-AFF2-C2DD4EC76C16}"/>
    <cellStyle name="Comma 12 3 13 3" xfId="39367" xr:uid="{86E5A5BD-39F5-4456-851B-300D1FE6A5C7}"/>
    <cellStyle name="Comma 12 3 14" xfId="15175" xr:uid="{28FE61A9-21B6-4FB6-A079-5D7FC3C0F8C5}"/>
    <cellStyle name="Comma 12 3 14 2" xfId="45415" xr:uid="{54613F3E-F7B1-4861-9359-A2A1BE138CC6}"/>
    <cellStyle name="Comma 12 3 15" xfId="30295" xr:uid="{94EA47EF-EB4A-45AF-9060-1D9192DD97D1}"/>
    <cellStyle name="Comma 12 3 2" xfId="97" xr:uid="{23768F0E-8837-4FDE-A9E3-8E727E62A4BE}"/>
    <cellStyle name="Comma 12 3 2 10" xfId="6145" xr:uid="{4858916C-D404-40A3-B588-A38AAC425C3B}"/>
    <cellStyle name="Comma 12 3 2 10 2" xfId="21265" xr:uid="{9FF3B927-A0C1-471E-9A28-05BD2E2BBE7B}"/>
    <cellStyle name="Comma 12 3 2 10 2 2" xfId="51505" xr:uid="{9A8C54BA-85B0-4291-916B-6D051A9FC2B3}"/>
    <cellStyle name="Comma 12 3 2 10 3" xfId="36385" xr:uid="{18C5C901-9758-47AB-A788-C44D29ED6C21}"/>
    <cellStyle name="Comma 12 3 2 11" xfId="7657" xr:uid="{F2EFE0C0-1CE8-4833-8286-4285BD715445}"/>
    <cellStyle name="Comma 12 3 2 11 2" xfId="22777" xr:uid="{6D5AAE2C-5B10-47C9-8118-77ACC6DF9020}"/>
    <cellStyle name="Comma 12 3 2 11 2 2" xfId="53017" xr:uid="{821993E5-E146-41BB-9D1C-482DE4A4AB7C}"/>
    <cellStyle name="Comma 12 3 2 11 3" xfId="37897" xr:uid="{96AB024A-58BC-4AD7-8B35-52CE967E8E8E}"/>
    <cellStyle name="Comma 12 3 2 12" xfId="9169" xr:uid="{59FD8615-C624-4CD3-8CD5-EB68CBECDB22}"/>
    <cellStyle name="Comma 12 3 2 12 2" xfId="24289" xr:uid="{4CC08FAF-4FA9-48C5-AC25-E7705EB9AC3E}"/>
    <cellStyle name="Comma 12 3 2 12 2 2" xfId="54529" xr:uid="{5BB4CFA3-C30F-48B5-8B1E-2778421390A4}"/>
    <cellStyle name="Comma 12 3 2 12 3" xfId="39409" xr:uid="{386431DB-4355-487F-B9FD-48668D498AE3}"/>
    <cellStyle name="Comma 12 3 2 13" xfId="15217" xr:uid="{9EABD58C-178B-4DAA-A503-CEB6B56B31B9}"/>
    <cellStyle name="Comma 12 3 2 13 2" xfId="45457" xr:uid="{780F4793-3BDA-400C-9D12-997065DAC71C}"/>
    <cellStyle name="Comma 12 3 2 14" xfId="30337" xr:uid="{5C7D5853-1859-4A84-BACD-914ADF95ADEA}"/>
    <cellStyle name="Comma 12 3 2 2" xfId="181" xr:uid="{A961F080-B19E-425E-9902-B90B7587D722}"/>
    <cellStyle name="Comma 12 3 2 2 10" xfId="9253" xr:uid="{27E723DC-7C2D-4A2D-B93E-27927C7B0853}"/>
    <cellStyle name="Comma 12 3 2 2 10 2" xfId="24373" xr:uid="{B6F0C49D-9258-4E2D-B102-0ACCC6407A82}"/>
    <cellStyle name="Comma 12 3 2 2 10 2 2" xfId="54613" xr:uid="{D45AFDBE-D812-4189-80BB-9C0BD16C354C}"/>
    <cellStyle name="Comma 12 3 2 2 10 3" xfId="39493" xr:uid="{293D8ADF-B48A-4844-A559-8180A4F6AF8B}"/>
    <cellStyle name="Comma 12 3 2 2 11" xfId="15301" xr:uid="{62270A80-2021-4966-98E8-72FB03647DC8}"/>
    <cellStyle name="Comma 12 3 2 2 11 2" xfId="45541" xr:uid="{476EC7CB-E56D-4FA1-8C40-264CAF308DB3}"/>
    <cellStyle name="Comma 12 3 2 2 12" xfId="30421" xr:uid="{00DBC9A3-B461-42FD-B278-16594CA16590}"/>
    <cellStyle name="Comma 12 3 2 2 2" xfId="433" xr:uid="{2186F009-D1BF-4942-B9BC-27FBD3A48334}"/>
    <cellStyle name="Comma 12 3 2 2 2 10" xfId="30673" xr:uid="{2E922B0D-2892-41E6-A14D-C05AFA5550F2}"/>
    <cellStyle name="Comma 12 3 2 2 2 2" xfId="1189" xr:uid="{36B595C0-D184-486F-A6E2-A4C536416AEF}"/>
    <cellStyle name="Comma 12 3 2 2 2 2 2" xfId="2701" xr:uid="{678E3E1B-4B74-4DEE-8FA6-E7AB3D2F6551}"/>
    <cellStyle name="Comma 12 3 2 2 2 2 2 2" xfId="11773" xr:uid="{3072E96A-5195-46D8-8FAB-A702DC774887}"/>
    <cellStyle name="Comma 12 3 2 2 2 2 2 2 2" xfId="26893" xr:uid="{1720DAF4-162C-487E-9DEC-3F2540CB8634}"/>
    <cellStyle name="Comma 12 3 2 2 2 2 2 2 2 2" xfId="57133" xr:uid="{141A165B-24D1-45A1-9268-4F80766737E5}"/>
    <cellStyle name="Comma 12 3 2 2 2 2 2 2 3" xfId="42013" xr:uid="{9BA653F9-F2D8-4774-9E06-E38C90C03A2B}"/>
    <cellStyle name="Comma 12 3 2 2 2 2 2 3" xfId="17821" xr:uid="{14674C16-C3AC-494C-9860-B374998A7657}"/>
    <cellStyle name="Comma 12 3 2 2 2 2 2 3 2" xfId="48061" xr:uid="{8C948491-8948-4E32-A42F-30D0BDBF8525}"/>
    <cellStyle name="Comma 12 3 2 2 2 2 2 4" xfId="32941" xr:uid="{06BD4724-089A-444F-96A5-01F9C1393356}"/>
    <cellStyle name="Comma 12 3 2 2 2 2 3" xfId="4213" xr:uid="{6F13E2CB-E75F-49AA-B8A0-DC9111FF0AB3}"/>
    <cellStyle name="Comma 12 3 2 2 2 2 3 2" xfId="13285" xr:uid="{5D081247-86CF-4203-8C8A-F367274EF2D4}"/>
    <cellStyle name="Comma 12 3 2 2 2 2 3 2 2" xfId="28405" xr:uid="{DA61B5D5-E035-4E75-AE68-5C0D86082888}"/>
    <cellStyle name="Comma 12 3 2 2 2 2 3 2 2 2" xfId="58645" xr:uid="{A064D08A-38F6-44FE-AC98-0DDDE3EED64C}"/>
    <cellStyle name="Comma 12 3 2 2 2 2 3 2 3" xfId="43525" xr:uid="{3F4E8C54-4A1E-4A91-9903-A0A5B04C0372}"/>
    <cellStyle name="Comma 12 3 2 2 2 2 3 3" xfId="19333" xr:uid="{ABD19F46-E2E7-4B25-BACF-0AC2F0291988}"/>
    <cellStyle name="Comma 12 3 2 2 2 2 3 3 2" xfId="49573" xr:uid="{BA17504B-CA0A-42F5-8948-2FC53C013FDB}"/>
    <cellStyle name="Comma 12 3 2 2 2 2 3 4" xfId="34453" xr:uid="{3B5DA9CC-476B-46E1-96A5-AF3BD1DEE669}"/>
    <cellStyle name="Comma 12 3 2 2 2 2 4" xfId="5725" xr:uid="{58096BE4-4AC0-422A-9BBC-716514096402}"/>
    <cellStyle name="Comma 12 3 2 2 2 2 4 2" xfId="14797" xr:uid="{5907A67C-2458-41EE-8BE1-730E522E9A58}"/>
    <cellStyle name="Comma 12 3 2 2 2 2 4 2 2" xfId="29917" xr:uid="{6C600C5E-F17A-4745-88F3-161C9803ED45}"/>
    <cellStyle name="Comma 12 3 2 2 2 2 4 2 2 2" xfId="60157" xr:uid="{07C0D3AB-C624-4656-8FD6-B6F5F3640140}"/>
    <cellStyle name="Comma 12 3 2 2 2 2 4 2 3" xfId="45037" xr:uid="{8FB4DD57-AF1E-40CC-A9AA-8C95FCBC531A}"/>
    <cellStyle name="Comma 12 3 2 2 2 2 4 3" xfId="20845" xr:uid="{FA69A851-5816-4331-A2F3-F8BCADA5D67E}"/>
    <cellStyle name="Comma 12 3 2 2 2 2 4 3 2" xfId="51085" xr:uid="{96CBB282-9FB3-43D3-A664-A58BCF1CAF53}"/>
    <cellStyle name="Comma 12 3 2 2 2 2 4 4" xfId="35965" xr:uid="{1F432508-56B6-4978-AC41-BE702CFBFC24}"/>
    <cellStyle name="Comma 12 3 2 2 2 2 5" xfId="7237" xr:uid="{B39690FF-B908-4394-AED7-2DE0FD2A17D9}"/>
    <cellStyle name="Comma 12 3 2 2 2 2 5 2" xfId="22357" xr:uid="{C8BEF810-C006-4A9D-88ED-B9CB504C75EA}"/>
    <cellStyle name="Comma 12 3 2 2 2 2 5 2 2" xfId="52597" xr:uid="{385E6808-C537-4E99-A9B8-C46A02147337}"/>
    <cellStyle name="Comma 12 3 2 2 2 2 5 3" xfId="37477" xr:uid="{C68C87E4-3A07-40B2-B47E-0C14B9074813}"/>
    <cellStyle name="Comma 12 3 2 2 2 2 6" xfId="8749" xr:uid="{5E985802-0150-4BE3-A9A5-4AD83A4640DA}"/>
    <cellStyle name="Comma 12 3 2 2 2 2 6 2" xfId="23869" xr:uid="{00DD25B1-B601-433A-92E6-A5EC3EB6148E}"/>
    <cellStyle name="Comma 12 3 2 2 2 2 6 2 2" xfId="54109" xr:uid="{996AD48B-B32E-419D-9C3D-AAB82909BE6B}"/>
    <cellStyle name="Comma 12 3 2 2 2 2 6 3" xfId="38989" xr:uid="{1125F979-9E86-4606-8FCA-DB5C50F2B189}"/>
    <cellStyle name="Comma 12 3 2 2 2 2 7" xfId="10261" xr:uid="{33B76535-48FC-4CF9-98A9-B6781389E86E}"/>
    <cellStyle name="Comma 12 3 2 2 2 2 7 2" xfId="25381" xr:uid="{F9E11F8D-2BE7-4058-A00D-C6456D750EB7}"/>
    <cellStyle name="Comma 12 3 2 2 2 2 7 2 2" xfId="55621" xr:uid="{45AF9AD9-745F-4689-A1AE-C55D75860300}"/>
    <cellStyle name="Comma 12 3 2 2 2 2 7 3" xfId="40501" xr:uid="{4BA92D61-85DC-499B-88C7-F96B0AE5A784}"/>
    <cellStyle name="Comma 12 3 2 2 2 2 8" xfId="16309" xr:uid="{CB082A34-3CD7-424A-8FAA-9A03F409289C}"/>
    <cellStyle name="Comma 12 3 2 2 2 2 8 2" xfId="46549" xr:uid="{474614F7-1399-4948-921D-046220A61112}"/>
    <cellStyle name="Comma 12 3 2 2 2 2 9" xfId="31429" xr:uid="{322D5C1A-C1F5-4342-B8E6-854106F5F105}"/>
    <cellStyle name="Comma 12 3 2 2 2 3" xfId="1945" xr:uid="{11A218FC-8BA2-4955-9F99-AF7FBC30E5E7}"/>
    <cellStyle name="Comma 12 3 2 2 2 3 2" xfId="11017" xr:uid="{4C77DF89-58AA-4239-8740-C2CA5892F7A1}"/>
    <cellStyle name="Comma 12 3 2 2 2 3 2 2" xfId="26137" xr:uid="{432624D4-9D67-4FE7-8132-F0304B3264EF}"/>
    <cellStyle name="Comma 12 3 2 2 2 3 2 2 2" xfId="56377" xr:uid="{ED22BF70-8E5B-4586-A4A5-85A7714D5CA5}"/>
    <cellStyle name="Comma 12 3 2 2 2 3 2 3" xfId="41257" xr:uid="{BEF8DCCD-8C33-4186-B652-358272579305}"/>
    <cellStyle name="Comma 12 3 2 2 2 3 3" xfId="17065" xr:uid="{4F61BE04-DA0D-4A46-B976-7832664997BF}"/>
    <cellStyle name="Comma 12 3 2 2 2 3 3 2" xfId="47305" xr:uid="{1A2014D9-56F0-474D-8D40-FC7CEC754929}"/>
    <cellStyle name="Comma 12 3 2 2 2 3 4" xfId="32185" xr:uid="{EF1B6D91-F335-474D-A755-45287443E0F4}"/>
    <cellStyle name="Comma 12 3 2 2 2 4" xfId="3457" xr:uid="{8339A77B-049C-49DA-A510-870C4B7468FC}"/>
    <cellStyle name="Comma 12 3 2 2 2 4 2" xfId="12529" xr:uid="{07AE0A0E-F4B2-4D15-BFAD-4B0B8F169DD2}"/>
    <cellStyle name="Comma 12 3 2 2 2 4 2 2" xfId="27649" xr:uid="{1DCEAB8D-5DB3-4555-A450-831D453DDF17}"/>
    <cellStyle name="Comma 12 3 2 2 2 4 2 2 2" xfId="57889" xr:uid="{B67459FE-DDE5-41B5-AB4B-A7D8541BC50F}"/>
    <cellStyle name="Comma 12 3 2 2 2 4 2 3" xfId="42769" xr:uid="{40EE2DBC-8D38-4C86-93C6-ADA02D1597A6}"/>
    <cellStyle name="Comma 12 3 2 2 2 4 3" xfId="18577" xr:uid="{C452443B-FEB0-4BAB-B710-0346006D9893}"/>
    <cellStyle name="Comma 12 3 2 2 2 4 3 2" xfId="48817" xr:uid="{4225C772-D420-454C-B75F-2D54A544A570}"/>
    <cellStyle name="Comma 12 3 2 2 2 4 4" xfId="33697" xr:uid="{E1EF3555-DF23-433F-B3CB-A3D47E036B10}"/>
    <cellStyle name="Comma 12 3 2 2 2 5" xfId="4969" xr:uid="{C7786154-E6CD-44CC-B408-81DA82314B49}"/>
    <cellStyle name="Comma 12 3 2 2 2 5 2" xfId="14041" xr:uid="{CF35CB0D-7E41-46BE-9F33-B24DCFDAA1FE}"/>
    <cellStyle name="Comma 12 3 2 2 2 5 2 2" xfId="29161" xr:uid="{14F2BEBD-1886-4EC3-9EED-CEE05014818D}"/>
    <cellStyle name="Comma 12 3 2 2 2 5 2 2 2" xfId="59401" xr:uid="{D2239E7A-9775-43BB-901E-DB8D8A7ACB17}"/>
    <cellStyle name="Comma 12 3 2 2 2 5 2 3" xfId="44281" xr:uid="{64C35D4C-984B-4F5D-A68F-9599EEA15EC9}"/>
    <cellStyle name="Comma 12 3 2 2 2 5 3" xfId="20089" xr:uid="{637DC40B-1854-4EFD-962C-AEBE10DC7A33}"/>
    <cellStyle name="Comma 12 3 2 2 2 5 3 2" xfId="50329" xr:uid="{04EE6D44-18F2-484C-A89F-2A16387DFFB2}"/>
    <cellStyle name="Comma 12 3 2 2 2 5 4" xfId="35209" xr:uid="{37CCDAEF-CDB9-4C3D-B46B-1B8EA71EAB81}"/>
    <cellStyle name="Comma 12 3 2 2 2 6" xfId="6481" xr:uid="{F3C4FD83-744B-407F-8495-B105642B189D}"/>
    <cellStyle name="Comma 12 3 2 2 2 6 2" xfId="21601" xr:uid="{2C3D2CD0-7D20-43A1-B67F-05C99B0579EC}"/>
    <cellStyle name="Comma 12 3 2 2 2 6 2 2" xfId="51841" xr:uid="{A927DCD6-BFE3-494E-B67B-1ED7A8896AC9}"/>
    <cellStyle name="Comma 12 3 2 2 2 6 3" xfId="36721" xr:uid="{FB225EFD-4722-432C-AE77-05EA5FFE8876}"/>
    <cellStyle name="Comma 12 3 2 2 2 7" xfId="7993" xr:uid="{D1A647C1-4B19-4F59-A05E-8F3F1A3E4942}"/>
    <cellStyle name="Comma 12 3 2 2 2 7 2" xfId="23113" xr:uid="{2F8C2195-121F-43CE-86F0-D4EC7DF3845A}"/>
    <cellStyle name="Comma 12 3 2 2 2 7 2 2" xfId="53353" xr:uid="{64798E03-B08F-4563-8577-05A46122987C}"/>
    <cellStyle name="Comma 12 3 2 2 2 7 3" xfId="38233" xr:uid="{B718CAEA-CC96-4132-8915-40F3A4727E41}"/>
    <cellStyle name="Comma 12 3 2 2 2 8" xfId="9505" xr:uid="{A3502773-33DE-4039-AFFB-A86B5389F7A7}"/>
    <cellStyle name="Comma 12 3 2 2 2 8 2" xfId="24625" xr:uid="{2C73293B-0BB2-4D78-A0C6-04827262F76D}"/>
    <cellStyle name="Comma 12 3 2 2 2 8 2 2" xfId="54865" xr:uid="{8F60E8D2-C399-4CEC-957E-60929DDAEAA0}"/>
    <cellStyle name="Comma 12 3 2 2 2 8 3" xfId="39745" xr:uid="{9449E19D-C69F-4A36-89F0-706FFCED8186}"/>
    <cellStyle name="Comma 12 3 2 2 2 9" xfId="15553" xr:uid="{2857FDEE-B0BE-4320-A633-9FCE79200D1B}"/>
    <cellStyle name="Comma 12 3 2 2 2 9 2" xfId="45793" xr:uid="{601854B2-0F24-4FE4-81A7-E449B1E10057}"/>
    <cellStyle name="Comma 12 3 2 2 3" xfId="685" xr:uid="{5EA43856-29DE-4A18-830C-9899976DB2A8}"/>
    <cellStyle name="Comma 12 3 2 2 3 10" xfId="30925" xr:uid="{61241FF9-BCC0-4287-AC6F-7B007EC5D3F1}"/>
    <cellStyle name="Comma 12 3 2 2 3 2" xfId="1441" xr:uid="{867ADD84-6D60-4333-AA73-4A217ABB6D68}"/>
    <cellStyle name="Comma 12 3 2 2 3 2 2" xfId="2953" xr:uid="{BE9691DA-1ABE-426E-8E13-2C094661DCF6}"/>
    <cellStyle name="Comma 12 3 2 2 3 2 2 2" xfId="12025" xr:uid="{185182B8-4AFF-43D7-82BC-E93FC8820D41}"/>
    <cellStyle name="Comma 12 3 2 2 3 2 2 2 2" xfId="27145" xr:uid="{B3FCA02A-4698-443D-8C23-408B238AF0D4}"/>
    <cellStyle name="Comma 12 3 2 2 3 2 2 2 2 2" xfId="57385" xr:uid="{9E3CE4FB-A469-4EFF-A604-3DE7D7899E4D}"/>
    <cellStyle name="Comma 12 3 2 2 3 2 2 2 3" xfId="42265" xr:uid="{6B79077F-2982-49FE-B2A6-F3BC3F2683E9}"/>
    <cellStyle name="Comma 12 3 2 2 3 2 2 3" xfId="18073" xr:uid="{8CBC6F49-67BA-4689-98B8-934B5A5C0AD3}"/>
    <cellStyle name="Comma 12 3 2 2 3 2 2 3 2" xfId="48313" xr:uid="{37B543EE-A8B9-4FEC-8AEC-47026D3F7FB4}"/>
    <cellStyle name="Comma 12 3 2 2 3 2 2 4" xfId="33193" xr:uid="{ACDB605C-372C-48A9-B9D6-59E40E9EB9C2}"/>
    <cellStyle name="Comma 12 3 2 2 3 2 3" xfId="4465" xr:uid="{CEACF856-FB2B-48AF-801D-F51997A020D1}"/>
    <cellStyle name="Comma 12 3 2 2 3 2 3 2" xfId="13537" xr:uid="{B4FFB21A-0C11-4D48-A166-E9C2E16E151E}"/>
    <cellStyle name="Comma 12 3 2 2 3 2 3 2 2" xfId="28657" xr:uid="{7953D45C-2993-42D7-9326-F05BFCF9328B}"/>
    <cellStyle name="Comma 12 3 2 2 3 2 3 2 2 2" xfId="58897" xr:uid="{8C0099EF-1BED-4887-A9E0-551A11DA5372}"/>
    <cellStyle name="Comma 12 3 2 2 3 2 3 2 3" xfId="43777" xr:uid="{CFA672B4-588E-45BA-9026-D04617D1721E}"/>
    <cellStyle name="Comma 12 3 2 2 3 2 3 3" xfId="19585" xr:uid="{A9FC7E1E-2638-4C91-9483-95FD4983FE06}"/>
    <cellStyle name="Comma 12 3 2 2 3 2 3 3 2" xfId="49825" xr:uid="{92A990FF-B467-4B4F-9A7D-800B1416A4DC}"/>
    <cellStyle name="Comma 12 3 2 2 3 2 3 4" xfId="34705" xr:uid="{4F72B9E4-4BCD-42AC-A39C-E5ED58D12DF6}"/>
    <cellStyle name="Comma 12 3 2 2 3 2 4" xfId="5977" xr:uid="{A42642A2-BA1E-41FE-B3DA-1118E1797E65}"/>
    <cellStyle name="Comma 12 3 2 2 3 2 4 2" xfId="15049" xr:uid="{D4F7A047-42B5-4CFF-B0D5-34C9A4D2D43A}"/>
    <cellStyle name="Comma 12 3 2 2 3 2 4 2 2" xfId="30169" xr:uid="{F0721C88-31B6-4666-886C-B97352B9DAB3}"/>
    <cellStyle name="Comma 12 3 2 2 3 2 4 2 2 2" xfId="60409" xr:uid="{5C230A80-594D-43A4-AA32-CE491488EDFD}"/>
    <cellStyle name="Comma 12 3 2 2 3 2 4 2 3" xfId="45289" xr:uid="{B7F6B376-EC33-4DC0-B32B-923255C8CCFB}"/>
    <cellStyle name="Comma 12 3 2 2 3 2 4 3" xfId="21097" xr:uid="{AD59F200-C0DD-4B62-B3A4-610B4338CE04}"/>
    <cellStyle name="Comma 12 3 2 2 3 2 4 3 2" xfId="51337" xr:uid="{8E405884-0893-4AD6-BA37-DD5BD7440CC2}"/>
    <cellStyle name="Comma 12 3 2 2 3 2 4 4" xfId="36217" xr:uid="{3D861F6B-D1B2-4F63-9447-9B49C46E8592}"/>
    <cellStyle name="Comma 12 3 2 2 3 2 5" xfId="7489" xr:uid="{3368B8DE-1AF5-4A3D-8400-C40C4B0C7947}"/>
    <cellStyle name="Comma 12 3 2 2 3 2 5 2" xfId="22609" xr:uid="{7FC4C69C-4E62-40A3-8BCB-E6D3BC43B737}"/>
    <cellStyle name="Comma 12 3 2 2 3 2 5 2 2" xfId="52849" xr:uid="{E481EBDA-9A94-4557-B7BC-DB83C2A55714}"/>
    <cellStyle name="Comma 12 3 2 2 3 2 5 3" xfId="37729" xr:uid="{E91E9C2A-0CBF-4368-817D-26757CEC93C3}"/>
    <cellStyle name="Comma 12 3 2 2 3 2 6" xfId="9001" xr:uid="{EA520629-46EC-47E5-8E65-9F7885132EEC}"/>
    <cellStyle name="Comma 12 3 2 2 3 2 6 2" xfId="24121" xr:uid="{1D346BD4-CCD9-450C-8B83-03AB99850C73}"/>
    <cellStyle name="Comma 12 3 2 2 3 2 6 2 2" xfId="54361" xr:uid="{74349107-7647-45B9-8936-407D9D9B3324}"/>
    <cellStyle name="Comma 12 3 2 2 3 2 6 3" xfId="39241" xr:uid="{9A495B6F-0390-4955-B0B5-AEA36DFF53AA}"/>
    <cellStyle name="Comma 12 3 2 2 3 2 7" xfId="10513" xr:uid="{1BD87833-38B3-4926-B739-0BBB54E82CB9}"/>
    <cellStyle name="Comma 12 3 2 2 3 2 7 2" xfId="25633" xr:uid="{392BE057-57D4-4C3C-A6BD-DD0D12ACA4FB}"/>
    <cellStyle name="Comma 12 3 2 2 3 2 7 2 2" xfId="55873" xr:uid="{892B582A-A9B4-4112-9913-B503A9430A05}"/>
    <cellStyle name="Comma 12 3 2 2 3 2 7 3" xfId="40753" xr:uid="{A788D48B-5B6C-43F6-9A70-86598712BF16}"/>
    <cellStyle name="Comma 12 3 2 2 3 2 8" xfId="16561" xr:uid="{0DB6A676-EACD-4123-9CBE-098AADC2CA88}"/>
    <cellStyle name="Comma 12 3 2 2 3 2 8 2" xfId="46801" xr:uid="{0403B0E4-D425-4221-8896-2D0615F327F3}"/>
    <cellStyle name="Comma 12 3 2 2 3 2 9" xfId="31681" xr:uid="{54E4C0DD-0DCA-44DD-81FB-2199A7B92ABF}"/>
    <cellStyle name="Comma 12 3 2 2 3 3" xfId="2197" xr:uid="{907C05AF-EC2D-48AE-AC5C-BCDDC571E3C7}"/>
    <cellStyle name="Comma 12 3 2 2 3 3 2" xfId="11269" xr:uid="{02251683-8E8D-485D-AD5A-1A56CD7685DB}"/>
    <cellStyle name="Comma 12 3 2 2 3 3 2 2" xfId="26389" xr:uid="{9E8F3484-43D7-449A-959B-C22DCB93ACD8}"/>
    <cellStyle name="Comma 12 3 2 2 3 3 2 2 2" xfId="56629" xr:uid="{7352AA52-B5AE-4A8E-A35B-FEECC6A803E5}"/>
    <cellStyle name="Comma 12 3 2 2 3 3 2 3" xfId="41509" xr:uid="{9798B45A-30C5-4B93-942A-18132F0EED8C}"/>
    <cellStyle name="Comma 12 3 2 2 3 3 3" xfId="17317" xr:uid="{245DDAFC-B3B8-4495-BF91-3D9DE74B5F87}"/>
    <cellStyle name="Comma 12 3 2 2 3 3 3 2" xfId="47557" xr:uid="{8E7AA3C5-C887-48F7-A6E2-9740F7414E46}"/>
    <cellStyle name="Comma 12 3 2 2 3 3 4" xfId="32437" xr:uid="{93542C6C-695B-4603-B075-81D50B4EA975}"/>
    <cellStyle name="Comma 12 3 2 2 3 4" xfId="3709" xr:uid="{F820F3BF-99D0-4EB1-8D88-D68125E9A33C}"/>
    <cellStyle name="Comma 12 3 2 2 3 4 2" xfId="12781" xr:uid="{D7A3BB49-643D-4FA2-8A8E-A6717AEB41E0}"/>
    <cellStyle name="Comma 12 3 2 2 3 4 2 2" xfId="27901" xr:uid="{8715B0E5-4221-4F03-8F46-DC7464702608}"/>
    <cellStyle name="Comma 12 3 2 2 3 4 2 2 2" xfId="58141" xr:uid="{7019565F-D577-42F7-B0F8-71FC4BC00B48}"/>
    <cellStyle name="Comma 12 3 2 2 3 4 2 3" xfId="43021" xr:uid="{EE3B4CEC-B06D-4174-A90F-6DA90CB7E7BA}"/>
    <cellStyle name="Comma 12 3 2 2 3 4 3" xfId="18829" xr:uid="{D1358EC7-7D10-4B78-BC20-216A54D4F0C5}"/>
    <cellStyle name="Comma 12 3 2 2 3 4 3 2" xfId="49069" xr:uid="{DFCC744D-37C1-4460-8798-0BB6F62F76D2}"/>
    <cellStyle name="Comma 12 3 2 2 3 4 4" xfId="33949" xr:uid="{72440EDA-1D22-438A-B15B-75D0DF12F36B}"/>
    <cellStyle name="Comma 12 3 2 2 3 5" xfId="5221" xr:uid="{674B95D5-D235-42A3-9486-F11B4E4FF681}"/>
    <cellStyle name="Comma 12 3 2 2 3 5 2" xfId="14293" xr:uid="{9BA92101-0601-4A5B-8D60-4FC432FC6FD5}"/>
    <cellStyle name="Comma 12 3 2 2 3 5 2 2" xfId="29413" xr:uid="{C5A0F150-540C-4855-A7F4-409495A0E19E}"/>
    <cellStyle name="Comma 12 3 2 2 3 5 2 2 2" xfId="59653" xr:uid="{478B8168-2B27-4591-83CD-5DA62DF113A1}"/>
    <cellStyle name="Comma 12 3 2 2 3 5 2 3" xfId="44533" xr:uid="{70981445-9EE7-4117-B2BB-1A3ABD326F06}"/>
    <cellStyle name="Comma 12 3 2 2 3 5 3" xfId="20341" xr:uid="{E38FFA85-81F4-44AA-82A6-0CD668202BA0}"/>
    <cellStyle name="Comma 12 3 2 2 3 5 3 2" xfId="50581" xr:uid="{C2D0DDA3-3209-4C0C-96E1-7E98BA8B1D46}"/>
    <cellStyle name="Comma 12 3 2 2 3 5 4" xfId="35461" xr:uid="{F3F12303-9A56-4C3F-97C5-C002F8D927A1}"/>
    <cellStyle name="Comma 12 3 2 2 3 6" xfId="6733" xr:uid="{AC91339F-3098-4D8C-8135-D364FCFC12A3}"/>
    <cellStyle name="Comma 12 3 2 2 3 6 2" xfId="21853" xr:uid="{3AF5CD35-21FF-4035-B85D-AA15D305322A}"/>
    <cellStyle name="Comma 12 3 2 2 3 6 2 2" xfId="52093" xr:uid="{BA902FC8-7813-4028-BC0B-0EF4226501C5}"/>
    <cellStyle name="Comma 12 3 2 2 3 6 3" xfId="36973" xr:uid="{224CE741-71FB-48CB-A593-B8C75C652A29}"/>
    <cellStyle name="Comma 12 3 2 2 3 7" xfId="8245" xr:uid="{0F40464D-3066-4BE6-9C6F-A29C878203C0}"/>
    <cellStyle name="Comma 12 3 2 2 3 7 2" xfId="23365" xr:uid="{16B5D687-A482-4059-A8CA-368246B40990}"/>
    <cellStyle name="Comma 12 3 2 2 3 7 2 2" xfId="53605" xr:uid="{28E6E113-BC01-4F62-A436-66E152A7F53B}"/>
    <cellStyle name="Comma 12 3 2 2 3 7 3" xfId="38485" xr:uid="{2FD219CF-92E6-4871-8CF8-08EFDA3AF6BA}"/>
    <cellStyle name="Comma 12 3 2 2 3 8" xfId="9757" xr:uid="{3C78B242-5D96-4114-8510-5AEE021A850F}"/>
    <cellStyle name="Comma 12 3 2 2 3 8 2" xfId="24877" xr:uid="{00836D5E-287A-4B4A-B763-E8DEC5DBCF7D}"/>
    <cellStyle name="Comma 12 3 2 2 3 8 2 2" xfId="55117" xr:uid="{6AA90A6B-5CC9-4173-8C2E-0F0CDD056E03}"/>
    <cellStyle name="Comma 12 3 2 2 3 8 3" xfId="39997" xr:uid="{8B236525-1BDF-4162-BE18-CEC8E1EEEC91}"/>
    <cellStyle name="Comma 12 3 2 2 3 9" xfId="15805" xr:uid="{23DFD416-48FF-4D09-9EDD-F0CD42569D6C}"/>
    <cellStyle name="Comma 12 3 2 2 3 9 2" xfId="46045" xr:uid="{AFDEA454-F09E-45E9-A0DA-488F8E1755AF}"/>
    <cellStyle name="Comma 12 3 2 2 4" xfId="937" xr:uid="{1EBA53D7-DEAC-43BB-850F-BA7711277124}"/>
    <cellStyle name="Comma 12 3 2 2 4 2" xfId="2449" xr:uid="{4957FA4F-7CBF-431C-9C15-4628A4229740}"/>
    <cellStyle name="Comma 12 3 2 2 4 2 2" xfId="11521" xr:uid="{8802B99F-5CD2-4D6F-B8E6-9AB7DB93B065}"/>
    <cellStyle name="Comma 12 3 2 2 4 2 2 2" xfId="26641" xr:uid="{B6FA154C-F218-4B76-893D-0AA4040B78EA}"/>
    <cellStyle name="Comma 12 3 2 2 4 2 2 2 2" xfId="56881" xr:uid="{00823B4A-3899-46B9-B388-B41217342B34}"/>
    <cellStyle name="Comma 12 3 2 2 4 2 2 3" xfId="41761" xr:uid="{E734FC04-58B6-4611-A552-6B687A5CE621}"/>
    <cellStyle name="Comma 12 3 2 2 4 2 3" xfId="17569" xr:uid="{5C729BBC-9EB6-4DED-83A1-347BF026D6B9}"/>
    <cellStyle name="Comma 12 3 2 2 4 2 3 2" xfId="47809" xr:uid="{70B1F22D-8360-41D5-B223-FCBFAC1A1277}"/>
    <cellStyle name="Comma 12 3 2 2 4 2 4" xfId="32689" xr:uid="{573E0D68-F686-4E9C-9270-47B6E8F176A1}"/>
    <cellStyle name="Comma 12 3 2 2 4 3" xfId="3961" xr:uid="{4CE798F3-FA0B-47B9-9DAA-7F044FE8BFD5}"/>
    <cellStyle name="Comma 12 3 2 2 4 3 2" xfId="13033" xr:uid="{5EEB2A59-FA38-4584-ACB4-F7A5B49A3C0B}"/>
    <cellStyle name="Comma 12 3 2 2 4 3 2 2" xfId="28153" xr:uid="{7DE29A20-AAB5-4A58-BB84-432A918F420B}"/>
    <cellStyle name="Comma 12 3 2 2 4 3 2 2 2" xfId="58393" xr:uid="{76BAAA3C-B541-4303-8A6A-7CBFA4B024F6}"/>
    <cellStyle name="Comma 12 3 2 2 4 3 2 3" xfId="43273" xr:uid="{FB4B5FC1-DCEF-450D-9AD5-CA3624E30AEA}"/>
    <cellStyle name="Comma 12 3 2 2 4 3 3" xfId="19081" xr:uid="{8BEC8C80-4B0C-4EBA-A73B-DAC8064EACAB}"/>
    <cellStyle name="Comma 12 3 2 2 4 3 3 2" xfId="49321" xr:uid="{8CA6C6EE-22D2-4279-BBE4-BE08A59EB6AE}"/>
    <cellStyle name="Comma 12 3 2 2 4 3 4" xfId="34201" xr:uid="{0A077AC8-681F-4398-89ED-0ABA1B06BB93}"/>
    <cellStyle name="Comma 12 3 2 2 4 4" xfId="5473" xr:uid="{9FE95BDA-3C0E-49E3-AFD7-23BF01739DA0}"/>
    <cellStyle name="Comma 12 3 2 2 4 4 2" xfId="14545" xr:uid="{DF0EFB50-D5C9-4287-A05A-C28FCFAB4318}"/>
    <cellStyle name="Comma 12 3 2 2 4 4 2 2" xfId="29665" xr:uid="{66F8F2EA-4E7C-4EED-B13C-210402977D2F}"/>
    <cellStyle name="Comma 12 3 2 2 4 4 2 2 2" xfId="59905" xr:uid="{0741E524-1B33-45C9-A5FA-C39CDE749863}"/>
    <cellStyle name="Comma 12 3 2 2 4 4 2 3" xfId="44785" xr:uid="{0C0B7240-BADC-42EF-9528-2F5FD29B8078}"/>
    <cellStyle name="Comma 12 3 2 2 4 4 3" xfId="20593" xr:uid="{9B9CF1B9-FCB6-43AE-ACAC-50907C8E0606}"/>
    <cellStyle name="Comma 12 3 2 2 4 4 3 2" xfId="50833" xr:uid="{85620B34-A370-4659-A1C1-E5DCDE600BF5}"/>
    <cellStyle name="Comma 12 3 2 2 4 4 4" xfId="35713" xr:uid="{28664A73-7B2E-4C46-8521-992773F0AFE7}"/>
    <cellStyle name="Comma 12 3 2 2 4 5" xfId="6985" xr:uid="{CE0CAB9A-0DC4-4EDD-8E4F-D9D9C8A119E3}"/>
    <cellStyle name="Comma 12 3 2 2 4 5 2" xfId="22105" xr:uid="{F4125909-4A9A-4C7C-AC04-AE6EC3AE6489}"/>
    <cellStyle name="Comma 12 3 2 2 4 5 2 2" xfId="52345" xr:uid="{632AE609-045C-4C54-AE84-4D089B197DD6}"/>
    <cellStyle name="Comma 12 3 2 2 4 5 3" xfId="37225" xr:uid="{0D8829AD-2F96-4565-A150-46F277AC2BBE}"/>
    <cellStyle name="Comma 12 3 2 2 4 6" xfId="8497" xr:uid="{41E53C63-F10B-4434-AED6-F0ADB6BD5F2A}"/>
    <cellStyle name="Comma 12 3 2 2 4 6 2" xfId="23617" xr:uid="{E58532DF-7C4C-4A30-A9FC-0A6F7CAEFD7A}"/>
    <cellStyle name="Comma 12 3 2 2 4 6 2 2" xfId="53857" xr:uid="{62156285-5524-417A-9BC8-AC6E89BDBC7A}"/>
    <cellStyle name="Comma 12 3 2 2 4 6 3" xfId="38737" xr:uid="{93928FE7-158A-417D-AC89-61F78F8D1F5E}"/>
    <cellStyle name="Comma 12 3 2 2 4 7" xfId="10009" xr:uid="{247432E8-B0C2-4151-A15A-3DEB4C22C7C6}"/>
    <cellStyle name="Comma 12 3 2 2 4 7 2" xfId="25129" xr:uid="{1558BF6D-486F-4811-AB1C-B2F5D743A6C3}"/>
    <cellStyle name="Comma 12 3 2 2 4 7 2 2" xfId="55369" xr:uid="{6616AEEB-9982-46F0-A725-57553DC85B9D}"/>
    <cellStyle name="Comma 12 3 2 2 4 7 3" xfId="40249" xr:uid="{6B0CEAD1-EA9C-4DB1-B56C-3CB9D569EF76}"/>
    <cellStyle name="Comma 12 3 2 2 4 8" xfId="16057" xr:uid="{37E9DE53-2E82-42AF-8885-547D0DD010B7}"/>
    <cellStyle name="Comma 12 3 2 2 4 8 2" xfId="46297" xr:uid="{6EDBB6A0-FA68-454F-A8D7-7BEB5B50F1BD}"/>
    <cellStyle name="Comma 12 3 2 2 4 9" xfId="31177" xr:uid="{BEDDE72D-63F5-4CD8-80BD-F9F5B9D9CA9B}"/>
    <cellStyle name="Comma 12 3 2 2 5" xfId="1693" xr:uid="{7F8CBCC9-A592-4687-B3FA-06C393AF9511}"/>
    <cellStyle name="Comma 12 3 2 2 5 2" xfId="10765" xr:uid="{6581C44F-BE20-4966-BCD1-F842A32799C1}"/>
    <cellStyle name="Comma 12 3 2 2 5 2 2" xfId="25885" xr:uid="{E97AD2D2-9E58-421C-BDDD-3104C79FB535}"/>
    <cellStyle name="Comma 12 3 2 2 5 2 2 2" xfId="56125" xr:uid="{24ECD0EB-DE5E-4FFA-A8B2-302C97ADAD41}"/>
    <cellStyle name="Comma 12 3 2 2 5 2 3" xfId="41005" xr:uid="{E0681538-AAB5-46E0-9B17-4B74CFE28EF5}"/>
    <cellStyle name="Comma 12 3 2 2 5 3" xfId="16813" xr:uid="{6ED68F32-EB99-476B-9FAA-94263FCFB9E3}"/>
    <cellStyle name="Comma 12 3 2 2 5 3 2" xfId="47053" xr:uid="{99A6F7E7-5990-4589-A5F5-DC592330D448}"/>
    <cellStyle name="Comma 12 3 2 2 5 4" xfId="31933" xr:uid="{C62F63B9-337C-4564-9D3F-1DE53B36EDF9}"/>
    <cellStyle name="Comma 12 3 2 2 6" xfId="3205" xr:uid="{368F8A1F-BFD1-4821-A3D6-0F9B33E9DD1E}"/>
    <cellStyle name="Comma 12 3 2 2 6 2" xfId="12277" xr:uid="{4CECDBB1-4F9E-48BE-8E81-A42828E8B74B}"/>
    <cellStyle name="Comma 12 3 2 2 6 2 2" xfId="27397" xr:uid="{2FC5F5DE-08B3-4C24-AE03-134AF9DAB022}"/>
    <cellStyle name="Comma 12 3 2 2 6 2 2 2" xfId="57637" xr:uid="{2B9E5619-D108-4526-944D-C0814FE2F840}"/>
    <cellStyle name="Comma 12 3 2 2 6 2 3" xfId="42517" xr:uid="{7F1F735A-7F43-443B-84E2-86C067DF7B86}"/>
    <cellStyle name="Comma 12 3 2 2 6 3" xfId="18325" xr:uid="{7E9959B1-93B0-42FD-95BA-A7D75A9CDA01}"/>
    <cellStyle name="Comma 12 3 2 2 6 3 2" xfId="48565" xr:uid="{7F5E0A6D-5B41-4675-A79B-CA5D206CA484}"/>
    <cellStyle name="Comma 12 3 2 2 6 4" xfId="33445" xr:uid="{5A2B64A6-54CE-4F24-A944-FC1FD5DBB5C0}"/>
    <cellStyle name="Comma 12 3 2 2 7" xfId="4717" xr:uid="{C524DD29-4E83-4339-96D1-643F6757D0AC}"/>
    <cellStyle name="Comma 12 3 2 2 7 2" xfId="13789" xr:uid="{387A817A-57AB-49C5-8279-F584E3C4FA3C}"/>
    <cellStyle name="Comma 12 3 2 2 7 2 2" xfId="28909" xr:uid="{2B4C63AE-D367-4BFC-A9E1-596C55660CC1}"/>
    <cellStyle name="Comma 12 3 2 2 7 2 2 2" xfId="59149" xr:uid="{5C457D37-EF64-43AF-983B-6FA5B3805D1E}"/>
    <cellStyle name="Comma 12 3 2 2 7 2 3" xfId="44029" xr:uid="{FF3ECF75-943C-4564-92D8-2D1F477EBF6D}"/>
    <cellStyle name="Comma 12 3 2 2 7 3" xfId="19837" xr:uid="{9A2D8C64-C0DE-421E-8766-8295F5C30D65}"/>
    <cellStyle name="Comma 12 3 2 2 7 3 2" xfId="50077" xr:uid="{2142CB9D-4B31-4637-84EA-1E2F0E56D7AE}"/>
    <cellStyle name="Comma 12 3 2 2 7 4" xfId="34957" xr:uid="{7CB8FD61-D731-42A2-9072-D41E06523DF5}"/>
    <cellStyle name="Comma 12 3 2 2 8" xfId="6229" xr:uid="{AA010E74-2B55-4CF2-8BA8-D9F3320CA592}"/>
    <cellStyle name="Comma 12 3 2 2 8 2" xfId="21349" xr:uid="{03B49D55-E3CE-4696-857C-8F10E21EE1D9}"/>
    <cellStyle name="Comma 12 3 2 2 8 2 2" xfId="51589" xr:uid="{CC941398-932E-4D75-A1C1-BB86B8A90A4E}"/>
    <cellStyle name="Comma 12 3 2 2 8 3" xfId="36469" xr:uid="{05E1868E-BE2C-4693-BCE6-87011A4F5E42}"/>
    <cellStyle name="Comma 12 3 2 2 9" xfId="7741" xr:uid="{E465E776-BC90-4B81-8E28-C8FDF8C36C62}"/>
    <cellStyle name="Comma 12 3 2 2 9 2" xfId="22861" xr:uid="{35927457-D501-4A98-812E-E43BB99B2020}"/>
    <cellStyle name="Comma 12 3 2 2 9 2 2" xfId="53101" xr:uid="{08ED8A66-503D-48BF-95F1-229BE15ED070}"/>
    <cellStyle name="Comma 12 3 2 2 9 3" xfId="37981" xr:uid="{69CF32D6-3EB0-424A-8D70-7F0C23CEB81E}"/>
    <cellStyle name="Comma 12 3 2 3" xfId="265" xr:uid="{563EAB3D-B9C1-4A4F-B557-F2BA328E248E}"/>
    <cellStyle name="Comma 12 3 2 3 10" xfId="9337" xr:uid="{259B5477-881A-44D8-BFA9-046DC8F5F50D}"/>
    <cellStyle name="Comma 12 3 2 3 10 2" xfId="24457" xr:uid="{AEC1AE45-1F6F-4114-99B5-A1BF5C70E345}"/>
    <cellStyle name="Comma 12 3 2 3 10 2 2" xfId="54697" xr:uid="{1F43CEE9-1737-4477-8573-16DC8A64026D}"/>
    <cellStyle name="Comma 12 3 2 3 10 3" xfId="39577" xr:uid="{3C01DF3F-0847-435F-9DEC-80C55B9352CF}"/>
    <cellStyle name="Comma 12 3 2 3 11" xfId="15385" xr:uid="{205B9DCE-27F7-4D01-AFD7-8FB6D716F40A}"/>
    <cellStyle name="Comma 12 3 2 3 11 2" xfId="45625" xr:uid="{D4BB065F-4EBB-4907-BDC7-923246AA7531}"/>
    <cellStyle name="Comma 12 3 2 3 12" xfId="30505" xr:uid="{C0E5E757-2394-4A62-8D04-C0307BE08935}"/>
    <cellStyle name="Comma 12 3 2 3 2" xfId="517" xr:uid="{F392C66E-50E5-4807-8D96-C046E8ABC880}"/>
    <cellStyle name="Comma 12 3 2 3 2 10" xfId="30757" xr:uid="{E8AFBF39-B700-42FD-86D0-3B1232CA3AA4}"/>
    <cellStyle name="Comma 12 3 2 3 2 2" xfId="1273" xr:uid="{3DD90DB2-5DAE-4F3C-B04A-62226904929A}"/>
    <cellStyle name="Comma 12 3 2 3 2 2 2" xfId="2785" xr:uid="{E51D3B91-3514-42A3-B0C3-7B56038804AF}"/>
    <cellStyle name="Comma 12 3 2 3 2 2 2 2" xfId="11857" xr:uid="{2699CF6D-8A11-46F3-8613-63D3D4E863F3}"/>
    <cellStyle name="Comma 12 3 2 3 2 2 2 2 2" xfId="26977" xr:uid="{E67C55B7-5869-4F81-8B52-1DD5E1E8475F}"/>
    <cellStyle name="Comma 12 3 2 3 2 2 2 2 2 2" xfId="57217" xr:uid="{8C6C4CB2-7359-40F8-B419-7C022D3DACC8}"/>
    <cellStyle name="Comma 12 3 2 3 2 2 2 2 3" xfId="42097" xr:uid="{D6AAEA0F-684E-4E8D-8963-AD8A79AAB60D}"/>
    <cellStyle name="Comma 12 3 2 3 2 2 2 3" xfId="17905" xr:uid="{4AD2226D-F413-4CA7-8A4E-0A246C8A39CB}"/>
    <cellStyle name="Comma 12 3 2 3 2 2 2 3 2" xfId="48145" xr:uid="{2447470C-CBE5-4484-92E7-59DC84837199}"/>
    <cellStyle name="Comma 12 3 2 3 2 2 2 4" xfId="33025" xr:uid="{2BC11E2F-EBBA-42C6-8D66-391D7D38509B}"/>
    <cellStyle name="Comma 12 3 2 3 2 2 3" xfId="4297" xr:uid="{60B559FD-D6D2-4367-B2A6-8080DF931B56}"/>
    <cellStyle name="Comma 12 3 2 3 2 2 3 2" xfId="13369" xr:uid="{113B2DF0-0462-47BE-A75E-C7694FC98FD2}"/>
    <cellStyle name="Comma 12 3 2 3 2 2 3 2 2" xfId="28489" xr:uid="{FB953BE9-1142-4EAC-8002-D6244258144F}"/>
    <cellStyle name="Comma 12 3 2 3 2 2 3 2 2 2" xfId="58729" xr:uid="{D0F8E12C-F447-44A7-B1E6-73599653D218}"/>
    <cellStyle name="Comma 12 3 2 3 2 2 3 2 3" xfId="43609" xr:uid="{C67B05BC-3201-46A0-B737-1B76B3F25776}"/>
    <cellStyle name="Comma 12 3 2 3 2 2 3 3" xfId="19417" xr:uid="{82312BA2-E4B4-42AC-BE7F-66F5391512A5}"/>
    <cellStyle name="Comma 12 3 2 3 2 2 3 3 2" xfId="49657" xr:uid="{D255EFF3-9818-432D-AE75-E811A456E7B0}"/>
    <cellStyle name="Comma 12 3 2 3 2 2 3 4" xfId="34537" xr:uid="{81A4B9FD-523F-4E8D-9B91-84AD3D9CD3C3}"/>
    <cellStyle name="Comma 12 3 2 3 2 2 4" xfId="5809" xr:uid="{CFBF498C-31BC-4E2A-83C1-3101D6F02495}"/>
    <cellStyle name="Comma 12 3 2 3 2 2 4 2" xfId="14881" xr:uid="{D5D350DF-7294-44FC-9C9D-DFB02CC13029}"/>
    <cellStyle name="Comma 12 3 2 3 2 2 4 2 2" xfId="30001" xr:uid="{161971AF-E0C0-499D-865E-362D37C3FAFE}"/>
    <cellStyle name="Comma 12 3 2 3 2 2 4 2 2 2" xfId="60241" xr:uid="{3EA755FB-65D4-4F06-8740-28E5E7DA8328}"/>
    <cellStyle name="Comma 12 3 2 3 2 2 4 2 3" xfId="45121" xr:uid="{608DB215-8923-40ED-9FFA-9D713B933767}"/>
    <cellStyle name="Comma 12 3 2 3 2 2 4 3" xfId="20929" xr:uid="{C5C9B110-165A-4B9E-9D52-9B18EAAF6F88}"/>
    <cellStyle name="Comma 12 3 2 3 2 2 4 3 2" xfId="51169" xr:uid="{9ADF5ED2-FC7F-4A8D-80AB-487E7541E103}"/>
    <cellStyle name="Comma 12 3 2 3 2 2 4 4" xfId="36049" xr:uid="{92893D2E-DD7C-49AC-910F-D3B7C082455D}"/>
    <cellStyle name="Comma 12 3 2 3 2 2 5" xfId="7321" xr:uid="{6377FB45-5620-4ABD-A8A1-40CAEBA510E9}"/>
    <cellStyle name="Comma 12 3 2 3 2 2 5 2" xfId="22441" xr:uid="{26DB8C09-7FB3-420C-9C59-98A85215A460}"/>
    <cellStyle name="Comma 12 3 2 3 2 2 5 2 2" xfId="52681" xr:uid="{513FCC8C-B25A-42C5-AD6C-BBADB35763CE}"/>
    <cellStyle name="Comma 12 3 2 3 2 2 5 3" xfId="37561" xr:uid="{E4F9D15F-6AFA-4E1B-8C91-340E34858A5C}"/>
    <cellStyle name="Comma 12 3 2 3 2 2 6" xfId="8833" xr:uid="{20EE0ED7-4B0E-4884-AE05-335B250472CD}"/>
    <cellStyle name="Comma 12 3 2 3 2 2 6 2" xfId="23953" xr:uid="{FC1D6403-1043-4F1C-A5D8-D114CFB2E798}"/>
    <cellStyle name="Comma 12 3 2 3 2 2 6 2 2" xfId="54193" xr:uid="{85B8E6FD-CEC6-4B47-942C-3ECB2C09913E}"/>
    <cellStyle name="Comma 12 3 2 3 2 2 6 3" xfId="39073" xr:uid="{B3E458AA-7AED-49E8-B5C2-022804D8880E}"/>
    <cellStyle name="Comma 12 3 2 3 2 2 7" xfId="10345" xr:uid="{B645FBC4-35FA-4489-B601-48DF7A1CCEAE}"/>
    <cellStyle name="Comma 12 3 2 3 2 2 7 2" xfId="25465" xr:uid="{0FEB64EA-461C-4460-AFFA-D2D05BDEC572}"/>
    <cellStyle name="Comma 12 3 2 3 2 2 7 2 2" xfId="55705" xr:uid="{3541C801-CE91-488E-8DE4-62DBC0E8D7DE}"/>
    <cellStyle name="Comma 12 3 2 3 2 2 7 3" xfId="40585" xr:uid="{1A776055-92E6-439E-B0AD-4E3B0D307667}"/>
    <cellStyle name="Comma 12 3 2 3 2 2 8" xfId="16393" xr:uid="{E958A998-49B6-4CD6-8BB6-FC7C7DC32CD8}"/>
    <cellStyle name="Comma 12 3 2 3 2 2 8 2" xfId="46633" xr:uid="{6DC28618-295D-4A2C-AA84-B31BDEB59D44}"/>
    <cellStyle name="Comma 12 3 2 3 2 2 9" xfId="31513" xr:uid="{B732CA64-B597-49E8-BE69-A4AAA399AD1E}"/>
    <cellStyle name="Comma 12 3 2 3 2 3" xfId="2029" xr:uid="{A1C805FB-FA56-43F4-A857-5248521FA7D9}"/>
    <cellStyle name="Comma 12 3 2 3 2 3 2" xfId="11101" xr:uid="{90E2507D-DA8C-4F60-A89B-3056EB91C885}"/>
    <cellStyle name="Comma 12 3 2 3 2 3 2 2" xfId="26221" xr:uid="{93061B5B-26E9-4906-B602-CCD8F01D123E}"/>
    <cellStyle name="Comma 12 3 2 3 2 3 2 2 2" xfId="56461" xr:uid="{1FD81806-4CC9-459E-86B7-1EBD84D9E750}"/>
    <cellStyle name="Comma 12 3 2 3 2 3 2 3" xfId="41341" xr:uid="{D0EB3A86-B34F-47DB-93A9-9C559DE270FD}"/>
    <cellStyle name="Comma 12 3 2 3 2 3 3" xfId="17149" xr:uid="{B02B1C66-D900-4309-9EEF-8AC246E6E965}"/>
    <cellStyle name="Comma 12 3 2 3 2 3 3 2" xfId="47389" xr:uid="{2C72D317-C548-4530-99E1-ADF47CD8D145}"/>
    <cellStyle name="Comma 12 3 2 3 2 3 4" xfId="32269" xr:uid="{3F1F1ADB-14B0-48D4-A14B-2CF0A261F196}"/>
    <cellStyle name="Comma 12 3 2 3 2 4" xfId="3541" xr:uid="{E83EED67-EF6A-4E23-9D81-0D4E0EB3D696}"/>
    <cellStyle name="Comma 12 3 2 3 2 4 2" xfId="12613" xr:uid="{7F79B5CE-0662-4BC1-8EC4-31CAF4075F78}"/>
    <cellStyle name="Comma 12 3 2 3 2 4 2 2" xfId="27733" xr:uid="{B38F1F47-33DE-42C0-9F06-3B31F49A518A}"/>
    <cellStyle name="Comma 12 3 2 3 2 4 2 2 2" xfId="57973" xr:uid="{965B27ED-92DC-4E76-8CB5-C99D093A720D}"/>
    <cellStyle name="Comma 12 3 2 3 2 4 2 3" xfId="42853" xr:uid="{C295EBB3-FB2D-43ED-91B1-2D7341D23FEA}"/>
    <cellStyle name="Comma 12 3 2 3 2 4 3" xfId="18661" xr:uid="{29029FED-8C28-4D5C-B9CF-7C485E3B5D47}"/>
    <cellStyle name="Comma 12 3 2 3 2 4 3 2" xfId="48901" xr:uid="{C7EF49BE-5DD5-4CDC-AE2D-B0213990EC97}"/>
    <cellStyle name="Comma 12 3 2 3 2 4 4" xfId="33781" xr:uid="{2098BB54-0CC2-4AC8-8171-EF8699B6F64D}"/>
    <cellStyle name="Comma 12 3 2 3 2 5" xfId="5053" xr:uid="{4C0BE59D-683A-4CF0-BCB0-EAFD9542F2D4}"/>
    <cellStyle name="Comma 12 3 2 3 2 5 2" xfId="14125" xr:uid="{9F4C1742-5ECC-463D-A8C4-3F498034C637}"/>
    <cellStyle name="Comma 12 3 2 3 2 5 2 2" xfId="29245" xr:uid="{C2848ADC-8BF4-4531-B4D8-2DD209E0757A}"/>
    <cellStyle name="Comma 12 3 2 3 2 5 2 2 2" xfId="59485" xr:uid="{914AC7BF-CF6E-444C-A826-23122E561D57}"/>
    <cellStyle name="Comma 12 3 2 3 2 5 2 3" xfId="44365" xr:uid="{2622C4E2-EE04-48C0-A6F1-FFC95C27BE32}"/>
    <cellStyle name="Comma 12 3 2 3 2 5 3" xfId="20173" xr:uid="{EAFC1784-2DA0-4FC3-AA00-E5C89B5BD3D1}"/>
    <cellStyle name="Comma 12 3 2 3 2 5 3 2" xfId="50413" xr:uid="{3C29244F-1E3A-4EC0-B0EC-77A11724395F}"/>
    <cellStyle name="Comma 12 3 2 3 2 5 4" xfId="35293" xr:uid="{88138E35-162F-45A4-99E7-13DFCDF52095}"/>
    <cellStyle name="Comma 12 3 2 3 2 6" xfId="6565" xr:uid="{07A0D997-2F5E-49DB-B178-066B522F0CA0}"/>
    <cellStyle name="Comma 12 3 2 3 2 6 2" xfId="21685" xr:uid="{C5DFDFF4-6775-43AD-8F48-94EAB624B3B4}"/>
    <cellStyle name="Comma 12 3 2 3 2 6 2 2" xfId="51925" xr:uid="{677DB10B-A7D4-485F-982B-68C987BF3F28}"/>
    <cellStyle name="Comma 12 3 2 3 2 6 3" xfId="36805" xr:uid="{1E13E3BC-BC41-44CE-8FCE-1FF5251F07BC}"/>
    <cellStyle name="Comma 12 3 2 3 2 7" xfId="8077" xr:uid="{EB4336FD-4BB3-4149-B399-98349114817F}"/>
    <cellStyle name="Comma 12 3 2 3 2 7 2" xfId="23197" xr:uid="{39915024-2330-4CC9-A1AB-CB48496758EC}"/>
    <cellStyle name="Comma 12 3 2 3 2 7 2 2" xfId="53437" xr:uid="{2208EBE9-D3DE-438D-850C-5C7C36EF6650}"/>
    <cellStyle name="Comma 12 3 2 3 2 7 3" xfId="38317" xr:uid="{EC52CAA5-2EDB-4219-9D1D-854A19EC52C1}"/>
    <cellStyle name="Comma 12 3 2 3 2 8" xfId="9589" xr:uid="{C51830B3-4568-4C10-B0B4-F73DE30CAED9}"/>
    <cellStyle name="Comma 12 3 2 3 2 8 2" xfId="24709" xr:uid="{142B65FB-0BFF-4EA2-BC12-8BEB19867774}"/>
    <cellStyle name="Comma 12 3 2 3 2 8 2 2" xfId="54949" xr:uid="{4CA37DD5-3B73-4806-8D6F-D4E41B45209B}"/>
    <cellStyle name="Comma 12 3 2 3 2 8 3" xfId="39829" xr:uid="{6528C341-8CE6-4936-84A2-6C7C41469691}"/>
    <cellStyle name="Comma 12 3 2 3 2 9" xfId="15637" xr:uid="{62D8254A-E847-40A2-8D60-F1E7B63EF49A}"/>
    <cellStyle name="Comma 12 3 2 3 2 9 2" xfId="45877" xr:uid="{21A18072-4EE5-4000-AB68-C2D969149490}"/>
    <cellStyle name="Comma 12 3 2 3 3" xfId="769" xr:uid="{76104F55-9462-40C9-B9B1-63D0797D3E7A}"/>
    <cellStyle name="Comma 12 3 2 3 3 10" xfId="31009" xr:uid="{31D37A92-4C44-448D-811E-1E243F5E28BE}"/>
    <cellStyle name="Comma 12 3 2 3 3 2" xfId="1525" xr:uid="{58C13EEB-73E1-4817-A114-E46E8A47CB59}"/>
    <cellStyle name="Comma 12 3 2 3 3 2 2" xfId="3037" xr:uid="{800485B2-D493-458E-BB4E-915125413E30}"/>
    <cellStyle name="Comma 12 3 2 3 3 2 2 2" xfId="12109" xr:uid="{DA4CFB3F-CD5C-42F2-9DBA-C9A294E4B415}"/>
    <cellStyle name="Comma 12 3 2 3 3 2 2 2 2" xfId="27229" xr:uid="{C355F80C-FE39-430F-9D74-DDB1E406AD39}"/>
    <cellStyle name="Comma 12 3 2 3 3 2 2 2 2 2" xfId="57469" xr:uid="{06418868-B038-4DE5-9B04-DB49F6837554}"/>
    <cellStyle name="Comma 12 3 2 3 3 2 2 2 3" xfId="42349" xr:uid="{2E1A3361-9A16-4783-AEAE-9AC40D191E94}"/>
    <cellStyle name="Comma 12 3 2 3 3 2 2 3" xfId="18157" xr:uid="{C2FBE0BA-720B-4616-BDF1-1E270B758FF8}"/>
    <cellStyle name="Comma 12 3 2 3 3 2 2 3 2" xfId="48397" xr:uid="{50054589-9AB3-4E53-A42F-42FC0B543FF7}"/>
    <cellStyle name="Comma 12 3 2 3 3 2 2 4" xfId="33277" xr:uid="{AE8AF0FA-5884-4328-B8F5-889DB3742B01}"/>
    <cellStyle name="Comma 12 3 2 3 3 2 3" xfId="4549" xr:uid="{4C7619B1-C327-4DC1-8FA4-B3121F7CE758}"/>
    <cellStyle name="Comma 12 3 2 3 3 2 3 2" xfId="13621" xr:uid="{BF54D55F-DF6E-4AA5-B0D1-F5FC0F41AFEB}"/>
    <cellStyle name="Comma 12 3 2 3 3 2 3 2 2" xfId="28741" xr:uid="{579CD004-2039-4910-B241-085FDDA14886}"/>
    <cellStyle name="Comma 12 3 2 3 3 2 3 2 2 2" xfId="58981" xr:uid="{C9582296-FB95-4193-BEC9-490D72F9D042}"/>
    <cellStyle name="Comma 12 3 2 3 3 2 3 2 3" xfId="43861" xr:uid="{A38E2AF0-C58B-4613-898A-D358DBFAF57E}"/>
    <cellStyle name="Comma 12 3 2 3 3 2 3 3" xfId="19669" xr:uid="{D27216C1-E0A4-435F-9DC4-14788777E4CF}"/>
    <cellStyle name="Comma 12 3 2 3 3 2 3 3 2" xfId="49909" xr:uid="{45F5CCEF-F075-4A37-9B58-E12353E4E1CD}"/>
    <cellStyle name="Comma 12 3 2 3 3 2 3 4" xfId="34789" xr:uid="{F64A3D83-97DB-42D4-B304-8A49FE760CA8}"/>
    <cellStyle name="Comma 12 3 2 3 3 2 4" xfId="6061" xr:uid="{90C18A67-9E2B-4C8C-9062-0FC542E9D2C1}"/>
    <cellStyle name="Comma 12 3 2 3 3 2 4 2" xfId="15133" xr:uid="{0D0770BE-B4AE-4235-9E68-7CEEECDC3CE7}"/>
    <cellStyle name="Comma 12 3 2 3 3 2 4 2 2" xfId="30253" xr:uid="{FBADF00D-D7D9-4C63-BAC6-6AA3B81C8608}"/>
    <cellStyle name="Comma 12 3 2 3 3 2 4 2 2 2" xfId="60493" xr:uid="{C350186B-F2AD-4A01-8074-FBBD771A15F9}"/>
    <cellStyle name="Comma 12 3 2 3 3 2 4 2 3" xfId="45373" xr:uid="{9321840D-8F54-42DE-8B00-8BA30C2C4F1B}"/>
    <cellStyle name="Comma 12 3 2 3 3 2 4 3" xfId="21181" xr:uid="{41ABD629-EAFD-4F21-B57D-9BD478ED6305}"/>
    <cellStyle name="Comma 12 3 2 3 3 2 4 3 2" xfId="51421" xr:uid="{3106B68A-806B-478D-8C71-3980A303B834}"/>
    <cellStyle name="Comma 12 3 2 3 3 2 4 4" xfId="36301" xr:uid="{99305297-4710-4317-B93A-347DB1B063BF}"/>
    <cellStyle name="Comma 12 3 2 3 3 2 5" xfId="7573" xr:uid="{012569E9-6EC8-41A5-9F06-90B793312A99}"/>
    <cellStyle name="Comma 12 3 2 3 3 2 5 2" xfId="22693" xr:uid="{53440643-4184-4740-BD60-1B08B5B575A0}"/>
    <cellStyle name="Comma 12 3 2 3 3 2 5 2 2" xfId="52933" xr:uid="{AF28C6A4-563B-4B27-8DBD-73EEF5048C4F}"/>
    <cellStyle name="Comma 12 3 2 3 3 2 5 3" xfId="37813" xr:uid="{86C2AA41-5CAA-4833-9377-853C8113DE40}"/>
    <cellStyle name="Comma 12 3 2 3 3 2 6" xfId="9085" xr:uid="{25651129-4BBA-4663-B9F7-982FBC38E377}"/>
    <cellStyle name="Comma 12 3 2 3 3 2 6 2" xfId="24205" xr:uid="{6C902D59-D0D0-4EA8-8FE6-736657997194}"/>
    <cellStyle name="Comma 12 3 2 3 3 2 6 2 2" xfId="54445" xr:uid="{8B3C4ADA-4DDA-42A6-82B5-0A9CE6443435}"/>
    <cellStyle name="Comma 12 3 2 3 3 2 6 3" xfId="39325" xr:uid="{1BF04866-9BB4-4AB0-BB6C-28BCA94A2875}"/>
    <cellStyle name="Comma 12 3 2 3 3 2 7" xfId="10597" xr:uid="{BD6C0457-D154-4B1E-BFBF-0B7456B15D56}"/>
    <cellStyle name="Comma 12 3 2 3 3 2 7 2" xfId="25717" xr:uid="{E59BCE67-9CAE-4E5A-8C6D-051F629E5669}"/>
    <cellStyle name="Comma 12 3 2 3 3 2 7 2 2" xfId="55957" xr:uid="{059FEBCF-F1C3-4418-A7F5-87D85C6F36DD}"/>
    <cellStyle name="Comma 12 3 2 3 3 2 7 3" xfId="40837" xr:uid="{3A05537D-7D44-42FA-A00B-14BD79626C76}"/>
    <cellStyle name="Comma 12 3 2 3 3 2 8" xfId="16645" xr:uid="{742012E0-9821-4F72-B094-8E457385D787}"/>
    <cellStyle name="Comma 12 3 2 3 3 2 8 2" xfId="46885" xr:uid="{BC9A3991-8DC5-4254-AC24-D0B89F21E9A3}"/>
    <cellStyle name="Comma 12 3 2 3 3 2 9" xfId="31765" xr:uid="{06F75A87-D4B2-4B7D-82FC-76AD757021E6}"/>
    <cellStyle name="Comma 12 3 2 3 3 3" xfId="2281" xr:uid="{2243C142-C64A-4DDB-A402-FC53950E5514}"/>
    <cellStyle name="Comma 12 3 2 3 3 3 2" xfId="11353" xr:uid="{71B32D64-3980-4F31-B20D-9F68BF0AD86F}"/>
    <cellStyle name="Comma 12 3 2 3 3 3 2 2" xfId="26473" xr:uid="{D4D9DFCA-C09E-4B47-9C64-D77C771D92AE}"/>
    <cellStyle name="Comma 12 3 2 3 3 3 2 2 2" xfId="56713" xr:uid="{9FC68F02-7660-44C6-8068-3125B3CB852D}"/>
    <cellStyle name="Comma 12 3 2 3 3 3 2 3" xfId="41593" xr:uid="{B4C5B2DB-8A8A-44F9-A99B-A15FCA869FA7}"/>
    <cellStyle name="Comma 12 3 2 3 3 3 3" xfId="17401" xr:uid="{B6F5DCC2-B644-481A-9918-DCC4988EFDD9}"/>
    <cellStyle name="Comma 12 3 2 3 3 3 3 2" xfId="47641" xr:uid="{4DE4527D-5ECD-4FD1-998B-C973CFFA8998}"/>
    <cellStyle name="Comma 12 3 2 3 3 3 4" xfId="32521" xr:uid="{BB629EDA-AE0B-4C70-AB73-7239881CFC41}"/>
    <cellStyle name="Comma 12 3 2 3 3 4" xfId="3793" xr:uid="{445205DA-8618-4403-A1F8-36803FD3B441}"/>
    <cellStyle name="Comma 12 3 2 3 3 4 2" xfId="12865" xr:uid="{FDA11C40-456B-4904-AEB2-B0C23130ED74}"/>
    <cellStyle name="Comma 12 3 2 3 3 4 2 2" xfId="27985" xr:uid="{027F0A26-C4D4-4245-970A-8D37BC8D56F5}"/>
    <cellStyle name="Comma 12 3 2 3 3 4 2 2 2" xfId="58225" xr:uid="{F1D146B3-050B-4C39-848B-DD525B4D3C31}"/>
    <cellStyle name="Comma 12 3 2 3 3 4 2 3" xfId="43105" xr:uid="{AD3F02F0-91E2-4FF6-A9E8-32044B22AF3E}"/>
    <cellStyle name="Comma 12 3 2 3 3 4 3" xfId="18913" xr:uid="{218FFB2D-7075-4F33-81D4-A4CD0A6B8921}"/>
    <cellStyle name="Comma 12 3 2 3 3 4 3 2" xfId="49153" xr:uid="{FA031FBD-85BB-4780-A467-58266B298DD0}"/>
    <cellStyle name="Comma 12 3 2 3 3 4 4" xfId="34033" xr:uid="{2A081733-5BF4-4034-9B93-6E31FAEFB315}"/>
    <cellStyle name="Comma 12 3 2 3 3 5" xfId="5305" xr:uid="{0C4E407C-D974-4184-8C2E-E0E1B3555FDD}"/>
    <cellStyle name="Comma 12 3 2 3 3 5 2" xfId="14377" xr:uid="{940E640C-1E89-465A-8D8C-4BB0560C8717}"/>
    <cellStyle name="Comma 12 3 2 3 3 5 2 2" xfId="29497" xr:uid="{05DAC690-2931-4A93-805F-AF25D0AC7943}"/>
    <cellStyle name="Comma 12 3 2 3 3 5 2 2 2" xfId="59737" xr:uid="{43A4A7A0-48AE-4827-85CA-36BA91B5B4F2}"/>
    <cellStyle name="Comma 12 3 2 3 3 5 2 3" xfId="44617" xr:uid="{BC9478C6-7ACB-4BFF-9E7E-FD6565480C85}"/>
    <cellStyle name="Comma 12 3 2 3 3 5 3" xfId="20425" xr:uid="{7DF834BC-597A-47AD-871E-5F3FB8327AC6}"/>
    <cellStyle name="Comma 12 3 2 3 3 5 3 2" xfId="50665" xr:uid="{4144381F-AE9A-44DE-83F7-5BC1899F20C9}"/>
    <cellStyle name="Comma 12 3 2 3 3 5 4" xfId="35545" xr:uid="{188D3B29-1A4E-4781-8530-978F9D166821}"/>
    <cellStyle name="Comma 12 3 2 3 3 6" xfId="6817" xr:uid="{0CAA1207-1277-4AFF-AC86-54D31624BD2B}"/>
    <cellStyle name="Comma 12 3 2 3 3 6 2" xfId="21937" xr:uid="{D1954CD5-2797-4807-A09A-E356E7111CD1}"/>
    <cellStyle name="Comma 12 3 2 3 3 6 2 2" xfId="52177" xr:uid="{24DE69DC-8BC4-4758-A7AC-0BDD3E6B4E02}"/>
    <cellStyle name="Comma 12 3 2 3 3 6 3" xfId="37057" xr:uid="{6C662EDD-DCE8-4B23-A336-C44E7BD61E0C}"/>
    <cellStyle name="Comma 12 3 2 3 3 7" xfId="8329" xr:uid="{41C0735C-0392-4680-A02B-831295D96460}"/>
    <cellStyle name="Comma 12 3 2 3 3 7 2" xfId="23449" xr:uid="{8A2BAC08-E0AA-4B26-93A0-47D7052E9B32}"/>
    <cellStyle name="Comma 12 3 2 3 3 7 2 2" xfId="53689" xr:uid="{5DCE992D-1A4A-4E13-BD16-4E73963236ED}"/>
    <cellStyle name="Comma 12 3 2 3 3 7 3" xfId="38569" xr:uid="{5C528A80-DCC3-4CE3-A6DC-015A1768DA02}"/>
    <cellStyle name="Comma 12 3 2 3 3 8" xfId="9841" xr:uid="{492D22CD-7054-4C88-B32C-F0FDE30DFEAD}"/>
    <cellStyle name="Comma 12 3 2 3 3 8 2" xfId="24961" xr:uid="{A918148F-2F2C-403C-860D-154D0E4A3E0C}"/>
    <cellStyle name="Comma 12 3 2 3 3 8 2 2" xfId="55201" xr:uid="{F0BF3C36-3CF9-4744-8FA8-3C919E110035}"/>
    <cellStyle name="Comma 12 3 2 3 3 8 3" xfId="40081" xr:uid="{E52E5F98-48C5-4291-A1D8-6D490D57BEB1}"/>
    <cellStyle name="Comma 12 3 2 3 3 9" xfId="15889" xr:uid="{A5CB73E7-7183-42B1-AC1F-B82065C2C9BC}"/>
    <cellStyle name="Comma 12 3 2 3 3 9 2" xfId="46129" xr:uid="{87088676-F48D-40E4-9DF7-47CAD6BE97C1}"/>
    <cellStyle name="Comma 12 3 2 3 4" xfId="1021" xr:uid="{C6EAF92C-CDD2-4A03-8136-0ACA46643CDE}"/>
    <cellStyle name="Comma 12 3 2 3 4 2" xfId="2533" xr:uid="{6B930B45-2155-4863-8F82-C87753493A25}"/>
    <cellStyle name="Comma 12 3 2 3 4 2 2" xfId="11605" xr:uid="{79699FD9-CBC4-4192-8240-C47622E5C36E}"/>
    <cellStyle name="Comma 12 3 2 3 4 2 2 2" xfId="26725" xr:uid="{28AC434D-1B17-4BCC-A71E-FA9D0A81B357}"/>
    <cellStyle name="Comma 12 3 2 3 4 2 2 2 2" xfId="56965" xr:uid="{41ACD349-E0F9-4730-96B6-495FB08AB09D}"/>
    <cellStyle name="Comma 12 3 2 3 4 2 2 3" xfId="41845" xr:uid="{B0BB59A7-3896-43F4-BF3B-3257DE590363}"/>
    <cellStyle name="Comma 12 3 2 3 4 2 3" xfId="17653" xr:uid="{554C8818-E6CC-4B64-89CC-8671FFC3ABA5}"/>
    <cellStyle name="Comma 12 3 2 3 4 2 3 2" xfId="47893" xr:uid="{19C424DE-A032-417C-A8C6-3BA17B66C8F1}"/>
    <cellStyle name="Comma 12 3 2 3 4 2 4" xfId="32773" xr:uid="{B74BE889-7A7A-431A-A7CC-27526BE37E52}"/>
    <cellStyle name="Comma 12 3 2 3 4 3" xfId="4045" xr:uid="{8D780BB5-5FCF-4473-BF35-69AD0319A6F3}"/>
    <cellStyle name="Comma 12 3 2 3 4 3 2" xfId="13117" xr:uid="{11EC920E-C727-44AF-BEE4-C97874201CFE}"/>
    <cellStyle name="Comma 12 3 2 3 4 3 2 2" xfId="28237" xr:uid="{F31115C0-CE76-4E5F-8353-B9F6675ED12E}"/>
    <cellStyle name="Comma 12 3 2 3 4 3 2 2 2" xfId="58477" xr:uid="{F1DC86CB-A478-4563-96D0-1608625CD390}"/>
    <cellStyle name="Comma 12 3 2 3 4 3 2 3" xfId="43357" xr:uid="{AB058E41-B23C-49E1-A2FD-35C89E782AA9}"/>
    <cellStyle name="Comma 12 3 2 3 4 3 3" xfId="19165" xr:uid="{CDDBF078-1181-41EA-AB47-17CBF773D5B2}"/>
    <cellStyle name="Comma 12 3 2 3 4 3 3 2" xfId="49405" xr:uid="{B6929F3F-75EC-4589-B1D8-2C67730E273B}"/>
    <cellStyle name="Comma 12 3 2 3 4 3 4" xfId="34285" xr:uid="{87409E88-C3DF-45F5-8ACF-386DC09909D0}"/>
    <cellStyle name="Comma 12 3 2 3 4 4" xfId="5557" xr:uid="{60264C0A-F873-4AD9-B645-BB483046C71F}"/>
    <cellStyle name="Comma 12 3 2 3 4 4 2" xfId="14629" xr:uid="{9CF8A8D1-9743-4FB3-809E-ECCF572EB879}"/>
    <cellStyle name="Comma 12 3 2 3 4 4 2 2" xfId="29749" xr:uid="{57515158-315B-48C1-89F7-C3E55FD5DB66}"/>
    <cellStyle name="Comma 12 3 2 3 4 4 2 2 2" xfId="59989" xr:uid="{3CBAA64B-AF70-469B-BA5A-6750D54FC581}"/>
    <cellStyle name="Comma 12 3 2 3 4 4 2 3" xfId="44869" xr:uid="{32351069-6FCB-4508-9E6E-28A9F427704F}"/>
    <cellStyle name="Comma 12 3 2 3 4 4 3" xfId="20677" xr:uid="{E8923B1C-6B16-43D4-A3AF-B9508F41CA6D}"/>
    <cellStyle name="Comma 12 3 2 3 4 4 3 2" xfId="50917" xr:uid="{310A9EFA-EA38-4EC6-82AE-AFCF256C89A4}"/>
    <cellStyle name="Comma 12 3 2 3 4 4 4" xfId="35797" xr:uid="{D948F76C-A740-4C11-B115-4CB573323D32}"/>
    <cellStyle name="Comma 12 3 2 3 4 5" xfId="7069" xr:uid="{72C169A1-4C9B-4BEB-A631-BA52A7C1302B}"/>
    <cellStyle name="Comma 12 3 2 3 4 5 2" xfId="22189" xr:uid="{CA6F856F-9EAC-4DC2-BA81-FA066F7D0BB5}"/>
    <cellStyle name="Comma 12 3 2 3 4 5 2 2" xfId="52429" xr:uid="{F1C8C561-FF85-487B-8917-3091978E2BD1}"/>
    <cellStyle name="Comma 12 3 2 3 4 5 3" xfId="37309" xr:uid="{6D098486-381F-4E86-B00F-B68692F46BEB}"/>
    <cellStyle name="Comma 12 3 2 3 4 6" xfId="8581" xr:uid="{8E11C845-1D9A-4FD9-9FBC-AC0D6456771E}"/>
    <cellStyle name="Comma 12 3 2 3 4 6 2" xfId="23701" xr:uid="{5037C2F5-0436-4CCB-910B-F9BF1931AE1E}"/>
    <cellStyle name="Comma 12 3 2 3 4 6 2 2" xfId="53941" xr:uid="{4D126871-8B64-4145-997E-498ABE99FFBB}"/>
    <cellStyle name="Comma 12 3 2 3 4 6 3" xfId="38821" xr:uid="{69DE170F-861B-413E-8A10-C7CD62E85B93}"/>
    <cellStyle name="Comma 12 3 2 3 4 7" xfId="10093" xr:uid="{812408E6-329C-4D21-97E3-0BBD780CCD55}"/>
    <cellStyle name="Comma 12 3 2 3 4 7 2" xfId="25213" xr:uid="{5531F546-28A4-4D04-A8B4-BC99B6DEBF46}"/>
    <cellStyle name="Comma 12 3 2 3 4 7 2 2" xfId="55453" xr:uid="{9DBE8386-A690-425C-8229-B71353D540B9}"/>
    <cellStyle name="Comma 12 3 2 3 4 7 3" xfId="40333" xr:uid="{108F5635-1D5D-4A20-A839-973E1E1A2E6F}"/>
    <cellStyle name="Comma 12 3 2 3 4 8" xfId="16141" xr:uid="{FAB88DBA-F56F-4B6C-9424-B724D7CC8301}"/>
    <cellStyle name="Comma 12 3 2 3 4 8 2" xfId="46381" xr:uid="{A7BDFAD1-C3F2-422F-B822-0AC1938427B5}"/>
    <cellStyle name="Comma 12 3 2 3 4 9" xfId="31261" xr:uid="{45F23DFF-0081-4858-86D7-732EF6DA17EB}"/>
    <cellStyle name="Comma 12 3 2 3 5" xfId="1777" xr:uid="{F0F24130-197C-40B0-A683-045E82EA1389}"/>
    <cellStyle name="Comma 12 3 2 3 5 2" xfId="10849" xr:uid="{0C9444AB-B521-445F-A148-4964E7B4BC2B}"/>
    <cellStyle name="Comma 12 3 2 3 5 2 2" xfId="25969" xr:uid="{7E0A5950-4D93-442B-81E6-1808DE36CFEA}"/>
    <cellStyle name="Comma 12 3 2 3 5 2 2 2" xfId="56209" xr:uid="{75248050-B36D-40A0-82E8-2EFD1F7DA042}"/>
    <cellStyle name="Comma 12 3 2 3 5 2 3" xfId="41089" xr:uid="{4446D8E4-E452-47BF-921B-E7EA16DF155C}"/>
    <cellStyle name="Comma 12 3 2 3 5 3" xfId="16897" xr:uid="{E0808213-54E3-4AF8-A4AF-A943AAA60476}"/>
    <cellStyle name="Comma 12 3 2 3 5 3 2" xfId="47137" xr:uid="{493B7148-E2F4-4DEC-906B-6A721637DB86}"/>
    <cellStyle name="Comma 12 3 2 3 5 4" xfId="32017" xr:uid="{974DA77E-81F4-4EED-BC2D-8F18095AF197}"/>
    <cellStyle name="Comma 12 3 2 3 6" xfId="3289" xr:uid="{5797666F-746C-49F8-89CF-3624B5989A48}"/>
    <cellStyle name="Comma 12 3 2 3 6 2" xfId="12361" xr:uid="{B383B06B-DE38-49C5-925A-01970DB62FD1}"/>
    <cellStyle name="Comma 12 3 2 3 6 2 2" xfId="27481" xr:uid="{7692DD74-E154-4BAF-8D98-DDB8F16683B2}"/>
    <cellStyle name="Comma 12 3 2 3 6 2 2 2" xfId="57721" xr:uid="{1BBC1356-EFC8-4991-AE53-5D98067950C5}"/>
    <cellStyle name="Comma 12 3 2 3 6 2 3" xfId="42601" xr:uid="{C1B60D57-0533-465D-BF6E-0AF88148B49A}"/>
    <cellStyle name="Comma 12 3 2 3 6 3" xfId="18409" xr:uid="{F1FBEABE-5E3A-4E57-91B1-2C5E9A2E3250}"/>
    <cellStyle name="Comma 12 3 2 3 6 3 2" xfId="48649" xr:uid="{BA9073AC-C9DF-49DF-9AAF-27FFE3E9B60D}"/>
    <cellStyle name="Comma 12 3 2 3 6 4" xfId="33529" xr:uid="{D1BD1D42-BD84-4259-B50B-EADABB8450AF}"/>
    <cellStyle name="Comma 12 3 2 3 7" xfId="4801" xr:uid="{BBBB7582-6D42-457D-98ED-325365C4F94E}"/>
    <cellStyle name="Comma 12 3 2 3 7 2" xfId="13873" xr:uid="{981121E9-F15A-4076-B02A-76B0035F5860}"/>
    <cellStyle name="Comma 12 3 2 3 7 2 2" xfId="28993" xr:uid="{6760BB0B-D448-455A-AB03-630B859EB1D2}"/>
    <cellStyle name="Comma 12 3 2 3 7 2 2 2" xfId="59233" xr:uid="{D077077C-FE45-48C3-9211-A88CAA216C01}"/>
    <cellStyle name="Comma 12 3 2 3 7 2 3" xfId="44113" xr:uid="{4D9414CF-6C8E-4681-8E93-54843FDC15AE}"/>
    <cellStyle name="Comma 12 3 2 3 7 3" xfId="19921" xr:uid="{EBB0897E-243F-4650-83E1-2226E4730E17}"/>
    <cellStyle name="Comma 12 3 2 3 7 3 2" xfId="50161" xr:uid="{D4EE5B08-A3A7-42A5-8BCA-0D4C11A81FCB}"/>
    <cellStyle name="Comma 12 3 2 3 7 4" xfId="35041" xr:uid="{6BBB0E24-AA41-450D-ADE8-7A0E1C87C692}"/>
    <cellStyle name="Comma 12 3 2 3 8" xfId="6313" xr:uid="{A4FB9761-C08C-4864-BC0E-5C5E664F80F6}"/>
    <cellStyle name="Comma 12 3 2 3 8 2" xfId="21433" xr:uid="{257D32A5-8957-451D-8124-1EC5A6DB6C7A}"/>
    <cellStyle name="Comma 12 3 2 3 8 2 2" xfId="51673" xr:uid="{26780317-A2EC-42D5-81E7-6EF01E8AF8EA}"/>
    <cellStyle name="Comma 12 3 2 3 8 3" xfId="36553" xr:uid="{4114A8CF-23D9-41E9-B149-2758865C8B20}"/>
    <cellStyle name="Comma 12 3 2 3 9" xfId="7825" xr:uid="{2DA64BBF-F764-4EC7-8190-13DAE4942B18}"/>
    <cellStyle name="Comma 12 3 2 3 9 2" xfId="22945" xr:uid="{75983D04-630A-4789-B8EF-A79EDCE68D0F}"/>
    <cellStyle name="Comma 12 3 2 3 9 2 2" xfId="53185" xr:uid="{30E8BFE4-01DF-41B4-8724-5D6A82CD5D1B}"/>
    <cellStyle name="Comma 12 3 2 3 9 3" xfId="38065" xr:uid="{282DB051-C386-4FB8-95F8-2D99401B6443}"/>
    <cellStyle name="Comma 12 3 2 4" xfId="349" xr:uid="{A5B36A49-ED6B-4850-968E-C9A8583F8F40}"/>
    <cellStyle name="Comma 12 3 2 4 10" xfId="30589" xr:uid="{71AC6247-1128-4D69-8F70-EB3EAB35E6E6}"/>
    <cellStyle name="Comma 12 3 2 4 2" xfId="1105" xr:uid="{A6F234AB-5325-4CBD-A158-081C5C234F6D}"/>
    <cellStyle name="Comma 12 3 2 4 2 2" xfId="2617" xr:uid="{46517D7B-BEB7-40D7-864C-C752C2EA7216}"/>
    <cellStyle name="Comma 12 3 2 4 2 2 2" xfId="11689" xr:uid="{1A98F9C7-3D10-491C-BEC6-66A87511F05C}"/>
    <cellStyle name="Comma 12 3 2 4 2 2 2 2" xfId="26809" xr:uid="{D6768A9D-54DF-4C2C-A1EE-F49BF2D6C357}"/>
    <cellStyle name="Comma 12 3 2 4 2 2 2 2 2" xfId="57049" xr:uid="{2659470A-FE66-48F7-BDD4-4CE4489F14AC}"/>
    <cellStyle name="Comma 12 3 2 4 2 2 2 3" xfId="41929" xr:uid="{2E8EEAC9-723C-4226-A7E7-AFF7E2684764}"/>
    <cellStyle name="Comma 12 3 2 4 2 2 3" xfId="17737" xr:uid="{DDA33CA9-EED8-4855-B718-587CC8EA39B4}"/>
    <cellStyle name="Comma 12 3 2 4 2 2 3 2" xfId="47977" xr:uid="{93FC94FE-4A36-4B9E-89BC-14B6ED0A99EC}"/>
    <cellStyle name="Comma 12 3 2 4 2 2 4" xfId="32857" xr:uid="{44AF880E-7FEE-435C-BCA0-9FA3A55D595F}"/>
    <cellStyle name="Comma 12 3 2 4 2 3" xfId="4129" xr:uid="{ABA5466C-64A6-4F4A-B11D-483972313F6A}"/>
    <cellStyle name="Comma 12 3 2 4 2 3 2" xfId="13201" xr:uid="{B3C36C96-CC23-4BA4-8943-4777B515E107}"/>
    <cellStyle name="Comma 12 3 2 4 2 3 2 2" xfId="28321" xr:uid="{526EE927-93CD-4604-8227-30FB40D404B3}"/>
    <cellStyle name="Comma 12 3 2 4 2 3 2 2 2" xfId="58561" xr:uid="{A5EE4C4C-68D8-4E1F-9EF8-0A78EC04D4D5}"/>
    <cellStyle name="Comma 12 3 2 4 2 3 2 3" xfId="43441" xr:uid="{E999AABF-6C6F-440E-A546-1C410C03B154}"/>
    <cellStyle name="Comma 12 3 2 4 2 3 3" xfId="19249" xr:uid="{DB8901EB-6EE0-4B18-B753-57D907AC355F}"/>
    <cellStyle name="Comma 12 3 2 4 2 3 3 2" xfId="49489" xr:uid="{62D35C4C-7C18-476E-AA8B-A6E9B8F502EB}"/>
    <cellStyle name="Comma 12 3 2 4 2 3 4" xfId="34369" xr:uid="{AA2E5EF6-7652-4C73-AC39-211099482F45}"/>
    <cellStyle name="Comma 12 3 2 4 2 4" xfId="5641" xr:uid="{C570BC0B-52C5-49C9-8C53-D036E2E27D02}"/>
    <cellStyle name="Comma 12 3 2 4 2 4 2" xfId="14713" xr:uid="{DA398E92-6CFD-461A-8C8B-81D6901CA36B}"/>
    <cellStyle name="Comma 12 3 2 4 2 4 2 2" xfId="29833" xr:uid="{133CBA1E-AF2A-4B4F-BCB8-E14BA5195294}"/>
    <cellStyle name="Comma 12 3 2 4 2 4 2 2 2" xfId="60073" xr:uid="{F3300474-A97D-46FA-954F-343989A9F170}"/>
    <cellStyle name="Comma 12 3 2 4 2 4 2 3" xfId="44953" xr:uid="{CBEEA3D7-7A83-41F8-A074-B0A61D4E2D4C}"/>
    <cellStyle name="Comma 12 3 2 4 2 4 3" xfId="20761" xr:uid="{BA4CBEAD-50EE-474B-9BA8-E52225F10AE8}"/>
    <cellStyle name="Comma 12 3 2 4 2 4 3 2" xfId="51001" xr:uid="{DAFEA6D4-E674-4F49-B635-56F4C29A2560}"/>
    <cellStyle name="Comma 12 3 2 4 2 4 4" xfId="35881" xr:uid="{0FD3B67F-74D0-42E5-B143-606351C7785E}"/>
    <cellStyle name="Comma 12 3 2 4 2 5" xfId="7153" xr:uid="{2A7F054F-7A1C-4896-A48A-7B158B7EB71E}"/>
    <cellStyle name="Comma 12 3 2 4 2 5 2" xfId="22273" xr:uid="{55884C5D-D76A-4843-80F5-E9AE54A7BA81}"/>
    <cellStyle name="Comma 12 3 2 4 2 5 2 2" xfId="52513" xr:uid="{E4AD50D2-ABD8-4A4A-B208-76399F1E28E8}"/>
    <cellStyle name="Comma 12 3 2 4 2 5 3" xfId="37393" xr:uid="{BDC62E28-042D-433B-9B0E-57E0888E1615}"/>
    <cellStyle name="Comma 12 3 2 4 2 6" xfId="8665" xr:uid="{22F7791C-541A-4D43-B1E6-C8B914948A55}"/>
    <cellStyle name="Comma 12 3 2 4 2 6 2" xfId="23785" xr:uid="{1CE54586-3ACB-4F0C-9CDE-BA13FBB34BCA}"/>
    <cellStyle name="Comma 12 3 2 4 2 6 2 2" xfId="54025" xr:uid="{C2844A87-EDF4-4E40-B737-5733A13542B0}"/>
    <cellStyle name="Comma 12 3 2 4 2 6 3" xfId="38905" xr:uid="{3BB97D64-9658-4362-9AF7-6233317F6843}"/>
    <cellStyle name="Comma 12 3 2 4 2 7" xfId="10177" xr:uid="{A8A86809-AD8E-4C21-B2DC-7D600A3B13FB}"/>
    <cellStyle name="Comma 12 3 2 4 2 7 2" xfId="25297" xr:uid="{950483A1-992D-40C9-9D5B-2B6B70C16D83}"/>
    <cellStyle name="Comma 12 3 2 4 2 7 2 2" xfId="55537" xr:uid="{7F4FDF92-9AC5-4940-A576-F96D404E7EDC}"/>
    <cellStyle name="Comma 12 3 2 4 2 7 3" xfId="40417" xr:uid="{92BE4321-9BBE-4339-A740-99A49667A4D3}"/>
    <cellStyle name="Comma 12 3 2 4 2 8" xfId="16225" xr:uid="{2E439157-6D00-4142-894D-DBE3E8F70B13}"/>
    <cellStyle name="Comma 12 3 2 4 2 8 2" xfId="46465" xr:uid="{DB59AD56-B2A1-47E0-BDB7-E88AAB936DCC}"/>
    <cellStyle name="Comma 12 3 2 4 2 9" xfId="31345" xr:uid="{8CAD7FCF-15E0-48BE-A6BB-C0EBB98CAF90}"/>
    <cellStyle name="Comma 12 3 2 4 3" xfId="1861" xr:uid="{A7F673B5-7286-4421-AEE2-592A04807811}"/>
    <cellStyle name="Comma 12 3 2 4 3 2" xfId="10933" xr:uid="{17946A91-0AF8-4D7D-B603-B5BC0862EE77}"/>
    <cellStyle name="Comma 12 3 2 4 3 2 2" xfId="26053" xr:uid="{F736E1E5-55D2-421C-9244-5B14FC724D2D}"/>
    <cellStyle name="Comma 12 3 2 4 3 2 2 2" xfId="56293" xr:uid="{F875B4CB-E268-422E-B27F-ACF8076E0447}"/>
    <cellStyle name="Comma 12 3 2 4 3 2 3" xfId="41173" xr:uid="{1C18A62C-736D-4682-981F-B68582550109}"/>
    <cellStyle name="Comma 12 3 2 4 3 3" xfId="16981" xr:uid="{68C88F09-3F00-49DD-9FB0-BDDEF3747683}"/>
    <cellStyle name="Comma 12 3 2 4 3 3 2" xfId="47221" xr:uid="{F520830E-C1D0-4E26-A63B-68CE96628A53}"/>
    <cellStyle name="Comma 12 3 2 4 3 4" xfId="32101" xr:uid="{A52A22D8-B8A6-4BE9-BBB0-1C062A34F505}"/>
    <cellStyle name="Comma 12 3 2 4 4" xfId="3373" xr:uid="{F33EE6A7-0662-449B-A967-6B8B86BB077E}"/>
    <cellStyle name="Comma 12 3 2 4 4 2" xfId="12445" xr:uid="{836F720D-05C5-4E5A-A207-D77CE6FBB050}"/>
    <cellStyle name="Comma 12 3 2 4 4 2 2" xfId="27565" xr:uid="{FAB10A87-EB44-409D-A541-D465CBA92743}"/>
    <cellStyle name="Comma 12 3 2 4 4 2 2 2" xfId="57805" xr:uid="{59BBAA0D-251A-4652-8770-C90A116B7FC1}"/>
    <cellStyle name="Comma 12 3 2 4 4 2 3" xfId="42685" xr:uid="{EBB84B9F-EBDD-4421-8320-8C7D57E67B76}"/>
    <cellStyle name="Comma 12 3 2 4 4 3" xfId="18493" xr:uid="{6A59296A-FD9E-4906-9ED7-23899B63DAD1}"/>
    <cellStyle name="Comma 12 3 2 4 4 3 2" xfId="48733" xr:uid="{385013D0-CE1D-4CB1-A91E-1020D9C8A3A3}"/>
    <cellStyle name="Comma 12 3 2 4 4 4" xfId="33613" xr:uid="{815A41A0-C24A-43D1-811A-9E12FF6FF996}"/>
    <cellStyle name="Comma 12 3 2 4 5" xfId="4885" xr:uid="{7B8D6E8A-0302-441C-B481-C3C9F853BD75}"/>
    <cellStyle name="Comma 12 3 2 4 5 2" xfId="13957" xr:uid="{8D5E8FF7-0E9A-43C7-BFFF-226E9F21107B}"/>
    <cellStyle name="Comma 12 3 2 4 5 2 2" xfId="29077" xr:uid="{317FF6A7-E0BE-4919-8AEC-AFD459222208}"/>
    <cellStyle name="Comma 12 3 2 4 5 2 2 2" xfId="59317" xr:uid="{D9C4E03D-40A0-4740-8FA7-CAC2F3C370CB}"/>
    <cellStyle name="Comma 12 3 2 4 5 2 3" xfId="44197" xr:uid="{F191306B-BB24-46EA-8215-DF9E004753D6}"/>
    <cellStyle name="Comma 12 3 2 4 5 3" xfId="20005" xr:uid="{238C513B-E696-47F4-92CE-CE29A35CC5A5}"/>
    <cellStyle name="Comma 12 3 2 4 5 3 2" xfId="50245" xr:uid="{7FE5061F-F2A5-4235-9EDB-1F98EFFDF8EA}"/>
    <cellStyle name="Comma 12 3 2 4 5 4" xfId="35125" xr:uid="{6AFC811B-AB29-45FB-A208-F90075500C0A}"/>
    <cellStyle name="Comma 12 3 2 4 6" xfId="6397" xr:uid="{A8B5F8DA-6047-4B25-AA13-41136D8D2461}"/>
    <cellStyle name="Comma 12 3 2 4 6 2" xfId="21517" xr:uid="{AD74D702-0C65-4C21-A487-C19CB6A3FF35}"/>
    <cellStyle name="Comma 12 3 2 4 6 2 2" xfId="51757" xr:uid="{490621F2-DF9D-40A8-BBA5-78B7DCE5CC45}"/>
    <cellStyle name="Comma 12 3 2 4 6 3" xfId="36637" xr:uid="{926996F2-FF30-4DAB-A479-11A2AD97ED98}"/>
    <cellStyle name="Comma 12 3 2 4 7" xfId="7909" xr:uid="{A2F93962-B862-4707-91F7-96A37479A1B3}"/>
    <cellStyle name="Comma 12 3 2 4 7 2" xfId="23029" xr:uid="{436573B4-D90C-4498-8593-DB0C7FEF6C4E}"/>
    <cellStyle name="Comma 12 3 2 4 7 2 2" xfId="53269" xr:uid="{50B40AAD-7B47-48C0-8C9F-B7F05D92DFEC}"/>
    <cellStyle name="Comma 12 3 2 4 7 3" xfId="38149" xr:uid="{E0BC7B28-DC72-44A9-9688-C43F3C7ABAA4}"/>
    <cellStyle name="Comma 12 3 2 4 8" xfId="9421" xr:uid="{73E706D9-6A8F-4C65-9DBF-B737D2BE436B}"/>
    <cellStyle name="Comma 12 3 2 4 8 2" xfId="24541" xr:uid="{30B265E2-5F5C-4D74-9755-B4CF8F315C45}"/>
    <cellStyle name="Comma 12 3 2 4 8 2 2" xfId="54781" xr:uid="{181C6D94-2098-4326-B40C-A59E11D62F90}"/>
    <cellStyle name="Comma 12 3 2 4 8 3" xfId="39661" xr:uid="{114AB71D-207C-48BE-B417-45683D4C9DE3}"/>
    <cellStyle name="Comma 12 3 2 4 9" xfId="15469" xr:uid="{4FB7D372-BE6C-4F9E-B14F-D1C1E14FFCAE}"/>
    <cellStyle name="Comma 12 3 2 4 9 2" xfId="45709" xr:uid="{9BB42E1A-64DC-441E-8A8F-F3735075FE1D}"/>
    <cellStyle name="Comma 12 3 2 5" xfId="601" xr:uid="{22B86B35-1938-4D94-A107-F90BA031D703}"/>
    <cellStyle name="Comma 12 3 2 5 10" xfId="30841" xr:uid="{3C9D9CBF-5CB1-493B-B381-A19379B55919}"/>
    <cellStyle name="Comma 12 3 2 5 2" xfId="1357" xr:uid="{70DDC609-B35F-448F-89C0-7ADBABC3C1B6}"/>
    <cellStyle name="Comma 12 3 2 5 2 2" xfId="2869" xr:uid="{CB924AC8-65CE-4612-8DB8-C4D82B20E462}"/>
    <cellStyle name="Comma 12 3 2 5 2 2 2" xfId="11941" xr:uid="{63C10033-9BFE-4B23-9C23-5578DDAA2B22}"/>
    <cellStyle name="Comma 12 3 2 5 2 2 2 2" xfId="27061" xr:uid="{0A80874F-D2C7-49E7-85F3-6AC544018EFA}"/>
    <cellStyle name="Comma 12 3 2 5 2 2 2 2 2" xfId="57301" xr:uid="{2B17CA16-DBD0-41B4-9ACB-661207BBC914}"/>
    <cellStyle name="Comma 12 3 2 5 2 2 2 3" xfId="42181" xr:uid="{32DAAF35-AFBA-4DFB-A07E-D922AC9ACE86}"/>
    <cellStyle name="Comma 12 3 2 5 2 2 3" xfId="17989" xr:uid="{DCF5E89A-8DEC-4CCC-A1FF-30F6C9B72333}"/>
    <cellStyle name="Comma 12 3 2 5 2 2 3 2" xfId="48229" xr:uid="{981CC59B-42C6-47CE-8354-D034BDDE30AC}"/>
    <cellStyle name="Comma 12 3 2 5 2 2 4" xfId="33109" xr:uid="{DF3A50F0-A484-4029-8EA4-C1486868046C}"/>
    <cellStyle name="Comma 12 3 2 5 2 3" xfId="4381" xr:uid="{5832BF24-CCCE-4408-BFED-44523E9FB950}"/>
    <cellStyle name="Comma 12 3 2 5 2 3 2" xfId="13453" xr:uid="{EF9C32B3-1290-4A8E-942D-12136B6885B7}"/>
    <cellStyle name="Comma 12 3 2 5 2 3 2 2" xfId="28573" xr:uid="{8EC39CA9-7382-4BD8-BC50-81B6F244E5D0}"/>
    <cellStyle name="Comma 12 3 2 5 2 3 2 2 2" xfId="58813" xr:uid="{FA877E72-A3BD-4967-99FB-DCD658CBA5B3}"/>
    <cellStyle name="Comma 12 3 2 5 2 3 2 3" xfId="43693" xr:uid="{A3089CDA-9197-4C87-8D39-9DC4FC8DDA52}"/>
    <cellStyle name="Comma 12 3 2 5 2 3 3" xfId="19501" xr:uid="{8EABF0AD-E57C-4E10-BA8D-A896537E046A}"/>
    <cellStyle name="Comma 12 3 2 5 2 3 3 2" xfId="49741" xr:uid="{EF2EBE95-3785-4BF2-95E0-8E9CFE1075A8}"/>
    <cellStyle name="Comma 12 3 2 5 2 3 4" xfId="34621" xr:uid="{873C2D4C-F502-4BB6-9CD9-642216F110B9}"/>
    <cellStyle name="Comma 12 3 2 5 2 4" xfId="5893" xr:uid="{82EF71F5-E22F-446F-B52C-EEF6BB96F9FE}"/>
    <cellStyle name="Comma 12 3 2 5 2 4 2" xfId="14965" xr:uid="{38EF9AA7-CD07-47FF-80EE-D3EDD3B6A814}"/>
    <cellStyle name="Comma 12 3 2 5 2 4 2 2" xfId="30085" xr:uid="{7538C89D-B9D0-4217-8AC3-DBAA7D57F997}"/>
    <cellStyle name="Comma 12 3 2 5 2 4 2 2 2" xfId="60325" xr:uid="{E3D934BF-5E37-417E-A063-5744AA3D8511}"/>
    <cellStyle name="Comma 12 3 2 5 2 4 2 3" xfId="45205" xr:uid="{3E8CF94A-0FCA-4912-91B1-A23864F9642F}"/>
    <cellStyle name="Comma 12 3 2 5 2 4 3" xfId="21013" xr:uid="{5627DEFF-29D2-4849-B7EC-7831C6C203BA}"/>
    <cellStyle name="Comma 12 3 2 5 2 4 3 2" xfId="51253" xr:uid="{D6AEBE9D-259E-4EF9-99FA-B2911E706D1F}"/>
    <cellStyle name="Comma 12 3 2 5 2 4 4" xfId="36133" xr:uid="{1ABBFE6A-3880-4DA2-8762-21417BF57E6A}"/>
    <cellStyle name="Comma 12 3 2 5 2 5" xfId="7405" xr:uid="{E2477721-E98F-4D19-BCC7-76736E7C1973}"/>
    <cellStyle name="Comma 12 3 2 5 2 5 2" xfId="22525" xr:uid="{450B1137-CF31-42C6-9097-667C075A18FF}"/>
    <cellStyle name="Comma 12 3 2 5 2 5 2 2" xfId="52765" xr:uid="{701E9B1B-E668-458B-9D67-20A2F50A8191}"/>
    <cellStyle name="Comma 12 3 2 5 2 5 3" xfId="37645" xr:uid="{37F164D3-D3D6-4567-9A60-760F1CB341E0}"/>
    <cellStyle name="Comma 12 3 2 5 2 6" xfId="8917" xr:uid="{18F68D28-042D-4D95-B060-1A48471EE5B2}"/>
    <cellStyle name="Comma 12 3 2 5 2 6 2" xfId="24037" xr:uid="{DD3927EE-170F-4C65-A7EA-84F3DD8F8221}"/>
    <cellStyle name="Comma 12 3 2 5 2 6 2 2" xfId="54277" xr:uid="{EE74CE2E-F8A0-4ABF-BD73-DAE61AE61A46}"/>
    <cellStyle name="Comma 12 3 2 5 2 6 3" xfId="39157" xr:uid="{E034A9B8-5A9B-4431-A124-112334455054}"/>
    <cellStyle name="Comma 12 3 2 5 2 7" xfId="10429" xr:uid="{D2A55294-67C6-41A4-8CAC-962BD894142B}"/>
    <cellStyle name="Comma 12 3 2 5 2 7 2" xfId="25549" xr:uid="{E66D330D-2552-4169-92D4-F3B2DD58C2A5}"/>
    <cellStyle name="Comma 12 3 2 5 2 7 2 2" xfId="55789" xr:uid="{ECFCDBC4-2B29-4E23-9C95-1F5CE12D5AD6}"/>
    <cellStyle name="Comma 12 3 2 5 2 7 3" xfId="40669" xr:uid="{F6FCED70-680E-4804-A1B5-34F97CE4BE05}"/>
    <cellStyle name="Comma 12 3 2 5 2 8" xfId="16477" xr:uid="{4A64B34E-96E0-4B0A-AEA9-CCFB28F3BED5}"/>
    <cellStyle name="Comma 12 3 2 5 2 8 2" xfId="46717" xr:uid="{0F5917BE-7200-4728-8CB5-C9685CB2A825}"/>
    <cellStyle name="Comma 12 3 2 5 2 9" xfId="31597" xr:uid="{CC1EC723-7FB6-4880-A9CE-F4D20CCF3F76}"/>
    <cellStyle name="Comma 12 3 2 5 3" xfId="2113" xr:uid="{E70245EB-3A14-459B-B03F-08617E6E5A29}"/>
    <cellStyle name="Comma 12 3 2 5 3 2" xfId="11185" xr:uid="{293C2E18-6521-4B3C-B66D-75E5FE022BAD}"/>
    <cellStyle name="Comma 12 3 2 5 3 2 2" xfId="26305" xr:uid="{D9EBE2F7-4509-45CD-AE2B-E773BB04D80B}"/>
    <cellStyle name="Comma 12 3 2 5 3 2 2 2" xfId="56545" xr:uid="{5D3E54E4-5B1E-4A6F-8BDC-75816081ED1E}"/>
    <cellStyle name="Comma 12 3 2 5 3 2 3" xfId="41425" xr:uid="{18969FF3-68F3-4769-8451-3C47C86778C9}"/>
    <cellStyle name="Comma 12 3 2 5 3 3" xfId="17233" xr:uid="{E77B1FA1-396D-4F63-82EC-102912CD6FB1}"/>
    <cellStyle name="Comma 12 3 2 5 3 3 2" xfId="47473" xr:uid="{A8981636-650F-40E5-9D90-FC750F326330}"/>
    <cellStyle name="Comma 12 3 2 5 3 4" xfId="32353" xr:uid="{3523FC42-9F37-43FD-B4AD-5056B8A4EED1}"/>
    <cellStyle name="Comma 12 3 2 5 4" xfId="3625" xr:uid="{564B149A-3DB4-4C6F-B6BF-A1369A1BB5E1}"/>
    <cellStyle name="Comma 12 3 2 5 4 2" xfId="12697" xr:uid="{0452FCB3-345E-40DC-B7B2-183B89EED97F}"/>
    <cellStyle name="Comma 12 3 2 5 4 2 2" xfId="27817" xr:uid="{BB731FF6-E181-462D-B0AC-8FFA70050EB2}"/>
    <cellStyle name="Comma 12 3 2 5 4 2 2 2" xfId="58057" xr:uid="{1DB12032-3A9E-4503-92B0-B5A7003FB383}"/>
    <cellStyle name="Comma 12 3 2 5 4 2 3" xfId="42937" xr:uid="{7172EB3C-E746-4DC0-BD6D-571416631A73}"/>
    <cellStyle name="Comma 12 3 2 5 4 3" xfId="18745" xr:uid="{56247B0D-93BD-4071-BB5A-D6E56B99134F}"/>
    <cellStyle name="Comma 12 3 2 5 4 3 2" xfId="48985" xr:uid="{D094088C-54FD-4426-9381-A94A310A8AE2}"/>
    <cellStyle name="Comma 12 3 2 5 4 4" xfId="33865" xr:uid="{71A50EB1-B30B-46B5-B2D9-B0358B61A783}"/>
    <cellStyle name="Comma 12 3 2 5 5" xfId="5137" xr:uid="{5BBDED2A-2E92-4D80-A55E-A8EBFD384030}"/>
    <cellStyle name="Comma 12 3 2 5 5 2" xfId="14209" xr:uid="{0390CEAF-9E41-4AE0-8233-711D0B5D86D9}"/>
    <cellStyle name="Comma 12 3 2 5 5 2 2" xfId="29329" xr:uid="{BA15391B-5658-4991-BF30-4EB28C399A4E}"/>
    <cellStyle name="Comma 12 3 2 5 5 2 2 2" xfId="59569" xr:uid="{0EB743F6-73F5-4C74-95BE-71E320AC9926}"/>
    <cellStyle name="Comma 12 3 2 5 5 2 3" xfId="44449" xr:uid="{F61093B1-40B3-4547-B527-0185D2D56A43}"/>
    <cellStyle name="Comma 12 3 2 5 5 3" xfId="20257" xr:uid="{B5D15F51-BAD6-4A3F-9E91-23CABAF4EB78}"/>
    <cellStyle name="Comma 12 3 2 5 5 3 2" xfId="50497" xr:uid="{4451CBE7-CD0D-4C85-A0DD-7E6F3F7CA6EE}"/>
    <cellStyle name="Comma 12 3 2 5 5 4" xfId="35377" xr:uid="{EC5F4FE7-F846-49F8-9189-084827F4787F}"/>
    <cellStyle name="Comma 12 3 2 5 6" xfId="6649" xr:uid="{F4040A9F-BC33-4308-8C6E-B6D7A2DA924D}"/>
    <cellStyle name="Comma 12 3 2 5 6 2" xfId="21769" xr:uid="{C70F7776-6193-473A-A1C2-711FE066FDAD}"/>
    <cellStyle name="Comma 12 3 2 5 6 2 2" xfId="52009" xr:uid="{87E2AE24-578E-44A6-A681-FD5340AE9CF5}"/>
    <cellStyle name="Comma 12 3 2 5 6 3" xfId="36889" xr:uid="{1BD486C5-8B0C-481C-BF45-57A350774CCA}"/>
    <cellStyle name="Comma 12 3 2 5 7" xfId="8161" xr:uid="{3E7A74D0-E160-4E00-B9EE-1F2C6E7C2BEB}"/>
    <cellStyle name="Comma 12 3 2 5 7 2" xfId="23281" xr:uid="{34F4C63E-E386-4757-A840-0163B2A784DB}"/>
    <cellStyle name="Comma 12 3 2 5 7 2 2" xfId="53521" xr:uid="{AC9D30E4-FDF7-418D-AE37-40BCFB0F13B2}"/>
    <cellStyle name="Comma 12 3 2 5 7 3" xfId="38401" xr:uid="{A06C3906-6CAE-4A9D-A87D-B0278FDDFEB8}"/>
    <cellStyle name="Comma 12 3 2 5 8" xfId="9673" xr:uid="{814AB270-5340-4AF9-AE83-D64FA9D73D6F}"/>
    <cellStyle name="Comma 12 3 2 5 8 2" xfId="24793" xr:uid="{31B5824F-F268-4DC4-AA84-7479AEA469F1}"/>
    <cellStyle name="Comma 12 3 2 5 8 2 2" xfId="55033" xr:uid="{8D3DA2F5-141E-4273-9352-E6BE9F246063}"/>
    <cellStyle name="Comma 12 3 2 5 8 3" xfId="39913" xr:uid="{8FBC37F9-AA96-4B64-A08E-9C8269EF6525}"/>
    <cellStyle name="Comma 12 3 2 5 9" xfId="15721" xr:uid="{3FB4F12C-822D-42C9-989D-69A55B4CB124}"/>
    <cellStyle name="Comma 12 3 2 5 9 2" xfId="45961" xr:uid="{18F64F13-81B1-444D-A228-2FE726DAD4DA}"/>
    <cellStyle name="Comma 12 3 2 6" xfId="853" xr:uid="{4EDB5760-665C-40B6-86A8-7032B416CE87}"/>
    <cellStyle name="Comma 12 3 2 6 2" xfId="2365" xr:uid="{C81AFB34-1864-472E-BF79-C1DE8382CA76}"/>
    <cellStyle name="Comma 12 3 2 6 2 2" xfId="11437" xr:uid="{6BCA535D-022B-45FB-BC4D-8E9398682E62}"/>
    <cellStyle name="Comma 12 3 2 6 2 2 2" xfId="26557" xr:uid="{0A5268A7-4432-4408-9EF5-87F5C5C31FE1}"/>
    <cellStyle name="Comma 12 3 2 6 2 2 2 2" xfId="56797" xr:uid="{BEC3FCBE-65F9-4104-8A35-5CDDF603D045}"/>
    <cellStyle name="Comma 12 3 2 6 2 2 3" xfId="41677" xr:uid="{A5956332-F524-4A93-B5B6-6BD3EC663F25}"/>
    <cellStyle name="Comma 12 3 2 6 2 3" xfId="17485" xr:uid="{34628122-9927-4244-B2DD-973CF4C0EF33}"/>
    <cellStyle name="Comma 12 3 2 6 2 3 2" xfId="47725" xr:uid="{79C8DDC3-A020-498C-9038-8809FA3AC5F9}"/>
    <cellStyle name="Comma 12 3 2 6 2 4" xfId="32605" xr:uid="{227A260F-CF78-4C8C-804A-80CA44616FF1}"/>
    <cellStyle name="Comma 12 3 2 6 3" xfId="3877" xr:uid="{C7D38AF6-8A89-40A1-9E1D-792B98D055D0}"/>
    <cellStyle name="Comma 12 3 2 6 3 2" xfId="12949" xr:uid="{95A449C5-50A8-43EB-AF78-988F984B1161}"/>
    <cellStyle name="Comma 12 3 2 6 3 2 2" xfId="28069" xr:uid="{2F6B91FD-4476-46FA-97EF-11426A3074EA}"/>
    <cellStyle name="Comma 12 3 2 6 3 2 2 2" xfId="58309" xr:uid="{305166B9-DD29-46EF-B8D2-8DE8BE9DE2C1}"/>
    <cellStyle name="Comma 12 3 2 6 3 2 3" xfId="43189" xr:uid="{5525FD8C-51DA-4D1D-962D-2E27478F8C00}"/>
    <cellStyle name="Comma 12 3 2 6 3 3" xfId="18997" xr:uid="{B49330E2-9323-41DB-A960-D8FDEF9ADD22}"/>
    <cellStyle name="Comma 12 3 2 6 3 3 2" xfId="49237" xr:uid="{B3B32C91-B6B2-4A0F-B834-8DA4D7E7489D}"/>
    <cellStyle name="Comma 12 3 2 6 3 4" xfId="34117" xr:uid="{565E255F-293F-4095-8D1B-158DA4FB9CC3}"/>
    <cellStyle name="Comma 12 3 2 6 4" xfId="5389" xr:uid="{5672E896-13B9-4C12-B6AF-15839BFBE7CA}"/>
    <cellStyle name="Comma 12 3 2 6 4 2" xfId="14461" xr:uid="{75C3151A-5A4F-4E27-9A49-D807ABB49D0A}"/>
    <cellStyle name="Comma 12 3 2 6 4 2 2" xfId="29581" xr:uid="{2B1B6228-D9B9-4313-AE77-814B1A2BC4B2}"/>
    <cellStyle name="Comma 12 3 2 6 4 2 2 2" xfId="59821" xr:uid="{CDACD2C5-F2F2-4972-975F-994FBFFC12A7}"/>
    <cellStyle name="Comma 12 3 2 6 4 2 3" xfId="44701" xr:uid="{A6639EF4-12FD-44AA-A431-35F256C0FF16}"/>
    <cellStyle name="Comma 12 3 2 6 4 3" xfId="20509" xr:uid="{FBD45F80-A2D9-4357-BF2B-30663AB481F0}"/>
    <cellStyle name="Comma 12 3 2 6 4 3 2" xfId="50749" xr:uid="{958DCF95-44D2-42D2-A30E-C0A77E335DB2}"/>
    <cellStyle name="Comma 12 3 2 6 4 4" xfId="35629" xr:uid="{186E64D3-BA96-436A-8B28-8FC8312961D6}"/>
    <cellStyle name="Comma 12 3 2 6 5" xfId="6901" xr:uid="{2ED70821-5B65-437C-9608-2FD591902F5A}"/>
    <cellStyle name="Comma 12 3 2 6 5 2" xfId="22021" xr:uid="{196ADE6B-53B7-4BB8-A896-AC322D593F31}"/>
    <cellStyle name="Comma 12 3 2 6 5 2 2" xfId="52261" xr:uid="{8B0CE991-46DA-4B1D-97BB-C42FF9D8FCCE}"/>
    <cellStyle name="Comma 12 3 2 6 5 3" xfId="37141" xr:uid="{0E024939-6479-40FF-B56F-4DD63548E4A5}"/>
    <cellStyle name="Comma 12 3 2 6 6" xfId="8413" xr:uid="{E9027F10-A3A1-43D7-A899-9A547854726C}"/>
    <cellStyle name="Comma 12 3 2 6 6 2" xfId="23533" xr:uid="{2FA227DC-DF5E-41E7-A3BB-043F6B394B3E}"/>
    <cellStyle name="Comma 12 3 2 6 6 2 2" xfId="53773" xr:uid="{F57BC26D-05AC-4211-BC77-FC1C8DDCC346}"/>
    <cellStyle name="Comma 12 3 2 6 6 3" xfId="38653" xr:uid="{A96C7C98-CBDA-4F9C-9551-2CF7688BFCC4}"/>
    <cellStyle name="Comma 12 3 2 6 7" xfId="9925" xr:uid="{9D89B038-96DC-4047-BC89-7E2CA65D10C7}"/>
    <cellStyle name="Comma 12 3 2 6 7 2" xfId="25045" xr:uid="{E67531CF-CDC6-4F90-8101-12EDF962827B}"/>
    <cellStyle name="Comma 12 3 2 6 7 2 2" xfId="55285" xr:uid="{BBEADAE0-4AEB-41BD-9521-A5E12FF22260}"/>
    <cellStyle name="Comma 12 3 2 6 7 3" xfId="40165" xr:uid="{9763F9DE-36B8-4AEB-9DE1-C72D4FD0FA83}"/>
    <cellStyle name="Comma 12 3 2 6 8" xfId="15973" xr:uid="{52AA1D38-71DE-4C6C-8ECE-B4A51D84B5C3}"/>
    <cellStyle name="Comma 12 3 2 6 8 2" xfId="46213" xr:uid="{86AB2BA7-5F26-4573-9A63-8F9E0A26EDDB}"/>
    <cellStyle name="Comma 12 3 2 6 9" xfId="31093" xr:uid="{72836CF7-F874-4B72-B9D5-542C03EA3698}"/>
    <cellStyle name="Comma 12 3 2 7" xfId="1609" xr:uid="{1FFBE084-87D9-4FE6-AF2A-0B4A8DBFB1D6}"/>
    <cellStyle name="Comma 12 3 2 7 2" xfId="10681" xr:uid="{523D1E7C-8FC0-4C0E-B3AB-1161E1741782}"/>
    <cellStyle name="Comma 12 3 2 7 2 2" xfId="25801" xr:uid="{EA176B64-5F19-4A01-A276-CCFD3F97E968}"/>
    <cellStyle name="Comma 12 3 2 7 2 2 2" xfId="56041" xr:uid="{6E85F4C6-A1AE-4A42-B7C3-E7F571EA4DA1}"/>
    <cellStyle name="Comma 12 3 2 7 2 3" xfId="40921" xr:uid="{5D200F15-8A05-404A-B4B2-220BA742BA92}"/>
    <cellStyle name="Comma 12 3 2 7 3" xfId="16729" xr:uid="{963DE35D-A424-440D-8E7A-EB496C954507}"/>
    <cellStyle name="Comma 12 3 2 7 3 2" xfId="46969" xr:uid="{2D9594EF-CFCC-49BF-A35D-910ED386A63B}"/>
    <cellStyle name="Comma 12 3 2 7 4" xfId="31849" xr:uid="{6DB3DD05-CCD3-4344-8AFF-2D9EB0950216}"/>
    <cellStyle name="Comma 12 3 2 8" xfId="3121" xr:uid="{20DF02F8-9494-40F9-B1EC-193FB7D322F3}"/>
    <cellStyle name="Comma 12 3 2 8 2" xfId="12193" xr:uid="{7CD77064-DE96-4CF1-8894-172E83C3F7E9}"/>
    <cellStyle name="Comma 12 3 2 8 2 2" xfId="27313" xr:uid="{3693F1CF-D4CA-4DE3-B7DE-7C1AE19A0A97}"/>
    <cellStyle name="Comma 12 3 2 8 2 2 2" xfId="57553" xr:uid="{9AD59634-0B81-4EBA-BD10-E9D0C9328875}"/>
    <cellStyle name="Comma 12 3 2 8 2 3" xfId="42433" xr:uid="{12A56791-C919-40C7-8745-0EAD25F6EDE2}"/>
    <cellStyle name="Comma 12 3 2 8 3" xfId="18241" xr:uid="{15DCD7BA-F2EB-49E1-856C-1B1CE8AD3D4D}"/>
    <cellStyle name="Comma 12 3 2 8 3 2" xfId="48481" xr:uid="{61907218-9769-40D1-9818-54708A10EB63}"/>
    <cellStyle name="Comma 12 3 2 8 4" xfId="33361" xr:uid="{02F4A990-5E0D-45E4-BF3B-A84BE904A523}"/>
    <cellStyle name="Comma 12 3 2 9" xfId="4633" xr:uid="{E318AD91-7E01-4B5E-BFB5-2A24F8D508DB}"/>
    <cellStyle name="Comma 12 3 2 9 2" xfId="13705" xr:uid="{8D1E268B-1D62-4880-92F4-F98CDD28433D}"/>
    <cellStyle name="Comma 12 3 2 9 2 2" xfId="28825" xr:uid="{A7A653C3-83E4-45CB-88E2-0FD23AAA4270}"/>
    <cellStyle name="Comma 12 3 2 9 2 2 2" xfId="59065" xr:uid="{1EFD45AB-AEE9-4263-B41E-532570B13A40}"/>
    <cellStyle name="Comma 12 3 2 9 2 3" xfId="43945" xr:uid="{E7E14989-7A79-45C5-BDF1-EF55FD4AFE56}"/>
    <cellStyle name="Comma 12 3 2 9 3" xfId="19753" xr:uid="{98730252-15C3-4BFB-BF53-F0AC96F606E6}"/>
    <cellStyle name="Comma 12 3 2 9 3 2" xfId="49993" xr:uid="{04D3CFFD-9743-41DD-A4CC-A700A77DB928}"/>
    <cellStyle name="Comma 12 3 2 9 4" xfId="34873" xr:uid="{6AC70CA6-A13A-4FDB-A925-D00EB6879E82}"/>
    <cellStyle name="Comma 12 3 3" xfId="139" xr:uid="{373794F6-651B-446C-9AAB-3607DC1CE8D5}"/>
    <cellStyle name="Comma 12 3 3 10" xfId="9211" xr:uid="{5FE3F295-781B-4260-A217-3E9DB79FA45A}"/>
    <cellStyle name="Comma 12 3 3 10 2" xfId="24331" xr:uid="{7784E90A-50DB-4CEC-9EAB-1FFB71B7C479}"/>
    <cellStyle name="Comma 12 3 3 10 2 2" xfId="54571" xr:uid="{5A58594D-8949-4F79-B3B0-24120D65C6FC}"/>
    <cellStyle name="Comma 12 3 3 10 3" xfId="39451" xr:uid="{BCF1212D-1097-4078-AFC2-A0E4EA9245E4}"/>
    <cellStyle name="Comma 12 3 3 11" xfId="15259" xr:uid="{156E827A-820D-4A4C-8152-647FAF05A0F8}"/>
    <cellStyle name="Comma 12 3 3 11 2" xfId="45499" xr:uid="{0951CD23-7182-4A60-8169-68CA9A05054F}"/>
    <cellStyle name="Comma 12 3 3 12" xfId="30379" xr:uid="{2E0A091E-3E03-44B6-B0DF-A6AB9374B74A}"/>
    <cellStyle name="Comma 12 3 3 2" xfId="391" xr:uid="{761FB6CD-41D1-40CC-8425-48E473705D65}"/>
    <cellStyle name="Comma 12 3 3 2 10" xfId="30631" xr:uid="{7A638382-6387-4153-A810-02993D08A7C4}"/>
    <cellStyle name="Comma 12 3 3 2 2" xfId="1147" xr:uid="{36445176-3F65-40D3-9625-11F746D8CE07}"/>
    <cellStyle name="Comma 12 3 3 2 2 2" xfId="2659" xr:uid="{05BAB3CD-735B-4A61-8C56-318205672710}"/>
    <cellStyle name="Comma 12 3 3 2 2 2 2" xfId="11731" xr:uid="{70DEAC75-9C6C-4D0F-BA1A-DCA1637E096A}"/>
    <cellStyle name="Comma 12 3 3 2 2 2 2 2" xfId="26851" xr:uid="{0DCADF84-7840-4B8C-9A28-26BF568E0370}"/>
    <cellStyle name="Comma 12 3 3 2 2 2 2 2 2" xfId="57091" xr:uid="{B7609D25-DCB8-4D1B-B567-BDA0C1AE3A9B}"/>
    <cellStyle name="Comma 12 3 3 2 2 2 2 3" xfId="41971" xr:uid="{FC0B9973-B84D-4A85-A96C-BECFA3514E38}"/>
    <cellStyle name="Comma 12 3 3 2 2 2 3" xfId="17779" xr:uid="{7992A69C-77CC-4A66-9703-D3CBC5B2226D}"/>
    <cellStyle name="Comma 12 3 3 2 2 2 3 2" xfId="48019" xr:uid="{644906AE-3D29-4A00-AFFD-D3C49C9F2C92}"/>
    <cellStyle name="Comma 12 3 3 2 2 2 4" xfId="32899" xr:uid="{4DBED19A-AE5E-4BEC-AA2D-C09A156600DA}"/>
    <cellStyle name="Comma 12 3 3 2 2 3" xfId="4171" xr:uid="{8A39121F-B880-4144-9EE3-49C4FE1F1FED}"/>
    <cellStyle name="Comma 12 3 3 2 2 3 2" xfId="13243" xr:uid="{5ED696CE-4571-488F-A0AA-C27032692DBE}"/>
    <cellStyle name="Comma 12 3 3 2 2 3 2 2" xfId="28363" xr:uid="{146FE96B-4C4C-4BD0-8265-8EB1BE1F4449}"/>
    <cellStyle name="Comma 12 3 3 2 2 3 2 2 2" xfId="58603" xr:uid="{3BFB07B8-557D-4B2F-BC71-A2B511B5FB7C}"/>
    <cellStyle name="Comma 12 3 3 2 2 3 2 3" xfId="43483" xr:uid="{462CEAB2-67D4-4F14-88B4-62C385A8402A}"/>
    <cellStyle name="Comma 12 3 3 2 2 3 3" xfId="19291" xr:uid="{B44C142A-EB0F-4056-AACC-A8E1A207528A}"/>
    <cellStyle name="Comma 12 3 3 2 2 3 3 2" xfId="49531" xr:uid="{62F7C932-26F3-464E-88C4-C52623D0D8A5}"/>
    <cellStyle name="Comma 12 3 3 2 2 3 4" xfId="34411" xr:uid="{5C0DCB2A-7273-4B9C-8895-82F3861C3249}"/>
    <cellStyle name="Comma 12 3 3 2 2 4" xfId="5683" xr:uid="{047D24EF-FA23-4217-87E2-29E0ACAB092B}"/>
    <cellStyle name="Comma 12 3 3 2 2 4 2" xfId="14755" xr:uid="{981F0120-50AB-4D93-BF52-9BA6F7C96C59}"/>
    <cellStyle name="Comma 12 3 3 2 2 4 2 2" xfId="29875" xr:uid="{9B1807BE-A8EE-4C57-A781-583C256F63F3}"/>
    <cellStyle name="Comma 12 3 3 2 2 4 2 2 2" xfId="60115" xr:uid="{4A4348E6-C66C-4823-81B3-06345255899C}"/>
    <cellStyle name="Comma 12 3 3 2 2 4 2 3" xfId="44995" xr:uid="{A08B4C7C-98CC-432B-A311-4AFE4FAFEB43}"/>
    <cellStyle name="Comma 12 3 3 2 2 4 3" xfId="20803" xr:uid="{AD22F229-32B4-46D9-AF20-F1ABDFADCC13}"/>
    <cellStyle name="Comma 12 3 3 2 2 4 3 2" xfId="51043" xr:uid="{86F4BD2E-181A-460C-9918-64B45A49D45C}"/>
    <cellStyle name="Comma 12 3 3 2 2 4 4" xfId="35923" xr:uid="{F27E760F-68D8-4C8F-B039-0CCA1AF41DAC}"/>
    <cellStyle name="Comma 12 3 3 2 2 5" xfId="7195" xr:uid="{899D7C89-BA2D-44DA-B34D-84E0B8BB248D}"/>
    <cellStyle name="Comma 12 3 3 2 2 5 2" xfId="22315" xr:uid="{F6D843A9-60D0-44A9-AAE2-8C966B47EC86}"/>
    <cellStyle name="Comma 12 3 3 2 2 5 2 2" xfId="52555" xr:uid="{2D51ADCC-ABFB-4886-96A8-AD7B67EE8145}"/>
    <cellStyle name="Comma 12 3 3 2 2 5 3" xfId="37435" xr:uid="{0799B4BD-9B09-48BD-924D-65EBE5BCA3AD}"/>
    <cellStyle name="Comma 12 3 3 2 2 6" xfId="8707" xr:uid="{8DD21042-BDAB-4E53-AEEA-774BBDAD3200}"/>
    <cellStyle name="Comma 12 3 3 2 2 6 2" xfId="23827" xr:uid="{39B647F6-96B6-485D-A940-276481B33997}"/>
    <cellStyle name="Comma 12 3 3 2 2 6 2 2" xfId="54067" xr:uid="{63B2DAE8-67CD-4276-8AD1-BA7351897C7F}"/>
    <cellStyle name="Comma 12 3 3 2 2 6 3" xfId="38947" xr:uid="{D40E7032-C62D-407A-8C9F-46C2DDEF7E4B}"/>
    <cellStyle name="Comma 12 3 3 2 2 7" xfId="10219" xr:uid="{16C2957E-24DF-47B1-B986-4CBDEBD2F5C9}"/>
    <cellStyle name="Comma 12 3 3 2 2 7 2" xfId="25339" xr:uid="{560B9144-000C-4ED1-90D9-34E0822DE76B}"/>
    <cellStyle name="Comma 12 3 3 2 2 7 2 2" xfId="55579" xr:uid="{8C72C40D-16F9-40E0-8C53-7FDD1FE2E72D}"/>
    <cellStyle name="Comma 12 3 3 2 2 7 3" xfId="40459" xr:uid="{AD544C9A-3DD6-4C88-BE2E-F7F450E6D7EA}"/>
    <cellStyle name="Comma 12 3 3 2 2 8" xfId="16267" xr:uid="{8D5C05C9-C52D-480C-948B-4AB7C246BBAF}"/>
    <cellStyle name="Comma 12 3 3 2 2 8 2" xfId="46507" xr:uid="{FA1FA602-8BBB-491A-A66C-FF22294EB7BB}"/>
    <cellStyle name="Comma 12 3 3 2 2 9" xfId="31387" xr:uid="{6525EC43-116E-42A6-9799-F1370785A5CD}"/>
    <cellStyle name="Comma 12 3 3 2 3" xfId="1903" xr:uid="{9AB70814-AB27-4AFF-B0A4-2729D9AC6FF6}"/>
    <cellStyle name="Comma 12 3 3 2 3 2" xfId="10975" xr:uid="{86B77F47-CB89-41A9-B4F7-DCEA0DF31B11}"/>
    <cellStyle name="Comma 12 3 3 2 3 2 2" xfId="26095" xr:uid="{871E3A19-952F-4330-9E02-DACFEEB92859}"/>
    <cellStyle name="Comma 12 3 3 2 3 2 2 2" xfId="56335" xr:uid="{19C9785C-C74B-466B-A438-9CA54DAC8F06}"/>
    <cellStyle name="Comma 12 3 3 2 3 2 3" xfId="41215" xr:uid="{5957CD93-FE89-42B6-B7FF-8FFCDC713045}"/>
    <cellStyle name="Comma 12 3 3 2 3 3" xfId="17023" xr:uid="{F618B78C-2535-40AC-BC38-4A6655729930}"/>
    <cellStyle name="Comma 12 3 3 2 3 3 2" xfId="47263" xr:uid="{EB725C8B-B3B6-42E2-89E1-B834AA63701A}"/>
    <cellStyle name="Comma 12 3 3 2 3 4" xfId="32143" xr:uid="{67078D20-2385-4991-BC33-4CA590114114}"/>
    <cellStyle name="Comma 12 3 3 2 4" xfId="3415" xr:uid="{7A838A80-E4A2-4B3E-946B-C7ABAF3DC619}"/>
    <cellStyle name="Comma 12 3 3 2 4 2" xfId="12487" xr:uid="{11CBE370-9BD8-4DCB-AC03-223030474D58}"/>
    <cellStyle name="Comma 12 3 3 2 4 2 2" xfId="27607" xr:uid="{D4B749FA-2C86-4D4D-9B95-7022FD421457}"/>
    <cellStyle name="Comma 12 3 3 2 4 2 2 2" xfId="57847" xr:uid="{392D7C9F-9D45-462B-95B5-3EE59082DAA0}"/>
    <cellStyle name="Comma 12 3 3 2 4 2 3" xfId="42727" xr:uid="{F9584423-61D1-430E-AAA8-9306C8F64CC6}"/>
    <cellStyle name="Comma 12 3 3 2 4 3" xfId="18535" xr:uid="{297073E4-E20D-4E6C-9FC1-861F7F2E7E4C}"/>
    <cellStyle name="Comma 12 3 3 2 4 3 2" xfId="48775" xr:uid="{F75A5AA6-8855-493B-A5CD-C790312A6E27}"/>
    <cellStyle name="Comma 12 3 3 2 4 4" xfId="33655" xr:uid="{92DAD936-E316-47BE-8F3E-BC83B272F999}"/>
    <cellStyle name="Comma 12 3 3 2 5" xfId="4927" xr:uid="{4E3B3AB3-2704-475C-852A-FD53AC9F2763}"/>
    <cellStyle name="Comma 12 3 3 2 5 2" xfId="13999" xr:uid="{4F2621D1-2C55-49D2-BAB2-32B7890B795C}"/>
    <cellStyle name="Comma 12 3 3 2 5 2 2" xfId="29119" xr:uid="{22B9766A-1342-4743-BBBF-B20047EE0AFC}"/>
    <cellStyle name="Comma 12 3 3 2 5 2 2 2" xfId="59359" xr:uid="{6E3438BA-52B6-48D9-A017-6D14EF267777}"/>
    <cellStyle name="Comma 12 3 3 2 5 2 3" xfId="44239" xr:uid="{DD39CE08-0EE4-4D0D-B18C-6B8104578F8C}"/>
    <cellStyle name="Comma 12 3 3 2 5 3" xfId="20047" xr:uid="{5B69B9FC-C878-4233-95C3-B8695F2111CA}"/>
    <cellStyle name="Comma 12 3 3 2 5 3 2" xfId="50287" xr:uid="{17EFBDCD-F7C5-48BA-AE5E-F56F5C9E72D0}"/>
    <cellStyle name="Comma 12 3 3 2 5 4" xfId="35167" xr:uid="{52694517-EECC-48E7-A992-6690102E71B5}"/>
    <cellStyle name="Comma 12 3 3 2 6" xfId="6439" xr:uid="{3E80CE28-50AC-4EA0-8D57-80AECD0B9D6E}"/>
    <cellStyle name="Comma 12 3 3 2 6 2" xfId="21559" xr:uid="{D61B2D46-14EE-4AA1-8C02-1B0A60179649}"/>
    <cellStyle name="Comma 12 3 3 2 6 2 2" xfId="51799" xr:uid="{546980EC-0184-4A63-A886-E2BFB756E14C}"/>
    <cellStyle name="Comma 12 3 3 2 6 3" xfId="36679" xr:uid="{C6ADE9FB-21DC-41D4-838A-26C9F0DB9EDA}"/>
    <cellStyle name="Comma 12 3 3 2 7" xfId="7951" xr:uid="{C9CFF218-51FA-45D9-ACB7-57C13FD01898}"/>
    <cellStyle name="Comma 12 3 3 2 7 2" xfId="23071" xr:uid="{6681E6C8-DC6D-4F66-A210-5EFC2F15ED28}"/>
    <cellStyle name="Comma 12 3 3 2 7 2 2" xfId="53311" xr:uid="{97FA1C07-B1D5-484D-B881-92D9460844C2}"/>
    <cellStyle name="Comma 12 3 3 2 7 3" xfId="38191" xr:uid="{36BB6414-91BF-47B3-88CA-EF9B181201DE}"/>
    <cellStyle name="Comma 12 3 3 2 8" xfId="9463" xr:uid="{FD70489B-2EB1-483E-90FF-A271DFA06EA5}"/>
    <cellStyle name="Comma 12 3 3 2 8 2" xfId="24583" xr:uid="{C6B0840A-58CB-43AD-AA79-8FFAA1E7EB9A}"/>
    <cellStyle name="Comma 12 3 3 2 8 2 2" xfId="54823" xr:uid="{F80B26AD-F9A0-4396-BD1F-C5AA905E970C}"/>
    <cellStyle name="Comma 12 3 3 2 8 3" xfId="39703" xr:uid="{B2CBF216-D2FA-4C1B-A35C-6A2FCBFCFFAD}"/>
    <cellStyle name="Comma 12 3 3 2 9" xfId="15511" xr:uid="{418047FB-69C6-444B-A50A-2BE833722939}"/>
    <cellStyle name="Comma 12 3 3 2 9 2" xfId="45751" xr:uid="{8F746352-40B0-4480-A7E9-0D1913F9F2D6}"/>
    <cellStyle name="Comma 12 3 3 3" xfId="643" xr:uid="{A73C63D5-F88F-4FC3-8F2C-E82C1CEA4E85}"/>
    <cellStyle name="Comma 12 3 3 3 10" xfId="30883" xr:uid="{7C94E094-D5E2-4C52-A0C9-7C95CC0F4CA6}"/>
    <cellStyle name="Comma 12 3 3 3 2" xfId="1399" xr:uid="{214FA4E2-2809-4D3C-896D-0BEB7C12F1C0}"/>
    <cellStyle name="Comma 12 3 3 3 2 2" xfId="2911" xr:uid="{28637558-72C3-42C0-BBDC-28D3BFAFD509}"/>
    <cellStyle name="Comma 12 3 3 3 2 2 2" xfId="11983" xr:uid="{A3699B4B-442E-4E51-A15F-1E3F21FC05F2}"/>
    <cellStyle name="Comma 12 3 3 3 2 2 2 2" xfId="27103" xr:uid="{C498ADD6-DD11-4BFE-8E1B-9FB52151C4FD}"/>
    <cellStyle name="Comma 12 3 3 3 2 2 2 2 2" xfId="57343" xr:uid="{DECC5F27-4C1E-4AE0-AF46-F1C144546159}"/>
    <cellStyle name="Comma 12 3 3 3 2 2 2 3" xfId="42223" xr:uid="{D2CC49A3-8E12-4AD6-81A3-90531DE8A1D8}"/>
    <cellStyle name="Comma 12 3 3 3 2 2 3" xfId="18031" xr:uid="{D3B3A9A2-AABB-4BE9-ADEA-8E33FEDF672E}"/>
    <cellStyle name="Comma 12 3 3 3 2 2 3 2" xfId="48271" xr:uid="{26D38695-0083-41C5-93CB-35178EE45F4E}"/>
    <cellStyle name="Comma 12 3 3 3 2 2 4" xfId="33151" xr:uid="{27032B50-07E5-4875-8E2F-DE488FCD66AF}"/>
    <cellStyle name="Comma 12 3 3 3 2 3" xfId="4423" xr:uid="{0A2521F5-969D-495E-BAED-25D2FD1C0141}"/>
    <cellStyle name="Comma 12 3 3 3 2 3 2" xfId="13495" xr:uid="{4889B0E4-D871-4586-B7A7-A7B7B96C6E32}"/>
    <cellStyle name="Comma 12 3 3 3 2 3 2 2" xfId="28615" xr:uid="{F4D899B0-3A1D-40B5-AC36-841929B95F0F}"/>
    <cellStyle name="Comma 12 3 3 3 2 3 2 2 2" xfId="58855" xr:uid="{ACBBF1F6-A0E4-4C06-928F-B95C7471C05C}"/>
    <cellStyle name="Comma 12 3 3 3 2 3 2 3" xfId="43735" xr:uid="{657D0640-2192-4150-A7FC-C61257592F1B}"/>
    <cellStyle name="Comma 12 3 3 3 2 3 3" xfId="19543" xr:uid="{6B18692B-4351-4786-B933-23A917FD0A7C}"/>
    <cellStyle name="Comma 12 3 3 3 2 3 3 2" xfId="49783" xr:uid="{467F9249-F1A8-4EEE-B9AE-055BACBA2E87}"/>
    <cellStyle name="Comma 12 3 3 3 2 3 4" xfId="34663" xr:uid="{DFF85859-E29A-4EBF-B767-C647F00DC2C3}"/>
    <cellStyle name="Comma 12 3 3 3 2 4" xfId="5935" xr:uid="{93621D83-ACCD-4A46-AFB8-64E1B807D5D6}"/>
    <cellStyle name="Comma 12 3 3 3 2 4 2" xfId="15007" xr:uid="{E8EA584A-1463-453F-B5F5-DFE8F608713D}"/>
    <cellStyle name="Comma 12 3 3 3 2 4 2 2" xfId="30127" xr:uid="{A827B242-EF4C-4F81-A200-6A63B6A055F5}"/>
    <cellStyle name="Comma 12 3 3 3 2 4 2 2 2" xfId="60367" xr:uid="{E8ED67D3-CEF3-4EC5-9114-069D170652EA}"/>
    <cellStyle name="Comma 12 3 3 3 2 4 2 3" xfId="45247" xr:uid="{7119BF0F-2E72-4850-9DFF-8C2F1FE9BB96}"/>
    <cellStyle name="Comma 12 3 3 3 2 4 3" xfId="21055" xr:uid="{90C7AC70-87A1-43BA-ABEB-87EE39A46BC7}"/>
    <cellStyle name="Comma 12 3 3 3 2 4 3 2" xfId="51295" xr:uid="{C818EAEB-2601-44A2-80BA-2AEFA2573D4A}"/>
    <cellStyle name="Comma 12 3 3 3 2 4 4" xfId="36175" xr:uid="{A587FDC7-C041-458F-A330-7CF77A486BFD}"/>
    <cellStyle name="Comma 12 3 3 3 2 5" xfId="7447" xr:uid="{4C7E23AA-7008-4C43-A441-61F2E0A29810}"/>
    <cellStyle name="Comma 12 3 3 3 2 5 2" xfId="22567" xr:uid="{CD10F91B-4742-45E2-B302-D9A207C3DC84}"/>
    <cellStyle name="Comma 12 3 3 3 2 5 2 2" xfId="52807" xr:uid="{49489700-6069-40A4-82B0-92A5585ED13B}"/>
    <cellStyle name="Comma 12 3 3 3 2 5 3" xfId="37687" xr:uid="{25B6712D-CE06-4403-805B-5959A1500692}"/>
    <cellStyle name="Comma 12 3 3 3 2 6" xfId="8959" xr:uid="{AC8A40F7-DE60-4562-8C35-3BA3F5BB9D70}"/>
    <cellStyle name="Comma 12 3 3 3 2 6 2" xfId="24079" xr:uid="{34DD0BC0-09BC-4BC6-A801-37583A7FD71B}"/>
    <cellStyle name="Comma 12 3 3 3 2 6 2 2" xfId="54319" xr:uid="{A05553E0-D7E8-416E-BF18-87DCE775B620}"/>
    <cellStyle name="Comma 12 3 3 3 2 6 3" xfId="39199" xr:uid="{287E8A55-EBEE-4D57-AFB5-41BA841B6AC8}"/>
    <cellStyle name="Comma 12 3 3 3 2 7" xfId="10471" xr:uid="{66242DD9-D9C0-4393-A2C0-D6891C22E854}"/>
    <cellStyle name="Comma 12 3 3 3 2 7 2" xfId="25591" xr:uid="{7AF00140-A700-47CD-9125-25C4343E8D98}"/>
    <cellStyle name="Comma 12 3 3 3 2 7 2 2" xfId="55831" xr:uid="{A6B0E9B4-F0E5-48CE-A7CC-B23BD7110D63}"/>
    <cellStyle name="Comma 12 3 3 3 2 7 3" xfId="40711" xr:uid="{6C137051-E2F5-4CDA-AD18-946F014E48A5}"/>
    <cellStyle name="Comma 12 3 3 3 2 8" xfId="16519" xr:uid="{4C1AF648-18D3-4E62-AC42-E0AF7D446ED8}"/>
    <cellStyle name="Comma 12 3 3 3 2 8 2" xfId="46759" xr:uid="{D4D92EAB-D505-4B23-8F51-7B085C2F1DAC}"/>
    <cellStyle name="Comma 12 3 3 3 2 9" xfId="31639" xr:uid="{19D41C3C-9FB5-4314-9ACB-A75FB1455481}"/>
    <cellStyle name="Comma 12 3 3 3 3" xfId="2155" xr:uid="{9A289598-D0C5-4EF2-BB67-4457823F993E}"/>
    <cellStyle name="Comma 12 3 3 3 3 2" xfId="11227" xr:uid="{B1708B46-F3FB-4709-A40D-23BEFB33EB4C}"/>
    <cellStyle name="Comma 12 3 3 3 3 2 2" xfId="26347" xr:uid="{63DA7F07-9833-4211-84CA-61C2457C101B}"/>
    <cellStyle name="Comma 12 3 3 3 3 2 2 2" xfId="56587" xr:uid="{F90972B6-7753-4967-9FC9-6CAA377270E9}"/>
    <cellStyle name="Comma 12 3 3 3 3 2 3" xfId="41467" xr:uid="{4B21EB46-7BC7-4480-95A7-A1E425BC982C}"/>
    <cellStyle name="Comma 12 3 3 3 3 3" xfId="17275" xr:uid="{4AC40609-B2CD-46E7-8B93-499E5B66D4C4}"/>
    <cellStyle name="Comma 12 3 3 3 3 3 2" xfId="47515" xr:uid="{CF65315C-0AE2-4D2D-A9E0-A4D285D11F08}"/>
    <cellStyle name="Comma 12 3 3 3 3 4" xfId="32395" xr:uid="{4FB847AD-DD94-4FD1-9E60-39B6916C3F96}"/>
    <cellStyle name="Comma 12 3 3 3 4" xfId="3667" xr:uid="{7F742A94-B73B-44D2-9E1A-9F0CF16A60A6}"/>
    <cellStyle name="Comma 12 3 3 3 4 2" xfId="12739" xr:uid="{7701DFB4-0BEE-4459-8FB7-53D84363D1F5}"/>
    <cellStyle name="Comma 12 3 3 3 4 2 2" xfId="27859" xr:uid="{D75CC294-ADD1-46BE-8A2A-E89C5104D455}"/>
    <cellStyle name="Comma 12 3 3 3 4 2 2 2" xfId="58099" xr:uid="{31BEDC38-CBBD-4B98-9635-6BAC019362A6}"/>
    <cellStyle name="Comma 12 3 3 3 4 2 3" xfId="42979" xr:uid="{79C4BFC0-A526-470C-915C-352E7BF90A81}"/>
    <cellStyle name="Comma 12 3 3 3 4 3" xfId="18787" xr:uid="{2347A601-9451-42FF-86E0-28444E95B556}"/>
    <cellStyle name="Comma 12 3 3 3 4 3 2" xfId="49027" xr:uid="{4C0EBF50-7084-4631-92C2-65AD40C70EC7}"/>
    <cellStyle name="Comma 12 3 3 3 4 4" xfId="33907" xr:uid="{7996C3CD-8AEA-452C-AD93-AB5183ECC735}"/>
    <cellStyle name="Comma 12 3 3 3 5" xfId="5179" xr:uid="{325D7B22-150F-4E8A-90F7-4D5F625FE4B8}"/>
    <cellStyle name="Comma 12 3 3 3 5 2" xfId="14251" xr:uid="{5E107889-B6B5-4124-8C2F-2857FE3091BC}"/>
    <cellStyle name="Comma 12 3 3 3 5 2 2" xfId="29371" xr:uid="{D6D7D9C2-A064-429B-8B64-2045DE2FD8DF}"/>
    <cellStyle name="Comma 12 3 3 3 5 2 2 2" xfId="59611" xr:uid="{CDA0129E-2306-4B51-9B01-532C7DE69098}"/>
    <cellStyle name="Comma 12 3 3 3 5 2 3" xfId="44491" xr:uid="{ADDA0E23-5EA2-4E41-AC3A-7A36CBA2B656}"/>
    <cellStyle name="Comma 12 3 3 3 5 3" xfId="20299" xr:uid="{5FBC1B5B-50E3-423F-8F88-E557BAEFE2D6}"/>
    <cellStyle name="Comma 12 3 3 3 5 3 2" xfId="50539" xr:uid="{87E01199-6E0D-4FCB-953E-EBCDB926F092}"/>
    <cellStyle name="Comma 12 3 3 3 5 4" xfId="35419" xr:uid="{9F09E04A-7A47-4D6F-8218-1E20E8F4CEF8}"/>
    <cellStyle name="Comma 12 3 3 3 6" xfId="6691" xr:uid="{157B7D47-3BB5-465E-8AEE-FFE05E032624}"/>
    <cellStyle name="Comma 12 3 3 3 6 2" xfId="21811" xr:uid="{8F266A6C-D91F-4CF6-9B04-2C7CAB49D268}"/>
    <cellStyle name="Comma 12 3 3 3 6 2 2" xfId="52051" xr:uid="{9591F134-0327-4720-860D-DB9589EC6E5B}"/>
    <cellStyle name="Comma 12 3 3 3 6 3" xfId="36931" xr:uid="{91704770-7329-499A-B995-746B4BFF0B08}"/>
    <cellStyle name="Comma 12 3 3 3 7" xfId="8203" xr:uid="{B5887E27-306E-442D-A7BC-863F5F6D2D1E}"/>
    <cellStyle name="Comma 12 3 3 3 7 2" xfId="23323" xr:uid="{47336047-58A2-4080-A82D-F38ED9A69D61}"/>
    <cellStyle name="Comma 12 3 3 3 7 2 2" xfId="53563" xr:uid="{C126C9AB-2DA6-40F9-BA64-B858D7E292B3}"/>
    <cellStyle name="Comma 12 3 3 3 7 3" xfId="38443" xr:uid="{62A0BD1F-12CF-4464-83FB-983AEFD30509}"/>
    <cellStyle name="Comma 12 3 3 3 8" xfId="9715" xr:uid="{17162872-43C3-4182-AE04-171EEAABAD40}"/>
    <cellStyle name="Comma 12 3 3 3 8 2" xfId="24835" xr:uid="{CB4D1CAD-87E0-4024-91C7-3425AD3484EC}"/>
    <cellStyle name="Comma 12 3 3 3 8 2 2" xfId="55075" xr:uid="{4D8E2E21-045A-4D60-A738-74B66E6342F9}"/>
    <cellStyle name="Comma 12 3 3 3 8 3" xfId="39955" xr:uid="{75E475E5-E913-4D95-84A5-3E1E314E830B}"/>
    <cellStyle name="Comma 12 3 3 3 9" xfId="15763" xr:uid="{2BA7E4D5-8E5E-4EA5-90F5-612FCAAFA380}"/>
    <cellStyle name="Comma 12 3 3 3 9 2" xfId="46003" xr:uid="{424FD955-45D8-43F1-B7F8-45A2BA0DC099}"/>
    <cellStyle name="Comma 12 3 3 4" xfId="895" xr:uid="{E76C9326-5340-4444-B56D-B57CE08F2EA7}"/>
    <cellStyle name="Comma 12 3 3 4 2" xfId="2407" xr:uid="{20F112C6-B1A9-4F1C-A979-09DB646CCD9C}"/>
    <cellStyle name="Comma 12 3 3 4 2 2" xfId="11479" xr:uid="{98711121-5F10-458E-8B40-6598F7889B99}"/>
    <cellStyle name="Comma 12 3 3 4 2 2 2" xfId="26599" xr:uid="{A75AD2C9-F15E-463F-AF34-C06DD8D4165F}"/>
    <cellStyle name="Comma 12 3 3 4 2 2 2 2" xfId="56839" xr:uid="{FD996006-08FB-41BD-9D87-FE2787A7798A}"/>
    <cellStyle name="Comma 12 3 3 4 2 2 3" xfId="41719" xr:uid="{38E7412D-6A45-4D70-9E51-5D3E0A834CE6}"/>
    <cellStyle name="Comma 12 3 3 4 2 3" xfId="17527" xr:uid="{25B80F0A-008B-49B2-96FB-9980A7BC036F}"/>
    <cellStyle name="Comma 12 3 3 4 2 3 2" xfId="47767" xr:uid="{E83C3A0D-FC46-45C1-B534-C1D3F80142D9}"/>
    <cellStyle name="Comma 12 3 3 4 2 4" xfId="32647" xr:uid="{5D3229B7-7171-4C83-AA65-22A960CD5D21}"/>
    <cellStyle name="Comma 12 3 3 4 3" xfId="3919" xr:uid="{DA122CEF-CC8B-4549-B5DF-4E504095665D}"/>
    <cellStyle name="Comma 12 3 3 4 3 2" xfId="12991" xr:uid="{8CF077B2-5E93-42B9-9847-DA7DA560B864}"/>
    <cellStyle name="Comma 12 3 3 4 3 2 2" xfId="28111" xr:uid="{2C812019-F042-4D20-8E14-10957C22411D}"/>
    <cellStyle name="Comma 12 3 3 4 3 2 2 2" xfId="58351" xr:uid="{F517F2F9-5FE9-4E14-80CF-06678AF56772}"/>
    <cellStyle name="Comma 12 3 3 4 3 2 3" xfId="43231" xr:uid="{2CA4FD3C-C8C5-4E28-A258-8DE32CDD94C6}"/>
    <cellStyle name="Comma 12 3 3 4 3 3" xfId="19039" xr:uid="{608DAA88-D39F-4678-AF7B-292C5D8916E4}"/>
    <cellStyle name="Comma 12 3 3 4 3 3 2" xfId="49279" xr:uid="{B3CB6669-D93B-4CD2-AB1F-56D9A98DBEA7}"/>
    <cellStyle name="Comma 12 3 3 4 3 4" xfId="34159" xr:uid="{F62F8041-B270-4924-85E4-9F87DE4D3B03}"/>
    <cellStyle name="Comma 12 3 3 4 4" xfId="5431" xr:uid="{CDD6C3F5-9FA3-447B-BB90-44571E450749}"/>
    <cellStyle name="Comma 12 3 3 4 4 2" xfId="14503" xr:uid="{3C485BCB-7323-4BAC-A642-C785B1B9B170}"/>
    <cellStyle name="Comma 12 3 3 4 4 2 2" xfId="29623" xr:uid="{6D1EC90C-8028-4E9D-B9C1-7E5B98B4E21E}"/>
    <cellStyle name="Comma 12 3 3 4 4 2 2 2" xfId="59863" xr:uid="{BDD568D7-DDA2-4E73-A978-DB084E1D3DFF}"/>
    <cellStyle name="Comma 12 3 3 4 4 2 3" xfId="44743" xr:uid="{B55D3396-607C-4ABC-B3D2-9846FD92259C}"/>
    <cellStyle name="Comma 12 3 3 4 4 3" xfId="20551" xr:uid="{B691293C-CA26-4824-A42C-A4F3119A1C82}"/>
    <cellStyle name="Comma 12 3 3 4 4 3 2" xfId="50791" xr:uid="{36FE694F-F055-4C5B-84AB-44AEC3DBE87E}"/>
    <cellStyle name="Comma 12 3 3 4 4 4" xfId="35671" xr:uid="{27837AA7-8642-45D3-8CB5-895D1EABBBA5}"/>
    <cellStyle name="Comma 12 3 3 4 5" xfId="6943" xr:uid="{82515522-5E6B-4C88-8A2F-F1CB07868536}"/>
    <cellStyle name="Comma 12 3 3 4 5 2" xfId="22063" xr:uid="{7FB72A33-2A6D-44D9-9D58-4165CC803A0E}"/>
    <cellStyle name="Comma 12 3 3 4 5 2 2" xfId="52303" xr:uid="{2A769808-80F6-4587-A57E-DAD6AB99E4F2}"/>
    <cellStyle name="Comma 12 3 3 4 5 3" xfId="37183" xr:uid="{1BB5EE0D-9393-42CD-B2B1-D1502E00DB9B}"/>
    <cellStyle name="Comma 12 3 3 4 6" xfId="8455" xr:uid="{9DCCF78D-B3EC-49DB-97EE-F2B45F87C014}"/>
    <cellStyle name="Comma 12 3 3 4 6 2" xfId="23575" xr:uid="{D1B08143-E8F8-4EB3-B8D4-91FD400136D7}"/>
    <cellStyle name="Comma 12 3 3 4 6 2 2" xfId="53815" xr:uid="{0EE98B7D-59B1-4F6D-9D1D-C065E8E1D570}"/>
    <cellStyle name="Comma 12 3 3 4 6 3" xfId="38695" xr:uid="{098DCAA6-71D2-46C2-B687-B290307346E0}"/>
    <cellStyle name="Comma 12 3 3 4 7" xfId="9967" xr:uid="{E3A6F13D-82A0-4BB2-84A3-CCD646CC760C}"/>
    <cellStyle name="Comma 12 3 3 4 7 2" xfId="25087" xr:uid="{0846BA33-9385-4CFA-BF4A-BD84104D27F8}"/>
    <cellStyle name="Comma 12 3 3 4 7 2 2" xfId="55327" xr:uid="{6CF34862-819E-4EEB-A24E-F5D4D3445B0D}"/>
    <cellStyle name="Comma 12 3 3 4 7 3" xfId="40207" xr:uid="{F9604634-75F2-46F4-88A7-BAA1283E0EA2}"/>
    <cellStyle name="Comma 12 3 3 4 8" xfId="16015" xr:uid="{B724A9FF-EEB9-4F31-9261-E7F99ED99AD4}"/>
    <cellStyle name="Comma 12 3 3 4 8 2" xfId="46255" xr:uid="{18B02772-70AD-4C9E-82B2-0CF51308F0C0}"/>
    <cellStyle name="Comma 12 3 3 4 9" xfId="31135" xr:uid="{959268EE-C3E6-402D-8425-0EA8F064BB0F}"/>
    <cellStyle name="Comma 12 3 3 5" xfId="1651" xr:uid="{6E36F0CC-6972-4134-8469-C71B74B800D4}"/>
    <cellStyle name="Comma 12 3 3 5 2" xfId="10723" xr:uid="{9288FAB7-FC32-4DA6-94A0-8F4D8E348854}"/>
    <cellStyle name="Comma 12 3 3 5 2 2" xfId="25843" xr:uid="{735B1E95-49D8-44C8-B7B2-DC6F341F862A}"/>
    <cellStyle name="Comma 12 3 3 5 2 2 2" xfId="56083" xr:uid="{CF828BC6-7A70-4B45-94B4-A3F90AA5A31B}"/>
    <cellStyle name="Comma 12 3 3 5 2 3" xfId="40963" xr:uid="{9E01F9B7-76AA-4E17-A582-3ABB42C392D7}"/>
    <cellStyle name="Comma 12 3 3 5 3" xfId="16771" xr:uid="{70D0F8C7-EC59-4B96-BBE5-19735DB3AB85}"/>
    <cellStyle name="Comma 12 3 3 5 3 2" xfId="47011" xr:uid="{4EE99DC2-A031-4300-8D0E-57CEB4683982}"/>
    <cellStyle name="Comma 12 3 3 5 4" xfId="31891" xr:uid="{5841B2CF-BE15-478A-B440-295F15884182}"/>
    <cellStyle name="Comma 12 3 3 6" xfId="3163" xr:uid="{FF111D07-CE00-46B3-A8B7-E2A45AEFE3ED}"/>
    <cellStyle name="Comma 12 3 3 6 2" xfId="12235" xr:uid="{CE3DF0C5-4321-4586-B295-745BA0FAD48F}"/>
    <cellStyle name="Comma 12 3 3 6 2 2" xfId="27355" xr:uid="{306CD5A5-7D78-4B2E-B726-B043E0E189CA}"/>
    <cellStyle name="Comma 12 3 3 6 2 2 2" xfId="57595" xr:uid="{46538695-480B-494D-AADE-84FE6685596A}"/>
    <cellStyle name="Comma 12 3 3 6 2 3" xfId="42475" xr:uid="{86A1E3CF-11C2-4432-A4F7-1079DD8A02CD}"/>
    <cellStyle name="Comma 12 3 3 6 3" xfId="18283" xr:uid="{B04A31B0-A144-46D0-89AE-783DA1396F36}"/>
    <cellStyle name="Comma 12 3 3 6 3 2" xfId="48523" xr:uid="{41405E16-EFBB-41E0-991C-75D20EB00C96}"/>
    <cellStyle name="Comma 12 3 3 6 4" xfId="33403" xr:uid="{D8740C78-1FBF-4BF5-A100-34B758358068}"/>
    <cellStyle name="Comma 12 3 3 7" xfId="4675" xr:uid="{E1169231-8E2C-461F-97CB-57E2AF624426}"/>
    <cellStyle name="Comma 12 3 3 7 2" xfId="13747" xr:uid="{8ACC8DB7-4811-40D1-95AC-3698FA8C8C76}"/>
    <cellStyle name="Comma 12 3 3 7 2 2" xfId="28867" xr:uid="{F49AA6F6-9A5E-4047-B413-CC0B0947EE4F}"/>
    <cellStyle name="Comma 12 3 3 7 2 2 2" xfId="59107" xr:uid="{B8AFCF9C-65AB-4E8D-85F7-2CF016B4BF22}"/>
    <cellStyle name="Comma 12 3 3 7 2 3" xfId="43987" xr:uid="{8B18FE70-B69D-4200-A06A-8360E6605559}"/>
    <cellStyle name="Comma 12 3 3 7 3" xfId="19795" xr:uid="{2C0962C7-B3CC-4D80-97B7-2F6BF9F6AB5A}"/>
    <cellStyle name="Comma 12 3 3 7 3 2" xfId="50035" xr:uid="{A01B9B6D-FD64-445E-B57A-5DD1E2549096}"/>
    <cellStyle name="Comma 12 3 3 7 4" xfId="34915" xr:uid="{D99EC5A0-863D-49B4-86E7-5CC9E28D3931}"/>
    <cellStyle name="Comma 12 3 3 8" xfId="6187" xr:uid="{DBA19DA9-FC08-4583-93F2-A5A2E1C82AD4}"/>
    <cellStyle name="Comma 12 3 3 8 2" xfId="21307" xr:uid="{35A798BB-1DB1-4AF0-92F9-33A990C8F278}"/>
    <cellStyle name="Comma 12 3 3 8 2 2" xfId="51547" xr:uid="{4A7FAD17-4FE2-49F9-8753-876B6ADE4473}"/>
    <cellStyle name="Comma 12 3 3 8 3" xfId="36427" xr:uid="{17F8A607-D9DA-48F7-BBF5-B41E62EFD57A}"/>
    <cellStyle name="Comma 12 3 3 9" xfId="7699" xr:uid="{E278816D-F371-4F94-AC02-442C0679524E}"/>
    <cellStyle name="Comma 12 3 3 9 2" xfId="22819" xr:uid="{02C2C0C9-D248-471B-8EAC-24E47F6C974C}"/>
    <cellStyle name="Comma 12 3 3 9 2 2" xfId="53059" xr:uid="{C10AFF27-CA0B-46B7-A432-5FB29ED02DD6}"/>
    <cellStyle name="Comma 12 3 3 9 3" xfId="37939" xr:uid="{1EA4EE61-C833-40E8-B30B-AE6716545A4D}"/>
    <cellStyle name="Comma 12 3 4" xfId="223" xr:uid="{59A76AB5-FE19-430B-8C7E-2DCDF9CF274E}"/>
    <cellStyle name="Comma 12 3 4 10" xfId="9295" xr:uid="{3FD80609-1FF0-4BE1-B09E-0C1ED1C62945}"/>
    <cellStyle name="Comma 12 3 4 10 2" xfId="24415" xr:uid="{242180D1-C812-46E4-A21F-3313B333F6DD}"/>
    <cellStyle name="Comma 12 3 4 10 2 2" xfId="54655" xr:uid="{0B546DE2-3136-4F2D-B29A-96899C97CEA7}"/>
    <cellStyle name="Comma 12 3 4 10 3" xfId="39535" xr:uid="{179BD3FE-75C5-45E2-A184-79882D32D022}"/>
    <cellStyle name="Comma 12 3 4 11" xfId="15343" xr:uid="{65A6986E-1A7C-41AA-876C-BB6848E794D1}"/>
    <cellStyle name="Comma 12 3 4 11 2" xfId="45583" xr:uid="{99E75D85-70FE-4B3C-945C-6F9E1E3ACE05}"/>
    <cellStyle name="Comma 12 3 4 12" xfId="30463" xr:uid="{5BC79E66-0DE6-4F34-A05E-CEFE33A7A0B0}"/>
    <cellStyle name="Comma 12 3 4 2" xfId="475" xr:uid="{F720E190-48FF-4C25-9A71-F9DC5EDAFFF8}"/>
    <cellStyle name="Comma 12 3 4 2 10" xfId="30715" xr:uid="{3A58CD5E-95AB-49F4-9EEA-D5215D3A2F30}"/>
    <cellStyle name="Comma 12 3 4 2 2" xfId="1231" xr:uid="{B46B4226-9577-4000-B34E-F1614EC381BB}"/>
    <cellStyle name="Comma 12 3 4 2 2 2" xfId="2743" xr:uid="{68C5E267-2278-4474-AECF-B8F9151C0A37}"/>
    <cellStyle name="Comma 12 3 4 2 2 2 2" xfId="11815" xr:uid="{BA6D852F-4300-4CA0-8A0C-F796B32607F7}"/>
    <cellStyle name="Comma 12 3 4 2 2 2 2 2" xfId="26935" xr:uid="{BF079C92-5B3E-43EA-9C3A-BAA201FA9115}"/>
    <cellStyle name="Comma 12 3 4 2 2 2 2 2 2" xfId="57175" xr:uid="{7462E262-E14F-46E0-8BD1-8111A8FA3713}"/>
    <cellStyle name="Comma 12 3 4 2 2 2 2 3" xfId="42055" xr:uid="{3BFBA23E-22B8-4E19-9F46-8394F19EB684}"/>
    <cellStyle name="Comma 12 3 4 2 2 2 3" xfId="17863" xr:uid="{D3EA21C6-F122-4A3A-A330-A546B26F04A9}"/>
    <cellStyle name="Comma 12 3 4 2 2 2 3 2" xfId="48103" xr:uid="{FC11E1C8-0FFE-4F1B-8EE8-D4FD49F88AB3}"/>
    <cellStyle name="Comma 12 3 4 2 2 2 4" xfId="32983" xr:uid="{C3861430-F0C0-4CDF-8699-FB6A068CC7AD}"/>
    <cellStyle name="Comma 12 3 4 2 2 3" xfId="4255" xr:uid="{7B9AEFCF-AF52-49D0-A309-0E06BA2D38A5}"/>
    <cellStyle name="Comma 12 3 4 2 2 3 2" xfId="13327" xr:uid="{E5BC53E7-EE8F-4FA7-9A82-4451AC107C6F}"/>
    <cellStyle name="Comma 12 3 4 2 2 3 2 2" xfId="28447" xr:uid="{9D5609A4-6E0B-453D-94E7-01636559C486}"/>
    <cellStyle name="Comma 12 3 4 2 2 3 2 2 2" xfId="58687" xr:uid="{51446F6F-613B-4C63-BA76-30515F6E4C37}"/>
    <cellStyle name="Comma 12 3 4 2 2 3 2 3" xfId="43567" xr:uid="{063C0792-478C-4059-AC7F-2C4717CDF109}"/>
    <cellStyle name="Comma 12 3 4 2 2 3 3" xfId="19375" xr:uid="{A6DFE690-F86B-4946-BF8A-97E094541394}"/>
    <cellStyle name="Comma 12 3 4 2 2 3 3 2" xfId="49615" xr:uid="{69303B29-CE84-4DB5-B4EB-C23A4293AEC7}"/>
    <cellStyle name="Comma 12 3 4 2 2 3 4" xfId="34495" xr:uid="{D3B810FE-A836-4033-B661-A1261A70761D}"/>
    <cellStyle name="Comma 12 3 4 2 2 4" xfId="5767" xr:uid="{0D215961-5349-4D59-B821-984F09FDA8B8}"/>
    <cellStyle name="Comma 12 3 4 2 2 4 2" xfId="14839" xr:uid="{9044F640-88B3-4A92-98F0-2ADBCB5A9BAE}"/>
    <cellStyle name="Comma 12 3 4 2 2 4 2 2" xfId="29959" xr:uid="{A8BB1D28-EC38-4083-9570-4195B0E886FD}"/>
    <cellStyle name="Comma 12 3 4 2 2 4 2 2 2" xfId="60199" xr:uid="{CC6D088E-BD64-4AA5-B153-AB90F1CA84A3}"/>
    <cellStyle name="Comma 12 3 4 2 2 4 2 3" xfId="45079" xr:uid="{3A862C69-3C3F-4213-A76D-1100217CD2E9}"/>
    <cellStyle name="Comma 12 3 4 2 2 4 3" xfId="20887" xr:uid="{B967982F-6C06-420D-BD2B-32E1620B6220}"/>
    <cellStyle name="Comma 12 3 4 2 2 4 3 2" xfId="51127" xr:uid="{5EBEF73C-6EFF-477E-8084-B8BA91C475A2}"/>
    <cellStyle name="Comma 12 3 4 2 2 4 4" xfId="36007" xr:uid="{4B55952D-8A58-4525-A54E-442940011884}"/>
    <cellStyle name="Comma 12 3 4 2 2 5" xfId="7279" xr:uid="{9987C9F4-260E-4BAC-97CA-7613EC9CBA38}"/>
    <cellStyle name="Comma 12 3 4 2 2 5 2" xfId="22399" xr:uid="{427871EF-957D-4E9D-8EE5-1576F726F2B5}"/>
    <cellStyle name="Comma 12 3 4 2 2 5 2 2" xfId="52639" xr:uid="{F76B9802-715A-4E88-B377-65164B4D7AD6}"/>
    <cellStyle name="Comma 12 3 4 2 2 5 3" xfId="37519" xr:uid="{0177800F-10AC-4767-B544-70BA883F674A}"/>
    <cellStyle name="Comma 12 3 4 2 2 6" xfId="8791" xr:uid="{20C7AF85-9C9E-4497-B326-E8B33A231401}"/>
    <cellStyle name="Comma 12 3 4 2 2 6 2" xfId="23911" xr:uid="{84E0455E-864B-4AAF-BCAD-93C7F3D78411}"/>
    <cellStyle name="Comma 12 3 4 2 2 6 2 2" xfId="54151" xr:uid="{2189A738-F1A6-416C-BBD1-C3212E4F4270}"/>
    <cellStyle name="Comma 12 3 4 2 2 6 3" xfId="39031" xr:uid="{55D52430-01B2-41F1-BED9-C04A61E33397}"/>
    <cellStyle name="Comma 12 3 4 2 2 7" xfId="10303" xr:uid="{10170256-52CE-4428-AF8F-DFBE8569ADC1}"/>
    <cellStyle name="Comma 12 3 4 2 2 7 2" xfId="25423" xr:uid="{1DC69EC7-BA6E-45BA-83B7-ADEF88C09A85}"/>
    <cellStyle name="Comma 12 3 4 2 2 7 2 2" xfId="55663" xr:uid="{65DE1F7A-9DC4-45E6-9EF8-573D21ECF1B2}"/>
    <cellStyle name="Comma 12 3 4 2 2 7 3" xfId="40543" xr:uid="{6AB40CFD-5DE0-4AD3-A881-D9B67A54DB3D}"/>
    <cellStyle name="Comma 12 3 4 2 2 8" xfId="16351" xr:uid="{D9A77778-ADAD-4D9B-94E5-53BFB5F02309}"/>
    <cellStyle name="Comma 12 3 4 2 2 8 2" xfId="46591" xr:uid="{C066280B-C8E9-4B74-9C98-08B4A3E4945E}"/>
    <cellStyle name="Comma 12 3 4 2 2 9" xfId="31471" xr:uid="{98DA3F7E-2EF2-4312-A9D7-884AE42F8531}"/>
    <cellStyle name="Comma 12 3 4 2 3" xfId="1987" xr:uid="{CF403B9C-81FE-4043-ACF4-91E6442C424B}"/>
    <cellStyle name="Comma 12 3 4 2 3 2" xfId="11059" xr:uid="{161D9819-8E1D-4EFA-9F57-DB8350FD478F}"/>
    <cellStyle name="Comma 12 3 4 2 3 2 2" xfId="26179" xr:uid="{AC5DD6E2-1555-4B2F-93C6-19366480DCC6}"/>
    <cellStyle name="Comma 12 3 4 2 3 2 2 2" xfId="56419" xr:uid="{A0B0810A-5B60-47CD-9DD3-14E056B74858}"/>
    <cellStyle name="Comma 12 3 4 2 3 2 3" xfId="41299" xr:uid="{7E517A50-A507-478F-8E42-407CE3AE6411}"/>
    <cellStyle name="Comma 12 3 4 2 3 3" xfId="17107" xr:uid="{F259A110-5E7C-49A8-8E31-E9AF78345E88}"/>
    <cellStyle name="Comma 12 3 4 2 3 3 2" xfId="47347" xr:uid="{22F56AC3-BF4A-407B-A0D6-C3087146DAA8}"/>
    <cellStyle name="Comma 12 3 4 2 3 4" xfId="32227" xr:uid="{B2E59100-35E4-4B6D-80C4-50EA4B56F6FD}"/>
    <cellStyle name="Comma 12 3 4 2 4" xfId="3499" xr:uid="{2FD9C26E-6CB9-4327-BC57-6F481172D2C1}"/>
    <cellStyle name="Comma 12 3 4 2 4 2" xfId="12571" xr:uid="{4F06FEDC-711C-47CE-808B-5502F863181B}"/>
    <cellStyle name="Comma 12 3 4 2 4 2 2" xfId="27691" xr:uid="{5240F7B9-911D-4151-A3EA-F9437A2CD6B3}"/>
    <cellStyle name="Comma 12 3 4 2 4 2 2 2" xfId="57931" xr:uid="{23342585-B736-4B5E-B07C-4FD74BF6E07B}"/>
    <cellStyle name="Comma 12 3 4 2 4 2 3" xfId="42811" xr:uid="{A14EB20B-42C2-4B30-A26E-52532471C154}"/>
    <cellStyle name="Comma 12 3 4 2 4 3" xfId="18619" xr:uid="{7CE19695-155E-44C2-8C6C-1C0BDF8383A4}"/>
    <cellStyle name="Comma 12 3 4 2 4 3 2" xfId="48859" xr:uid="{525DA7A5-1023-46E1-B523-0A175FD60CBE}"/>
    <cellStyle name="Comma 12 3 4 2 4 4" xfId="33739" xr:uid="{680CA306-5AE1-4899-8DE6-F203BE1374DE}"/>
    <cellStyle name="Comma 12 3 4 2 5" xfId="5011" xr:uid="{DCAF0222-EF96-4D54-9F76-32A38374C90E}"/>
    <cellStyle name="Comma 12 3 4 2 5 2" xfId="14083" xr:uid="{82C2A8F4-EDBC-44CA-A3EC-FBD490058A16}"/>
    <cellStyle name="Comma 12 3 4 2 5 2 2" xfId="29203" xr:uid="{38F7319C-7065-4502-AB3C-37285255EDFA}"/>
    <cellStyle name="Comma 12 3 4 2 5 2 2 2" xfId="59443" xr:uid="{F7525461-5985-484F-9EF6-2BD3C8DBF873}"/>
    <cellStyle name="Comma 12 3 4 2 5 2 3" xfId="44323" xr:uid="{FA168CB0-9D36-4A78-9A95-B926962B2426}"/>
    <cellStyle name="Comma 12 3 4 2 5 3" xfId="20131" xr:uid="{7DD96A0E-5C3E-49D9-82DA-7B7A07CEFC98}"/>
    <cellStyle name="Comma 12 3 4 2 5 3 2" xfId="50371" xr:uid="{FBD0290C-E857-4808-AB09-9FCD3AA02A5B}"/>
    <cellStyle name="Comma 12 3 4 2 5 4" xfId="35251" xr:uid="{E56D0682-A027-4512-BA85-7B5ACF419E1C}"/>
    <cellStyle name="Comma 12 3 4 2 6" xfId="6523" xr:uid="{B040BDEB-30C6-443B-90CE-2007BED5FB96}"/>
    <cellStyle name="Comma 12 3 4 2 6 2" xfId="21643" xr:uid="{C5D65C30-CE03-4051-8DFA-5425A5A70424}"/>
    <cellStyle name="Comma 12 3 4 2 6 2 2" xfId="51883" xr:uid="{F68AB9AD-D2D0-4D3A-BD55-6FBA0D39B31A}"/>
    <cellStyle name="Comma 12 3 4 2 6 3" xfId="36763" xr:uid="{FE7C726A-FA8A-48D4-B6DC-B1355EB88DBF}"/>
    <cellStyle name="Comma 12 3 4 2 7" xfId="8035" xr:uid="{08655A5A-351C-4632-AFFB-F541DFC19C05}"/>
    <cellStyle name="Comma 12 3 4 2 7 2" xfId="23155" xr:uid="{956D60EB-4C01-4892-A227-A39CC5784E94}"/>
    <cellStyle name="Comma 12 3 4 2 7 2 2" xfId="53395" xr:uid="{538D3069-7590-4725-B757-4C04E08B7190}"/>
    <cellStyle name="Comma 12 3 4 2 7 3" xfId="38275" xr:uid="{C6B99C9F-58B3-47C5-9ECE-53A1EAC2DCEE}"/>
    <cellStyle name="Comma 12 3 4 2 8" xfId="9547" xr:uid="{D65EB2BD-A266-4C40-9675-875E5C41BC40}"/>
    <cellStyle name="Comma 12 3 4 2 8 2" xfId="24667" xr:uid="{E5B09514-BEB1-4F87-A4FF-48428F89712B}"/>
    <cellStyle name="Comma 12 3 4 2 8 2 2" xfId="54907" xr:uid="{95CF8375-4027-4AF2-91FB-A739F68AB37F}"/>
    <cellStyle name="Comma 12 3 4 2 8 3" xfId="39787" xr:uid="{F22850E4-AA7F-479E-A060-B008A5F56233}"/>
    <cellStyle name="Comma 12 3 4 2 9" xfId="15595" xr:uid="{4DEA632D-8792-465A-9537-B14E8FBA3367}"/>
    <cellStyle name="Comma 12 3 4 2 9 2" xfId="45835" xr:uid="{52DA91A5-1957-47B1-9900-ECA5184C052A}"/>
    <cellStyle name="Comma 12 3 4 3" xfId="727" xr:uid="{222BE471-1D6C-4CF4-904E-5F7B1A10FD74}"/>
    <cellStyle name="Comma 12 3 4 3 10" xfId="30967" xr:uid="{D814AD6C-4468-4F1E-B65F-A1A5314E7589}"/>
    <cellStyle name="Comma 12 3 4 3 2" xfId="1483" xr:uid="{0F0B7F7F-8633-40D6-AEEA-FEF3E59BF1CC}"/>
    <cellStyle name="Comma 12 3 4 3 2 2" xfId="2995" xr:uid="{E02A8F4F-467A-4F70-AC78-A166C44E95A7}"/>
    <cellStyle name="Comma 12 3 4 3 2 2 2" xfId="12067" xr:uid="{AF9C30A7-60EB-4A73-AD15-BA8D5B8A30B8}"/>
    <cellStyle name="Comma 12 3 4 3 2 2 2 2" xfId="27187" xr:uid="{DC7EA592-805C-470B-B0F8-CBBD1359197A}"/>
    <cellStyle name="Comma 12 3 4 3 2 2 2 2 2" xfId="57427" xr:uid="{8063A758-7346-45D8-8AA2-30187D6419B2}"/>
    <cellStyle name="Comma 12 3 4 3 2 2 2 3" xfId="42307" xr:uid="{E7117AEC-55C6-4C89-AFE2-33486B742F87}"/>
    <cellStyle name="Comma 12 3 4 3 2 2 3" xfId="18115" xr:uid="{F299298B-36CC-4FDA-9388-DD8BF5D1860B}"/>
    <cellStyle name="Comma 12 3 4 3 2 2 3 2" xfId="48355" xr:uid="{9EC498A3-A6E7-4152-8909-D278DEBD66BF}"/>
    <cellStyle name="Comma 12 3 4 3 2 2 4" xfId="33235" xr:uid="{FF850EB4-138C-42DC-BF48-1E38C954EC53}"/>
    <cellStyle name="Comma 12 3 4 3 2 3" xfId="4507" xr:uid="{28A5394F-27B3-4F20-91DE-2F82B4D71076}"/>
    <cellStyle name="Comma 12 3 4 3 2 3 2" xfId="13579" xr:uid="{C32268BF-1555-4F36-B88A-EB0DBC39A4BA}"/>
    <cellStyle name="Comma 12 3 4 3 2 3 2 2" xfId="28699" xr:uid="{07CB2CDD-F70A-4CF4-9D6D-2266D9FDCA86}"/>
    <cellStyle name="Comma 12 3 4 3 2 3 2 2 2" xfId="58939" xr:uid="{FD91C378-69D7-41BC-9F0E-7B2C69E9373D}"/>
    <cellStyle name="Comma 12 3 4 3 2 3 2 3" xfId="43819" xr:uid="{E735C8F9-FCA7-4F37-AD0F-6292AADC6E42}"/>
    <cellStyle name="Comma 12 3 4 3 2 3 3" xfId="19627" xr:uid="{1488AD0D-2D8B-498E-B6F8-4F849A5AFDB4}"/>
    <cellStyle name="Comma 12 3 4 3 2 3 3 2" xfId="49867" xr:uid="{6C727155-8380-48C1-A852-BFEF7BCCD567}"/>
    <cellStyle name="Comma 12 3 4 3 2 3 4" xfId="34747" xr:uid="{739DD933-246C-4CF8-962B-7CF469CE58D1}"/>
    <cellStyle name="Comma 12 3 4 3 2 4" xfId="6019" xr:uid="{F0201FF1-7A5D-4A77-A2C5-81340371B09E}"/>
    <cellStyle name="Comma 12 3 4 3 2 4 2" xfId="15091" xr:uid="{401DEC3B-F6DB-45FC-9103-763E40E5B459}"/>
    <cellStyle name="Comma 12 3 4 3 2 4 2 2" xfId="30211" xr:uid="{7F4CC61C-C826-47EC-B6D3-A5D91E0C26C1}"/>
    <cellStyle name="Comma 12 3 4 3 2 4 2 2 2" xfId="60451" xr:uid="{D123AAC4-F774-4F79-B556-ECE85CD75FD0}"/>
    <cellStyle name="Comma 12 3 4 3 2 4 2 3" xfId="45331" xr:uid="{943708EF-E05D-431F-B8F8-0856448A9CEF}"/>
    <cellStyle name="Comma 12 3 4 3 2 4 3" xfId="21139" xr:uid="{80019753-CAF9-4086-8020-C068785B7E1C}"/>
    <cellStyle name="Comma 12 3 4 3 2 4 3 2" xfId="51379" xr:uid="{1F9DB118-F3BB-414C-9538-D767FDACD9FA}"/>
    <cellStyle name="Comma 12 3 4 3 2 4 4" xfId="36259" xr:uid="{AF9FA122-70E5-4F4C-BBDB-866ACD77A43F}"/>
    <cellStyle name="Comma 12 3 4 3 2 5" xfId="7531" xr:uid="{136CAA54-AD37-4127-B0F0-7CEA8218032B}"/>
    <cellStyle name="Comma 12 3 4 3 2 5 2" xfId="22651" xr:uid="{5EA989EE-51E0-4DFF-B166-E6B630751E17}"/>
    <cellStyle name="Comma 12 3 4 3 2 5 2 2" xfId="52891" xr:uid="{05C46714-8047-49DF-9041-5D9E5CD75860}"/>
    <cellStyle name="Comma 12 3 4 3 2 5 3" xfId="37771" xr:uid="{BDEA492E-679A-4BB0-AA74-0A78AAEE4F15}"/>
    <cellStyle name="Comma 12 3 4 3 2 6" xfId="9043" xr:uid="{F7AC118E-82CB-444F-8FF9-164FBC7B3FBB}"/>
    <cellStyle name="Comma 12 3 4 3 2 6 2" xfId="24163" xr:uid="{697CE144-2AF2-4002-A7D7-DF7452E05300}"/>
    <cellStyle name="Comma 12 3 4 3 2 6 2 2" xfId="54403" xr:uid="{EB4B20D3-5DF6-49A9-A10E-0724E5D4936F}"/>
    <cellStyle name="Comma 12 3 4 3 2 6 3" xfId="39283" xr:uid="{99749147-C6A0-4961-9DFE-76E9AE39D858}"/>
    <cellStyle name="Comma 12 3 4 3 2 7" xfId="10555" xr:uid="{876C1481-F315-40F1-9159-DC9F6117A20C}"/>
    <cellStyle name="Comma 12 3 4 3 2 7 2" xfId="25675" xr:uid="{EA280C0E-119F-46F7-9E09-D7CE4521812A}"/>
    <cellStyle name="Comma 12 3 4 3 2 7 2 2" xfId="55915" xr:uid="{4C34B72C-12BE-4AED-8B11-0C4F5B33F4F9}"/>
    <cellStyle name="Comma 12 3 4 3 2 7 3" xfId="40795" xr:uid="{79BFC0D0-7EB7-4609-961A-36C953E17A00}"/>
    <cellStyle name="Comma 12 3 4 3 2 8" xfId="16603" xr:uid="{9FE93D85-3EAD-43D1-BD00-329C4783F647}"/>
    <cellStyle name="Comma 12 3 4 3 2 8 2" xfId="46843" xr:uid="{C6AE7A6B-7A08-4852-B88C-774CA193AB36}"/>
    <cellStyle name="Comma 12 3 4 3 2 9" xfId="31723" xr:uid="{926D31E5-9298-455A-9361-0EE15DD856D1}"/>
    <cellStyle name="Comma 12 3 4 3 3" xfId="2239" xr:uid="{6A42CB69-4B43-4F08-87B6-090E078EB490}"/>
    <cellStyle name="Comma 12 3 4 3 3 2" xfId="11311" xr:uid="{B61AE722-9718-4B50-A7C1-60BEFA17ED0C}"/>
    <cellStyle name="Comma 12 3 4 3 3 2 2" xfId="26431" xr:uid="{5E2B32E3-ECDC-48BA-BFE8-28543944A81B}"/>
    <cellStyle name="Comma 12 3 4 3 3 2 2 2" xfId="56671" xr:uid="{A1128FB5-A028-44FF-89F5-1ADE6A33F222}"/>
    <cellStyle name="Comma 12 3 4 3 3 2 3" xfId="41551" xr:uid="{1BA22073-C1B8-40AC-BE7A-624022EAF5A5}"/>
    <cellStyle name="Comma 12 3 4 3 3 3" xfId="17359" xr:uid="{6F89E608-D4B4-4513-9EFE-8D77119B8C30}"/>
    <cellStyle name="Comma 12 3 4 3 3 3 2" xfId="47599" xr:uid="{5E2580F6-0D1C-4713-A930-55DCAF5645E1}"/>
    <cellStyle name="Comma 12 3 4 3 3 4" xfId="32479" xr:uid="{5A8D662E-C70C-4C43-9C03-E15E11B0A9D8}"/>
    <cellStyle name="Comma 12 3 4 3 4" xfId="3751" xr:uid="{539DE77B-1E4C-4EAC-8980-2AA8738FAE3E}"/>
    <cellStyle name="Comma 12 3 4 3 4 2" xfId="12823" xr:uid="{35620467-0A50-48D0-B866-69C96276352A}"/>
    <cellStyle name="Comma 12 3 4 3 4 2 2" xfId="27943" xr:uid="{F8F48BE5-CAF3-4A46-9543-A15C6133DF67}"/>
    <cellStyle name="Comma 12 3 4 3 4 2 2 2" xfId="58183" xr:uid="{5782072A-331F-4430-91EE-DD83549AC3A2}"/>
    <cellStyle name="Comma 12 3 4 3 4 2 3" xfId="43063" xr:uid="{9D6D0A7A-21F7-4FF2-9234-B5E2B5AD46B3}"/>
    <cellStyle name="Comma 12 3 4 3 4 3" xfId="18871" xr:uid="{FEAB8E4A-24A9-472F-96F1-0ECAEAEE58D9}"/>
    <cellStyle name="Comma 12 3 4 3 4 3 2" xfId="49111" xr:uid="{9D920CA0-8A6D-4036-9828-6C03F403CCF9}"/>
    <cellStyle name="Comma 12 3 4 3 4 4" xfId="33991" xr:uid="{88D6EBE8-6CC1-4720-A10B-2B1A50D8CF78}"/>
    <cellStyle name="Comma 12 3 4 3 5" xfId="5263" xr:uid="{31BAB851-045E-48B0-A141-CB919FCBD540}"/>
    <cellStyle name="Comma 12 3 4 3 5 2" xfId="14335" xr:uid="{8CD7A83E-05D9-4117-AD81-E14B610A2BA5}"/>
    <cellStyle name="Comma 12 3 4 3 5 2 2" xfId="29455" xr:uid="{C049651A-8E63-4EA5-9546-0F3CDA0C2DAB}"/>
    <cellStyle name="Comma 12 3 4 3 5 2 2 2" xfId="59695" xr:uid="{D97EE206-992C-4532-B592-3B0063934A13}"/>
    <cellStyle name="Comma 12 3 4 3 5 2 3" xfId="44575" xr:uid="{6A579E0E-2D18-4EB8-BDFD-11C10D6E3F80}"/>
    <cellStyle name="Comma 12 3 4 3 5 3" xfId="20383" xr:uid="{8A308BD1-6D11-4910-9624-CD720E1DE740}"/>
    <cellStyle name="Comma 12 3 4 3 5 3 2" xfId="50623" xr:uid="{F5768829-ABB4-4B2C-B120-2045EB74D433}"/>
    <cellStyle name="Comma 12 3 4 3 5 4" xfId="35503" xr:uid="{B98562A3-64F6-47CD-A247-436BE3C2DB8F}"/>
    <cellStyle name="Comma 12 3 4 3 6" xfId="6775" xr:uid="{0BD99018-0C7C-4E66-BCB3-48920E14D5C3}"/>
    <cellStyle name="Comma 12 3 4 3 6 2" xfId="21895" xr:uid="{4933D07E-7D4A-4F62-AA21-61B1F8B70D3F}"/>
    <cellStyle name="Comma 12 3 4 3 6 2 2" xfId="52135" xr:uid="{F3E8C67A-DEC4-47A4-97C7-B02C73004924}"/>
    <cellStyle name="Comma 12 3 4 3 6 3" xfId="37015" xr:uid="{0A0EB013-28BC-404C-AEA2-5CB0B4DA11C6}"/>
    <cellStyle name="Comma 12 3 4 3 7" xfId="8287" xr:uid="{006922D6-0BF4-452B-8AB3-CC49738349E9}"/>
    <cellStyle name="Comma 12 3 4 3 7 2" xfId="23407" xr:uid="{B22D48A4-2D5C-4872-8091-2E0DBF076933}"/>
    <cellStyle name="Comma 12 3 4 3 7 2 2" xfId="53647" xr:uid="{67EF16E9-7095-4EF7-B22B-EF19A5EAF941}"/>
    <cellStyle name="Comma 12 3 4 3 7 3" xfId="38527" xr:uid="{ACB778DF-403E-47D5-97B1-130ECE64CD8C}"/>
    <cellStyle name="Comma 12 3 4 3 8" xfId="9799" xr:uid="{F7AF7B1C-CB93-41EE-8D31-E904F75B18F6}"/>
    <cellStyle name="Comma 12 3 4 3 8 2" xfId="24919" xr:uid="{1E0DFF45-42AF-4548-AEF2-8E0EEF09B80B}"/>
    <cellStyle name="Comma 12 3 4 3 8 2 2" xfId="55159" xr:uid="{5763B6DD-1862-4751-B1BF-562314A6364A}"/>
    <cellStyle name="Comma 12 3 4 3 8 3" xfId="40039" xr:uid="{0BB30EE4-74F4-4F1A-89CF-D63ED00A6E73}"/>
    <cellStyle name="Comma 12 3 4 3 9" xfId="15847" xr:uid="{261F9A78-1C80-4856-B2F2-30E81F927B2C}"/>
    <cellStyle name="Comma 12 3 4 3 9 2" xfId="46087" xr:uid="{7CAE2A56-9E41-4BE2-9779-2F46427E01EA}"/>
    <cellStyle name="Comma 12 3 4 4" xfId="979" xr:uid="{69773ACA-C0FA-49EE-A741-AE5F41D442A9}"/>
    <cellStyle name="Comma 12 3 4 4 2" xfId="2491" xr:uid="{C03FA852-F5A7-4B8C-90BA-C04E7A5C6E04}"/>
    <cellStyle name="Comma 12 3 4 4 2 2" xfId="11563" xr:uid="{552EB222-DD7B-4E71-8204-5B47613B266F}"/>
    <cellStyle name="Comma 12 3 4 4 2 2 2" xfId="26683" xr:uid="{369C731A-0F60-4C70-BB7E-B9CA8352486D}"/>
    <cellStyle name="Comma 12 3 4 4 2 2 2 2" xfId="56923" xr:uid="{A6D318B3-8FE7-45F1-AAC1-375790843A82}"/>
    <cellStyle name="Comma 12 3 4 4 2 2 3" xfId="41803" xr:uid="{8F7ECB8F-F8D0-4D98-9B11-53BBCD9A9EEE}"/>
    <cellStyle name="Comma 12 3 4 4 2 3" xfId="17611" xr:uid="{443913BE-E8F0-4948-BD57-CE42347B3E81}"/>
    <cellStyle name="Comma 12 3 4 4 2 3 2" xfId="47851" xr:uid="{DF7E1A60-D7F3-4E31-BD1B-4DDF6E9D6A18}"/>
    <cellStyle name="Comma 12 3 4 4 2 4" xfId="32731" xr:uid="{FA2C05A7-5EE9-46B1-B49A-C99FAFBA75A0}"/>
    <cellStyle name="Comma 12 3 4 4 3" xfId="4003" xr:uid="{9D01AB87-5C35-435F-A7C4-89485D5F4DED}"/>
    <cellStyle name="Comma 12 3 4 4 3 2" xfId="13075" xr:uid="{15DB52BE-3B6E-4035-A363-FB41B2F6EF57}"/>
    <cellStyle name="Comma 12 3 4 4 3 2 2" xfId="28195" xr:uid="{E4925E1C-BAA0-483D-AF40-D2300D541FBD}"/>
    <cellStyle name="Comma 12 3 4 4 3 2 2 2" xfId="58435" xr:uid="{DA6B82F1-BEF0-4778-8B96-38578A1B64CF}"/>
    <cellStyle name="Comma 12 3 4 4 3 2 3" xfId="43315" xr:uid="{40F44691-4582-4046-92E2-C8AC635D6CB1}"/>
    <cellStyle name="Comma 12 3 4 4 3 3" xfId="19123" xr:uid="{0DA613FD-AE55-4ADD-9E64-910DC530F227}"/>
    <cellStyle name="Comma 12 3 4 4 3 3 2" xfId="49363" xr:uid="{24A8204D-8A45-4D7E-A608-481D60521FC1}"/>
    <cellStyle name="Comma 12 3 4 4 3 4" xfId="34243" xr:uid="{1DDB9BCE-3452-468E-A9C1-02B8281B04AD}"/>
    <cellStyle name="Comma 12 3 4 4 4" xfId="5515" xr:uid="{11723C6F-5DE4-4982-97E6-6484D7EFEC54}"/>
    <cellStyle name="Comma 12 3 4 4 4 2" xfId="14587" xr:uid="{12E48FF5-E274-49F9-BB4C-A29ED96E0D4D}"/>
    <cellStyle name="Comma 12 3 4 4 4 2 2" xfId="29707" xr:uid="{9C1D9F05-F266-455F-95BE-DA166B480180}"/>
    <cellStyle name="Comma 12 3 4 4 4 2 2 2" xfId="59947" xr:uid="{767AF6B0-C192-4E90-8FCD-049952B920D7}"/>
    <cellStyle name="Comma 12 3 4 4 4 2 3" xfId="44827" xr:uid="{BC70B083-D893-4767-9DB3-AF37453EA44A}"/>
    <cellStyle name="Comma 12 3 4 4 4 3" xfId="20635" xr:uid="{DF366C48-3DCC-41F7-8234-AA0CE816052E}"/>
    <cellStyle name="Comma 12 3 4 4 4 3 2" xfId="50875" xr:uid="{95965913-D3C4-428F-91CB-2A317C1626B9}"/>
    <cellStyle name="Comma 12 3 4 4 4 4" xfId="35755" xr:uid="{3BCACA77-543C-417A-B710-9D418A789AD3}"/>
    <cellStyle name="Comma 12 3 4 4 5" xfId="7027" xr:uid="{22D05315-A7CB-48F2-BA88-E68CA18B04BE}"/>
    <cellStyle name="Comma 12 3 4 4 5 2" xfId="22147" xr:uid="{B5650FE2-C5E8-45D7-A9D4-8C30B540D5F0}"/>
    <cellStyle name="Comma 12 3 4 4 5 2 2" xfId="52387" xr:uid="{C27BDE83-E77F-48C1-B6BA-A365EADE0D37}"/>
    <cellStyle name="Comma 12 3 4 4 5 3" xfId="37267" xr:uid="{646ED7D7-7A8E-4B87-ABC7-06FA8269D167}"/>
    <cellStyle name="Comma 12 3 4 4 6" xfId="8539" xr:uid="{A7D66CCD-A156-457B-B775-3BDE41FD1B4E}"/>
    <cellStyle name="Comma 12 3 4 4 6 2" xfId="23659" xr:uid="{4120CA85-EAC3-444D-881B-AE68038C73ED}"/>
    <cellStyle name="Comma 12 3 4 4 6 2 2" xfId="53899" xr:uid="{EC871237-5533-4015-ADEF-9B5E83DEC263}"/>
    <cellStyle name="Comma 12 3 4 4 6 3" xfId="38779" xr:uid="{4FA6AAA6-4208-44DA-B0FB-61AC64C2FEB8}"/>
    <cellStyle name="Comma 12 3 4 4 7" xfId="10051" xr:uid="{BE309DA4-203E-46AD-A19A-315536378919}"/>
    <cellStyle name="Comma 12 3 4 4 7 2" xfId="25171" xr:uid="{797FA086-06E2-44F9-BA85-C3244EB644A1}"/>
    <cellStyle name="Comma 12 3 4 4 7 2 2" xfId="55411" xr:uid="{E2355B9A-B2B2-43C5-8A9C-9E4C2C8DD918}"/>
    <cellStyle name="Comma 12 3 4 4 7 3" xfId="40291" xr:uid="{35630F76-21EB-437D-A596-59D40056AEA2}"/>
    <cellStyle name="Comma 12 3 4 4 8" xfId="16099" xr:uid="{BFCF12F7-0D98-4535-9803-6BF7C2F8C0B5}"/>
    <cellStyle name="Comma 12 3 4 4 8 2" xfId="46339" xr:uid="{A977E918-45B8-474B-98DC-37444BF5FF24}"/>
    <cellStyle name="Comma 12 3 4 4 9" xfId="31219" xr:uid="{F10FF15B-1A3F-451C-A825-7206C90195FE}"/>
    <cellStyle name="Comma 12 3 4 5" xfId="1735" xr:uid="{677571AD-0FBC-41A2-A429-EE8F3FC45259}"/>
    <cellStyle name="Comma 12 3 4 5 2" xfId="10807" xr:uid="{F7F1AE72-E1BA-4F70-8ED6-5CC73CE3188B}"/>
    <cellStyle name="Comma 12 3 4 5 2 2" xfId="25927" xr:uid="{5C04BC2D-A56C-4D5C-95A1-1BC27D5F5ECC}"/>
    <cellStyle name="Comma 12 3 4 5 2 2 2" xfId="56167" xr:uid="{DDB6C899-E1D7-499B-A2C2-FB37572195D7}"/>
    <cellStyle name="Comma 12 3 4 5 2 3" xfId="41047" xr:uid="{3E8763DF-E9DF-4FAF-AE90-5AE95B23053F}"/>
    <cellStyle name="Comma 12 3 4 5 3" xfId="16855" xr:uid="{4E6A8C63-2B7E-4D7A-B2BF-3EED851DCB05}"/>
    <cellStyle name="Comma 12 3 4 5 3 2" xfId="47095" xr:uid="{1CAD8E18-430C-4F47-AA13-2AF5468C3A37}"/>
    <cellStyle name="Comma 12 3 4 5 4" xfId="31975" xr:uid="{BC3CC878-7FD0-420D-A3B5-7E5728B7DB6E}"/>
    <cellStyle name="Comma 12 3 4 6" xfId="3247" xr:uid="{EAE86CAF-BAFF-4CE6-B386-CB56F8553954}"/>
    <cellStyle name="Comma 12 3 4 6 2" xfId="12319" xr:uid="{F7BD5FDE-0826-419C-AEE1-B161B98C0DCE}"/>
    <cellStyle name="Comma 12 3 4 6 2 2" xfId="27439" xr:uid="{FFBA113C-2B28-4A6C-B679-7949C60090F6}"/>
    <cellStyle name="Comma 12 3 4 6 2 2 2" xfId="57679" xr:uid="{8545D09B-2D0A-4E31-8EC9-9C786F8F9413}"/>
    <cellStyle name="Comma 12 3 4 6 2 3" xfId="42559" xr:uid="{07071DFF-E0C8-44D3-BD0E-2D68AC4E2B63}"/>
    <cellStyle name="Comma 12 3 4 6 3" xfId="18367" xr:uid="{1E01D782-CAD1-4731-BDE7-D236C4F982B2}"/>
    <cellStyle name="Comma 12 3 4 6 3 2" xfId="48607" xr:uid="{EAB0ABA6-0764-4A31-BA3E-B137CB07EAB7}"/>
    <cellStyle name="Comma 12 3 4 6 4" xfId="33487" xr:uid="{763D4984-AE13-492C-9AC3-6F2B81CA8B49}"/>
    <cellStyle name="Comma 12 3 4 7" xfId="4759" xr:uid="{85E3AAA0-7EA1-4B8A-9363-A593BDDC1388}"/>
    <cellStyle name="Comma 12 3 4 7 2" xfId="13831" xr:uid="{E60C9E4E-8B80-4788-9D29-FFC8B204188C}"/>
    <cellStyle name="Comma 12 3 4 7 2 2" xfId="28951" xr:uid="{231B5C9A-75C0-4536-962F-3D58F9ED245C}"/>
    <cellStyle name="Comma 12 3 4 7 2 2 2" xfId="59191" xr:uid="{CEFDA81D-F401-40F1-8202-C1C70F4D8D93}"/>
    <cellStyle name="Comma 12 3 4 7 2 3" xfId="44071" xr:uid="{729CDB92-F6DC-4FB0-8260-4071803D3608}"/>
    <cellStyle name="Comma 12 3 4 7 3" xfId="19879" xr:uid="{7A9940F0-482E-40A2-B66D-4D8B7BAC7D8F}"/>
    <cellStyle name="Comma 12 3 4 7 3 2" xfId="50119" xr:uid="{7CFF19D1-F295-426F-9F36-269E2524BBB8}"/>
    <cellStyle name="Comma 12 3 4 7 4" xfId="34999" xr:uid="{3313A435-7590-447D-937A-D09CCB08C94A}"/>
    <cellStyle name="Comma 12 3 4 8" xfId="6271" xr:uid="{C50226A6-504A-41A9-81D6-30129F40822E}"/>
    <cellStyle name="Comma 12 3 4 8 2" xfId="21391" xr:uid="{68C7798F-C8A8-41E1-BD59-0783193E7E90}"/>
    <cellStyle name="Comma 12 3 4 8 2 2" xfId="51631" xr:uid="{4807B38E-BF5D-4D1A-943C-63D24B5FC42A}"/>
    <cellStyle name="Comma 12 3 4 8 3" xfId="36511" xr:uid="{861059B9-2E07-4091-805F-895CE3990024}"/>
    <cellStyle name="Comma 12 3 4 9" xfId="7783" xr:uid="{B5962BE2-5DCC-431E-971E-F4AB394CCECC}"/>
    <cellStyle name="Comma 12 3 4 9 2" xfId="22903" xr:uid="{9451A600-1F04-4E52-974F-4C86FF734B81}"/>
    <cellStyle name="Comma 12 3 4 9 2 2" xfId="53143" xr:uid="{ACD3945E-D59B-4018-9669-57CEB5239A82}"/>
    <cellStyle name="Comma 12 3 4 9 3" xfId="38023" xr:uid="{C0437875-3FE1-41A2-80C4-FE83F31543D8}"/>
    <cellStyle name="Comma 12 3 5" xfId="307" xr:uid="{0C3A8AEE-9B9A-4788-8441-4F74C03BDC49}"/>
    <cellStyle name="Comma 12 3 5 10" xfId="30547" xr:uid="{E263A961-E0EE-4A43-ACD0-12F992C3F957}"/>
    <cellStyle name="Comma 12 3 5 2" xfId="1063" xr:uid="{4143CA5E-495D-40A8-BE0A-0825DA45FBBE}"/>
    <cellStyle name="Comma 12 3 5 2 2" xfId="2575" xr:uid="{7B4C3655-0B7C-43F8-910F-2BFF4F9F5B10}"/>
    <cellStyle name="Comma 12 3 5 2 2 2" xfId="11647" xr:uid="{F53C4004-754C-4B50-BC6C-D1899253A074}"/>
    <cellStyle name="Comma 12 3 5 2 2 2 2" xfId="26767" xr:uid="{C25116D2-E3D1-477A-9314-9F716F55EC36}"/>
    <cellStyle name="Comma 12 3 5 2 2 2 2 2" xfId="57007" xr:uid="{86251585-AE23-4F5B-8961-5204777E08E2}"/>
    <cellStyle name="Comma 12 3 5 2 2 2 3" xfId="41887" xr:uid="{44854AEE-C858-4BBF-B836-DC1381BDD6FC}"/>
    <cellStyle name="Comma 12 3 5 2 2 3" xfId="17695" xr:uid="{0812F26E-E651-498C-AF70-E2377548E1FB}"/>
    <cellStyle name="Comma 12 3 5 2 2 3 2" xfId="47935" xr:uid="{65258D12-36D0-46AA-8132-E50BA1B0FA16}"/>
    <cellStyle name="Comma 12 3 5 2 2 4" xfId="32815" xr:uid="{DE943A2F-0E11-4A5D-B377-E471FE5F7A89}"/>
    <cellStyle name="Comma 12 3 5 2 3" xfId="4087" xr:uid="{A1B426B3-6E84-4C5D-B6FD-73B7DA03435C}"/>
    <cellStyle name="Comma 12 3 5 2 3 2" xfId="13159" xr:uid="{C51EC553-FC57-4AED-BF11-4D7B2F9DE67F}"/>
    <cellStyle name="Comma 12 3 5 2 3 2 2" xfId="28279" xr:uid="{F2F0848F-E5FA-490F-A7EB-46CC0DFD277E}"/>
    <cellStyle name="Comma 12 3 5 2 3 2 2 2" xfId="58519" xr:uid="{E769D014-36EB-464D-AE2D-1F933AD9661D}"/>
    <cellStyle name="Comma 12 3 5 2 3 2 3" xfId="43399" xr:uid="{98626F71-78D0-498E-BCBD-9E12FF379A9B}"/>
    <cellStyle name="Comma 12 3 5 2 3 3" xfId="19207" xr:uid="{BAA3A1DD-63D6-4D6E-9657-838696899208}"/>
    <cellStyle name="Comma 12 3 5 2 3 3 2" xfId="49447" xr:uid="{10FD1859-6D42-4845-8C50-609FEF91D7E6}"/>
    <cellStyle name="Comma 12 3 5 2 3 4" xfId="34327" xr:uid="{E7FA11DD-43E3-409C-9BFF-300643F575BD}"/>
    <cellStyle name="Comma 12 3 5 2 4" xfId="5599" xr:uid="{6C82C7C5-BF62-4512-89B7-6A609C59E294}"/>
    <cellStyle name="Comma 12 3 5 2 4 2" xfId="14671" xr:uid="{2C9D38EE-CF5F-4701-92A5-9B029D7C9286}"/>
    <cellStyle name="Comma 12 3 5 2 4 2 2" xfId="29791" xr:uid="{56A7F4DF-953F-4FCA-B0A4-99AF9842B01C}"/>
    <cellStyle name="Comma 12 3 5 2 4 2 2 2" xfId="60031" xr:uid="{B46A6A81-74A5-47ED-B239-802240E4F7A8}"/>
    <cellStyle name="Comma 12 3 5 2 4 2 3" xfId="44911" xr:uid="{552A247B-D710-4A7E-8CCB-0CBA42EB4A2B}"/>
    <cellStyle name="Comma 12 3 5 2 4 3" xfId="20719" xr:uid="{E8B29F76-0EFE-41FD-9C03-B7AC39F4237D}"/>
    <cellStyle name="Comma 12 3 5 2 4 3 2" xfId="50959" xr:uid="{EF813FE2-A46F-41B9-90F3-4AA1DF3F7503}"/>
    <cellStyle name="Comma 12 3 5 2 4 4" xfId="35839" xr:uid="{E9991FF8-C815-4250-A8EE-77AEBFAA35C6}"/>
    <cellStyle name="Comma 12 3 5 2 5" xfId="7111" xr:uid="{E1139E7F-723E-47B1-82F3-9CE5B4936DF1}"/>
    <cellStyle name="Comma 12 3 5 2 5 2" xfId="22231" xr:uid="{ED953029-2232-4485-8255-25E56262AEB3}"/>
    <cellStyle name="Comma 12 3 5 2 5 2 2" xfId="52471" xr:uid="{CCE07053-F91A-42B4-97F4-8493378BC763}"/>
    <cellStyle name="Comma 12 3 5 2 5 3" xfId="37351" xr:uid="{D0B7F95F-9450-450B-88F6-3F3F349A5739}"/>
    <cellStyle name="Comma 12 3 5 2 6" xfId="8623" xr:uid="{440824EB-6A2C-49E6-9901-C8E9AA2AEEA1}"/>
    <cellStyle name="Comma 12 3 5 2 6 2" xfId="23743" xr:uid="{DD0A067A-F393-4346-A1D8-84B2B2FDF60E}"/>
    <cellStyle name="Comma 12 3 5 2 6 2 2" xfId="53983" xr:uid="{8604C234-EA5B-4338-A436-8511A2818191}"/>
    <cellStyle name="Comma 12 3 5 2 6 3" xfId="38863" xr:uid="{629E0A4B-BA9B-42AD-82DF-63A74FDA692A}"/>
    <cellStyle name="Comma 12 3 5 2 7" xfId="10135" xr:uid="{2F04AB7D-672A-43B3-86CF-75FC41B6B9A9}"/>
    <cellStyle name="Comma 12 3 5 2 7 2" xfId="25255" xr:uid="{EB497A78-64F7-48EF-9AB2-BCF34D9EFADF}"/>
    <cellStyle name="Comma 12 3 5 2 7 2 2" xfId="55495" xr:uid="{0D1391BD-6D61-48A9-95D2-9AD57DE9B6C0}"/>
    <cellStyle name="Comma 12 3 5 2 7 3" xfId="40375" xr:uid="{6C669F44-B9D4-40CE-83D8-131D81501C23}"/>
    <cellStyle name="Comma 12 3 5 2 8" xfId="16183" xr:uid="{0195CC2E-8AA3-477C-812E-18DEF777E53F}"/>
    <cellStyle name="Comma 12 3 5 2 8 2" xfId="46423" xr:uid="{BF1D0CA9-6C21-45EC-AD2E-D429A5AAF67C}"/>
    <cellStyle name="Comma 12 3 5 2 9" xfId="31303" xr:uid="{EE27D92F-8AB1-423A-8F84-636905844357}"/>
    <cellStyle name="Comma 12 3 5 3" xfId="1819" xr:uid="{90290B98-0922-4453-B4D9-0235764B15FF}"/>
    <cellStyle name="Comma 12 3 5 3 2" xfId="10891" xr:uid="{E5447F6C-53C8-42C7-9588-8391DAA35F7D}"/>
    <cellStyle name="Comma 12 3 5 3 2 2" xfId="26011" xr:uid="{6818F1F4-31EA-4CDE-AF90-C9C788BB5DF8}"/>
    <cellStyle name="Comma 12 3 5 3 2 2 2" xfId="56251" xr:uid="{83C55B7E-5C81-4387-85CA-0BDFCC16E2D2}"/>
    <cellStyle name="Comma 12 3 5 3 2 3" xfId="41131" xr:uid="{E89A0CE7-B4DD-49D5-A363-0165B4DB51A5}"/>
    <cellStyle name="Comma 12 3 5 3 3" xfId="16939" xr:uid="{0AC89DFE-5FAC-45C1-850E-93A6A3999EBB}"/>
    <cellStyle name="Comma 12 3 5 3 3 2" xfId="47179" xr:uid="{D04D0FD9-B23E-4F36-B3A3-7D86C572B0AE}"/>
    <cellStyle name="Comma 12 3 5 3 4" xfId="32059" xr:uid="{A5B0B8DD-66CC-46DC-A5BF-67FBDD09AD1C}"/>
    <cellStyle name="Comma 12 3 5 4" xfId="3331" xr:uid="{4E73733A-ABD3-41A5-8F4A-AFDF47CD9DFB}"/>
    <cellStyle name="Comma 12 3 5 4 2" xfId="12403" xr:uid="{5FF935BE-A150-4EDE-997E-0786B425C775}"/>
    <cellStyle name="Comma 12 3 5 4 2 2" xfId="27523" xr:uid="{595C4254-B7D9-4BEA-9AFC-595E555FCCFA}"/>
    <cellStyle name="Comma 12 3 5 4 2 2 2" xfId="57763" xr:uid="{669C58DF-9123-4C39-9652-501EF32BC249}"/>
    <cellStyle name="Comma 12 3 5 4 2 3" xfId="42643" xr:uid="{311629F5-F84F-47B0-A76E-627C48B6CCD7}"/>
    <cellStyle name="Comma 12 3 5 4 3" xfId="18451" xr:uid="{1AD6A052-BF4F-4FB3-9087-B66E2E2D3A7B}"/>
    <cellStyle name="Comma 12 3 5 4 3 2" xfId="48691" xr:uid="{12A64E75-5E97-4496-A55B-ABC189EB4CE6}"/>
    <cellStyle name="Comma 12 3 5 4 4" xfId="33571" xr:uid="{265DA405-12F5-4A5C-B927-02158B81263C}"/>
    <cellStyle name="Comma 12 3 5 5" xfId="4843" xr:uid="{690BC1E6-84A6-4EE7-8A27-E6569C306B57}"/>
    <cellStyle name="Comma 12 3 5 5 2" xfId="13915" xr:uid="{086CD1C4-624B-40C4-8589-147EF16D3A04}"/>
    <cellStyle name="Comma 12 3 5 5 2 2" xfId="29035" xr:uid="{68C473B6-CAF2-422E-838C-A69C9D020D85}"/>
    <cellStyle name="Comma 12 3 5 5 2 2 2" xfId="59275" xr:uid="{FDA167D7-0C0D-42A1-97C1-0F1920E76D7A}"/>
    <cellStyle name="Comma 12 3 5 5 2 3" xfId="44155" xr:uid="{F2B26B8B-1BA6-4569-BFEF-D22A1439C4A1}"/>
    <cellStyle name="Comma 12 3 5 5 3" xfId="19963" xr:uid="{6E837546-0E69-4C68-A867-0C96F7BD9449}"/>
    <cellStyle name="Comma 12 3 5 5 3 2" xfId="50203" xr:uid="{3FB273DE-A1AD-4264-838B-FA12538D880A}"/>
    <cellStyle name="Comma 12 3 5 5 4" xfId="35083" xr:uid="{3401C516-AC7F-40D2-8CF5-8BE9157FB37C}"/>
    <cellStyle name="Comma 12 3 5 6" xfId="6355" xr:uid="{3D86CD28-A86F-4175-9808-6A4F14731942}"/>
    <cellStyle name="Comma 12 3 5 6 2" xfId="21475" xr:uid="{E3202F16-159E-4D9A-A2B6-5ED8C90E7B96}"/>
    <cellStyle name="Comma 12 3 5 6 2 2" xfId="51715" xr:uid="{3471895E-137E-4BE6-A8C2-EC44E5A27FB9}"/>
    <cellStyle name="Comma 12 3 5 6 3" xfId="36595" xr:uid="{12905B43-6496-40F6-83D2-0FF61E2AC73B}"/>
    <cellStyle name="Comma 12 3 5 7" xfId="7867" xr:uid="{7D224EA3-FF28-4C76-AF1A-CC3D831254C3}"/>
    <cellStyle name="Comma 12 3 5 7 2" xfId="22987" xr:uid="{19EF1659-3263-406D-9784-948CDC04E207}"/>
    <cellStyle name="Comma 12 3 5 7 2 2" xfId="53227" xr:uid="{DC0EE653-D14B-4E79-8720-6D5F49CD8A65}"/>
    <cellStyle name="Comma 12 3 5 7 3" xfId="38107" xr:uid="{005BD1EB-CE01-4320-9F93-7DF42CDA2870}"/>
    <cellStyle name="Comma 12 3 5 8" xfId="9379" xr:uid="{FE74C6AB-4587-4CEF-980B-B808FE19F128}"/>
    <cellStyle name="Comma 12 3 5 8 2" xfId="24499" xr:uid="{8682D70B-0E24-4E16-9C7A-4F89D83510F4}"/>
    <cellStyle name="Comma 12 3 5 8 2 2" xfId="54739" xr:uid="{01C2E235-8A80-4566-B62D-A17CEBCD5B6F}"/>
    <cellStyle name="Comma 12 3 5 8 3" xfId="39619" xr:uid="{E0A7CE5F-B98E-494E-8C4D-C0FF468A8490}"/>
    <cellStyle name="Comma 12 3 5 9" xfId="15427" xr:uid="{36909F6A-2B0F-480B-A5E4-143DDE8C69D1}"/>
    <cellStyle name="Comma 12 3 5 9 2" xfId="45667" xr:uid="{0107DBFA-E3DB-4015-9666-C5E15046A527}"/>
    <cellStyle name="Comma 12 3 6" xfId="559" xr:uid="{29541E53-C0AC-4162-AE60-12B651F34DE5}"/>
    <cellStyle name="Comma 12 3 6 10" xfId="30799" xr:uid="{333FA4DF-7DB7-4A5A-BF38-120B1DE07982}"/>
    <cellStyle name="Comma 12 3 6 2" xfId="1315" xr:uid="{9602AF73-15E3-4F1B-960D-17A9D282FCE5}"/>
    <cellStyle name="Comma 12 3 6 2 2" xfId="2827" xr:uid="{5EE71E33-CF26-4D7C-9B44-B8945A494841}"/>
    <cellStyle name="Comma 12 3 6 2 2 2" xfId="11899" xr:uid="{43BBAB56-2A22-4034-93FF-43852FEF331B}"/>
    <cellStyle name="Comma 12 3 6 2 2 2 2" xfId="27019" xr:uid="{D4DD324A-DC1E-4D03-86AD-EC5C194738BD}"/>
    <cellStyle name="Comma 12 3 6 2 2 2 2 2" xfId="57259" xr:uid="{6B0502E7-E654-4819-9E72-1BD183984F2C}"/>
    <cellStyle name="Comma 12 3 6 2 2 2 3" xfId="42139" xr:uid="{E47A4491-6B80-44FF-802E-2E99FCAF0CE1}"/>
    <cellStyle name="Comma 12 3 6 2 2 3" xfId="17947" xr:uid="{A5897D16-D226-48F6-A7D6-2315B226FF91}"/>
    <cellStyle name="Comma 12 3 6 2 2 3 2" xfId="48187" xr:uid="{2983BDC0-2A0E-4041-B93D-EC7A5ED0694F}"/>
    <cellStyle name="Comma 12 3 6 2 2 4" xfId="33067" xr:uid="{F009EA97-FCE7-4694-A592-4ED76D9940E1}"/>
    <cellStyle name="Comma 12 3 6 2 3" xfId="4339" xr:uid="{8999006C-1709-41F0-9B70-7049C8E6E946}"/>
    <cellStyle name="Comma 12 3 6 2 3 2" xfId="13411" xr:uid="{0A39667E-B8C0-49A0-9275-6B3B528A041A}"/>
    <cellStyle name="Comma 12 3 6 2 3 2 2" xfId="28531" xr:uid="{648948BA-BA7E-4CB7-9C83-9085F43E9237}"/>
    <cellStyle name="Comma 12 3 6 2 3 2 2 2" xfId="58771" xr:uid="{B13B60DE-9202-4042-8393-EC46AAF185E9}"/>
    <cellStyle name="Comma 12 3 6 2 3 2 3" xfId="43651" xr:uid="{E4EA0259-0671-4D56-983D-DE5E2C4B1344}"/>
    <cellStyle name="Comma 12 3 6 2 3 3" xfId="19459" xr:uid="{EB3D540B-4427-4D5B-BD09-F1E10443A04D}"/>
    <cellStyle name="Comma 12 3 6 2 3 3 2" xfId="49699" xr:uid="{7DED0068-E14D-430B-AEA9-C1C7D4DA106D}"/>
    <cellStyle name="Comma 12 3 6 2 3 4" xfId="34579" xr:uid="{434246CA-7B2E-4D03-9FC4-B21D9534813F}"/>
    <cellStyle name="Comma 12 3 6 2 4" xfId="5851" xr:uid="{1811FF60-947A-474E-B3AB-66CDA0059B18}"/>
    <cellStyle name="Comma 12 3 6 2 4 2" xfId="14923" xr:uid="{7B086127-DFE2-4B89-9C4C-A25E4167593D}"/>
    <cellStyle name="Comma 12 3 6 2 4 2 2" xfId="30043" xr:uid="{E2DDB531-F604-444C-ADB1-6F3FE06D8772}"/>
    <cellStyle name="Comma 12 3 6 2 4 2 2 2" xfId="60283" xr:uid="{EFC6203A-A759-4EE4-BBF4-AA7F644602B1}"/>
    <cellStyle name="Comma 12 3 6 2 4 2 3" xfId="45163" xr:uid="{E8656F9C-8347-4DBA-B39D-D06C6C5BF7E9}"/>
    <cellStyle name="Comma 12 3 6 2 4 3" xfId="20971" xr:uid="{AA1D6D79-36C2-4FAA-A487-1E46C05D8A68}"/>
    <cellStyle name="Comma 12 3 6 2 4 3 2" xfId="51211" xr:uid="{6CC4BF28-0266-4E15-9989-FF3EFAEE65F1}"/>
    <cellStyle name="Comma 12 3 6 2 4 4" xfId="36091" xr:uid="{E7096DC6-A6D9-459D-B4B0-BBFAE1EF912F}"/>
    <cellStyle name="Comma 12 3 6 2 5" xfId="7363" xr:uid="{220258AD-B285-442B-8DE2-86C76352590A}"/>
    <cellStyle name="Comma 12 3 6 2 5 2" xfId="22483" xr:uid="{F7F6890E-3005-46B4-B3DC-FA5BD2991074}"/>
    <cellStyle name="Comma 12 3 6 2 5 2 2" xfId="52723" xr:uid="{CFD2399C-7618-427B-A138-9DC030043CC8}"/>
    <cellStyle name="Comma 12 3 6 2 5 3" xfId="37603" xr:uid="{39B22D26-AD85-496D-A0B2-9AB0B1C9D68F}"/>
    <cellStyle name="Comma 12 3 6 2 6" xfId="8875" xr:uid="{C4AB267A-77AF-4300-9065-1142083326F5}"/>
    <cellStyle name="Comma 12 3 6 2 6 2" xfId="23995" xr:uid="{C50405F7-FDC2-463B-B21F-DF4A6FB15D9E}"/>
    <cellStyle name="Comma 12 3 6 2 6 2 2" xfId="54235" xr:uid="{ED6C1158-F585-452E-A29F-18686EC6B9B9}"/>
    <cellStyle name="Comma 12 3 6 2 6 3" xfId="39115" xr:uid="{1C6BCC37-35B4-4E88-9330-9576AAEABD4E}"/>
    <cellStyle name="Comma 12 3 6 2 7" xfId="10387" xr:uid="{F76E4674-8ECB-45EE-86B4-BE48255EDD4D}"/>
    <cellStyle name="Comma 12 3 6 2 7 2" xfId="25507" xr:uid="{6055BA1A-D85C-4BF8-BD1A-0AE99D1F0470}"/>
    <cellStyle name="Comma 12 3 6 2 7 2 2" xfId="55747" xr:uid="{8DD8B280-5773-43D1-BBA5-5CAB96B6B753}"/>
    <cellStyle name="Comma 12 3 6 2 7 3" xfId="40627" xr:uid="{E8D75398-925B-4823-84EF-1D549F851D9B}"/>
    <cellStyle name="Comma 12 3 6 2 8" xfId="16435" xr:uid="{0B1ACB26-7398-44B0-B6DE-99A1BEADF190}"/>
    <cellStyle name="Comma 12 3 6 2 8 2" xfId="46675" xr:uid="{FB410B58-139D-4F05-9A50-6871F245FABE}"/>
    <cellStyle name="Comma 12 3 6 2 9" xfId="31555" xr:uid="{1926D2DA-44D8-462C-9169-1A36ADC3B377}"/>
    <cellStyle name="Comma 12 3 6 3" xfId="2071" xr:uid="{1BCB8D79-F15F-4C59-AD7A-22059003AB23}"/>
    <cellStyle name="Comma 12 3 6 3 2" xfId="11143" xr:uid="{BA04EBA3-9DF2-4CA2-8B68-7883E6BE8AC0}"/>
    <cellStyle name="Comma 12 3 6 3 2 2" xfId="26263" xr:uid="{253E988F-5F37-40EC-8EE0-7931B855FE23}"/>
    <cellStyle name="Comma 12 3 6 3 2 2 2" xfId="56503" xr:uid="{78874252-DC8B-46A0-9E1F-9B402940DDF1}"/>
    <cellStyle name="Comma 12 3 6 3 2 3" xfId="41383" xr:uid="{045F966A-AF2A-4AFE-8DA3-8871A09DA8C7}"/>
    <cellStyle name="Comma 12 3 6 3 3" xfId="17191" xr:uid="{C855A983-1373-414D-9C5C-511809D30CAD}"/>
    <cellStyle name="Comma 12 3 6 3 3 2" xfId="47431" xr:uid="{84B7A324-6C60-4130-A87D-716BE5AB1B2E}"/>
    <cellStyle name="Comma 12 3 6 3 4" xfId="32311" xr:uid="{75916C10-864C-46E3-B536-8CF11EC3B903}"/>
    <cellStyle name="Comma 12 3 6 4" xfId="3583" xr:uid="{910A5C18-53E6-47FC-B760-6135C825D331}"/>
    <cellStyle name="Comma 12 3 6 4 2" xfId="12655" xr:uid="{B8878EE0-DB62-4166-90B0-C51FD3126E35}"/>
    <cellStyle name="Comma 12 3 6 4 2 2" xfId="27775" xr:uid="{14814622-F762-416D-8423-15DBEEDE678A}"/>
    <cellStyle name="Comma 12 3 6 4 2 2 2" xfId="58015" xr:uid="{4EB3883C-61ED-43CE-8A71-98518337C14B}"/>
    <cellStyle name="Comma 12 3 6 4 2 3" xfId="42895" xr:uid="{780DBEE7-F102-42D1-BCFD-C064AC439962}"/>
    <cellStyle name="Comma 12 3 6 4 3" xfId="18703" xr:uid="{3E6ED7B8-6574-4321-B680-CA7607ECFA91}"/>
    <cellStyle name="Comma 12 3 6 4 3 2" xfId="48943" xr:uid="{BDF922B6-3BEE-4CF7-AB28-9E21521DA71F}"/>
    <cellStyle name="Comma 12 3 6 4 4" xfId="33823" xr:uid="{C5EE3FD1-F162-4ACB-837B-1B8223156C12}"/>
    <cellStyle name="Comma 12 3 6 5" xfId="5095" xr:uid="{8200C529-71F6-4E57-9A3C-4B8B1D304AB3}"/>
    <cellStyle name="Comma 12 3 6 5 2" xfId="14167" xr:uid="{3DC5A081-CC67-4740-9F22-63313127E138}"/>
    <cellStyle name="Comma 12 3 6 5 2 2" xfId="29287" xr:uid="{03E025C0-8F65-4B70-AE1E-2D6FEBD51E1A}"/>
    <cellStyle name="Comma 12 3 6 5 2 2 2" xfId="59527" xr:uid="{F56FA3CF-7A5A-482F-A2EB-49591F71A358}"/>
    <cellStyle name="Comma 12 3 6 5 2 3" xfId="44407" xr:uid="{B578F9D3-E661-4D91-9DEE-F3541F99E7D4}"/>
    <cellStyle name="Comma 12 3 6 5 3" xfId="20215" xr:uid="{A96B8E56-CD0C-4736-B86C-7A439D7F5557}"/>
    <cellStyle name="Comma 12 3 6 5 3 2" xfId="50455" xr:uid="{6EFDA643-CF54-4382-9B67-50D669F4A485}"/>
    <cellStyle name="Comma 12 3 6 5 4" xfId="35335" xr:uid="{78572681-A661-4127-963F-2294AD8FBC32}"/>
    <cellStyle name="Comma 12 3 6 6" xfId="6607" xr:uid="{E29C5FDA-506E-45F5-90FF-1C9E94F01071}"/>
    <cellStyle name="Comma 12 3 6 6 2" xfId="21727" xr:uid="{7BCC94D1-F690-478D-9D0D-A9D4A51D9311}"/>
    <cellStyle name="Comma 12 3 6 6 2 2" xfId="51967" xr:uid="{44713FD1-8D05-4785-B13D-A6B0D7597814}"/>
    <cellStyle name="Comma 12 3 6 6 3" xfId="36847" xr:uid="{D79427AD-54FA-41F1-ABCE-A4FE08345347}"/>
    <cellStyle name="Comma 12 3 6 7" xfId="8119" xr:uid="{DFC31CA1-D6F0-4E16-BD57-CBC0F93A36D9}"/>
    <cellStyle name="Comma 12 3 6 7 2" xfId="23239" xr:uid="{10BB2339-142F-4FEF-B240-CF5A4B8BC17C}"/>
    <cellStyle name="Comma 12 3 6 7 2 2" xfId="53479" xr:uid="{C31DB5C6-6C6E-4D14-931E-1CB7A9893E3F}"/>
    <cellStyle name="Comma 12 3 6 7 3" xfId="38359" xr:uid="{41E17DD8-3204-4C3E-8089-C1EBE3752F8B}"/>
    <cellStyle name="Comma 12 3 6 8" xfId="9631" xr:uid="{BA64B6B8-7B8A-4C21-B457-FBD33A3C701D}"/>
    <cellStyle name="Comma 12 3 6 8 2" xfId="24751" xr:uid="{99AEB697-C2A4-4B8A-AF76-943DE13EB2BA}"/>
    <cellStyle name="Comma 12 3 6 8 2 2" xfId="54991" xr:uid="{99A97D4C-4B93-4EF4-A60B-A8F7D3A8BDBD}"/>
    <cellStyle name="Comma 12 3 6 8 3" xfId="39871" xr:uid="{0CF1EA7A-21C8-4578-999F-6DA2CD86584E}"/>
    <cellStyle name="Comma 12 3 6 9" xfId="15679" xr:uid="{49457BA4-663F-4AB3-B6F4-1C27952DCF56}"/>
    <cellStyle name="Comma 12 3 6 9 2" xfId="45919" xr:uid="{567102B9-D833-4265-AEF3-43110E93F4E8}"/>
    <cellStyle name="Comma 12 3 7" xfId="811" xr:uid="{744B0C2F-9DB6-4313-A2A1-71993CF141EA}"/>
    <cellStyle name="Comma 12 3 7 2" xfId="2323" xr:uid="{F4580168-7C5D-414D-9BF8-C81110CAF593}"/>
    <cellStyle name="Comma 12 3 7 2 2" xfId="11395" xr:uid="{C2AFC23F-D539-45A8-8C35-64B78642AEF1}"/>
    <cellStyle name="Comma 12 3 7 2 2 2" xfId="26515" xr:uid="{7D239A3B-59EB-416E-9795-D6A7D2FF893F}"/>
    <cellStyle name="Comma 12 3 7 2 2 2 2" xfId="56755" xr:uid="{D3CD02C4-0217-41C5-974D-C0CDF349E68C}"/>
    <cellStyle name="Comma 12 3 7 2 2 3" xfId="41635" xr:uid="{33AAE4F4-786E-4ED0-A676-23DC9EBCC3BB}"/>
    <cellStyle name="Comma 12 3 7 2 3" xfId="17443" xr:uid="{5F7B8150-7188-4430-8C01-230F9904FC54}"/>
    <cellStyle name="Comma 12 3 7 2 3 2" xfId="47683" xr:uid="{3D909869-B3F3-4B16-9DE8-73305BFA6F94}"/>
    <cellStyle name="Comma 12 3 7 2 4" xfId="32563" xr:uid="{7DBDB486-0AAE-4667-9358-E13CD961F4F3}"/>
    <cellStyle name="Comma 12 3 7 3" xfId="3835" xr:uid="{D26E0B0F-EE1A-4F84-AA89-3E99AE827EDC}"/>
    <cellStyle name="Comma 12 3 7 3 2" xfId="12907" xr:uid="{B4B67984-0D20-4568-B074-071EA29FE3AE}"/>
    <cellStyle name="Comma 12 3 7 3 2 2" xfId="28027" xr:uid="{C23493B3-6394-4621-B2B4-4855DA18AF0F}"/>
    <cellStyle name="Comma 12 3 7 3 2 2 2" xfId="58267" xr:uid="{F1679CE2-F846-46B2-B520-B2777FF99BB5}"/>
    <cellStyle name="Comma 12 3 7 3 2 3" xfId="43147" xr:uid="{4D9E49C9-0E16-4968-847C-7AEC0115669F}"/>
    <cellStyle name="Comma 12 3 7 3 3" xfId="18955" xr:uid="{017CAA62-49EE-4D9B-B2FD-D88075F0F96E}"/>
    <cellStyle name="Comma 12 3 7 3 3 2" xfId="49195" xr:uid="{EC9065B3-608F-4719-B02B-92ADD5536EC1}"/>
    <cellStyle name="Comma 12 3 7 3 4" xfId="34075" xr:uid="{DC3BD1C0-EEF9-413D-BDC2-794C59E6C50F}"/>
    <cellStyle name="Comma 12 3 7 4" xfId="5347" xr:uid="{254B1904-BF4A-4348-8426-785054D24761}"/>
    <cellStyle name="Comma 12 3 7 4 2" xfId="14419" xr:uid="{7017480E-A286-4C0F-B21F-4119662A7087}"/>
    <cellStyle name="Comma 12 3 7 4 2 2" xfId="29539" xr:uid="{CD0FF043-FF0A-4BC1-9788-5C653D767353}"/>
    <cellStyle name="Comma 12 3 7 4 2 2 2" xfId="59779" xr:uid="{5105F079-B491-4726-90C4-5EB5DEC5D002}"/>
    <cellStyle name="Comma 12 3 7 4 2 3" xfId="44659" xr:uid="{CC16109F-BD17-4BFB-8373-732C1889FFE1}"/>
    <cellStyle name="Comma 12 3 7 4 3" xfId="20467" xr:uid="{4F9ABC56-28BD-4FF8-B843-273C21802831}"/>
    <cellStyle name="Comma 12 3 7 4 3 2" xfId="50707" xr:uid="{2436579C-9A2C-4A50-90CD-8DEF920CD753}"/>
    <cellStyle name="Comma 12 3 7 4 4" xfId="35587" xr:uid="{43914684-F6FC-44B5-B379-9A126C6226EE}"/>
    <cellStyle name="Comma 12 3 7 5" xfId="6859" xr:uid="{8B14363A-E249-4E68-A2B5-FE811A03E92D}"/>
    <cellStyle name="Comma 12 3 7 5 2" xfId="21979" xr:uid="{83E87F3E-E8A7-45E0-9D10-F7AFEC6F8A82}"/>
    <cellStyle name="Comma 12 3 7 5 2 2" xfId="52219" xr:uid="{EC0D1C42-CC90-4B65-9722-DE7FE36864B8}"/>
    <cellStyle name="Comma 12 3 7 5 3" xfId="37099" xr:uid="{FFE3A617-230E-494C-AC48-A01492E89588}"/>
    <cellStyle name="Comma 12 3 7 6" xfId="8371" xr:uid="{407DB665-45AA-450B-8838-738979D6A5B3}"/>
    <cellStyle name="Comma 12 3 7 6 2" xfId="23491" xr:uid="{421393B1-3692-44C1-B653-25B846E86055}"/>
    <cellStyle name="Comma 12 3 7 6 2 2" xfId="53731" xr:uid="{7E0FA6F6-7C39-4FDD-BCFF-6928198AB0A5}"/>
    <cellStyle name="Comma 12 3 7 6 3" xfId="38611" xr:uid="{FC56CC06-FB38-48EE-8F8E-6CB9FA3586DB}"/>
    <cellStyle name="Comma 12 3 7 7" xfId="9883" xr:uid="{740AC8F3-AD6C-494A-BB0F-0068F6106D03}"/>
    <cellStyle name="Comma 12 3 7 7 2" xfId="25003" xr:uid="{217303AA-9BFF-40A5-A7EA-ED544FD161F3}"/>
    <cellStyle name="Comma 12 3 7 7 2 2" xfId="55243" xr:uid="{625C080D-88BA-40F6-A4D5-231810262B69}"/>
    <cellStyle name="Comma 12 3 7 7 3" xfId="40123" xr:uid="{272D5C7E-C32E-41C8-86E4-E6806DF250B7}"/>
    <cellStyle name="Comma 12 3 7 8" xfId="15931" xr:uid="{A58410A6-C743-4E23-B8B5-5B12583CF982}"/>
    <cellStyle name="Comma 12 3 7 8 2" xfId="46171" xr:uid="{558A1B98-E3A7-43A8-B70E-98B95225414F}"/>
    <cellStyle name="Comma 12 3 7 9" xfId="31051" xr:uid="{82C9D354-D810-4A23-9229-CD06F8BFE7FB}"/>
    <cellStyle name="Comma 12 3 8" xfId="1567" xr:uid="{F67D8265-7673-4EE7-94DA-2974A2C79E8E}"/>
    <cellStyle name="Comma 12 3 8 2" xfId="10639" xr:uid="{352A38A8-97BC-4844-BB01-4EF25084646E}"/>
    <cellStyle name="Comma 12 3 8 2 2" xfId="25759" xr:uid="{80776D78-3EEB-4629-ACCA-20CF2696D38A}"/>
    <cellStyle name="Comma 12 3 8 2 2 2" xfId="55999" xr:uid="{63EB6CD0-059D-4A99-8801-6535D76E0C3D}"/>
    <cellStyle name="Comma 12 3 8 2 3" xfId="40879" xr:uid="{A5F80B97-47DD-48F1-8DF3-E85BE9917309}"/>
    <cellStyle name="Comma 12 3 8 3" xfId="16687" xr:uid="{A2172D82-8D3A-4B38-ADA7-0303EC4F120C}"/>
    <cellStyle name="Comma 12 3 8 3 2" xfId="46927" xr:uid="{70DAF21A-673D-413C-B97E-4B3E647EF3F0}"/>
    <cellStyle name="Comma 12 3 8 4" xfId="31807" xr:uid="{5D605314-11A0-4A72-A76A-2109614F8E88}"/>
    <cellStyle name="Comma 12 3 9" xfId="3079" xr:uid="{EB6D06FC-95E6-4411-ABB9-098C7D67E5FE}"/>
    <cellStyle name="Comma 12 3 9 2" xfId="12151" xr:uid="{7CA69BE9-AD93-412C-8072-C2008A856346}"/>
    <cellStyle name="Comma 12 3 9 2 2" xfId="27271" xr:uid="{2640F41B-91F9-4951-B46E-3C4E3D5FD697}"/>
    <cellStyle name="Comma 12 3 9 2 2 2" xfId="57511" xr:uid="{04B3EDF2-BB37-4A6B-B088-D9488AA61742}"/>
    <cellStyle name="Comma 12 3 9 2 3" xfId="42391" xr:uid="{E61D4237-F72A-464D-B9C0-9586A97F873B}"/>
    <cellStyle name="Comma 12 3 9 3" xfId="18199" xr:uid="{58CBAF18-972F-4AE6-B68C-A9F5BB0A56FE}"/>
    <cellStyle name="Comma 12 3 9 3 2" xfId="48439" xr:uid="{0B15D3DD-4320-4D53-B199-07E91EA9A957}"/>
    <cellStyle name="Comma 12 3 9 4" xfId="33319" xr:uid="{084CF8EE-C399-48D6-83D9-A8AACBD5D002}"/>
    <cellStyle name="Comma 12 4" xfId="69" xr:uid="{A38C5E6C-4FE0-437E-9676-BD69315F0426}"/>
    <cellStyle name="Comma 12 4 10" xfId="6117" xr:uid="{829AECF4-6F67-469B-AF05-0AE5A42F383D}"/>
    <cellStyle name="Comma 12 4 10 2" xfId="21237" xr:uid="{077D1ED6-7FC6-485E-A473-C3AC7B512E16}"/>
    <cellStyle name="Comma 12 4 10 2 2" xfId="51477" xr:uid="{EDB0C4B3-E3CC-4151-979F-E2C4B45C9CA2}"/>
    <cellStyle name="Comma 12 4 10 3" xfId="36357" xr:uid="{7BAB35F9-A762-460E-B2A3-7C89BAF756BA}"/>
    <cellStyle name="Comma 12 4 11" xfId="7629" xr:uid="{BD765C80-C157-4A2B-81A6-AB3EE991EC9A}"/>
    <cellStyle name="Comma 12 4 11 2" xfId="22749" xr:uid="{C8F6D274-CDCC-44A1-ABFF-CB489E70BDC1}"/>
    <cellStyle name="Comma 12 4 11 2 2" xfId="52989" xr:uid="{B4566A84-9AC5-416D-BB52-EF7EC7FDE9A8}"/>
    <cellStyle name="Comma 12 4 11 3" xfId="37869" xr:uid="{4BD2C3FC-686C-4FD9-8559-F1B9136F20E1}"/>
    <cellStyle name="Comma 12 4 12" xfId="9141" xr:uid="{8DB173B5-D969-46BB-92B5-F50E5C94497B}"/>
    <cellStyle name="Comma 12 4 12 2" xfId="24261" xr:uid="{DA603D4A-2032-4B6C-8725-3FFEA56A5D5C}"/>
    <cellStyle name="Comma 12 4 12 2 2" xfId="54501" xr:uid="{C58FE4B9-C2FC-480B-B236-EF423D6FFF2C}"/>
    <cellStyle name="Comma 12 4 12 3" xfId="39381" xr:uid="{20E5004B-DB44-4D7E-9DDF-7CBF4C505F6D}"/>
    <cellStyle name="Comma 12 4 13" xfId="15189" xr:uid="{6B8F987D-2A43-49D9-B997-A0CADE4D2D52}"/>
    <cellStyle name="Comma 12 4 13 2" xfId="45429" xr:uid="{E97F4747-F69B-4BD5-947D-1C668DFE187B}"/>
    <cellStyle name="Comma 12 4 14" xfId="30309" xr:uid="{EC711356-6DDF-4755-898D-2E1D251A9E19}"/>
    <cellStyle name="Comma 12 4 2" xfId="153" xr:uid="{5ED991C1-5E1B-4485-A81E-9063C6675468}"/>
    <cellStyle name="Comma 12 4 2 10" xfId="9225" xr:uid="{7727243F-DE64-4594-9D50-E4E02F46B897}"/>
    <cellStyle name="Comma 12 4 2 10 2" xfId="24345" xr:uid="{02230CA1-7623-40CE-905D-3FE777019603}"/>
    <cellStyle name="Comma 12 4 2 10 2 2" xfId="54585" xr:uid="{C423BF4B-73EF-4C93-8A55-E9DD3782C295}"/>
    <cellStyle name="Comma 12 4 2 10 3" xfId="39465" xr:uid="{E2F54A5F-E20F-4207-AFB9-E44153B0F4AE}"/>
    <cellStyle name="Comma 12 4 2 11" xfId="15273" xr:uid="{C5BA09BE-6BAB-452D-8BC5-AC3FE91C2DEB}"/>
    <cellStyle name="Comma 12 4 2 11 2" xfId="45513" xr:uid="{05203543-742D-4E37-BFAC-A056D05C3E45}"/>
    <cellStyle name="Comma 12 4 2 12" xfId="30393" xr:uid="{175F5413-85FA-4A14-986A-6088C341FACE}"/>
    <cellStyle name="Comma 12 4 2 2" xfId="405" xr:uid="{8E414C22-1162-46DA-9160-49D088C51AA6}"/>
    <cellStyle name="Comma 12 4 2 2 10" xfId="30645" xr:uid="{97ABEEEF-206B-4C8E-B82A-22F7D9FA4E1F}"/>
    <cellStyle name="Comma 12 4 2 2 2" xfId="1161" xr:uid="{92944D8E-3C1B-4378-943E-74DC09FECDD5}"/>
    <cellStyle name="Comma 12 4 2 2 2 2" xfId="2673" xr:uid="{A15340A3-EFD8-4C3D-8C8C-B86D98515426}"/>
    <cellStyle name="Comma 12 4 2 2 2 2 2" xfId="11745" xr:uid="{71C091BA-14A3-4CCC-8A26-EF0900827529}"/>
    <cellStyle name="Comma 12 4 2 2 2 2 2 2" xfId="26865" xr:uid="{24FF9B9F-6FA4-4D12-86F6-E74DC6D299E8}"/>
    <cellStyle name="Comma 12 4 2 2 2 2 2 2 2" xfId="57105" xr:uid="{235287D2-7CEC-4E9F-84D4-C34236121454}"/>
    <cellStyle name="Comma 12 4 2 2 2 2 2 3" xfId="41985" xr:uid="{51F2B579-638E-412E-BCE8-F8E88CA754F0}"/>
    <cellStyle name="Comma 12 4 2 2 2 2 3" xfId="17793" xr:uid="{852CE71A-44DC-4E05-8453-E4A479520484}"/>
    <cellStyle name="Comma 12 4 2 2 2 2 3 2" xfId="48033" xr:uid="{82EC5F54-7A65-4735-A480-1CECAECB35B8}"/>
    <cellStyle name="Comma 12 4 2 2 2 2 4" xfId="32913" xr:uid="{537F888B-C492-4652-9A4E-0B91FF2A33C1}"/>
    <cellStyle name="Comma 12 4 2 2 2 3" xfId="4185" xr:uid="{63364AAE-35B7-4477-ACF5-67BE9C8451FA}"/>
    <cellStyle name="Comma 12 4 2 2 2 3 2" xfId="13257" xr:uid="{6B36E21C-BA5B-4283-92AC-228E6D5F543C}"/>
    <cellStyle name="Comma 12 4 2 2 2 3 2 2" xfId="28377" xr:uid="{1BDD2C42-CCC7-42A7-AF96-41E72F3F8B97}"/>
    <cellStyle name="Comma 12 4 2 2 2 3 2 2 2" xfId="58617" xr:uid="{F04A10E1-BDBE-4AF4-B15C-C72ADE8FA60D}"/>
    <cellStyle name="Comma 12 4 2 2 2 3 2 3" xfId="43497" xr:uid="{F8C620B0-4213-4BB8-9B97-A8F9E2933FCC}"/>
    <cellStyle name="Comma 12 4 2 2 2 3 3" xfId="19305" xr:uid="{DB0312E2-B215-4A18-8FB5-175298B950D5}"/>
    <cellStyle name="Comma 12 4 2 2 2 3 3 2" xfId="49545" xr:uid="{E180A9E9-44EE-4A88-ABB1-BACEA1DA0107}"/>
    <cellStyle name="Comma 12 4 2 2 2 3 4" xfId="34425" xr:uid="{B6234EC1-E10D-4B4C-9009-BB9194614943}"/>
    <cellStyle name="Comma 12 4 2 2 2 4" xfId="5697" xr:uid="{240AF727-4384-4F38-B1A1-421B03DD82DF}"/>
    <cellStyle name="Comma 12 4 2 2 2 4 2" xfId="14769" xr:uid="{EA4BCE80-C1F9-4F21-8E3A-376DE1E0FAE8}"/>
    <cellStyle name="Comma 12 4 2 2 2 4 2 2" xfId="29889" xr:uid="{59062FFA-50BD-4952-9BD3-C9EF7708F121}"/>
    <cellStyle name="Comma 12 4 2 2 2 4 2 2 2" xfId="60129" xr:uid="{729C8F91-4505-4174-B619-D1CD9D307A19}"/>
    <cellStyle name="Comma 12 4 2 2 2 4 2 3" xfId="45009" xr:uid="{AC4B80AC-9F32-41EF-AE7D-1A9094D87AA9}"/>
    <cellStyle name="Comma 12 4 2 2 2 4 3" xfId="20817" xr:uid="{7BAC76C5-8CBF-4F4F-BB2A-9A75D4690212}"/>
    <cellStyle name="Comma 12 4 2 2 2 4 3 2" xfId="51057" xr:uid="{49EAB876-C5B8-4CE9-832C-889E78E53816}"/>
    <cellStyle name="Comma 12 4 2 2 2 4 4" xfId="35937" xr:uid="{3949EF2F-76C9-4684-B840-827842CA43D6}"/>
    <cellStyle name="Comma 12 4 2 2 2 5" xfId="7209" xr:uid="{ADC4CDAA-F4CE-4B6A-8FD4-20C5CE90EDB4}"/>
    <cellStyle name="Comma 12 4 2 2 2 5 2" xfId="22329" xr:uid="{5EAB76D2-83DA-47D4-B2C0-94B3510F3574}"/>
    <cellStyle name="Comma 12 4 2 2 2 5 2 2" xfId="52569" xr:uid="{AAABC8AB-CD66-434A-BF57-3ABBE494D209}"/>
    <cellStyle name="Comma 12 4 2 2 2 5 3" xfId="37449" xr:uid="{E3D2F776-EA0B-42AC-A80A-B24A31896655}"/>
    <cellStyle name="Comma 12 4 2 2 2 6" xfId="8721" xr:uid="{0265C7A7-93A9-4F61-BA27-FD0D50738A0E}"/>
    <cellStyle name="Comma 12 4 2 2 2 6 2" xfId="23841" xr:uid="{E92C1775-0E17-4BB4-99DD-8BEC865324EC}"/>
    <cellStyle name="Comma 12 4 2 2 2 6 2 2" xfId="54081" xr:uid="{38D000F4-9575-4ABA-9C8B-19E3477D194B}"/>
    <cellStyle name="Comma 12 4 2 2 2 6 3" xfId="38961" xr:uid="{12298A1E-37E2-4437-8A2F-353467B55ED2}"/>
    <cellStyle name="Comma 12 4 2 2 2 7" xfId="10233" xr:uid="{E1A3D848-83F3-4F7E-8E14-70852DD12684}"/>
    <cellStyle name="Comma 12 4 2 2 2 7 2" xfId="25353" xr:uid="{4D0D53C2-0AD3-4818-8B53-7164E5821356}"/>
    <cellStyle name="Comma 12 4 2 2 2 7 2 2" xfId="55593" xr:uid="{F6ED6805-E125-4AEE-8795-83BC96AC74C8}"/>
    <cellStyle name="Comma 12 4 2 2 2 7 3" xfId="40473" xr:uid="{1C190F76-40C5-4B94-9F74-C101511B82D4}"/>
    <cellStyle name="Comma 12 4 2 2 2 8" xfId="16281" xr:uid="{BD32CBBF-634A-48A6-A145-41E852BE08B1}"/>
    <cellStyle name="Comma 12 4 2 2 2 8 2" xfId="46521" xr:uid="{3A13A140-3E83-4E4A-9039-50A434ABD54E}"/>
    <cellStyle name="Comma 12 4 2 2 2 9" xfId="31401" xr:uid="{F6DC37ED-20EA-4A27-A54C-0665340463EE}"/>
    <cellStyle name="Comma 12 4 2 2 3" xfId="1917" xr:uid="{0DE81C00-08A7-43F6-97DC-3156C0A3E06F}"/>
    <cellStyle name="Comma 12 4 2 2 3 2" xfId="10989" xr:uid="{4C5D7A54-B2E3-40B4-8829-3A3CAFC13412}"/>
    <cellStyle name="Comma 12 4 2 2 3 2 2" xfId="26109" xr:uid="{655E35FE-9C76-4B66-B046-99A5D316ADEB}"/>
    <cellStyle name="Comma 12 4 2 2 3 2 2 2" xfId="56349" xr:uid="{EDC6E2F2-9660-4A62-AC2B-C9493D7867F4}"/>
    <cellStyle name="Comma 12 4 2 2 3 2 3" xfId="41229" xr:uid="{73BC268B-16C5-4622-BA10-6F0335E702FC}"/>
    <cellStyle name="Comma 12 4 2 2 3 3" xfId="17037" xr:uid="{384DA7C5-E6FC-4CB7-976C-AC8524E12B20}"/>
    <cellStyle name="Comma 12 4 2 2 3 3 2" xfId="47277" xr:uid="{2F5996A0-A61C-4354-ADDE-B75F415763AF}"/>
    <cellStyle name="Comma 12 4 2 2 3 4" xfId="32157" xr:uid="{144BBD51-D124-46E8-89C5-38AA4C4075A2}"/>
    <cellStyle name="Comma 12 4 2 2 4" xfId="3429" xr:uid="{28BA11F3-02F3-477A-BA95-12CB32A266E3}"/>
    <cellStyle name="Comma 12 4 2 2 4 2" xfId="12501" xr:uid="{D729DA03-41DB-491F-A698-6FC1F7BB0AB6}"/>
    <cellStyle name="Comma 12 4 2 2 4 2 2" xfId="27621" xr:uid="{1C7B982C-417C-40E2-B16F-9CC9A62F5BF1}"/>
    <cellStyle name="Comma 12 4 2 2 4 2 2 2" xfId="57861" xr:uid="{2BE2B49F-4F6F-4A75-B199-467A8BE556DE}"/>
    <cellStyle name="Comma 12 4 2 2 4 2 3" xfId="42741" xr:uid="{F87FE6A1-BA49-4D4E-B647-5DDA7F989B86}"/>
    <cellStyle name="Comma 12 4 2 2 4 3" xfId="18549" xr:uid="{B1C16D94-20EF-4782-AA88-814852FE53FA}"/>
    <cellStyle name="Comma 12 4 2 2 4 3 2" xfId="48789" xr:uid="{35E4D5C2-D6D9-4E60-9C03-6362AB4EB69A}"/>
    <cellStyle name="Comma 12 4 2 2 4 4" xfId="33669" xr:uid="{0A208DAB-8704-4726-8CC8-D18EE37461B8}"/>
    <cellStyle name="Comma 12 4 2 2 5" xfId="4941" xr:uid="{3AFDC313-FA74-4F9E-AD68-A3B266889AF8}"/>
    <cellStyle name="Comma 12 4 2 2 5 2" xfId="14013" xr:uid="{8DCA7BA7-41BC-4229-AF5E-D600B9A68954}"/>
    <cellStyle name="Comma 12 4 2 2 5 2 2" xfId="29133" xr:uid="{A98D03F3-9C6D-40AD-B85B-D697CB623516}"/>
    <cellStyle name="Comma 12 4 2 2 5 2 2 2" xfId="59373" xr:uid="{CE4CF07D-EB8F-451A-82E0-BD222E389F80}"/>
    <cellStyle name="Comma 12 4 2 2 5 2 3" xfId="44253" xr:uid="{13006EFC-CBAA-4D40-89DB-3A045FD7F777}"/>
    <cellStyle name="Comma 12 4 2 2 5 3" xfId="20061" xr:uid="{FCD48552-2649-4678-A561-0B4AA514A3EB}"/>
    <cellStyle name="Comma 12 4 2 2 5 3 2" xfId="50301" xr:uid="{B15F3AE4-017E-452B-810D-6C919E94861D}"/>
    <cellStyle name="Comma 12 4 2 2 5 4" xfId="35181" xr:uid="{09C6FCB2-B48F-43B6-907C-69164C660021}"/>
    <cellStyle name="Comma 12 4 2 2 6" xfId="6453" xr:uid="{4222E8A2-035F-40D1-82FE-54CDFA3B1736}"/>
    <cellStyle name="Comma 12 4 2 2 6 2" xfId="21573" xr:uid="{0BF58778-9A76-4DAC-B6FA-CFD30AC17155}"/>
    <cellStyle name="Comma 12 4 2 2 6 2 2" xfId="51813" xr:uid="{637F3FC9-85DE-4D3A-839C-E7442D1A89E7}"/>
    <cellStyle name="Comma 12 4 2 2 6 3" xfId="36693" xr:uid="{BF838056-C047-46CD-9CC9-71D8723A91E8}"/>
    <cellStyle name="Comma 12 4 2 2 7" xfId="7965" xr:uid="{CA113491-E98F-4E79-8661-1559A0BCD3E4}"/>
    <cellStyle name="Comma 12 4 2 2 7 2" xfId="23085" xr:uid="{B2C0662C-9802-4866-9D1A-023D60BF2A80}"/>
    <cellStyle name="Comma 12 4 2 2 7 2 2" xfId="53325" xr:uid="{F0C51F9A-CE1A-44CD-862C-DA54D4D725E2}"/>
    <cellStyle name="Comma 12 4 2 2 7 3" xfId="38205" xr:uid="{50BF08E8-3346-4CE7-BEB9-CD1206B7285F}"/>
    <cellStyle name="Comma 12 4 2 2 8" xfId="9477" xr:uid="{75B2E5ED-2015-44E8-95EF-A1A34F6A4716}"/>
    <cellStyle name="Comma 12 4 2 2 8 2" xfId="24597" xr:uid="{C9C15399-6E58-47DB-A143-C84F5CA8CB2D}"/>
    <cellStyle name="Comma 12 4 2 2 8 2 2" xfId="54837" xr:uid="{D44D1BFB-274F-41C8-B715-2D038CC66F90}"/>
    <cellStyle name="Comma 12 4 2 2 8 3" xfId="39717" xr:uid="{9E030BA9-C019-424A-9198-834B2D651BF5}"/>
    <cellStyle name="Comma 12 4 2 2 9" xfId="15525" xr:uid="{FBCB30A4-3B6D-4B7E-AE65-2DD742A6AA0B}"/>
    <cellStyle name="Comma 12 4 2 2 9 2" xfId="45765" xr:uid="{6BC85D21-D26C-4B6F-A4D5-35CBDAE32EF2}"/>
    <cellStyle name="Comma 12 4 2 3" xfId="657" xr:uid="{862B4261-C2A3-4728-AF02-85899BB343D3}"/>
    <cellStyle name="Comma 12 4 2 3 10" xfId="30897" xr:uid="{116980D5-13D9-41CB-B1DE-55550B95FC42}"/>
    <cellStyle name="Comma 12 4 2 3 2" xfId="1413" xr:uid="{799760B1-EFE5-49D4-BA28-C1A6CA4BFB27}"/>
    <cellStyle name="Comma 12 4 2 3 2 2" xfId="2925" xr:uid="{52DD0138-46A0-4730-8008-53E4644E5F29}"/>
    <cellStyle name="Comma 12 4 2 3 2 2 2" xfId="11997" xr:uid="{B463EE32-FE08-4C31-845C-28478DE7B4C5}"/>
    <cellStyle name="Comma 12 4 2 3 2 2 2 2" xfId="27117" xr:uid="{24052CCA-96A7-4556-9ADD-1237975B6D7E}"/>
    <cellStyle name="Comma 12 4 2 3 2 2 2 2 2" xfId="57357" xr:uid="{0182EE92-E939-4440-9C73-EF94AAD42753}"/>
    <cellStyle name="Comma 12 4 2 3 2 2 2 3" xfId="42237" xr:uid="{5AFDA7EF-7D2E-4A72-AB2B-70449E3554BA}"/>
    <cellStyle name="Comma 12 4 2 3 2 2 3" xfId="18045" xr:uid="{D573AE10-013A-46C3-BEC7-227C0E685BC4}"/>
    <cellStyle name="Comma 12 4 2 3 2 2 3 2" xfId="48285" xr:uid="{6CAA11AF-2CEA-42A4-A580-7C8C233724D9}"/>
    <cellStyle name="Comma 12 4 2 3 2 2 4" xfId="33165" xr:uid="{1ED1DA8A-4C0F-45EE-ABE0-9AD23D8E2D4C}"/>
    <cellStyle name="Comma 12 4 2 3 2 3" xfId="4437" xr:uid="{632EE659-66E0-46D5-B1EA-F1B3C61A7E31}"/>
    <cellStyle name="Comma 12 4 2 3 2 3 2" xfId="13509" xr:uid="{BC33D09B-1207-44F5-8075-3C9B781F7D4F}"/>
    <cellStyle name="Comma 12 4 2 3 2 3 2 2" xfId="28629" xr:uid="{14C836A5-0CF6-4597-8B36-11A8E39A6D57}"/>
    <cellStyle name="Comma 12 4 2 3 2 3 2 2 2" xfId="58869" xr:uid="{23BBF2DF-C2F3-455C-972A-17CE076363C7}"/>
    <cellStyle name="Comma 12 4 2 3 2 3 2 3" xfId="43749" xr:uid="{81938AC2-8EDD-459E-A83A-5B32F25D11A8}"/>
    <cellStyle name="Comma 12 4 2 3 2 3 3" xfId="19557" xr:uid="{E68B8A38-717A-4F9A-920C-A057D436DCB0}"/>
    <cellStyle name="Comma 12 4 2 3 2 3 3 2" xfId="49797" xr:uid="{4C3EF59B-7024-43E9-BC8B-E2CF3BE1B341}"/>
    <cellStyle name="Comma 12 4 2 3 2 3 4" xfId="34677" xr:uid="{C2EA537B-43EA-4605-8ACD-0267A324B7E5}"/>
    <cellStyle name="Comma 12 4 2 3 2 4" xfId="5949" xr:uid="{6BFCF310-221A-4366-A1D8-4E24A614BE0A}"/>
    <cellStyle name="Comma 12 4 2 3 2 4 2" xfId="15021" xr:uid="{D502CD4F-9128-426A-963B-5ED1FDB8C424}"/>
    <cellStyle name="Comma 12 4 2 3 2 4 2 2" xfId="30141" xr:uid="{4C99D14E-A4D4-43B7-90E9-5B4F952D5BF5}"/>
    <cellStyle name="Comma 12 4 2 3 2 4 2 2 2" xfId="60381" xr:uid="{F50AE2EF-915E-434F-96C1-9B71A69E8AAF}"/>
    <cellStyle name="Comma 12 4 2 3 2 4 2 3" xfId="45261" xr:uid="{86E868CD-677F-4E15-A0F5-F6468A5A69AE}"/>
    <cellStyle name="Comma 12 4 2 3 2 4 3" xfId="21069" xr:uid="{0D93587A-9211-48FA-9F25-0F3CBA57A9A1}"/>
    <cellStyle name="Comma 12 4 2 3 2 4 3 2" xfId="51309" xr:uid="{38EC7A0F-121A-4D66-BC75-DB409FA87B47}"/>
    <cellStyle name="Comma 12 4 2 3 2 4 4" xfId="36189" xr:uid="{A139D7E8-26B6-4557-8397-AB61D7720771}"/>
    <cellStyle name="Comma 12 4 2 3 2 5" xfId="7461" xr:uid="{FC14ACE6-4838-46C7-8090-509EE30C63A8}"/>
    <cellStyle name="Comma 12 4 2 3 2 5 2" xfId="22581" xr:uid="{C8D0165C-3A0F-42B2-869E-6777C6553CE4}"/>
    <cellStyle name="Comma 12 4 2 3 2 5 2 2" xfId="52821" xr:uid="{91CF31A8-3BE6-4769-B804-A8A198955C7B}"/>
    <cellStyle name="Comma 12 4 2 3 2 5 3" xfId="37701" xr:uid="{802988FA-D40C-4D51-B998-EBA4BDE3C4A8}"/>
    <cellStyle name="Comma 12 4 2 3 2 6" xfId="8973" xr:uid="{FA3473B0-5B8E-4053-9D5D-6C93E70752BA}"/>
    <cellStyle name="Comma 12 4 2 3 2 6 2" xfId="24093" xr:uid="{6014F460-A45C-4C5E-814C-543763EA9245}"/>
    <cellStyle name="Comma 12 4 2 3 2 6 2 2" xfId="54333" xr:uid="{D4BE4C8E-8329-47D2-B810-5886CF6F253B}"/>
    <cellStyle name="Comma 12 4 2 3 2 6 3" xfId="39213" xr:uid="{1C5A01C2-B86F-4D87-A7FC-2E0B4334C411}"/>
    <cellStyle name="Comma 12 4 2 3 2 7" xfId="10485" xr:uid="{33899E37-0315-4B87-893F-AD695E2EE045}"/>
    <cellStyle name="Comma 12 4 2 3 2 7 2" xfId="25605" xr:uid="{44F2B569-09A2-481A-A163-F020D8667A58}"/>
    <cellStyle name="Comma 12 4 2 3 2 7 2 2" xfId="55845" xr:uid="{BC83A1A8-1D15-44A3-9C17-F6438DE38D83}"/>
    <cellStyle name="Comma 12 4 2 3 2 7 3" xfId="40725" xr:uid="{AA3FDBA9-EBA1-4597-9999-2A20F6ACB46C}"/>
    <cellStyle name="Comma 12 4 2 3 2 8" xfId="16533" xr:uid="{47B97F28-DDE1-4F36-8E6F-47B9E772C183}"/>
    <cellStyle name="Comma 12 4 2 3 2 8 2" xfId="46773" xr:uid="{36195B09-3703-4CA2-8FE7-709490D49EA2}"/>
    <cellStyle name="Comma 12 4 2 3 2 9" xfId="31653" xr:uid="{4ECCC832-7A1B-49E6-BC85-AB2C9D68C52E}"/>
    <cellStyle name="Comma 12 4 2 3 3" xfId="2169" xr:uid="{D49DD49A-7933-4F30-9DCE-8FB9B6F7C515}"/>
    <cellStyle name="Comma 12 4 2 3 3 2" xfId="11241" xr:uid="{A27B7ED9-5465-46C6-9200-EEE7BC0E05D1}"/>
    <cellStyle name="Comma 12 4 2 3 3 2 2" xfId="26361" xr:uid="{953E23CE-7B47-479C-9E6C-8C809F5355D9}"/>
    <cellStyle name="Comma 12 4 2 3 3 2 2 2" xfId="56601" xr:uid="{A57B8179-6B61-4B88-ADFF-5FB12516E997}"/>
    <cellStyle name="Comma 12 4 2 3 3 2 3" xfId="41481" xr:uid="{26C372BC-EA0B-4170-8F4C-116C58BA962B}"/>
    <cellStyle name="Comma 12 4 2 3 3 3" xfId="17289" xr:uid="{6C0AFEDB-5C16-41F5-8658-B5E01A1368CA}"/>
    <cellStyle name="Comma 12 4 2 3 3 3 2" xfId="47529" xr:uid="{0540080D-E302-4994-B04A-2C263896CCF6}"/>
    <cellStyle name="Comma 12 4 2 3 3 4" xfId="32409" xr:uid="{6E083336-9EA3-4DB6-A03D-1D35F641764F}"/>
    <cellStyle name="Comma 12 4 2 3 4" xfId="3681" xr:uid="{FB2A788C-A0EF-4FD2-BE16-641CEC85B624}"/>
    <cellStyle name="Comma 12 4 2 3 4 2" xfId="12753" xr:uid="{F8B14AFF-DE83-4B7E-ABF4-E9D36818E7D2}"/>
    <cellStyle name="Comma 12 4 2 3 4 2 2" xfId="27873" xr:uid="{DB5793E9-939F-489E-B825-C3C3E784C4A2}"/>
    <cellStyle name="Comma 12 4 2 3 4 2 2 2" xfId="58113" xr:uid="{D6238F21-26CB-4D46-A900-4BA866DB0CBB}"/>
    <cellStyle name="Comma 12 4 2 3 4 2 3" xfId="42993" xr:uid="{6CDD45A0-DEC0-409F-96C6-2FC137ADC8FD}"/>
    <cellStyle name="Comma 12 4 2 3 4 3" xfId="18801" xr:uid="{295418E3-EAB2-4BF3-B4A9-62710F430BB1}"/>
    <cellStyle name="Comma 12 4 2 3 4 3 2" xfId="49041" xr:uid="{ED4EF4E9-0BA2-4B88-B1D7-9893FC875D3E}"/>
    <cellStyle name="Comma 12 4 2 3 4 4" xfId="33921" xr:uid="{2796CF23-4CF2-43F1-8839-86499A445EE5}"/>
    <cellStyle name="Comma 12 4 2 3 5" xfId="5193" xr:uid="{C8B00028-C467-4F4F-A189-3710D1318925}"/>
    <cellStyle name="Comma 12 4 2 3 5 2" xfId="14265" xr:uid="{D260FC77-55D9-445E-A9BE-4AD4E41B3965}"/>
    <cellStyle name="Comma 12 4 2 3 5 2 2" xfId="29385" xr:uid="{00E95200-20B9-4D1D-A99E-9A61E165BE30}"/>
    <cellStyle name="Comma 12 4 2 3 5 2 2 2" xfId="59625" xr:uid="{A1B62CF8-E6B9-4083-A668-56F899A3E302}"/>
    <cellStyle name="Comma 12 4 2 3 5 2 3" xfId="44505" xr:uid="{A787901C-20C1-4C5C-8BCA-9D5C422FD135}"/>
    <cellStyle name="Comma 12 4 2 3 5 3" xfId="20313" xr:uid="{B793B7EF-CFA8-4B91-A055-32CB0401357C}"/>
    <cellStyle name="Comma 12 4 2 3 5 3 2" xfId="50553" xr:uid="{FCC078F2-8FF4-47ED-9194-0476AEA33128}"/>
    <cellStyle name="Comma 12 4 2 3 5 4" xfId="35433" xr:uid="{85410164-7F29-4A4C-999F-44644FB1B19F}"/>
    <cellStyle name="Comma 12 4 2 3 6" xfId="6705" xr:uid="{48F7BDFD-11FA-47DE-ACEA-BCD4DEA93878}"/>
    <cellStyle name="Comma 12 4 2 3 6 2" xfId="21825" xr:uid="{CCF3A334-60E9-4075-89F9-06A1E261BDB9}"/>
    <cellStyle name="Comma 12 4 2 3 6 2 2" xfId="52065" xr:uid="{74805842-8068-4BAA-B474-4F26DFFE7D2D}"/>
    <cellStyle name="Comma 12 4 2 3 6 3" xfId="36945" xr:uid="{20BF102C-015F-490B-836C-20AA4F3C2F3E}"/>
    <cellStyle name="Comma 12 4 2 3 7" xfId="8217" xr:uid="{BA957ECB-51FA-41E2-9E62-1641C6DD934D}"/>
    <cellStyle name="Comma 12 4 2 3 7 2" xfId="23337" xr:uid="{217DB2BE-E2FD-4C46-BE92-25BE50D612D9}"/>
    <cellStyle name="Comma 12 4 2 3 7 2 2" xfId="53577" xr:uid="{0A2DBAEB-4C58-439A-9237-7877336D410A}"/>
    <cellStyle name="Comma 12 4 2 3 7 3" xfId="38457" xr:uid="{2C92AF3B-CEFA-4508-938A-8B654A0218CD}"/>
    <cellStyle name="Comma 12 4 2 3 8" xfId="9729" xr:uid="{6B8507DA-686A-4038-9670-480F580099DC}"/>
    <cellStyle name="Comma 12 4 2 3 8 2" xfId="24849" xr:uid="{1C5EF480-E8DA-42B8-82AF-73DD251131EE}"/>
    <cellStyle name="Comma 12 4 2 3 8 2 2" xfId="55089" xr:uid="{2CB863B0-6687-4E9A-8844-D2500E3DA9A7}"/>
    <cellStyle name="Comma 12 4 2 3 8 3" xfId="39969" xr:uid="{D31373C7-A8A6-45D7-98E5-C2687A24F1C9}"/>
    <cellStyle name="Comma 12 4 2 3 9" xfId="15777" xr:uid="{D71674F5-54F6-4EDC-B77E-7608BD734628}"/>
    <cellStyle name="Comma 12 4 2 3 9 2" xfId="46017" xr:uid="{32F7CACC-FD1A-4C49-966A-0046E575D8B6}"/>
    <cellStyle name="Comma 12 4 2 4" xfId="909" xr:uid="{E9A6A235-8DA1-46DE-A778-0C62CCE50C4F}"/>
    <cellStyle name="Comma 12 4 2 4 2" xfId="2421" xr:uid="{1A176F1A-5094-4B38-824B-99E7949E05EC}"/>
    <cellStyle name="Comma 12 4 2 4 2 2" xfId="11493" xr:uid="{46A9CCE0-770B-4D25-BD51-F0A3403D401F}"/>
    <cellStyle name="Comma 12 4 2 4 2 2 2" xfId="26613" xr:uid="{97FC28E0-EA6E-4977-93AB-D5BA1C3C4463}"/>
    <cellStyle name="Comma 12 4 2 4 2 2 2 2" xfId="56853" xr:uid="{09B837FC-3BD4-4F51-9ED2-544030FBB556}"/>
    <cellStyle name="Comma 12 4 2 4 2 2 3" xfId="41733" xr:uid="{22183B12-2958-443F-82E7-AAFACE7DBE36}"/>
    <cellStyle name="Comma 12 4 2 4 2 3" xfId="17541" xr:uid="{29ECAE37-2E22-4E01-A417-D2CD2FCEF542}"/>
    <cellStyle name="Comma 12 4 2 4 2 3 2" xfId="47781" xr:uid="{B004C9CD-B315-44BE-B6D6-30DC1B2275AA}"/>
    <cellStyle name="Comma 12 4 2 4 2 4" xfId="32661" xr:uid="{238C4C8B-F957-480B-9722-5814B91E2822}"/>
    <cellStyle name="Comma 12 4 2 4 3" xfId="3933" xr:uid="{10DD99D6-D70C-4DAF-910F-100E62D20C2E}"/>
    <cellStyle name="Comma 12 4 2 4 3 2" xfId="13005" xr:uid="{4AC625B0-7E57-4829-A7EA-96846297C817}"/>
    <cellStyle name="Comma 12 4 2 4 3 2 2" xfId="28125" xr:uid="{CBA6A271-D62B-4764-81FA-78E8FB2B243D}"/>
    <cellStyle name="Comma 12 4 2 4 3 2 2 2" xfId="58365" xr:uid="{002EF79C-5257-43AE-B016-305C4726793B}"/>
    <cellStyle name="Comma 12 4 2 4 3 2 3" xfId="43245" xr:uid="{13EAF4DF-9613-4C01-B89C-70484121BEF0}"/>
    <cellStyle name="Comma 12 4 2 4 3 3" xfId="19053" xr:uid="{FBB05429-B121-4A47-A7CE-BBAB446A9AB4}"/>
    <cellStyle name="Comma 12 4 2 4 3 3 2" xfId="49293" xr:uid="{04747647-59B3-44C8-824A-3193B1EF2412}"/>
    <cellStyle name="Comma 12 4 2 4 3 4" xfId="34173" xr:uid="{2A787961-86EE-4173-8DAF-A5E6433F98FB}"/>
    <cellStyle name="Comma 12 4 2 4 4" xfId="5445" xr:uid="{3A48F3F2-003C-4923-B321-145A8A7FA74E}"/>
    <cellStyle name="Comma 12 4 2 4 4 2" xfId="14517" xr:uid="{1BC9F58D-6A14-4140-B9A4-DC942B85BFF3}"/>
    <cellStyle name="Comma 12 4 2 4 4 2 2" xfId="29637" xr:uid="{D3CC6918-619D-4D8E-BD44-A397518A0BF0}"/>
    <cellStyle name="Comma 12 4 2 4 4 2 2 2" xfId="59877" xr:uid="{38F0D428-FFC3-468A-A6C0-892B77688103}"/>
    <cellStyle name="Comma 12 4 2 4 4 2 3" xfId="44757" xr:uid="{C8D8E1D9-093C-47CD-A571-E6CAAB67F9DD}"/>
    <cellStyle name="Comma 12 4 2 4 4 3" xfId="20565" xr:uid="{6DF8DBCC-D995-478A-ADD9-5FE350CBD608}"/>
    <cellStyle name="Comma 12 4 2 4 4 3 2" xfId="50805" xr:uid="{5887C317-454A-4D64-88F5-443AB935C0A7}"/>
    <cellStyle name="Comma 12 4 2 4 4 4" xfId="35685" xr:uid="{36F10621-2E10-46F4-A966-C41DFEE8799B}"/>
    <cellStyle name="Comma 12 4 2 4 5" xfId="6957" xr:uid="{242E3DFE-1A9B-4355-ABBE-AD077AA4365D}"/>
    <cellStyle name="Comma 12 4 2 4 5 2" xfId="22077" xr:uid="{F3ED8BB9-6CE9-46DC-9CCD-8FADE5479088}"/>
    <cellStyle name="Comma 12 4 2 4 5 2 2" xfId="52317" xr:uid="{7CACA409-4199-4CF2-B5E6-60F8AD6AE4C9}"/>
    <cellStyle name="Comma 12 4 2 4 5 3" xfId="37197" xr:uid="{CBEA9E99-1F52-4F79-AEBD-56D7613EB2F8}"/>
    <cellStyle name="Comma 12 4 2 4 6" xfId="8469" xr:uid="{74DB8E1F-FFDD-47C9-BC8E-70CB9C009F9B}"/>
    <cellStyle name="Comma 12 4 2 4 6 2" xfId="23589" xr:uid="{F74E2647-0EC8-4CFE-8213-F9DBE152EE0C}"/>
    <cellStyle name="Comma 12 4 2 4 6 2 2" xfId="53829" xr:uid="{B71A99A5-683B-43E5-B84E-318EF7946B0E}"/>
    <cellStyle name="Comma 12 4 2 4 6 3" xfId="38709" xr:uid="{BFD72AF8-3357-40B6-9D75-338A3FBFCEDF}"/>
    <cellStyle name="Comma 12 4 2 4 7" xfId="9981" xr:uid="{7A47EEEA-2E05-4B3B-89F1-26FC9581731F}"/>
    <cellStyle name="Comma 12 4 2 4 7 2" xfId="25101" xr:uid="{F913FF9A-C4CD-476E-B636-4137CACC8978}"/>
    <cellStyle name="Comma 12 4 2 4 7 2 2" xfId="55341" xr:uid="{16C32D02-C08A-48E4-B745-178D7DF99F14}"/>
    <cellStyle name="Comma 12 4 2 4 7 3" xfId="40221" xr:uid="{63D7D18D-B9CA-4B6B-8F6F-95276168E5B1}"/>
    <cellStyle name="Comma 12 4 2 4 8" xfId="16029" xr:uid="{A018D1E7-3A8C-45BA-9966-8266B3A0426C}"/>
    <cellStyle name="Comma 12 4 2 4 8 2" xfId="46269" xr:uid="{F24DD0AC-10B2-4034-9B3D-E8A2752798F5}"/>
    <cellStyle name="Comma 12 4 2 4 9" xfId="31149" xr:uid="{FE1F57E5-ACB0-4E73-A304-842C71B865E7}"/>
    <cellStyle name="Comma 12 4 2 5" xfId="1665" xr:uid="{18825D19-C9BF-44DB-AF32-9066B654FCF1}"/>
    <cellStyle name="Comma 12 4 2 5 2" xfId="10737" xr:uid="{D90410BC-07BE-4AC2-B006-5D9997BBBD44}"/>
    <cellStyle name="Comma 12 4 2 5 2 2" xfId="25857" xr:uid="{47C759D6-5AC1-4571-B314-E8757511E3C6}"/>
    <cellStyle name="Comma 12 4 2 5 2 2 2" xfId="56097" xr:uid="{D629CA44-13CF-46B0-9CEC-B2D183E751BA}"/>
    <cellStyle name="Comma 12 4 2 5 2 3" xfId="40977" xr:uid="{F9D80D02-A8FA-45A8-B31F-3D4D249F12F0}"/>
    <cellStyle name="Comma 12 4 2 5 3" xfId="16785" xr:uid="{DF097A39-3F96-4645-AF31-A1E74ADE2BDD}"/>
    <cellStyle name="Comma 12 4 2 5 3 2" xfId="47025" xr:uid="{B5AEE137-A225-47A9-91D7-4C344C8036D6}"/>
    <cellStyle name="Comma 12 4 2 5 4" xfId="31905" xr:uid="{4A57D6E0-EFBD-4FF8-98FF-0EC34799A928}"/>
    <cellStyle name="Comma 12 4 2 6" xfId="3177" xr:uid="{FC6B4424-3DEC-4B39-B4AC-6445359D9C0D}"/>
    <cellStyle name="Comma 12 4 2 6 2" xfId="12249" xr:uid="{07B47648-FCC7-485E-A218-11CE0B035C1C}"/>
    <cellStyle name="Comma 12 4 2 6 2 2" xfId="27369" xr:uid="{39D78EA8-E380-47E3-A299-3188C1BC512E}"/>
    <cellStyle name="Comma 12 4 2 6 2 2 2" xfId="57609" xr:uid="{98AE9BF8-DF01-4953-A33E-CC2E52CDCE1B}"/>
    <cellStyle name="Comma 12 4 2 6 2 3" xfId="42489" xr:uid="{810F780E-C280-4843-A389-758EEAE50073}"/>
    <cellStyle name="Comma 12 4 2 6 3" xfId="18297" xr:uid="{34F2ACB7-86A2-4C46-9EA6-6D9FEEF7CD12}"/>
    <cellStyle name="Comma 12 4 2 6 3 2" xfId="48537" xr:uid="{6ACFCD24-28AB-4369-9974-5AB052DD8D21}"/>
    <cellStyle name="Comma 12 4 2 6 4" xfId="33417" xr:uid="{56E72C05-0C04-4FF8-A4E0-9F4418CBF64E}"/>
    <cellStyle name="Comma 12 4 2 7" xfId="4689" xr:uid="{41244BC7-4A00-4C64-9CD7-6242DCB180CD}"/>
    <cellStyle name="Comma 12 4 2 7 2" xfId="13761" xr:uid="{8A9C8AF8-C83E-44F1-B97E-26FE46B82914}"/>
    <cellStyle name="Comma 12 4 2 7 2 2" xfId="28881" xr:uid="{EB9F8572-1040-4BF3-8983-6B538DA6E431}"/>
    <cellStyle name="Comma 12 4 2 7 2 2 2" xfId="59121" xr:uid="{63C4E7EE-927E-4240-B710-9B07B563F805}"/>
    <cellStyle name="Comma 12 4 2 7 2 3" xfId="44001" xr:uid="{2D423320-1035-4738-B9AD-D8E8B7889118}"/>
    <cellStyle name="Comma 12 4 2 7 3" xfId="19809" xr:uid="{401EA3D5-7179-46C9-8787-63492B2E5335}"/>
    <cellStyle name="Comma 12 4 2 7 3 2" xfId="50049" xr:uid="{F3A08C21-FF5C-48E5-8A63-FE7C54F7B467}"/>
    <cellStyle name="Comma 12 4 2 7 4" xfId="34929" xr:uid="{299B8C76-1B42-4AB7-8835-EB18B2D4A403}"/>
    <cellStyle name="Comma 12 4 2 8" xfId="6201" xr:uid="{E573F02E-2E66-4F25-87A7-63E8F975D217}"/>
    <cellStyle name="Comma 12 4 2 8 2" xfId="21321" xr:uid="{A26EF02A-0F2A-4894-B14A-8D2950623F47}"/>
    <cellStyle name="Comma 12 4 2 8 2 2" xfId="51561" xr:uid="{1370976A-39D6-4375-B3E2-4C7C38AEA395}"/>
    <cellStyle name="Comma 12 4 2 8 3" xfId="36441" xr:uid="{F006BD5E-0C4B-4E81-BE78-0127F28A5326}"/>
    <cellStyle name="Comma 12 4 2 9" xfId="7713" xr:uid="{11E1855D-E702-4E08-9BE0-79C05F536314}"/>
    <cellStyle name="Comma 12 4 2 9 2" xfId="22833" xr:uid="{03315146-B6B3-40E2-8D7B-298112B6AF29}"/>
    <cellStyle name="Comma 12 4 2 9 2 2" xfId="53073" xr:uid="{5E1163B9-EC09-42AB-8F72-BA930F523C23}"/>
    <cellStyle name="Comma 12 4 2 9 3" xfId="37953" xr:uid="{B94BE882-FB86-42D9-96A8-56CC463B06A3}"/>
    <cellStyle name="Comma 12 4 3" xfId="237" xr:uid="{CFDE1403-A63F-4E37-ADF2-A6F31320CD38}"/>
    <cellStyle name="Comma 12 4 3 10" xfId="9309" xr:uid="{F027C2FD-ABCE-41E3-BD39-D7C0F74CB2A6}"/>
    <cellStyle name="Comma 12 4 3 10 2" xfId="24429" xr:uid="{AB28F104-83BC-44A2-A249-C024D6FD10F0}"/>
    <cellStyle name="Comma 12 4 3 10 2 2" xfId="54669" xr:uid="{6319B8BB-F692-47B9-BD9D-8FDDB6365864}"/>
    <cellStyle name="Comma 12 4 3 10 3" xfId="39549" xr:uid="{71D41DC2-A5DD-4E9B-8B6A-C3B9B3B4A65E}"/>
    <cellStyle name="Comma 12 4 3 11" xfId="15357" xr:uid="{EB782663-3286-4C85-8D02-3014C17A9DF2}"/>
    <cellStyle name="Comma 12 4 3 11 2" xfId="45597" xr:uid="{DBE58F51-97E2-4270-A31C-7CEE6EAFF53C}"/>
    <cellStyle name="Comma 12 4 3 12" xfId="30477" xr:uid="{E07EBB28-14B1-4B24-9DA9-114D36234291}"/>
    <cellStyle name="Comma 12 4 3 2" xfId="489" xr:uid="{B2B4400C-F012-4B0A-BC58-CA175B66EE7B}"/>
    <cellStyle name="Comma 12 4 3 2 10" xfId="30729" xr:uid="{740F4B0F-8FF1-452E-89FB-CA59B3626868}"/>
    <cellStyle name="Comma 12 4 3 2 2" xfId="1245" xr:uid="{0E5E6666-623B-4503-8C5B-7B102F2D7B09}"/>
    <cellStyle name="Comma 12 4 3 2 2 2" xfId="2757" xr:uid="{13F755D6-7B79-4863-BB37-CDBF575BE002}"/>
    <cellStyle name="Comma 12 4 3 2 2 2 2" xfId="11829" xr:uid="{D1839925-28A6-4FB3-9560-BEED2E25641D}"/>
    <cellStyle name="Comma 12 4 3 2 2 2 2 2" xfId="26949" xr:uid="{734C591D-B86F-4E1F-98FD-FEAC1FAFB75E}"/>
    <cellStyle name="Comma 12 4 3 2 2 2 2 2 2" xfId="57189" xr:uid="{13F8644F-3BB8-436E-B1D3-3452175AB5F3}"/>
    <cellStyle name="Comma 12 4 3 2 2 2 2 3" xfId="42069" xr:uid="{8DF5C0E7-B57E-4659-9BE7-2DC011E9E3BE}"/>
    <cellStyle name="Comma 12 4 3 2 2 2 3" xfId="17877" xr:uid="{0D6F00C8-A68C-4172-B3D4-AA67E8463CEC}"/>
    <cellStyle name="Comma 12 4 3 2 2 2 3 2" xfId="48117" xr:uid="{73D302C7-133F-4E22-8A5C-37731DF758F1}"/>
    <cellStyle name="Comma 12 4 3 2 2 2 4" xfId="32997" xr:uid="{872E0FF2-78C4-477A-957A-612FCFF01356}"/>
    <cellStyle name="Comma 12 4 3 2 2 3" xfId="4269" xr:uid="{0E3F74B4-9040-4316-8234-78B64AA2A545}"/>
    <cellStyle name="Comma 12 4 3 2 2 3 2" xfId="13341" xr:uid="{96E9134A-9B23-4072-992C-6009FDA7D1DD}"/>
    <cellStyle name="Comma 12 4 3 2 2 3 2 2" xfId="28461" xr:uid="{10B27C5C-CDCB-4034-9444-4BB370F30B80}"/>
    <cellStyle name="Comma 12 4 3 2 2 3 2 2 2" xfId="58701" xr:uid="{711E7F80-5D84-4BD6-B1FB-1821147F77F8}"/>
    <cellStyle name="Comma 12 4 3 2 2 3 2 3" xfId="43581" xr:uid="{48D9073D-7AD9-49EB-B478-7CFF41A22E4C}"/>
    <cellStyle name="Comma 12 4 3 2 2 3 3" xfId="19389" xr:uid="{38CBD7CB-52CE-48B7-BF7F-645ECC3CD210}"/>
    <cellStyle name="Comma 12 4 3 2 2 3 3 2" xfId="49629" xr:uid="{0060DF9C-B4FB-4AED-846C-C2B0F28D35C6}"/>
    <cellStyle name="Comma 12 4 3 2 2 3 4" xfId="34509" xr:uid="{1DBDAB03-559D-46A9-94AD-62B382D045B8}"/>
    <cellStyle name="Comma 12 4 3 2 2 4" xfId="5781" xr:uid="{FBFE5194-3F1B-452F-8792-FE96DCD8DAB1}"/>
    <cellStyle name="Comma 12 4 3 2 2 4 2" xfId="14853" xr:uid="{3D753952-66D2-4931-ADBE-3A1F8D3AFC7B}"/>
    <cellStyle name="Comma 12 4 3 2 2 4 2 2" xfId="29973" xr:uid="{21C66189-D3B2-4758-8AF7-1888F2E0697A}"/>
    <cellStyle name="Comma 12 4 3 2 2 4 2 2 2" xfId="60213" xr:uid="{7F2052D6-FF12-42AC-8591-3C8F1673EE1B}"/>
    <cellStyle name="Comma 12 4 3 2 2 4 2 3" xfId="45093" xr:uid="{2BF78B46-5F9B-4856-BBE5-601BF0FC14D3}"/>
    <cellStyle name="Comma 12 4 3 2 2 4 3" xfId="20901" xr:uid="{E6249D74-EFB3-4583-9EB2-FA857C1032CC}"/>
    <cellStyle name="Comma 12 4 3 2 2 4 3 2" xfId="51141" xr:uid="{B7A52ED6-C775-4192-922F-14809A5A0148}"/>
    <cellStyle name="Comma 12 4 3 2 2 4 4" xfId="36021" xr:uid="{30143EF1-9520-4CEF-8384-21E16E0F1AD3}"/>
    <cellStyle name="Comma 12 4 3 2 2 5" xfId="7293" xr:uid="{FB89861E-60C7-4956-8834-F599F8D6B743}"/>
    <cellStyle name="Comma 12 4 3 2 2 5 2" xfId="22413" xr:uid="{44185A79-914B-4EAD-B419-B9D0A4BFE3F8}"/>
    <cellStyle name="Comma 12 4 3 2 2 5 2 2" xfId="52653" xr:uid="{5D7E5121-F6AC-4F72-8087-56ECA54EBB41}"/>
    <cellStyle name="Comma 12 4 3 2 2 5 3" xfId="37533" xr:uid="{AA525F12-D4E6-4F15-BBBA-2626C282D4D1}"/>
    <cellStyle name="Comma 12 4 3 2 2 6" xfId="8805" xr:uid="{87B9CB0A-E3F2-447C-8026-BA5381F5F082}"/>
    <cellStyle name="Comma 12 4 3 2 2 6 2" xfId="23925" xr:uid="{D4F7DAD2-30CC-4172-99DF-E32890036B65}"/>
    <cellStyle name="Comma 12 4 3 2 2 6 2 2" xfId="54165" xr:uid="{190CBB05-CD12-4220-B80E-EFE7CBCC6A18}"/>
    <cellStyle name="Comma 12 4 3 2 2 6 3" xfId="39045" xr:uid="{18371A56-507B-4044-AD6D-8B1774644B02}"/>
    <cellStyle name="Comma 12 4 3 2 2 7" xfId="10317" xr:uid="{5FEF2DC8-DEAB-42FD-99ED-8779F3B84133}"/>
    <cellStyle name="Comma 12 4 3 2 2 7 2" xfId="25437" xr:uid="{AC2B60BC-AF10-456C-87DE-1F8478A13423}"/>
    <cellStyle name="Comma 12 4 3 2 2 7 2 2" xfId="55677" xr:uid="{6EDF57F9-4EA6-4673-8304-736072BD718D}"/>
    <cellStyle name="Comma 12 4 3 2 2 7 3" xfId="40557" xr:uid="{448C8063-2768-4D42-B74F-D4C929DC563F}"/>
    <cellStyle name="Comma 12 4 3 2 2 8" xfId="16365" xr:uid="{8F03B46E-C83E-49D2-9231-A598C5ACA4EC}"/>
    <cellStyle name="Comma 12 4 3 2 2 8 2" xfId="46605" xr:uid="{5F329616-4633-4358-A743-5C9D38749BA6}"/>
    <cellStyle name="Comma 12 4 3 2 2 9" xfId="31485" xr:uid="{30369296-B0B1-4A76-8AD2-73FEDD49FD09}"/>
    <cellStyle name="Comma 12 4 3 2 3" xfId="2001" xr:uid="{81220585-F35D-4A6F-9EC2-D7E95ED8C7D7}"/>
    <cellStyle name="Comma 12 4 3 2 3 2" xfId="11073" xr:uid="{B70D108C-8DBC-4870-97A5-BFB3DEAAF859}"/>
    <cellStyle name="Comma 12 4 3 2 3 2 2" xfId="26193" xr:uid="{88CAF130-31CC-4831-B346-AFFAEB15BE41}"/>
    <cellStyle name="Comma 12 4 3 2 3 2 2 2" xfId="56433" xr:uid="{97387725-488B-4F76-8EF6-7C7EE7ED0820}"/>
    <cellStyle name="Comma 12 4 3 2 3 2 3" xfId="41313" xr:uid="{6E81AD30-40C8-4185-AC8C-6FAD806625B4}"/>
    <cellStyle name="Comma 12 4 3 2 3 3" xfId="17121" xr:uid="{53C1EDC5-BCEB-4157-9CCC-630B7CCE10D6}"/>
    <cellStyle name="Comma 12 4 3 2 3 3 2" xfId="47361" xr:uid="{963C50F1-23A3-4A1C-8454-092B8530123C}"/>
    <cellStyle name="Comma 12 4 3 2 3 4" xfId="32241" xr:uid="{F76C84E7-D064-4C03-B5C9-1A23DECB0E7F}"/>
    <cellStyle name="Comma 12 4 3 2 4" xfId="3513" xr:uid="{B6898842-8B3E-4750-BEC7-58F01680F1AD}"/>
    <cellStyle name="Comma 12 4 3 2 4 2" xfId="12585" xr:uid="{ADA327F7-C93A-40F5-9DAD-B1F21180FCA3}"/>
    <cellStyle name="Comma 12 4 3 2 4 2 2" xfId="27705" xr:uid="{42E92E04-8B18-421B-917A-0434376BA727}"/>
    <cellStyle name="Comma 12 4 3 2 4 2 2 2" xfId="57945" xr:uid="{54263E49-E3A1-4A63-BE2B-24C1BA2ABF53}"/>
    <cellStyle name="Comma 12 4 3 2 4 2 3" xfId="42825" xr:uid="{4DA6C54B-A823-4B73-BCFA-051671B695FB}"/>
    <cellStyle name="Comma 12 4 3 2 4 3" xfId="18633" xr:uid="{417D52DC-616F-458E-9854-6E88C2C7289B}"/>
    <cellStyle name="Comma 12 4 3 2 4 3 2" xfId="48873" xr:uid="{8802C5EE-BA85-4C03-B7B4-C3421B179518}"/>
    <cellStyle name="Comma 12 4 3 2 4 4" xfId="33753" xr:uid="{0E23834A-BFF9-426F-BE59-B913C8C6384F}"/>
    <cellStyle name="Comma 12 4 3 2 5" xfId="5025" xr:uid="{63A186A4-6450-4E35-ADEB-4B0806D3848D}"/>
    <cellStyle name="Comma 12 4 3 2 5 2" xfId="14097" xr:uid="{01A43D5D-51CA-42A0-BD81-554B824C1C59}"/>
    <cellStyle name="Comma 12 4 3 2 5 2 2" xfId="29217" xr:uid="{4A93CF57-2E4C-4176-A64F-230ED9BD7CDD}"/>
    <cellStyle name="Comma 12 4 3 2 5 2 2 2" xfId="59457" xr:uid="{97EE5DCF-483C-44F2-A325-1BB853367277}"/>
    <cellStyle name="Comma 12 4 3 2 5 2 3" xfId="44337" xr:uid="{98978706-7C35-4490-A8F8-AC9BDC7CED85}"/>
    <cellStyle name="Comma 12 4 3 2 5 3" xfId="20145" xr:uid="{6C98DBC7-87A4-41C1-8464-60D4AE5588E3}"/>
    <cellStyle name="Comma 12 4 3 2 5 3 2" xfId="50385" xr:uid="{E6A76FDF-2785-490A-9B2B-C3463CCAE08D}"/>
    <cellStyle name="Comma 12 4 3 2 5 4" xfId="35265" xr:uid="{394FC0E4-41B7-44A6-960D-EA0B2E30C5EA}"/>
    <cellStyle name="Comma 12 4 3 2 6" xfId="6537" xr:uid="{C065F2E2-FDB3-4A70-81EA-8A86D3C7508B}"/>
    <cellStyle name="Comma 12 4 3 2 6 2" xfId="21657" xr:uid="{CB62677D-BEB2-4D4E-BE68-12063E1D29A5}"/>
    <cellStyle name="Comma 12 4 3 2 6 2 2" xfId="51897" xr:uid="{6CC8D0F2-D3E9-4F2D-92C7-A4A66B519A83}"/>
    <cellStyle name="Comma 12 4 3 2 6 3" xfId="36777" xr:uid="{C0EB8332-E11B-4B89-8EA3-49AE8F8199BE}"/>
    <cellStyle name="Comma 12 4 3 2 7" xfId="8049" xr:uid="{B00D17A6-091A-42E3-8AFF-CB3DB761BE02}"/>
    <cellStyle name="Comma 12 4 3 2 7 2" xfId="23169" xr:uid="{9679865C-479D-438F-A747-C78BEE21A642}"/>
    <cellStyle name="Comma 12 4 3 2 7 2 2" xfId="53409" xr:uid="{11EB31E2-DE23-4D0A-BCC6-3ED089F315C5}"/>
    <cellStyle name="Comma 12 4 3 2 7 3" xfId="38289" xr:uid="{DBE75838-9769-4FCE-BD4B-FBB37C5B87CA}"/>
    <cellStyle name="Comma 12 4 3 2 8" xfId="9561" xr:uid="{4CBB3315-9625-40F7-8752-766C356E3B72}"/>
    <cellStyle name="Comma 12 4 3 2 8 2" xfId="24681" xr:uid="{A35DD6D2-336E-49DA-B982-C2FC0B69633E}"/>
    <cellStyle name="Comma 12 4 3 2 8 2 2" xfId="54921" xr:uid="{C016B2AE-7266-4D41-99ED-7DBE80E2ACEE}"/>
    <cellStyle name="Comma 12 4 3 2 8 3" xfId="39801" xr:uid="{7A72FA26-C2B4-425C-A11C-1484EA4CE847}"/>
    <cellStyle name="Comma 12 4 3 2 9" xfId="15609" xr:uid="{A74582AF-206C-47B9-A580-823E9243FD28}"/>
    <cellStyle name="Comma 12 4 3 2 9 2" xfId="45849" xr:uid="{32C31D9E-DF09-469D-81BB-F50897E9B1AB}"/>
    <cellStyle name="Comma 12 4 3 3" xfId="741" xr:uid="{4526B514-EA46-407B-9929-BA261213D702}"/>
    <cellStyle name="Comma 12 4 3 3 10" xfId="30981" xr:uid="{C74775A1-7C43-4E41-BE0C-83C344C1E325}"/>
    <cellStyle name="Comma 12 4 3 3 2" xfId="1497" xr:uid="{035C1C31-0932-4757-88FB-0F789C3FD599}"/>
    <cellStyle name="Comma 12 4 3 3 2 2" xfId="3009" xr:uid="{B612FA68-776E-4EE2-A483-E42AB3D96A96}"/>
    <cellStyle name="Comma 12 4 3 3 2 2 2" xfId="12081" xr:uid="{992BF0D6-1EF1-4ED3-BC57-1B72D0F61906}"/>
    <cellStyle name="Comma 12 4 3 3 2 2 2 2" xfId="27201" xr:uid="{D4626428-1EB8-4BC7-95A2-232AD013EB6B}"/>
    <cellStyle name="Comma 12 4 3 3 2 2 2 2 2" xfId="57441" xr:uid="{08886CA3-50B5-4E34-9395-CFFC10A2AF17}"/>
    <cellStyle name="Comma 12 4 3 3 2 2 2 3" xfId="42321" xr:uid="{8830D0C4-206C-4931-8CBD-BD9042F2D87D}"/>
    <cellStyle name="Comma 12 4 3 3 2 2 3" xfId="18129" xr:uid="{B126DA40-391F-4BF0-AF27-7D67BCA2A95F}"/>
    <cellStyle name="Comma 12 4 3 3 2 2 3 2" xfId="48369" xr:uid="{04536493-5C3C-438F-A24A-8FEAABE11AB3}"/>
    <cellStyle name="Comma 12 4 3 3 2 2 4" xfId="33249" xr:uid="{473BA8BF-4C55-404B-BFE8-04412D6BDA2B}"/>
    <cellStyle name="Comma 12 4 3 3 2 3" xfId="4521" xr:uid="{9419045E-4A8D-4D9F-8D5E-95CA42E827AC}"/>
    <cellStyle name="Comma 12 4 3 3 2 3 2" xfId="13593" xr:uid="{3272119A-D75A-4F9C-8F8D-30A97EEAC7B1}"/>
    <cellStyle name="Comma 12 4 3 3 2 3 2 2" xfId="28713" xr:uid="{CDEBBCBC-8552-4C93-A22A-D737A29A99C9}"/>
    <cellStyle name="Comma 12 4 3 3 2 3 2 2 2" xfId="58953" xr:uid="{07E59C3A-9F9C-4786-82D9-D1C491E3772F}"/>
    <cellStyle name="Comma 12 4 3 3 2 3 2 3" xfId="43833" xr:uid="{AA92C32C-9E43-42FE-888A-DC4DA8D1E6AA}"/>
    <cellStyle name="Comma 12 4 3 3 2 3 3" xfId="19641" xr:uid="{E89DE479-2F76-4FEF-912E-68CCA3C08C10}"/>
    <cellStyle name="Comma 12 4 3 3 2 3 3 2" xfId="49881" xr:uid="{841F8AB7-D867-4F4E-B46D-3C69C118A60C}"/>
    <cellStyle name="Comma 12 4 3 3 2 3 4" xfId="34761" xr:uid="{3290D2CA-80EB-4B37-B38F-20346333D692}"/>
    <cellStyle name="Comma 12 4 3 3 2 4" xfId="6033" xr:uid="{F7F20DC1-864D-40F0-A19B-50D196D371A2}"/>
    <cellStyle name="Comma 12 4 3 3 2 4 2" xfId="15105" xr:uid="{8091BE42-0409-4306-A241-E0F8EB8FDF6A}"/>
    <cellStyle name="Comma 12 4 3 3 2 4 2 2" xfId="30225" xr:uid="{4DF70327-1227-4424-933B-5957385A2DE1}"/>
    <cellStyle name="Comma 12 4 3 3 2 4 2 2 2" xfId="60465" xr:uid="{A73B9C78-BF28-4025-A883-E703C3DE5392}"/>
    <cellStyle name="Comma 12 4 3 3 2 4 2 3" xfId="45345" xr:uid="{B17ECA3B-3800-43B9-9318-7BFCD4A8CE18}"/>
    <cellStyle name="Comma 12 4 3 3 2 4 3" xfId="21153" xr:uid="{2895E294-8008-4460-92F9-78F655A14A06}"/>
    <cellStyle name="Comma 12 4 3 3 2 4 3 2" xfId="51393" xr:uid="{5C3ECE6D-4E84-4131-843D-38AD51DBE6D6}"/>
    <cellStyle name="Comma 12 4 3 3 2 4 4" xfId="36273" xr:uid="{A110F98B-8E33-49DC-8864-F59183120036}"/>
    <cellStyle name="Comma 12 4 3 3 2 5" xfId="7545" xr:uid="{B20C7DB2-2083-4E36-BB02-EE0ACC566B8E}"/>
    <cellStyle name="Comma 12 4 3 3 2 5 2" xfId="22665" xr:uid="{70C7C04A-7025-475A-A725-9C330FE97B79}"/>
    <cellStyle name="Comma 12 4 3 3 2 5 2 2" xfId="52905" xr:uid="{F118DF0E-89E7-46AE-A1FA-5AFADFC18D99}"/>
    <cellStyle name="Comma 12 4 3 3 2 5 3" xfId="37785" xr:uid="{7C523931-C429-444F-9822-3471D1E4822C}"/>
    <cellStyle name="Comma 12 4 3 3 2 6" xfId="9057" xr:uid="{E0824C38-F057-46EB-9384-7E742A4C61E7}"/>
    <cellStyle name="Comma 12 4 3 3 2 6 2" xfId="24177" xr:uid="{2FCDC610-97AA-4D70-9E5C-38D7FD5A3C48}"/>
    <cellStyle name="Comma 12 4 3 3 2 6 2 2" xfId="54417" xr:uid="{2149BE55-5BF3-4EC6-90D4-5426A94D6358}"/>
    <cellStyle name="Comma 12 4 3 3 2 6 3" xfId="39297" xr:uid="{D6638877-6FA0-4EB1-B8C9-48ADE87D6DC9}"/>
    <cellStyle name="Comma 12 4 3 3 2 7" xfId="10569" xr:uid="{0E5676C9-D535-4FF9-BC2A-9701579A735B}"/>
    <cellStyle name="Comma 12 4 3 3 2 7 2" xfId="25689" xr:uid="{B7C10C2E-17B1-454D-8464-041FE6C76539}"/>
    <cellStyle name="Comma 12 4 3 3 2 7 2 2" xfId="55929" xr:uid="{84CC09F1-9EF8-4643-ABAC-72C5ADA6D222}"/>
    <cellStyle name="Comma 12 4 3 3 2 7 3" xfId="40809" xr:uid="{7132633E-8227-4CD0-80C8-95BBF71357BB}"/>
    <cellStyle name="Comma 12 4 3 3 2 8" xfId="16617" xr:uid="{CC9BFD9C-6D58-4BA8-8683-10A6A3724BF6}"/>
    <cellStyle name="Comma 12 4 3 3 2 8 2" xfId="46857" xr:uid="{6F74BCDD-0906-46C9-91E0-791E1368D037}"/>
    <cellStyle name="Comma 12 4 3 3 2 9" xfId="31737" xr:uid="{AA0D4F2B-8586-4717-B0B7-D5F90C1B16F3}"/>
    <cellStyle name="Comma 12 4 3 3 3" xfId="2253" xr:uid="{C02DCC51-252A-4722-9C2F-9823C9674538}"/>
    <cellStyle name="Comma 12 4 3 3 3 2" xfId="11325" xr:uid="{ADA9BD03-9B77-46DA-ABAE-4BEF0BE38F5C}"/>
    <cellStyle name="Comma 12 4 3 3 3 2 2" xfId="26445" xr:uid="{FCDBEFA6-900F-4DF6-87DB-D0695787491E}"/>
    <cellStyle name="Comma 12 4 3 3 3 2 2 2" xfId="56685" xr:uid="{B2C6B993-9A4F-49E3-BC0C-647F4BEA7EDE}"/>
    <cellStyle name="Comma 12 4 3 3 3 2 3" xfId="41565" xr:uid="{F9885921-BB24-497E-9435-90BF873A4B8C}"/>
    <cellStyle name="Comma 12 4 3 3 3 3" xfId="17373" xr:uid="{C713D004-2B16-4084-820F-3789F83BFB5F}"/>
    <cellStyle name="Comma 12 4 3 3 3 3 2" xfId="47613" xr:uid="{310133D6-0576-47CE-AAE6-D8D15618A8B1}"/>
    <cellStyle name="Comma 12 4 3 3 3 4" xfId="32493" xr:uid="{7C9F41AC-D883-4905-A6E3-A3D1E2CE7A2D}"/>
    <cellStyle name="Comma 12 4 3 3 4" xfId="3765" xr:uid="{39366058-B4BD-4526-9006-0D84F76B2C33}"/>
    <cellStyle name="Comma 12 4 3 3 4 2" xfId="12837" xr:uid="{A473FBE0-D296-48E8-9E32-120FD163101F}"/>
    <cellStyle name="Comma 12 4 3 3 4 2 2" xfId="27957" xr:uid="{7CB046D4-B3AA-4ABB-8ECA-E609981332BB}"/>
    <cellStyle name="Comma 12 4 3 3 4 2 2 2" xfId="58197" xr:uid="{571F12D1-CA61-4D08-B952-22B2F507E778}"/>
    <cellStyle name="Comma 12 4 3 3 4 2 3" xfId="43077" xr:uid="{018C9313-4517-4006-95E6-ADBF4A7C118C}"/>
    <cellStyle name="Comma 12 4 3 3 4 3" xfId="18885" xr:uid="{50E2AEDF-7137-4165-8AFF-0D8C6DFCAF93}"/>
    <cellStyle name="Comma 12 4 3 3 4 3 2" xfId="49125" xr:uid="{8BA58835-F509-4B2F-9596-E05A5CA38DBA}"/>
    <cellStyle name="Comma 12 4 3 3 4 4" xfId="34005" xr:uid="{4290D1CF-3201-410D-A30E-69DC096EEA58}"/>
    <cellStyle name="Comma 12 4 3 3 5" xfId="5277" xr:uid="{A35C4A73-A4A4-4945-88ED-6B43EAE17F34}"/>
    <cellStyle name="Comma 12 4 3 3 5 2" xfId="14349" xr:uid="{71292984-150C-4C73-81D0-9291708CA3E7}"/>
    <cellStyle name="Comma 12 4 3 3 5 2 2" xfId="29469" xr:uid="{EA23C7ED-21F6-44C6-90D7-5B94FC985D76}"/>
    <cellStyle name="Comma 12 4 3 3 5 2 2 2" xfId="59709" xr:uid="{8D0498E5-02A8-47EC-A9D4-B8FDB5BF1586}"/>
    <cellStyle name="Comma 12 4 3 3 5 2 3" xfId="44589" xr:uid="{51068959-6FAE-4CD7-BF78-5D0E6983759E}"/>
    <cellStyle name="Comma 12 4 3 3 5 3" xfId="20397" xr:uid="{351BE984-1F6A-45EC-817F-41E916BCC829}"/>
    <cellStyle name="Comma 12 4 3 3 5 3 2" xfId="50637" xr:uid="{302F4880-B3AA-4A48-BA5B-BD606E73E833}"/>
    <cellStyle name="Comma 12 4 3 3 5 4" xfId="35517" xr:uid="{26D5F025-9C51-4104-86C7-DEAE7794DD29}"/>
    <cellStyle name="Comma 12 4 3 3 6" xfId="6789" xr:uid="{16ABF8F2-B813-48E1-9CE0-7F9058E5833A}"/>
    <cellStyle name="Comma 12 4 3 3 6 2" xfId="21909" xr:uid="{C5684491-D125-43B7-A3CB-B286ED936105}"/>
    <cellStyle name="Comma 12 4 3 3 6 2 2" xfId="52149" xr:uid="{D926C996-B1B6-4826-9752-BE15B08B9575}"/>
    <cellStyle name="Comma 12 4 3 3 6 3" xfId="37029" xr:uid="{7E329DA0-F233-4DA8-8863-DCABC636C776}"/>
    <cellStyle name="Comma 12 4 3 3 7" xfId="8301" xr:uid="{1570D6EB-6C61-4D75-B14F-E41C67F12BD4}"/>
    <cellStyle name="Comma 12 4 3 3 7 2" xfId="23421" xr:uid="{C700822D-C83E-4654-AC1D-13C28721079F}"/>
    <cellStyle name="Comma 12 4 3 3 7 2 2" xfId="53661" xr:uid="{EFFEEF09-5A2D-4268-8819-0A0C12CD080D}"/>
    <cellStyle name="Comma 12 4 3 3 7 3" xfId="38541" xr:uid="{D555E769-AB89-4AC4-8DC0-39A1A2BEF3CB}"/>
    <cellStyle name="Comma 12 4 3 3 8" xfId="9813" xr:uid="{C692D29B-6DC8-4709-AF22-D78B5798DF08}"/>
    <cellStyle name="Comma 12 4 3 3 8 2" xfId="24933" xr:uid="{85642227-F318-4271-95DA-6F023013CFC5}"/>
    <cellStyle name="Comma 12 4 3 3 8 2 2" xfId="55173" xr:uid="{28C8FA0C-859C-4E29-908D-C84D067C198F}"/>
    <cellStyle name="Comma 12 4 3 3 8 3" xfId="40053" xr:uid="{B4603116-BD86-48F3-B175-A59B4A368EAF}"/>
    <cellStyle name="Comma 12 4 3 3 9" xfId="15861" xr:uid="{8767E748-244A-424C-8114-E166A56A623F}"/>
    <cellStyle name="Comma 12 4 3 3 9 2" xfId="46101" xr:uid="{6284E3A2-A245-46D6-9A05-C9C122B49A10}"/>
    <cellStyle name="Comma 12 4 3 4" xfId="993" xr:uid="{B5E70786-0AF4-43C5-B307-83B189047D2D}"/>
    <cellStyle name="Comma 12 4 3 4 2" xfId="2505" xr:uid="{DC9186EB-087E-4D56-9E51-76140EE523ED}"/>
    <cellStyle name="Comma 12 4 3 4 2 2" xfId="11577" xr:uid="{710FFBC8-0F11-4296-9E50-F384F66B99C7}"/>
    <cellStyle name="Comma 12 4 3 4 2 2 2" xfId="26697" xr:uid="{4CDDB1F9-1FDB-4D24-BBD1-267CC775E19A}"/>
    <cellStyle name="Comma 12 4 3 4 2 2 2 2" xfId="56937" xr:uid="{32B229E5-1406-4DB7-B8FA-A1B85881CAFE}"/>
    <cellStyle name="Comma 12 4 3 4 2 2 3" xfId="41817" xr:uid="{6824A9D5-03AA-4CC2-A958-061437D6D844}"/>
    <cellStyle name="Comma 12 4 3 4 2 3" xfId="17625" xr:uid="{D0B7B0EC-9972-46EE-92F7-CEE57B9CA4E0}"/>
    <cellStyle name="Comma 12 4 3 4 2 3 2" xfId="47865" xr:uid="{D1E33633-F14A-4F45-8EA0-B993DE8D4A31}"/>
    <cellStyle name="Comma 12 4 3 4 2 4" xfId="32745" xr:uid="{52EE52E4-CFCE-4CFC-87A5-7B0573B208BF}"/>
    <cellStyle name="Comma 12 4 3 4 3" xfId="4017" xr:uid="{2E9AD9FE-B6DC-4F36-8AED-3A470EB52666}"/>
    <cellStyle name="Comma 12 4 3 4 3 2" xfId="13089" xr:uid="{8F428063-208C-4658-B36F-9FD4977363EB}"/>
    <cellStyle name="Comma 12 4 3 4 3 2 2" xfId="28209" xr:uid="{886EB430-664E-4329-8852-F3F262CE0F94}"/>
    <cellStyle name="Comma 12 4 3 4 3 2 2 2" xfId="58449" xr:uid="{A7A9852E-E6D5-40CB-8B03-8DE1DC163A78}"/>
    <cellStyle name="Comma 12 4 3 4 3 2 3" xfId="43329" xr:uid="{16A6E984-161E-4970-9B46-F22BF0766275}"/>
    <cellStyle name="Comma 12 4 3 4 3 3" xfId="19137" xr:uid="{7BCD2F72-7185-4B8C-A332-FD8EFECF766D}"/>
    <cellStyle name="Comma 12 4 3 4 3 3 2" xfId="49377" xr:uid="{F904FA71-9B65-4673-887C-3D4422C1640C}"/>
    <cellStyle name="Comma 12 4 3 4 3 4" xfId="34257" xr:uid="{DE6DB169-DB1C-4E3E-97DC-339BC17625FD}"/>
    <cellStyle name="Comma 12 4 3 4 4" xfId="5529" xr:uid="{1ACE71CF-2B7C-4345-9394-FB4A43A6F05C}"/>
    <cellStyle name="Comma 12 4 3 4 4 2" xfId="14601" xr:uid="{2B3E9ED4-8BA5-4382-9A2C-B8F73F751117}"/>
    <cellStyle name="Comma 12 4 3 4 4 2 2" xfId="29721" xr:uid="{2D963B8B-F123-495F-BC05-DC263A9E8268}"/>
    <cellStyle name="Comma 12 4 3 4 4 2 2 2" xfId="59961" xr:uid="{DEEBFF58-575D-4D04-8E19-9BC905353F22}"/>
    <cellStyle name="Comma 12 4 3 4 4 2 3" xfId="44841" xr:uid="{FC5D0735-2290-4174-9832-596BEC6ABF8E}"/>
    <cellStyle name="Comma 12 4 3 4 4 3" xfId="20649" xr:uid="{FAA2E94D-7063-4637-8097-32556AE6B969}"/>
    <cellStyle name="Comma 12 4 3 4 4 3 2" xfId="50889" xr:uid="{46F8EE38-AC1E-4324-9525-57FE7579BB6E}"/>
    <cellStyle name="Comma 12 4 3 4 4 4" xfId="35769" xr:uid="{9EA5773B-BC82-4562-A7A5-17AE109C8C3A}"/>
    <cellStyle name="Comma 12 4 3 4 5" xfId="7041" xr:uid="{2E297680-9BFD-4082-8923-A4C774466C3E}"/>
    <cellStyle name="Comma 12 4 3 4 5 2" xfId="22161" xr:uid="{61AB1B11-5259-4D54-AE8E-3EC230F7072A}"/>
    <cellStyle name="Comma 12 4 3 4 5 2 2" xfId="52401" xr:uid="{2F3BB9CE-7840-4E3D-AB4F-D452E7A223D3}"/>
    <cellStyle name="Comma 12 4 3 4 5 3" xfId="37281" xr:uid="{2649B3AB-D541-4F64-9C8C-B3DCB403C16F}"/>
    <cellStyle name="Comma 12 4 3 4 6" xfId="8553" xr:uid="{6F6D827D-C351-4F3C-AC09-C01F2549E5A0}"/>
    <cellStyle name="Comma 12 4 3 4 6 2" xfId="23673" xr:uid="{AC69D994-2D0A-4327-BC08-AB9E6BA1449E}"/>
    <cellStyle name="Comma 12 4 3 4 6 2 2" xfId="53913" xr:uid="{0E46C68E-8A67-45EB-B82D-961EDAEAFA55}"/>
    <cellStyle name="Comma 12 4 3 4 6 3" xfId="38793" xr:uid="{1F3D5693-953C-4BA5-B6E4-56ED558202C5}"/>
    <cellStyle name="Comma 12 4 3 4 7" xfId="10065" xr:uid="{56C678D6-8D43-4D3C-B41B-D5B6C93B9B7A}"/>
    <cellStyle name="Comma 12 4 3 4 7 2" xfId="25185" xr:uid="{ADEF04AB-40EF-46B5-9014-D4322D73B10F}"/>
    <cellStyle name="Comma 12 4 3 4 7 2 2" xfId="55425" xr:uid="{0679EB8B-4EB8-407A-A2EB-CDFADE7E39A5}"/>
    <cellStyle name="Comma 12 4 3 4 7 3" xfId="40305" xr:uid="{28B7E0E7-BC28-49CD-A733-D6B69D437BA7}"/>
    <cellStyle name="Comma 12 4 3 4 8" xfId="16113" xr:uid="{DBF2D34F-6111-4736-BCCC-2B42544BD56F}"/>
    <cellStyle name="Comma 12 4 3 4 8 2" xfId="46353" xr:uid="{5D17C730-EB0E-498D-8B6E-837201DA8709}"/>
    <cellStyle name="Comma 12 4 3 4 9" xfId="31233" xr:uid="{810A663B-D7CC-483C-A07F-39D8BABF9634}"/>
    <cellStyle name="Comma 12 4 3 5" xfId="1749" xr:uid="{B8D87AB7-6C3E-41B3-87A9-B7F55F193E65}"/>
    <cellStyle name="Comma 12 4 3 5 2" xfId="10821" xr:uid="{AA3BB9A4-6864-44D7-93A9-3659B16A9B17}"/>
    <cellStyle name="Comma 12 4 3 5 2 2" xfId="25941" xr:uid="{DAF278F3-7856-491C-BD38-70A4147DB186}"/>
    <cellStyle name="Comma 12 4 3 5 2 2 2" xfId="56181" xr:uid="{5CC39E04-928F-4ED9-A5C9-C8949D63E80D}"/>
    <cellStyle name="Comma 12 4 3 5 2 3" xfId="41061" xr:uid="{6317CCD2-3AAA-48FB-8526-18215CD320B1}"/>
    <cellStyle name="Comma 12 4 3 5 3" xfId="16869" xr:uid="{89C5B832-5252-4CAA-B24C-88294ECDD08E}"/>
    <cellStyle name="Comma 12 4 3 5 3 2" xfId="47109" xr:uid="{21BCF586-EC91-42F9-9E14-5E68A14E9295}"/>
    <cellStyle name="Comma 12 4 3 5 4" xfId="31989" xr:uid="{83DF7363-698E-4019-9818-27B2B729D446}"/>
    <cellStyle name="Comma 12 4 3 6" xfId="3261" xr:uid="{1A9C6BD0-EBFF-4DC2-842A-51FAF20DA81D}"/>
    <cellStyle name="Comma 12 4 3 6 2" xfId="12333" xr:uid="{F91DE347-648E-4571-B67E-DAA1423174B5}"/>
    <cellStyle name="Comma 12 4 3 6 2 2" xfId="27453" xr:uid="{04E27CD8-5348-4635-B1AB-1CC7C688A41E}"/>
    <cellStyle name="Comma 12 4 3 6 2 2 2" xfId="57693" xr:uid="{9CD1C9A0-BE01-4B8C-A368-EB7ED84D14F5}"/>
    <cellStyle name="Comma 12 4 3 6 2 3" xfId="42573" xr:uid="{6FCE8DE3-023A-4AE7-80E8-EFEEBC442DB3}"/>
    <cellStyle name="Comma 12 4 3 6 3" xfId="18381" xr:uid="{9F575915-6821-4640-890E-2388B854A3B5}"/>
    <cellStyle name="Comma 12 4 3 6 3 2" xfId="48621" xr:uid="{6D25BCC1-0FC3-4645-92C7-20D9F7412F82}"/>
    <cellStyle name="Comma 12 4 3 6 4" xfId="33501" xr:uid="{9A3E0874-710F-42E7-8EC8-00BC9DA84EF3}"/>
    <cellStyle name="Comma 12 4 3 7" xfId="4773" xr:uid="{3B744AC3-2A5A-4965-967D-068CCCD740F3}"/>
    <cellStyle name="Comma 12 4 3 7 2" xfId="13845" xr:uid="{AAF29E60-E989-4D05-8D7D-68A503428E48}"/>
    <cellStyle name="Comma 12 4 3 7 2 2" xfId="28965" xr:uid="{6FDD3CC6-3D75-4541-99F9-0785A3B2E6DE}"/>
    <cellStyle name="Comma 12 4 3 7 2 2 2" xfId="59205" xr:uid="{426130DA-83DF-4009-A773-17749934A650}"/>
    <cellStyle name="Comma 12 4 3 7 2 3" xfId="44085" xr:uid="{BEE3822E-3326-4AD8-9F97-CE659C0E5E13}"/>
    <cellStyle name="Comma 12 4 3 7 3" xfId="19893" xr:uid="{0B68B9CB-C23E-4408-B7A2-6D25F9E97167}"/>
    <cellStyle name="Comma 12 4 3 7 3 2" xfId="50133" xr:uid="{90DC649F-5DF8-4755-9532-E95050758A0F}"/>
    <cellStyle name="Comma 12 4 3 7 4" xfId="35013" xr:uid="{B18B8BB8-EEA8-4791-A70A-F05F72425E35}"/>
    <cellStyle name="Comma 12 4 3 8" xfId="6285" xr:uid="{3EE229A9-C7DE-4160-94C3-F5A6C88744E9}"/>
    <cellStyle name="Comma 12 4 3 8 2" xfId="21405" xr:uid="{0E39A1B7-2FE4-4072-A6C7-0B35AE4BF4D3}"/>
    <cellStyle name="Comma 12 4 3 8 2 2" xfId="51645" xr:uid="{72BA2314-0230-495E-ABD9-E9F1906E91E1}"/>
    <cellStyle name="Comma 12 4 3 8 3" xfId="36525" xr:uid="{9A48A085-0357-4D58-ABF0-E73EC559533B}"/>
    <cellStyle name="Comma 12 4 3 9" xfId="7797" xr:uid="{C7AA99C3-9132-4393-A085-12480DCFD476}"/>
    <cellStyle name="Comma 12 4 3 9 2" xfId="22917" xr:uid="{AD26AC0F-250C-4E20-BA28-8C0E51345131}"/>
    <cellStyle name="Comma 12 4 3 9 2 2" xfId="53157" xr:uid="{2656C177-3A07-4364-B0E5-CEE7353B66CD}"/>
    <cellStyle name="Comma 12 4 3 9 3" xfId="38037" xr:uid="{C28339A6-4507-41EA-AAC2-E19C1F021CB4}"/>
    <cellStyle name="Comma 12 4 4" xfId="321" xr:uid="{8C0F6679-FBB8-4B32-A469-3E4AB0085346}"/>
    <cellStyle name="Comma 12 4 4 10" xfId="30561" xr:uid="{32F0E38D-BB0F-4E4D-908A-39612828122B}"/>
    <cellStyle name="Comma 12 4 4 2" xfId="1077" xr:uid="{3A7521C6-7B60-4698-B08D-EE5C0BAB6AF9}"/>
    <cellStyle name="Comma 12 4 4 2 2" xfId="2589" xr:uid="{43940FC1-5B42-4CAB-B830-4FFBC286F627}"/>
    <cellStyle name="Comma 12 4 4 2 2 2" xfId="11661" xr:uid="{D9F321D7-CD08-4B0E-9676-8C88B6C5D108}"/>
    <cellStyle name="Comma 12 4 4 2 2 2 2" xfId="26781" xr:uid="{FDE5FE75-7DD6-4291-8C23-124049E66904}"/>
    <cellStyle name="Comma 12 4 4 2 2 2 2 2" xfId="57021" xr:uid="{D445CB26-8B35-4FCE-B26A-CEFE3E4F77F0}"/>
    <cellStyle name="Comma 12 4 4 2 2 2 3" xfId="41901" xr:uid="{21B76FFE-B460-4C54-8EC0-BC4323C5C874}"/>
    <cellStyle name="Comma 12 4 4 2 2 3" xfId="17709" xr:uid="{916BE02D-CF0F-4E2F-B650-2EA8C2D5FBA4}"/>
    <cellStyle name="Comma 12 4 4 2 2 3 2" xfId="47949" xr:uid="{56389D9E-CCC5-448E-9E3F-B6E32E2AF184}"/>
    <cellStyle name="Comma 12 4 4 2 2 4" xfId="32829" xr:uid="{39018E83-E140-4F67-99D8-5C9DFDC1958A}"/>
    <cellStyle name="Comma 12 4 4 2 3" xfId="4101" xr:uid="{28A1F7DD-D909-40EC-A980-FD3B09180A72}"/>
    <cellStyle name="Comma 12 4 4 2 3 2" xfId="13173" xr:uid="{E5687821-AA63-48C9-AFC9-F0B85CFAD598}"/>
    <cellStyle name="Comma 12 4 4 2 3 2 2" xfId="28293" xr:uid="{47A94D08-91C0-4D3E-981F-DBDC80BB252C}"/>
    <cellStyle name="Comma 12 4 4 2 3 2 2 2" xfId="58533" xr:uid="{A6D94694-92B7-4333-8B54-181F74658E68}"/>
    <cellStyle name="Comma 12 4 4 2 3 2 3" xfId="43413" xr:uid="{0CC0139A-6128-408C-ABDD-5B0A0F1FE4BC}"/>
    <cellStyle name="Comma 12 4 4 2 3 3" xfId="19221" xr:uid="{E1C9CCD9-D653-47D3-8378-9C56D1372032}"/>
    <cellStyle name="Comma 12 4 4 2 3 3 2" xfId="49461" xr:uid="{0E907E26-8299-47AA-A798-75901654D20A}"/>
    <cellStyle name="Comma 12 4 4 2 3 4" xfId="34341" xr:uid="{7BF4762E-FEA1-485E-8A1E-8D35072966CB}"/>
    <cellStyle name="Comma 12 4 4 2 4" xfId="5613" xr:uid="{C38ABA0B-409E-4F5F-A746-3DBC6064808F}"/>
    <cellStyle name="Comma 12 4 4 2 4 2" xfId="14685" xr:uid="{090E8F62-9182-46FD-92C8-2F0DC7F3E4FC}"/>
    <cellStyle name="Comma 12 4 4 2 4 2 2" xfId="29805" xr:uid="{E08003F2-9206-4EA0-A6F6-F4FE671EE0D6}"/>
    <cellStyle name="Comma 12 4 4 2 4 2 2 2" xfId="60045" xr:uid="{37184CB9-65A4-47CD-8723-696F87D5B29A}"/>
    <cellStyle name="Comma 12 4 4 2 4 2 3" xfId="44925" xr:uid="{40391695-F393-4597-8CF1-00279D549EA9}"/>
    <cellStyle name="Comma 12 4 4 2 4 3" xfId="20733" xr:uid="{CF36C7A2-D3A9-49B3-BBF0-21D9265E4E4B}"/>
    <cellStyle name="Comma 12 4 4 2 4 3 2" xfId="50973" xr:uid="{522A9BD5-773B-4CA5-BC30-54C0650AB54E}"/>
    <cellStyle name="Comma 12 4 4 2 4 4" xfId="35853" xr:uid="{718EB8B2-8034-4C37-9A25-46A332835509}"/>
    <cellStyle name="Comma 12 4 4 2 5" xfId="7125" xr:uid="{46130C1F-0BF1-4307-993E-90D0EB1ADE95}"/>
    <cellStyle name="Comma 12 4 4 2 5 2" xfId="22245" xr:uid="{4BF99AEA-9B79-4164-8989-BB09C2D04173}"/>
    <cellStyle name="Comma 12 4 4 2 5 2 2" xfId="52485" xr:uid="{15087A1E-A042-45DC-8167-890CA113B3F6}"/>
    <cellStyle name="Comma 12 4 4 2 5 3" xfId="37365" xr:uid="{64CE167B-FB49-402B-AAD1-5CA788285893}"/>
    <cellStyle name="Comma 12 4 4 2 6" xfId="8637" xr:uid="{EEB4E230-730D-4EF4-98D9-66D4E0C36FF3}"/>
    <cellStyle name="Comma 12 4 4 2 6 2" xfId="23757" xr:uid="{D7109FB1-1B05-482D-A3D3-5D4020DBD63B}"/>
    <cellStyle name="Comma 12 4 4 2 6 2 2" xfId="53997" xr:uid="{387F2490-2A31-452B-BC20-59F6FB7464DD}"/>
    <cellStyle name="Comma 12 4 4 2 6 3" xfId="38877" xr:uid="{5BFBA772-9AD4-4870-8966-02578F17FA0B}"/>
    <cellStyle name="Comma 12 4 4 2 7" xfId="10149" xr:uid="{841DB4A7-433B-4211-9203-F640599C97D9}"/>
    <cellStyle name="Comma 12 4 4 2 7 2" xfId="25269" xr:uid="{5CE9DB50-2B49-490A-B6EA-31EC9D0EBED4}"/>
    <cellStyle name="Comma 12 4 4 2 7 2 2" xfId="55509" xr:uid="{F615EE63-06FE-4B59-B6E2-A7D76DCDDA1F}"/>
    <cellStyle name="Comma 12 4 4 2 7 3" xfId="40389" xr:uid="{E3A44079-284E-4BE1-AF4B-D84795721993}"/>
    <cellStyle name="Comma 12 4 4 2 8" xfId="16197" xr:uid="{28FA66CB-9D02-4006-9E0B-D92976D6C4F1}"/>
    <cellStyle name="Comma 12 4 4 2 8 2" xfId="46437" xr:uid="{BCD7F852-67DF-458A-847A-8EF450BCE7B3}"/>
    <cellStyle name="Comma 12 4 4 2 9" xfId="31317" xr:uid="{E3EE0CDB-B64D-4E9B-8A7B-FDD919683DB2}"/>
    <cellStyle name="Comma 12 4 4 3" xfId="1833" xr:uid="{9CCEBDA8-9AF4-409B-8349-2783E1984F8B}"/>
    <cellStyle name="Comma 12 4 4 3 2" xfId="10905" xr:uid="{CD2CEA22-757A-480A-8BBC-230C72DA8D6B}"/>
    <cellStyle name="Comma 12 4 4 3 2 2" xfId="26025" xr:uid="{EF03E624-1B7C-430D-BD05-B36E7AFBD850}"/>
    <cellStyle name="Comma 12 4 4 3 2 2 2" xfId="56265" xr:uid="{54CE2A81-AAF6-46CB-B92C-124F1079D820}"/>
    <cellStyle name="Comma 12 4 4 3 2 3" xfId="41145" xr:uid="{DC7405DF-2673-49B1-B35B-272462DBC17F}"/>
    <cellStyle name="Comma 12 4 4 3 3" xfId="16953" xr:uid="{38652AFD-51BB-4AF7-81EB-EAD55592ABA5}"/>
    <cellStyle name="Comma 12 4 4 3 3 2" xfId="47193" xr:uid="{D07895E5-830F-49BB-87A6-7B3A6965D9F7}"/>
    <cellStyle name="Comma 12 4 4 3 4" xfId="32073" xr:uid="{8D3754F9-341F-4A09-9FA0-94A79665F787}"/>
    <cellStyle name="Comma 12 4 4 4" xfId="3345" xr:uid="{5848C69F-6970-4BE1-B849-702873095B2B}"/>
    <cellStyle name="Comma 12 4 4 4 2" xfId="12417" xr:uid="{8463A07E-714A-411F-8FE1-82E9C15E4077}"/>
    <cellStyle name="Comma 12 4 4 4 2 2" xfId="27537" xr:uid="{68D5A8B3-3F82-4299-9577-CA64DD5D3C27}"/>
    <cellStyle name="Comma 12 4 4 4 2 2 2" xfId="57777" xr:uid="{E8BEA857-91D4-40C2-A937-22D39E16F733}"/>
    <cellStyle name="Comma 12 4 4 4 2 3" xfId="42657" xr:uid="{832A94E9-22FE-4EA1-9102-CDC69A810028}"/>
    <cellStyle name="Comma 12 4 4 4 3" xfId="18465" xr:uid="{7E65561A-7510-444F-A336-53A2837290CC}"/>
    <cellStyle name="Comma 12 4 4 4 3 2" xfId="48705" xr:uid="{1506D46A-3192-412A-8351-336E764565FC}"/>
    <cellStyle name="Comma 12 4 4 4 4" xfId="33585" xr:uid="{7C482E40-9428-451B-968F-3E6DA26FA61D}"/>
    <cellStyle name="Comma 12 4 4 5" xfId="4857" xr:uid="{46CC5EFE-A1A4-450A-9869-8BA9CE06E29F}"/>
    <cellStyle name="Comma 12 4 4 5 2" xfId="13929" xr:uid="{4EAC4C05-E4A0-484E-B287-0959AB0664C6}"/>
    <cellStyle name="Comma 12 4 4 5 2 2" xfId="29049" xr:uid="{C77D2A10-2890-44B1-A63C-5579043F2868}"/>
    <cellStyle name="Comma 12 4 4 5 2 2 2" xfId="59289" xr:uid="{F7B95DC0-ECDB-4E93-903A-484180AFC2CF}"/>
    <cellStyle name="Comma 12 4 4 5 2 3" xfId="44169" xr:uid="{2BE985D0-6CFF-498C-9462-2A33A9192402}"/>
    <cellStyle name="Comma 12 4 4 5 3" xfId="19977" xr:uid="{7128A1CD-EC29-4F64-843B-7D2B75C340DB}"/>
    <cellStyle name="Comma 12 4 4 5 3 2" xfId="50217" xr:uid="{6557B397-1D6E-4114-9167-8EECAF6BEE0F}"/>
    <cellStyle name="Comma 12 4 4 5 4" xfId="35097" xr:uid="{01EA77B6-8840-4EF3-B183-8B8E8B05B46A}"/>
    <cellStyle name="Comma 12 4 4 6" xfId="6369" xr:uid="{13D2C40F-00F4-44D5-9096-48DB2BEB0742}"/>
    <cellStyle name="Comma 12 4 4 6 2" xfId="21489" xr:uid="{98DBD60B-73B8-4E30-97F1-BCF577D3655D}"/>
    <cellStyle name="Comma 12 4 4 6 2 2" xfId="51729" xr:uid="{72CA6080-F702-44C1-B3C0-BDE247D59E86}"/>
    <cellStyle name="Comma 12 4 4 6 3" xfId="36609" xr:uid="{DB99E6AA-7AD7-4CB6-BDFA-E3C7A4D26D0C}"/>
    <cellStyle name="Comma 12 4 4 7" xfId="7881" xr:uid="{DF6F71B6-4F5A-423B-BAA7-A6DFD39701C9}"/>
    <cellStyle name="Comma 12 4 4 7 2" xfId="23001" xr:uid="{118D26ED-A16B-4D8F-A429-160B6E24EF85}"/>
    <cellStyle name="Comma 12 4 4 7 2 2" xfId="53241" xr:uid="{6C942A4E-ECB3-4D71-8E84-CF8C8271D6A4}"/>
    <cellStyle name="Comma 12 4 4 7 3" xfId="38121" xr:uid="{7BEF29B0-E170-4A75-AECA-F7F7DA597281}"/>
    <cellStyle name="Comma 12 4 4 8" xfId="9393" xr:uid="{8A1347D6-74D9-4C33-8B1E-A1A688311810}"/>
    <cellStyle name="Comma 12 4 4 8 2" xfId="24513" xr:uid="{84F15458-4DAF-428D-A5C0-E5AA6B9F2501}"/>
    <cellStyle name="Comma 12 4 4 8 2 2" xfId="54753" xr:uid="{016D3AAC-CE81-4DEA-847C-594049A263C4}"/>
    <cellStyle name="Comma 12 4 4 8 3" xfId="39633" xr:uid="{BEA4E062-6A2B-4FA9-94D1-AF476A2CC2C2}"/>
    <cellStyle name="Comma 12 4 4 9" xfId="15441" xr:uid="{A3AF3542-5358-450F-9267-9C4D504A0437}"/>
    <cellStyle name="Comma 12 4 4 9 2" xfId="45681" xr:uid="{72F35C86-8F81-45ED-8FC7-1A2A6A20AD7C}"/>
    <cellStyle name="Comma 12 4 5" xfId="573" xr:uid="{42490B9F-DE85-422C-8BB3-1F787A81AB46}"/>
    <cellStyle name="Comma 12 4 5 10" xfId="30813" xr:uid="{77328C58-AD56-42F7-A9EB-666A4C430790}"/>
    <cellStyle name="Comma 12 4 5 2" xfId="1329" xr:uid="{CE9D6435-2EDE-4424-B668-9C4D3A995685}"/>
    <cellStyle name="Comma 12 4 5 2 2" xfId="2841" xr:uid="{D602728C-E14D-4626-9EC1-CD5BFFAF2A0D}"/>
    <cellStyle name="Comma 12 4 5 2 2 2" xfId="11913" xr:uid="{F94F3535-9606-4B12-B097-5D12BA0E7CC9}"/>
    <cellStyle name="Comma 12 4 5 2 2 2 2" xfId="27033" xr:uid="{979AB355-A10E-4D1F-B232-63001BC7F1DA}"/>
    <cellStyle name="Comma 12 4 5 2 2 2 2 2" xfId="57273" xr:uid="{0E44BB9E-83E4-4C90-8C4E-112BEB230963}"/>
    <cellStyle name="Comma 12 4 5 2 2 2 3" xfId="42153" xr:uid="{510217B8-00EB-405B-BEEA-110DFD60CACC}"/>
    <cellStyle name="Comma 12 4 5 2 2 3" xfId="17961" xr:uid="{1C97419D-C9DC-4110-9061-FBB6B59D6086}"/>
    <cellStyle name="Comma 12 4 5 2 2 3 2" xfId="48201" xr:uid="{B10CB88E-4B83-4DBB-9998-881F39D03C0C}"/>
    <cellStyle name="Comma 12 4 5 2 2 4" xfId="33081" xr:uid="{53FF09E7-DD51-407F-83D5-CE478DEF8D39}"/>
    <cellStyle name="Comma 12 4 5 2 3" xfId="4353" xr:uid="{81370D45-AA63-4B9F-AC16-A2323FBD8A5A}"/>
    <cellStyle name="Comma 12 4 5 2 3 2" xfId="13425" xr:uid="{05C1AC8E-5931-4D15-A96A-4B4E74FCE9F1}"/>
    <cellStyle name="Comma 12 4 5 2 3 2 2" xfId="28545" xr:uid="{71083D90-ED68-4374-9D9C-E5D9B0BDD334}"/>
    <cellStyle name="Comma 12 4 5 2 3 2 2 2" xfId="58785" xr:uid="{309F1450-A108-4BB3-9FD5-EDCC697B8342}"/>
    <cellStyle name="Comma 12 4 5 2 3 2 3" xfId="43665" xr:uid="{FB679203-6CCA-49EE-AF64-4875F4940F1B}"/>
    <cellStyle name="Comma 12 4 5 2 3 3" xfId="19473" xr:uid="{B362FE64-496C-433D-AD31-F19F28561FE4}"/>
    <cellStyle name="Comma 12 4 5 2 3 3 2" xfId="49713" xr:uid="{A033443E-D50B-4216-8C91-6E38ADD6A6CE}"/>
    <cellStyle name="Comma 12 4 5 2 3 4" xfId="34593" xr:uid="{FFB0C373-C0B6-412C-B66A-697297393325}"/>
    <cellStyle name="Comma 12 4 5 2 4" xfId="5865" xr:uid="{2E1AE595-2B95-4B4A-BCCE-45215E0225B8}"/>
    <cellStyle name="Comma 12 4 5 2 4 2" xfId="14937" xr:uid="{60927476-7665-409D-AF0B-3FFC5CBFDAAA}"/>
    <cellStyle name="Comma 12 4 5 2 4 2 2" xfId="30057" xr:uid="{801A0450-500A-44CF-9B6D-384D4D9AFA1A}"/>
    <cellStyle name="Comma 12 4 5 2 4 2 2 2" xfId="60297" xr:uid="{4B5E5AAA-F96E-47EE-9F99-DDBDFE3E0B0D}"/>
    <cellStyle name="Comma 12 4 5 2 4 2 3" xfId="45177" xr:uid="{09F82BEB-7EE3-4243-AC58-1BA8469DFD00}"/>
    <cellStyle name="Comma 12 4 5 2 4 3" xfId="20985" xr:uid="{367FDDE8-1F88-431E-A17A-430747EE8B30}"/>
    <cellStyle name="Comma 12 4 5 2 4 3 2" xfId="51225" xr:uid="{78C76E6B-E949-412F-AE08-F4E581A75B88}"/>
    <cellStyle name="Comma 12 4 5 2 4 4" xfId="36105" xr:uid="{C5C81B63-C8AA-4331-83E5-59009548FE98}"/>
    <cellStyle name="Comma 12 4 5 2 5" xfId="7377" xr:uid="{A476A33B-388B-4366-90D3-A826C0472FC4}"/>
    <cellStyle name="Comma 12 4 5 2 5 2" xfId="22497" xr:uid="{E98468DB-4226-4039-890E-05A92F89F8D9}"/>
    <cellStyle name="Comma 12 4 5 2 5 2 2" xfId="52737" xr:uid="{D76B5F25-EFFC-416F-ABFD-7E5CBF5350EA}"/>
    <cellStyle name="Comma 12 4 5 2 5 3" xfId="37617" xr:uid="{BDA69B61-93FC-4216-9BE9-B7751518B052}"/>
    <cellStyle name="Comma 12 4 5 2 6" xfId="8889" xr:uid="{7846E2F5-999D-4D76-9111-3F60614AD12C}"/>
    <cellStyle name="Comma 12 4 5 2 6 2" xfId="24009" xr:uid="{A9E6B9D4-D2C0-4411-8347-151CFA93A7D2}"/>
    <cellStyle name="Comma 12 4 5 2 6 2 2" xfId="54249" xr:uid="{B4FAF272-9BCD-4B70-8633-01DB9CEF1A01}"/>
    <cellStyle name="Comma 12 4 5 2 6 3" xfId="39129" xr:uid="{B8EAB031-B46C-469B-B08D-F7C20FDDD98A}"/>
    <cellStyle name="Comma 12 4 5 2 7" xfId="10401" xr:uid="{E81034ED-511D-4533-93BE-DCD6C402CD41}"/>
    <cellStyle name="Comma 12 4 5 2 7 2" xfId="25521" xr:uid="{54105515-A40A-4CC2-9030-9DE1E9ACC742}"/>
    <cellStyle name="Comma 12 4 5 2 7 2 2" xfId="55761" xr:uid="{4B08D6D4-6118-461B-8B98-29568DACFC20}"/>
    <cellStyle name="Comma 12 4 5 2 7 3" xfId="40641" xr:uid="{F691AFAE-FA6B-425A-9877-78E1F0AC78A2}"/>
    <cellStyle name="Comma 12 4 5 2 8" xfId="16449" xr:uid="{AEF7D573-27E5-427D-96D4-A7ACD0552420}"/>
    <cellStyle name="Comma 12 4 5 2 8 2" xfId="46689" xr:uid="{F27F1351-983B-44A4-8A53-3A54508197EC}"/>
    <cellStyle name="Comma 12 4 5 2 9" xfId="31569" xr:uid="{8EB04407-8155-4A79-92FA-C8B7583C7559}"/>
    <cellStyle name="Comma 12 4 5 3" xfId="2085" xr:uid="{F62F2D08-151A-4251-BF40-EB68B6234052}"/>
    <cellStyle name="Comma 12 4 5 3 2" xfId="11157" xr:uid="{82D6484E-841F-407C-BDED-3B4D9C57EC88}"/>
    <cellStyle name="Comma 12 4 5 3 2 2" xfId="26277" xr:uid="{C86B9C6D-5844-4536-A42A-E2EED87606F8}"/>
    <cellStyle name="Comma 12 4 5 3 2 2 2" xfId="56517" xr:uid="{A45F35BE-D322-459C-A4C8-AF450712AD7D}"/>
    <cellStyle name="Comma 12 4 5 3 2 3" xfId="41397" xr:uid="{A8FB72BC-CA14-4524-B076-CC1C7CDD75E2}"/>
    <cellStyle name="Comma 12 4 5 3 3" xfId="17205" xr:uid="{C0359FCF-8877-4B89-A9F2-7573A3DEF3B3}"/>
    <cellStyle name="Comma 12 4 5 3 3 2" xfId="47445" xr:uid="{8BA360C3-25BD-40ED-A9F3-9AEBDDA4D8BB}"/>
    <cellStyle name="Comma 12 4 5 3 4" xfId="32325" xr:uid="{9EB552DF-9AA7-4119-A2FC-EE64009F199F}"/>
    <cellStyle name="Comma 12 4 5 4" xfId="3597" xr:uid="{8752B311-DBCE-4AF4-8F72-688B009B9748}"/>
    <cellStyle name="Comma 12 4 5 4 2" xfId="12669" xr:uid="{36D66E97-1961-4F83-8145-F58AFC0F5EA7}"/>
    <cellStyle name="Comma 12 4 5 4 2 2" xfId="27789" xr:uid="{E5535161-1E10-489E-B39B-A5AD5599053D}"/>
    <cellStyle name="Comma 12 4 5 4 2 2 2" xfId="58029" xr:uid="{D51728EC-272C-47F6-A7DF-641EAE84F412}"/>
    <cellStyle name="Comma 12 4 5 4 2 3" xfId="42909" xr:uid="{B7536E36-85D5-414E-8C99-FD44666C364C}"/>
    <cellStyle name="Comma 12 4 5 4 3" xfId="18717" xr:uid="{CEFD17D2-1B36-4D5D-B459-499AF96ED52B}"/>
    <cellStyle name="Comma 12 4 5 4 3 2" xfId="48957" xr:uid="{CA112D6D-1ACA-43A8-9633-799AC88139BA}"/>
    <cellStyle name="Comma 12 4 5 4 4" xfId="33837" xr:uid="{A4CB6C07-B232-4F62-A102-73F5BB88BA3C}"/>
    <cellStyle name="Comma 12 4 5 5" xfId="5109" xr:uid="{EDAB373A-2531-4414-B86A-AB4216E4B32D}"/>
    <cellStyle name="Comma 12 4 5 5 2" xfId="14181" xr:uid="{EDC3EC7E-1F31-45B4-B038-735FEAAD472F}"/>
    <cellStyle name="Comma 12 4 5 5 2 2" xfId="29301" xr:uid="{7F8D4AFF-4408-49A7-BB91-087172677B7F}"/>
    <cellStyle name="Comma 12 4 5 5 2 2 2" xfId="59541" xr:uid="{790C2D90-8D6B-4910-8FFA-B29D252534BE}"/>
    <cellStyle name="Comma 12 4 5 5 2 3" xfId="44421" xr:uid="{5941B54A-CD08-49CF-B0E5-E08DAFA9CF39}"/>
    <cellStyle name="Comma 12 4 5 5 3" xfId="20229" xr:uid="{4184BFC3-C164-42EA-828E-8B85F98CFA0F}"/>
    <cellStyle name="Comma 12 4 5 5 3 2" xfId="50469" xr:uid="{1FC83087-C740-4397-8956-72AD580C97A6}"/>
    <cellStyle name="Comma 12 4 5 5 4" xfId="35349" xr:uid="{3102A3B1-F41E-4320-BEA2-C5B98C1235BE}"/>
    <cellStyle name="Comma 12 4 5 6" xfId="6621" xr:uid="{D63FB25D-0881-440C-BDFB-EDF92816AB06}"/>
    <cellStyle name="Comma 12 4 5 6 2" xfId="21741" xr:uid="{ADEE411E-5903-4BBC-A254-ED340C1FC331}"/>
    <cellStyle name="Comma 12 4 5 6 2 2" xfId="51981" xr:uid="{78360D92-6C9B-4DC9-984F-32F5956C8FE0}"/>
    <cellStyle name="Comma 12 4 5 6 3" xfId="36861" xr:uid="{11ACFA25-7E68-4A63-8EF7-F61558F19E58}"/>
    <cellStyle name="Comma 12 4 5 7" xfId="8133" xr:uid="{DAF87B14-1F72-4687-8F6F-21CA8EB6C3AB}"/>
    <cellStyle name="Comma 12 4 5 7 2" xfId="23253" xr:uid="{CF3B384E-6CE9-463D-B5FF-093DC4B9ADF0}"/>
    <cellStyle name="Comma 12 4 5 7 2 2" xfId="53493" xr:uid="{389EC0BD-74FD-4212-92D7-93F37372E1E4}"/>
    <cellStyle name="Comma 12 4 5 7 3" xfId="38373" xr:uid="{C63A2308-4468-47E2-99B0-1FEC26D83267}"/>
    <cellStyle name="Comma 12 4 5 8" xfId="9645" xr:uid="{A9272988-8060-44B8-B435-D82A2ABE6E5B}"/>
    <cellStyle name="Comma 12 4 5 8 2" xfId="24765" xr:uid="{60E2F251-6034-43A5-8C17-D564C7E3EF9A}"/>
    <cellStyle name="Comma 12 4 5 8 2 2" xfId="55005" xr:uid="{36EF1FA9-024E-41CA-A4C4-75244BA14B29}"/>
    <cellStyle name="Comma 12 4 5 8 3" xfId="39885" xr:uid="{D8C0BA4D-5602-468A-BB2C-C3E4303D7B58}"/>
    <cellStyle name="Comma 12 4 5 9" xfId="15693" xr:uid="{8695F981-BF2E-4E2D-A762-2AFD83032A75}"/>
    <cellStyle name="Comma 12 4 5 9 2" xfId="45933" xr:uid="{AFFD8F00-4136-4F90-A7B8-3EB49720F6A6}"/>
    <cellStyle name="Comma 12 4 6" xfId="825" xr:uid="{6640A4EF-1121-4278-AF73-C82D0D291E04}"/>
    <cellStyle name="Comma 12 4 6 2" xfId="2337" xr:uid="{867F929A-42AC-4B67-BB05-B66E4FE4E347}"/>
    <cellStyle name="Comma 12 4 6 2 2" xfId="11409" xr:uid="{AB0C7E65-5194-4F95-8EDB-8B7545D3E22A}"/>
    <cellStyle name="Comma 12 4 6 2 2 2" xfId="26529" xr:uid="{FFF8235E-E902-4E2D-8D55-252572F05760}"/>
    <cellStyle name="Comma 12 4 6 2 2 2 2" xfId="56769" xr:uid="{68DBB57E-A135-402A-8295-7F8E7ECA65BA}"/>
    <cellStyle name="Comma 12 4 6 2 2 3" xfId="41649" xr:uid="{3478BDFB-18E3-43D5-B658-CE33FCF77F76}"/>
    <cellStyle name="Comma 12 4 6 2 3" xfId="17457" xr:uid="{A1B31C51-264A-4458-A88B-07986D473329}"/>
    <cellStyle name="Comma 12 4 6 2 3 2" xfId="47697" xr:uid="{8759B2C6-CAFB-49D8-9584-C8560161CC07}"/>
    <cellStyle name="Comma 12 4 6 2 4" xfId="32577" xr:uid="{6DF2239C-76CD-4C96-8935-8457D7C72FAC}"/>
    <cellStyle name="Comma 12 4 6 3" xfId="3849" xr:uid="{8B128BFB-DC60-4695-BEB4-1AFA3C8F0F0F}"/>
    <cellStyle name="Comma 12 4 6 3 2" xfId="12921" xr:uid="{8E1935D6-50D3-4B23-BE37-51064D79D3CC}"/>
    <cellStyle name="Comma 12 4 6 3 2 2" xfId="28041" xr:uid="{C1E92BB9-CFB9-4A08-834E-239BFA4E832B}"/>
    <cellStyle name="Comma 12 4 6 3 2 2 2" xfId="58281" xr:uid="{DDC5E9C9-62A1-47E0-BC8E-EE1020A85F4D}"/>
    <cellStyle name="Comma 12 4 6 3 2 3" xfId="43161" xr:uid="{88736289-5FAC-4D78-A953-DF70E626AE4B}"/>
    <cellStyle name="Comma 12 4 6 3 3" xfId="18969" xr:uid="{D81EF325-5EBB-4DE3-960E-3E0E08CE4F40}"/>
    <cellStyle name="Comma 12 4 6 3 3 2" xfId="49209" xr:uid="{FC6D895E-C467-4619-8A89-CCF3F6B1E061}"/>
    <cellStyle name="Comma 12 4 6 3 4" xfId="34089" xr:uid="{734A0506-DF81-4C81-85E5-5DDD9BF09874}"/>
    <cellStyle name="Comma 12 4 6 4" xfId="5361" xr:uid="{623AC903-09A0-4219-A2EA-AE2331EFF5A7}"/>
    <cellStyle name="Comma 12 4 6 4 2" xfId="14433" xr:uid="{84AC6D8E-6B90-4F2E-91D9-C78C4C7DC0FB}"/>
    <cellStyle name="Comma 12 4 6 4 2 2" xfId="29553" xr:uid="{0ECFA061-18B0-4FB0-9A9C-8BEAF19221C8}"/>
    <cellStyle name="Comma 12 4 6 4 2 2 2" xfId="59793" xr:uid="{8E246C9A-1A62-47F8-898B-07EEDF22353D}"/>
    <cellStyle name="Comma 12 4 6 4 2 3" xfId="44673" xr:uid="{BAA65378-AFE9-4C46-A13A-4F8CE8336683}"/>
    <cellStyle name="Comma 12 4 6 4 3" xfId="20481" xr:uid="{7D1603AB-6857-42A3-A61B-F9E03244DB55}"/>
    <cellStyle name="Comma 12 4 6 4 3 2" xfId="50721" xr:uid="{D9942D47-62B6-48A4-96CA-81DA643B789D}"/>
    <cellStyle name="Comma 12 4 6 4 4" xfId="35601" xr:uid="{8620D01D-337E-42D9-AD79-988EC0F7E8C9}"/>
    <cellStyle name="Comma 12 4 6 5" xfId="6873" xr:uid="{FBD6CDD8-93D3-4D4B-B55C-C2CBD51D5B9E}"/>
    <cellStyle name="Comma 12 4 6 5 2" xfId="21993" xr:uid="{431F02AE-7C0F-49FB-AA4C-D780D51EAF6E}"/>
    <cellStyle name="Comma 12 4 6 5 2 2" xfId="52233" xr:uid="{397354A6-E3AC-4B0E-AC94-F2ADB6A35440}"/>
    <cellStyle name="Comma 12 4 6 5 3" xfId="37113" xr:uid="{A830BA5B-CFC3-4AFE-A4BF-CD135D02E4F1}"/>
    <cellStyle name="Comma 12 4 6 6" xfId="8385" xr:uid="{857583E1-3964-4B40-B023-DD2F0DB49582}"/>
    <cellStyle name="Comma 12 4 6 6 2" xfId="23505" xr:uid="{ADE7FD89-A01C-4F70-87A1-3545830058DE}"/>
    <cellStyle name="Comma 12 4 6 6 2 2" xfId="53745" xr:uid="{341373C8-1F7D-4B23-8F68-6DCD8FE2EA44}"/>
    <cellStyle name="Comma 12 4 6 6 3" xfId="38625" xr:uid="{3C5E3DD3-088A-4214-9483-0A62AB5DC112}"/>
    <cellStyle name="Comma 12 4 6 7" xfId="9897" xr:uid="{8BA2DF89-9C3B-4009-A43B-DA2AA831853D}"/>
    <cellStyle name="Comma 12 4 6 7 2" xfId="25017" xr:uid="{398FF780-2905-4528-A402-AB67A33D8C97}"/>
    <cellStyle name="Comma 12 4 6 7 2 2" xfId="55257" xr:uid="{FF0BF9B6-6D15-4AB9-AC65-3E64014E6126}"/>
    <cellStyle name="Comma 12 4 6 7 3" xfId="40137" xr:uid="{FB0351A8-20E3-457E-A853-2FA2F121F140}"/>
    <cellStyle name="Comma 12 4 6 8" xfId="15945" xr:uid="{B8D176E9-599C-48B3-896D-23DAD53F1D7A}"/>
    <cellStyle name="Comma 12 4 6 8 2" xfId="46185" xr:uid="{DB1C4680-95DF-44F4-8E1E-B3EAFD813FE8}"/>
    <cellStyle name="Comma 12 4 6 9" xfId="31065" xr:uid="{1F290EF6-3AAA-44CC-A285-94514846414B}"/>
    <cellStyle name="Comma 12 4 7" xfId="1581" xr:uid="{51E57058-C9C9-47F7-B8D1-B69894535CD6}"/>
    <cellStyle name="Comma 12 4 7 2" xfId="10653" xr:uid="{02B88255-EEED-4FCA-8CD7-1CA9355F60CB}"/>
    <cellStyle name="Comma 12 4 7 2 2" xfId="25773" xr:uid="{4B2DDC1A-623A-4AB4-A5C6-6E3D60341072}"/>
    <cellStyle name="Comma 12 4 7 2 2 2" xfId="56013" xr:uid="{7E82A5F3-93EF-485B-BAFB-F113C83DA1C0}"/>
    <cellStyle name="Comma 12 4 7 2 3" xfId="40893" xr:uid="{676238A6-A11E-4F19-BA3C-4A1794AE05AD}"/>
    <cellStyle name="Comma 12 4 7 3" xfId="16701" xr:uid="{9D34B401-DA06-4A99-8EA6-24AE67ED7FC9}"/>
    <cellStyle name="Comma 12 4 7 3 2" xfId="46941" xr:uid="{E6AFD45C-632B-4B01-8B9F-19950FB111A5}"/>
    <cellStyle name="Comma 12 4 7 4" xfId="31821" xr:uid="{BCDAC25A-6153-4530-8FC6-B9FED0F247FC}"/>
    <cellStyle name="Comma 12 4 8" xfId="3093" xr:uid="{0D6AA45E-99BC-4590-84F0-72106920F23B}"/>
    <cellStyle name="Comma 12 4 8 2" xfId="12165" xr:uid="{A7D4111E-08B8-49D0-B928-DF389CDC8F16}"/>
    <cellStyle name="Comma 12 4 8 2 2" xfId="27285" xr:uid="{3F124CC9-A516-4597-88F8-DE26D3A11C09}"/>
    <cellStyle name="Comma 12 4 8 2 2 2" xfId="57525" xr:uid="{FBB372EF-4BF3-48DA-B461-971E50F7A9E1}"/>
    <cellStyle name="Comma 12 4 8 2 3" xfId="42405" xr:uid="{3B25847F-233B-465F-80DA-64EB705BF657}"/>
    <cellStyle name="Comma 12 4 8 3" xfId="18213" xr:uid="{A748A74E-4198-45E2-AE9C-CA563E9E679B}"/>
    <cellStyle name="Comma 12 4 8 3 2" xfId="48453" xr:uid="{E2032F76-AA6A-4E69-AF82-F13054A142A0}"/>
    <cellStyle name="Comma 12 4 8 4" xfId="33333" xr:uid="{CBFB360F-1714-4E56-B6A4-AF28C57A767C}"/>
    <cellStyle name="Comma 12 4 9" xfId="4605" xr:uid="{26A6F633-4664-45B0-9E83-B27CC1C5D16A}"/>
    <cellStyle name="Comma 12 4 9 2" xfId="13677" xr:uid="{5B4966FB-DCD4-44E8-9D41-C458B8F83383}"/>
    <cellStyle name="Comma 12 4 9 2 2" xfId="28797" xr:uid="{E173C379-BF67-4FAA-BC5A-A9BA8EB998CD}"/>
    <cellStyle name="Comma 12 4 9 2 2 2" xfId="59037" xr:uid="{0C0C6712-F7DC-4499-A949-ED574BF707A7}"/>
    <cellStyle name="Comma 12 4 9 2 3" xfId="43917" xr:uid="{DAF1C132-AD40-4E51-877E-1184156B507E}"/>
    <cellStyle name="Comma 12 4 9 3" xfId="19725" xr:uid="{026A8B54-3C51-4B01-8182-C8FF6154A336}"/>
    <cellStyle name="Comma 12 4 9 3 2" xfId="49965" xr:uid="{983D7449-1D05-43DA-A733-D772FD054A7B}"/>
    <cellStyle name="Comma 12 4 9 4" xfId="34845" xr:uid="{FC4E6CA5-714A-4EC8-9AC0-431C3B43C347}"/>
    <cellStyle name="Comma 12 5" xfId="111" xr:uid="{82C9AF48-2C0E-4595-BC80-4EF52E320B56}"/>
    <cellStyle name="Comma 12 5 10" xfId="9183" xr:uid="{6DB2734B-05ED-44A3-B7FC-0AA98ECFB65F}"/>
    <cellStyle name="Comma 12 5 10 2" xfId="24303" xr:uid="{5AB4A36D-13C1-48C6-A15F-BE5823E4D28D}"/>
    <cellStyle name="Comma 12 5 10 2 2" xfId="54543" xr:uid="{5CA51252-FB97-4BC6-9BBE-87A6C5D3A256}"/>
    <cellStyle name="Comma 12 5 10 3" xfId="39423" xr:uid="{CBCF7F51-7665-43B8-9BC2-84673E66B2D1}"/>
    <cellStyle name="Comma 12 5 11" xfId="15231" xr:uid="{30A9F29A-E26F-420B-B836-BF0D7B848D78}"/>
    <cellStyle name="Comma 12 5 11 2" xfId="45471" xr:uid="{4F76054F-06A0-437D-A970-8E3BF84812EC}"/>
    <cellStyle name="Comma 12 5 12" xfId="30351" xr:uid="{0EAA67D3-9140-43AD-8DBC-3DC74D65CF4D}"/>
    <cellStyle name="Comma 12 5 2" xfId="363" xr:uid="{448014F0-78B8-4295-99B2-8618C44BC30A}"/>
    <cellStyle name="Comma 12 5 2 10" xfId="30603" xr:uid="{62D88470-3C4A-4D42-AEAE-C1DF29E46BD8}"/>
    <cellStyle name="Comma 12 5 2 2" xfId="1119" xr:uid="{D187BD16-6B44-445A-8CCC-C87B38A11F8A}"/>
    <cellStyle name="Comma 12 5 2 2 2" xfId="2631" xr:uid="{522644E5-8974-4BEB-815A-C4645A608EE9}"/>
    <cellStyle name="Comma 12 5 2 2 2 2" xfId="11703" xr:uid="{AA277214-B2BF-4AA1-8B4F-F09DDFBE02AC}"/>
    <cellStyle name="Comma 12 5 2 2 2 2 2" xfId="26823" xr:uid="{4864C583-16C9-46D6-A6D4-C68DF98C9DAB}"/>
    <cellStyle name="Comma 12 5 2 2 2 2 2 2" xfId="57063" xr:uid="{648A5B91-12EA-4AFC-B0F0-A5122F5EB082}"/>
    <cellStyle name="Comma 12 5 2 2 2 2 3" xfId="41943" xr:uid="{2DDF7932-3939-4958-9B34-E8B045F2E562}"/>
    <cellStyle name="Comma 12 5 2 2 2 3" xfId="17751" xr:uid="{B859B307-D67F-4A4F-999A-99EFA5A3AD76}"/>
    <cellStyle name="Comma 12 5 2 2 2 3 2" xfId="47991" xr:uid="{EB5F5C95-1EFB-4378-BCFA-FC99A2D089DA}"/>
    <cellStyle name="Comma 12 5 2 2 2 4" xfId="32871" xr:uid="{BC425946-DEE2-4502-BD46-66E72B29D503}"/>
    <cellStyle name="Comma 12 5 2 2 3" xfId="4143" xr:uid="{1147CDF6-2808-489A-A28A-EC329D64B5AF}"/>
    <cellStyle name="Comma 12 5 2 2 3 2" xfId="13215" xr:uid="{9D5BFE4F-9622-44E1-AAEA-3A591B1A14A2}"/>
    <cellStyle name="Comma 12 5 2 2 3 2 2" xfId="28335" xr:uid="{6886CFFD-6168-489E-BED7-28C473BDD8B3}"/>
    <cellStyle name="Comma 12 5 2 2 3 2 2 2" xfId="58575" xr:uid="{0F018582-3CA8-4BF5-B531-CF33D057A521}"/>
    <cellStyle name="Comma 12 5 2 2 3 2 3" xfId="43455" xr:uid="{CD7F7B2B-E81C-4AC0-9CE5-FC73EC62784B}"/>
    <cellStyle name="Comma 12 5 2 2 3 3" xfId="19263" xr:uid="{A26E748E-5E4A-4889-8F88-A13A964F81CB}"/>
    <cellStyle name="Comma 12 5 2 2 3 3 2" xfId="49503" xr:uid="{873637C5-70BD-4ACD-B1A0-B62003D3160C}"/>
    <cellStyle name="Comma 12 5 2 2 3 4" xfId="34383" xr:uid="{6B585340-8E22-4E04-AC3E-6AAC73496000}"/>
    <cellStyle name="Comma 12 5 2 2 4" xfId="5655" xr:uid="{597DC5F6-A900-4963-BF02-10C68053EB64}"/>
    <cellStyle name="Comma 12 5 2 2 4 2" xfId="14727" xr:uid="{13F2F45C-DE83-4488-8957-1FAB82765498}"/>
    <cellStyle name="Comma 12 5 2 2 4 2 2" xfId="29847" xr:uid="{23DCE8AF-0F60-4F20-A30C-87618AB4AA7D}"/>
    <cellStyle name="Comma 12 5 2 2 4 2 2 2" xfId="60087" xr:uid="{CE48B0DC-5C28-4282-B965-FA836CA493E2}"/>
    <cellStyle name="Comma 12 5 2 2 4 2 3" xfId="44967" xr:uid="{230FF989-35E7-4D3D-9E30-21DB1BCF84DF}"/>
    <cellStyle name="Comma 12 5 2 2 4 3" xfId="20775" xr:uid="{C8314B88-9EF7-47C2-A212-0EC39C3A20E7}"/>
    <cellStyle name="Comma 12 5 2 2 4 3 2" xfId="51015" xr:uid="{77093606-2D51-4FB7-8897-D4D40936CBF8}"/>
    <cellStyle name="Comma 12 5 2 2 4 4" xfId="35895" xr:uid="{9D5409C7-F376-4FC1-A1D9-EB761244B95F}"/>
    <cellStyle name="Comma 12 5 2 2 5" xfId="7167" xr:uid="{1EDC5947-0680-4FEB-AD1F-19BCAE530232}"/>
    <cellStyle name="Comma 12 5 2 2 5 2" xfId="22287" xr:uid="{D01DBF56-5F83-405F-9E52-4FD97F211F7E}"/>
    <cellStyle name="Comma 12 5 2 2 5 2 2" xfId="52527" xr:uid="{1458C151-3DF2-4C9E-8223-1A98640EB8E6}"/>
    <cellStyle name="Comma 12 5 2 2 5 3" xfId="37407" xr:uid="{8D64DE18-08CB-4D73-BD7F-9E3A1DF88D3E}"/>
    <cellStyle name="Comma 12 5 2 2 6" xfId="8679" xr:uid="{CA22F81A-1266-4144-BD5E-26FA3CEA4CB8}"/>
    <cellStyle name="Comma 12 5 2 2 6 2" xfId="23799" xr:uid="{5DD488B9-A631-4FB0-9FAB-AD0FC50FB8BC}"/>
    <cellStyle name="Comma 12 5 2 2 6 2 2" xfId="54039" xr:uid="{5B1F81CF-C7FA-44FA-B007-BCAB48384139}"/>
    <cellStyle name="Comma 12 5 2 2 6 3" xfId="38919" xr:uid="{C7ADA328-F1FA-45FB-8D97-07A6DA8A3D30}"/>
    <cellStyle name="Comma 12 5 2 2 7" xfId="10191" xr:uid="{3EA35E3B-559B-426F-906E-3F66F2EB620E}"/>
    <cellStyle name="Comma 12 5 2 2 7 2" xfId="25311" xr:uid="{C5FD80D3-8215-4DEF-8CD8-4D711E06A744}"/>
    <cellStyle name="Comma 12 5 2 2 7 2 2" xfId="55551" xr:uid="{9856E682-1BE3-4E94-9D8B-5A92B25772C4}"/>
    <cellStyle name="Comma 12 5 2 2 7 3" xfId="40431" xr:uid="{9F739D1D-8756-4DAE-9621-D4E73A4715F8}"/>
    <cellStyle name="Comma 12 5 2 2 8" xfId="16239" xr:uid="{014D1C20-FEDD-4C84-9F9D-396A2C90FCAF}"/>
    <cellStyle name="Comma 12 5 2 2 8 2" xfId="46479" xr:uid="{F41B28F4-0CB6-4494-873A-F386E8CE5167}"/>
    <cellStyle name="Comma 12 5 2 2 9" xfId="31359" xr:uid="{75333BCC-8A6F-454B-95CC-54B02DB65A31}"/>
    <cellStyle name="Comma 12 5 2 3" xfId="1875" xr:uid="{92760E5F-28D9-4106-8B01-FBA96AC9F0F3}"/>
    <cellStyle name="Comma 12 5 2 3 2" xfId="10947" xr:uid="{3EF0AC6A-20B3-4AA5-9A59-0751CB9A9131}"/>
    <cellStyle name="Comma 12 5 2 3 2 2" xfId="26067" xr:uid="{EE08D823-40DD-42C9-8070-ADD6FF6AC5AB}"/>
    <cellStyle name="Comma 12 5 2 3 2 2 2" xfId="56307" xr:uid="{3C5F4644-EF70-4B92-B3EE-1A779AD042B0}"/>
    <cellStyle name="Comma 12 5 2 3 2 3" xfId="41187" xr:uid="{B81146F2-68EB-41EA-9FC4-983FFAFBCA1F}"/>
    <cellStyle name="Comma 12 5 2 3 3" xfId="16995" xr:uid="{C4BD5CDF-3F34-47B0-BDEA-8518CF4BB40B}"/>
    <cellStyle name="Comma 12 5 2 3 3 2" xfId="47235" xr:uid="{1DC95004-6972-41F8-9728-0FEDA853D583}"/>
    <cellStyle name="Comma 12 5 2 3 4" xfId="32115" xr:uid="{1B62C93D-3713-4D11-B95A-046DDAD10998}"/>
    <cellStyle name="Comma 12 5 2 4" xfId="3387" xr:uid="{3C720DCF-3562-48F4-8D2D-47178B8730CC}"/>
    <cellStyle name="Comma 12 5 2 4 2" xfId="12459" xr:uid="{95BEA725-C9DB-41DB-AD2C-10584C27BA11}"/>
    <cellStyle name="Comma 12 5 2 4 2 2" xfId="27579" xr:uid="{8C9B0001-1849-41C8-B252-245D6737F709}"/>
    <cellStyle name="Comma 12 5 2 4 2 2 2" xfId="57819" xr:uid="{71CD935A-3004-4992-8E2A-2CBF055911A7}"/>
    <cellStyle name="Comma 12 5 2 4 2 3" xfId="42699" xr:uid="{037C7D60-9F1F-4BA2-9617-172190763F23}"/>
    <cellStyle name="Comma 12 5 2 4 3" xfId="18507" xr:uid="{D10AB5E0-5A31-4290-B0D0-11C92FCD9DB1}"/>
    <cellStyle name="Comma 12 5 2 4 3 2" xfId="48747" xr:uid="{0618B8B4-84C0-4E63-BDB4-D83A7530BBAF}"/>
    <cellStyle name="Comma 12 5 2 4 4" xfId="33627" xr:uid="{4FA8F9BF-4EFF-4C42-B938-130CC3319A55}"/>
    <cellStyle name="Comma 12 5 2 5" xfId="4899" xr:uid="{C0C2D553-D08E-4C94-B572-8AAE5752C3E5}"/>
    <cellStyle name="Comma 12 5 2 5 2" xfId="13971" xr:uid="{90FDAC18-DEC0-4C60-A7E6-6ADEAA6DCBA6}"/>
    <cellStyle name="Comma 12 5 2 5 2 2" xfId="29091" xr:uid="{DCF53D80-1F30-4F3D-8C1A-EE1F067E3009}"/>
    <cellStyle name="Comma 12 5 2 5 2 2 2" xfId="59331" xr:uid="{96AC70A0-353E-4FBB-AB88-A3E0F6276DA8}"/>
    <cellStyle name="Comma 12 5 2 5 2 3" xfId="44211" xr:uid="{D5685423-3E01-4366-B75F-2425FBD9A79A}"/>
    <cellStyle name="Comma 12 5 2 5 3" xfId="20019" xr:uid="{D583D036-A89B-4F8E-94E8-0D7639FAD7EA}"/>
    <cellStyle name="Comma 12 5 2 5 3 2" xfId="50259" xr:uid="{562EFBA4-F088-49ED-BC96-FE5DC778C5BB}"/>
    <cellStyle name="Comma 12 5 2 5 4" xfId="35139" xr:uid="{3A9C3480-7609-46C4-9ADF-E230014EFA50}"/>
    <cellStyle name="Comma 12 5 2 6" xfId="6411" xr:uid="{B886370B-295A-4FE2-8E21-C3A5AA630A8E}"/>
    <cellStyle name="Comma 12 5 2 6 2" xfId="21531" xr:uid="{6053A86C-0A3A-4FBD-B076-77E1E547A957}"/>
    <cellStyle name="Comma 12 5 2 6 2 2" xfId="51771" xr:uid="{F58510FD-B4A4-4204-92E0-ADF422E1F518}"/>
    <cellStyle name="Comma 12 5 2 6 3" xfId="36651" xr:uid="{C0E90E5A-FAD0-41F4-BA8F-BF6E1E303C6D}"/>
    <cellStyle name="Comma 12 5 2 7" xfId="7923" xr:uid="{E26589C4-B4D2-45DC-A629-6D6200583484}"/>
    <cellStyle name="Comma 12 5 2 7 2" xfId="23043" xr:uid="{8BD027E6-EE49-4ADA-B88D-53DD466BF728}"/>
    <cellStyle name="Comma 12 5 2 7 2 2" xfId="53283" xr:uid="{08B6554A-A0F1-4875-8673-4C0E6B2D9A24}"/>
    <cellStyle name="Comma 12 5 2 7 3" xfId="38163" xr:uid="{BCB259B8-8721-4D56-9EDD-EF3E811C0D67}"/>
    <cellStyle name="Comma 12 5 2 8" xfId="9435" xr:uid="{99C608CD-B9F8-40E5-B871-F8799EEC5762}"/>
    <cellStyle name="Comma 12 5 2 8 2" xfId="24555" xr:uid="{D9AE887B-9749-4679-8693-F04864FF5B7B}"/>
    <cellStyle name="Comma 12 5 2 8 2 2" xfId="54795" xr:uid="{D8A93EC2-29ED-4BE3-9187-4AA7F71136DD}"/>
    <cellStyle name="Comma 12 5 2 8 3" xfId="39675" xr:uid="{C51FF944-4972-4F1B-AECD-010265C51F37}"/>
    <cellStyle name="Comma 12 5 2 9" xfId="15483" xr:uid="{324C187B-98C4-46D1-AABF-02FFAAD56157}"/>
    <cellStyle name="Comma 12 5 2 9 2" xfId="45723" xr:uid="{535F8F3D-EC30-4173-9449-B29C4C68112B}"/>
    <cellStyle name="Comma 12 5 3" xfId="615" xr:uid="{3255347F-7111-49AD-AA40-5CC1683F1635}"/>
    <cellStyle name="Comma 12 5 3 10" xfId="30855" xr:uid="{AE8D54C3-096C-4663-B65E-2C7ED9C5ACDC}"/>
    <cellStyle name="Comma 12 5 3 2" xfId="1371" xr:uid="{02CABEE2-5EF2-4D6D-8BF3-D13F0EDFDF46}"/>
    <cellStyle name="Comma 12 5 3 2 2" xfId="2883" xr:uid="{CD51C4DB-4D31-41C4-A7F2-16718B54E80A}"/>
    <cellStyle name="Comma 12 5 3 2 2 2" xfId="11955" xr:uid="{49EABB86-4A4F-48DA-8EC7-6BB9C0FE8531}"/>
    <cellStyle name="Comma 12 5 3 2 2 2 2" xfId="27075" xr:uid="{2CE11C5A-B762-40BC-A64F-0B3FE9F8A100}"/>
    <cellStyle name="Comma 12 5 3 2 2 2 2 2" xfId="57315" xr:uid="{2A508164-BECE-497F-A465-ECCD24981A2B}"/>
    <cellStyle name="Comma 12 5 3 2 2 2 3" xfId="42195" xr:uid="{8D0E42C6-1C8D-4BE5-AF15-437DABCD012C}"/>
    <cellStyle name="Comma 12 5 3 2 2 3" xfId="18003" xr:uid="{7464AB26-DD56-4801-94A1-B7D9F791C690}"/>
    <cellStyle name="Comma 12 5 3 2 2 3 2" xfId="48243" xr:uid="{C4F9750B-B8D7-43CA-BD8C-3EF83E2A7DA7}"/>
    <cellStyle name="Comma 12 5 3 2 2 4" xfId="33123" xr:uid="{C79892B9-5E18-4510-AE47-BFDAC12553E8}"/>
    <cellStyle name="Comma 12 5 3 2 3" xfId="4395" xr:uid="{D5BCDE04-5C43-4682-BDFC-0553F8E4467B}"/>
    <cellStyle name="Comma 12 5 3 2 3 2" xfId="13467" xr:uid="{E0493F8C-A143-43DA-8C37-5D665E879624}"/>
    <cellStyle name="Comma 12 5 3 2 3 2 2" xfId="28587" xr:uid="{0D1FAA33-FC85-4FCC-9349-1364FD3A920A}"/>
    <cellStyle name="Comma 12 5 3 2 3 2 2 2" xfId="58827" xr:uid="{E7023B78-5062-441A-8571-1C3774BD9482}"/>
    <cellStyle name="Comma 12 5 3 2 3 2 3" xfId="43707" xr:uid="{71B95047-EE63-44E0-89C4-4F5ECCAE13C9}"/>
    <cellStyle name="Comma 12 5 3 2 3 3" xfId="19515" xr:uid="{7D49CFB7-3C12-4142-A1C7-C36FADDF7F49}"/>
    <cellStyle name="Comma 12 5 3 2 3 3 2" xfId="49755" xr:uid="{31EAC304-29F5-4EB9-830D-86917768FDE1}"/>
    <cellStyle name="Comma 12 5 3 2 3 4" xfId="34635" xr:uid="{5388130B-07F8-42A7-AD16-EBEF96EF4582}"/>
    <cellStyle name="Comma 12 5 3 2 4" xfId="5907" xr:uid="{5461EAEC-4EDB-47E5-83E5-EC35FEB3D70E}"/>
    <cellStyle name="Comma 12 5 3 2 4 2" xfId="14979" xr:uid="{44CDCC73-ACF8-4925-B1F5-ED3B53963437}"/>
    <cellStyle name="Comma 12 5 3 2 4 2 2" xfId="30099" xr:uid="{9902750F-94FF-4283-849F-E31B474527E5}"/>
    <cellStyle name="Comma 12 5 3 2 4 2 2 2" xfId="60339" xr:uid="{7199994A-391F-468B-9F9F-5A9CFA0736A9}"/>
    <cellStyle name="Comma 12 5 3 2 4 2 3" xfId="45219" xr:uid="{08124128-B50D-45AB-8415-41428E2147C9}"/>
    <cellStyle name="Comma 12 5 3 2 4 3" xfId="21027" xr:uid="{99A27DFB-62C7-46DC-8D6A-C4D1911F947E}"/>
    <cellStyle name="Comma 12 5 3 2 4 3 2" xfId="51267" xr:uid="{05B139B9-A238-4FB6-9469-1AB6DBBDAF94}"/>
    <cellStyle name="Comma 12 5 3 2 4 4" xfId="36147" xr:uid="{8E4BE3C0-5C12-42F0-AA88-6360B640BA2C}"/>
    <cellStyle name="Comma 12 5 3 2 5" xfId="7419" xr:uid="{FA5FBECE-B373-4497-BC97-4C4D75575103}"/>
    <cellStyle name="Comma 12 5 3 2 5 2" xfId="22539" xr:uid="{DFD5D255-0A94-472C-9A18-80FA923E95E2}"/>
    <cellStyle name="Comma 12 5 3 2 5 2 2" xfId="52779" xr:uid="{FF066183-AD2A-491C-9BC3-2B4D4A5670A5}"/>
    <cellStyle name="Comma 12 5 3 2 5 3" xfId="37659" xr:uid="{1B711191-8E5F-4F3B-A8FF-CEDE47A5EEB0}"/>
    <cellStyle name="Comma 12 5 3 2 6" xfId="8931" xr:uid="{F0AD4D9E-FAB9-4084-BD3F-31F0C3DF4E1D}"/>
    <cellStyle name="Comma 12 5 3 2 6 2" xfId="24051" xr:uid="{A5067DD3-2126-4EAF-A3EF-790E5E5DB74C}"/>
    <cellStyle name="Comma 12 5 3 2 6 2 2" xfId="54291" xr:uid="{EF5C8391-1C4D-4934-A13F-78CFE0AB140B}"/>
    <cellStyle name="Comma 12 5 3 2 6 3" xfId="39171" xr:uid="{51D683C4-7476-4251-BA34-A940E6F108EC}"/>
    <cellStyle name="Comma 12 5 3 2 7" xfId="10443" xr:uid="{DEDA88F2-26E2-4746-9908-315CEA8DCAFA}"/>
    <cellStyle name="Comma 12 5 3 2 7 2" xfId="25563" xr:uid="{7F9FA268-B7C3-4FB6-AD55-65F63B1F3BC2}"/>
    <cellStyle name="Comma 12 5 3 2 7 2 2" xfId="55803" xr:uid="{9CB312E1-5722-4CF3-BFA5-84A4626C74E6}"/>
    <cellStyle name="Comma 12 5 3 2 7 3" xfId="40683" xr:uid="{F86088A6-6207-4C51-B075-A9A37DBFF9DF}"/>
    <cellStyle name="Comma 12 5 3 2 8" xfId="16491" xr:uid="{C56ABA49-5780-4985-BB4D-9325B1CBDA3D}"/>
    <cellStyle name="Comma 12 5 3 2 8 2" xfId="46731" xr:uid="{4B792051-427A-476D-9AB6-07AAEA925F7B}"/>
    <cellStyle name="Comma 12 5 3 2 9" xfId="31611" xr:uid="{7F13C92E-A17A-451F-96CC-D96EF3682421}"/>
    <cellStyle name="Comma 12 5 3 3" xfId="2127" xr:uid="{E4538643-6330-422E-AB61-0BB69AA600F6}"/>
    <cellStyle name="Comma 12 5 3 3 2" xfId="11199" xr:uid="{D5AF2160-7E21-47D4-B728-7B146244DBA5}"/>
    <cellStyle name="Comma 12 5 3 3 2 2" xfId="26319" xr:uid="{E7F06271-B4BA-409F-B023-092903AB5602}"/>
    <cellStyle name="Comma 12 5 3 3 2 2 2" xfId="56559" xr:uid="{29656F04-3146-4C8E-91C4-AF890F154237}"/>
    <cellStyle name="Comma 12 5 3 3 2 3" xfId="41439" xr:uid="{1370D949-AEB1-4579-9FB0-60688BF31B52}"/>
    <cellStyle name="Comma 12 5 3 3 3" xfId="17247" xr:uid="{0C2470CB-D485-4755-9076-D8AB1019BE13}"/>
    <cellStyle name="Comma 12 5 3 3 3 2" xfId="47487" xr:uid="{E3AF385A-0432-41E3-A594-3F544E1AAE30}"/>
    <cellStyle name="Comma 12 5 3 3 4" xfId="32367" xr:uid="{D5CC5D4A-3249-48BC-B47D-798416079275}"/>
    <cellStyle name="Comma 12 5 3 4" xfId="3639" xr:uid="{7E14128A-6995-4EBD-BD95-0FC416A2360C}"/>
    <cellStyle name="Comma 12 5 3 4 2" xfId="12711" xr:uid="{D81D4CB6-5C32-478B-96C1-6CA180D9A0D0}"/>
    <cellStyle name="Comma 12 5 3 4 2 2" xfId="27831" xr:uid="{C1C36F25-CB05-401F-BC9D-3F097A26A303}"/>
    <cellStyle name="Comma 12 5 3 4 2 2 2" xfId="58071" xr:uid="{2DFB1BCD-1B43-41F1-8ACF-D402AE75BC39}"/>
    <cellStyle name="Comma 12 5 3 4 2 3" xfId="42951" xr:uid="{D426E8A8-DB26-4F21-8282-5A94664EAE4B}"/>
    <cellStyle name="Comma 12 5 3 4 3" xfId="18759" xr:uid="{90CF7458-1DF5-4EFD-96B3-FD4D6AB6C862}"/>
    <cellStyle name="Comma 12 5 3 4 3 2" xfId="48999" xr:uid="{0FBEA723-16C4-4F1B-B547-B4FC2CDA0E47}"/>
    <cellStyle name="Comma 12 5 3 4 4" xfId="33879" xr:uid="{F20B0968-6042-4511-8134-6A3C760C2844}"/>
    <cellStyle name="Comma 12 5 3 5" xfId="5151" xr:uid="{D443C278-060B-4E8F-ACEA-D4A08549231E}"/>
    <cellStyle name="Comma 12 5 3 5 2" xfId="14223" xr:uid="{F2768BBF-181B-4F40-8D92-38A5473CF15A}"/>
    <cellStyle name="Comma 12 5 3 5 2 2" xfId="29343" xr:uid="{96DA0FED-4B4D-4F82-969F-E40D6440B7E0}"/>
    <cellStyle name="Comma 12 5 3 5 2 2 2" xfId="59583" xr:uid="{C30E1F42-F8CF-4707-84A5-795752A32D4D}"/>
    <cellStyle name="Comma 12 5 3 5 2 3" xfId="44463" xr:uid="{CC2730F0-B8B2-433D-ACCF-F777AD1651D3}"/>
    <cellStyle name="Comma 12 5 3 5 3" xfId="20271" xr:uid="{4EAEBAB4-B4B4-4298-BAFE-0C65F9D5615C}"/>
    <cellStyle name="Comma 12 5 3 5 3 2" xfId="50511" xr:uid="{7677875E-6460-4532-992E-30A5D3664628}"/>
    <cellStyle name="Comma 12 5 3 5 4" xfId="35391" xr:uid="{6DF71F9D-5428-4090-936E-4A344246F05D}"/>
    <cellStyle name="Comma 12 5 3 6" xfId="6663" xr:uid="{46B4AB8B-EFC2-46EF-908B-C67C2D2D203A}"/>
    <cellStyle name="Comma 12 5 3 6 2" xfId="21783" xr:uid="{BE6F64C3-8C8D-44DA-B360-F05B0479D78E}"/>
    <cellStyle name="Comma 12 5 3 6 2 2" xfId="52023" xr:uid="{3595CABE-8E25-48C6-87A4-5C042A794925}"/>
    <cellStyle name="Comma 12 5 3 6 3" xfId="36903" xr:uid="{3306A1D6-0AAC-4CB1-B4A6-A55EB445712F}"/>
    <cellStyle name="Comma 12 5 3 7" xfId="8175" xr:uid="{A0D36506-A161-4F0E-BE77-71158D7D226A}"/>
    <cellStyle name="Comma 12 5 3 7 2" xfId="23295" xr:uid="{D50C7239-61D3-409F-85F6-CD1CB22EFCEF}"/>
    <cellStyle name="Comma 12 5 3 7 2 2" xfId="53535" xr:uid="{A06B9848-A375-4F75-9274-60E70CE58D77}"/>
    <cellStyle name="Comma 12 5 3 7 3" xfId="38415" xr:uid="{EAB5CE7F-B520-4CF3-9DCB-4453A3441933}"/>
    <cellStyle name="Comma 12 5 3 8" xfId="9687" xr:uid="{EE48F455-E55B-449B-AA49-92DB32E0E48D}"/>
    <cellStyle name="Comma 12 5 3 8 2" xfId="24807" xr:uid="{A2F0B975-3F55-469B-9AA5-1D93A2BEFD31}"/>
    <cellStyle name="Comma 12 5 3 8 2 2" xfId="55047" xr:uid="{7DC35DB2-532E-4D30-9371-3F070D034CE9}"/>
    <cellStyle name="Comma 12 5 3 8 3" xfId="39927" xr:uid="{16572824-0917-4A71-8479-B3B2DE750588}"/>
    <cellStyle name="Comma 12 5 3 9" xfId="15735" xr:uid="{A66BC804-C2AB-42E7-8C0E-59E2BD0CD5E2}"/>
    <cellStyle name="Comma 12 5 3 9 2" xfId="45975" xr:uid="{6DAF9148-A86C-4A65-BDBA-B0B2F1AEE35D}"/>
    <cellStyle name="Comma 12 5 4" xfId="867" xr:uid="{D30D9392-DB92-4FA8-A0D3-11B4BCEC97A4}"/>
    <cellStyle name="Comma 12 5 4 2" xfId="2379" xr:uid="{82D43F1D-1033-409D-A7A0-8E1EADC2164C}"/>
    <cellStyle name="Comma 12 5 4 2 2" xfId="11451" xr:uid="{A47CBCD8-72B4-471B-B720-5CFCE1B251CE}"/>
    <cellStyle name="Comma 12 5 4 2 2 2" xfId="26571" xr:uid="{1FD9F275-915C-44EC-8368-B2804562D919}"/>
    <cellStyle name="Comma 12 5 4 2 2 2 2" xfId="56811" xr:uid="{FA85B81F-C3CE-4F04-BB08-F3F2BA2765F6}"/>
    <cellStyle name="Comma 12 5 4 2 2 3" xfId="41691" xr:uid="{C49A8A6E-51A0-40DF-BFD8-5C3BECA3B6BE}"/>
    <cellStyle name="Comma 12 5 4 2 3" xfId="17499" xr:uid="{93E7F784-CC03-4E5E-B840-2BDBA1A82101}"/>
    <cellStyle name="Comma 12 5 4 2 3 2" xfId="47739" xr:uid="{BDACFC20-FAFE-436F-8DCC-9CDB0C5444A1}"/>
    <cellStyle name="Comma 12 5 4 2 4" xfId="32619" xr:uid="{31753CE8-29FD-4C5B-A203-F7D63FC94E5D}"/>
    <cellStyle name="Comma 12 5 4 3" xfId="3891" xr:uid="{D569A46F-3A88-487F-82A3-178094A6A834}"/>
    <cellStyle name="Comma 12 5 4 3 2" xfId="12963" xr:uid="{BBCE50FA-CBD5-4BB8-B56A-81539754EF1E}"/>
    <cellStyle name="Comma 12 5 4 3 2 2" xfId="28083" xr:uid="{489DEB27-D8E9-43B7-8C3F-B1B1FBB5E58F}"/>
    <cellStyle name="Comma 12 5 4 3 2 2 2" xfId="58323" xr:uid="{CB05A66F-E8C4-45E1-B648-848028BBBADA}"/>
    <cellStyle name="Comma 12 5 4 3 2 3" xfId="43203" xr:uid="{3A56C05E-AE8D-4FD1-86CC-4163D2056C2D}"/>
    <cellStyle name="Comma 12 5 4 3 3" xfId="19011" xr:uid="{977186EE-1B6A-4B69-9861-B71ED842DFDF}"/>
    <cellStyle name="Comma 12 5 4 3 3 2" xfId="49251" xr:uid="{395B2659-4ED6-4F26-8493-DEC401FFFCE1}"/>
    <cellStyle name="Comma 12 5 4 3 4" xfId="34131" xr:uid="{22816CCE-3388-4C73-B98C-8B672E9FC35D}"/>
    <cellStyle name="Comma 12 5 4 4" xfId="5403" xr:uid="{EF2B5392-1FFB-4496-B58F-33ECE8119B5E}"/>
    <cellStyle name="Comma 12 5 4 4 2" xfId="14475" xr:uid="{15A68E93-4E87-4B87-A3F1-0F36DB8D54DD}"/>
    <cellStyle name="Comma 12 5 4 4 2 2" xfId="29595" xr:uid="{9B0D919D-472A-431C-BA18-C9B67DC83D70}"/>
    <cellStyle name="Comma 12 5 4 4 2 2 2" xfId="59835" xr:uid="{09D06871-381B-4376-B85A-32A29BF5C825}"/>
    <cellStyle name="Comma 12 5 4 4 2 3" xfId="44715" xr:uid="{02303B9A-5F2E-4A09-B378-2BE923EE9856}"/>
    <cellStyle name="Comma 12 5 4 4 3" xfId="20523" xr:uid="{FD9B437A-93C2-47CA-86D6-A5480CAF3200}"/>
    <cellStyle name="Comma 12 5 4 4 3 2" xfId="50763" xr:uid="{B004311F-E297-4300-850E-E6DCA3B1A9E8}"/>
    <cellStyle name="Comma 12 5 4 4 4" xfId="35643" xr:uid="{72CB1A90-49F3-4240-946C-DF1491707AD4}"/>
    <cellStyle name="Comma 12 5 4 5" xfId="6915" xr:uid="{58A6BE3B-C488-4B38-B340-DFE6FA586651}"/>
    <cellStyle name="Comma 12 5 4 5 2" xfId="22035" xr:uid="{449E4A8D-519D-4B9E-9703-61AF78D52313}"/>
    <cellStyle name="Comma 12 5 4 5 2 2" xfId="52275" xr:uid="{89A8D84B-81D5-40F0-88FF-01348993AC62}"/>
    <cellStyle name="Comma 12 5 4 5 3" xfId="37155" xr:uid="{18ADE439-105C-48FB-8DB1-6614E8929FC7}"/>
    <cellStyle name="Comma 12 5 4 6" xfId="8427" xr:uid="{A4E666CB-998C-454A-B76D-780C48460526}"/>
    <cellStyle name="Comma 12 5 4 6 2" xfId="23547" xr:uid="{C13835E1-5B0D-417C-8171-C723473E2150}"/>
    <cellStyle name="Comma 12 5 4 6 2 2" xfId="53787" xr:uid="{D835598F-E8D3-4601-A204-2E79796F6143}"/>
    <cellStyle name="Comma 12 5 4 6 3" xfId="38667" xr:uid="{B065B4B7-4FCA-4CBA-8FF9-D61C77F39B81}"/>
    <cellStyle name="Comma 12 5 4 7" xfId="9939" xr:uid="{F95415C1-F178-41FF-BA72-A318D7326A33}"/>
    <cellStyle name="Comma 12 5 4 7 2" xfId="25059" xr:uid="{A3C41508-40B1-47CE-A8D5-D0F9018D239B}"/>
    <cellStyle name="Comma 12 5 4 7 2 2" xfId="55299" xr:uid="{F22DF990-3223-4A5F-9C97-7FD53103B663}"/>
    <cellStyle name="Comma 12 5 4 7 3" xfId="40179" xr:uid="{7C61CBA9-2574-4F0B-9D2F-5E84B073E26F}"/>
    <cellStyle name="Comma 12 5 4 8" xfId="15987" xr:uid="{40D40C50-2A77-4A5A-B000-5C4FFC15E6E4}"/>
    <cellStyle name="Comma 12 5 4 8 2" xfId="46227" xr:uid="{F782DD7E-3667-487D-9FD4-B176105C329C}"/>
    <cellStyle name="Comma 12 5 4 9" xfId="31107" xr:uid="{F6C9C0AD-5B4E-4848-865E-41116E8ADDF8}"/>
    <cellStyle name="Comma 12 5 5" xfId="1623" xr:uid="{664D3890-77EB-4803-AEE9-5468529E6B44}"/>
    <cellStyle name="Comma 12 5 5 2" xfId="10695" xr:uid="{11E0E359-CCC9-45CB-B69E-D1BF305A0EAC}"/>
    <cellStyle name="Comma 12 5 5 2 2" xfId="25815" xr:uid="{79AC2BD6-E7F3-42C9-A3CB-825793D28178}"/>
    <cellStyle name="Comma 12 5 5 2 2 2" xfId="56055" xr:uid="{A8616007-8C64-4B99-8AAC-F9A908825238}"/>
    <cellStyle name="Comma 12 5 5 2 3" xfId="40935" xr:uid="{7F716112-4DC4-424D-8E89-E6CD6AF85292}"/>
    <cellStyle name="Comma 12 5 5 3" xfId="16743" xr:uid="{BA04CAA6-4C48-40B3-958D-9D723024986B}"/>
    <cellStyle name="Comma 12 5 5 3 2" xfId="46983" xr:uid="{FF214DB3-0DB3-4EB6-906E-55A982AA8E07}"/>
    <cellStyle name="Comma 12 5 5 4" xfId="31863" xr:uid="{89352177-DC87-448F-B1A1-9AF59B1F062D}"/>
    <cellStyle name="Comma 12 5 6" xfId="3135" xr:uid="{4A2D9228-22E5-4F14-A3BA-F32B2D0159C9}"/>
    <cellStyle name="Comma 12 5 6 2" xfId="12207" xr:uid="{620C010A-5C03-4D88-9903-9C420DC3766F}"/>
    <cellStyle name="Comma 12 5 6 2 2" xfId="27327" xr:uid="{E701E3D7-FD26-4AC5-8F6D-7A91D3A1E4CE}"/>
    <cellStyle name="Comma 12 5 6 2 2 2" xfId="57567" xr:uid="{D1C488A6-3E46-41B3-AB94-9136346D0C9A}"/>
    <cellStyle name="Comma 12 5 6 2 3" xfId="42447" xr:uid="{0455187E-E726-4FF8-89B4-5DCAF5759E10}"/>
    <cellStyle name="Comma 12 5 6 3" xfId="18255" xr:uid="{50B20227-DD5D-43A2-9010-604DED5D1E86}"/>
    <cellStyle name="Comma 12 5 6 3 2" xfId="48495" xr:uid="{A7AE0276-4C30-4C97-BBA8-90A72427DECD}"/>
    <cellStyle name="Comma 12 5 6 4" xfId="33375" xr:uid="{1DF12839-1714-451D-BB33-BE3D0908165F}"/>
    <cellStyle name="Comma 12 5 7" xfId="4647" xr:uid="{3C756EB9-EE45-4C06-B9BB-15FA91DC3DDE}"/>
    <cellStyle name="Comma 12 5 7 2" xfId="13719" xr:uid="{CFBE81ED-1138-4CA0-A9CA-F145BFB8A35D}"/>
    <cellStyle name="Comma 12 5 7 2 2" xfId="28839" xr:uid="{6E10AD86-84A3-4179-8519-9D46FFDCC021}"/>
    <cellStyle name="Comma 12 5 7 2 2 2" xfId="59079" xr:uid="{1F2AF7EE-644B-4BA2-8B05-519340ED9F00}"/>
    <cellStyle name="Comma 12 5 7 2 3" xfId="43959" xr:uid="{5130104F-ED63-4C8E-8827-E462574FAF54}"/>
    <cellStyle name="Comma 12 5 7 3" xfId="19767" xr:uid="{CC9BD65F-8AF5-482C-BC9F-767008F59BF7}"/>
    <cellStyle name="Comma 12 5 7 3 2" xfId="50007" xr:uid="{5B676AC7-3AF0-4102-8755-F2CD1BA6C640}"/>
    <cellStyle name="Comma 12 5 7 4" xfId="34887" xr:uid="{BBB4D245-DB26-4C49-95A7-994810011BA0}"/>
    <cellStyle name="Comma 12 5 8" xfId="6159" xr:uid="{7F67F49F-B8DB-4FAD-AAE0-4B37811BEDA9}"/>
    <cellStyle name="Comma 12 5 8 2" xfId="21279" xr:uid="{3A978862-8568-48CC-800B-6E48B8B5268F}"/>
    <cellStyle name="Comma 12 5 8 2 2" xfId="51519" xr:uid="{C68F0F75-4E73-48F0-8D94-42BE685B3887}"/>
    <cellStyle name="Comma 12 5 8 3" xfId="36399" xr:uid="{8A2AF3F0-1CF8-4692-B9EF-69287E21DE66}"/>
    <cellStyle name="Comma 12 5 9" xfId="7671" xr:uid="{87584163-A5E7-48B9-A5B7-92443BD5C159}"/>
    <cellStyle name="Comma 12 5 9 2" xfId="22791" xr:uid="{D2E1E55E-DE29-487A-A703-B6941F92720C}"/>
    <cellStyle name="Comma 12 5 9 2 2" xfId="53031" xr:uid="{8B36FCFE-E9DA-469C-B365-D0A3D351BF88}"/>
    <cellStyle name="Comma 12 5 9 3" xfId="37911" xr:uid="{5B014FB8-0763-4E88-B384-143831FC4EEF}"/>
    <cellStyle name="Comma 12 6" xfId="195" xr:uid="{1AA67191-00FB-4B4D-85B1-984395621FEC}"/>
    <cellStyle name="Comma 12 6 10" xfId="9267" xr:uid="{1E23B47E-5A4D-4E9D-B328-921F81A7335E}"/>
    <cellStyle name="Comma 12 6 10 2" xfId="24387" xr:uid="{400D6AB6-9BC0-4EBA-8ACF-389544E0287E}"/>
    <cellStyle name="Comma 12 6 10 2 2" xfId="54627" xr:uid="{F0891670-5832-408A-BBF8-F9B57317ADFB}"/>
    <cellStyle name="Comma 12 6 10 3" xfId="39507" xr:uid="{9CFF8947-018A-4343-A412-8DB4935E032B}"/>
    <cellStyle name="Comma 12 6 11" xfId="15315" xr:uid="{A4DD67FB-3A8A-4848-A1EA-1D4C62721531}"/>
    <cellStyle name="Comma 12 6 11 2" xfId="45555" xr:uid="{97334AFD-A69C-4436-96EC-B7BE5021CB54}"/>
    <cellStyle name="Comma 12 6 12" xfId="30435" xr:uid="{6A5EC705-8FFA-473F-BACF-6F5693C1AE15}"/>
    <cellStyle name="Comma 12 6 2" xfId="447" xr:uid="{95F28BD8-4647-4D66-AC0C-87987D878EF3}"/>
    <cellStyle name="Comma 12 6 2 10" xfId="30687" xr:uid="{4F02E455-28BC-4D6C-8A6E-532735691A98}"/>
    <cellStyle name="Comma 12 6 2 2" xfId="1203" xr:uid="{65D2675A-8B32-4580-B923-0D55BFDDFF0F}"/>
    <cellStyle name="Comma 12 6 2 2 2" xfId="2715" xr:uid="{A3BBA660-DB75-4F50-8926-74B2D47E5584}"/>
    <cellStyle name="Comma 12 6 2 2 2 2" xfId="11787" xr:uid="{1A4D3EDB-6AEE-41AF-A30F-DD46CEA71D2C}"/>
    <cellStyle name="Comma 12 6 2 2 2 2 2" xfId="26907" xr:uid="{23D78443-BF00-41E8-B12E-E8BD1523D13B}"/>
    <cellStyle name="Comma 12 6 2 2 2 2 2 2" xfId="57147" xr:uid="{9BD02DB2-C1E9-4900-AF20-5F15005A2935}"/>
    <cellStyle name="Comma 12 6 2 2 2 2 3" xfId="42027" xr:uid="{4A1C94FC-E197-4508-9921-E86EFBBD08E7}"/>
    <cellStyle name="Comma 12 6 2 2 2 3" xfId="17835" xr:uid="{77B7DB16-38D3-48AC-8DE1-5085A692C698}"/>
    <cellStyle name="Comma 12 6 2 2 2 3 2" xfId="48075" xr:uid="{74E3C85F-3C21-4167-A73D-C169A3582115}"/>
    <cellStyle name="Comma 12 6 2 2 2 4" xfId="32955" xr:uid="{38AAC1F0-5F46-45D1-892D-9A1A3B28911D}"/>
    <cellStyle name="Comma 12 6 2 2 3" xfId="4227" xr:uid="{4B075248-2902-4322-B4C8-46FB13E7B5C2}"/>
    <cellStyle name="Comma 12 6 2 2 3 2" xfId="13299" xr:uid="{DAD20E97-022C-498D-A037-32518A99DB01}"/>
    <cellStyle name="Comma 12 6 2 2 3 2 2" xfId="28419" xr:uid="{859FCCC9-709F-4B34-B06C-43FC80D76AA0}"/>
    <cellStyle name="Comma 12 6 2 2 3 2 2 2" xfId="58659" xr:uid="{AC43132C-888A-49AB-B9D7-DF943BB34722}"/>
    <cellStyle name="Comma 12 6 2 2 3 2 3" xfId="43539" xr:uid="{9761602D-2976-4A97-82C0-18E9FBACCF7A}"/>
    <cellStyle name="Comma 12 6 2 2 3 3" xfId="19347" xr:uid="{EBC1F469-965D-44AB-B63D-656932A1CD38}"/>
    <cellStyle name="Comma 12 6 2 2 3 3 2" xfId="49587" xr:uid="{95D7A1DB-354D-4FCB-890D-9D9574223882}"/>
    <cellStyle name="Comma 12 6 2 2 3 4" xfId="34467" xr:uid="{3FA7BE3E-1964-4C2C-B5CB-E8E6A44F4640}"/>
    <cellStyle name="Comma 12 6 2 2 4" xfId="5739" xr:uid="{78244422-86C1-4606-A0C1-6B9FFD22570B}"/>
    <cellStyle name="Comma 12 6 2 2 4 2" xfId="14811" xr:uid="{C53564CA-2CB5-472A-A15B-6FAFEEC0ABCC}"/>
    <cellStyle name="Comma 12 6 2 2 4 2 2" xfId="29931" xr:uid="{B63F834A-A454-4F05-897C-70C6FC92F9C5}"/>
    <cellStyle name="Comma 12 6 2 2 4 2 2 2" xfId="60171" xr:uid="{1CD612D1-8EEF-411C-9F6D-B6DBF9DA8E85}"/>
    <cellStyle name="Comma 12 6 2 2 4 2 3" xfId="45051" xr:uid="{D3AA0EA7-22D6-4899-9F79-B4EF9781B611}"/>
    <cellStyle name="Comma 12 6 2 2 4 3" xfId="20859" xr:uid="{1E5ED971-2D06-457C-AE69-07DAB4171478}"/>
    <cellStyle name="Comma 12 6 2 2 4 3 2" xfId="51099" xr:uid="{3AE27DFC-4B9D-4399-AC8C-0D54825C7AE8}"/>
    <cellStyle name="Comma 12 6 2 2 4 4" xfId="35979" xr:uid="{F8096A25-717E-4DA3-9D1A-85DE01212010}"/>
    <cellStyle name="Comma 12 6 2 2 5" xfId="7251" xr:uid="{E44000A2-66D7-4BDB-8964-B73A0586C419}"/>
    <cellStyle name="Comma 12 6 2 2 5 2" xfId="22371" xr:uid="{66B2BE8A-D6AC-4B9D-9F30-105AA294DB0D}"/>
    <cellStyle name="Comma 12 6 2 2 5 2 2" xfId="52611" xr:uid="{6364C605-ED55-44DC-A631-0CAC22EA4658}"/>
    <cellStyle name="Comma 12 6 2 2 5 3" xfId="37491" xr:uid="{C0C64983-34BB-4203-8AD3-E4C99BAEFD46}"/>
    <cellStyle name="Comma 12 6 2 2 6" xfId="8763" xr:uid="{1E243DED-65E2-4FF1-B318-CE5FDEA79820}"/>
    <cellStyle name="Comma 12 6 2 2 6 2" xfId="23883" xr:uid="{A7D46904-5F67-4B52-9007-B784F4BA4F56}"/>
    <cellStyle name="Comma 12 6 2 2 6 2 2" xfId="54123" xr:uid="{D012FE3B-5C13-4180-A19C-30FF1E9BC625}"/>
    <cellStyle name="Comma 12 6 2 2 6 3" xfId="39003" xr:uid="{0C92CBF7-9864-4636-BEC9-E5578826ED5E}"/>
    <cellStyle name="Comma 12 6 2 2 7" xfId="10275" xr:uid="{7B458A31-43A3-45D0-A8E3-B9FC715E56EF}"/>
    <cellStyle name="Comma 12 6 2 2 7 2" xfId="25395" xr:uid="{E47C11C6-8FA7-4DE2-B8AF-D8BE6F0DC551}"/>
    <cellStyle name="Comma 12 6 2 2 7 2 2" xfId="55635" xr:uid="{493721F4-91CF-4F1C-9294-B8FC68D77268}"/>
    <cellStyle name="Comma 12 6 2 2 7 3" xfId="40515" xr:uid="{F1539524-7250-4071-9D7B-6005313740E1}"/>
    <cellStyle name="Comma 12 6 2 2 8" xfId="16323" xr:uid="{0EB86EF9-34BB-4894-9DF9-CC980568E771}"/>
    <cellStyle name="Comma 12 6 2 2 8 2" xfId="46563" xr:uid="{46A05980-E3CD-4A51-93FF-DEBC7ACAE6DD}"/>
    <cellStyle name="Comma 12 6 2 2 9" xfId="31443" xr:uid="{2E45F3A4-808D-4026-9E80-4DDB5EF9D864}"/>
    <cellStyle name="Comma 12 6 2 3" xfId="1959" xr:uid="{1A02D453-27C6-453C-946A-83C447A3CF22}"/>
    <cellStyle name="Comma 12 6 2 3 2" xfId="11031" xr:uid="{EFF3B4CF-93EE-40CB-8904-B06F4D26BA80}"/>
    <cellStyle name="Comma 12 6 2 3 2 2" xfId="26151" xr:uid="{0104FBE1-B76D-42D7-84B2-06147FA6F864}"/>
    <cellStyle name="Comma 12 6 2 3 2 2 2" xfId="56391" xr:uid="{2F31581A-2F10-475A-8452-619DE136F805}"/>
    <cellStyle name="Comma 12 6 2 3 2 3" xfId="41271" xr:uid="{A490D522-E35F-491B-9493-771572600B29}"/>
    <cellStyle name="Comma 12 6 2 3 3" xfId="17079" xr:uid="{FE89DD4C-0F26-46FB-B9D4-BD1B3770E92F}"/>
    <cellStyle name="Comma 12 6 2 3 3 2" xfId="47319" xr:uid="{980FEBBE-1F33-48D3-9FC1-32CC2E79C83C}"/>
    <cellStyle name="Comma 12 6 2 3 4" xfId="32199" xr:uid="{A1E4B9E1-FD75-406E-87A5-EA61021A6195}"/>
    <cellStyle name="Comma 12 6 2 4" xfId="3471" xr:uid="{4A8CD3A5-E011-4CDF-92A6-84375F7A1B30}"/>
    <cellStyle name="Comma 12 6 2 4 2" xfId="12543" xr:uid="{E464FAC5-F816-48FA-8FE5-B9A5235BC20D}"/>
    <cellStyle name="Comma 12 6 2 4 2 2" xfId="27663" xr:uid="{157B5F40-6107-4880-B3A8-75061AB63677}"/>
    <cellStyle name="Comma 12 6 2 4 2 2 2" xfId="57903" xr:uid="{C65872FC-66EF-4615-950B-6F653AEB4903}"/>
    <cellStyle name="Comma 12 6 2 4 2 3" xfId="42783" xr:uid="{FF19D9E0-7D25-46EA-AE6D-0E2051382924}"/>
    <cellStyle name="Comma 12 6 2 4 3" xfId="18591" xr:uid="{221267A9-DA09-4088-BB6F-C152FCC31B26}"/>
    <cellStyle name="Comma 12 6 2 4 3 2" xfId="48831" xr:uid="{D05F0E1B-A574-4145-A08F-C312F862C832}"/>
    <cellStyle name="Comma 12 6 2 4 4" xfId="33711" xr:uid="{2873E34C-56BB-429E-A379-47B6C14A51E4}"/>
    <cellStyle name="Comma 12 6 2 5" xfId="4983" xr:uid="{0C953825-3075-4442-B76E-B03FA7BF7213}"/>
    <cellStyle name="Comma 12 6 2 5 2" xfId="14055" xr:uid="{2C68D327-EA2F-4091-9F8E-43FB2C79E16B}"/>
    <cellStyle name="Comma 12 6 2 5 2 2" xfId="29175" xr:uid="{9F3C06BB-0148-49C9-B3D8-99A2481FE813}"/>
    <cellStyle name="Comma 12 6 2 5 2 2 2" xfId="59415" xr:uid="{2D406F08-0F32-47FB-AD0B-07BC148790B3}"/>
    <cellStyle name="Comma 12 6 2 5 2 3" xfId="44295" xr:uid="{60C62030-52F1-4E19-A9E1-18D7EC3EA4C6}"/>
    <cellStyle name="Comma 12 6 2 5 3" xfId="20103" xr:uid="{17BD5DCD-5036-4597-9985-96B275E84D29}"/>
    <cellStyle name="Comma 12 6 2 5 3 2" xfId="50343" xr:uid="{41BAB982-5FC8-4929-96D0-B01CB36D1888}"/>
    <cellStyle name="Comma 12 6 2 5 4" xfId="35223" xr:uid="{9B500C3F-BD4C-452C-9101-C0FFCA373B98}"/>
    <cellStyle name="Comma 12 6 2 6" xfId="6495" xr:uid="{3CC8A152-BA4F-44B9-A73D-D18CF31B6C50}"/>
    <cellStyle name="Comma 12 6 2 6 2" xfId="21615" xr:uid="{652E53BB-E928-4D5A-8287-8FA48C713E20}"/>
    <cellStyle name="Comma 12 6 2 6 2 2" xfId="51855" xr:uid="{4A26DA56-C35A-4A90-89CC-44C94AD6B199}"/>
    <cellStyle name="Comma 12 6 2 6 3" xfId="36735" xr:uid="{5AEB3376-4B64-4378-A1BB-7156C48BBCA3}"/>
    <cellStyle name="Comma 12 6 2 7" xfId="8007" xr:uid="{6D4942D6-5BB5-4985-9014-554DFCC2AB4F}"/>
    <cellStyle name="Comma 12 6 2 7 2" xfId="23127" xr:uid="{6AF4AE26-8055-4E1A-AA59-A8FFE4713D4C}"/>
    <cellStyle name="Comma 12 6 2 7 2 2" xfId="53367" xr:uid="{0A75A218-8E16-430F-9F9D-882B6805733D}"/>
    <cellStyle name="Comma 12 6 2 7 3" xfId="38247" xr:uid="{B0619B28-A794-434E-BCF8-6C1469FCAAF5}"/>
    <cellStyle name="Comma 12 6 2 8" xfId="9519" xr:uid="{AC88B00F-2E3F-4808-B9F4-A51FD7C0D0A2}"/>
    <cellStyle name="Comma 12 6 2 8 2" xfId="24639" xr:uid="{A420EF69-ABFF-43F9-8B4F-00DAA796CF1E}"/>
    <cellStyle name="Comma 12 6 2 8 2 2" xfId="54879" xr:uid="{C4F676A3-C1D5-47A4-A6C7-C2EE4D664B8E}"/>
    <cellStyle name="Comma 12 6 2 8 3" xfId="39759" xr:uid="{42DA440B-0DF9-4C0B-8A4B-DEB0F428E7D8}"/>
    <cellStyle name="Comma 12 6 2 9" xfId="15567" xr:uid="{3AD31692-E58B-4A62-AADA-177F6CA305CD}"/>
    <cellStyle name="Comma 12 6 2 9 2" xfId="45807" xr:uid="{A1DCF382-0498-44D9-AA00-E64F67E6521C}"/>
    <cellStyle name="Comma 12 6 3" xfId="699" xr:uid="{FDD50331-5057-4FEA-A8F5-13E723F532BA}"/>
    <cellStyle name="Comma 12 6 3 10" xfId="30939" xr:uid="{EBC8A07B-054E-4C1F-B006-119BEFD8943D}"/>
    <cellStyle name="Comma 12 6 3 2" xfId="1455" xr:uid="{AB70D016-1D15-4001-B6C4-BE11CF74F2D8}"/>
    <cellStyle name="Comma 12 6 3 2 2" xfId="2967" xr:uid="{421DE000-A1DB-41B3-8F01-2F1BCAA01F60}"/>
    <cellStyle name="Comma 12 6 3 2 2 2" xfId="12039" xr:uid="{3028B9FC-926E-449B-A691-2CDAA97A6D84}"/>
    <cellStyle name="Comma 12 6 3 2 2 2 2" xfId="27159" xr:uid="{8A0D961F-A218-4949-B079-31D098C34EA3}"/>
    <cellStyle name="Comma 12 6 3 2 2 2 2 2" xfId="57399" xr:uid="{83FE46D3-FB65-477E-A859-810ADF864EA9}"/>
    <cellStyle name="Comma 12 6 3 2 2 2 3" xfId="42279" xr:uid="{C60A778E-2CE6-43BE-96AD-DDCF8E4F68F5}"/>
    <cellStyle name="Comma 12 6 3 2 2 3" xfId="18087" xr:uid="{7BDA9BA6-11A0-4264-BBD6-36E07B46D75C}"/>
    <cellStyle name="Comma 12 6 3 2 2 3 2" xfId="48327" xr:uid="{740F8D73-9E1B-4491-897C-03E28CAADA51}"/>
    <cellStyle name="Comma 12 6 3 2 2 4" xfId="33207" xr:uid="{95B42A58-0BD3-4669-93A1-4DE27EF522A8}"/>
    <cellStyle name="Comma 12 6 3 2 3" xfId="4479" xr:uid="{FF5FEE84-3177-41B8-BCC2-5A43FDE7CD63}"/>
    <cellStyle name="Comma 12 6 3 2 3 2" xfId="13551" xr:uid="{D007736F-1DD4-4441-AACD-CF5DE981F9AE}"/>
    <cellStyle name="Comma 12 6 3 2 3 2 2" xfId="28671" xr:uid="{2D2B5B86-81D9-4A84-BA16-BAC315E7A1E8}"/>
    <cellStyle name="Comma 12 6 3 2 3 2 2 2" xfId="58911" xr:uid="{88FDECF4-F2AB-4FE1-A61A-D2378A938E92}"/>
    <cellStyle name="Comma 12 6 3 2 3 2 3" xfId="43791" xr:uid="{1416F441-59B9-4003-A091-7374128671A4}"/>
    <cellStyle name="Comma 12 6 3 2 3 3" xfId="19599" xr:uid="{59D299D6-A7EA-494B-8211-95827BCDEC3E}"/>
    <cellStyle name="Comma 12 6 3 2 3 3 2" xfId="49839" xr:uid="{737A0271-8978-42C2-AB26-7A0A63BCCF88}"/>
    <cellStyle name="Comma 12 6 3 2 3 4" xfId="34719" xr:uid="{32C4D622-D3F6-4148-BFB2-ACE31A9420B8}"/>
    <cellStyle name="Comma 12 6 3 2 4" xfId="5991" xr:uid="{1CE7F44A-7F77-4CF9-9C69-6D9BF1AF25B1}"/>
    <cellStyle name="Comma 12 6 3 2 4 2" xfId="15063" xr:uid="{82FA67DB-28FD-40AB-AA44-CDD60D6161D2}"/>
    <cellStyle name="Comma 12 6 3 2 4 2 2" xfId="30183" xr:uid="{3BB4E379-7D52-4ACA-9EB2-0FD2CCD504F8}"/>
    <cellStyle name="Comma 12 6 3 2 4 2 2 2" xfId="60423" xr:uid="{E9041133-9656-40C5-B81B-6E8FBEA93BE8}"/>
    <cellStyle name="Comma 12 6 3 2 4 2 3" xfId="45303" xr:uid="{B1BBA8C0-3981-4822-B397-5FA58EFC8261}"/>
    <cellStyle name="Comma 12 6 3 2 4 3" xfId="21111" xr:uid="{423E4044-700D-4BD8-9BE7-1973A82F9B3E}"/>
    <cellStyle name="Comma 12 6 3 2 4 3 2" xfId="51351" xr:uid="{949E0BCC-E0CA-438A-86E5-5152CAB13B6B}"/>
    <cellStyle name="Comma 12 6 3 2 4 4" xfId="36231" xr:uid="{FF7D9BF7-22B3-42E7-BE11-EF5C80AEFFF0}"/>
    <cellStyle name="Comma 12 6 3 2 5" xfId="7503" xr:uid="{14040A4F-2BBC-4EDB-B3AB-7938407AF0CB}"/>
    <cellStyle name="Comma 12 6 3 2 5 2" xfId="22623" xr:uid="{ABFD966E-8CCC-4317-9509-9591A29103CF}"/>
    <cellStyle name="Comma 12 6 3 2 5 2 2" xfId="52863" xr:uid="{C58E5F34-AA50-4131-8065-B14285D93636}"/>
    <cellStyle name="Comma 12 6 3 2 5 3" xfId="37743" xr:uid="{B8961803-3506-4B8F-96F2-DBEFE71EA183}"/>
    <cellStyle name="Comma 12 6 3 2 6" xfId="9015" xr:uid="{8AE6E1F0-4BEF-4A19-B1A5-6436967E9151}"/>
    <cellStyle name="Comma 12 6 3 2 6 2" xfId="24135" xr:uid="{6A7ED536-E063-45E0-8A17-365DC8C1731D}"/>
    <cellStyle name="Comma 12 6 3 2 6 2 2" xfId="54375" xr:uid="{03AE0948-B1DC-4EC5-8400-85FF816BB5CD}"/>
    <cellStyle name="Comma 12 6 3 2 6 3" xfId="39255" xr:uid="{CDF1AFF0-A4E3-4564-A1D2-04B8CE1A8295}"/>
    <cellStyle name="Comma 12 6 3 2 7" xfId="10527" xr:uid="{8589D061-4205-4AB7-91AE-3AC255C440E3}"/>
    <cellStyle name="Comma 12 6 3 2 7 2" xfId="25647" xr:uid="{AD4CC8F3-9F72-4998-98A5-71312B21573E}"/>
    <cellStyle name="Comma 12 6 3 2 7 2 2" xfId="55887" xr:uid="{0259BF64-C052-4B47-B81E-FAF395703396}"/>
    <cellStyle name="Comma 12 6 3 2 7 3" xfId="40767" xr:uid="{1CCABF79-046C-43E3-87CE-60A0812C3AC7}"/>
    <cellStyle name="Comma 12 6 3 2 8" xfId="16575" xr:uid="{FEA37F15-57B8-46AE-B192-DC9E589BA7F4}"/>
    <cellStyle name="Comma 12 6 3 2 8 2" xfId="46815" xr:uid="{7EE9280C-C768-48FD-BDF1-EFA88F45005A}"/>
    <cellStyle name="Comma 12 6 3 2 9" xfId="31695" xr:uid="{1DE71080-F0CF-483D-A395-42D25726C20F}"/>
    <cellStyle name="Comma 12 6 3 3" xfId="2211" xr:uid="{63838EA1-72D0-4CE8-ADEC-B25462D943E8}"/>
    <cellStyle name="Comma 12 6 3 3 2" xfId="11283" xr:uid="{B4F70E3F-8A9A-4DA5-A4A6-DB241FDA479A}"/>
    <cellStyle name="Comma 12 6 3 3 2 2" xfId="26403" xr:uid="{A76E67B2-3E5B-41A3-81B9-18D8FAFCF049}"/>
    <cellStyle name="Comma 12 6 3 3 2 2 2" xfId="56643" xr:uid="{9FD9C1B6-1F1D-4E18-A77B-AC7D0604F309}"/>
    <cellStyle name="Comma 12 6 3 3 2 3" xfId="41523" xr:uid="{8B1FC060-D40E-4588-A627-2F0A1D8E712A}"/>
    <cellStyle name="Comma 12 6 3 3 3" xfId="17331" xr:uid="{02A6E617-8574-407D-9E0C-3A9A599DFB5A}"/>
    <cellStyle name="Comma 12 6 3 3 3 2" xfId="47571" xr:uid="{F2731112-B636-4F08-861B-4939CCAFCBA5}"/>
    <cellStyle name="Comma 12 6 3 3 4" xfId="32451" xr:uid="{83DB8D94-9E89-4636-B5ED-631E9C4D58B6}"/>
    <cellStyle name="Comma 12 6 3 4" xfId="3723" xr:uid="{AEF7B632-9FDC-4ED0-B419-4C0617C581BA}"/>
    <cellStyle name="Comma 12 6 3 4 2" xfId="12795" xr:uid="{2A8D45FB-4F71-4351-B03E-F7815DE35113}"/>
    <cellStyle name="Comma 12 6 3 4 2 2" xfId="27915" xr:uid="{B0F0A714-EF98-43DB-AF11-361B11BF84FB}"/>
    <cellStyle name="Comma 12 6 3 4 2 2 2" xfId="58155" xr:uid="{7518E40D-678A-485D-8D9D-0AB108BA685A}"/>
    <cellStyle name="Comma 12 6 3 4 2 3" xfId="43035" xr:uid="{0744282C-5C68-463D-82BC-BB2E7F1659B7}"/>
    <cellStyle name="Comma 12 6 3 4 3" xfId="18843" xr:uid="{77B68257-FAEF-4809-BD48-40F1B98E7583}"/>
    <cellStyle name="Comma 12 6 3 4 3 2" xfId="49083" xr:uid="{BC13D20C-1356-4A85-97E7-8CB458A0384D}"/>
    <cellStyle name="Comma 12 6 3 4 4" xfId="33963" xr:uid="{309BA945-E91C-4FF4-9EAE-C5DE3D04D78C}"/>
    <cellStyle name="Comma 12 6 3 5" xfId="5235" xr:uid="{37918C60-F483-4280-937F-08FEC6D80A3A}"/>
    <cellStyle name="Comma 12 6 3 5 2" xfId="14307" xr:uid="{3CC13C2A-E06F-4D01-8E32-7E3FA380245C}"/>
    <cellStyle name="Comma 12 6 3 5 2 2" xfId="29427" xr:uid="{770FB221-498B-4433-874B-F84C37218E69}"/>
    <cellStyle name="Comma 12 6 3 5 2 2 2" xfId="59667" xr:uid="{D6926803-40AA-4AC1-8EAD-D90750DF9DE6}"/>
    <cellStyle name="Comma 12 6 3 5 2 3" xfId="44547" xr:uid="{C7B68F4B-0D00-4B00-A757-EB4B79F2B158}"/>
    <cellStyle name="Comma 12 6 3 5 3" xfId="20355" xr:uid="{FAA70101-722C-4087-9ACF-FA2ADDCBA503}"/>
    <cellStyle name="Comma 12 6 3 5 3 2" xfId="50595" xr:uid="{25D40E51-19B8-41D1-82AF-C564404404CC}"/>
    <cellStyle name="Comma 12 6 3 5 4" xfId="35475" xr:uid="{43942A12-1B9E-4E7A-ACA1-C5D8E238F79D}"/>
    <cellStyle name="Comma 12 6 3 6" xfId="6747" xr:uid="{289C8BC3-8310-449D-BF83-8C258AD24E91}"/>
    <cellStyle name="Comma 12 6 3 6 2" xfId="21867" xr:uid="{05215283-4CCA-436C-924D-B1F92C5E2A09}"/>
    <cellStyle name="Comma 12 6 3 6 2 2" xfId="52107" xr:uid="{EFC54451-0125-42E8-A670-8CE6ACE2B5A8}"/>
    <cellStyle name="Comma 12 6 3 6 3" xfId="36987" xr:uid="{F072EB80-5793-4BE3-91D7-B1EFF767561F}"/>
    <cellStyle name="Comma 12 6 3 7" xfId="8259" xr:uid="{75432257-0AAA-4559-BBC6-9016881B1413}"/>
    <cellStyle name="Comma 12 6 3 7 2" xfId="23379" xr:uid="{7B15802E-2057-4D0B-A477-0F22E71E36BE}"/>
    <cellStyle name="Comma 12 6 3 7 2 2" xfId="53619" xr:uid="{1BECDB4B-EE4F-4E35-8F93-DD2EE10DCEB8}"/>
    <cellStyle name="Comma 12 6 3 7 3" xfId="38499" xr:uid="{7DF08F9E-D115-43F8-9887-C268B9AC3B42}"/>
    <cellStyle name="Comma 12 6 3 8" xfId="9771" xr:uid="{EC6277F0-031A-4E5C-B6F1-7B6A3148DA19}"/>
    <cellStyle name="Comma 12 6 3 8 2" xfId="24891" xr:uid="{0E2698A8-2058-4BB4-8A2C-254A32752F43}"/>
    <cellStyle name="Comma 12 6 3 8 2 2" xfId="55131" xr:uid="{C11CDD4D-4E6F-4598-914E-2CB7ACA54BCD}"/>
    <cellStyle name="Comma 12 6 3 8 3" xfId="40011" xr:uid="{9A701EFE-E9C1-4920-B0FB-17C8367E302D}"/>
    <cellStyle name="Comma 12 6 3 9" xfId="15819" xr:uid="{3B540C93-A68B-440A-B40A-DF5886753461}"/>
    <cellStyle name="Comma 12 6 3 9 2" xfId="46059" xr:uid="{8F309080-AD89-4351-B74D-F0E5167B22C8}"/>
    <cellStyle name="Comma 12 6 4" xfId="951" xr:uid="{69767681-88B5-4E32-858D-86BF4CEE13DF}"/>
    <cellStyle name="Comma 12 6 4 2" xfId="2463" xr:uid="{33BD9337-24BB-457D-967F-3BBCF5B896F9}"/>
    <cellStyle name="Comma 12 6 4 2 2" xfId="11535" xr:uid="{47CA344B-4C0E-47AB-81F6-0693F78286BE}"/>
    <cellStyle name="Comma 12 6 4 2 2 2" xfId="26655" xr:uid="{CBB9CE57-5BD1-46CD-B0DD-4489050D5F46}"/>
    <cellStyle name="Comma 12 6 4 2 2 2 2" xfId="56895" xr:uid="{E5F26272-A8A0-4712-9218-B662EDEED757}"/>
    <cellStyle name="Comma 12 6 4 2 2 3" xfId="41775" xr:uid="{A84D04A1-63C3-4378-BD45-BCF5FF430921}"/>
    <cellStyle name="Comma 12 6 4 2 3" xfId="17583" xr:uid="{EE3FEB08-AFA1-4AE2-BE04-6D0984CF8F9A}"/>
    <cellStyle name="Comma 12 6 4 2 3 2" xfId="47823" xr:uid="{26128676-F00C-49AA-9A32-61C57834258B}"/>
    <cellStyle name="Comma 12 6 4 2 4" xfId="32703" xr:uid="{6F62FBC7-333A-43D0-840C-6C2A78A41B5D}"/>
    <cellStyle name="Comma 12 6 4 3" xfId="3975" xr:uid="{6AC752FA-A6BA-453B-8E3F-00520C2DF16F}"/>
    <cellStyle name="Comma 12 6 4 3 2" xfId="13047" xr:uid="{35565ECC-03FD-4CE3-A519-4F5E9F702D41}"/>
    <cellStyle name="Comma 12 6 4 3 2 2" xfId="28167" xr:uid="{DD5F6D24-2531-4FF3-8DF6-6DC2D8E4CBC7}"/>
    <cellStyle name="Comma 12 6 4 3 2 2 2" xfId="58407" xr:uid="{35596B25-D2A6-4810-8CE1-B088D036EBAA}"/>
    <cellStyle name="Comma 12 6 4 3 2 3" xfId="43287" xr:uid="{3009BBB9-135C-47C9-AD17-3E08171E648A}"/>
    <cellStyle name="Comma 12 6 4 3 3" xfId="19095" xr:uid="{9F05B27D-8C90-4D82-9DB7-E3CBBBD82B59}"/>
    <cellStyle name="Comma 12 6 4 3 3 2" xfId="49335" xr:uid="{DEE5EACF-6086-4329-A3FD-C17B9FE2144E}"/>
    <cellStyle name="Comma 12 6 4 3 4" xfId="34215" xr:uid="{AE8D6FBE-53D8-450E-802D-B666236C7733}"/>
    <cellStyle name="Comma 12 6 4 4" xfId="5487" xr:uid="{9F31F00C-D227-4B1F-B540-88F94CAF0850}"/>
    <cellStyle name="Comma 12 6 4 4 2" xfId="14559" xr:uid="{9E062631-7B81-4A01-8247-6DC90B74C7E4}"/>
    <cellStyle name="Comma 12 6 4 4 2 2" xfId="29679" xr:uid="{497186EE-8BBA-4D57-AC3C-A331FFAC43AD}"/>
    <cellStyle name="Comma 12 6 4 4 2 2 2" xfId="59919" xr:uid="{53319576-4C63-4A4E-B458-B12389EDA8DE}"/>
    <cellStyle name="Comma 12 6 4 4 2 3" xfId="44799" xr:uid="{92A392A8-498A-46E4-ACD4-89A86006C1E9}"/>
    <cellStyle name="Comma 12 6 4 4 3" xfId="20607" xr:uid="{5E6A3E00-04E4-4532-A840-8D3ACA59BA40}"/>
    <cellStyle name="Comma 12 6 4 4 3 2" xfId="50847" xr:uid="{969D7A01-14E3-46A4-9794-3884838FA9D6}"/>
    <cellStyle name="Comma 12 6 4 4 4" xfId="35727" xr:uid="{F3EA2BAE-32A7-4011-932B-E2F7717A279B}"/>
    <cellStyle name="Comma 12 6 4 5" xfId="6999" xr:uid="{48E87F06-DAF0-486B-B013-8F267C9AC1EB}"/>
    <cellStyle name="Comma 12 6 4 5 2" xfId="22119" xr:uid="{C1BF746F-F5B9-442E-871C-E2E7C8786F2D}"/>
    <cellStyle name="Comma 12 6 4 5 2 2" xfId="52359" xr:uid="{B21B3159-4475-4D0C-B4B6-2CC6DADD5BB4}"/>
    <cellStyle name="Comma 12 6 4 5 3" xfId="37239" xr:uid="{D5EF62DD-613C-4FD9-8EF0-9FDE21B8626F}"/>
    <cellStyle name="Comma 12 6 4 6" xfId="8511" xr:uid="{20929A3E-8167-46D7-83EF-2B6C5C9C9481}"/>
    <cellStyle name="Comma 12 6 4 6 2" xfId="23631" xr:uid="{832B2674-FC98-4B05-8D4F-8FB43E82DE6A}"/>
    <cellStyle name="Comma 12 6 4 6 2 2" xfId="53871" xr:uid="{D4F546CD-CEF7-44E9-AC85-6C3E4724DD41}"/>
    <cellStyle name="Comma 12 6 4 6 3" xfId="38751" xr:uid="{04B64920-9CFB-485D-86D2-FDB841B2A1FC}"/>
    <cellStyle name="Comma 12 6 4 7" xfId="10023" xr:uid="{2CBFE01D-6172-4090-8CD7-FC1B5E44693D}"/>
    <cellStyle name="Comma 12 6 4 7 2" xfId="25143" xr:uid="{1F08B052-B099-422E-ACC4-EEB06868BC52}"/>
    <cellStyle name="Comma 12 6 4 7 2 2" xfId="55383" xr:uid="{6A54F88B-BA23-4BD6-BA74-05C88063E121}"/>
    <cellStyle name="Comma 12 6 4 7 3" xfId="40263" xr:uid="{5C14E435-21D7-43C3-A205-706390171C42}"/>
    <cellStyle name="Comma 12 6 4 8" xfId="16071" xr:uid="{A62C9317-A5B9-4CCD-993B-02996CA603C4}"/>
    <cellStyle name="Comma 12 6 4 8 2" xfId="46311" xr:uid="{B47017F9-E1D1-446D-9EB4-3C258D8E2F82}"/>
    <cellStyle name="Comma 12 6 4 9" xfId="31191" xr:uid="{A700D48B-3AED-4A8C-A509-4CACBD2DEB48}"/>
    <cellStyle name="Comma 12 6 5" xfId="1707" xr:uid="{797472C1-69F4-422A-8BE2-AA0197C85F2B}"/>
    <cellStyle name="Comma 12 6 5 2" xfId="10779" xr:uid="{E5830115-46E5-4590-B154-9C5A4265749F}"/>
    <cellStyle name="Comma 12 6 5 2 2" xfId="25899" xr:uid="{6DCC06AB-B7AC-4CEF-A32B-4516E4E09FA1}"/>
    <cellStyle name="Comma 12 6 5 2 2 2" xfId="56139" xr:uid="{5C9AF2A7-D2ED-4AB8-B7F2-A1A30C098456}"/>
    <cellStyle name="Comma 12 6 5 2 3" xfId="41019" xr:uid="{9B98D3BE-516F-4465-A45E-3156E1BC2DD6}"/>
    <cellStyle name="Comma 12 6 5 3" xfId="16827" xr:uid="{E701FB62-4E0F-44D5-9A15-A56F5F9464D1}"/>
    <cellStyle name="Comma 12 6 5 3 2" xfId="47067" xr:uid="{B63D0D49-69F4-4978-88BF-AB26DE32F8FC}"/>
    <cellStyle name="Comma 12 6 5 4" xfId="31947" xr:uid="{C712A7F1-5EF2-4719-8690-09A91D0BC79F}"/>
    <cellStyle name="Comma 12 6 6" xfId="3219" xr:uid="{DA6E2F27-D797-4B4C-ADF6-369762C3F0DF}"/>
    <cellStyle name="Comma 12 6 6 2" xfId="12291" xr:uid="{291582EA-8163-4063-94B2-C80AF545B81C}"/>
    <cellStyle name="Comma 12 6 6 2 2" xfId="27411" xr:uid="{23D7C65B-DD56-4659-9B7F-5E377DAA5DE9}"/>
    <cellStyle name="Comma 12 6 6 2 2 2" xfId="57651" xr:uid="{D79ED846-961D-4E5B-8D2B-D34A0BC7BFF1}"/>
    <cellStyle name="Comma 12 6 6 2 3" xfId="42531" xr:uid="{46941972-1A41-4C08-AEA7-AB55B0F7A21B}"/>
    <cellStyle name="Comma 12 6 6 3" xfId="18339" xr:uid="{174F2F65-751B-4A0B-8348-709EE6DA5173}"/>
    <cellStyle name="Comma 12 6 6 3 2" xfId="48579" xr:uid="{2D80AD31-9758-4E38-B93C-A91D36D0A01D}"/>
    <cellStyle name="Comma 12 6 6 4" xfId="33459" xr:uid="{0D418F6D-9ABF-43BD-A7B0-675F189B22FD}"/>
    <cellStyle name="Comma 12 6 7" xfId="4731" xr:uid="{A77E69DE-49F6-4E2B-9682-517FEF957B69}"/>
    <cellStyle name="Comma 12 6 7 2" xfId="13803" xr:uid="{216DE9B4-9130-407E-81AB-36A52A58DC06}"/>
    <cellStyle name="Comma 12 6 7 2 2" xfId="28923" xr:uid="{F3499E5C-56D1-4196-83E0-CE6AEFCE1468}"/>
    <cellStyle name="Comma 12 6 7 2 2 2" xfId="59163" xr:uid="{E2473A2B-BBC1-4AF6-A83F-667A42D40D95}"/>
    <cellStyle name="Comma 12 6 7 2 3" xfId="44043" xr:uid="{1D94517D-1719-414F-8896-41ADBDC0B2F6}"/>
    <cellStyle name="Comma 12 6 7 3" xfId="19851" xr:uid="{91DF5215-6DAB-4112-AEF1-89585A3B2D7B}"/>
    <cellStyle name="Comma 12 6 7 3 2" xfId="50091" xr:uid="{77E327AA-EB5C-48A6-AC3A-F4AA64702A8B}"/>
    <cellStyle name="Comma 12 6 7 4" xfId="34971" xr:uid="{74FF09C5-94FC-4E06-B8BF-76350C4456DF}"/>
    <cellStyle name="Comma 12 6 8" xfId="6243" xr:uid="{134E1EFE-DEBC-47A3-82DD-00ABBDDC9A65}"/>
    <cellStyle name="Comma 12 6 8 2" xfId="21363" xr:uid="{5BABD5FF-8702-465D-94E0-3378B0D6F840}"/>
    <cellStyle name="Comma 12 6 8 2 2" xfId="51603" xr:uid="{494F9865-FA3E-425A-8139-348EEEACABC5}"/>
    <cellStyle name="Comma 12 6 8 3" xfId="36483" xr:uid="{C65928A0-B231-4161-BB10-196B1070B0A9}"/>
    <cellStyle name="Comma 12 6 9" xfId="7755" xr:uid="{5CAE47ED-7FCD-445D-9A45-64EE74CE7BA5}"/>
    <cellStyle name="Comma 12 6 9 2" xfId="22875" xr:uid="{3404C374-927F-4EB6-B4B6-EF8AD6EB5806}"/>
    <cellStyle name="Comma 12 6 9 2 2" xfId="53115" xr:uid="{130AC2ED-C434-434D-A74A-2BAE7DD6034F}"/>
    <cellStyle name="Comma 12 6 9 3" xfId="37995" xr:uid="{51DB5EE2-A8E5-435D-A3ED-2746E5E9092F}"/>
    <cellStyle name="Comma 12 7" xfId="279" xr:uid="{480F6EAD-BC5A-4402-A3A9-28232AF27CB3}"/>
    <cellStyle name="Comma 12 7 10" xfId="30519" xr:uid="{5F2F87ED-A624-4A3F-97F0-124F09662398}"/>
    <cellStyle name="Comma 12 7 2" xfId="1035" xr:uid="{6544E868-500A-4491-813D-823503425021}"/>
    <cellStyle name="Comma 12 7 2 2" xfId="2547" xr:uid="{632C15AC-30C2-45C7-88A5-D36FFFC10DBF}"/>
    <cellStyle name="Comma 12 7 2 2 2" xfId="11619" xr:uid="{03AF5F62-5B51-49A4-AF1C-BD696F9B69F4}"/>
    <cellStyle name="Comma 12 7 2 2 2 2" xfId="26739" xr:uid="{901BB407-2A49-42B6-8EB0-572B555B2987}"/>
    <cellStyle name="Comma 12 7 2 2 2 2 2" xfId="56979" xr:uid="{5CE630C5-B8C9-4B32-9D94-6A1E6B879ACB}"/>
    <cellStyle name="Comma 12 7 2 2 2 3" xfId="41859" xr:uid="{C235760C-0C9C-4B42-B129-6996DEFD3B11}"/>
    <cellStyle name="Comma 12 7 2 2 3" xfId="17667" xr:uid="{842315C5-777B-4F17-A231-191EA1A96E52}"/>
    <cellStyle name="Comma 12 7 2 2 3 2" xfId="47907" xr:uid="{73C00689-EDE2-4B7B-8811-ABE050EF7F56}"/>
    <cellStyle name="Comma 12 7 2 2 4" xfId="32787" xr:uid="{D7907E84-022F-46F6-9008-CED8E3227240}"/>
    <cellStyle name="Comma 12 7 2 3" xfId="4059" xr:uid="{083ACF63-2B28-4B4E-97D5-ADCFB488D619}"/>
    <cellStyle name="Comma 12 7 2 3 2" xfId="13131" xr:uid="{321949B1-247C-4DB0-ABCF-844045B7D9D3}"/>
    <cellStyle name="Comma 12 7 2 3 2 2" xfId="28251" xr:uid="{2FCA812E-2772-43D6-808E-345B269EA921}"/>
    <cellStyle name="Comma 12 7 2 3 2 2 2" xfId="58491" xr:uid="{32782674-E09E-4F70-969F-EF45242829B1}"/>
    <cellStyle name="Comma 12 7 2 3 2 3" xfId="43371" xr:uid="{F4EDDFA0-E479-486D-9448-DC9AC2B6187A}"/>
    <cellStyle name="Comma 12 7 2 3 3" xfId="19179" xr:uid="{F0250190-AEBD-459C-82A2-F3C719AA9F2A}"/>
    <cellStyle name="Comma 12 7 2 3 3 2" xfId="49419" xr:uid="{9A2FBD1D-A05A-4069-BCB5-7B7C08BA2474}"/>
    <cellStyle name="Comma 12 7 2 3 4" xfId="34299" xr:uid="{0BEE8A22-D303-488A-833E-379904DF23C2}"/>
    <cellStyle name="Comma 12 7 2 4" xfId="5571" xr:uid="{3146D420-3728-4456-ACCD-4916FEE2FDBD}"/>
    <cellStyle name="Comma 12 7 2 4 2" xfId="14643" xr:uid="{5C857430-F114-4914-BC9D-8A36EF5DF05D}"/>
    <cellStyle name="Comma 12 7 2 4 2 2" xfId="29763" xr:uid="{642A4869-40E9-4AD1-82A7-DDF48ED2B82D}"/>
    <cellStyle name="Comma 12 7 2 4 2 2 2" xfId="60003" xr:uid="{5A885853-9948-4000-8B53-AB6D44966588}"/>
    <cellStyle name="Comma 12 7 2 4 2 3" xfId="44883" xr:uid="{7258AA45-3361-4A15-8CAC-46EE7B72FC05}"/>
    <cellStyle name="Comma 12 7 2 4 3" xfId="20691" xr:uid="{EA865525-A6AB-4AE0-BFD4-568A2C95F35A}"/>
    <cellStyle name="Comma 12 7 2 4 3 2" xfId="50931" xr:uid="{8E7B5363-F5C3-457F-9AE1-F98D6A8D6AB6}"/>
    <cellStyle name="Comma 12 7 2 4 4" xfId="35811" xr:uid="{8F3944E2-21FD-427F-801D-379C276166A8}"/>
    <cellStyle name="Comma 12 7 2 5" xfId="7083" xr:uid="{E71B7243-68B0-45F5-B3A1-4389BC15E53B}"/>
    <cellStyle name="Comma 12 7 2 5 2" xfId="22203" xr:uid="{B6C03327-E57F-42E3-8D5C-99F68A3A1590}"/>
    <cellStyle name="Comma 12 7 2 5 2 2" xfId="52443" xr:uid="{C18A9662-DBB8-4E2E-8E9C-24C1161DCF5B}"/>
    <cellStyle name="Comma 12 7 2 5 3" xfId="37323" xr:uid="{034C73B9-B1A4-47E8-8B79-9EC12AB41709}"/>
    <cellStyle name="Comma 12 7 2 6" xfId="8595" xr:uid="{7F409139-E67E-422F-9178-1A6B9D487DA3}"/>
    <cellStyle name="Comma 12 7 2 6 2" xfId="23715" xr:uid="{D5E9452E-22FE-4099-A9B4-0E415DBAB412}"/>
    <cellStyle name="Comma 12 7 2 6 2 2" xfId="53955" xr:uid="{1F01DA93-38FC-4296-85F6-B8935128E1C0}"/>
    <cellStyle name="Comma 12 7 2 6 3" xfId="38835" xr:uid="{927E4269-DE7B-4CBF-B22A-D268C308E099}"/>
    <cellStyle name="Comma 12 7 2 7" xfId="10107" xr:uid="{78E205C3-5135-4A8E-83B5-BA99F7C71C6E}"/>
    <cellStyle name="Comma 12 7 2 7 2" xfId="25227" xr:uid="{4C495056-4814-48F3-B1E0-4097E6A5F4FA}"/>
    <cellStyle name="Comma 12 7 2 7 2 2" xfId="55467" xr:uid="{C74EC0FB-1B09-4946-88C7-EB39F6751CD1}"/>
    <cellStyle name="Comma 12 7 2 7 3" xfId="40347" xr:uid="{3701FB28-0DFB-4B4B-BACF-F6199B94F14C}"/>
    <cellStyle name="Comma 12 7 2 8" xfId="16155" xr:uid="{A8F20E22-5A5B-4912-AED2-D4ACE797AF8A}"/>
    <cellStyle name="Comma 12 7 2 8 2" xfId="46395" xr:uid="{C53717D9-101C-43B1-A901-F609FF247ABA}"/>
    <cellStyle name="Comma 12 7 2 9" xfId="31275" xr:uid="{B0898384-17FB-4F9E-BEC7-E7CCD62216FD}"/>
    <cellStyle name="Comma 12 7 3" xfId="1791" xr:uid="{6EA4F129-7D8A-4C7A-BC3D-FE18AD960728}"/>
    <cellStyle name="Comma 12 7 3 2" xfId="10863" xr:uid="{2A36DBC0-FCD7-4ECF-B3F0-A429787A645A}"/>
    <cellStyle name="Comma 12 7 3 2 2" xfId="25983" xr:uid="{A8154210-07ED-44F3-9CFC-E2A5493D2353}"/>
    <cellStyle name="Comma 12 7 3 2 2 2" xfId="56223" xr:uid="{A9D858D3-A8CD-4E24-A33F-F81073DD601C}"/>
    <cellStyle name="Comma 12 7 3 2 3" xfId="41103" xr:uid="{2D984961-00E4-4F6C-8785-B0EA16B9A1CB}"/>
    <cellStyle name="Comma 12 7 3 3" xfId="16911" xr:uid="{91DCCA08-E0A1-487A-A03F-8CFE2B77664D}"/>
    <cellStyle name="Comma 12 7 3 3 2" xfId="47151" xr:uid="{BAC88AEB-679C-4D4D-91CB-392400E71E9B}"/>
    <cellStyle name="Comma 12 7 3 4" xfId="32031" xr:uid="{CD35153A-A5D2-48E0-87B1-65410973A2C8}"/>
    <cellStyle name="Comma 12 7 4" xfId="3303" xr:uid="{E7A79C9E-A7DD-4C19-B22B-2F7E9C8BBB63}"/>
    <cellStyle name="Comma 12 7 4 2" xfId="12375" xr:uid="{3F93A8AF-E176-4B12-85B3-0EBA7E066712}"/>
    <cellStyle name="Comma 12 7 4 2 2" xfId="27495" xr:uid="{719AEC9E-EA03-478A-BE69-24B5A99A6754}"/>
    <cellStyle name="Comma 12 7 4 2 2 2" xfId="57735" xr:uid="{8820DB30-7104-4A68-8E0D-2C00E5CE90E2}"/>
    <cellStyle name="Comma 12 7 4 2 3" xfId="42615" xr:uid="{8D1D9119-98C8-4775-A50A-DBB6FE4A346C}"/>
    <cellStyle name="Comma 12 7 4 3" xfId="18423" xr:uid="{6AF5BE70-2FEA-46FE-A578-08D1FD22368F}"/>
    <cellStyle name="Comma 12 7 4 3 2" xfId="48663" xr:uid="{FC721425-1445-47A3-B659-FFAB0FC0CB37}"/>
    <cellStyle name="Comma 12 7 4 4" xfId="33543" xr:uid="{9AFFB652-A6AF-4351-9C17-3C9CAB1D5E39}"/>
    <cellStyle name="Comma 12 7 5" xfId="4815" xr:uid="{C8C6F562-2AB4-4C41-950F-55247635626D}"/>
    <cellStyle name="Comma 12 7 5 2" xfId="13887" xr:uid="{B5FE257B-B40F-4E8D-85E2-C4E5EA84CE87}"/>
    <cellStyle name="Comma 12 7 5 2 2" xfId="29007" xr:uid="{1A56A515-A7C2-4E54-B3A7-6E3192A2F475}"/>
    <cellStyle name="Comma 12 7 5 2 2 2" xfId="59247" xr:uid="{DDAFBECB-8A2B-4D4B-972D-455D4A01C125}"/>
    <cellStyle name="Comma 12 7 5 2 3" xfId="44127" xr:uid="{B2C58BB7-E3D4-42EA-A108-3ED625663AA7}"/>
    <cellStyle name="Comma 12 7 5 3" xfId="19935" xr:uid="{2C367167-22A1-4779-959C-3B4C59ECFA2E}"/>
    <cellStyle name="Comma 12 7 5 3 2" xfId="50175" xr:uid="{5FFEEA35-A324-4E0F-907A-DD9CCC4A40BA}"/>
    <cellStyle name="Comma 12 7 5 4" xfId="35055" xr:uid="{99665CB5-0B74-47FA-A0C3-91B0C753A6A3}"/>
    <cellStyle name="Comma 12 7 6" xfId="6327" xr:uid="{0B876C7B-B659-4211-B802-83FB8160F1F7}"/>
    <cellStyle name="Comma 12 7 6 2" xfId="21447" xr:uid="{CCD827CD-4F98-494B-914C-3ED6E040695E}"/>
    <cellStyle name="Comma 12 7 6 2 2" xfId="51687" xr:uid="{650BDA41-6DC4-4FCE-AA8B-FE7A4486D289}"/>
    <cellStyle name="Comma 12 7 6 3" xfId="36567" xr:uid="{D08907FA-C55B-4A6E-B9E0-6719F419CCA5}"/>
    <cellStyle name="Comma 12 7 7" xfId="7839" xr:uid="{42E48B27-36C6-409E-BF6C-757C3424428B}"/>
    <cellStyle name="Comma 12 7 7 2" xfId="22959" xr:uid="{612647D8-F32D-4F7A-A8B0-E8AA3180851E}"/>
    <cellStyle name="Comma 12 7 7 2 2" xfId="53199" xr:uid="{4339A178-8207-44A1-BC05-86D6239C002D}"/>
    <cellStyle name="Comma 12 7 7 3" xfId="38079" xr:uid="{2F08278B-38D3-4CB7-871A-C6A5995690B4}"/>
    <cellStyle name="Comma 12 7 8" xfId="9351" xr:uid="{13997E17-EB50-450A-A31C-E412B2FF1475}"/>
    <cellStyle name="Comma 12 7 8 2" xfId="24471" xr:uid="{23177C26-ABE8-4356-9971-D66B3E96076D}"/>
    <cellStyle name="Comma 12 7 8 2 2" xfId="54711" xr:uid="{7A88197C-D46F-42F6-9B11-9EDF2C5163E1}"/>
    <cellStyle name="Comma 12 7 8 3" xfId="39591" xr:uid="{9349F95F-6398-4EEE-B153-886CF1A595C6}"/>
    <cellStyle name="Comma 12 7 9" xfId="15399" xr:uid="{0611F715-668B-41BE-9A54-B05277484932}"/>
    <cellStyle name="Comma 12 7 9 2" xfId="45639" xr:uid="{87B48353-E43B-469D-BB94-3C604CA297A7}"/>
    <cellStyle name="Comma 12 8" xfId="531" xr:uid="{F7FAB4BE-9B18-4B3E-BCD6-625C8424D031}"/>
    <cellStyle name="Comma 12 8 10" xfId="30771" xr:uid="{D6CD4ED9-199D-4201-87C6-17168F24E5E3}"/>
    <cellStyle name="Comma 12 8 2" xfId="1287" xr:uid="{8D30F094-091C-4AFB-AF18-B74E80EE2B20}"/>
    <cellStyle name="Comma 12 8 2 2" xfId="2799" xr:uid="{6E96E095-73A7-4D0C-BBE6-C5FD33F4B031}"/>
    <cellStyle name="Comma 12 8 2 2 2" xfId="11871" xr:uid="{34B2DE3C-E687-4AB3-92E0-3038A38F4FC9}"/>
    <cellStyle name="Comma 12 8 2 2 2 2" xfId="26991" xr:uid="{392B5BDA-27A6-40F6-91D5-8A89478282D3}"/>
    <cellStyle name="Comma 12 8 2 2 2 2 2" xfId="57231" xr:uid="{02D59123-3EA2-4E51-B1C3-2C4EEC2AD1FD}"/>
    <cellStyle name="Comma 12 8 2 2 2 3" xfId="42111" xr:uid="{7838155B-A001-4B13-98CA-E76677C50D1C}"/>
    <cellStyle name="Comma 12 8 2 2 3" xfId="17919" xr:uid="{D90469BA-4EA4-4DDF-8E36-D8C26C9EB372}"/>
    <cellStyle name="Comma 12 8 2 2 3 2" xfId="48159" xr:uid="{C71F394C-0669-4A60-8EC0-59BE971F6C4A}"/>
    <cellStyle name="Comma 12 8 2 2 4" xfId="33039" xr:uid="{0BD0B25D-9B6C-45F9-AA13-03E4A485F42F}"/>
    <cellStyle name="Comma 12 8 2 3" xfId="4311" xr:uid="{80620320-058B-4A75-A05D-41D1458159D2}"/>
    <cellStyle name="Comma 12 8 2 3 2" xfId="13383" xr:uid="{475E8740-45CA-4A7B-8185-E6538155405D}"/>
    <cellStyle name="Comma 12 8 2 3 2 2" xfId="28503" xr:uid="{AF743BED-6EDE-423B-B3CA-222B09028FFD}"/>
    <cellStyle name="Comma 12 8 2 3 2 2 2" xfId="58743" xr:uid="{D5FF8E99-B66A-4B59-97E4-D481C7CF7CB4}"/>
    <cellStyle name="Comma 12 8 2 3 2 3" xfId="43623" xr:uid="{8E59C5DA-5C2C-4596-8E55-131C0230193D}"/>
    <cellStyle name="Comma 12 8 2 3 3" xfId="19431" xr:uid="{4EC2459B-0067-426D-97AB-C28DF7C191F8}"/>
    <cellStyle name="Comma 12 8 2 3 3 2" xfId="49671" xr:uid="{9BAB8CFD-8EFE-470C-A8DE-8A7AB93B4F16}"/>
    <cellStyle name="Comma 12 8 2 3 4" xfId="34551" xr:uid="{04FEC16E-4EE3-4760-A6FE-F6CB6B1036D2}"/>
    <cellStyle name="Comma 12 8 2 4" xfId="5823" xr:uid="{8DD40645-B024-496D-8EED-4940E7BE555E}"/>
    <cellStyle name="Comma 12 8 2 4 2" xfId="14895" xr:uid="{1B0EE4F2-5C4C-4A3E-8AD8-2A98BEF8384F}"/>
    <cellStyle name="Comma 12 8 2 4 2 2" xfId="30015" xr:uid="{957191EC-56E3-40F8-B52C-37E20CDC7695}"/>
    <cellStyle name="Comma 12 8 2 4 2 2 2" xfId="60255" xr:uid="{0F87B896-5599-40CC-804B-D415B30CAC6B}"/>
    <cellStyle name="Comma 12 8 2 4 2 3" xfId="45135" xr:uid="{AE213405-7B81-499E-9105-B866131E41F8}"/>
    <cellStyle name="Comma 12 8 2 4 3" xfId="20943" xr:uid="{3309BF57-9F22-4333-8207-615ED7D54B14}"/>
    <cellStyle name="Comma 12 8 2 4 3 2" xfId="51183" xr:uid="{4DCD9DEC-1D8E-4270-8306-A23B1A5F12C2}"/>
    <cellStyle name="Comma 12 8 2 4 4" xfId="36063" xr:uid="{6CAFC79C-E184-41FE-A4C5-C4FEF8EF41B4}"/>
    <cellStyle name="Comma 12 8 2 5" xfId="7335" xr:uid="{49329F5C-5661-4D86-8EE7-FCC4BD5AA34B}"/>
    <cellStyle name="Comma 12 8 2 5 2" xfId="22455" xr:uid="{4E7BB3DA-ED2F-4E5F-A1FF-EBB47B194182}"/>
    <cellStyle name="Comma 12 8 2 5 2 2" xfId="52695" xr:uid="{4C35F4CB-275A-4DC8-A37E-DD75841E93D4}"/>
    <cellStyle name="Comma 12 8 2 5 3" xfId="37575" xr:uid="{AFCF7E65-DF3D-4A81-802F-8852E9244295}"/>
    <cellStyle name="Comma 12 8 2 6" xfId="8847" xr:uid="{F1B9B35D-1A79-4C1A-A3C6-613BA0A9084F}"/>
    <cellStyle name="Comma 12 8 2 6 2" xfId="23967" xr:uid="{C633D01D-A2C7-40E4-A12B-46158E3BE391}"/>
    <cellStyle name="Comma 12 8 2 6 2 2" xfId="54207" xr:uid="{CD14B72E-DA3C-4E68-96EE-2E3FC119F320}"/>
    <cellStyle name="Comma 12 8 2 6 3" xfId="39087" xr:uid="{1FFD09BB-383A-4B56-9A10-4B47DE87590E}"/>
    <cellStyle name="Comma 12 8 2 7" xfId="10359" xr:uid="{8F731A6E-D651-4AAA-9B71-C3E3A97AF7DA}"/>
    <cellStyle name="Comma 12 8 2 7 2" xfId="25479" xr:uid="{13DF176A-8218-4BE9-8200-164CA5E0D6C0}"/>
    <cellStyle name="Comma 12 8 2 7 2 2" xfId="55719" xr:uid="{2689E7C0-5912-40C9-B098-3EE56A70C76B}"/>
    <cellStyle name="Comma 12 8 2 7 3" xfId="40599" xr:uid="{3BD6832B-F865-4B33-8621-42ACAA8378F0}"/>
    <cellStyle name="Comma 12 8 2 8" xfId="16407" xr:uid="{28E17657-618E-4E5E-8D1A-EC8D333BC7A5}"/>
    <cellStyle name="Comma 12 8 2 8 2" xfId="46647" xr:uid="{4E22AFBE-67BE-47F8-AAAD-C1F4E276D856}"/>
    <cellStyle name="Comma 12 8 2 9" xfId="31527" xr:uid="{F6ADBA40-D33A-4556-BD74-8BCC01E1BF4B}"/>
    <cellStyle name="Comma 12 8 3" xfId="2043" xr:uid="{21567D32-8400-4B1C-9294-D97BBCFCFC4F}"/>
    <cellStyle name="Comma 12 8 3 2" xfId="11115" xr:uid="{5D8C489E-9ADD-4652-9CC5-02270A31FA71}"/>
    <cellStyle name="Comma 12 8 3 2 2" xfId="26235" xr:uid="{5CA2583C-969C-43D4-B480-3FF6CDAC9E90}"/>
    <cellStyle name="Comma 12 8 3 2 2 2" xfId="56475" xr:uid="{8B7FE648-5AC9-441F-84C4-D215102FA712}"/>
    <cellStyle name="Comma 12 8 3 2 3" xfId="41355" xr:uid="{73EDDEA2-8599-46AC-B09A-6CAD9C1F18E2}"/>
    <cellStyle name="Comma 12 8 3 3" xfId="17163" xr:uid="{F8553C13-9762-49FD-84E0-719BDD195EBD}"/>
    <cellStyle name="Comma 12 8 3 3 2" xfId="47403" xr:uid="{8EA7F38A-C38E-405E-9734-1E362A7FE8CD}"/>
    <cellStyle name="Comma 12 8 3 4" xfId="32283" xr:uid="{2E672655-5A3F-46FF-96F8-B48D595604C7}"/>
    <cellStyle name="Comma 12 8 4" xfId="3555" xr:uid="{6CA52C31-B3A0-4941-B04D-B8B86D6B45CD}"/>
    <cellStyle name="Comma 12 8 4 2" xfId="12627" xr:uid="{CAF7FFD2-115E-4D39-B1CB-B513B1FA5715}"/>
    <cellStyle name="Comma 12 8 4 2 2" xfId="27747" xr:uid="{86B28A06-31FB-4FE7-BE0E-FE76F91D5831}"/>
    <cellStyle name="Comma 12 8 4 2 2 2" xfId="57987" xr:uid="{8771B4EF-812F-426F-9EA8-95051C8C78FA}"/>
    <cellStyle name="Comma 12 8 4 2 3" xfId="42867" xr:uid="{4C7DCFD3-FB5F-4B47-A452-845603C32428}"/>
    <cellStyle name="Comma 12 8 4 3" xfId="18675" xr:uid="{2D962AFF-E09B-4D16-BFFA-4F33862B4056}"/>
    <cellStyle name="Comma 12 8 4 3 2" xfId="48915" xr:uid="{31F6ED7C-F720-4703-BCDC-4CA7ABE2A097}"/>
    <cellStyle name="Comma 12 8 4 4" xfId="33795" xr:uid="{14DC8F55-C57F-4AAD-9B73-038F1BA4CFA1}"/>
    <cellStyle name="Comma 12 8 5" xfId="5067" xr:uid="{C317A25A-7640-426C-B5EF-9052EEBDFC73}"/>
    <cellStyle name="Comma 12 8 5 2" xfId="14139" xr:uid="{E4A7998F-0C85-42D0-BF7C-57477683D9BF}"/>
    <cellStyle name="Comma 12 8 5 2 2" xfId="29259" xr:uid="{A9ED91EA-872C-477F-A26A-51D8C00ADEEA}"/>
    <cellStyle name="Comma 12 8 5 2 2 2" xfId="59499" xr:uid="{AA9208AB-0C31-4B8A-A327-1781D9906CA4}"/>
    <cellStyle name="Comma 12 8 5 2 3" xfId="44379" xr:uid="{8CB9E1FC-A5D7-47C1-A896-AD456CB26BDE}"/>
    <cellStyle name="Comma 12 8 5 3" xfId="20187" xr:uid="{6108466C-2912-4395-87AA-D4A6D2385D3C}"/>
    <cellStyle name="Comma 12 8 5 3 2" xfId="50427" xr:uid="{5DF953BE-381D-4C3D-B253-ADC91A2F8EBB}"/>
    <cellStyle name="Comma 12 8 5 4" xfId="35307" xr:uid="{DAD4014F-E787-4348-BB5D-72FE5F061BD7}"/>
    <cellStyle name="Comma 12 8 6" xfId="6579" xr:uid="{F721D816-2D92-471E-80D1-F659785105D5}"/>
    <cellStyle name="Comma 12 8 6 2" xfId="21699" xr:uid="{0AEA9714-984E-4402-B624-2D4DD46E7011}"/>
    <cellStyle name="Comma 12 8 6 2 2" xfId="51939" xr:uid="{455E3B28-1054-419E-B5D5-678C44DEDB0D}"/>
    <cellStyle name="Comma 12 8 6 3" xfId="36819" xr:uid="{D85F2E88-2962-4464-860C-C17BA10F68FD}"/>
    <cellStyle name="Comma 12 8 7" xfId="8091" xr:uid="{E9B095F1-82D7-41C7-8066-8A7D1C6E56CD}"/>
    <cellStyle name="Comma 12 8 7 2" xfId="23211" xr:uid="{04C3B57D-00EA-47D8-BD7A-CDFBFCCFB1D9}"/>
    <cellStyle name="Comma 12 8 7 2 2" xfId="53451" xr:uid="{87EA725E-47D3-483D-886C-72AF65420985}"/>
    <cellStyle name="Comma 12 8 7 3" xfId="38331" xr:uid="{232371D8-FD62-46C3-B848-A249CECC48DC}"/>
    <cellStyle name="Comma 12 8 8" xfId="9603" xr:uid="{EE633CC8-0B37-421C-A41F-D4272FF08475}"/>
    <cellStyle name="Comma 12 8 8 2" xfId="24723" xr:uid="{1D0DD00D-8541-4BBB-B615-CE8AE4D13935}"/>
    <cellStyle name="Comma 12 8 8 2 2" xfId="54963" xr:uid="{AC07A594-09FE-4698-A8A6-9AAC6E4B02AA}"/>
    <cellStyle name="Comma 12 8 8 3" xfId="39843" xr:uid="{52CF41DE-A6C6-4239-BA13-84EB396FB978}"/>
    <cellStyle name="Comma 12 8 9" xfId="15651" xr:uid="{87CAE115-CDD4-4458-86C8-28209E438268}"/>
    <cellStyle name="Comma 12 8 9 2" xfId="45891" xr:uid="{37E59702-A6B8-4E9E-9619-F24F2F40447E}"/>
    <cellStyle name="Comma 12 9" xfId="783" xr:uid="{0778629A-0392-4473-A9A8-4282DC1DA386}"/>
    <cellStyle name="Comma 12 9 2" xfId="2295" xr:uid="{85FEFA01-AB51-4CB6-BB4B-C87DA1B3798D}"/>
    <cellStyle name="Comma 12 9 2 2" xfId="11367" xr:uid="{C4F7E297-4F1E-4854-B62E-630F9B483293}"/>
    <cellStyle name="Comma 12 9 2 2 2" xfId="26487" xr:uid="{6A7A8D49-DD79-495A-8E63-F6786740BCE0}"/>
    <cellStyle name="Comma 12 9 2 2 2 2" xfId="56727" xr:uid="{A082FE6F-A658-43A9-B32A-D974634DC5F5}"/>
    <cellStyle name="Comma 12 9 2 2 3" xfId="41607" xr:uid="{1837C070-5598-40A5-A686-03A4931CD08B}"/>
    <cellStyle name="Comma 12 9 2 3" xfId="17415" xr:uid="{C9014625-F1D7-475E-80A3-79F1689E6F3E}"/>
    <cellStyle name="Comma 12 9 2 3 2" xfId="47655" xr:uid="{EBE3EBDD-C346-44A9-A3B9-15C1F36A2163}"/>
    <cellStyle name="Comma 12 9 2 4" xfId="32535" xr:uid="{F0CD6FD9-45E9-411E-86B7-A31FD3D0DA4B}"/>
    <cellStyle name="Comma 12 9 3" xfId="3807" xr:uid="{77CD2E1A-200D-4D97-A44C-D46BAFF9117B}"/>
    <cellStyle name="Comma 12 9 3 2" xfId="12879" xr:uid="{6FE49A5F-37EC-4FB9-93B2-EBE674B777FA}"/>
    <cellStyle name="Comma 12 9 3 2 2" xfId="27999" xr:uid="{1C14B2D0-C1C8-48F1-9AE8-3A077B7E5CC9}"/>
    <cellStyle name="Comma 12 9 3 2 2 2" xfId="58239" xr:uid="{88CF0474-A966-449D-A863-AC35B0CD1CB4}"/>
    <cellStyle name="Comma 12 9 3 2 3" xfId="43119" xr:uid="{5D952461-B73D-49FB-A41E-B6CCFC82C879}"/>
    <cellStyle name="Comma 12 9 3 3" xfId="18927" xr:uid="{F9AC3C3A-9574-4BC9-ACB1-FC15F021499D}"/>
    <cellStyle name="Comma 12 9 3 3 2" xfId="49167" xr:uid="{8AEABCE6-E41B-4C5A-B7C1-D44F1EBF5987}"/>
    <cellStyle name="Comma 12 9 3 4" xfId="34047" xr:uid="{2B9BFCA5-5055-4345-9FCE-951451797CF8}"/>
    <cellStyle name="Comma 12 9 4" xfId="5319" xr:uid="{CE612112-73E8-4686-9977-0E4F13661303}"/>
    <cellStyle name="Comma 12 9 4 2" xfId="14391" xr:uid="{CE5A1784-2EEA-437C-AB6D-667DF554C9C6}"/>
    <cellStyle name="Comma 12 9 4 2 2" xfId="29511" xr:uid="{789EB9CF-1914-4456-BBE7-758966E01637}"/>
    <cellStyle name="Comma 12 9 4 2 2 2" xfId="59751" xr:uid="{6AE0069E-24B9-409D-A45B-6BBF36494E29}"/>
    <cellStyle name="Comma 12 9 4 2 3" xfId="44631" xr:uid="{35CD1D15-0B02-4A74-A77E-7A55CB2F252D}"/>
    <cellStyle name="Comma 12 9 4 3" xfId="20439" xr:uid="{632F7F9F-B726-49D6-B1FA-557E85188CA9}"/>
    <cellStyle name="Comma 12 9 4 3 2" xfId="50679" xr:uid="{16C0CBF3-1BE3-4210-B6EE-99828EEDCCE0}"/>
    <cellStyle name="Comma 12 9 4 4" xfId="35559" xr:uid="{78EBEFD7-C420-4D47-8195-2A099215B031}"/>
    <cellStyle name="Comma 12 9 5" xfId="6831" xr:uid="{ED554EE3-301E-4DE9-A56E-D0EFEF81A4E1}"/>
    <cellStyle name="Comma 12 9 5 2" xfId="21951" xr:uid="{188AA105-0B2D-499A-A0E5-3B9A3E9F9CFB}"/>
    <cellStyle name="Comma 12 9 5 2 2" xfId="52191" xr:uid="{276007CB-3BD7-4B0C-B8C0-EF87BA4212CF}"/>
    <cellStyle name="Comma 12 9 5 3" xfId="37071" xr:uid="{2BA65DB1-E6CF-4D97-9B1A-9F26660D679D}"/>
    <cellStyle name="Comma 12 9 6" xfId="8343" xr:uid="{7451B1D7-33E7-4DAF-AB35-FF88D72DC07B}"/>
    <cellStyle name="Comma 12 9 6 2" xfId="23463" xr:uid="{B381AD65-0CA9-4489-BCBC-7E96B59248BB}"/>
    <cellStyle name="Comma 12 9 6 2 2" xfId="53703" xr:uid="{B39277CD-1A7B-4103-86C1-8A578CBA7336}"/>
    <cellStyle name="Comma 12 9 6 3" xfId="38583" xr:uid="{21D703B4-CE00-4F6C-B3BB-B6AD7354D8FB}"/>
    <cellStyle name="Comma 12 9 7" xfId="9855" xr:uid="{0A9417E8-3D83-42FE-9F02-D4A1AE61DB1E}"/>
    <cellStyle name="Comma 12 9 7 2" xfId="24975" xr:uid="{D3A75832-3C59-4620-98F0-4C3921C70D8F}"/>
    <cellStyle name="Comma 12 9 7 2 2" xfId="55215" xr:uid="{9F4D2DE4-405C-47FA-BBD9-4E555C266878}"/>
    <cellStyle name="Comma 12 9 7 3" xfId="40095" xr:uid="{39A5E4B8-EB32-4225-A58A-AD969AF4C6FA}"/>
    <cellStyle name="Comma 12 9 8" xfId="15903" xr:uid="{E930CCFF-957D-4732-998C-D25D5D95D9F9}"/>
    <cellStyle name="Comma 12 9 8 2" xfId="46143" xr:uid="{234A5459-62CD-4BD5-B91C-78055A9CC275}"/>
    <cellStyle name="Comma 12 9 9" xfId="31023" xr:uid="{4FD2F317-CDFF-4314-AB41-77F581E1CB10}"/>
    <cellStyle name="Comma 13" xfId="28" xr:uid="{EC035378-75DD-4833-A1E0-88C9B7A386B0}"/>
    <cellStyle name="Comma 13 10" xfId="4564" xr:uid="{4793558E-DC04-447D-B069-D2CE9A58833B}"/>
    <cellStyle name="Comma 13 10 2" xfId="13636" xr:uid="{0D0AD61B-988D-459A-B2BF-FE598F5CB55E}"/>
    <cellStyle name="Comma 13 10 2 2" xfId="28756" xr:uid="{961178C7-B9AA-491F-AFC8-338C39A2CDAB}"/>
    <cellStyle name="Comma 13 10 2 2 2" xfId="58996" xr:uid="{7277BBF9-60EA-4B5D-A7D8-568EB9B5F433}"/>
    <cellStyle name="Comma 13 10 2 3" xfId="43876" xr:uid="{3C269CE6-E558-43E1-9129-DB167A95DE30}"/>
    <cellStyle name="Comma 13 10 3" xfId="19684" xr:uid="{EB834369-707A-4C47-9A29-D9E69B2722D6}"/>
    <cellStyle name="Comma 13 10 3 2" xfId="49924" xr:uid="{0F191980-F1B4-48DB-B3FD-1DD727AA80F2}"/>
    <cellStyle name="Comma 13 10 4" xfId="34804" xr:uid="{61716C5D-FBFA-4156-9BCF-4AE2A873FEA8}"/>
    <cellStyle name="Comma 13 11" xfId="6076" xr:uid="{0D71002D-C661-48D6-89F1-BA47589BD036}"/>
    <cellStyle name="Comma 13 11 2" xfId="21196" xr:uid="{713EC94B-EE7E-4A19-BEB6-86F4E3AE6044}"/>
    <cellStyle name="Comma 13 11 2 2" xfId="51436" xr:uid="{24A95E8B-5BE2-4E0E-AC76-C41C333AB1B4}"/>
    <cellStyle name="Comma 13 11 3" xfId="36316" xr:uid="{B5EFFA75-E310-455C-9CDE-811A216BC570}"/>
    <cellStyle name="Comma 13 12" xfId="7588" xr:uid="{4E04DDBA-418F-40C5-A664-4B126D11D1C4}"/>
    <cellStyle name="Comma 13 12 2" xfId="22708" xr:uid="{B4639A18-5835-4289-A9F6-FD85F29E2FCF}"/>
    <cellStyle name="Comma 13 12 2 2" xfId="52948" xr:uid="{77CF0441-BD13-4DC5-B2E8-B81EF4BBF692}"/>
    <cellStyle name="Comma 13 12 3" xfId="37828" xr:uid="{B724D02E-4A25-47F7-A756-EB9A4A238DAA}"/>
    <cellStyle name="Comma 13 13" xfId="9100" xr:uid="{47F577AE-BF9C-4619-A031-8A6A513EC670}"/>
    <cellStyle name="Comma 13 13 2" xfId="24220" xr:uid="{C598C003-93C8-467E-B4F6-40F605D858E3}"/>
    <cellStyle name="Comma 13 13 2 2" xfId="54460" xr:uid="{766FFF6E-7FCB-4A68-A728-E12C792994FE}"/>
    <cellStyle name="Comma 13 13 3" xfId="39340" xr:uid="{DFD12BAE-7EDA-43BA-AD4F-F422DBDCD0BC}"/>
    <cellStyle name="Comma 13 14" xfId="15148" xr:uid="{A160A947-5E4B-41E6-BABE-9A48F89269C5}"/>
    <cellStyle name="Comma 13 14 2" xfId="45388" xr:uid="{3B8393EE-3C5C-4032-9247-D6FE7DA6C6BE}"/>
    <cellStyle name="Comma 13 15" xfId="30268" xr:uid="{8C50345F-B847-46FE-8FC6-240A7CF095A0}"/>
    <cellStyle name="Comma 13 2" xfId="70" xr:uid="{6F8F231B-955E-4432-90CA-A1B62B706998}"/>
    <cellStyle name="Comma 13 2 10" xfId="6118" xr:uid="{1EAE9472-5845-439E-BA35-452342ED81E4}"/>
    <cellStyle name="Comma 13 2 10 2" xfId="21238" xr:uid="{6E1EEA2C-47BC-4F61-A647-2CA69A4678D6}"/>
    <cellStyle name="Comma 13 2 10 2 2" xfId="51478" xr:uid="{FE77E413-CD73-4B72-A4A2-E36B4EBBC4EE}"/>
    <cellStyle name="Comma 13 2 10 3" xfId="36358" xr:uid="{4E2232E5-76B6-4A8C-A692-BC71D2E29593}"/>
    <cellStyle name="Comma 13 2 11" xfId="7630" xr:uid="{470A80F8-2654-4288-86AA-DF0FAE25C795}"/>
    <cellStyle name="Comma 13 2 11 2" xfId="22750" xr:uid="{3079F292-942A-4E52-8B31-AE32EF6881A3}"/>
    <cellStyle name="Comma 13 2 11 2 2" xfId="52990" xr:uid="{5DF49CBC-50C0-467A-92E9-21492C7B7547}"/>
    <cellStyle name="Comma 13 2 11 3" xfId="37870" xr:uid="{94992DED-2EE1-4089-BD76-4E6794887869}"/>
    <cellStyle name="Comma 13 2 12" xfId="9142" xr:uid="{BC9F0D8F-AFF7-42AD-A6E0-C99C47CC9A79}"/>
    <cellStyle name="Comma 13 2 12 2" xfId="24262" xr:uid="{C7A7FBDF-883B-4588-8084-D281C301C7EE}"/>
    <cellStyle name="Comma 13 2 12 2 2" xfId="54502" xr:uid="{97AD547D-2804-4F8E-8613-471C418872D4}"/>
    <cellStyle name="Comma 13 2 12 3" xfId="39382" xr:uid="{A1B9589F-A195-46EB-9480-8415E12EE643}"/>
    <cellStyle name="Comma 13 2 13" xfId="15190" xr:uid="{18AFBD6A-626C-4275-A524-2C580EC617E7}"/>
    <cellStyle name="Comma 13 2 13 2" xfId="45430" xr:uid="{41AC92D2-BD67-4200-9AB4-9DC55F45BEC4}"/>
    <cellStyle name="Comma 13 2 14" xfId="30310" xr:uid="{8B43DF6E-34F9-49D2-905E-6F3397BDBEE3}"/>
    <cellStyle name="Comma 13 2 2" xfId="154" xr:uid="{71938169-59B3-47F4-9C67-E7CB0F95D72E}"/>
    <cellStyle name="Comma 13 2 2 10" xfId="9226" xr:uid="{1FF9BEDE-2FC5-46F7-A978-C8331E01CA76}"/>
    <cellStyle name="Comma 13 2 2 10 2" xfId="24346" xr:uid="{107679A0-9CAC-4BD5-85BD-561BE4826ABB}"/>
    <cellStyle name="Comma 13 2 2 10 2 2" xfId="54586" xr:uid="{44316593-33AA-47A9-8B51-058119536794}"/>
    <cellStyle name="Comma 13 2 2 10 3" xfId="39466" xr:uid="{9CA501C4-1F08-4354-A21D-57960D500A92}"/>
    <cellStyle name="Comma 13 2 2 11" xfId="15274" xr:uid="{13EBA580-BF40-450D-9BB7-07A50839B1C3}"/>
    <cellStyle name="Comma 13 2 2 11 2" xfId="45514" xr:uid="{7BF0844C-E296-4BC2-AE9A-7A3BFD3648EB}"/>
    <cellStyle name="Comma 13 2 2 12" xfId="30394" xr:uid="{1232D8E1-5310-4E40-972D-FAE296BE3F0B}"/>
    <cellStyle name="Comma 13 2 2 2" xfId="406" xr:uid="{7A4BD8CC-E078-4FC9-AB36-A2BA572C253D}"/>
    <cellStyle name="Comma 13 2 2 2 10" xfId="30646" xr:uid="{1BED5E3E-A32C-48A3-BD4C-993908B91F37}"/>
    <cellStyle name="Comma 13 2 2 2 2" xfId="1162" xr:uid="{5548887B-1AAE-40C6-9357-03A84F5B420D}"/>
    <cellStyle name="Comma 13 2 2 2 2 2" xfId="2674" xr:uid="{A860B019-F402-4D16-AC52-4C1B05320EA5}"/>
    <cellStyle name="Comma 13 2 2 2 2 2 2" xfId="11746" xr:uid="{6AF59E55-2605-443A-8B98-98CE57E5723C}"/>
    <cellStyle name="Comma 13 2 2 2 2 2 2 2" xfId="26866" xr:uid="{B3A6D516-0B1F-480D-A04A-FECC6C200002}"/>
    <cellStyle name="Comma 13 2 2 2 2 2 2 2 2" xfId="57106" xr:uid="{BEBBDAE4-D411-4AA4-AA32-2F5FEE89C324}"/>
    <cellStyle name="Comma 13 2 2 2 2 2 2 3" xfId="41986" xr:uid="{3EF079DC-314E-4BC8-8B40-E95AB161FB56}"/>
    <cellStyle name="Comma 13 2 2 2 2 2 3" xfId="17794" xr:uid="{8C5CF236-05AC-4BD1-8AF2-8E2F84A24C4C}"/>
    <cellStyle name="Comma 13 2 2 2 2 2 3 2" xfId="48034" xr:uid="{2D6BA1D4-E564-40F5-A8B0-CBD1F474CF73}"/>
    <cellStyle name="Comma 13 2 2 2 2 2 4" xfId="32914" xr:uid="{645B4D96-1763-45BD-B55E-66A39C1A2DDF}"/>
    <cellStyle name="Comma 13 2 2 2 2 3" xfId="4186" xr:uid="{C984C3C5-1AD7-4AEB-946D-37C2A0D5EF04}"/>
    <cellStyle name="Comma 13 2 2 2 2 3 2" xfId="13258" xr:uid="{8B53BD7C-80FC-48E8-80AB-85ECF2E3BB6C}"/>
    <cellStyle name="Comma 13 2 2 2 2 3 2 2" xfId="28378" xr:uid="{CCC91FBC-51AC-41BA-995A-0CA600B48830}"/>
    <cellStyle name="Comma 13 2 2 2 2 3 2 2 2" xfId="58618" xr:uid="{4C4A9001-0C13-49A5-90D4-66D418DD7720}"/>
    <cellStyle name="Comma 13 2 2 2 2 3 2 3" xfId="43498" xr:uid="{2646C849-E0E6-4B26-97D3-659AC7B1F3B6}"/>
    <cellStyle name="Comma 13 2 2 2 2 3 3" xfId="19306" xr:uid="{57B333E4-1390-4064-B29E-C2D298DCF9A1}"/>
    <cellStyle name="Comma 13 2 2 2 2 3 3 2" xfId="49546" xr:uid="{CE81BB4D-1C28-4FB1-8F5E-EA46A2E7AD8A}"/>
    <cellStyle name="Comma 13 2 2 2 2 3 4" xfId="34426" xr:uid="{89F4EF09-9D6F-44BA-A175-8E16E54428D8}"/>
    <cellStyle name="Comma 13 2 2 2 2 4" xfId="5698" xr:uid="{C3F841DD-F886-47B8-8B87-BD2D38A0580C}"/>
    <cellStyle name="Comma 13 2 2 2 2 4 2" xfId="14770" xr:uid="{8DDCF42A-65F3-4423-9C5E-4A491AF2EACC}"/>
    <cellStyle name="Comma 13 2 2 2 2 4 2 2" xfId="29890" xr:uid="{D6A4A18F-1C97-45D4-BC82-06F64353577F}"/>
    <cellStyle name="Comma 13 2 2 2 2 4 2 2 2" xfId="60130" xr:uid="{D1FC5AA6-12C7-401B-B4CB-FB526EFF34F7}"/>
    <cellStyle name="Comma 13 2 2 2 2 4 2 3" xfId="45010" xr:uid="{B4F9375E-618E-434E-BB4B-66B01781BB2D}"/>
    <cellStyle name="Comma 13 2 2 2 2 4 3" xfId="20818" xr:uid="{58F998FD-9D02-43F7-BA5A-8706B42267E2}"/>
    <cellStyle name="Comma 13 2 2 2 2 4 3 2" xfId="51058" xr:uid="{2C94305E-5C52-4012-BAF8-35DC2828DC3D}"/>
    <cellStyle name="Comma 13 2 2 2 2 4 4" xfId="35938" xr:uid="{A223BA0F-94E5-4EF2-B11F-D9F5C8FD8526}"/>
    <cellStyle name="Comma 13 2 2 2 2 5" xfId="7210" xr:uid="{AA83D193-12B8-4549-97AD-9FAE83D9843D}"/>
    <cellStyle name="Comma 13 2 2 2 2 5 2" xfId="22330" xr:uid="{5135BE8A-77AB-43F9-B1C8-84C34145BDA3}"/>
    <cellStyle name="Comma 13 2 2 2 2 5 2 2" xfId="52570" xr:uid="{BD945F10-5A14-427F-8A1E-ECDB74DAA419}"/>
    <cellStyle name="Comma 13 2 2 2 2 5 3" xfId="37450" xr:uid="{089BFEBE-EBC7-4C4B-B203-A1CD09FF20C2}"/>
    <cellStyle name="Comma 13 2 2 2 2 6" xfId="8722" xr:uid="{3DE865C0-7E23-4278-9C47-4D1EBC3030F7}"/>
    <cellStyle name="Comma 13 2 2 2 2 6 2" xfId="23842" xr:uid="{A6F814F5-A4A4-4115-B4B5-1AEA5CCA0BDC}"/>
    <cellStyle name="Comma 13 2 2 2 2 6 2 2" xfId="54082" xr:uid="{CBCED624-DF2E-4210-BF79-A1B73FA297BA}"/>
    <cellStyle name="Comma 13 2 2 2 2 6 3" xfId="38962" xr:uid="{3EF4E19E-9977-42E4-9CE8-BCA66A232ED1}"/>
    <cellStyle name="Comma 13 2 2 2 2 7" xfId="10234" xr:uid="{A4FDC020-6C46-4CBC-8346-AEC2A23178FF}"/>
    <cellStyle name="Comma 13 2 2 2 2 7 2" xfId="25354" xr:uid="{543B2FD7-D9DC-4EC8-A43B-66C8DBA25FF1}"/>
    <cellStyle name="Comma 13 2 2 2 2 7 2 2" xfId="55594" xr:uid="{CF34D268-1C73-455D-BBC3-41DE0228FD79}"/>
    <cellStyle name="Comma 13 2 2 2 2 7 3" xfId="40474" xr:uid="{04E413A4-6829-40B0-A594-65E1517E8CCA}"/>
    <cellStyle name="Comma 13 2 2 2 2 8" xfId="16282" xr:uid="{46DFA559-220A-492A-A2FE-43F3B4CAE606}"/>
    <cellStyle name="Comma 13 2 2 2 2 8 2" xfId="46522" xr:uid="{E6F43E43-C77F-44D7-A666-906D43DB8253}"/>
    <cellStyle name="Comma 13 2 2 2 2 9" xfId="31402" xr:uid="{4F7C1EDC-EA61-443D-9C8E-6527A5C6F41C}"/>
    <cellStyle name="Comma 13 2 2 2 3" xfId="1918" xr:uid="{4A388B2E-C10A-4380-8585-0650882DB3C6}"/>
    <cellStyle name="Comma 13 2 2 2 3 2" xfId="10990" xr:uid="{95A0A6F7-88BC-42A3-9DCF-714B667FBC30}"/>
    <cellStyle name="Comma 13 2 2 2 3 2 2" xfId="26110" xr:uid="{65588872-24E8-47BD-BB02-7C51B02B9CF6}"/>
    <cellStyle name="Comma 13 2 2 2 3 2 2 2" xfId="56350" xr:uid="{0D59DFD2-8D0E-4D81-AE7B-96150E06745B}"/>
    <cellStyle name="Comma 13 2 2 2 3 2 3" xfId="41230" xr:uid="{B6BBB00D-472A-44DA-9B9C-BB6353C330EA}"/>
    <cellStyle name="Comma 13 2 2 2 3 3" xfId="17038" xr:uid="{EBD765A0-4E6C-43B8-9E01-DEFCED9F4DA3}"/>
    <cellStyle name="Comma 13 2 2 2 3 3 2" xfId="47278" xr:uid="{56AE83E9-E0C5-4DC8-8E53-FF2B3D9F5FB7}"/>
    <cellStyle name="Comma 13 2 2 2 3 4" xfId="32158" xr:uid="{06322AEE-2C19-4E7D-B3DD-5CA2639D1AD5}"/>
    <cellStyle name="Comma 13 2 2 2 4" xfId="3430" xr:uid="{678DE5C1-1527-4D21-BC4A-EE17B44EC186}"/>
    <cellStyle name="Comma 13 2 2 2 4 2" xfId="12502" xr:uid="{3B7500CE-DEB7-41A5-8945-0CC2B293CA68}"/>
    <cellStyle name="Comma 13 2 2 2 4 2 2" xfId="27622" xr:uid="{4115660E-FCBA-440C-AD13-77D78808F59C}"/>
    <cellStyle name="Comma 13 2 2 2 4 2 2 2" xfId="57862" xr:uid="{A16921BE-C02F-406A-9DCE-13F520A990F5}"/>
    <cellStyle name="Comma 13 2 2 2 4 2 3" xfId="42742" xr:uid="{A1E344C4-97DC-4DFB-8188-51D62ECC4C1C}"/>
    <cellStyle name="Comma 13 2 2 2 4 3" xfId="18550" xr:uid="{A50ED360-5937-442C-85BB-D0B90D7CC1B0}"/>
    <cellStyle name="Comma 13 2 2 2 4 3 2" xfId="48790" xr:uid="{9F4253D7-F002-4236-9F0F-3C9FC38043F2}"/>
    <cellStyle name="Comma 13 2 2 2 4 4" xfId="33670" xr:uid="{67440008-DB4C-4F16-9F9A-F75BD9A7DD66}"/>
    <cellStyle name="Comma 13 2 2 2 5" xfId="4942" xr:uid="{C3B0B945-7609-4396-9B5D-59326004409D}"/>
    <cellStyle name="Comma 13 2 2 2 5 2" xfId="14014" xr:uid="{BEE5B489-D6EE-49E4-9023-5092E4052EC1}"/>
    <cellStyle name="Comma 13 2 2 2 5 2 2" xfId="29134" xr:uid="{FCD35BE9-11F0-44F0-9AB6-BBC3A4D70106}"/>
    <cellStyle name="Comma 13 2 2 2 5 2 2 2" xfId="59374" xr:uid="{D0C80DB6-CD93-4262-8094-C9DE7CA91344}"/>
    <cellStyle name="Comma 13 2 2 2 5 2 3" xfId="44254" xr:uid="{71413E0E-12A8-43D3-B9BA-2CEE3DEF6795}"/>
    <cellStyle name="Comma 13 2 2 2 5 3" xfId="20062" xr:uid="{9B5716AE-B054-4E50-9DBB-2E8A2A2B03AB}"/>
    <cellStyle name="Comma 13 2 2 2 5 3 2" xfId="50302" xr:uid="{6088B104-0399-4E97-BC51-B92E70589059}"/>
    <cellStyle name="Comma 13 2 2 2 5 4" xfId="35182" xr:uid="{A1E63C91-CF43-4862-8229-5790C3A78FBF}"/>
    <cellStyle name="Comma 13 2 2 2 6" xfId="6454" xr:uid="{1C553684-E6E2-4015-B87B-2CD6FAAC5211}"/>
    <cellStyle name="Comma 13 2 2 2 6 2" xfId="21574" xr:uid="{12F90740-1AD7-4C7A-AAE2-D453A687201D}"/>
    <cellStyle name="Comma 13 2 2 2 6 2 2" xfId="51814" xr:uid="{64CA9906-A6BA-42D4-8448-F51B1CA8D6D9}"/>
    <cellStyle name="Comma 13 2 2 2 6 3" xfId="36694" xr:uid="{8CFC6945-B9F0-4CDC-BA6A-A44EBBA0AE46}"/>
    <cellStyle name="Comma 13 2 2 2 7" xfId="7966" xr:uid="{2BADDAC1-885B-4FF1-9E67-32D276476D19}"/>
    <cellStyle name="Comma 13 2 2 2 7 2" xfId="23086" xr:uid="{711E480E-2B51-45DE-B2BC-0A2FF891BF88}"/>
    <cellStyle name="Comma 13 2 2 2 7 2 2" xfId="53326" xr:uid="{45C98388-5341-40B0-A409-22D30628A185}"/>
    <cellStyle name="Comma 13 2 2 2 7 3" xfId="38206" xr:uid="{D023BA52-A500-4B67-BB89-E1CBD90F94CE}"/>
    <cellStyle name="Comma 13 2 2 2 8" xfId="9478" xr:uid="{614614F8-D64A-4CCF-B71B-53B64B8545E4}"/>
    <cellStyle name="Comma 13 2 2 2 8 2" xfId="24598" xr:uid="{74722CB2-A61C-4CAF-B8F5-6BFDD81DBDC8}"/>
    <cellStyle name="Comma 13 2 2 2 8 2 2" xfId="54838" xr:uid="{B656EB28-6966-4A10-A53F-7F1B700A09FB}"/>
    <cellStyle name="Comma 13 2 2 2 8 3" xfId="39718" xr:uid="{8FCEF36A-7679-4526-A629-71AB9069EABA}"/>
    <cellStyle name="Comma 13 2 2 2 9" xfId="15526" xr:uid="{70A9FF9C-3D86-4EEB-984D-D63C8F86FE85}"/>
    <cellStyle name="Comma 13 2 2 2 9 2" xfId="45766" xr:uid="{B1642947-812D-444C-8E9E-D622A1869328}"/>
    <cellStyle name="Comma 13 2 2 3" xfId="658" xr:uid="{E575C728-8D07-425E-82F7-416CA70729E7}"/>
    <cellStyle name="Comma 13 2 2 3 10" xfId="30898" xr:uid="{819D7609-99B0-4F6A-BE07-53A92D1DBC56}"/>
    <cellStyle name="Comma 13 2 2 3 2" xfId="1414" xr:uid="{1C3B26D6-3FC7-4B97-998F-2BFA8BFE91B5}"/>
    <cellStyle name="Comma 13 2 2 3 2 2" xfId="2926" xr:uid="{5B4B4B14-1817-4DB9-B0EC-A4A7DFB9E3FD}"/>
    <cellStyle name="Comma 13 2 2 3 2 2 2" xfId="11998" xr:uid="{83BA5E4F-FACB-47A1-ACB4-9F843B44DD02}"/>
    <cellStyle name="Comma 13 2 2 3 2 2 2 2" xfId="27118" xr:uid="{C2226471-C152-45B7-BCC9-2816A0B59212}"/>
    <cellStyle name="Comma 13 2 2 3 2 2 2 2 2" xfId="57358" xr:uid="{B68CA696-AA3E-4262-A8F2-B6CD3C1B09BA}"/>
    <cellStyle name="Comma 13 2 2 3 2 2 2 3" xfId="42238" xr:uid="{2AA0AE67-01F1-4DA8-8218-9EEC3B96A874}"/>
    <cellStyle name="Comma 13 2 2 3 2 2 3" xfId="18046" xr:uid="{E2F24BE3-90B9-4FC6-AFF5-374D342C263F}"/>
    <cellStyle name="Comma 13 2 2 3 2 2 3 2" xfId="48286" xr:uid="{07168B77-F6F8-4368-B718-0E1381CD9CC0}"/>
    <cellStyle name="Comma 13 2 2 3 2 2 4" xfId="33166" xr:uid="{FEEF4F0F-10A4-47EC-BC49-794524311F1C}"/>
    <cellStyle name="Comma 13 2 2 3 2 3" xfId="4438" xr:uid="{59BDD55B-2B0E-4783-8D82-39E1CE7497D4}"/>
    <cellStyle name="Comma 13 2 2 3 2 3 2" xfId="13510" xr:uid="{F61DA0F0-C27D-42B3-8E03-6B0750F933EA}"/>
    <cellStyle name="Comma 13 2 2 3 2 3 2 2" xfId="28630" xr:uid="{F4C44B6B-4BFE-4F07-BE67-44BDC4DCC92F}"/>
    <cellStyle name="Comma 13 2 2 3 2 3 2 2 2" xfId="58870" xr:uid="{C1CE071B-B93E-4057-9484-862AA1F7F584}"/>
    <cellStyle name="Comma 13 2 2 3 2 3 2 3" xfId="43750" xr:uid="{FF93A1EA-0D82-4449-BF39-2D5F9FA3085D}"/>
    <cellStyle name="Comma 13 2 2 3 2 3 3" xfId="19558" xr:uid="{7C2EEE48-A268-4372-B5FF-3FE9EF7B302C}"/>
    <cellStyle name="Comma 13 2 2 3 2 3 3 2" xfId="49798" xr:uid="{DD072D4A-D3AB-4DFA-8B03-B7CCECC65E03}"/>
    <cellStyle name="Comma 13 2 2 3 2 3 4" xfId="34678" xr:uid="{D5AFBE8D-B6A2-4B75-BE74-F3ABE6BE64D0}"/>
    <cellStyle name="Comma 13 2 2 3 2 4" xfId="5950" xr:uid="{3BE134D6-CB38-478B-B4E1-C76F9FD1FCA6}"/>
    <cellStyle name="Comma 13 2 2 3 2 4 2" xfId="15022" xr:uid="{2239A169-7E6F-4B78-8077-3E68579F6CE5}"/>
    <cellStyle name="Comma 13 2 2 3 2 4 2 2" xfId="30142" xr:uid="{03827F04-A17A-4B5D-99E7-B00992F32152}"/>
    <cellStyle name="Comma 13 2 2 3 2 4 2 2 2" xfId="60382" xr:uid="{2FBD1325-CCFD-4AE3-A2D8-C11ADE60F551}"/>
    <cellStyle name="Comma 13 2 2 3 2 4 2 3" xfId="45262" xr:uid="{B73E6508-6524-4742-9A31-09771A4AE27D}"/>
    <cellStyle name="Comma 13 2 2 3 2 4 3" xfId="21070" xr:uid="{531FAC73-4DC5-430D-BEA8-E1CFD95B1B81}"/>
    <cellStyle name="Comma 13 2 2 3 2 4 3 2" xfId="51310" xr:uid="{F491D695-3028-42A5-AE78-F5BF8E7DC8D8}"/>
    <cellStyle name="Comma 13 2 2 3 2 4 4" xfId="36190" xr:uid="{DA277BAD-A656-4E98-8A54-2E0D50062FCD}"/>
    <cellStyle name="Comma 13 2 2 3 2 5" xfId="7462" xr:uid="{9CC579B5-71FC-49FD-89E4-2DDECA4A2693}"/>
    <cellStyle name="Comma 13 2 2 3 2 5 2" xfId="22582" xr:uid="{90E5E35C-C2B3-482A-A75E-5EB122C6905A}"/>
    <cellStyle name="Comma 13 2 2 3 2 5 2 2" xfId="52822" xr:uid="{5A26DE42-2937-43F5-A33E-EA7EC39FF18F}"/>
    <cellStyle name="Comma 13 2 2 3 2 5 3" xfId="37702" xr:uid="{89BAF06F-43EF-415C-8051-ECE072503026}"/>
    <cellStyle name="Comma 13 2 2 3 2 6" xfId="8974" xr:uid="{A53C412F-6A30-4B0A-87B6-EBC9C9C209A7}"/>
    <cellStyle name="Comma 13 2 2 3 2 6 2" xfId="24094" xr:uid="{303B7DB8-6483-4CE9-85EA-1B136F8BF116}"/>
    <cellStyle name="Comma 13 2 2 3 2 6 2 2" xfId="54334" xr:uid="{CA5200AF-5498-458A-9B5B-FA3076E97ACC}"/>
    <cellStyle name="Comma 13 2 2 3 2 6 3" xfId="39214" xr:uid="{A565D707-CF5C-4BB2-A108-88D6E6978A49}"/>
    <cellStyle name="Comma 13 2 2 3 2 7" xfId="10486" xr:uid="{C8990691-2C1F-4096-A8EF-E097D1F5343A}"/>
    <cellStyle name="Comma 13 2 2 3 2 7 2" xfId="25606" xr:uid="{ABA79D70-B3C0-4B3C-A5AB-EA131F87B7F9}"/>
    <cellStyle name="Comma 13 2 2 3 2 7 2 2" xfId="55846" xr:uid="{D84CF4B9-D6DE-4A94-952C-3E795C27C44F}"/>
    <cellStyle name="Comma 13 2 2 3 2 7 3" xfId="40726" xr:uid="{9F876678-1632-4849-A26A-20D661102D4F}"/>
    <cellStyle name="Comma 13 2 2 3 2 8" xfId="16534" xr:uid="{282307D7-FD52-4C00-B050-9D27AD19F5CC}"/>
    <cellStyle name="Comma 13 2 2 3 2 8 2" xfId="46774" xr:uid="{C538288E-8213-430E-A089-BBE411D9788B}"/>
    <cellStyle name="Comma 13 2 2 3 2 9" xfId="31654" xr:uid="{A3E6528A-F3F8-4A54-9480-7408C1712247}"/>
    <cellStyle name="Comma 13 2 2 3 3" xfId="2170" xr:uid="{9478F1D4-FDE6-4572-A067-F4E41C102B4D}"/>
    <cellStyle name="Comma 13 2 2 3 3 2" xfId="11242" xr:uid="{98AD3DBB-4155-44C8-8E4A-E87F38242310}"/>
    <cellStyle name="Comma 13 2 2 3 3 2 2" xfId="26362" xr:uid="{6212F144-F280-43D8-A5EB-783C5916D79C}"/>
    <cellStyle name="Comma 13 2 2 3 3 2 2 2" xfId="56602" xr:uid="{DD75EBB6-18C4-4AE1-A794-807E6F9EACCF}"/>
    <cellStyle name="Comma 13 2 2 3 3 2 3" xfId="41482" xr:uid="{C3BA7AEC-47D4-44FA-878D-9A642025D60D}"/>
    <cellStyle name="Comma 13 2 2 3 3 3" xfId="17290" xr:uid="{E6DDA897-A441-472F-9097-46263CA87F59}"/>
    <cellStyle name="Comma 13 2 2 3 3 3 2" xfId="47530" xr:uid="{509CCB39-9FF5-4BF4-90F4-72673FAB9BB3}"/>
    <cellStyle name="Comma 13 2 2 3 3 4" xfId="32410" xr:uid="{CCF70490-AABF-4B10-9310-888CDAE3A666}"/>
    <cellStyle name="Comma 13 2 2 3 4" xfId="3682" xr:uid="{CAF09411-F288-4B37-9E62-A2F8159809B9}"/>
    <cellStyle name="Comma 13 2 2 3 4 2" xfId="12754" xr:uid="{26A68983-E06C-4E73-B7F5-4FE5604EAC17}"/>
    <cellStyle name="Comma 13 2 2 3 4 2 2" xfId="27874" xr:uid="{CBCD2215-BD1A-44F5-943C-1F1516B20AF1}"/>
    <cellStyle name="Comma 13 2 2 3 4 2 2 2" xfId="58114" xr:uid="{C94A1885-D394-46F3-9DFC-7A8EB688D2A6}"/>
    <cellStyle name="Comma 13 2 2 3 4 2 3" xfId="42994" xr:uid="{EF07E13D-5B3C-4BFD-A16C-7AC007F73A69}"/>
    <cellStyle name="Comma 13 2 2 3 4 3" xfId="18802" xr:uid="{E6896C96-6A8D-43DD-A4E6-130285548CCC}"/>
    <cellStyle name="Comma 13 2 2 3 4 3 2" xfId="49042" xr:uid="{CFC9914A-F455-4670-809E-9BD9C3540A0D}"/>
    <cellStyle name="Comma 13 2 2 3 4 4" xfId="33922" xr:uid="{E2783E2E-B53D-4673-9E70-2C6988A6F655}"/>
    <cellStyle name="Comma 13 2 2 3 5" xfId="5194" xr:uid="{C332E2A0-5757-40CF-AE65-B34B766C599A}"/>
    <cellStyle name="Comma 13 2 2 3 5 2" xfId="14266" xr:uid="{588D65A2-DAA8-40B2-8B52-33A071A8EF12}"/>
    <cellStyle name="Comma 13 2 2 3 5 2 2" xfId="29386" xr:uid="{5330B10F-B320-4094-BCCF-BDB3F99F7831}"/>
    <cellStyle name="Comma 13 2 2 3 5 2 2 2" xfId="59626" xr:uid="{4E2C9727-A5E7-46E3-A79C-A41B2DA13E57}"/>
    <cellStyle name="Comma 13 2 2 3 5 2 3" xfId="44506" xr:uid="{3254AAFA-F0E2-4622-9F55-C8C04B52C7E8}"/>
    <cellStyle name="Comma 13 2 2 3 5 3" xfId="20314" xr:uid="{0799B2A6-4156-403D-B0A5-627D265149ED}"/>
    <cellStyle name="Comma 13 2 2 3 5 3 2" xfId="50554" xr:uid="{2EB537B4-2998-40C4-9C13-76859FEEE0D4}"/>
    <cellStyle name="Comma 13 2 2 3 5 4" xfId="35434" xr:uid="{AAE6B7B3-D13B-4F95-9FCC-40717171BAFF}"/>
    <cellStyle name="Comma 13 2 2 3 6" xfId="6706" xr:uid="{C05210FB-68A7-4198-85A0-4D79476C0817}"/>
    <cellStyle name="Comma 13 2 2 3 6 2" xfId="21826" xr:uid="{A3DB1114-1D12-420F-85AF-363045B25A94}"/>
    <cellStyle name="Comma 13 2 2 3 6 2 2" xfId="52066" xr:uid="{58ADC461-EF41-4460-82B7-DAD738D2C331}"/>
    <cellStyle name="Comma 13 2 2 3 6 3" xfId="36946" xr:uid="{BAC0DE6F-E24D-463E-A6B6-729349DE1422}"/>
    <cellStyle name="Comma 13 2 2 3 7" xfId="8218" xr:uid="{9C9FCDB8-A447-4FAC-8D52-471458513F3B}"/>
    <cellStyle name="Comma 13 2 2 3 7 2" xfId="23338" xr:uid="{C9C7732A-0663-4A3C-9E0A-C7F14C2AF25F}"/>
    <cellStyle name="Comma 13 2 2 3 7 2 2" xfId="53578" xr:uid="{A50F9776-7529-4787-BAFE-CDAAD14626C9}"/>
    <cellStyle name="Comma 13 2 2 3 7 3" xfId="38458" xr:uid="{B877C164-B124-488B-AE3C-CD02BEA1CDE9}"/>
    <cellStyle name="Comma 13 2 2 3 8" xfId="9730" xr:uid="{8D787E68-22DD-4E69-87BF-2E5E37560386}"/>
    <cellStyle name="Comma 13 2 2 3 8 2" xfId="24850" xr:uid="{E7B9E67A-98DA-4113-A5E3-73AEF15C3F70}"/>
    <cellStyle name="Comma 13 2 2 3 8 2 2" xfId="55090" xr:uid="{A9474ED6-2D2D-40F6-ABB0-FE8B550220C2}"/>
    <cellStyle name="Comma 13 2 2 3 8 3" xfId="39970" xr:uid="{485264B8-8B4C-446D-9A99-6932798B7649}"/>
    <cellStyle name="Comma 13 2 2 3 9" xfId="15778" xr:uid="{76B0086E-B7C0-4F75-8BBD-8E5BC764740B}"/>
    <cellStyle name="Comma 13 2 2 3 9 2" xfId="46018" xr:uid="{B8473A52-5ECB-41A6-AE07-2E73501FBD3E}"/>
    <cellStyle name="Comma 13 2 2 4" xfId="910" xr:uid="{AE8198EF-281A-4A1D-A5C0-5D4B1FD7BEF1}"/>
    <cellStyle name="Comma 13 2 2 4 2" xfId="2422" xr:uid="{2A341390-0876-486D-A33B-EC63E310A23D}"/>
    <cellStyle name="Comma 13 2 2 4 2 2" xfId="11494" xr:uid="{E638CA5A-076E-4937-926C-CF5677F8BF53}"/>
    <cellStyle name="Comma 13 2 2 4 2 2 2" xfId="26614" xr:uid="{731C844E-7776-40FE-AF17-C29CD5BE6A6F}"/>
    <cellStyle name="Comma 13 2 2 4 2 2 2 2" xfId="56854" xr:uid="{0DA78C27-45FA-47A2-9999-DBFB20BB87C3}"/>
    <cellStyle name="Comma 13 2 2 4 2 2 3" xfId="41734" xr:uid="{67FC81C9-35C4-4294-BE32-637A9D72C2A7}"/>
    <cellStyle name="Comma 13 2 2 4 2 3" xfId="17542" xr:uid="{7EB77EC9-B27E-4BAA-A5B6-4584C375B371}"/>
    <cellStyle name="Comma 13 2 2 4 2 3 2" xfId="47782" xr:uid="{65C412B9-80DB-499D-BFC8-7A5BAC41F1CE}"/>
    <cellStyle name="Comma 13 2 2 4 2 4" xfId="32662" xr:uid="{B1B55BEE-9E45-4E4E-B89A-4474FE3ED54D}"/>
    <cellStyle name="Comma 13 2 2 4 3" xfId="3934" xr:uid="{96400DFD-2F66-4B3C-973B-53ED00B32C0D}"/>
    <cellStyle name="Comma 13 2 2 4 3 2" xfId="13006" xr:uid="{0C435115-D3BB-40EA-B178-EEC4C249564A}"/>
    <cellStyle name="Comma 13 2 2 4 3 2 2" xfId="28126" xr:uid="{E9304905-0522-462B-9EF0-733AEA2EA744}"/>
    <cellStyle name="Comma 13 2 2 4 3 2 2 2" xfId="58366" xr:uid="{4213080E-CF0C-4167-B54C-046035D57131}"/>
    <cellStyle name="Comma 13 2 2 4 3 2 3" xfId="43246" xr:uid="{E48878DC-7EB4-445C-843A-61DA42E0F397}"/>
    <cellStyle name="Comma 13 2 2 4 3 3" xfId="19054" xr:uid="{34672509-2B6D-47E7-A3FC-ECB104C07ADE}"/>
    <cellStyle name="Comma 13 2 2 4 3 3 2" xfId="49294" xr:uid="{AB105F52-7402-4B13-ADD7-C53DA134B6AD}"/>
    <cellStyle name="Comma 13 2 2 4 3 4" xfId="34174" xr:uid="{463E2DD5-B27E-4189-B6A3-02370EDF1434}"/>
    <cellStyle name="Comma 13 2 2 4 4" xfId="5446" xr:uid="{42351B90-D662-4EE4-9AB6-8A7F11A1B81D}"/>
    <cellStyle name="Comma 13 2 2 4 4 2" xfId="14518" xr:uid="{569CA328-FD6E-40D4-8628-09CFDED1883E}"/>
    <cellStyle name="Comma 13 2 2 4 4 2 2" xfId="29638" xr:uid="{43934968-F60A-4DCA-B015-707706CE0228}"/>
    <cellStyle name="Comma 13 2 2 4 4 2 2 2" xfId="59878" xr:uid="{371C40D3-6C35-4258-9939-C1704FCA5A1B}"/>
    <cellStyle name="Comma 13 2 2 4 4 2 3" xfId="44758" xr:uid="{9D9ED9A7-0B2B-4E40-95E0-43A015229500}"/>
    <cellStyle name="Comma 13 2 2 4 4 3" xfId="20566" xr:uid="{3EE519CA-8551-40A4-A14E-302A44122591}"/>
    <cellStyle name="Comma 13 2 2 4 4 3 2" xfId="50806" xr:uid="{A8F8D732-4975-4189-9911-4B7BFFEF4A7D}"/>
    <cellStyle name="Comma 13 2 2 4 4 4" xfId="35686" xr:uid="{9ED59C1C-9E42-4FD7-A69F-3FA67CBB3C08}"/>
    <cellStyle name="Comma 13 2 2 4 5" xfId="6958" xr:uid="{FCB8DE77-7E59-4738-8245-4B7A6DCFC7F9}"/>
    <cellStyle name="Comma 13 2 2 4 5 2" xfId="22078" xr:uid="{E83AA17A-C834-452F-92AD-199A98FF34A5}"/>
    <cellStyle name="Comma 13 2 2 4 5 2 2" xfId="52318" xr:uid="{C961461B-6A9B-4563-8B7B-80B3740038C8}"/>
    <cellStyle name="Comma 13 2 2 4 5 3" xfId="37198" xr:uid="{0A546C4C-52B8-4C42-BD4A-4DA6C2733969}"/>
    <cellStyle name="Comma 13 2 2 4 6" xfId="8470" xr:uid="{3CC8A3FA-7D4F-466F-A2A3-C69AFFA3C891}"/>
    <cellStyle name="Comma 13 2 2 4 6 2" xfId="23590" xr:uid="{840366CA-5489-4B2B-8AE0-4250625E16B6}"/>
    <cellStyle name="Comma 13 2 2 4 6 2 2" xfId="53830" xr:uid="{2CF609AA-CF8B-4B47-B3EE-9E00CA580BDF}"/>
    <cellStyle name="Comma 13 2 2 4 6 3" xfId="38710" xr:uid="{B38C8EC6-1C15-46B4-AE26-EEE9C94F99BB}"/>
    <cellStyle name="Comma 13 2 2 4 7" xfId="9982" xr:uid="{D6EBCA89-0A35-42D1-9E97-BDAB35B3BD69}"/>
    <cellStyle name="Comma 13 2 2 4 7 2" xfId="25102" xr:uid="{2686E617-CB34-4B03-85F5-4AF351DD832D}"/>
    <cellStyle name="Comma 13 2 2 4 7 2 2" xfId="55342" xr:uid="{4065C122-2EBE-4510-B5C3-497273AE67D3}"/>
    <cellStyle name="Comma 13 2 2 4 7 3" xfId="40222" xr:uid="{0A746CFA-5AE2-4594-8272-2EB2FD7D81C0}"/>
    <cellStyle name="Comma 13 2 2 4 8" xfId="16030" xr:uid="{47297DA7-6C62-435A-B797-3CD3C342D046}"/>
    <cellStyle name="Comma 13 2 2 4 8 2" xfId="46270" xr:uid="{15DC5C81-3A55-4228-825B-7E0722BC96D1}"/>
    <cellStyle name="Comma 13 2 2 4 9" xfId="31150" xr:uid="{93F8D0D9-1FA2-44B9-960E-12B75E79C5C5}"/>
    <cellStyle name="Comma 13 2 2 5" xfId="1666" xr:uid="{886AF92A-785A-4DBE-B3CD-E78A74717B54}"/>
    <cellStyle name="Comma 13 2 2 5 2" xfId="10738" xr:uid="{80CF095B-22D2-4D4D-9EEF-91951F1D03A2}"/>
    <cellStyle name="Comma 13 2 2 5 2 2" xfId="25858" xr:uid="{3FA4B65B-FB1D-4D15-BF84-11E47DB820D7}"/>
    <cellStyle name="Comma 13 2 2 5 2 2 2" xfId="56098" xr:uid="{4FDE53BB-3908-4B77-8679-6860DC439215}"/>
    <cellStyle name="Comma 13 2 2 5 2 3" xfId="40978" xr:uid="{F810D8BB-F251-4A82-9212-540E8E1391CE}"/>
    <cellStyle name="Comma 13 2 2 5 3" xfId="16786" xr:uid="{9FDB5144-88B4-4D35-B1B7-BD3A4A443465}"/>
    <cellStyle name="Comma 13 2 2 5 3 2" xfId="47026" xr:uid="{D4AFB382-8CDD-4937-A3A5-3995D0F00DBB}"/>
    <cellStyle name="Comma 13 2 2 5 4" xfId="31906" xr:uid="{DAB0DF6F-76FC-4072-A93D-48FBC2E050E5}"/>
    <cellStyle name="Comma 13 2 2 6" xfId="3178" xr:uid="{4107C3D4-25B2-484A-92A9-F20B554D90CD}"/>
    <cellStyle name="Comma 13 2 2 6 2" xfId="12250" xr:uid="{79375767-5A2C-4201-86FC-23A929D89996}"/>
    <cellStyle name="Comma 13 2 2 6 2 2" xfId="27370" xr:uid="{4BE1BC83-7919-4956-BB65-9BA5626FBC02}"/>
    <cellStyle name="Comma 13 2 2 6 2 2 2" xfId="57610" xr:uid="{37F52FFD-8FBC-4146-A83E-A64AB9A6450F}"/>
    <cellStyle name="Comma 13 2 2 6 2 3" xfId="42490" xr:uid="{08833E99-36B7-473D-BD2A-6B7A138C3D32}"/>
    <cellStyle name="Comma 13 2 2 6 3" xfId="18298" xr:uid="{9AEFEADE-5A6D-4D92-A42B-89E51759A26C}"/>
    <cellStyle name="Comma 13 2 2 6 3 2" xfId="48538" xr:uid="{56082354-AC80-4E46-9E35-656678E50BF3}"/>
    <cellStyle name="Comma 13 2 2 6 4" xfId="33418" xr:uid="{DC5C88D1-512D-4417-B8CD-5D6A620C2CCC}"/>
    <cellStyle name="Comma 13 2 2 7" xfId="4690" xr:uid="{C869C66C-8AE0-4EEA-A234-1637E5EF001E}"/>
    <cellStyle name="Comma 13 2 2 7 2" xfId="13762" xr:uid="{0081B15A-BF88-4E20-B643-C187F2071777}"/>
    <cellStyle name="Comma 13 2 2 7 2 2" xfId="28882" xr:uid="{E02811B4-4E73-4213-8EBF-38DD7CF9BB54}"/>
    <cellStyle name="Comma 13 2 2 7 2 2 2" xfId="59122" xr:uid="{5E7F5FA8-7410-4209-88B9-5B8169C4F039}"/>
    <cellStyle name="Comma 13 2 2 7 2 3" xfId="44002" xr:uid="{60208591-8275-413E-A3E1-BBD44F5888A3}"/>
    <cellStyle name="Comma 13 2 2 7 3" xfId="19810" xr:uid="{9C1897C4-99F0-47BF-BD05-AF78B89EC590}"/>
    <cellStyle name="Comma 13 2 2 7 3 2" xfId="50050" xr:uid="{99ABB229-4CB2-4A64-A2B9-E763DF4F2377}"/>
    <cellStyle name="Comma 13 2 2 7 4" xfId="34930" xr:uid="{CD14FE04-F241-464A-A363-D5602261ABF2}"/>
    <cellStyle name="Comma 13 2 2 8" xfId="6202" xr:uid="{86C686CC-BB49-4EAF-B047-A5490D90AC89}"/>
    <cellStyle name="Comma 13 2 2 8 2" xfId="21322" xr:uid="{4435CC52-A808-4D9F-BF78-8AA88364652D}"/>
    <cellStyle name="Comma 13 2 2 8 2 2" xfId="51562" xr:uid="{D482EC62-473C-4E6C-B4DF-874894F27B8C}"/>
    <cellStyle name="Comma 13 2 2 8 3" xfId="36442" xr:uid="{AE2C7940-5DCE-4AAB-A5B6-B4A2B0342EEB}"/>
    <cellStyle name="Comma 13 2 2 9" xfId="7714" xr:uid="{67ADD369-1A04-4392-B716-CBEB9E5E1B67}"/>
    <cellStyle name="Comma 13 2 2 9 2" xfId="22834" xr:uid="{9364F9F3-8F26-4BC7-99CF-1F0A489FCDCD}"/>
    <cellStyle name="Comma 13 2 2 9 2 2" xfId="53074" xr:uid="{2012CF38-6833-497E-96F0-B487072883EF}"/>
    <cellStyle name="Comma 13 2 2 9 3" xfId="37954" xr:uid="{289D8D1D-6BAD-491A-8006-03E7AA3AEADD}"/>
    <cellStyle name="Comma 13 2 3" xfId="238" xr:uid="{5D5ACA3E-B93E-4087-8391-81A4BD799619}"/>
    <cellStyle name="Comma 13 2 3 10" xfId="9310" xr:uid="{73FB4ABA-131D-42F6-A794-A0AEAB85F97E}"/>
    <cellStyle name="Comma 13 2 3 10 2" xfId="24430" xr:uid="{71ED6A9B-1F1C-4F3E-821F-A098BF97424A}"/>
    <cellStyle name="Comma 13 2 3 10 2 2" xfId="54670" xr:uid="{C3050B26-A4EF-48EE-9834-679090A7E4DD}"/>
    <cellStyle name="Comma 13 2 3 10 3" xfId="39550" xr:uid="{34E9D502-03E1-40EC-B9DD-3F49AFED52C3}"/>
    <cellStyle name="Comma 13 2 3 11" xfId="15358" xr:uid="{B83027DE-0D8B-4C81-BF85-3A31EF7703DC}"/>
    <cellStyle name="Comma 13 2 3 11 2" xfId="45598" xr:uid="{AF23C9C6-177E-4F23-9BDF-56B05464009D}"/>
    <cellStyle name="Comma 13 2 3 12" xfId="30478" xr:uid="{AC9F4415-EF3C-4E77-AB07-083D3BC9D885}"/>
    <cellStyle name="Comma 13 2 3 2" xfId="490" xr:uid="{77FC81B2-CC06-4EC9-A762-D88D0BA03FE9}"/>
    <cellStyle name="Comma 13 2 3 2 10" xfId="30730" xr:uid="{6ED0AA98-46DF-49FD-8BB6-9BDC7008DAAA}"/>
    <cellStyle name="Comma 13 2 3 2 2" xfId="1246" xr:uid="{6C059A2F-BD40-4A46-AAD2-BC6468E12B87}"/>
    <cellStyle name="Comma 13 2 3 2 2 2" xfId="2758" xr:uid="{57857FA1-297A-40E2-88DE-37D43B3066BD}"/>
    <cellStyle name="Comma 13 2 3 2 2 2 2" xfId="11830" xr:uid="{DD79566E-0205-4244-A8F7-E43955441D57}"/>
    <cellStyle name="Comma 13 2 3 2 2 2 2 2" xfId="26950" xr:uid="{61C774D3-DA30-4C02-BBD9-EA4A6422539A}"/>
    <cellStyle name="Comma 13 2 3 2 2 2 2 2 2" xfId="57190" xr:uid="{226C7EF3-0750-4F33-84A9-6AE7DB07F0B0}"/>
    <cellStyle name="Comma 13 2 3 2 2 2 2 3" xfId="42070" xr:uid="{2F99B322-3AE7-4492-88C0-0F513AE6FBE2}"/>
    <cellStyle name="Comma 13 2 3 2 2 2 3" xfId="17878" xr:uid="{8A790AB2-FEFD-40DB-8C09-06FCC5E38C81}"/>
    <cellStyle name="Comma 13 2 3 2 2 2 3 2" xfId="48118" xr:uid="{5EB8567E-4D0D-43EF-A01A-58530CAE86AE}"/>
    <cellStyle name="Comma 13 2 3 2 2 2 4" xfId="32998" xr:uid="{27FCF3C4-79EB-42E9-8773-CC2584A6F251}"/>
    <cellStyle name="Comma 13 2 3 2 2 3" xfId="4270" xr:uid="{FEE0882D-10DE-45E6-84EC-8B94FC14CF6F}"/>
    <cellStyle name="Comma 13 2 3 2 2 3 2" xfId="13342" xr:uid="{C3CC83E2-A9AA-42EA-B15D-39CF49D8C0F9}"/>
    <cellStyle name="Comma 13 2 3 2 2 3 2 2" xfId="28462" xr:uid="{2CCD7B04-C01D-4DC2-9CE4-C24F67A25B89}"/>
    <cellStyle name="Comma 13 2 3 2 2 3 2 2 2" xfId="58702" xr:uid="{9A44CCF7-2CC6-4FE5-932A-EC54F0DD6187}"/>
    <cellStyle name="Comma 13 2 3 2 2 3 2 3" xfId="43582" xr:uid="{9C55AEC3-5A85-42C2-BBA3-17B7120AF9B8}"/>
    <cellStyle name="Comma 13 2 3 2 2 3 3" xfId="19390" xr:uid="{221E3E4F-2808-4F28-96A4-7FB04C4D7C5F}"/>
    <cellStyle name="Comma 13 2 3 2 2 3 3 2" xfId="49630" xr:uid="{4B9D10D6-864A-4353-8284-13E6E43DCFFF}"/>
    <cellStyle name="Comma 13 2 3 2 2 3 4" xfId="34510" xr:uid="{68B62401-38C5-42BE-ACF0-A2AF2488E8C2}"/>
    <cellStyle name="Comma 13 2 3 2 2 4" xfId="5782" xr:uid="{B7DDF549-FB92-446A-A20C-007EA810AC9A}"/>
    <cellStyle name="Comma 13 2 3 2 2 4 2" xfId="14854" xr:uid="{ED8F415E-CCF4-4CB6-B5FD-2DF951D1275B}"/>
    <cellStyle name="Comma 13 2 3 2 2 4 2 2" xfId="29974" xr:uid="{EB859F8D-339E-489E-8482-4A4994EA6EA9}"/>
    <cellStyle name="Comma 13 2 3 2 2 4 2 2 2" xfId="60214" xr:uid="{FA87F323-4800-483E-B3E0-547DE6F92E28}"/>
    <cellStyle name="Comma 13 2 3 2 2 4 2 3" xfId="45094" xr:uid="{82D872FF-F86A-4BF5-9FA4-77DC356292A2}"/>
    <cellStyle name="Comma 13 2 3 2 2 4 3" xfId="20902" xr:uid="{FF1BE906-7938-403F-8E98-64A5248169B8}"/>
    <cellStyle name="Comma 13 2 3 2 2 4 3 2" xfId="51142" xr:uid="{FBB07E81-B3F0-4933-A669-EB2F5118F67E}"/>
    <cellStyle name="Comma 13 2 3 2 2 4 4" xfId="36022" xr:uid="{D3295E3E-15A3-4FB3-B65E-13BF90C7D534}"/>
    <cellStyle name="Comma 13 2 3 2 2 5" xfId="7294" xr:uid="{DE01DBF5-FB32-4849-B8F0-2348009EFE46}"/>
    <cellStyle name="Comma 13 2 3 2 2 5 2" xfId="22414" xr:uid="{8ECB53DD-F5D5-4066-9EF1-206E51C9BFE8}"/>
    <cellStyle name="Comma 13 2 3 2 2 5 2 2" xfId="52654" xr:uid="{07F8D98C-9A24-4FF6-907F-BE2480EB3305}"/>
    <cellStyle name="Comma 13 2 3 2 2 5 3" xfId="37534" xr:uid="{1803CBB7-428B-4020-A76C-174A5CF1BE63}"/>
    <cellStyle name="Comma 13 2 3 2 2 6" xfId="8806" xr:uid="{42CB95D0-DFF0-4665-B845-4082AAEBD497}"/>
    <cellStyle name="Comma 13 2 3 2 2 6 2" xfId="23926" xr:uid="{213D6B2D-AC3C-4A76-9D23-53A91C461633}"/>
    <cellStyle name="Comma 13 2 3 2 2 6 2 2" xfId="54166" xr:uid="{373A1A20-76F1-46A7-822F-7E703CD1782A}"/>
    <cellStyle name="Comma 13 2 3 2 2 6 3" xfId="39046" xr:uid="{9FAD9035-C407-46FE-AE83-8A7CFA494492}"/>
    <cellStyle name="Comma 13 2 3 2 2 7" xfId="10318" xr:uid="{223E1AC4-22DA-43B7-9600-6590F7958A9E}"/>
    <cellStyle name="Comma 13 2 3 2 2 7 2" xfId="25438" xr:uid="{2487F5EB-1F66-4142-9899-1A3CCC330620}"/>
    <cellStyle name="Comma 13 2 3 2 2 7 2 2" xfId="55678" xr:uid="{14ACD1DD-9F1E-46C1-942F-21F5BA386AFD}"/>
    <cellStyle name="Comma 13 2 3 2 2 7 3" xfId="40558" xr:uid="{0A783B40-38F0-4D93-A163-C59D11CFA708}"/>
    <cellStyle name="Comma 13 2 3 2 2 8" xfId="16366" xr:uid="{544202AB-5DDF-487A-82A4-8F5B92CF7774}"/>
    <cellStyle name="Comma 13 2 3 2 2 8 2" xfId="46606" xr:uid="{1A7FD957-7910-452D-9908-869BCF47B05A}"/>
    <cellStyle name="Comma 13 2 3 2 2 9" xfId="31486" xr:uid="{0586C687-9482-43AD-9954-D05CEF252DC3}"/>
    <cellStyle name="Comma 13 2 3 2 3" xfId="2002" xr:uid="{AFDF421A-885C-49B4-85D9-38503C7FA595}"/>
    <cellStyle name="Comma 13 2 3 2 3 2" xfId="11074" xr:uid="{FE3DCAD8-6DCD-4CA2-A1BF-FAE8DD8C51FA}"/>
    <cellStyle name="Comma 13 2 3 2 3 2 2" xfId="26194" xr:uid="{F019CCBD-2405-48DC-8969-EAD12F647DDE}"/>
    <cellStyle name="Comma 13 2 3 2 3 2 2 2" xfId="56434" xr:uid="{76774064-5544-439D-840C-A15BD946D4EF}"/>
    <cellStyle name="Comma 13 2 3 2 3 2 3" xfId="41314" xr:uid="{DF528E05-D942-4D1B-A3C9-51CFF78982BF}"/>
    <cellStyle name="Comma 13 2 3 2 3 3" xfId="17122" xr:uid="{3920C9D5-EC72-462B-B1D7-30ACA3163C68}"/>
    <cellStyle name="Comma 13 2 3 2 3 3 2" xfId="47362" xr:uid="{432283CB-C0E1-47ED-855B-366D7A36C896}"/>
    <cellStyle name="Comma 13 2 3 2 3 4" xfId="32242" xr:uid="{E05F6F16-7C08-4222-B2B3-7B9C9AE3A4C0}"/>
    <cellStyle name="Comma 13 2 3 2 4" xfId="3514" xr:uid="{970D6A1F-3122-4496-8975-17A142161FBA}"/>
    <cellStyle name="Comma 13 2 3 2 4 2" xfId="12586" xr:uid="{9024AF14-13D0-42F8-967A-94D392B6C8AC}"/>
    <cellStyle name="Comma 13 2 3 2 4 2 2" xfId="27706" xr:uid="{51EB7AD4-42E2-4B2D-AF50-8389B785C35C}"/>
    <cellStyle name="Comma 13 2 3 2 4 2 2 2" xfId="57946" xr:uid="{F63EF02C-B253-496E-98CF-B45D486C9D94}"/>
    <cellStyle name="Comma 13 2 3 2 4 2 3" xfId="42826" xr:uid="{2142EB2B-67C8-4462-BA0E-10AB39689327}"/>
    <cellStyle name="Comma 13 2 3 2 4 3" xfId="18634" xr:uid="{72E4F9D6-D13E-4FEB-948D-59AE34B59527}"/>
    <cellStyle name="Comma 13 2 3 2 4 3 2" xfId="48874" xr:uid="{84501D3D-0AED-4A29-A5DE-F27BC5187FDE}"/>
    <cellStyle name="Comma 13 2 3 2 4 4" xfId="33754" xr:uid="{DDD1E935-F40D-416B-B014-ED604E607A3B}"/>
    <cellStyle name="Comma 13 2 3 2 5" xfId="5026" xr:uid="{6E42B3A1-4115-4FED-B210-F1AEB113DE22}"/>
    <cellStyle name="Comma 13 2 3 2 5 2" xfId="14098" xr:uid="{4ACF8C3D-BE5B-443E-A0C7-2AAE46BE7677}"/>
    <cellStyle name="Comma 13 2 3 2 5 2 2" xfId="29218" xr:uid="{33AECA7B-5596-4531-A746-2FC1EC16E467}"/>
    <cellStyle name="Comma 13 2 3 2 5 2 2 2" xfId="59458" xr:uid="{0129AA5E-8150-4D8C-9F6C-B92E572649DC}"/>
    <cellStyle name="Comma 13 2 3 2 5 2 3" xfId="44338" xr:uid="{7BAC8683-64B2-4DCF-93AF-50B09F37F6EA}"/>
    <cellStyle name="Comma 13 2 3 2 5 3" xfId="20146" xr:uid="{93741FAA-4159-40A1-AE4D-66D8B9049A5E}"/>
    <cellStyle name="Comma 13 2 3 2 5 3 2" xfId="50386" xr:uid="{8C71E25F-F25E-4C4D-A165-BBE01BEFC7FB}"/>
    <cellStyle name="Comma 13 2 3 2 5 4" xfId="35266" xr:uid="{A25915CD-66F7-491C-BFD2-5AC373675784}"/>
    <cellStyle name="Comma 13 2 3 2 6" xfId="6538" xr:uid="{326C4243-86CF-47B2-8374-E3459DECD41C}"/>
    <cellStyle name="Comma 13 2 3 2 6 2" xfId="21658" xr:uid="{B0BC081A-C217-4BE2-9E8E-BDACD10D74A3}"/>
    <cellStyle name="Comma 13 2 3 2 6 2 2" xfId="51898" xr:uid="{3D435C48-2A14-4427-ADA4-25CD4AA5465F}"/>
    <cellStyle name="Comma 13 2 3 2 6 3" xfId="36778" xr:uid="{32E7D2F2-CD25-4170-9EC6-9C662AA6A3FD}"/>
    <cellStyle name="Comma 13 2 3 2 7" xfId="8050" xr:uid="{5C093264-C656-492A-BB1B-EBBD3B671CF8}"/>
    <cellStyle name="Comma 13 2 3 2 7 2" xfId="23170" xr:uid="{20C4A3CC-71C1-4D4F-B12F-0B9573B78280}"/>
    <cellStyle name="Comma 13 2 3 2 7 2 2" xfId="53410" xr:uid="{63F5936E-5DAB-47F3-A1B0-CE23241AB51F}"/>
    <cellStyle name="Comma 13 2 3 2 7 3" xfId="38290" xr:uid="{29B32E91-E479-4FBB-B429-A7AB1C784827}"/>
    <cellStyle name="Comma 13 2 3 2 8" xfId="9562" xr:uid="{65EEAFD4-CE18-4C69-B0CB-F6BC6C5B6EE1}"/>
    <cellStyle name="Comma 13 2 3 2 8 2" xfId="24682" xr:uid="{BF29CFC0-8D37-4F7A-A6DE-5B57348DD784}"/>
    <cellStyle name="Comma 13 2 3 2 8 2 2" xfId="54922" xr:uid="{3D2929FE-F70A-40E1-B28A-57146F3E3040}"/>
    <cellStyle name="Comma 13 2 3 2 8 3" xfId="39802" xr:uid="{4D0CF815-D5C1-4169-95A3-2B98444CE0B4}"/>
    <cellStyle name="Comma 13 2 3 2 9" xfId="15610" xr:uid="{FA8E9308-62F9-422A-AEAC-E979D2A0A175}"/>
    <cellStyle name="Comma 13 2 3 2 9 2" xfId="45850" xr:uid="{C8BFBDDB-9E27-433B-AE49-80F128B0F5C0}"/>
    <cellStyle name="Comma 13 2 3 3" xfId="742" xr:uid="{6C369104-47DE-4FAB-B686-1F48B63DF18E}"/>
    <cellStyle name="Comma 13 2 3 3 10" xfId="30982" xr:uid="{E8037B64-DDB2-4BF8-A3B3-F2384BC64904}"/>
    <cellStyle name="Comma 13 2 3 3 2" xfId="1498" xr:uid="{95210334-3CBD-4221-9A52-33448DADF18D}"/>
    <cellStyle name="Comma 13 2 3 3 2 2" xfId="3010" xr:uid="{069A77AB-7ED2-462B-8951-C027BB825FD3}"/>
    <cellStyle name="Comma 13 2 3 3 2 2 2" xfId="12082" xr:uid="{A4FBED0A-C48B-44E3-901C-A5E47C80B791}"/>
    <cellStyle name="Comma 13 2 3 3 2 2 2 2" xfId="27202" xr:uid="{B5FA1FC8-0006-4E4D-99A0-F9B90615FAA8}"/>
    <cellStyle name="Comma 13 2 3 3 2 2 2 2 2" xfId="57442" xr:uid="{1C2D6A3D-5C51-4EAC-86FB-009D0BCE1492}"/>
    <cellStyle name="Comma 13 2 3 3 2 2 2 3" xfId="42322" xr:uid="{D032593A-43B8-4698-85B2-9B5C559FDE75}"/>
    <cellStyle name="Comma 13 2 3 3 2 2 3" xfId="18130" xr:uid="{FC27F448-910C-46E4-BD16-A2C3A4D6E202}"/>
    <cellStyle name="Comma 13 2 3 3 2 2 3 2" xfId="48370" xr:uid="{2C977ECC-CFEB-49CB-97BF-FA9B385E6287}"/>
    <cellStyle name="Comma 13 2 3 3 2 2 4" xfId="33250" xr:uid="{14C30AE5-F5BA-41D2-8678-77B02FCF05EC}"/>
    <cellStyle name="Comma 13 2 3 3 2 3" xfId="4522" xr:uid="{6F6A16A4-EFB1-4EE3-9AA3-67826165D03E}"/>
    <cellStyle name="Comma 13 2 3 3 2 3 2" xfId="13594" xr:uid="{AD86B33C-B1E8-4689-97B1-1AD73FBD96E6}"/>
    <cellStyle name="Comma 13 2 3 3 2 3 2 2" xfId="28714" xr:uid="{5E8554E6-56C1-42F1-921A-7447A60EF039}"/>
    <cellStyle name="Comma 13 2 3 3 2 3 2 2 2" xfId="58954" xr:uid="{B2A50B4D-380A-4E46-B51D-482C4F9E2D9B}"/>
    <cellStyle name="Comma 13 2 3 3 2 3 2 3" xfId="43834" xr:uid="{C14FABAF-51EF-4147-8D58-EAD8581E8992}"/>
    <cellStyle name="Comma 13 2 3 3 2 3 3" xfId="19642" xr:uid="{CE2C14CD-A4E3-43A3-9FAC-214D83679CED}"/>
    <cellStyle name="Comma 13 2 3 3 2 3 3 2" xfId="49882" xr:uid="{5A2011E3-C316-4432-B677-59CE27E1342D}"/>
    <cellStyle name="Comma 13 2 3 3 2 3 4" xfId="34762" xr:uid="{E889E142-6C42-4947-B70D-CD7C87C47AE0}"/>
    <cellStyle name="Comma 13 2 3 3 2 4" xfId="6034" xr:uid="{245A6B9F-1064-4C7E-A455-F9C515799215}"/>
    <cellStyle name="Comma 13 2 3 3 2 4 2" xfId="15106" xr:uid="{C0A8B912-3BEA-401F-B86C-8D0C94FF2CCB}"/>
    <cellStyle name="Comma 13 2 3 3 2 4 2 2" xfId="30226" xr:uid="{59D5F457-2D65-4B7F-AEFB-527D8364FC91}"/>
    <cellStyle name="Comma 13 2 3 3 2 4 2 2 2" xfId="60466" xr:uid="{F4C49EA0-F531-4DD6-BCE1-F1816A7C17F9}"/>
    <cellStyle name="Comma 13 2 3 3 2 4 2 3" xfId="45346" xr:uid="{6DDBF392-F055-4C0C-9354-7DCCD9DD9674}"/>
    <cellStyle name="Comma 13 2 3 3 2 4 3" xfId="21154" xr:uid="{1F71A8F6-53EA-40DC-9CB2-5FBB1008B0FC}"/>
    <cellStyle name="Comma 13 2 3 3 2 4 3 2" xfId="51394" xr:uid="{08B78331-AC53-4EE8-B8AC-23520F484875}"/>
    <cellStyle name="Comma 13 2 3 3 2 4 4" xfId="36274" xr:uid="{EE62CB36-DDC9-44C9-8FD3-31E27E7D8ADB}"/>
    <cellStyle name="Comma 13 2 3 3 2 5" xfId="7546" xr:uid="{AB37EE98-FB6F-4029-A2D5-FC778387C849}"/>
    <cellStyle name="Comma 13 2 3 3 2 5 2" xfId="22666" xr:uid="{27305169-178A-4A7F-A0D1-98402AE0C0E8}"/>
    <cellStyle name="Comma 13 2 3 3 2 5 2 2" xfId="52906" xr:uid="{D6073DF3-7BBD-4352-B66D-3F05F59EB202}"/>
    <cellStyle name="Comma 13 2 3 3 2 5 3" xfId="37786" xr:uid="{D7AD7836-37CF-442F-9094-27C0B833E106}"/>
    <cellStyle name="Comma 13 2 3 3 2 6" xfId="9058" xr:uid="{2E2556EE-3944-4225-8E33-C1A989ED2914}"/>
    <cellStyle name="Comma 13 2 3 3 2 6 2" xfId="24178" xr:uid="{7AD41C37-2426-46B6-B5E8-CA271CCDF86C}"/>
    <cellStyle name="Comma 13 2 3 3 2 6 2 2" xfId="54418" xr:uid="{165D6312-7C04-442E-8611-B43586099645}"/>
    <cellStyle name="Comma 13 2 3 3 2 6 3" xfId="39298" xr:uid="{0091B291-2292-4B03-B8DF-4CB2410E274A}"/>
    <cellStyle name="Comma 13 2 3 3 2 7" xfId="10570" xr:uid="{13E4A7A7-F658-4124-9C48-12C87416DC98}"/>
    <cellStyle name="Comma 13 2 3 3 2 7 2" xfId="25690" xr:uid="{F2A11C5D-9372-4BFE-94C7-7D4D99DBBEA5}"/>
    <cellStyle name="Comma 13 2 3 3 2 7 2 2" xfId="55930" xr:uid="{C7D344F3-B80C-4009-8E28-73860F917355}"/>
    <cellStyle name="Comma 13 2 3 3 2 7 3" xfId="40810" xr:uid="{BA1DB7AD-B377-4C1A-B003-D48A9A6D2000}"/>
    <cellStyle name="Comma 13 2 3 3 2 8" xfId="16618" xr:uid="{0ABCC28F-0AA4-467A-A8DA-628DB3C67BE4}"/>
    <cellStyle name="Comma 13 2 3 3 2 8 2" xfId="46858" xr:uid="{5755DEE1-55F9-428F-A2C0-5011DAD7A115}"/>
    <cellStyle name="Comma 13 2 3 3 2 9" xfId="31738" xr:uid="{A7A7E1B8-50E4-428B-9ACE-0267115941E9}"/>
    <cellStyle name="Comma 13 2 3 3 3" xfId="2254" xr:uid="{DABF2563-DCCB-43E1-8D6E-4AE3EB4E450A}"/>
    <cellStyle name="Comma 13 2 3 3 3 2" xfId="11326" xr:uid="{56B3DE9E-C9EB-471D-B4E1-13412ECFD9D2}"/>
    <cellStyle name="Comma 13 2 3 3 3 2 2" xfId="26446" xr:uid="{40A02E37-504D-4188-A4C0-4FD8559F61F7}"/>
    <cellStyle name="Comma 13 2 3 3 3 2 2 2" xfId="56686" xr:uid="{9ED03C95-C6CA-4455-9132-1A8370FB285A}"/>
    <cellStyle name="Comma 13 2 3 3 3 2 3" xfId="41566" xr:uid="{914E4B8E-5EA5-4E0D-86F8-CB4C7952FF53}"/>
    <cellStyle name="Comma 13 2 3 3 3 3" xfId="17374" xr:uid="{D3FC42CD-6FAC-4546-966F-F4DC2940E641}"/>
    <cellStyle name="Comma 13 2 3 3 3 3 2" xfId="47614" xr:uid="{4F095A3B-5A1C-4A9C-AE89-16C3F8924494}"/>
    <cellStyle name="Comma 13 2 3 3 3 4" xfId="32494" xr:uid="{57814108-D7DB-4261-B068-59FAF7CC70B3}"/>
    <cellStyle name="Comma 13 2 3 3 4" xfId="3766" xr:uid="{893D0D01-BA14-4247-A509-8B0E29F823B7}"/>
    <cellStyle name="Comma 13 2 3 3 4 2" xfId="12838" xr:uid="{840F5149-EFF0-4A10-9358-EECF4BD77E0C}"/>
    <cellStyle name="Comma 13 2 3 3 4 2 2" xfId="27958" xr:uid="{91A11807-7D64-42F3-B92A-2AD475544E07}"/>
    <cellStyle name="Comma 13 2 3 3 4 2 2 2" xfId="58198" xr:uid="{86DE9DA8-2D07-4B87-B565-C6EAE19520F3}"/>
    <cellStyle name="Comma 13 2 3 3 4 2 3" xfId="43078" xr:uid="{3C06F7D6-0B6A-4042-A069-4F9E1D7B6A3E}"/>
    <cellStyle name="Comma 13 2 3 3 4 3" xfId="18886" xr:uid="{A51A3C2F-C904-47C5-A729-4F207591668D}"/>
    <cellStyle name="Comma 13 2 3 3 4 3 2" xfId="49126" xr:uid="{803804A9-6845-4CE8-8051-10E1B38CAE66}"/>
    <cellStyle name="Comma 13 2 3 3 4 4" xfId="34006" xr:uid="{37E6CBDE-5919-4FA9-9DC2-034096DB8098}"/>
    <cellStyle name="Comma 13 2 3 3 5" xfId="5278" xr:uid="{01F9EFF0-A0E0-4B70-A940-FDFB1C196BD8}"/>
    <cellStyle name="Comma 13 2 3 3 5 2" xfId="14350" xr:uid="{33B51CA6-483B-401B-A114-17C79671BEDF}"/>
    <cellStyle name="Comma 13 2 3 3 5 2 2" xfId="29470" xr:uid="{269D6A96-22C2-48F0-A0DE-EA2F42FC869C}"/>
    <cellStyle name="Comma 13 2 3 3 5 2 2 2" xfId="59710" xr:uid="{A09A5D6D-9200-452D-B4A0-69D3D6F1531B}"/>
    <cellStyle name="Comma 13 2 3 3 5 2 3" xfId="44590" xr:uid="{7BB15C4E-F426-410C-BC04-49E48626EE6E}"/>
    <cellStyle name="Comma 13 2 3 3 5 3" xfId="20398" xr:uid="{592A8BCE-48E3-4E8E-9896-10587DBDC2FE}"/>
    <cellStyle name="Comma 13 2 3 3 5 3 2" xfId="50638" xr:uid="{D0BC44FD-8E8D-40D0-B071-7C5D6E1795CA}"/>
    <cellStyle name="Comma 13 2 3 3 5 4" xfId="35518" xr:uid="{0A08F99B-5B89-44A1-A821-EB76F69539B3}"/>
    <cellStyle name="Comma 13 2 3 3 6" xfId="6790" xr:uid="{E1359BF8-A15D-4E2E-8302-2494CB0C3D10}"/>
    <cellStyle name="Comma 13 2 3 3 6 2" xfId="21910" xr:uid="{5A38443A-3915-40F1-8728-2F20CA4910C2}"/>
    <cellStyle name="Comma 13 2 3 3 6 2 2" xfId="52150" xr:uid="{65EEDFA2-64C2-4AAC-BEAC-60E10C781B07}"/>
    <cellStyle name="Comma 13 2 3 3 6 3" xfId="37030" xr:uid="{D0708C3E-B150-4FCC-AD35-F179C2CD9504}"/>
    <cellStyle name="Comma 13 2 3 3 7" xfId="8302" xr:uid="{BCFFD0E3-34D1-45B7-B98A-F77EB6899251}"/>
    <cellStyle name="Comma 13 2 3 3 7 2" xfId="23422" xr:uid="{EDB015EE-27AF-445B-A6CC-3003359A3988}"/>
    <cellStyle name="Comma 13 2 3 3 7 2 2" xfId="53662" xr:uid="{A1A6630D-8418-4AE7-A24C-3CE3F6A87361}"/>
    <cellStyle name="Comma 13 2 3 3 7 3" xfId="38542" xr:uid="{F53C5DC2-319A-4A02-ABC4-3748B29C27CC}"/>
    <cellStyle name="Comma 13 2 3 3 8" xfId="9814" xr:uid="{50FBB204-94BD-4A43-A56C-270635D6599D}"/>
    <cellStyle name="Comma 13 2 3 3 8 2" xfId="24934" xr:uid="{57CB7275-0B53-4B11-924D-3BD438D209FB}"/>
    <cellStyle name="Comma 13 2 3 3 8 2 2" xfId="55174" xr:uid="{932D4D91-C451-4E3B-AD4B-85406CF19777}"/>
    <cellStyle name="Comma 13 2 3 3 8 3" xfId="40054" xr:uid="{E979E5F6-4B09-40F5-8ECA-1F4E3765A7DE}"/>
    <cellStyle name="Comma 13 2 3 3 9" xfId="15862" xr:uid="{1E6B001A-0131-4DCD-9CF1-F376936EB3FD}"/>
    <cellStyle name="Comma 13 2 3 3 9 2" xfId="46102" xr:uid="{9F3DF48C-73A7-4E09-9A5F-5B3B2738BBFA}"/>
    <cellStyle name="Comma 13 2 3 4" xfId="994" xr:uid="{2B69CAD7-DEAA-4CDA-A7C9-6836B14330AB}"/>
    <cellStyle name="Comma 13 2 3 4 2" xfId="2506" xr:uid="{5941EB3C-8532-427E-9E58-CDF298A1FE4D}"/>
    <cellStyle name="Comma 13 2 3 4 2 2" xfId="11578" xr:uid="{7875D67D-C483-4274-9454-A7B389F3CD91}"/>
    <cellStyle name="Comma 13 2 3 4 2 2 2" xfId="26698" xr:uid="{A3EF80BB-6836-4EDF-A7F9-3A4F75CE5D7E}"/>
    <cellStyle name="Comma 13 2 3 4 2 2 2 2" xfId="56938" xr:uid="{6EEEBBB2-4891-4C6B-ADA6-A41230BA1DD6}"/>
    <cellStyle name="Comma 13 2 3 4 2 2 3" xfId="41818" xr:uid="{F6CBA695-1871-4055-BF29-8EBB35C547C2}"/>
    <cellStyle name="Comma 13 2 3 4 2 3" xfId="17626" xr:uid="{90591185-EAAD-4689-B476-C108C376210B}"/>
    <cellStyle name="Comma 13 2 3 4 2 3 2" xfId="47866" xr:uid="{13F81977-BEC8-497D-B476-BB5F2C4881D8}"/>
    <cellStyle name="Comma 13 2 3 4 2 4" xfId="32746" xr:uid="{4C4A97B3-1CA5-40EB-AB45-BF688EE7EDFD}"/>
    <cellStyle name="Comma 13 2 3 4 3" xfId="4018" xr:uid="{8AE4BD17-3AB4-4BDC-963E-6E315B388889}"/>
    <cellStyle name="Comma 13 2 3 4 3 2" xfId="13090" xr:uid="{FEC3EACA-7B94-4270-8C67-FD3A76E3CA73}"/>
    <cellStyle name="Comma 13 2 3 4 3 2 2" xfId="28210" xr:uid="{79504D01-F149-49F3-BD4F-A08C9ECC8984}"/>
    <cellStyle name="Comma 13 2 3 4 3 2 2 2" xfId="58450" xr:uid="{CE7A8EF4-C2F2-49A7-9AD1-E73E93761C83}"/>
    <cellStyle name="Comma 13 2 3 4 3 2 3" xfId="43330" xr:uid="{4B1BC0DC-DC4D-401C-BD39-E97087811B84}"/>
    <cellStyle name="Comma 13 2 3 4 3 3" xfId="19138" xr:uid="{936A0BB0-1A21-4C8C-A26D-61BA260EE5F9}"/>
    <cellStyle name="Comma 13 2 3 4 3 3 2" xfId="49378" xr:uid="{42124A60-D791-4282-BB13-042EE0439567}"/>
    <cellStyle name="Comma 13 2 3 4 3 4" xfId="34258" xr:uid="{D893BBE7-43CC-4BEE-BF54-44A4022346CB}"/>
    <cellStyle name="Comma 13 2 3 4 4" xfId="5530" xr:uid="{ADDD2C5C-1D90-47AE-8A00-1E62B384AAF6}"/>
    <cellStyle name="Comma 13 2 3 4 4 2" xfId="14602" xr:uid="{2808132C-C9FC-4F3F-BEB0-7FAAABE8E4DE}"/>
    <cellStyle name="Comma 13 2 3 4 4 2 2" xfId="29722" xr:uid="{3359DD2D-93A2-4DA0-B177-B89CBC743CC2}"/>
    <cellStyle name="Comma 13 2 3 4 4 2 2 2" xfId="59962" xr:uid="{0ABBF950-05D1-4255-AA29-1EB421DD0576}"/>
    <cellStyle name="Comma 13 2 3 4 4 2 3" xfId="44842" xr:uid="{B343A33A-0DBB-4AF1-8B3A-2BBC8F76D5E9}"/>
    <cellStyle name="Comma 13 2 3 4 4 3" xfId="20650" xr:uid="{F8FBD9E2-BE1B-4F20-B10A-B4E0E3C3E7BD}"/>
    <cellStyle name="Comma 13 2 3 4 4 3 2" xfId="50890" xr:uid="{20CC7CA1-7627-4372-8FB1-F7D3846C7CC8}"/>
    <cellStyle name="Comma 13 2 3 4 4 4" xfId="35770" xr:uid="{DF752022-1B73-48DA-B200-D34EA4AAC05F}"/>
    <cellStyle name="Comma 13 2 3 4 5" xfId="7042" xr:uid="{1A19F54A-E732-4326-A3E8-4F256E8A5C99}"/>
    <cellStyle name="Comma 13 2 3 4 5 2" xfId="22162" xr:uid="{7E1EDE74-F48B-486B-B3D8-977528460343}"/>
    <cellStyle name="Comma 13 2 3 4 5 2 2" xfId="52402" xr:uid="{A69CBBCB-B438-45DE-8271-5A33B622AEAF}"/>
    <cellStyle name="Comma 13 2 3 4 5 3" xfId="37282" xr:uid="{170B5ED9-7156-4108-B875-C90680AAAE8F}"/>
    <cellStyle name="Comma 13 2 3 4 6" xfId="8554" xr:uid="{4D532307-295B-43B3-9511-EC684AD34B5D}"/>
    <cellStyle name="Comma 13 2 3 4 6 2" xfId="23674" xr:uid="{CB73EBBB-E65E-4DF1-B889-DCAFA8813A34}"/>
    <cellStyle name="Comma 13 2 3 4 6 2 2" xfId="53914" xr:uid="{D417EF94-2840-438E-B7D8-E1219BFFFEEA}"/>
    <cellStyle name="Comma 13 2 3 4 6 3" xfId="38794" xr:uid="{A0A9FCF3-1067-45C6-8CAA-13CEAF1E3287}"/>
    <cellStyle name="Comma 13 2 3 4 7" xfId="10066" xr:uid="{62594FAE-A244-4C9E-BA9E-3019DAB9FDEE}"/>
    <cellStyle name="Comma 13 2 3 4 7 2" xfId="25186" xr:uid="{D31216F0-1318-44D8-8B87-3A154A063697}"/>
    <cellStyle name="Comma 13 2 3 4 7 2 2" xfId="55426" xr:uid="{5F9A2068-6716-4CF7-BC5F-F805A0730EEA}"/>
    <cellStyle name="Comma 13 2 3 4 7 3" xfId="40306" xr:uid="{509A7C6E-7405-4EE6-B84F-1AAFD6ADD3C3}"/>
    <cellStyle name="Comma 13 2 3 4 8" xfId="16114" xr:uid="{F15B12DE-30E8-4C40-9C50-72A42E0A9E7B}"/>
    <cellStyle name="Comma 13 2 3 4 8 2" xfId="46354" xr:uid="{662ABB71-9F73-419F-9534-9940F0ED972F}"/>
    <cellStyle name="Comma 13 2 3 4 9" xfId="31234" xr:uid="{F5EF6FEC-4194-419E-A611-C317D5F67EEC}"/>
    <cellStyle name="Comma 13 2 3 5" xfId="1750" xr:uid="{6D26FBEE-5F26-405F-B027-D5AC20F3061A}"/>
    <cellStyle name="Comma 13 2 3 5 2" xfId="10822" xr:uid="{AA149AD0-283A-4839-812F-981BA28D5174}"/>
    <cellStyle name="Comma 13 2 3 5 2 2" xfId="25942" xr:uid="{84D9A0AF-4229-4FEE-931F-F5AA22A49FE2}"/>
    <cellStyle name="Comma 13 2 3 5 2 2 2" xfId="56182" xr:uid="{DE582127-7BF7-4B6C-8884-453D2284F134}"/>
    <cellStyle name="Comma 13 2 3 5 2 3" xfId="41062" xr:uid="{46268A50-04CB-40E7-ADC5-6966B3E911B6}"/>
    <cellStyle name="Comma 13 2 3 5 3" xfId="16870" xr:uid="{95AC0849-746E-4A4D-927B-E8FABD1EE50E}"/>
    <cellStyle name="Comma 13 2 3 5 3 2" xfId="47110" xr:uid="{D21C88B8-F64B-4509-ACEE-EA428ADC057B}"/>
    <cellStyle name="Comma 13 2 3 5 4" xfId="31990" xr:uid="{AE69C7AF-1CD8-426E-BAC4-E8284B61F311}"/>
    <cellStyle name="Comma 13 2 3 6" xfId="3262" xr:uid="{A86ED837-E6BF-44EA-9927-DD2043242942}"/>
    <cellStyle name="Comma 13 2 3 6 2" xfId="12334" xr:uid="{CAF207E2-03BC-4FF0-8469-72CE16BC146B}"/>
    <cellStyle name="Comma 13 2 3 6 2 2" xfId="27454" xr:uid="{27D4EAE8-8A22-497E-B789-90FDF2E08AEC}"/>
    <cellStyle name="Comma 13 2 3 6 2 2 2" xfId="57694" xr:uid="{FFF1DCB9-462E-4EDA-82C0-F8AC9F41ECCD}"/>
    <cellStyle name="Comma 13 2 3 6 2 3" xfId="42574" xr:uid="{B578E930-905C-4E86-80D6-850D4011C7A8}"/>
    <cellStyle name="Comma 13 2 3 6 3" xfId="18382" xr:uid="{D383EB1C-7599-46FF-BAE4-55A300239A29}"/>
    <cellStyle name="Comma 13 2 3 6 3 2" xfId="48622" xr:uid="{9C2C9016-4D85-4875-89CE-DB9C8C2BFDA7}"/>
    <cellStyle name="Comma 13 2 3 6 4" xfId="33502" xr:uid="{676BAB44-F106-4FAF-BBCC-58F656733660}"/>
    <cellStyle name="Comma 13 2 3 7" xfId="4774" xr:uid="{F071A19C-83D1-4DB1-B7BA-DE715971A20B}"/>
    <cellStyle name="Comma 13 2 3 7 2" xfId="13846" xr:uid="{63218BC9-3CB1-4D76-8665-F07EC6338F62}"/>
    <cellStyle name="Comma 13 2 3 7 2 2" xfId="28966" xr:uid="{021DA78E-88A5-44EB-82E0-D4AEB478150C}"/>
    <cellStyle name="Comma 13 2 3 7 2 2 2" xfId="59206" xr:uid="{02D081E5-B794-47A2-8D40-31BE6DD59076}"/>
    <cellStyle name="Comma 13 2 3 7 2 3" xfId="44086" xr:uid="{9E90F025-861E-48D0-AC86-9AD27DC221E9}"/>
    <cellStyle name="Comma 13 2 3 7 3" xfId="19894" xr:uid="{348E0EA1-5F98-4757-B10D-DEFCD6BFEFDE}"/>
    <cellStyle name="Comma 13 2 3 7 3 2" xfId="50134" xr:uid="{55F35E42-51BE-4128-ABD7-0BE6018B7E69}"/>
    <cellStyle name="Comma 13 2 3 7 4" xfId="35014" xr:uid="{B4D53438-EB78-41FD-B107-626FB64415A7}"/>
    <cellStyle name="Comma 13 2 3 8" xfId="6286" xr:uid="{D7DACEE6-A0BC-47BE-B30E-67FE358AD0A7}"/>
    <cellStyle name="Comma 13 2 3 8 2" xfId="21406" xr:uid="{0732F247-FB0E-4F96-A248-F318B264CA1C}"/>
    <cellStyle name="Comma 13 2 3 8 2 2" xfId="51646" xr:uid="{A7222234-FAC2-4AD1-9200-BEC6F8007296}"/>
    <cellStyle name="Comma 13 2 3 8 3" xfId="36526" xr:uid="{9DCD0916-6E91-4CA8-9EDC-98EB81C791C9}"/>
    <cellStyle name="Comma 13 2 3 9" xfId="7798" xr:uid="{8A6298A2-FA22-4A1E-80F6-1FB58AD7BB12}"/>
    <cellStyle name="Comma 13 2 3 9 2" xfId="22918" xr:uid="{EC897EEF-E438-4A7A-89A6-5A58A3BF490A}"/>
    <cellStyle name="Comma 13 2 3 9 2 2" xfId="53158" xr:uid="{DCC329ED-56A6-4D3A-919C-2C784481E562}"/>
    <cellStyle name="Comma 13 2 3 9 3" xfId="38038" xr:uid="{05914C5E-7FE8-4EA3-94CB-AA97D3A406AB}"/>
    <cellStyle name="Comma 13 2 4" xfId="322" xr:uid="{782637D7-3E2B-47F2-AD55-1921B53FA314}"/>
    <cellStyle name="Comma 13 2 4 10" xfId="30562" xr:uid="{1423B80B-C4BC-4237-B591-A3DA7B598FAA}"/>
    <cellStyle name="Comma 13 2 4 2" xfId="1078" xr:uid="{BD4A1D81-5EC0-4500-B790-D0D884123CB0}"/>
    <cellStyle name="Comma 13 2 4 2 2" xfId="2590" xr:uid="{6BF77E0B-1C5E-4DDC-8320-BE89BC356BD6}"/>
    <cellStyle name="Comma 13 2 4 2 2 2" xfId="11662" xr:uid="{A6850BD0-25E1-48B4-873E-8391A3933B96}"/>
    <cellStyle name="Comma 13 2 4 2 2 2 2" xfId="26782" xr:uid="{4FF64890-E433-4471-B999-6796A8A0C55C}"/>
    <cellStyle name="Comma 13 2 4 2 2 2 2 2" xfId="57022" xr:uid="{E4192AAC-D444-49EB-B04F-CE0A5537223E}"/>
    <cellStyle name="Comma 13 2 4 2 2 2 3" xfId="41902" xr:uid="{877CC38F-E558-49D2-8221-5DE4AE7A97F3}"/>
    <cellStyle name="Comma 13 2 4 2 2 3" xfId="17710" xr:uid="{0CA529B0-7BB8-4414-8D76-8676D826AEAC}"/>
    <cellStyle name="Comma 13 2 4 2 2 3 2" xfId="47950" xr:uid="{AB9C6B6B-003B-4F0C-B358-23C1994B5166}"/>
    <cellStyle name="Comma 13 2 4 2 2 4" xfId="32830" xr:uid="{A60210C3-5D6B-4EF3-BD20-33E7FDD1F5A2}"/>
    <cellStyle name="Comma 13 2 4 2 3" xfId="4102" xr:uid="{31A11D2B-A737-4E63-9B4B-53192238CD97}"/>
    <cellStyle name="Comma 13 2 4 2 3 2" xfId="13174" xr:uid="{F9EE572F-5A98-433E-9B7E-F735B7E4B633}"/>
    <cellStyle name="Comma 13 2 4 2 3 2 2" xfId="28294" xr:uid="{4B4BFF50-253C-47A8-B280-B9E69F51C4CA}"/>
    <cellStyle name="Comma 13 2 4 2 3 2 2 2" xfId="58534" xr:uid="{ED449BEA-92C3-4297-AD47-830301F61110}"/>
    <cellStyle name="Comma 13 2 4 2 3 2 3" xfId="43414" xr:uid="{628A843A-A51B-4CB7-817D-FB61A2A57EDA}"/>
    <cellStyle name="Comma 13 2 4 2 3 3" xfId="19222" xr:uid="{742D4A67-4E6C-495D-AC5A-13AA8B583F8D}"/>
    <cellStyle name="Comma 13 2 4 2 3 3 2" xfId="49462" xr:uid="{97CB16BF-3918-4BB3-B506-F74EC925FC03}"/>
    <cellStyle name="Comma 13 2 4 2 3 4" xfId="34342" xr:uid="{91B65FE1-FB9A-475B-B5AF-2B9B111E0DCD}"/>
    <cellStyle name="Comma 13 2 4 2 4" xfId="5614" xr:uid="{88A05D9A-844E-4B89-9D95-98C1F04CB5F0}"/>
    <cellStyle name="Comma 13 2 4 2 4 2" xfId="14686" xr:uid="{732BE806-E082-4274-AA1F-EA72C1EB36F5}"/>
    <cellStyle name="Comma 13 2 4 2 4 2 2" xfId="29806" xr:uid="{90EF943A-7059-4C43-AAFB-0B6105E0AA1E}"/>
    <cellStyle name="Comma 13 2 4 2 4 2 2 2" xfId="60046" xr:uid="{C9D66FDA-FED7-45F6-8B6D-B678790E2BDB}"/>
    <cellStyle name="Comma 13 2 4 2 4 2 3" xfId="44926" xr:uid="{33EA93B1-23A3-4194-893C-C989BB3D1F23}"/>
    <cellStyle name="Comma 13 2 4 2 4 3" xfId="20734" xr:uid="{9A96CA58-B269-4B95-970A-AD32660F6002}"/>
    <cellStyle name="Comma 13 2 4 2 4 3 2" xfId="50974" xr:uid="{65D897A4-BE42-481D-AAC1-9AF1DADF6DB2}"/>
    <cellStyle name="Comma 13 2 4 2 4 4" xfId="35854" xr:uid="{AE05E84D-FAFF-40D3-B9F5-34A7C53B3102}"/>
    <cellStyle name="Comma 13 2 4 2 5" xfId="7126" xr:uid="{4F3AD002-35CD-4861-ABEC-A93F4D41B2A8}"/>
    <cellStyle name="Comma 13 2 4 2 5 2" xfId="22246" xr:uid="{F9CA9B03-38CE-400E-85E2-E0DDCA3963C9}"/>
    <cellStyle name="Comma 13 2 4 2 5 2 2" xfId="52486" xr:uid="{5ABD4D96-39E9-4794-A701-B5F54661351C}"/>
    <cellStyle name="Comma 13 2 4 2 5 3" xfId="37366" xr:uid="{E833780C-0D2B-4661-B415-0202162D296D}"/>
    <cellStyle name="Comma 13 2 4 2 6" xfId="8638" xr:uid="{659E79BC-BDDA-41A5-B146-5C79E87BBB1D}"/>
    <cellStyle name="Comma 13 2 4 2 6 2" xfId="23758" xr:uid="{D079555A-3147-4AE5-974F-7533394DFFA3}"/>
    <cellStyle name="Comma 13 2 4 2 6 2 2" xfId="53998" xr:uid="{74DC92A8-DC10-4B0D-BC94-76D0251E5FB5}"/>
    <cellStyle name="Comma 13 2 4 2 6 3" xfId="38878" xr:uid="{42E637F4-37AC-4D78-B599-515594576D1E}"/>
    <cellStyle name="Comma 13 2 4 2 7" xfId="10150" xr:uid="{6792CFFE-C515-4036-8EE0-5C8AA0982241}"/>
    <cellStyle name="Comma 13 2 4 2 7 2" xfId="25270" xr:uid="{82D94A1D-D143-42BF-BA99-AD81A6DFAF85}"/>
    <cellStyle name="Comma 13 2 4 2 7 2 2" xfId="55510" xr:uid="{CB2773AE-5794-4A41-A3B6-7E897D0AE195}"/>
    <cellStyle name="Comma 13 2 4 2 7 3" xfId="40390" xr:uid="{9C591F30-773E-48D5-A108-07F6D6306075}"/>
    <cellStyle name="Comma 13 2 4 2 8" xfId="16198" xr:uid="{52918DFD-7C55-4523-A438-949964D32AB4}"/>
    <cellStyle name="Comma 13 2 4 2 8 2" xfId="46438" xr:uid="{50194097-087D-46D5-B969-2FE2D8F8F942}"/>
    <cellStyle name="Comma 13 2 4 2 9" xfId="31318" xr:uid="{23AF3C2F-D4C9-4297-AF71-3618C910A1F4}"/>
    <cellStyle name="Comma 13 2 4 3" xfId="1834" xr:uid="{0573D237-E132-4E57-BCA6-D12328C821D4}"/>
    <cellStyle name="Comma 13 2 4 3 2" xfId="10906" xr:uid="{227D6630-DF17-48B6-8B73-23A1CDBD3052}"/>
    <cellStyle name="Comma 13 2 4 3 2 2" xfId="26026" xr:uid="{C5883EC8-37C6-4635-BDE5-D811BD02B813}"/>
    <cellStyle name="Comma 13 2 4 3 2 2 2" xfId="56266" xr:uid="{D497AB53-F466-4279-9E4A-D30F0CCC5E05}"/>
    <cellStyle name="Comma 13 2 4 3 2 3" xfId="41146" xr:uid="{072F5ABA-B98D-4EB1-9ED1-6D4CB35A83C1}"/>
    <cellStyle name="Comma 13 2 4 3 3" xfId="16954" xr:uid="{7C5B2516-CBC4-4DA7-BCE8-88DEB1A6C272}"/>
    <cellStyle name="Comma 13 2 4 3 3 2" xfId="47194" xr:uid="{194E2604-820C-4302-9721-82FA27ADDCEA}"/>
    <cellStyle name="Comma 13 2 4 3 4" xfId="32074" xr:uid="{B44A3863-72F3-4669-BD88-DA66BA47285F}"/>
    <cellStyle name="Comma 13 2 4 4" xfId="3346" xr:uid="{3CE3FD95-E910-4EBA-A40D-39CA1257EF49}"/>
    <cellStyle name="Comma 13 2 4 4 2" xfId="12418" xr:uid="{5C8D10B4-0A5F-473F-AD1B-B5DA20F9E248}"/>
    <cellStyle name="Comma 13 2 4 4 2 2" xfId="27538" xr:uid="{8ACEFEB4-FF9B-4DEC-87A2-6EA56F7A7777}"/>
    <cellStyle name="Comma 13 2 4 4 2 2 2" xfId="57778" xr:uid="{DE2DFBE0-75D9-4F3C-A766-505D8BDF6280}"/>
    <cellStyle name="Comma 13 2 4 4 2 3" xfId="42658" xr:uid="{19F2D7BE-FABB-4E1D-99FD-AECA88F3F3A6}"/>
    <cellStyle name="Comma 13 2 4 4 3" xfId="18466" xr:uid="{61AD30E1-548F-4D6A-947E-C5FD50B8E0C8}"/>
    <cellStyle name="Comma 13 2 4 4 3 2" xfId="48706" xr:uid="{6585E632-EDFF-48BF-9437-677A8FA2958F}"/>
    <cellStyle name="Comma 13 2 4 4 4" xfId="33586" xr:uid="{ADD395B4-590A-420F-900B-9A0246A8FDC8}"/>
    <cellStyle name="Comma 13 2 4 5" xfId="4858" xr:uid="{6EF48446-D661-47FB-A152-878BE5373ED0}"/>
    <cellStyle name="Comma 13 2 4 5 2" xfId="13930" xr:uid="{19160A64-D5A6-43B3-B5A1-062FD420FB17}"/>
    <cellStyle name="Comma 13 2 4 5 2 2" xfId="29050" xr:uid="{DE40E712-B2A6-45D2-A2A7-76D47A49576D}"/>
    <cellStyle name="Comma 13 2 4 5 2 2 2" xfId="59290" xr:uid="{04701343-6CC7-42CD-8BD8-7403CFEEE2B4}"/>
    <cellStyle name="Comma 13 2 4 5 2 3" xfId="44170" xr:uid="{11FCEB8B-6B87-44CA-8A00-68315C3D6CD7}"/>
    <cellStyle name="Comma 13 2 4 5 3" xfId="19978" xr:uid="{D80731C4-8DA7-4A0B-9B87-5475693E8BDC}"/>
    <cellStyle name="Comma 13 2 4 5 3 2" xfId="50218" xr:uid="{D651CE3B-91ED-4C30-8832-0B68ADAEF3C8}"/>
    <cellStyle name="Comma 13 2 4 5 4" xfId="35098" xr:uid="{27839BC1-3099-477D-AB9E-757EA331C659}"/>
    <cellStyle name="Comma 13 2 4 6" xfId="6370" xr:uid="{ED853D00-0A1C-4106-83E7-6A27C9D82666}"/>
    <cellStyle name="Comma 13 2 4 6 2" xfId="21490" xr:uid="{F102C05C-8FBD-4CD1-B43E-E47E04E8DEF6}"/>
    <cellStyle name="Comma 13 2 4 6 2 2" xfId="51730" xr:uid="{D9C3AC71-1EA3-4882-AB47-49E3EBBF16F5}"/>
    <cellStyle name="Comma 13 2 4 6 3" xfId="36610" xr:uid="{D3419C51-2707-49A7-B95D-2FD379ED0584}"/>
    <cellStyle name="Comma 13 2 4 7" xfId="7882" xr:uid="{8DAAF7A8-977B-4753-852E-D07325B406BF}"/>
    <cellStyle name="Comma 13 2 4 7 2" xfId="23002" xr:uid="{19569931-3615-47BA-8833-36047691EAA0}"/>
    <cellStyle name="Comma 13 2 4 7 2 2" xfId="53242" xr:uid="{82BED3C1-7059-4FA4-90B2-3FECD80F566E}"/>
    <cellStyle name="Comma 13 2 4 7 3" xfId="38122" xr:uid="{583D4314-797C-4F71-8E64-F0C990B8705E}"/>
    <cellStyle name="Comma 13 2 4 8" xfId="9394" xr:uid="{B9F1DCB0-8115-4042-837C-2AE3C12ABC09}"/>
    <cellStyle name="Comma 13 2 4 8 2" xfId="24514" xr:uid="{5F127BA1-5D25-4FF0-9EC8-05FC45537F9E}"/>
    <cellStyle name="Comma 13 2 4 8 2 2" xfId="54754" xr:uid="{E70867F0-4B4B-4E21-9601-D721BC6C1D9F}"/>
    <cellStyle name="Comma 13 2 4 8 3" xfId="39634" xr:uid="{0DB3AF7C-1051-4504-A1D8-20C55E597FA8}"/>
    <cellStyle name="Comma 13 2 4 9" xfId="15442" xr:uid="{4F61EAD2-841E-4048-A996-81F12A79C8E3}"/>
    <cellStyle name="Comma 13 2 4 9 2" xfId="45682" xr:uid="{0FDC2334-FFDF-474B-A0EF-864340C958AF}"/>
    <cellStyle name="Comma 13 2 5" xfId="574" xr:uid="{4B96EEA2-20EF-4A62-93C8-4AC5CB394F05}"/>
    <cellStyle name="Comma 13 2 5 10" xfId="30814" xr:uid="{625FE2D6-CE2D-4E5F-8C0E-F883E512CBDF}"/>
    <cellStyle name="Comma 13 2 5 2" xfId="1330" xr:uid="{3F3AECF5-5E7D-40CA-9DB5-FE59294DF1CC}"/>
    <cellStyle name="Comma 13 2 5 2 2" xfId="2842" xr:uid="{148225E8-341C-4C51-8A1D-BEA762436E35}"/>
    <cellStyle name="Comma 13 2 5 2 2 2" xfId="11914" xr:uid="{F7BE775E-DF80-4592-AD05-9F0C63D54AF5}"/>
    <cellStyle name="Comma 13 2 5 2 2 2 2" xfId="27034" xr:uid="{47EABF66-5984-48C0-BA6E-B1FB3932CEB2}"/>
    <cellStyle name="Comma 13 2 5 2 2 2 2 2" xfId="57274" xr:uid="{E5AA6D96-B1D5-4C42-8DAB-F8C11AFE4409}"/>
    <cellStyle name="Comma 13 2 5 2 2 2 3" xfId="42154" xr:uid="{CBB75754-88E6-429F-8C21-5EF1B8AA8C49}"/>
    <cellStyle name="Comma 13 2 5 2 2 3" xfId="17962" xr:uid="{FFC8D621-A002-4854-ABFA-D99502771287}"/>
    <cellStyle name="Comma 13 2 5 2 2 3 2" xfId="48202" xr:uid="{F8219970-8B37-4208-9F75-5982F5C63232}"/>
    <cellStyle name="Comma 13 2 5 2 2 4" xfId="33082" xr:uid="{5A042212-1594-4555-95D8-713E64498E91}"/>
    <cellStyle name="Comma 13 2 5 2 3" xfId="4354" xr:uid="{67E8F348-13C2-484B-97E6-7ED054100446}"/>
    <cellStyle name="Comma 13 2 5 2 3 2" xfId="13426" xr:uid="{ED3B2D15-3C44-4DA1-8879-A99C2A1FA27F}"/>
    <cellStyle name="Comma 13 2 5 2 3 2 2" xfId="28546" xr:uid="{06AB40B6-BEC6-4630-954D-7A50A03D7288}"/>
    <cellStyle name="Comma 13 2 5 2 3 2 2 2" xfId="58786" xr:uid="{E37D59F8-6AF2-436C-8B5E-B23D43D942C0}"/>
    <cellStyle name="Comma 13 2 5 2 3 2 3" xfId="43666" xr:uid="{FD0815F9-4220-426A-A977-E069D4E54522}"/>
    <cellStyle name="Comma 13 2 5 2 3 3" xfId="19474" xr:uid="{29890695-0728-48C2-80E3-7738515E3D29}"/>
    <cellStyle name="Comma 13 2 5 2 3 3 2" xfId="49714" xr:uid="{D9E2264D-2D6D-45CC-91E5-E7AAB338C73E}"/>
    <cellStyle name="Comma 13 2 5 2 3 4" xfId="34594" xr:uid="{B44FCB76-885E-4F9F-802F-D43F16FB9342}"/>
    <cellStyle name="Comma 13 2 5 2 4" xfId="5866" xr:uid="{7E87726D-F829-447D-8DCF-963CA291DD38}"/>
    <cellStyle name="Comma 13 2 5 2 4 2" xfId="14938" xr:uid="{5A106F83-CE80-4EE5-B141-EBB4F0365862}"/>
    <cellStyle name="Comma 13 2 5 2 4 2 2" xfId="30058" xr:uid="{E5781DF3-0728-4AAE-9688-B4600BE95D66}"/>
    <cellStyle name="Comma 13 2 5 2 4 2 2 2" xfId="60298" xr:uid="{B96986B6-C4CE-4CC7-9644-F6B2D9203C9A}"/>
    <cellStyle name="Comma 13 2 5 2 4 2 3" xfId="45178" xr:uid="{0691B825-541D-478A-9A41-90EADD3D14B8}"/>
    <cellStyle name="Comma 13 2 5 2 4 3" xfId="20986" xr:uid="{B539D40B-6AFE-41B2-95A0-3E2F37108B6B}"/>
    <cellStyle name="Comma 13 2 5 2 4 3 2" xfId="51226" xr:uid="{C8FF0028-2D0E-486D-8C0D-7A8FA1398811}"/>
    <cellStyle name="Comma 13 2 5 2 4 4" xfId="36106" xr:uid="{5A715D35-925F-4511-93FF-2E80DD11911B}"/>
    <cellStyle name="Comma 13 2 5 2 5" xfId="7378" xr:uid="{A472D911-E49D-412D-A40C-C24FDF75A5EC}"/>
    <cellStyle name="Comma 13 2 5 2 5 2" xfId="22498" xr:uid="{911203AC-FA82-44B8-8864-11F77CEADBC6}"/>
    <cellStyle name="Comma 13 2 5 2 5 2 2" xfId="52738" xr:uid="{F2953047-FCFB-4412-98D5-BF0403F4AF57}"/>
    <cellStyle name="Comma 13 2 5 2 5 3" xfId="37618" xr:uid="{4FDDA2B3-59A6-4565-9CAA-FD8E445719E3}"/>
    <cellStyle name="Comma 13 2 5 2 6" xfId="8890" xr:uid="{99543312-744F-4C84-8D45-BC437889F2EC}"/>
    <cellStyle name="Comma 13 2 5 2 6 2" xfId="24010" xr:uid="{F86AA03F-ED04-49F8-8127-0C65B18DB4ED}"/>
    <cellStyle name="Comma 13 2 5 2 6 2 2" xfId="54250" xr:uid="{93A05502-A4A2-42C0-B661-0FB2615B38DD}"/>
    <cellStyle name="Comma 13 2 5 2 6 3" xfId="39130" xr:uid="{53E4C142-6421-4787-AE9C-3281C424A4BF}"/>
    <cellStyle name="Comma 13 2 5 2 7" xfId="10402" xr:uid="{A2221039-0520-4339-9FDC-46731C34C57B}"/>
    <cellStyle name="Comma 13 2 5 2 7 2" xfId="25522" xr:uid="{1FB036F1-ABCB-49F3-9AC9-68F3987B71D3}"/>
    <cellStyle name="Comma 13 2 5 2 7 2 2" xfId="55762" xr:uid="{9B6C9440-7EB5-4A19-885E-AF5972F8AC10}"/>
    <cellStyle name="Comma 13 2 5 2 7 3" xfId="40642" xr:uid="{F2B27D91-B03D-4E18-BC66-EF9F2456CC36}"/>
    <cellStyle name="Comma 13 2 5 2 8" xfId="16450" xr:uid="{403095BA-A529-45AA-8ABA-AFE3115CE838}"/>
    <cellStyle name="Comma 13 2 5 2 8 2" xfId="46690" xr:uid="{186DEA9D-7CE3-4AC9-B0DC-E49DCD54C545}"/>
    <cellStyle name="Comma 13 2 5 2 9" xfId="31570" xr:uid="{6503552F-70F3-44DB-90FA-040524022D94}"/>
    <cellStyle name="Comma 13 2 5 3" xfId="2086" xr:uid="{E84774A6-83D3-43D7-88C8-152B2B461E66}"/>
    <cellStyle name="Comma 13 2 5 3 2" xfId="11158" xr:uid="{87D2333C-83DB-41EA-812C-F0C790E71D69}"/>
    <cellStyle name="Comma 13 2 5 3 2 2" xfId="26278" xr:uid="{DF308126-7867-4238-BA5C-062516FA9AE6}"/>
    <cellStyle name="Comma 13 2 5 3 2 2 2" xfId="56518" xr:uid="{6A95F57E-E734-47C3-8429-A39E1BFD5D42}"/>
    <cellStyle name="Comma 13 2 5 3 2 3" xfId="41398" xr:uid="{B46ADB32-F28F-438F-81C4-95BBEF4CC0DD}"/>
    <cellStyle name="Comma 13 2 5 3 3" xfId="17206" xr:uid="{C14D1F5D-67C0-4236-834E-FF987AAE2CA8}"/>
    <cellStyle name="Comma 13 2 5 3 3 2" xfId="47446" xr:uid="{8A7372B3-79EC-4994-9CF7-0B3927AC82AA}"/>
    <cellStyle name="Comma 13 2 5 3 4" xfId="32326" xr:uid="{D385C3B3-EFE7-4325-A52F-833A299F0F00}"/>
    <cellStyle name="Comma 13 2 5 4" xfId="3598" xr:uid="{A79DB261-507D-4319-98DF-DD596B82011B}"/>
    <cellStyle name="Comma 13 2 5 4 2" xfId="12670" xr:uid="{E918DD17-5F09-40EE-89FC-28392DA92591}"/>
    <cellStyle name="Comma 13 2 5 4 2 2" xfId="27790" xr:uid="{E5E51B90-5C24-4E3D-A318-6187B2080640}"/>
    <cellStyle name="Comma 13 2 5 4 2 2 2" xfId="58030" xr:uid="{1A719CDF-7EA4-489D-A487-3C38E2E595B0}"/>
    <cellStyle name="Comma 13 2 5 4 2 3" xfId="42910" xr:uid="{D7D919DC-B26A-45D4-A4E7-D83496F78753}"/>
    <cellStyle name="Comma 13 2 5 4 3" xfId="18718" xr:uid="{6737966A-06D5-4071-9BA4-1502A9DD2EA4}"/>
    <cellStyle name="Comma 13 2 5 4 3 2" xfId="48958" xr:uid="{EFFDB129-8EC4-43C6-8541-885E379433B1}"/>
    <cellStyle name="Comma 13 2 5 4 4" xfId="33838" xr:uid="{8D46CF4A-3185-4EDB-9957-D569B9352D4E}"/>
    <cellStyle name="Comma 13 2 5 5" xfId="5110" xr:uid="{9B51E961-35BB-47BA-BF12-71F30F3A7949}"/>
    <cellStyle name="Comma 13 2 5 5 2" xfId="14182" xr:uid="{F2775AA4-1430-484B-B22E-8497E4E2568D}"/>
    <cellStyle name="Comma 13 2 5 5 2 2" xfId="29302" xr:uid="{F055CCFB-350B-4C8B-B9E7-505B584A356B}"/>
    <cellStyle name="Comma 13 2 5 5 2 2 2" xfId="59542" xr:uid="{F39FDFAE-A752-4312-B82B-4E422C53BBBB}"/>
    <cellStyle name="Comma 13 2 5 5 2 3" xfId="44422" xr:uid="{06E4726A-5386-4F75-97A6-0595AF9B5772}"/>
    <cellStyle name="Comma 13 2 5 5 3" xfId="20230" xr:uid="{F25DA992-98E7-4C1C-9579-9ECC2DDA123E}"/>
    <cellStyle name="Comma 13 2 5 5 3 2" xfId="50470" xr:uid="{EF94BC0E-8E9F-4F25-B4F6-2238D7E462F6}"/>
    <cellStyle name="Comma 13 2 5 5 4" xfId="35350" xr:uid="{B00BF017-E278-438A-9927-C58F2A776D59}"/>
    <cellStyle name="Comma 13 2 5 6" xfId="6622" xr:uid="{F5B4D85E-756F-4F31-8BC8-A5FC42D31896}"/>
    <cellStyle name="Comma 13 2 5 6 2" xfId="21742" xr:uid="{545ABA94-7913-47A9-97BA-FF40384B609D}"/>
    <cellStyle name="Comma 13 2 5 6 2 2" xfId="51982" xr:uid="{E15B8358-3D5B-4DAE-806E-0E51FC53B287}"/>
    <cellStyle name="Comma 13 2 5 6 3" xfId="36862" xr:uid="{A07F086D-5737-4FB0-AD09-F4BCBB452966}"/>
    <cellStyle name="Comma 13 2 5 7" xfId="8134" xr:uid="{F4FD8DDF-1FA7-4BAF-A921-DF9E5589491A}"/>
    <cellStyle name="Comma 13 2 5 7 2" xfId="23254" xr:uid="{EA2134B4-38F2-4078-BA47-DADF84825233}"/>
    <cellStyle name="Comma 13 2 5 7 2 2" xfId="53494" xr:uid="{F515DBEC-C2D4-476F-86E7-F8B9AD62763D}"/>
    <cellStyle name="Comma 13 2 5 7 3" xfId="38374" xr:uid="{18FDD269-465D-49CD-84C7-C917E330F7BF}"/>
    <cellStyle name="Comma 13 2 5 8" xfId="9646" xr:uid="{8F2BBC85-D730-437A-9801-DD34CC42043B}"/>
    <cellStyle name="Comma 13 2 5 8 2" xfId="24766" xr:uid="{86133E7A-084C-4B9E-9335-9C057B7E6900}"/>
    <cellStyle name="Comma 13 2 5 8 2 2" xfId="55006" xr:uid="{F62CE7FE-3DA9-4861-8365-A958D7AAC1ED}"/>
    <cellStyle name="Comma 13 2 5 8 3" xfId="39886" xr:uid="{FF5FF47D-DC07-4100-8F9E-C535B4B8CBBD}"/>
    <cellStyle name="Comma 13 2 5 9" xfId="15694" xr:uid="{C3D816C6-A9FA-47AD-8A64-BC531FEAD52F}"/>
    <cellStyle name="Comma 13 2 5 9 2" xfId="45934" xr:uid="{0E638D82-3040-4F03-94EE-A77B9635184A}"/>
    <cellStyle name="Comma 13 2 6" xfId="826" xr:uid="{478219E7-D688-48B1-9607-0935FD272E74}"/>
    <cellStyle name="Comma 13 2 6 2" xfId="2338" xr:uid="{728569E5-BD24-41D0-B2AD-8B7F5683D9E0}"/>
    <cellStyle name="Comma 13 2 6 2 2" xfId="11410" xr:uid="{318BCDC2-923D-4218-ADD3-96AE9C6E63E1}"/>
    <cellStyle name="Comma 13 2 6 2 2 2" xfId="26530" xr:uid="{76B9AC5D-6540-4795-A15C-2B443A4516FD}"/>
    <cellStyle name="Comma 13 2 6 2 2 2 2" xfId="56770" xr:uid="{34A1D204-3ED8-4511-8027-BF033547506D}"/>
    <cellStyle name="Comma 13 2 6 2 2 3" xfId="41650" xr:uid="{9DD539B7-6904-4517-A1B4-651AC74AA426}"/>
    <cellStyle name="Comma 13 2 6 2 3" xfId="17458" xr:uid="{D421AD04-BAC3-4F04-B11F-471BF9C712C8}"/>
    <cellStyle name="Comma 13 2 6 2 3 2" xfId="47698" xr:uid="{DFFCB93B-40B0-415B-AF7A-95DE43E2C017}"/>
    <cellStyle name="Comma 13 2 6 2 4" xfId="32578" xr:uid="{5B828FCB-0182-4C2C-A326-32740BC094BA}"/>
    <cellStyle name="Comma 13 2 6 3" xfId="3850" xr:uid="{FD7CFB83-0991-4A61-9BFF-56222F6D7DB6}"/>
    <cellStyle name="Comma 13 2 6 3 2" xfId="12922" xr:uid="{C030A5EB-47C2-4308-98D5-A806E9FDA3D5}"/>
    <cellStyle name="Comma 13 2 6 3 2 2" xfId="28042" xr:uid="{8AE807CF-3FB6-4428-95A6-A45437D8D662}"/>
    <cellStyle name="Comma 13 2 6 3 2 2 2" xfId="58282" xr:uid="{72C950FA-EDC2-4973-AC78-5BFAB07621B5}"/>
    <cellStyle name="Comma 13 2 6 3 2 3" xfId="43162" xr:uid="{1D98EA0D-AE8A-4915-A8CB-E09EA3CF060B}"/>
    <cellStyle name="Comma 13 2 6 3 3" xfId="18970" xr:uid="{182B2090-B7FB-42C2-B2DB-1CCE96AC06D0}"/>
    <cellStyle name="Comma 13 2 6 3 3 2" xfId="49210" xr:uid="{FE147685-D501-465D-BD0C-310019CF4BE9}"/>
    <cellStyle name="Comma 13 2 6 3 4" xfId="34090" xr:uid="{C4F0E33C-7DDE-4CA8-B0F0-827120DB1934}"/>
    <cellStyle name="Comma 13 2 6 4" xfId="5362" xr:uid="{75918BD8-F35C-4841-98BE-FC17BDF43D26}"/>
    <cellStyle name="Comma 13 2 6 4 2" xfId="14434" xr:uid="{8A2EB39D-2068-4A1B-8D2D-0C1437F08675}"/>
    <cellStyle name="Comma 13 2 6 4 2 2" xfId="29554" xr:uid="{E4EEDEE5-0AA4-4020-AE07-D30C81CC5052}"/>
    <cellStyle name="Comma 13 2 6 4 2 2 2" xfId="59794" xr:uid="{9325099F-BA58-4372-968A-AF13EDE37AD0}"/>
    <cellStyle name="Comma 13 2 6 4 2 3" xfId="44674" xr:uid="{91A20C0F-3146-47D2-ACFD-973A8263ABF5}"/>
    <cellStyle name="Comma 13 2 6 4 3" xfId="20482" xr:uid="{7619820E-841F-4C74-8E04-43403FE869AB}"/>
    <cellStyle name="Comma 13 2 6 4 3 2" xfId="50722" xr:uid="{52C117DE-BAE6-4F16-BEC5-F04B234AEF3E}"/>
    <cellStyle name="Comma 13 2 6 4 4" xfId="35602" xr:uid="{414DD784-7ACF-4FFF-8965-DC98D1E0F981}"/>
    <cellStyle name="Comma 13 2 6 5" xfId="6874" xr:uid="{781145E8-ECA1-43BD-B055-57057217DD63}"/>
    <cellStyle name="Comma 13 2 6 5 2" xfId="21994" xr:uid="{95E0CA25-4A45-46CE-BE50-BE87DD3AB1F5}"/>
    <cellStyle name="Comma 13 2 6 5 2 2" xfId="52234" xr:uid="{E31914C5-ED80-4E36-A43D-D50A30C5AF82}"/>
    <cellStyle name="Comma 13 2 6 5 3" xfId="37114" xr:uid="{9CA91C98-6998-4DFC-8EE5-D2387F545726}"/>
    <cellStyle name="Comma 13 2 6 6" xfId="8386" xr:uid="{1599B3DE-8AA6-494C-950C-70D1046A077C}"/>
    <cellStyle name="Comma 13 2 6 6 2" xfId="23506" xr:uid="{1C05E4BB-14C5-40C3-ACB3-6DF1D5EC83AF}"/>
    <cellStyle name="Comma 13 2 6 6 2 2" xfId="53746" xr:uid="{26905192-6BD4-47A9-98CB-4CE01F47DE35}"/>
    <cellStyle name="Comma 13 2 6 6 3" xfId="38626" xr:uid="{AFCE6C52-B54F-4578-A7FD-E6F4421374D0}"/>
    <cellStyle name="Comma 13 2 6 7" xfId="9898" xr:uid="{7096B1D2-8497-4F51-9A5B-630649BE2AC3}"/>
    <cellStyle name="Comma 13 2 6 7 2" xfId="25018" xr:uid="{CF837ECE-146F-4518-9DC5-89B1B7105419}"/>
    <cellStyle name="Comma 13 2 6 7 2 2" xfId="55258" xr:uid="{9E8A7797-9160-4AC7-961C-4FE635536953}"/>
    <cellStyle name="Comma 13 2 6 7 3" xfId="40138" xr:uid="{971E095A-27C3-47B8-AFB6-3F0113BA1831}"/>
    <cellStyle name="Comma 13 2 6 8" xfId="15946" xr:uid="{E62C9E0F-EDA0-42A4-81F8-AD618A453108}"/>
    <cellStyle name="Comma 13 2 6 8 2" xfId="46186" xr:uid="{C4F2AB26-6CF9-4F91-A277-2584E598D300}"/>
    <cellStyle name="Comma 13 2 6 9" xfId="31066" xr:uid="{1DF70781-1675-438C-8F6F-6863B63FA245}"/>
    <cellStyle name="Comma 13 2 7" xfId="1582" xr:uid="{52854100-96F3-478B-84E5-DA04515E2CB7}"/>
    <cellStyle name="Comma 13 2 7 2" xfId="10654" xr:uid="{033D790F-6D52-43E8-8B74-19DDFB047878}"/>
    <cellStyle name="Comma 13 2 7 2 2" xfId="25774" xr:uid="{D1D1074B-0A4B-470D-8878-F4CFFE12409A}"/>
    <cellStyle name="Comma 13 2 7 2 2 2" xfId="56014" xr:uid="{2EA96725-8BB0-4551-A64B-70DEB3A36476}"/>
    <cellStyle name="Comma 13 2 7 2 3" xfId="40894" xr:uid="{F6191BC0-1AA6-4286-9BE9-3CCE17B01138}"/>
    <cellStyle name="Comma 13 2 7 3" xfId="16702" xr:uid="{D710B378-CA8B-44D6-B0D0-4D65AEAF1F2C}"/>
    <cellStyle name="Comma 13 2 7 3 2" xfId="46942" xr:uid="{ABB2751E-49E6-4E09-9628-CE0FDDADE77A}"/>
    <cellStyle name="Comma 13 2 7 4" xfId="31822" xr:uid="{53089931-F67C-44C7-95DA-672D4B6D8C8F}"/>
    <cellStyle name="Comma 13 2 8" xfId="3094" xr:uid="{C846E34B-BD11-499C-90C7-40C95D900956}"/>
    <cellStyle name="Comma 13 2 8 2" xfId="12166" xr:uid="{D1A434AB-052A-4F02-B52E-901D5CD00DF2}"/>
    <cellStyle name="Comma 13 2 8 2 2" xfId="27286" xr:uid="{888E04E7-A3CE-4413-A96D-4A4A6ABCF2DE}"/>
    <cellStyle name="Comma 13 2 8 2 2 2" xfId="57526" xr:uid="{0DCB0F59-1AD4-4AAA-8AC7-33CE44AE4A84}"/>
    <cellStyle name="Comma 13 2 8 2 3" xfId="42406" xr:uid="{6E18F13C-6B5C-4C8A-81DE-0F05093CAC91}"/>
    <cellStyle name="Comma 13 2 8 3" xfId="18214" xr:uid="{766B8E94-2106-4885-B7E2-C4CB78E62902}"/>
    <cellStyle name="Comma 13 2 8 3 2" xfId="48454" xr:uid="{EF25E640-91C2-49C6-8E29-1288A69FBA62}"/>
    <cellStyle name="Comma 13 2 8 4" xfId="33334" xr:uid="{A70269B3-E160-4E9F-80BB-B22F35C512DC}"/>
    <cellStyle name="Comma 13 2 9" xfId="4606" xr:uid="{917C14E5-4BB6-4BA5-8852-9DD9F8FE0887}"/>
    <cellStyle name="Comma 13 2 9 2" xfId="13678" xr:uid="{7606ACAE-0970-48BF-A7D4-7183E4DA9DDD}"/>
    <cellStyle name="Comma 13 2 9 2 2" xfId="28798" xr:uid="{2155A6AF-CA5E-4BCA-8A4F-E65B80F768E2}"/>
    <cellStyle name="Comma 13 2 9 2 2 2" xfId="59038" xr:uid="{8C3E71E5-3759-4157-A77C-8D5EE2A7B41B}"/>
    <cellStyle name="Comma 13 2 9 2 3" xfId="43918" xr:uid="{4399E94F-3599-4056-88F6-68A137EDC3A8}"/>
    <cellStyle name="Comma 13 2 9 3" xfId="19726" xr:uid="{6FFB2A1C-2E18-4F74-9EF1-9EB90A9E2D4E}"/>
    <cellStyle name="Comma 13 2 9 3 2" xfId="49966" xr:uid="{529A4D91-4EC8-4F6D-8B48-7F367791CB54}"/>
    <cellStyle name="Comma 13 2 9 4" xfId="34846" xr:uid="{20EBEF30-D87D-4A91-9D11-C32999541C98}"/>
    <cellStyle name="Comma 13 3" xfId="112" xr:uid="{033C2065-60D0-449E-8C65-67D127C7FC1D}"/>
    <cellStyle name="Comma 13 3 10" xfId="9184" xr:uid="{66561F76-3C9E-4315-9A8B-579D11600247}"/>
    <cellStyle name="Comma 13 3 10 2" xfId="24304" xr:uid="{1DDD1C37-2E9B-4493-B342-D5674CF0E5E5}"/>
    <cellStyle name="Comma 13 3 10 2 2" xfId="54544" xr:uid="{131D0B66-894B-43C7-8E9C-3C29F267BFF1}"/>
    <cellStyle name="Comma 13 3 10 3" xfId="39424" xr:uid="{104E6069-EC3E-4D4E-A638-0AC4BD0D448E}"/>
    <cellStyle name="Comma 13 3 11" xfId="15232" xr:uid="{25E0BCF9-2E27-46CA-A9AA-240D3D96A8A2}"/>
    <cellStyle name="Comma 13 3 11 2" xfId="45472" xr:uid="{235D1F55-3F98-4FA7-8239-654466C8245B}"/>
    <cellStyle name="Comma 13 3 12" xfId="30352" xr:uid="{A7C750A3-EDBF-4E80-A4F0-C1ED9AA1FA0C}"/>
    <cellStyle name="Comma 13 3 2" xfId="364" xr:uid="{365319C7-A963-4403-9B75-058D93892FB9}"/>
    <cellStyle name="Comma 13 3 2 10" xfId="30604" xr:uid="{59DB8A0F-DC91-4D13-B7FA-EC20E29B96F4}"/>
    <cellStyle name="Comma 13 3 2 2" xfId="1120" xr:uid="{5C43F143-AE33-44BC-88BA-D79E7EA0CED2}"/>
    <cellStyle name="Comma 13 3 2 2 2" xfId="2632" xr:uid="{53315DA7-4781-401C-9ECD-95A4BED0EF58}"/>
    <cellStyle name="Comma 13 3 2 2 2 2" xfId="11704" xr:uid="{7A6B2A48-5A36-4899-9603-D74C57AC30AE}"/>
    <cellStyle name="Comma 13 3 2 2 2 2 2" xfId="26824" xr:uid="{A582DC55-F09E-41E4-B1B8-872555329F8F}"/>
    <cellStyle name="Comma 13 3 2 2 2 2 2 2" xfId="57064" xr:uid="{2C78808A-B54C-46CF-824C-9C0C3745ACCC}"/>
    <cellStyle name="Comma 13 3 2 2 2 2 3" xfId="41944" xr:uid="{7051BF0F-62FC-4EE9-B907-DF3EAECB77DF}"/>
    <cellStyle name="Comma 13 3 2 2 2 3" xfId="17752" xr:uid="{17DD039B-FC8B-4328-94D5-F28AE0BFA9EE}"/>
    <cellStyle name="Comma 13 3 2 2 2 3 2" xfId="47992" xr:uid="{E94261A7-A0AF-43FA-806F-02AA8F724C67}"/>
    <cellStyle name="Comma 13 3 2 2 2 4" xfId="32872" xr:uid="{F9EC9BBC-9DEA-4D0E-8CC1-DA569AEE59C5}"/>
    <cellStyle name="Comma 13 3 2 2 3" xfId="4144" xr:uid="{9EA5055C-4D12-4285-9DC5-970E411897A3}"/>
    <cellStyle name="Comma 13 3 2 2 3 2" xfId="13216" xr:uid="{EF090E57-A2D1-4264-AC68-A92EEC80FA9D}"/>
    <cellStyle name="Comma 13 3 2 2 3 2 2" xfId="28336" xr:uid="{570BA2CE-564D-470A-842E-3FBD87C08C5D}"/>
    <cellStyle name="Comma 13 3 2 2 3 2 2 2" xfId="58576" xr:uid="{E092A750-CEFB-4154-BE68-65519899E8CA}"/>
    <cellStyle name="Comma 13 3 2 2 3 2 3" xfId="43456" xr:uid="{6F96DF0E-7D7B-40FF-BB8F-289BBFA35EBF}"/>
    <cellStyle name="Comma 13 3 2 2 3 3" xfId="19264" xr:uid="{01890D3B-A2BB-475A-9325-34061D5D5130}"/>
    <cellStyle name="Comma 13 3 2 2 3 3 2" xfId="49504" xr:uid="{864634EB-4D33-4753-819F-E1883E23F713}"/>
    <cellStyle name="Comma 13 3 2 2 3 4" xfId="34384" xr:uid="{B64C4C71-0E4C-4882-B65A-0B67C556C9BC}"/>
    <cellStyle name="Comma 13 3 2 2 4" xfId="5656" xr:uid="{6DE64F86-AB4A-4C19-B22B-409A821EDFD2}"/>
    <cellStyle name="Comma 13 3 2 2 4 2" xfId="14728" xr:uid="{4C63C0A0-1CCD-446A-ACAB-E76D11F82C16}"/>
    <cellStyle name="Comma 13 3 2 2 4 2 2" xfId="29848" xr:uid="{1C5E1276-6273-4024-8844-4A2C872F3263}"/>
    <cellStyle name="Comma 13 3 2 2 4 2 2 2" xfId="60088" xr:uid="{9DC243BA-1F01-480F-AF27-F9BC874C86C2}"/>
    <cellStyle name="Comma 13 3 2 2 4 2 3" xfId="44968" xr:uid="{861ABEA9-1BE6-4571-975C-6E94D3CBEFA1}"/>
    <cellStyle name="Comma 13 3 2 2 4 3" xfId="20776" xr:uid="{6BB055EE-AE6A-40B1-9EDA-2DA80DE507B4}"/>
    <cellStyle name="Comma 13 3 2 2 4 3 2" xfId="51016" xr:uid="{79F5C413-6577-4836-851E-CAA09D3B044B}"/>
    <cellStyle name="Comma 13 3 2 2 4 4" xfId="35896" xr:uid="{01379212-1471-4908-8A3C-5395914044C0}"/>
    <cellStyle name="Comma 13 3 2 2 5" xfId="7168" xr:uid="{01736EEB-0145-42A9-8CD6-70D6BA212550}"/>
    <cellStyle name="Comma 13 3 2 2 5 2" xfId="22288" xr:uid="{A02A6226-7B97-4E06-95FD-EDCC636BCB84}"/>
    <cellStyle name="Comma 13 3 2 2 5 2 2" xfId="52528" xr:uid="{0BA7D25B-2A5F-42EE-9E42-51BB940927B1}"/>
    <cellStyle name="Comma 13 3 2 2 5 3" xfId="37408" xr:uid="{F877CBF4-7210-40B4-8503-E65D4F47158E}"/>
    <cellStyle name="Comma 13 3 2 2 6" xfId="8680" xr:uid="{DD3D602D-1925-4F2C-9108-E53D42C43517}"/>
    <cellStyle name="Comma 13 3 2 2 6 2" xfId="23800" xr:uid="{194390A6-044A-4D52-BBC4-E82810783014}"/>
    <cellStyle name="Comma 13 3 2 2 6 2 2" xfId="54040" xr:uid="{ADB81C2F-0039-4151-9B8E-421FF054562F}"/>
    <cellStyle name="Comma 13 3 2 2 6 3" xfId="38920" xr:uid="{002A0566-D42F-4002-9B9C-FADB72D8C496}"/>
    <cellStyle name="Comma 13 3 2 2 7" xfId="10192" xr:uid="{BFDA44EF-8DF9-4027-94EB-C0C4EA6457F3}"/>
    <cellStyle name="Comma 13 3 2 2 7 2" xfId="25312" xr:uid="{A904EC7C-F703-4A1C-8DA9-A9ABDBBAC56C}"/>
    <cellStyle name="Comma 13 3 2 2 7 2 2" xfId="55552" xr:uid="{B3C0DB0C-8597-4AC4-B870-93E4D140AC73}"/>
    <cellStyle name="Comma 13 3 2 2 7 3" xfId="40432" xr:uid="{FD60ACF1-89E2-4F7B-816C-DCF806D2CDA7}"/>
    <cellStyle name="Comma 13 3 2 2 8" xfId="16240" xr:uid="{E12F6325-898D-470C-8323-9FAC6AC812FF}"/>
    <cellStyle name="Comma 13 3 2 2 8 2" xfId="46480" xr:uid="{E2A7D26D-5330-4451-A070-8646F28EC7B6}"/>
    <cellStyle name="Comma 13 3 2 2 9" xfId="31360" xr:uid="{C3EEC3EC-CC60-414F-899D-81B8191753F3}"/>
    <cellStyle name="Comma 13 3 2 3" xfId="1876" xr:uid="{2A7CDC3F-649D-4D57-8C4E-0DE52F36A0C6}"/>
    <cellStyle name="Comma 13 3 2 3 2" xfId="10948" xr:uid="{F23327DA-0F6B-4A90-8FF5-CD5C737D2455}"/>
    <cellStyle name="Comma 13 3 2 3 2 2" xfId="26068" xr:uid="{20A65261-68C4-4505-8EC8-B02039C8C9AD}"/>
    <cellStyle name="Comma 13 3 2 3 2 2 2" xfId="56308" xr:uid="{EBE9D44F-3A6B-4EA8-BEC8-E082A6A1052B}"/>
    <cellStyle name="Comma 13 3 2 3 2 3" xfId="41188" xr:uid="{6894F22A-4FD4-441E-B6D8-A9408659271F}"/>
    <cellStyle name="Comma 13 3 2 3 3" xfId="16996" xr:uid="{4B503EF6-4977-4072-9845-C385BFA33C33}"/>
    <cellStyle name="Comma 13 3 2 3 3 2" xfId="47236" xr:uid="{5E719847-B4BC-4DFE-9D24-C9ED71E49246}"/>
    <cellStyle name="Comma 13 3 2 3 4" xfId="32116" xr:uid="{97E1F27D-82B0-4641-97C6-41EFDF213855}"/>
    <cellStyle name="Comma 13 3 2 4" xfId="3388" xr:uid="{CCD60C3C-3826-4D76-B655-9B720A2CEB57}"/>
    <cellStyle name="Comma 13 3 2 4 2" xfId="12460" xr:uid="{AF50B27D-D35E-4C9E-8951-BDFC49CE9E29}"/>
    <cellStyle name="Comma 13 3 2 4 2 2" xfId="27580" xr:uid="{F49F0D2D-30DB-4E45-A1F0-B495081290B5}"/>
    <cellStyle name="Comma 13 3 2 4 2 2 2" xfId="57820" xr:uid="{23705CB6-EDF1-4833-9E5A-0B5744264775}"/>
    <cellStyle name="Comma 13 3 2 4 2 3" xfId="42700" xr:uid="{FE55186B-75E9-4CE0-8F5E-23FA453DB89F}"/>
    <cellStyle name="Comma 13 3 2 4 3" xfId="18508" xr:uid="{90F038FD-CCDF-4244-B4B1-9646E4E61F42}"/>
    <cellStyle name="Comma 13 3 2 4 3 2" xfId="48748" xr:uid="{C492FABA-83E8-478B-841D-E00968F29C22}"/>
    <cellStyle name="Comma 13 3 2 4 4" xfId="33628" xr:uid="{FB7D157F-A638-463E-ACC3-F97FB1211C65}"/>
    <cellStyle name="Comma 13 3 2 5" xfId="4900" xr:uid="{0AD24CF0-3FE7-4F06-8AEF-B631A33A55A6}"/>
    <cellStyle name="Comma 13 3 2 5 2" xfId="13972" xr:uid="{4077953D-BDD0-4259-B8F6-89771449A843}"/>
    <cellStyle name="Comma 13 3 2 5 2 2" xfId="29092" xr:uid="{37DC1499-0E2A-438F-97B6-121E7B745476}"/>
    <cellStyle name="Comma 13 3 2 5 2 2 2" xfId="59332" xr:uid="{77F5E75D-ECF3-43E3-9298-B33EB74448CE}"/>
    <cellStyle name="Comma 13 3 2 5 2 3" xfId="44212" xr:uid="{EAB6503A-019D-4886-8207-2E9EF0F4ADA8}"/>
    <cellStyle name="Comma 13 3 2 5 3" xfId="20020" xr:uid="{3D21A948-7316-4209-92E8-561BBFCA727A}"/>
    <cellStyle name="Comma 13 3 2 5 3 2" xfId="50260" xr:uid="{6B9D8865-412A-4028-9E92-99ACE5EFF6E9}"/>
    <cellStyle name="Comma 13 3 2 5 4" xfId="35140" xr:uid="{15391526-70ED-42DE-8408-F2899A75717D}"/>
    <cellStyle name="Comma 13 3 2 6" xfId="6412" xr:uid="{A29DBA97-1AE9-4510-81E0-69EC5AABB194}"/>
    <cellStyle name="Comma 13 3 2 6 2" xfId="21532" xr:uid="{5F30B51A-BC0E-4607-A502-963E2051D0B4}"/>
    <cellStyle name="Comma 13 3 2 6 2 2" xfId="51772" xr:uid="{ED8F8531-A3F0-4EFC-A2A0-E821700540DA}"/>
    <cellStyle name="Comma 13 3 2 6 3" xfId="36652" xr:uid="{3E179EC0-C6EF-45DA-9CEB-F88EC28B263B}"/>
    <cellStyle name="Comma 13 3 2 7" xfId="7924" xr:uid="{318227D8-5C3F-4438-A77C-CED71A18BFB0}"/>
    <cellStyle name="Comma 13 3 2 7 2" xfId="23044" xr:uid="{3ECEE0F3-A786-4378-B6FD-BF2C35EE1676}"/>
    <cellStyle name="Comma 13 3 2 7 2 2" xfId="53284" xr:uid="{30A1B4BE-38F8-4492-B9CA-670C8E6FB5AD}"/>
    <cellStyle name="Comma 13 3 2 7 3" xfId="38164" xr:uid="{00C1E0E9-EA5E-45C0-82D1-C440AB3451D4}"/>
    <cellStyle name="Comma 13 3 2 8" xfId="9436" xr:uid="{F5413A68-7E2F-4828-94F9-AC7FD607761B}"/>
    <cellStyle name="Comma 13 3 2 8 2" xfId="24556" xr:uid="{A676D2A1-52E5-4E53-86B6-0C3179F0E47A}"/>
    <cellStyle name="Comma 13 3 2 8 2 2" xfId="54796" xr:uid="{CA5E97D8-BD63-4325-9763-94C8D689D6C4}"/>
    <cellStyle name="Comma 13 3 2 8 3" xfId="39676" xr:uid="{74B07420-85FC-4EDC-AD83-CE738BAC7CE0}"/>
    <cellStyle name="Comma 13 3 2 9" xfId="15484" xr:uid="{9DC794F1-9DDB-47E8-9C0C-EB171D7CEE21}"/>
    <cellStyle name="Comma 13 3 2 9 2" xfId="45724" xr:uid="{57C853F5-08DB-470B-ADE2-724540836A1E}"/>
    <cellStyle name="Comma 13 3 3" xfId="616" xr:uid="{FEE600A0-B764-40AC-AEB1-6E5D3B4AA95D}"/>
    <cellStyle name="Comma 13 3 3 10" xfId="30856" xr:uid="{4CD4E422-7291-4956-B4A3-5443D360A791}"/>
    <cellStyle name="Comma 13 3 3 2" xfId="1372" xr:uid="{3522D3B9-243C-4D8C-88E6-6E35729042CE}"/>
    <cellStyle name="Comma 13 3 3 2 2" xfId="2884" xr:uid="{FD90532A-07EB-4802-A2AF-F7C81E2C3808}"/>
    <cellStyle name="Comma 13 3 3 2 2 2" xfId="11956" xr:uid="{FEBE8841-7C3F-435E-88E5-B74209E9A1A2}"/>
    <cellStyle name="Comma 13 3 3 2 2 2 2" xfId="27076" xr:uid="{20082593-A82F-4CD8-AB4C-9D3B882F39D4}"/>
    <cellStyle name="Comma 13 3 3 2 2 2 2 2" xfId="57316" xr:uid="{77320B22-44E7-427C-8887-2F09B0913A77}"/>
    <cellStyle name="Comma 13 3 3 2 2 2 3" xfId="42196" xr:uid="{43CAED11-5722-4746-977A-00A8252A6741}"/>
    <cellStyle name="Comma 13 3 3 2 2 3" xfId="18004" xr:uid="{2D4CB4AC-09FB-4A68-B73F-1A950524D0C9}"/>
    <cellStyle name="Comma 13 3 3 2 2 3 2" xfId="48244" xr:uid="{E27FF6B9-27A3-446B-8B45-08893769E9B2}"/>
    <cellStyle name="Comma 13 3 3 2 2 4" xfId="33124" xr:uid="{71E470C0-D83D-4B4B-A76B-7F04049BE216}"/>
    <cellStyle name="Comma 13 3 3 2 3" xfId="4396" xr:uid="{59F46E42-115F-4CCB-9DA1-11936872BDF9}"/>
    <cellStyle name="Comma 13 3 3 2 3 2" xfId="13468" xr:uid="{652EFD47-8E05-466E-B61E-AF49EE233452}"/>
    <cellStyle name="Comma 13 3 3 2 3 2 2" xfId="28588" xr:uid="{79909604-698A-4430-9AD2-7856E908FC1C}"/>
    <cellStyle name="Comma 13 3 3 2 3 2 2 2" xfId="58828" xr:uid="{4F7A94B2-9455-4EE7-8C20-8B0398979C2B}"/>
    <cellStyle name="Comma 13 3 3 2 3 2 3" xfId="43708" xr:uid="{9E7CE89B-42A6-4C21-AAC5-8D15B4E83A20}"/>
    <cellStyle name="Comma 13 3 3 2 3 3" xfId="19516" xr:uid="{1F2C8692-5868-4379-9751-390FE6354BF2}"/>
    <cellStyle name="Comma 13 3 3 2 3 3 2" xfId="49756" xr:uid="{A9450A43-5901-4487-BC85-55F4BECFEB4E}"/>
    <cellStyle name="Comma 13 3 3 2 3 4" xfId="34636" xr:uid="{D6BE1D75-94BB-46E4-8AE4-1452EB0F56A6}"/>
    <cellStyle name="Comma 13 3 3 2 4" xfId="5908" xr:uid="{56700212-58DC-4FC0-B506-006D6F4D2AF2}"/>
    <cellStyle name="Comma 13 3 3 2 4 2" xfId="14980" xr:uid="{88E6901D-27FD-45FE-9B25-18E03F3DDA9D}"/>
    <cellStyle name="Comma 13 3 3 2 4 2 2" xfId="30100" xr:uid="{312924EE-F5B8-4C59-8A76-2D0932B29E29}"/>
    <cellStyle name="Comma 13 3 3 2 4 2 2 2" xfId="60340" xr:uid="{96CD1A1E-C9DF-48B5-94A8-94873F5B0A6A}"/>
    <cellStyle name="Comma 13 3 3 2 4 2 3" xfId="45220" xr:uid="{DBCB1116-A8E9-451E-96B6-3384AD3B7002}"/>
    <cellStyle name="Comma 13 3 3 2 4 3" xfId="21028" xr:uid="{EA00FEA4-B08E-4D59-80C2-937A88A9C2E2}"/>
    <cellStyle name="Comma 13 3 3 2 4 3 2" xfId="51268" xr:uid="{E13D1F65-3373-4E89-A8F9-BC97DB2FF7B4}"/>
    <cellStyle name="Comma 13 3 3 2 4 4" xfId="36148" xr:uid="{56918100-19F3-4F0E-90F8-14B3DE744783}"/>
    <cellStyle name="Comma 13 3 3 2 5" xfId="7420" xr:uid="{45FEDBA5-EF33-4845-B463-46A023E1A160}"/>
    <cellStyle name="Comma 13 3 3 2 5 2" xfId="22540" xr:uid="{655AC340-93E4-4026-AE7D-50F59041D1F2}"/>
    <cellStyle name="Comma 13 3 3 2 5 2 2" xfId="52780" xr:uid="{8CEDB6CC-7718-4A2E-8346-337C4E49727B}"/>
    <cellStyle name="Comma 13 3 3 2 5 3" xfId="37660" xr:uid="{2AB66717-79C2-4E96-953A-1F0975A7C494}"/>
    <cellStyle name="Comma 13 3 3 2 6" xfId="8932" xr:uid="{2BFA62A6-EA46-42BE-BEA3-417965F02429}"/>
    <cellStyle name="Comma 13 3 3 2 6 2" xfId="24052" xr:uid="{EF844078-E2AE-4835-B275-01892EC007E1}"/>
    <cellStyle name="Comma 13 3 3 2 6 2 2" xfId="54292" xr:uid="{91AE6AD0-F25E-478D-9EE0-B83EBE75D550}"/>
    <cellStyle name="Comma 13 3 3 2 6 3" xfId="39172" xr:uid="{656C0C4A-3D00-4B55-9F96-34A599AC3233}"/>
    <cellStyle name="Comma 13 3 3 2 7" xfId="10444" xr:uid="{F1AE5253-F491-493C-9C0F-BDBD4AD4A46E}"/>
    <cellStyle name="Comma 13 3 3 2 7 2" xfId="25564" xr:uid="{49380066-D5CB-42EA-8A10-434FB28793ED}"/>
    <cellStyle name="Comma 13 3 3 2 7 2 2" xfId="55804" xr:uid="{EEA28F19-DEFE-45EE-A8D9-1B97EEB8774E}"/>
    <cellStyle name="Comma 13 3 3 2 7 3" xfId="40684" xr:uid="{3C6033AB-0525-46DC-A41B-DEFEA185E562}"/>
    <cellStyle name="Comma 13 3 3 2 8" xfId="16492" xr:uid="{8DD9E46F-9AA8-4B75-BB8F-DE54CA807123}"/>
    <cellStyle name="Comma 13 3 3 2 8 2" xfId="46732" xr:uid="{11A2A52F-22A7-4004-8543-C7671280ED1F}"/>
    <cellStyle name="Comma 13 3 3 2 9" xfId="31612" xr:uid="{63A7A678-8BF4-4CC9-BF4D-21F31799172A}"/>
    <cellStyle name="Comma 13 3 3 3" xfId="2128" xr:uid="{1274A599-9F4D-4B7D-AF92-3CD76E40E125}"/>
    <cellStyle name="Comma 13 3 3 3 2" xfId="11200" xr:uid="{B68A1AD8-40A9-4EA2-B8EA-BA2AE3F4C8F4}"/>
    <cellStyle name="Comma 13 3 3 3 2 2" xfId="26320" xr:uid="{E9D305E6-6C37-481F-969C-A89D7BA97F7C}"/>
    <cellStyle name="Comma 13 3 3 3 2 2 2" xfId="56560" xr:uid="{419C4EEC-F2B2-475B-8EEA-82180DC96519}"/>
    <cellStyle name="Comma 13 3 3 3 2 3" xfId="41440" xr:uid="{4C9BFA25-644B-47EB-944B-CB0260D60C4E}"/>
    <cellStyle name="Comma 13 3 3 3 3" xfId="17248" xr:uid="{53EF9619-CAD3-4C41-9B8F-14B700A69416}"/>
    <cellStyle name="Comma 13 3 3 3 3 2" xfId="47488" xr:uid="{A90D8050-6804-475A-8166-F8D28A8E7DF7}"/>
    <cellStyle name="Comma 13 3 3 3 4" xfId="32368" xr:uid="{13B45F2A-00EF-4D8D-BBCA-BDBE08CC430C}"/>
    <cellStyle name="Comma 13 3 3 4" xfId="3640" xr:uid="{2EF659E4-EA37-4D65-BD19-A3D1FDE4633C}"/>
    <cellStyle name="Comma 13 3 3 4 2" xfId="12712" xr:uid="{1374DB64-9FDA-4A63-A879-19248A5F6BB8}"/>
    <cellStyle name="Comma 13 3 3 4 2 2" xfId="27832" xr:uid="{F030129E-6A07-4D5D-8A61-73AE6130FC79}"/>
    <cellStyle name="Comma 13 3 3 4 2 2 2" xfId="58072" xr:uid="{CA12B939-DE7C-4BB2-9A5E-1FE30067E3C3}"/>
    <cellStyle name="Comma 13 3 3 4 2 3" xfId="42952" xr:uid="{85E1DEFA-7BB6-41B0-9213-C6F4F7BD27AF}"/>
    <cellStyle name="Comma 13 3 3 4 3" xfId="18760" xr:uid="{F2F289EA-B40D-4A7E-BDA2-F68D335D52D0}"/>
    <cellStyle name="Comma 13 3 3 4 3 2" xfId="49000" xr:uid="{C1AF14BA-A9C1-4EB1-98CD-2D290F282ECE}"/>
    <cellStyle name="Comma 13 3 3 4 4" xfId="33880" xr:uid="{DBA41962-3BC3-4964-BFFB-1CA0B2140B4A}"/>
    <cellStyle name="Comma 13 3 3 5" xfId="5152" xr:uid="{EA9705BF-2469-4AA4-A6F4-A5F8DB85B96A}"/>
    <cellStyle name="Comma 13 3 3 5 2" xfId="14224" xr:uid="{4622BF17-B0F4-496E-9C87-8D890ACE0B03}"/>
    <cellStyle name="Comma 13 3 3 5 2 2" xfId="29344" xr:uid="{02E922E2-86ED-49BD-A8D0-8AE8C7362D5F}"/>
    <cellStyle name="Comma 13 3 3 5 2 2 2" xfId="59584" xr:uid="{C923FE31-28E4-42B2-B752-ACB472DEF5B7}"/>
    <cellStyle name="Comma 13 3 3 5 2 3" xfId="44464" xr:uid="{E936DC2C-AA0B-47EA-8185-D0D5E597B4C7}"/>
    <cellStyle name="Comma 13 3 3 5 3" xfId="20272" xr:uid="{48854CF3-608A-4E65-B2AB-AC443BAA1254}"/>
    <cellStyle name="Comma 13 3 3 5 3 2" xfId="50512" xr:uid="{7E126B84-CBDA-4936-B159-386EF2213C1D}"/>
    <cellStyle name="Comma 13 3 3 5 4" xfId="35392" xr:uid="{8047C268-41AD-46B9-8450-A0403F0CE57A}"/>
    <cellStyle name="Comma 13 3 3 6" xfId="6664" xr:uid="{6F0FA891-F386-43CB-8812-78026903001A}"/>
    <cellStyle name="Comma 13 3 3 6 2" xfId="21784" xr:uid="{256720EB-3088-4A44-BE01-EB8D8FB71769}"/>
    <cellStyle name="Comma 13 3 3 6 2 2" xfId="52024" xr:uid="{165F5558-EE6B-4913-AAB0-B4D3F4DDD439}"/>
    <cellStyle name="Comma 13 3 3 6 3" xfId="36904" xr:uid="{4AB230E0-FCF7-4D1D-BEC4-F45CFBBD084F}"/>
    <cellStyle name="Comma 13 3 3 7" xfId="8176" xr:uid="{EC3326D0-B703-4B02-9319-672756C8958B}"/>
    <cellStyle name="Comma 13 3 3 7 2" xfId="23296" xr:uid="{6672B4A3-A21C-4ECC-B4A9-43DE21A1E9A9}"/>
    <cellStyle name="Comma 13 3 3 7 2 2" xfId="53536" xr:uid="{BB84D61A-E629-488D-9830-55B17177A11A}"/>
    <cellStyle name="Comma 13 3 3 7 3" xfId="38416" xr:uid="{96916803-6BAE-4FDB-8C88-1EF2333C8531}"/>
    <cellStyle name="Comma 13 3 3 8" xfId="9688" xr:uid="{E0640E86-EDDD-45DE-A572-618A8401BF06}"/>
    <cellStyle name="Comma 13 3 3 8 2" xfId="24808" xr:uid="{AF823B09-8BFA-41A3-9A9B-B548537FB5B6}"/>
    <cellStyle name="Comma 13 3 3 8 2 2" xfId="55048" xr:uid="{48292B39-AEBE-48C3-99FB-33CE9579834E}"/>
    <cellStyle name="Comma 13 3 3 8 3" xfId="39928" xr:uid="{E9AC72F7-7BC0-4FAC-8ED1-4AD7DAF063DB}"/>
    <cellStyle name="Comma 13 3 3 9" xfId="15736" xr:uid="{B197233E-F7CF-4C62-A8C5-95263B82FDF5}"/>
    <cellStyle name="Comma 13 3 3 9 2" xfId="45976" xr:uid="{06978183-577F-4C25-8333-C000C5CD9D53}"/>
    <cellStyle name="Comma 13 3 4" xfId="868" xr:uid="{16956302-037A-4A7B-BD8F-49D798EB50A0}"/>
    <cellStyle name="Comma 13 3 4 2" xfId="2380" xr:uid="{E26A6EBB-0F59-466B-955C-B45081A4F3FC}"/>
    <cellStyle name="Comma 13 3 4 2 2" xfId="11452" xr:uid="{84A0D8C7-98E7-4896-A2B1-6AEF68D3ED06}"/>
    <cellStyle name="Comma 13 3 4 2 2 2" xfId="26572" xr:uid="{87D03A7D-33FE-49D8-B0E3-6702FCBA1972}"/>
    <cellStyle name="Comma 13 3 4 2 2 2 2" xfId="56812" xr:uid="{0DBB9F85-5597-4071-BE34-D8BD78B21A6D}"/>
    <cellStyle name="Comma 13 3 4 2 2 3" xfId="41692" xr:uid="{0F5BB18D-B063-4060-A9E9-FE79A8930D70}"/>
    <cellStyle name="Comma 13 3 4 2 3" xfId="17500" xr:uid="{DE54CE6F-CD21-4E04-9209-A4EEC7E09B74}"/>
    <cellStyle name="Comma 13 3 4 2 3 2" xfId="47740" xr:uid="{E687733C-D5D7-43D7-924E-75FA0A601E41}"/>
    <cellStyle name="Comma 13 3 4 2 4" xfId="32620" xr:uid="{2CCDF0B0-12F8-449F-87A1-78AF0D5FEECF}"/>
    <cellStyle name="Comma 13 3 4 3" xfId="3892" xr:uid="{993752D5-1053-4E0A-8AF3-4BE42500582C}"/>
    <cellStyle name="Comma 13 3 4 3 2" xfId="12964" xr:uid="{D78DB0F0-CD8A-4333-BA28-9E5EE5A567CA}"/>
    <cellStyle name="Comma 13 3 4 3 2 2" xfId="28084" xr:uid="{C55425D7-4C64-468F-BD56-16494D0261F3}"/>
    <cellStyle name="Comma 13 3 4 3 2 2 2" xfId="58324" xr:uid="{7D9AE103-CE44-4F5A-8BF6-70705C3A3D29}"/>
    <cellStyle name="Comma 13 3 4 3 2 3" xfId="43204" xr:uid="{46C2F8EC-0E2D-44C8-9FAB-082038466FF3}"/>
    <cellStyle name="Comma 13 3 4 3 3" xfId="19012" xr:uid="{710B2094-0E9C-4D86-B435-39FF48F6D120}"/>
    <cellStyle name="Comma 13 3 4 3 3 2" xfId="49252" xr:uid="{FFE04EE7-823D-4E7E-8E02-E726FC7D65FF}"/>
    <cellStyle name="Comma 13 3 4 3 4" xfId="34132" xr:uid="{9F8FEA01-A2BE-48B2-A9F8-CA53245C465C}"/>
    <cellStyle name="Comma 13 3 4 4" xfId="5404" xr:uid="{C7D10177-06DC-444A-B91F-748EFBF082C8}"/>
    <cellStyle name="Comma 13 3 4 4 2" xfId="14476" xr:uid="{F1CAD5A0-6DE3-4777-8D4C-3EC02F5787DF}"/>
    <cellStyle name="Comma 13 3 4 4 2 2" xfId="29596" xr:uid="{C658D457-7570-4852-BD22-A32390335CA0}"/>
    <cellStyle name="Comma 13 3 4 4 2 2 2" xfId="59836" xr:uid="{7D2E0E39-E032-488A-9343-C90ADFA0ADF5}"/>
    <cellStyle name="Comma 13 3 4 4 2 3" xfId="44716" xr:uid="{C899E466-CD56-48FE-9EA5-0982DE263FC5}"/>
    <cellStyle name="Comma 13 3 4 4 3" xfId="20524" xr:uid="{A1C3278F-2A52-4D8C-8986-2986F17A281F}"/>
    <cellStyle name="Comma 13 3 4 4 3 2" xfId="50764" xr:uid="{637ADCEF-AF0A-424D-BA12-65804373A6D2}"/>
    <cellStyle name="Comma 13 3 4 4 4" xfId="35644" xr:uid="{425CD20B-490A-4E48-92FD-A98D0F1BDEA9}"/>
    <cellStyle name="Comma 13 3 4 5" xfId="6916" xr:uid="{594C4259-261B-4EE6-91A9-CB91886F5859}"/>
    <cellStyle name="Comma 13 3 4 5 2" xfId="22036" xr:uid="{268A4E07-87E5-4357-A763-8AA10586B01E}"/>
    <cellStyle name="Comma 13 3 4 5 2 2" xfId="52276" xr:uid="{7DC5C6EC-0157-47D4-ACF8-E6F58781182C}"/>
    <cellStyle name="Comma 13 3 4 5 3" xfId="37156" xr:uid="{712B92D6-3FEA-4381-8A35-03526F55631D}"/>
    <cellStyle name="Comma 13 3 4 6" xfId="8428" xr:uid="{6B724AAE-2FAB-41BF-BCB0-9C23FC12C2E7}"/>
    <cellStyle name="Comma 13 3 4 6 2" xfId="23548" xr:uid="{0D9D3ADB-C917-4E3D-BE05-A0BB17873E47}"/>
    <cellStyle name="Comma 13 3 4 6 2 2" xfId="53788" xr:uid="{ECC0BF84-2D94-44AE-87F1-FAE16301D57F}"/>
    <cellStyle name="Comma 13 3 4 6 3" xfId="38668" xr:uid="{A035EA1D-E54F-46CB-8116-678274B8AB04}"/>
    <cellStyle name="Comma 13 3 4 7" xfId="9940" xr:uid="{E0CA4FAE-64DE-4D19-9B08-890AA64E981D}"/>
    <cellStyle name="Comma 13 3 4 7 2" xfId="25060" xr:uid="{C840A631-F1DD-4F9F-80F4-DFB3A4A044AE}"/>
    <cellStyle name="Comma 13 3 4 7 2 2" xfId="55300" xr:uid="{0FF3056D-A508-41E0-8337-8D8540EFCFDE}"/>
    <cellStyle name="Comma 13 3 4 7 3" xfId="40180" xr:uid="{41E68CE5-F2E6-48DF-94CF-6087687D430A}"/>
    <cellStyle name="Comma 13 3 4 8" xfId="15988" xr:uid="{A1FC8C44-80F3-4BFE-9514-4253D14D5CD0}"/>
    <cellStyle name="Comma 13 3 4 8 2" xfId="46228" xr:uid="{485172A5-9518-4942-AAE9-824B378801F7}"/>
    <cellStyle name="Comma 13 3 4 9" xfId="31108" xr:uid="{203B15DB-E922-4768-88D8-26B12865F849}"/>
    <cellStyle name="Comma 13 3 5" xfId="1624" xr:uid="{EE43B4B9-3F32-4CD8-95A9-EF980C738A55}"/>
    <cellStyle name="Comma 13 3 5 2" xfId="10696" xr:uid="{25351F51-EFA7-43AC-AC14-FDFAAAB7C96B}"/>
    <cellStyle name="Comma 13 3 5 2 2" xfId="25816" xr:uid="{0731AB57-6416-4DBF-90C4-2FC9126237DE}"/>
    <cellStyle name="Comma 13 3 5 2 2 2" xfId="56056" xr:uid="{4B3FC70B-3653-4F81-96BE-EF075C2BE66C}"/>
    <cellStyle name="Comma 13 3 5 2 3" xfId="40936" xr:uid="{6C4EC33F-B0F2-40B6-ACFE-9B787DB9AAEA}"/>
    <cellStyle name="Comma 13 3 5 3" xfId="16744" xr:uid="{3BDF60A8-5649-4EEB-B455-DCE4374A20B5}"/>
    <cellStyle name="Comma 13 3 5 3 2" xfId="46984" xr:uid="{E410460A-BD10-4363-A299-31AC1C538708}"/>
    <cellStyle name="Comma 13 3 5 4" xfId="31864" xr:uid="{9E7003FE-39E7-4AF1-B7AC-0E0CA1F6FA58}"/>
    <cellStyle name="Comma 13 3 6" xfId="3136" xr:uid="{3963F42A-D9CE-4F1B-891A-3B44A7B7E52C}"/>
    <cellStyle name="Comma 13 3 6 2" xfId="12208" xr:uid="{53FEB08F-3654-4373-BDF2-978BFAC2C141}"/>
    <cellStyle name="Comma 13 3 6 2 2" xfId="27328" xr:uid="{65EC8A46-09B3-4907-8611-B97128513E67}"/>
    <cellStyle name="Comma 13 3 6 2 2 2" xfId="57568" xr:uid="{5C94FEC1-7D07-4E14-ACF3-DC1C35751083}"/>
    <cellStyle name="Comma 13 3 6 2 3" xfId="42448" xr:uid="{C40DD2A5-EE82-4B07-B5A7-79C9F513FFD3}"/>
    <cellStyle name="Comma 13 3 6 3" xfId="18256" xr:uid="{8FFE7E92-0EAF-440B-A888-F9E41BF30105}"/>
    <cellStyle name="Comma 13 3 6 3 2" xfId="48496" xr:uid="{9CC422D5-F785-4183-83F4-5586D915476D}"/>
    <cellStyle name="Comma 13 3 6 4" xfId="33376" xr:uid="{CFEAA2A7-AA3C-47F3-8226-A291089039A3}"/>
    <cellStyle name="Comma 13 3 7" xfId="4648" xr:uid="{8D5AB9FF-77FA-4E85-ACAF-4FD8E82AA616}"/>
    <cellStyle name="Comma 13 3 7 2" xfId="13720" xr:uid="{40B42CB7-D961-43B3-9E3D-89E584F599BE}"/>
    <cellStyle name="Comma 13 3 7 2 2" xfId="28840" xr:uid="{71029C64-69E2-4F20-99D5-AAB024C5E87E}"/>
    <cellStyle name="Comma 13 3 7 2 2 2" xfId="59080" xr:uid="{BDDF85B0-1F7C-4EAB-B60F-ADB56F9A14DA}"/>
    <cellStyle name="Comma 13 3 7 2 3" xfId="43960" xr:uid="{677139E5-0B81-42E1-B874-6437DD3C4392}"/>
    <cellStyle name="Comma 13 3 7 3" xfId="19768" xr:uid="{5193D839-FAEA-4F27-94AA-97A1DE7A0AED}"/>
    <cellStyle name="Comma 13 3 7 3 2" xfId="50008" xr:uid="{B256AD83-3532-4F1C-99BE-FCA4C6BD1760}"/>
    <cellStyle name="Comma 13 3 7 4" xfId="34888" xr:uid="{6F8A8DCB-3273-4CEB-B22A-C69BEA1310B4}"/>
    <cellStyle name="Comma 13 3 8" xfId="6160" xr:uid="{824EC9D0-8C1F-4570-BA40-4A2C7D914F67}"/>
    <cellStyle name="Comma 13 3 8 2" xfId="21280" xr:uid="{E232B9AD-AE9F-4B11-80E4-E5D0C8CA97A0}"/>
    <cellStyle name="Comma 13 3 8 2 2" xfId="51520" xr:uid="{81184056-CAB2-4C3D-BC85-B9251CDA4BCC}"/>
    <cellStyle name="Comma 13 3 8 3" xfId="36400" xr:uid="{8FC55F4C-B79F-4AD3-B0C2-D57E30514163}"/>
    <cellStyle name="Comma 13 3 9" xfId="7672" xr:uid="{44A21EB4-64C4-46D5-A541-8BD01F778359}"/>
    <cellStyle name="Comma 13 3 9 2" xfId="22792" xr:uid="{895D300A-FD84-412E-80D1-332A0239FD4A}"/>
    <cellStyle name="Comma 13 3 9 2 2" xfId="53032" xr:uid="{3E15797D-A127-46DC-AE37-1C7A34552C91}"/>
    <cellStyle name="Comma 13 3 9 3" xfId="37912" xr:uid="{E635F5BF-11B4-4C61-9917-035B939117D9}"/>
    <cellStyle name="Comma 13 4" xfId="196" xr:uid="{D8834D7B-B1DE-49F5-86AE-842F4BB048F6}"/>
    <cellStyle name="Comma 13 4 10" xfId="9268" xr:uid="{E3E5B56F-105D-419F-996F-01D0004D9A2C}"/>
    <cellStyle name="Comma 13 4 10 2" xfId="24388" xr:uid="{3E34553E-0AF8-45FB-BF28-3CB039B40CB2}"/>
    <cellStyle name="Comma 13 4 10 2 2" xfId="54628" xr:uid="{75AD0330-21ED-4CFE-A208-8A5BD7FDAFAB}"/>
    <cellStyle name="Comma 13 4 10 3" xfId="39508" xr:uid="{58E39E1D-686C-4B2C-B599-C6DFC0AEAF0D}"/>
    <cellStyle name="Comma 13 4 11" xfId="15316" xr:uid="{1AEF8BDD-90AD-487F-9C3B-9C8A0DFDBEFC}"/>
    <cellStyle name="Comma 13 4 11 2" xfId="45556" xr:uid="{E6206E26-D87E-477C-BC30-F9220DCC988B}"/>
    <cellStyle name="Comma 13 4 12" xfId="30436" xr:uid="{79BE2573-A909-4F94-B427-946F4E07E249}"/>
    <cellStyle name="Comma 13 4 2" xfId="448" xr:uid="{74DDB95B-9EB3-410C-A8D5-43F4188DFF54}"/>
    <cellStyle name="Comma 13 4 2 10" xfId="30688" xr:uid="{E93196DB-0F71-41D0-B9AB-0609FFDE87C0}"/>
    <cellStyle name="Comma 13 4 2 2" xfId="1204" xr:uid="{696891E8-3CEB-49A8-AB2D-1ED89D95846C}"/>
    <cellStyle name="Comma 13 4 2 2 2" xfId="2716" xr:uid="{EEDF6AD3-0B76-46C0-AC2E-4A5EEB99FB5A}"/>
    <cellStyle name="Comma 13 4 2 2 2 2" xfId="11788" xr:uid="{480514FF-7C2E-4396-B4FB-B79F194F41B1}"/>
    <cellStyle name="Comma 13 4 2 2 2 2 2" xfId="26908" xr:uid="{2D78190A-4930-4BAE-8B5A-4770F8BF1E1D}"/>
    <cellStyle name="Comma 13 4 2 2 2 2 2 2" xfId="57148" xr:uid="{F05E26A5-EBAB-4104-B81B-937901868FAA}"/>
    <cellStyle name="Comma 13 4 2 2 2 2 3" xfId="42028" xr:uid="{38CF5CEA-58A9-4136-BC5A-3DD524322DEA}"/>
    <cellStyle name="Comma 13 4 2 2 2 3" xfId="17836" xr:uid="{75DC3AAF-66DF-4BA5-B093-2984DCE5FB14}"/>
    <cellStyle name="Comma 13 4 2 2 2 3 2" xfId="48076" xr:uid="{884F1DA4-666C-46E2-A429-F9C1B7AA95B5}"/>
    <cellStyle name="Comma 13 4 2 2 2 4" xfId="32956" xr:uid="{8E91E5F0-1CF8-4445-9EFB-A2A6B9B3D373}"/>
    <cellStyle name="Comma 13 4 2 2 3" xfId="4228" xr:uid="{5E629F7D-57FD-4640-9FB7-7FCF2D573DAA}"/>
    <cellStyle name="Comma 13 4 2 2 3 2" xfId="13300" xr:uid="{81AD9F3D-41D6-448A-AB7D-9BB4764133DE}"/>
    <cellStyle name="Comma 13 4 2 2 3 2 2" xfId="28420" xr:uid="{3216F83A-0D6F-413C-B721-068F997BC10C}"/>
    <cellStyle name="Comma 13 4 2 2 3 2 2 2" xfId="58660" xr:uid="{3B515F8D-7F13-43CA-A1E8-0845E78DE1DB}"/>
    <cellStyle name="Comma 13 4 2 2 3 2 3" xfId="43540" xr:uid="{8A2A7F31-5F77-4DDD-B66E-1D77E665BF1E}"/>
    <cellStyle name="Comma 13 4 2 2 3 3" xfId="19348" xr:uid="{55C6BC18-F474-4827-A941-F11042528117}"/>
    <cellStyle name="Comma 13 4 2 2 3 3 2" xfId="49588" xr:uid="{8698D30E-D41B-4DE6-A0E4-58B33843A22C}"/>
    <cellStyle name="Comma 13 4 2 2 3 4" xfId="34468" xr:uid="{554659CD-8F4D-4084-B385-C052C84226FC}"/>
    <cellStyle name="Comma 13 4 2 2 4" xfId="5740" xr:uid="{B9CFB0F8-AD61-4F01-9C23-4D9C55D8ECB1}"/>
    <cellStyle name="Comma 13 4 2 2 4 2" xfId="14812" xr:uid="{C1AD1DB5-18B9-4D0F-81F9-00133AAFED51}"/>
    <cellStyle name="Comma 13 4 2 2 4 2 2" xfId="29932" xr:uid="{B7C9FD7D-C076-46E2-979E-69670B25F25E}"/>
    <cellStyle name="Comma 13 4 2 2 4 2 2 2" xfId="60172" xr:uid="{9E483091-B54B-456F-B069-46D80D56A5FE}"/>
    <cellStyle name="Comma 13 4 2 2 4 2 3" xfId="45052" xr:uid="{8BB61A3C-6A4D-4131-BAB3-77170736C077}"/>
    <cellStyle name="Comma 13 4 2 2 4 3" xfId="20860" xr:uid="{CA456168-5066-402F-A87B-03F34A198E36}"/>
    <cellStyle name="Comma 13 4 2 2 4 3 2" xfId="51100" xr:uid="{5C8BC1DD-24DC-478E-AAB4-3071692C2A2F}"/>
    <cellStyle name="Comma 13 4 2 2 4 4" xfId="35980" xr:uid="{183B3845-E39B-49B2-B1AF-C06664BC536F}"/>
    <cellStyle name="Comma 13 4 2 2 5" xfId="7252" xr:uid="{4829FD05-FBA6-4DC7-AFE3-787DAA7A762D}"/>
    <cellStyle name="Comma 13 4 2 2 5 2" xfId="22372" xr:uid="{85DC5BF6-05CE-457A-BD3A-3FD9171DAC58}"/>
    <cellStyle name="Comma 13 4 2 2 5 2 2" xfId="52612" xr:uid="{DEB0FA6B-0691-4BBE-A8E0-FC360BDF8C0A}"/>
    <cellStyle name="Comma 13 4 2 2 5 3" xfId="37492" xr:uid="{0409E251-BF67-43A0-9114-839D47D00158}"/>
    <cellStyle name="Comma 13 4 2 2 6" xfId="8764" xr:uid="{A2035383-E72B-4EC1-814B-B8C8C74E06C2}"/>
    <cellStyle name="Comma 13 4 2 2 6 2" xfId="23884" xr:uid="{6293B0DE-5167-4247-B091-A7D597E5470D}"/>
    <cellStyle name="Comma 13 4 2 2 6 2 2" xfId="54124" xr:uid="{33554441-AFF2-4352-ADC6-3F7EF669525D}"/>
    <cellStyle name="Comma 13 4 2 2 6 3" xfId="39004" xr:uid="{B6330E31-21CD-4A14-A1F1-9E41B31C5BDD}"/>
    <cellStyle name="Comma 13 4 2 2 7" xfId="10276" xr:uid="{896460D0-B1B8-4578-BA4A-C8D7D379AC22}"/>
    <cellStyle name="Comma 13 4 2 2 7 2" xfId="25396" xr:uid="{F6932151-8985-436C-B38E-D7795564AD24}"/>
    <cellStyle name="Comma 13 4 2 2 7 2 2" xfId="55636" xr:uid="{06502F01-6062-43F4-BB55-FF550975AC70}"/>
    <cellStyle name="Comma 13 4 2 2 7 3" xfId="40516" xr:uid="{20A25941-E207-4E83-AB91-260BBD9695A1}"/>
    <cellStyle name="Comma 13 4 2 2 8" xfId="16324" xr:uid="{7E51613F-2A8C-4D28-BEDD-AEAD3706BB19}"/>
    <cellStyle name="Comma 13 4 2 2 8 2" xfId="46564" xr:uid="{B00A56D0-040E-4790-BEC2-C52C4080E30A}"/>
    <cellStyle name="Comma 13 4 2 2 9" xfId="31444" xr:uid="{936999E6-4DD1-4B26-89EA-BB30BD0A34C5}"/>
    <cellStyle name="Comma 13 4 2 3" xfId="1960" xr:uid="{DCC3F32A-F445-430A-8965-D82041C2D844}"/>
    <cellStyle name="Comma 13 4 2 3 2" xfId="11032" xr:uid="{4B3FEA58-2CB2-4912-8B0B-33F207BE4238}"/>
    <cellStyle name="Comma 13 4 2 3 2 2" xfId="26152" xr:uid="{A7FB5851-993E-482B-9A0F-D00070D6F49F}"/>
    <cellStyle name="Comma 13 4 2 3 2 2 2" xfId="56392" xr:uid="{C32A1C77-7612-4C5E-B65F-8501B062074D}"/>
    <cellStyle name="Comma 13 4 2 3 2 3" xfId="41272" xr:uid="{6C00C30B-3DB5-41C4-8470-02B014DF04B6}"/>
    <cellStyle name="Comma 13 4 2 3 3" xfId="17080" xr:uid="{EE6C9FFB-D02D-4DA5-A374-9B4A91BA1958}"/>
    <cellStyle name="Comma 13 4 2 3 3 2" xfId="47320" xr:uid="{31DD695D-B0F2-4763-A425-4E63A7C3CA62}"/>
    <cellStyle name="Comma 13 4 2 3 4" xfId="32200" xr:uid="{9FECECEA-C395-411C-AA03-EFCEE801FF54}"/>
    <cellStyle name="Comma 13 4 2 4" xfId="3472" xr:uid="{151F5E65-C748-4842-8E3E-775011A6AFA8}"/>
    <cellStyle name="Comma 13 4 2 4 2" xfId="12544" xr:uid="{92959719-5700-4146-9361-E49590EC145D}"/>
    <cellStyle name="Comma 13 4 2 4 2 2" xfId="27664" xr:uid="{E8458AC2-1C32-4802-AD64-EC5D92E80A82}"/>
    <cellStyle name="Comma 13 4 2 4 2 2 2" xfId="57904" xr:uid="{8CC49D04-6168-4A08-98C0-2A5C54D26D97}"/>
    <cellStyle name="Comma 13 4 2 4 2 3" xfId="42784" xr:uid="{8297C264-FCE7-4CC9-91C3-83CA65A1E6BB}"/>
    <cellStyle name="Comma 13 4 2 4 3" xfId="18592" xr:uid="{A796CE0B-019E-425E-84D2-794D4A7B7840}"/>
    <cellStyle name="Comma 13 4 2 4 3 2" xfId="48832" xr:uid="{4333CF58-5E13-4120-BACA-4401D35F24A8}"/>
    <cellStyle name="Comma 13 4 2 4 4" xfId="33712" xr:uid="{4C9F886A-6E38-41BB-9555-44FD21F83C53}"/>
    <cellStyle name="Comma 13 4 2 5" xfId="4984" xr:uid="{5C68C19E-FD15-4109-9B9C-D820A137FC60}"/>
    <cellStyle name="Comma 13 4 2 5 2" xfId="14056" xr:uid="{1F88EE49-2CD5-4B08-97D9-6D58426BF9CF}"/>
    <cellStyle name="Comma 13 4 2 5 2 2" xfId="29176" xr:uid="{33270A19-EF68-4F38-96B7-55C57408CF4C}"/>
    <cellStyle name="Comma 13 4 2 5 2 2 2" xfId="59416" xr:uid="{23CE0F46-CF7F-49A0-A3CB-A8F5C33EAF27}"/>
    <cellStyle name="Comma 13 4 2 5 2 3" xfId="44296" xr:uid="{C5792A26-8EA1-4F9C-98E4-2F148F6BF641}"/>
    <cellStyle name="Comma 13 4 2 5 3" xfId="20104" xr:uid="{BB82B7CA-B911-405E-831B-D7697D108599}"/>
    <cellStyle name="Comma 13 4 2 5 3 2" xfId="50344" xr:uid="{3C9943B6-3FDB-49EC-8CC4-40538F7B63E1}"/>
    <cellStyle name="Comma 13 4 2 5 4" xfId="35224" xr:uid="{8DF6FC45-D44D-4AFE-B5B0-38D6A22DFECD}"/>
    <cellStyle name="Comma 13 4 2 6" xfId="6496" xr:uid="{EE7AD2FE-5B5C-4AD1-8189-51CD3ED31CDD}"/>
    <cellStyle name="Comma 13 4 2 6 2" xfId="21616" xr:uid="{8F66AEFA-765B-4D41-8592-8FCD2865C2BB}"/>
    <cellStyle name="Comma 13 4 2 6 2 2" xfId="51856" xr:uid="{752400D3-1649-4D58-8504-DDCA49984E41}"/>
    <cellStyle name="Comma 13 4 2 6 3" xfId="36736" xr:uid="{A94D5A47-E92E-45A1-9623-42957B96DB9C}"/>
    <cellStyle name="Comma 13 4 2 7" xfId="8008" xr:uid="{9E1B8F5F-1A52-4346-BBFE-62DD3B7D4636}"/>
    <cellStyle name="Comma 13 4 2 7 2" xfId="23128" xr:uid="{3BD3B964-B1D5-4A93-BC22-583753C7B44E}"/>
    <cellStyle name="Comma 13 4 2 7 2 2" xfId="53368" xr:uid="{BF240513-E6DC-4397-B1CF-3B7C08999F6B}"/>
    <cellStyle name="Comma 13 4 2 7 3" xfId="38248" xr:uid="{2D736D88-CEF7-4B6F-9396-0BEBC03FB2E3}"/>
    <cellStyle name="Comma 13 4 2 8" xfId="9520" xr:uid="{5336FACC-0867-4F7B-A89A-99AB68A0F37B}"/>
    <cellStyle name="Comma 13 4 2 8 2" xfId="24640" xr:uid="{2B574664-DF48-4CF3-9D53-1F55C6DBB9A4}"/>
    <cellStyle name="Comma 13 4 2 8 2 2" xfId="54880" xr:uid="{3B95A7C8-EC27-4C84-8160-D0ED4A402992}"/>
    <cellStyle name="Comma 13 4 2 8 3" xfId="39760" xr:uid="{6AD0BB5E-E460-4987-AE57-93758D317302}"/>
    <cellStyle name="Comma 13 4 2 9" xfId="15568" xr:uid="{20DBD148-7BED-4DEF-8785-B4B41C12BD6C}"/>
    <cellStyle name="Comma 13 4 2 9 2" xfId="45808" xr:uid="{F55CF1E1-B8C5-44AB-BD11-41F60DAA29B1}"/>
    <cellStyle name="Comma 13 4 3" xfId="700" xr:uid="{937FFF99-2B86-4C3D-AC77-187C42197098}"/>
    <cellStyle name="Comma 13 4 3 10" xfId="30940" xr:uid="{A1208586-D8AB-4FAF-BDB3-BB2A5951D0FA}"/>
    <cellStyle name="Comma 13 4 3 2" xfId="1456" xr:uid="{F6F40D9A-2BC0-4B98-B11D-4E7FFF3644E3}"/>
    <cellStyle name="Comma 13 4 3 2 2" xfId="2968" xr:uid="{7DAFCAB0-51D8-4CEF-9318-B188E4990748}"/>
    <cellStyle name="Comma 13 4 3 2 2 2" xfId="12040" xr:uid="{58FD179C-659A-4E30-A51A-6CA377D304F5}"/>
    <cellStyle name="Comma 13 4 3 2 2 2 2" xfId="27160" xr:uid="{3CEE27CB-3132-48E5-811A-80C259281831}"/>
    <cellStyle name="Comma 13 4 3 2 2 2 2 2" xfId="57400" xr:uid="{DF143AAC-065B-4151-BAC2-B6CF2B1BF24D}"/>
    <cellStyle name="Comma 13 4 3 2 2 2 3" xfId="42280" xr:uid="{4E26872C-E981-4697-BF27-F0E8142FC59F}"/>
    <cellStyle name="Comma 13 4 3 2 2 3" xfId="18088" xr:uid="{00FD7594-CD69-4A41-B75B-1468CFAB52ED}"/>
    <cellStyle name="Comma 13 4 3 2 2 3 2" xfId="48328" xr:uid="{5C82D1E6-2DE5-452E-AF4E-BBE277E4E72D}"/>
    <cellStyle name="Comma 13 4 3 2 2 4" xfId="33208" xr:uid="{59765B48-921B-467C-8B86-7547726A8F9B}"/>
    <cellStyle name="Comma 13 4 3 2 3" xfId="4480" xr:uid="{0D03E2A8-B50B-48B0-B14B-6D63F3A16804}"/>
    <cellStyle name="Comma 13 4 3 2 3 2" xfId="13552" xr:uid="{1ACB6846-00E0-42C4-8D69-CEA9F1D2C0B8}"/>
    <cellStyle name="Comma 13 4 3 2 3 2 2" xfId="28672" xr:uid="{070EC387-0F95-46C1-B90D-28C0EB5402CA}"/>
    <cellStyle name="Comma 13 4 3 2 3 2 2 2" xfId="58912" xr:uid="{FC93D2E2-270D-4C71-8F50-CAEC48E460F7}"/>
    <cellStyle name="Comma 13 4 3 2 3 2 3" xfId="43792" xr:uid="{EB3684F3-2FD3-4513-86EE-57C25C8AA552}"/>
    <cellStyle name="Comma 13 4 3 2 3 3" xfId="19600" xr:uid="{30908A8E-C5B5-415E-9A50-748B11262CA3}"/>
    <cellStyle name="Comma 13 4 3 2 3 3 2" xfId="49840" xr:uid="{7B71D941-CB96-44E3-B294-6621B5E3CC7D}"/>
    <cellStyle name="Comma 13 4 3 2 3 4" xfId="34720" xr:uid="{5671FF73-2F0A-47E7-B9D1-B6D7056B9632}"/>
    <cellStyle name="Comma 13 4 3 2 4" xfId="5992" xr:uid="{726D8A25-5B4A-4AC2-956C-06D272B8EAF5}"/>
    <cellStyle name="Comma 13 4 3 2 4 2" xfId="15064" xr:uid="{3A5F3BDC-BB2D-4FF3-8017-850EB08A0651}"/>
    <cellStyle name="Comma 13 4 3 2 4 2 2" xfId="30184" xr:uid="{DEF0FFBF-372D-470B-BF9A-088DE09E565F}"/>
    <cellStyle name="Comma 13 4 3 2 4 2 2 2" xfId="60424" xr:uid="{9627A42E-47D5-4DF6-AD6B-3B893383489E}"/>
    <cellStyle name="Comma 13 4 3 2 4 2 3" xfId="45304" xr:uid="{9110FB3C-8088-4C51-9C00-36E4DDBA8D16}"/>
    <cellStyle name="Comma 13 4 3 2 4 3" xfId="21112" xr:uid="{FD8D0DE2-B44D-473C-8D6D-0AE0BA56FAD9}"/>
    <cellStyle name="Comma 13 4 3 2 4 3 2" xfId="51352" xr:uid="{7E4A21FE-E73A-4B13-8241-1FBE75DC1795}"/>
    <cellStyle name="Comma 13 4 3 2 4 4" xfId="36232" xr:uid="{D4FE6100-CB20-4D5E-9F1E-C994E423EDBE}"/>
    <cellStyle name="Comma 13 4 3 2 5" xfId="7504" xr:uid="{28DDC1E9-4212-4FF1-A71B-9DA0D2496B84}"/>
    <cellStyle name="Comma 13 4 3 2 5 2" xfId="22624" xr:uid="{9BCEDFEB-F4BA-4962-89DE-7C8FD66996F7}"/>
    <cellStyle name="Comma 13 4 3 2 5 2 2" xfId="52864" xr:uid="{3FA88B6C-6EBB-46FA-AAA7-DBA47908ED28}"/>
    <cellStyle name="Comma 13 4 3 2 5 3" xfId="37744" xr:uid="{A6CFA14B-BF70-4A80-B65F-60B1C7236F5B}"/>
    <cellStyle name="Comma 13 4 3 2 6" xfId="9016" xr:uid="{993123B8-52FE-4FEF-B55C-E26E1B05CB59}"/>
    <cellStyle name="Comma 13 4 3 2 6 2" xfId="24136" xr:uid="{B9CE3121-019A-498B-AC39-0E118FC7F330}"/>
    <cellStyle name="Comma 13 4 3 2 6 2 2" xfId="54376" xr:uid="{51D89D35-1652-405C-B63F-F0A36ABD2C3C}"/>
    <cellStyle name="Comma 13 4 3 2 6 3" xfId="39256" xr:uid="{E85F2684-4353-42CB-AA9D-15EE501920C6}"/>
    <cellStyle name="Comma 13 4 3 2 7" xfId="10528" xr:uid="{07B8CF94-7394-44BC-B04B-7409DB164CCB}"/>
    <cellStyle name="Comma 13 4 3 2 7 2" xfId="25648" xr:uid="{17986E18-2925-4BC6-BE23-0863E03BD3AB}"/>
    <cellStyle name="Comma 13 4 3 2 7 2 2" xfId="55888" xr:uid="{DBDD2A0D-564C-4863-8775-28DCFD497835}"/>
    <cellStyle name="Comma 13 4 3 2 7 3" xfId="40768" xr:uid="{EA1D4D04-34AE-4E1B-AF28-EA2B538244C9}"/>
    <cellStyle name="Comma 13 4 3 2 8" xfId="16576" xr:uid="{F19239AE-E5D7-4F61-920C-29F8ADECC77C}"/>
    <cellStyle name="Comma 13 4 3 2 8 2" xfId="46816" xr:uid="{BFEF5855-DB01-4B61-A503-4FDBC3C128AB}"/>
    <cellStyle name="Comma 13 4 3 2 9" xfId="31696" xr:uid="{040027F5-8EEE-4CBE-8BAA-A1AE36BDC67C}"/>
    <cellStyle name="Comma 13 4 3 3" xfId="2212" xr:uid="{2C3760D4-A608-4D33-B3CA-C60C562213B8}"/>
    <cellStyle name="Comma 13 4 3 3 2" xfId="11284" xr:uid="{0214DD36-7D8E-41EF-824C-61694846043C}"/>
    <cellStyle name="Comma 13 4 3 3 2 2" xfId="26404" xr:uid="{3C63B40F-221D-4477-AA53-273E9E7F6165}"/>
    <cellStyle name="Comma 13 4 3 3 2 2 2" xfId="56644" xr:uid="{0A45FFB6-8C81-4588-A75E-E4641B8DA43B}"/>
    <cellStyle name="Comma 13 4 3 3 2 3" xfId="41524" xr:uid="{A31DF4D2-E964-4917-BF0D-8AB2A1B50D43}"/>
    <cellStyle name="Comma 13 4 3 3 3" xfId="17332" xr:uid="{86AB748B-035C-42CD-8FEE-452DFA55A1AC}"/>
    <cellStyle name="Comma 13 4 3 3 3 2" xfId="47572" xr:uid="{BC1CC9BE-4F9F-460A-B918-8291CB330E25}"/>
    <cellStyle name="Comma 13 4 3 3 4" xfId="32452" xr:uid="{846D7539-E45D-4A9B-AA49-288BE2CE536D}"/>
    <cellStyle name="Comma 13 4 3 4" xfId="3724" xr:uid="{2D80EC07-6B6A-40BA-A888-0A9B55021D29}"/>
    <cellStyle name="Comma 13 4 3 4 2" xfId="12796" xr:uid="{3BC99079-879A-4177-A83B-9A589CC54775}"/>
    <cellStyle name="Comma 13 4 3 4 2 2" xfId="27916" xr:uid="{95CD9E64-8B78-4ADE-BB5B-642CD7510C5C}"/>
    <cellStyle name="Comma 13 4 3 4 2 2 2" xfId="58156" xr:uid="{83B0A924-5CE4-427F-A20E-AF1AA19E357B}"/>
    <cellStyle name="Comma 13 4 3 4 2 3" xfId="43036" xr:uid="{F09D0938-A585-495B-A915-994BABB82EBE}"/>
    <cellStyle name="Comma 13 4 3 4 3" xfId="18844" xr:uid="{00D44918-8DD0-4C22-B028-FDBD86C15125}"/>
    <cellStyle name="Comma 13 4 3 4 3 2" xfId="49084" xr:uid="{96D7CF33-0344-49F5-BEE5-1784EEA44B8A}"/>
    <cellStyle name="Comma 13 4 3 4 4" xfId="33964" xr:uid="{77E6D504-EFE9-4476-84C3-8500F2BDA928}"/>
    <cellStyle name="Comma 13 4 3 5" xfId="5236" xr:uid="{310B0958-5E89-478C-BCAB-867B4B7D779F}"/>
    <cellStyle name="Comma 13 4 3 5 2" xfId="14308" xr:uid="{A77C2AE2-6400-4FE4-9428-D28D2F7AD333}"/>
    <cellStyle name="Comma 13 4 3 5 2 2" xfId="29428" xr:uid="{F41A8AF8-7999-4322-B829-49070E7AB68F}"/>
    <cellStyle name="Comma 13 4 3 5 2 2 2" xfId="59668" xr:uid="{75A4FB7F-52DB-4CF1-A043-2CA24D74D568}"/>
    <cellStyle name="Comma 13 4 3 5 2 3" xfId="44548" xr:uid="{D1E43060-236A-480C-BC85-67976CD1F466}"/>
    <cellStyle name="Comma 13 4 3 5 3" xfId="20356" xr:uid="{2141B4E1-E117-4A6F-BDC2-431D9D4700C7}"/>
    <cellStyle name="Comma 13 4 3 5 3 2" xfId="50596" xr:uid="{76A558A7-2763-4A2A-BD41-BF8DC38EFD45}"/>
    <cellStyle name="Comma 13 4 3 5 4" xfId="35476" xr:uid="{81A34008-A0B6-4D72-BFDB-F94465566F59}"/>
    <cellStyle name="Comma 13 4 3 6" xfId="6748" xr:uid="{D78DDD30-7562-4FCC-BCD3-23C1248384AE}"/>
    <cellStyle name="Comma 13 4 3 6 2" xfId="21868" xr:uid="{2D19A4AA-312B-4A30-94CE-3E4FC9A99129}"/>
    <cellStyle name="Comma 13 4 3 6 2 2" xfId="52108" xr:uid="{DDC73FB7-5FB8-40D8-B412-808BFD09729D}"/>
    <cellStyle name="Comma 13 4 3 6 3" xfId="36988" xr:uid="{5FB6851F-066D-45DC-9E42-96D65B4A99CC}"/>
    <cellStyle name="Comma 13 4 3 7" xfId="8260" xr:uid="{0B9D87A3-6AC5-43AB-BA76-C5D5DF72BD80}"/>
    <cellStyle name="Comma 13 4 3 7 2" xfId="23380" xr:uid="{7CB0A1A3-6F1F-4C2A-BBD7-ACCE38A2AA60}"/>
    <cellStyle name="Comma 13 4 3 7 2 2" xfId="53620" xr:uid="{45F8C40F-D9CB-4920-A364-F9EB495EF910}"/>
    <cellStyle name="Comma 13 4 3 7 3" xfId="38500" xr:uid="{BE542F2C-112F-4B25-B65D-89B62AE117B6}"/>
    <cellStyle name="Comma 13 4 3 8" xfId="9772" xr:uid="{A786EB24-3890-4B24-8B07-DCABBA923D2B}"/>
    <cellStyle name="Comma 13 4 3 8 2" xfId="24892" xr:uid="{A32F326C-031E-4AFF-9524-825D7ABB7F88}"/>
    <cellStyle name="Comma 13 4 3 8 2 2" xfId="55132" xr:uid="{27100DF5-3F8D-4AD0-A4C7-92EB07EDB8A5}"/>
    <cellStyle name="Comma 13 4 3 8 3" xfId="40012" xr:uid="{D1ED0B1C-F836-4268-997B-7634C7E456C7}"/>
    <cellStyle name="Comma 13 4 3 9" xfId="15820" xr:uid="{1AC2E88F-065A-4899-8A43-1360FB5F1B98}"/>
    <cellStyle name="Comma 13 4 3 9 2" xfId="46060" xr:uid="{003588D4-7F91-4245-A606-61F8E2E14DDD}"/>
    <cellStyle name="Comma 13 4 4" xfId="952" xr:uid="{AB89315D-2243-4AB1-BEF2-7235924F157D}"/>
    <cellStyle name="Comma 13 4 4 2" xfId="2464" xr:uid="{E579A516-063B-4DAB-AE5C-BE673F4956FA}"/>
    <cellStyle name="Comma 13 4 4 2 2" xfId="11536" xr:uid="{CDAF3972-396D-47A8-89E5-CDB6F46B8C1E}"/>
    <cellStyle name="Comma 13 4 4 2 2 2" xfId="26656" xr:uid="{48C85196-3030-4916-A2EA-D68CCB151901}"/>
    <cellStyle name="Comma 13 4 4 2 2 2 2" xfId="56896" xr:uid="{F40307A0-E493-406C-A44B-2B60097D494A}"/>
    <cellStyle name="Comma 13 4 4 2 2 3" xfId="41776" xr:uid="{2D35BE70-09B2-4151-BC6F-B73455B8F3B5}"/>
    <cellStyle name="Comma 13 4 4 2 3" xfId="17584" xr:uid="{B1A02DBA-7C1A-40D2-948F-FCB8D18D4510}"/>
    <cellStyle name="Comma 13 4 4 2 3 2" xfId="47824" xr:uid="{2D49D27B-4756-4591-BD42-BD7D8667A9FE}"/>
    <cellStyle name="Comma 13 4 4 2 4" xfId="32704" xr:uid="{3FC00B0D-3066-4B24-9B26-6000EB8C14B5}"/>
    <cellStyle name="Comma 13 4 4 3" xfId="3976" xr:uid="{B767F833-6B1C-4833-AAF2-C92E98334470}"/>
    <cellStyle name="Comma 13 4 4 3 2" xfId="13048" xr:uid="{D4552E46-075D-48D2-B203-CE4A29556FE7}"/>
    <cellStyle name="Comma 13 4 4 3 2 2" xfId="28168" xr:uid="{03CEA413-F45E-491B-972A-52F163CB8AC5}"/>
    <cellStyle name="Comma 13 4 4 3 2 2 2" xfId="58408" xr:uid="{FD21CC84-FF20-454A-A7C0-F984B9E49CF4}"/>
    <cellStyle name="Comma 13 4 4 3 2 3" xfId="43288" xr:uid="{3BB4024B-9D53-4BF6-8A6D-0E5F9AD88D55}"/>
    <cellStyle name="Comma 13 4 4 3 3" xfId="19096" xr:uid="{D4112293-30AA-4601-8808-CF59223B3C81}"/>
    <cellStyle name="Comma 13 4 4 3 3 2" xfId="49336" xr:uid="{EA51C6A1-7401-4E07-ACE1-A3A7A4EEAB67}"/>
    <cellStyle name="Comma 13 4 4 3 4" xfId="34216" xr:uid="{001693C1-2397-4A78-87BD-803CCEA0513E}"/>
    <cellStyle name="Comma 13 4 4 4" xfId="5488" xr:uid="{052C1539-76B7-454C-BC0F-047B9CD0A2F3}"/>
    <cellStyle name="Comma 13 4 4 4 2" xfId="14560" xr:uid="{DCD36073-912D-4420-9B4E-3FC48E061B5A}"/>
    <cellStyle name="Comma 13 4 4 4 2 2" xfId="29680" xr:uid="{6F5DE3C4-AF54-4BF8-A349-88BB8806C9BE}"/>
    <cellStyle name="Comma 13 4 4 4 2 2 2" xfId="59920" xr:uid="{A0D992D5-B46C-4976-8311-600B7FC2416F}"/>
    <cellStyle name="Comma 13 4 4 4 2 3" xfId="44800" xr:uid="{C8B83A47-0F16-4D5F-B441-1CB26A75246C}"/>
    <cellStyle name="Comma 13 4 4 4 3" xfId="20608" xr:uid="{04F7C5B2-8C42-4E79-9903-3A785B64A985}"/>
    <cellStyle name="Comma 13 4 4 4 3 2" xfId="50848" xr:uid="{7B437EDD-3A64-44B3-8F82-393101F8A7FB}"/>
    <cellStyle name="Comma 13 4 4 4 4" xfId="35728" xr:uid="{08C1C342-D9C7-4C7B-A58C-A2FBF5675034}"/>
    <cellStyle name="Comma 13 4 4 5" xfId="7000" xr:uid="{9127CEB9-0B89-4E71-A483-C80C95723833}"/>
    <cellStyle name="Comma 13 4 4 5 2" xfId="22120" xr:uid="{F0549447-67F1-4C19-AEED-E46D7F4D0B52}"/>
    <cellStyle name="Comma 13 4 4 5 2 2" xfId="52360" xr:uid="{11A79C03-F775-4F43-9B4C-041B5B965646}"/>
    <cellStyle name="Comma 13 4 4 5 3" xfId="37240" xr:uid="{07800399-660C-4F63-8ED9-1315DA2405C2}"/>
    <cellStyle name="Comma 13 4 4 6" xfId="8512" xr:uid="{5F310481-DE65-442A-A8BC-9E964012747E}"/>
    <cellStyle name="Comma 13 4 4 6 2" xfId="23632" xr:uid="{2A7130F1-B27B-4A01-BCE7-9A2155624EFA}"/>
    <cellStyle name="Comma 13 4 4 6 2 2" xfId="53872" xr:uid="{4B3D688E-6078-4D55-9603-70CE680CCAD3}"/>
    <cellStyle name="Comma 13 4 4 6 3" xfId="38752" xr:uid="{32A32440-335E-44F5-80F7-1D8557388F02}"/>
    <cellStyle name="Comma 13 4 4 7" xfId="10024" xr:uid="{11C9475A-9AA3-4F50-9A36-E15C35593046}"/>
    <cellStyle name="Comma 13 4 4 7 2" xfId="25144" xr:uid="{F970F096-064E-4B4C-9C62-C2AD5318AFA5}"/>
    <cellStyle name="Comma 13 4 4 7 2 2" xfId="55384" xr:uid="{06A7517E-4A27-45BA-A211-9E2304D256C2}"/>
    <cellStyle name="Comma 13 4 4 7 3" xfId="40264" xr:uid="{557CACD6-7FDF-427E-B43B-8A1065614F61}"/>
    <cellStyle name="Comma 13 4 4 8" xfId="16072" xr:uid="{B37507D3-40C9-4885-BFA7-92BFA6155525}"/>
    <cellStyle name="Comma 13 4 4 8 2" xfId="46312" xr:uid="{2C96A7AF-778F-4FB6-AB30-4E57AA8EC8EB}"/>
    <cellStyle name="Comma 13 4 4 9" xfId="31192" xr:uid="{144403A4-A1C8-40D0-BA57-C2CD72E6AB57}"/>
    <cellStyle name="Comma 13 4 5" xfId="1708" xr:uid="{0A448502-0156-4ADA-8155-07E15AC4146D}"/>
    <cellStyle name="Comma 13 4 5 2" xfId="10780" xr:uid="{E792A7AE-B03F-4423-926E-E616B2402BF9}"/>
    <cellStyle name="Comma 13 4 5 2 2" xfId="25900" xr:uid="{31B3CA75-A804-450F-AA77-EBABF96B79AE}"/>
    <cellStyle name="Comma 13 4 5 2 2 2" xfId="56140" xr:uid="{657D2312-2878-4763-AEEF-F8FE1044DFF9}"/>
    <cellStyle name="Comma 13 4 5 2 3" xfId="41020" xr:uid="{BD432985-7FE4-44C8-B0C5-50695199A716}"/>
    <cellStyle name="Comma 13 4 5 3" xfId="16828" xr:uid="{3A027C3C-3898-4EEA-A386-5021CAB3CAFF}"/>
    <cellStyle name="Comma 13 4 5 3 2" xfId="47068" xr:uid="{52AAF63C-9400-4E33-9248-65D494B5235C}"/>
    <cellStyle name="Comma 13 4 5 4" xfId="31948" xr:uid="{5D8BF795-8BA9-4560-AE71-BB0A221C97E0}"/>
    <cellStyle name="Comma 13 4 6" xfId="3220" xr:uid="{D624D8D8-F96C-420F-8A11-E417CF759D1C}"/>
    <cellStyle name="Comma 13 4 6 2" xfId="12292" xr:uid="{71464CCE-CF47-4274-9741-451639F02078}"/>
    <cellStyle name="Comma 13 4 6 2 2" xfId="27412" xr:uid="{ED806ACF-3685-4E1B-9528-4FEA3964C23F}"/>
    <cellStyle name="Comma 13 4 6 2 2 2" xfId="57652" xr:uid="{0A1D844B-F249-4762-BA10-F0BB00551CAB}"/>
    <cellStyle name="Comma 13 4 6 2 3" xfId="42532" xr:uid="{DCDFAEE6-1F14-43AE-A493-5316F6EDFD47}"/>
    <cellStyle name="Comma 13 4 6 3" xfId="18340" xr:uid="{A8D80B38-1A65-4E63-B095-68C4931D4757}"/>
    <cellStyle name="Comma 13 4 6 3 2" xfId="48580" xr:uid="{FE591B9B-2FE7-429D-9E6B-B42BABD8A717}"/>
    <cellStyle name="Comma 13 4 6 4" xfId="33460" xr:uid="{D67DBA1D-063F-4E93-B84B-0A756E93F2B5}"/>
    <cellStyle name="Comma 13 4 7" xfId="4732" xr:uid="{A9F4476A-E05E-4A0E-9542-4B21D0D9F258}"/>
    <cellStyle name="Comma 13 4 7 2" xfId="13804" xr:uid="{98EEB822-5E3A-44D5-BBA5-3549AFAC89FA}"/>
    <cellStyle name="Comma 13 4 7 2 2" xfId="28924" xr:uid="{8A28875A-A78F-4F10-9D6D-DED6EBBA9F32}"/>
    <cellStyle name="Comma 13 4 7 2 2 2" xfId="59164" xr:uid="{11ADE588-53C8-4E0B-8CBE-EA28FC552151}"/>
    <cellStyle name="Comma 13 4 7 2 3" xfId="44044" xr:uid="{75D8FF6E-B7EC-43D4-8A03-6E402905A3A0}"/>
    <cellStyle name="Comma 13 4 7 3" xfId="19852" xr:uid="{34480FFB-23C2-48AB-AB50-DE08041DCB57}"/>
    <cellStyle name="Comma 13 4 7 3 2" xfId="50092" xr:uid="{AF8EEBBA-6C80-4B30-A867-426E55AFB231}"/>
    <cellStyle name="Comma 13 4 7 4" xfId="34972" xr:uid="{1EBCEBD6-A165-40C1-8008-225167A9A9F0}"/>
    <cellStyle name="Comma 13 4 8" xfId="6244" xr:uid="{780B6A64-CC52-45E7-89EA-36812CDDECDF}"/>
    <cellStyle name="Comma 13 4 8 2" xfId="21364" xr:uid="{1C8410BA-4684-4B1F-B571-E78A476F3D56}"/>
    <cellStyle name="Comma 13 4 8 2 2" xfId="51604" xr:uid="{2C2DAA41-92BF-45A8-B98C-7578D276C725}"/>
    <cellStyle name="Comma 13 4 8 3" xfId="36484" xr:uid="{B2D9B5BD-7667-4F1C-BD05-E71AD9D13302}"/>
    <cellStyle name="Comma 13 4 9" xfId="7756" xr:uid="{96DA91D3-47A1-4916-A7C2-509EB7EFB3E1}"/>
    <cellStyle name="Comma 13 4 9 2" xfId="22876" xr:uid="{E5A519AA-A2AC-49AD-8E8D-8C22F15097FD}"/>
    <cellStyle name="Comma 13 4 9 2 2" xfId="53116" xr:uid="{8F955851-CA7B-495C-80E6-9882F4BCDD93}"/>
    <cellStyle name="Comma 13 4 9 3" xfId="37996" xr:uid="{896D97D2-E0B5-4DB7-B593-1DF46D8824C8}"/>
    <cellStyle name="Comma 13 5" xfId="280" xr:uid="{85A12F46-96A7-43B7-8822-8C0A3D2024BA}"/>
    <cellStyle name="Comma 13 5 10" xfId="30520" xr:uid="{1C3801D2-B686-46BF-BE9C-BC44FEBD1D1F}"/>
    <cellStyle name="Comma 13 5 2" xfId="1036" xr:uid="{6CBFF653-A3AA-41AA-91D1-DBA789121863}"/>
    <cellStyle name="Comma 13 5 2 2" xfId="2548" xr:uid="{C3CB0FC0-B0B3-47E1-AC59-05FFCA69088D}"/>
    <cellStyle name="Comma 13 5 2 2 2" xfId="11620" xr:uid="{1C40D52A-9AC3-499C-B8A0-63F2EA16FA84}"/>
    <cellStyle name="Comma 13 5 2 2 2 2" xfId="26740" xr:uid="{B07BF75A-220E-4D5A-B1C5-43CDC3EC1970}"/>
    <cellStyle name="Comma 13 5 2 2 2 2 2" xfId="56980" xr:uid="{EDD89752-ED9E-4440-9781-26186E7336B5}"/>
    <cellStyle name="Comma 13 5 2 2 2 3" xfId="41860" xr:uid="{BE01D12B-B96B-49D1-8EE0-7B879AC63626}"/>
    <cellStyle name="Comma 13 5 2 2 3" xfId="17668" xr:uid="{E5818DFB-7634-488E-85A6-EDD5268F5480}"/>
    <cellStyle name="Comma 13 5 2 2 3 2" xfId="47908" xr:uid="{DB19212B-7A7C-44BE-8933-9DF60F628D10}"/>
    <cellStyle name="Comma 13 5 2 2 4" xfId="32788" xr:uid="{27A58DB7-904B-47EC-81A1-F89CFEFF4FE6}"/>
    <cellStyle name="Comma 13 5 2 3" xfId="4060" xr:uid="{0CB57019-77E0-41DF-93F8-D93D43A3FABB}"/>
    <cellStyle name="Comma 13 5 2 3 2" xfId="13132" xr:uid="{C88CD848-33D5-4FEA-9F5B-E412909F6F60}"/>
    <cellStyle name="Comma 13 5 2 3 2 2" xfId="28252" xr:uid="{A278175A-4E9B-4B44-A742-14E5236A89CD}"/>
    <cellStyle name="Comma 13 5 2 3 2 2 2" xfId="58492" xr:uid="{50786838-A7F2-4FE0-9FC9-317A1895C12F}"/>
    <cellStyle name="Comma 13 5 2 3 2 3" xfId="43372" xr:uid="{9827C265-8A50-4FA3-AD9B-8282A98AC0CF}"/>
    <cellStyle name="Comma 13 5 2 3 3" xfId="19180" xr:uid="{5849A420-2C48-41AE-B9C6-525A2D8BE6DF}"/>
    <cellStyle name="Comma 13 5 2 3 3 2" xfId="49420" xr:uid="{0F40FB37-24F0-49D1-8687-38ACBD604C75}"/>
    <cellStyle name="Comma 13 5 2 3 4" xfId="34300" xr:uid="{8A4BD0A7-8816-4A6A-97C4-4C36BADE17D3}"/>
    <cellStyle name="Comma 13 5 2 4" xfId="5572" xr:uid="{3B4D7F9E-9067-470A-8F02-5F086E1D4B4C}"/>
    <cellStyle name="Comma 13 5 2 4 2" xfId="14644" xr:uid="{CF3567D7-9ABC-46BC-9552-D947CA0B36E8}"/>
    <cellStyle name="Comma 13 5 2 4 2 2" xfId="29764" xr:uid="{623695C8-26C1-4F5D-BDC6-EFCE23443C82}"/>
    <cellStyle name="Comma 13 5 2 4 2 2 2" xfId="60004" xr:uid="{9F1C5C77-AF3E-4097-B730-C1592CD2CC2F}"/>
    <cellStyle name="Comma 13 5 2 4 2 3" xfId="44884" xr:uid="{3DD887E6-D888-4A4B-8223-07945651DC7F}"/>
    <cellStyle name="Comma 13 5 2 4 3" xfId="20692" xr:uid="{CAC4762F-4089-4C4D-8258-F6EA633CD3C3}"/>
    <cellStyle name="Comma 13 5 2 4 3 2" xfId="50932" xr:uid="{0DF8ABEE-2C9A-4C7B-BF4A-683B30F91E6C}"/>
    <cellStyle name="Comma 13 5 2 4 4" xfId="35812" xr:uid="{27294B9C-9944-4A18-814C-81FF468C5B8B}"/>
    <cellStyle name="Comma 13 5 2 5" xfId="7084" xr:uid="{11A2928B-8820-43B5-A7CB-B35FA20236E4}"/>
    <cellStyle name="Comma 13 5 2 5 2" xfId="22204" xr:uid="{F96F072B-D233-457C-BAF4-76EC91935DB0}"/>
    <cellStyle name="Comma 13 5 2 5 2 2" xfId="52444" xr:uid="{D91898A8-39A0-422B-A7DB-7B90BA464032}"/>
    <cellStyle name="Comma 13 5 2 5 3" xfId="37324" xr:uid="{11995F98-C221-4C3E-8C21-D69E1B5EE8F8}"/>
    <cellStyle name="Comma 13 5 2 6" xfId="8596" xr:uid="{0B176456-10E7-435D-B096-FF91FCC580F6}"/>
    <cellStyle name="Comma 13 5 2 6 2" xfId="23716" xr:uid="{84AD2049-AB02-4DDA-898E-206A394AE13B}"/>
    <cellStyle name="Comma 13 5 2 6 2 2" xfId="53956" xr:uid="{E8FBD27F-C7EF-47BB-A3A7-CD0D57D61F7D}"/>
    <cellStyle name="Comma 13 5 2 6 3" xfId="38836" xr:uid="{3708E1FA-6FC2-49E2-9D2F-5CEDC41D58AD}"/>
    <cellStyle name="Comma 13 5 2 7" xfId="10108" xr:uid="{66DCB185-7FC0-4BFB-BA9A-6F8BFA0D9DD6}"/>
    <cellStyle name="Comma 13 5 2 7 2" xfId="25228" xr:uid="{9EBEBF5A-B448-46A3-A005-11EA75957438}"/>
    <cellStyle name="Comma 13 5 2 7 2 2" xfId="55468" xr:uid="{46F1C1B9-3CF4-4672-AA33-7EF0FCFAE656}"/>
    <cellStyle name="Comma 13 5 2 7 3" xfId="40348" xr:uid="{7B4C4C8E-C0C4-48BB-B849-CD4BF76323A1}"/>
    <cellStyle name="Comma 13 5 2 8" xfId="16156" xr:uid="{6E9845F2-A442-49EF-8C54-F1F92A072B94}"/>
    <cellStyle name="Comma 13 5 2 8 2" xfId="46396" xr:uid="{60FFAFAF-3A00-4C13-BC7A-7AD18ACA9F0B}"/>
    <cellStyle name="Comma 13 5 2 9" xfId="31276" xr:uid="{8E165263-5177-43F6-A6C9-9F63ACEB313E}"/>
    <cellStyle name="Comma 13 5 3" xfId="1792" xr:uid="{26FBB79D-15FE-4E1F-88C6-3113C071177C}"/>
    <cellStyle name="Comma 13 5 3 2" xfId="10864" xr:uid="{88100551-7B2B-4B51-AE81-103EE1F700FA}"/>
    <cellStyle name="Comma 13 5 3 2 2" xfId="25984" xr:uid="{DA1117FF-94AE-4012-8BF6-F15F7D0C3ED3}"/>
    <cellStyle name="Comma 13 5 3 2 2 2" xfId="56224" xr:uid="{A195495B-B9F1-4EAB-87E2-7FDEE5EAE857}"/>
    <cellStyle name="Comma 13 5 3 2 3" xfId="41104" xr:uid="{5DC85073-EC99-4AB6-BE08-D4C0C9A94E08}"/>
    <cellStyle name="Comma 13 5 3 3" xfId="16912" xr:uid="{083A1A9E-94B6-472A-A901-7120496C0A5F}"/>
    <cellStyle name="Comma 13 5 3 3 2" xfId="47152" xr:uid="{706147AC-8106-4CD1-B55F-6E1F4A2943BC}"/>
    <cellStyle name="Comma 13 5 3 4" xfId="32032" xr:uid="{E0A3A6B3-91AB-43B8-8236-40861EA2434F}"/>
    <cellStyle name="Comma 13 5 4" xfId="3304" xr:uid="{DAC0C899-1755-4FBE-A67C-B2B6D55F984A}"/>
    <cellStyle name="Comma 13 5 4 2" xfId="12376" xr:uid="{0EBC0E5C-C25C-4612-A1D3-D02081C897A9}"/>
    <cellStyle name="Comma 13 5 4 2 2" xfId="27496" xr:uid="{6C864A59-E084-49B3-B45A-4E2D7755354F}"/>
    <cellStyle name="Comma 13 5 4 2 2 2" xfId="57736" xr:uid="{B4ECE7D0-690B-4210-B5D1-8E9346DA188C}"/>
    <cellStyle name="Comma 13 5 4 2 3" xfId="42616" xr:uid="{AD08543C-9AE1-4A6E-9BDD-1C97E5B2B213}"/>
    <cellStyle name="Comma 13 5 4 3" xfId="18424" xr:uid="{B6AF82A8-A275-4FF5-BC2C-ECB07BB8272C}"/>
    <cellStyle name="Comma 13 5 4 3 2" xfId="48664" xr:uid="{63B4109E-5738-481D-9AD9-BA61EEE91EDA}"/>
    <cellStyle name="Comma 13 5 4 4" xfId="33544" xr:uid="{4EB7EE9C-4000-4CA6-9CBD-03A0F8829C7A}"/>
    <cellStyle name="Comma 13 5 5" xfId="4816" xr:uid="{4EFD40C3-2A49-4BE3-A541-AB3EA71E9CDA}"/>
    <cellStyle name="Comma 13 5 5 2" xfId="13888" xr:uid="{32395456-380F-4A44-AB1B-B755986E4841}"/>
    <cellStyle name="Comma 13 5 5 2 2" xfId="29008" xr:uid="{5EEFD90B-DB8C-44D7-A7F3-F426D7EA138A}"/>
    <cellStyle name="Comma 13 5 5 2 2 2" xfId="59248" xr:uid="{BF38213F-4484-44EA-9699-C2DA0CCFEE6A}"/>
    <cellStyle name="Comma 13 5 5 2 3" xfId="44128" xr:uid="{ADD8BCA4-AAC2-4F95-978C-14BAD9EE6014}"/>
    <cellStyle name="Comma 13 5 5 3" xfId="19936" xr:uid="{66F02C1A-1FE6-4CBD-9729-EE9B7A7B159A}"/>
    <cellStyle name="Comma 13 5 5 3 2" xfId="50176" xr:uid="{DAD17B17-904E-460A-9BBC-FC8BF9301637}"/>
    <cellStyle name="Comma 13 5 5 4" xfId="35056" xr:uid="{CCA68CD2-E245-43D4-AEBF-631568DC9A74}"/>
    <cellStyle name="Comma 13 5 6" xfId="6328" xr:uid="{8E27C468-FA90-4AF0-A6BC-230FDB3ACDF2}"/>
    <cellStyle name="Comma 13 5 6 2" xfId="21448" xr:uid="{04073269-5594-4237-B1CC-C5BF696A5969}"/>
    <cellStyle name="Comma 13 5 6 2 2" xfId="51688" xr:uid="{38FB8294-41DA-4640-BD54-F4A2A8F53957}"/>
    <cellStyle name="Comma 13 5 6 3" xfId="36568" xr:uid="{8F94A190-1985-40CC-9672-915D04F26C47}"/>
    <cellStyle name="Comma 13 5 7" xfId="7840" xr:uid="{01D0C919-5355-4F48-A969-DBD17B990E16}"/>
    <cellStyle name="Comma 13 5 7 2" xfId="22960" xr:uid="{281EAC6B-6CA0-4671-9086-C12A76D99F5A}"/>
    <cellStyle name="Comma 13 5 7 2 2" xfId="53200" xr:uid="{895BA24C-4AC9-4D76-8CB5-FEDADC97A94D}"/>
    <cellStyle name="Comma 13 5 7 3" xfId="38080" xr:uid="{EF795E1E-C18D-4D5F-889C-15A917EFF924}"/>
    <cellStyle name="Comma 13 5 8" xfId="9352" xr:uid="{A86555A2-BACC-4099-95B9-554F4ACC3719}"/>
    <cellStyle name="Comma 13 5 8 2" xfId="24472" xr:uid="{06F1D9AF-57ED-419A-8E45-21E715B4FE9B}"/>
    <cellStyle name="Comma 13 5 8 2 2" xfId="54712" xr:uid="{12D6600E-045B-4232-811A-9BF761F432F0}"/>
    <cellStyle name="Comma 13 5 8 3" xfId="39592" xr:uid="{E39691DB-D5F5-4B15-A596-F82C42940C38}"/>
    <cellStyle name="Comma 13 5 9" xfId="15400" xr:uid="{E4E2FB7A-B751-4BE0-A657-0E1B2BBA4057}"/>
    <cellStyle name="Comma 13 5 9 2" xfId="45640" xr:uid="{2D5A6355-C32E-420D-96CD-3ED24C299A68}"/>
    <cellStyle name="Comma 13 6" xfId="532" xr:uid="{EE8E4A91-AAEA-432B-9EF4-3B8E7851C0E5}"/>
    <cellStyle name="Comma 13 6 10" xfId="30772" xr:uid="{E7803593-705C-43CE-B288-C36874243F0D}"/>
    <cellStyle name="Comma 13 6 2" xfId="1288" xr:uid="{B95F7EDF-6106-4925-BD5E-43A50AB6ACCD}"/>
    <cellStyle name="Comma 13 6 2 2" xfId="2800" xr:uid="{B97E1645-7C96-42D2-A014-3BBCD4DD3A65}"/>
    <cellStyle name="Comma 13 6 2 2 2" xfId="11872" xr:uid="{2C94CC4F-35AF-403E-AF69-D1C4AE5EC4F1}"/>
    <cellStyle name="Comma 13 6 2 2 2 2" xfId="26992" xr:uid="{20DBA900-B209-43A5-A76B-9025A5B5C072}"/>
    <cellStyle name="Comma 13 6 2 2 2 2 2" xfId="57232" xr:uid="{1176F9EC-B12F-4B7E-B034-9E9D5BFA0FD2}"/>
    <cellStyle name="Comma 13 6 2 2 2 3" xfId="42112" xr:uid="{DA418A26-1AFB-4B11-A3BB-EA0A8D0E9495}"/>
    <cellStyle name="Comma 13 6 2 2 3" xfId="17920" xr:uid="{4293C29F-24C7-48A6-9099-C70C1188DFF7}"/>
    <cellStyle name="Comma 13 6 2 2 3 2" xfId="48160" xr:uid="{7AD249B4-5E9C-49B2-9A50-A6DF853406D1}"/>
    <cellStyle name="Comma 13 6 2 2 4" xfId="33040" xr:uid="{B2BA99D1-3E6E-4FE6-926B-10513C67EC89}"/>
    <cellStyle name="Comma 13 6 2 3" xfId="4312" xr:uid="{C7696FCC-E624-4913-A343-CD3577126C88}"/>
    <cellStyle name="Comma 13 6 2 3 2" xfId="13384" xr:uid="{B244F9E8-EDCB-4ABA-9E3A-5DA2524B13D4}"/>
    <cellStyle name="Comma 13 6 2 3 2 2" xfId="28504" xr:uid="{6627A364-B911-45E8-97BA-65A6739BCE10}"/>
    <cellStyle name="Comma 13 6 2 3 2 2 2" xfId="58744" xr:uid="{85AC6946-C094-40A6-83FF-E46E5CDAF8EB}"/>
    <cellStyle name="Comma 13 6 2 3 2 3" xfId="43624" xr:uid="{5302CF0C-A223-4A4E-91ED-79119A3A1668}"/>
    <cellStyle name="Comma 13 6 2 3 3" xfId="19432" xr:uid="{B667DAB2-84E7-4D73-A1BB-447B9B441472}"/>
    <cellStyle name="Comma 13 6 2 3 3 2" xfId="49672" xr:uid="{BF23D627-3BC7-4389-A1FA-AF44BEBC7758}"/>
    <cellStyle name="Comma 13 6 2 3 4" xfId="34552" xr:uid="{7418C6BA-53C5-445E-8343-30EA6382F0CB}"/>
    <cellStyle name="Comma 13 6 2 4" xfId="5824" xr:uid="{FB0CB097-6F3E-401A-9D3A-1678C990AB9E}"/>
    <cellStyle name="Comma 13 6 2 4 2" xfId="14896" xr:uid="{94B5B103-28BE-4134-A57C-FE6F9D5FD75F}"/>
    <cellStyle name="Comma 13 6 2 4 2 2" xfId="30016" xr:uid="{2DE1F3AC-B675-4BB0-AFD3-A58AC3720AC1}"/>
    <cellStyle name="Comma 13 6 2 4 2 2 2" xfId="60256" xr:uid="{718792A5-5767-4899-B0BB-A93D09E8F80A}"/>
    <cellStyle name="Comma 13 6 2 4 2 3" xfId="45136" xr:uid="{9AAB2139-8882-410D-B5FA-05758E2FA51A}"/>
    <cellStyle name="Comma 13 6 2 4 3" xfId="20944" xr:uid="{593D443C-BE57-4579-89FD-2A9739948C2D}"/>
    <cellStyle name="Comma 13 6 2 4 3 2" xfId="51184" xr:uid="{9D44B033-16D2-4C76-8E7A-538F3156236C}"/>
    <cellStyle name="Comma 13 6 2 4 4" xfId="36064" xr:uid="{C043966A-3158-4D88-B354-470A3D6F10C2}"/>
    <cellStyle name="Comma 13 6 2 5" xfId="7336" xr:uid="{BF6F52FD-DE0A-4F2C-8288-689614A196E8}"/>
    <cellStyle name="Comma 13 6 2 5 2" xfId="22456" xr:uid="{07455A42-E2CF-46F0-8356-C365A4DC8C1A}"/>
    <cellStyle name="Comma 13 6 2 5 2 2" xfId="52696" xr:uid="{034CD6FF-7BAF-4722-BF66-8ABB5769E0C9}"/>
    <cellStyle name="Comma 13 6 2 5 3" xfId="37576" xr:uid="{00CB0A94-DB6A-4F6D-A6FB-AF1E48A25649}"/>
    <cellStyle name="Comma 13 6 2 6" xfId="8848" xr:uid="{CD2E0766-CF8B-4B99-84E4-3395CDF9F738}"/>
    <cellStyle name="Comma 13 6 2 6 2" xfId="23968" xr:uid="{A1694BBC-C660-43DD-893A-2A712161AE55}"/>
    <cellStyle name="Comma 13 6 2 6 2 2" xfId="54208" xr:uid="{0DE7B1EB-C654-43ED-ACC6-8C4E15E95668}"/>
    <cellStyle name="Comma 13 6 2 6 3" xfId="39088" xr:uid="{715E0E03-5E6D-4C45-A3A2-C8BDD04D4725}"/>
    <cellStyle name="Comma 13 6 2 7" xfId="10360" xr:uid="{72E770C6-CC0A-4969-9C87-AE8B92B2E46C}"/>
    <cellStyle name="Comma 13 6 2 7 2" xfId="25480" xr:uid="{709BBF9A-1A75-4D25-9DB3-33A4E5238643}"/>
    <cellStyle name="Comma 13 6 2 7 2 2" xfId="55720" xr:uid="{D6CE5165-B225-45C6-A6A3-98C30383F436}"/>
    <cellStyle name="Comma 13 6 2 7 3" xfId="40600" xr:uid="{749DD08B-E49E-4571-9941-364976C34A9C}"/>
    <cellStyle name="Comma 13 6 2 8" xfId="16408" xr:uid="{F26CB39C-F27C-4890-8B4B-2D4CE993C4EF}"/>
    <cellStyle name="Comma 13 6 2 8 2" xfId="46648" xr:uid="{B8587D00-277C-48BA-B1C5-CA3B05EC7EBF}"/>
    <cellStyle name="Comma 13 6 2 9" xfId="31528" xr:uid="{7D1D7CA1-E5EC-4C78-8410-10F31FAEEDD7}"/>
    <cellStyle name="Comma 13 6 3" xfId="2044" xr:uid="{C9D24CB7-0C25-4C2C-9B9B-14A2BCBA5BD6}"/>
    <cellStyle name="Comma 13 6 3 2" xfId="11116" xr:uid="{4CA142BF-00AF-4D73-89E5-84615EB64DE4}"/>
    <cellStyle name="Comma 13 6 3 2 2" xfId="26236" xr:uid="{D59CCBE1-8EF5-4BB8-B79B-32F50B9E66AF}"/>
    <cellStyle name="Comma 13 6 3 2 2 2" xfId="56476" xr:uid="{E5263AB9-5CC6-49C6-AB66-A43E16C2B671}"/>
    <cellStyle name="Comma 13 6 3 2 3" xfId="41356" xr:uid="{4557728D-D581-465C-85BE-F7AC6DC2A5BB}"/>
    <cellStyle name="Comma 13 6 3 3" xfId="17164" xr:uid="{C9A38355-475D-4002-897A-95844711A41E}"/>
    <cellStyle name="Comma 13 6 3 3 2" xfId="47404" xr:uid="{7535E2B4-17D4-4BCF-B96C-D578B9F94879}"/>
    <cellStyle name="Comma 13 6 3 4" xfId="32284" xr:uid="{8A4B4290-7152-48BF-9354-EB0E78881302}"/>
    <cellStyle name="Comma 13 6 4" xfId="3556" xr:uid="{998ED829-5CB0-43E5-8B2A-C9A3DA894B0B}"/>
    <cellStyle name="Comma 13 6 4 2" xfId="12628" xr:uid="{307EC691-FC74-40D2-BCE8-29317D5395AD}"/>
    <cellStyle name="Comma 13 6 4 2 2" xfId="27748" xr:uid="{68816E6A-BC69-439E-A998-DF0F3C8720D2}"/>
    <cellStyle name="Comma 13 6 4 2 2 2" xfId="57988" xr:uid="{8FBCA9C3-41BD-4F01-8A73-BF91B8EA0B7B}"/>
    <cellStyle name="Comma 13 6 4 2 3" xfId="42868" xr:uid="{9BD77810-102D-4FA6-9E60-1D85B793C7D0}"/>
    <cellStyle name="Comma 13 6 4 3" xfId="18676" xr:uid="{D8F98EB7-0823-4457-BC8C-AEABA22C1D95}"/>
    <cellStyle name="Comma 13 6 4 3 2" xfId="48916" xr:uid="{76A89022-5B97-4899-B3B7-F00ADC703B1B}"/>
    <cellStyle name="Comma 13 6 4 4" xfId="33796" xr:uid="{83BCDD3C-86D7-4DDE-839D-5597CBFAE960}"/>
    <cellStyle name="Comma 13 6 5" xfId="5068" xr:uid="{9E33D3B7-384A-4213-9FCB-CB9562AECD2B}"/>
    <cellStyle name="Comma 13 6 5 2" xfId="14140" xr:uid="{35F42BE5-5D89-41A5-8358-42D35A0ECB10}"/>
    <cellStyle name="Comma 13 6 5 2 2" xfId="29260" xr:uid="{E6BA91D9-0C95-452D-B267-ADACB06698C5}"/>
    <cellStyle name="Comma 13 6 5 2 2 2" xfId="59500" xr:uid="{30C8C4F6-0574-44CD-8083-E5FFC1CCC59D}"/>
    <cellStyle name="Comma 13 6 5 2 3" xfId="44380" xr:uid="{BB37A2FF-DC8F-4647-90B9-9CE3B5E14D50}"/>
    <cellStyle name="Comma 13 6 5 3" xfId="20188" xr:uid="{C8D9A85C-E28A-42BD-AC88-A896AA003A97}"/>
    <cellStyle name="Comma 13 6 5 3 2" xfId="50428" xr:uid="{4F4E402A-EC75-4E42-80E4-FC803371BAAC}"/>
    <cellStyle name="Comma 13 6 5 4" xfId="35308" xr:uid="{E9358C8E-694B-4D13-AD32-2EA78460F8E3}"/>
    <cellStyle name="Comma 13 6 6" xfId="6580" xr:uid="{BD333510-0183-49AF-AC01-0E9A33D3223B}"/>
    <cellStyle name="Comma 13 6 6 2" xfId="21700" xr:uid="{28B52FD2-BE70-4867-A87B-A94C84FB71A4}"/>
    <cellStyle name="Comma 13 6 6 2 2" xfId="51940" xr:uid="{858575F3-4523-4142-8DFA-B9FE52F0DEB9}"/>
    <cellStyle name="Comma 13 6 6 3" xfId="36820" xr:uid="{86240E44-172E-4682-BE6F-430B63B9B34A}"/>
    <cellStyle name="Comma 13 6 7" xfId="8092" xr:uid="{7E6DDD00-B23B-4B4F-BF0C-4132F28B98C5}"/>
    <cellStyle name="Comma 13 6 7 2" xfId="23212" xr:uid="{9EBFA23F-34DB-45B0-8681-5CB3ED376334}"/>
    <cellStyle name="Comma 13 6 7 2 2" xfId="53452" xr:uid="{21F8DE71-4B66-48B0-83A5-B78ED38B1FCC}"/>
    <cellStyle name="Comma 13 6 7 3" xfId="38332" xr:uid="{9C825D2D-8E9B-4501-823C-BF32146FC750}"/>
    <cellStyle name="Comma 13 6 8" xfId="9604" xr:uid="{FB808F32-28FB-4673-BEDA-D0903F5B79B8}"/>
    <cellStyle name="Comma 13 6 8 2" xfId="24724" xr:uid="{6FE6D79E-4F01-487E-B166-734761E957AD}"/>
    <cellStyle name="Comma 13 6 8 2 2" xfId="54964" xr:uid="{6DCA2D1D-9565-4ADF-AC86-49EF42B9188E}"/>
    <cellStyle name="Comma 13 6 8 3" xfId="39844" xr:uid="{22AC2690-C704-4EE1-B896-175925E934A0}"/>
    <cellStyle name="Comma 13 6 9" xfId="15652" xr:uid="{413474BF-9CE7-43CE-B076-C5E2B057C7A2}"/>
    <cellStyle name="Comma 13 6 9 2" xfId="45892" xr:uid="{2585FCD4-40DD-44BC-B97F-7BEBF6633543}"/>
    <cellStyle name="Comma 13 7" xfId="784" xr:uid="{7062730A-987D-4429-8A5B-FFF320F40C42}"/>
    <cellStyle name="Comma 13 7 2" xfId="2296" xr:uid="{14B91AD6-E317-45B3-B441-86538565A9CA}"/>
    <cellStyle name="Comma 13 7 2 2" xfId="11368" xr:uid="{08198C75-E334-4042-A506-FDF23F96D6D5}"/>
    <cellStyle name="Comma 13 7 2 2 2" xfId="26488" xr:uid="{DFF46531-DF22-4085-8A97-70BFE31F5B21}"/>
    <cellStyle name="Comma 13 7 2 2 2 2" xfId="56728" xr:uid="{426ABC09-AE9F-42FC-81FA-712FDE4B6F74}"/>
    <cellStyle name="Comma 13 7 2 2 3" xfId="41608" xr:uid="{228B9816-D691-4606-B95C-7E5F787E533A}"/>
    <cellStyle name="Comma 13 7 2 3" xfId="17416" xr:uid="{E842C75E-794B-4D15-9C34-161F09C78765}"/>
    <cellStyle name="Comma 13 7 2 3 2" xfId="47656" xr:uid="{58EC2872-758C-45B6-B723-3858F5FCACE8}"/>
    <cellStyle name="Comma 13 7 2 4" xfId="32536" xr:uid="{AC481B01-EA68-46F1-BEB9-B031BBE703F3}"/>
    <cellStyle name="Comma 13 7 3" xfId="3808" xr:uid="{0F04A3E4-A271-4817-AA1D-5E4F07D0D96B}"/>
    <cellStyle name="Comma 13 7 3 2" xfId="12880" xr:uid="{6F48A933-4208-414C-BB43-00688708BFC9}"/>
    <cellStyle name="Comma 13 7 3 2 2" xfId="28000" xr:uid="{67430EC1-1123-4556-9693-34BCF4F35968}"/>
    <cellStyle name="Comma 13 7 3 2 2 2" xfId="58240" xr:uid="{D7351991-E39E-4991-BBF0-645168D5991C}"/>
    <cellStyle name="Comma 13 7 3 2 3" xfId="43120" xr:uid="{9310DFB2-015D-449A-A440-BF9DFE34DDAB}"/>
    <cellStyle name="Comma 13 7 3 3" xfId="18928" xr:uid="{5728E1B9-D5EF-4727-8B8E-3894E64A2419}"/>
    <cellStyle name="Comma 13 7 3 3 2" xfId="49168" xr:uid="{6B785871-4A54-49A1-88F7-D5FF658011EF}"/>
    <cellStyle name="Comma 13 7 3 4" xfId="34048" xr:uid="{216C515B-05FF-433F-BD81-39494DBCFB5A}"/>
    <cellStyle name="Comma 13 7 4" xfId="5320" xr:uid="{398C95C6-2A47-4B2D-9F72-1411F634FB37}"/>
    <cellStyle name="Comma 13 7 4 2" xfId="14392" xr:uid="{DEEDB798-8D89-4C96-8FA5-155256848AB5}"/>
    <cellStyle name="Comma 13 7 4 2 2" xfId="29512" xr:uid="{A7CBA15F-ADB3-40AE-A9BB-0A07D34BD280}"/>
    <cellStyle name="Comma 13 7 4 2 2 2" xfId="59752" xr:uid="{FD33D388-B2B7-48DF-96AA-4521BE228581}"/>
    <cellStyle name="Comma 13 7 4 2 3" xfId="44632" xr:uid="{11860213-3C1F-46ED-87DD-A73B0C5673D1}"/>
    <cellStyle name="Comma 13 7 4 3" xfId="20440" xr:uid="{984D4617-C955-45F2-BFEB-A85763E64AC7}"/>
    <cellStyle name="Comma 13 7 4 3 2" xfId="50680" xr:uid="{0A99E962-3B2E-48F7-A3EA-A5A3D452F3FA}"/>
    <cellStyle name="Comma 13 7 4 4" xfId="35560" xr:uid="{E0803942-E48E-4E44-8F02-90F352E105F1}"/>
    <cellStyle name="Comma 13 7 5" xfId="6832" xr:uid="{5775AF58-FE0F-4145-BB15-0AA60C6531CE}"/>
    <cellStyle name="Comma 13 7 5 2" xfId="21952" xr:uid="{98885BFD-9346-4E2B-B0B0-A67D8B3F4449}"/>
    <cellStyle name="Comma 13 7 5 2 2" xfId="52192" xr:uid="{778A904C-B14B-4129-81FB-4DEFB307907D}"/>
    <cellStyle name="Comma 13 7 5 3" xfId="37072" xr:uid="{D0EE97EA-9334-49B4-BEFE-3D32CEFC3B22}"/>
    <cellStyle name="Comma 13 7 6" xfId="8344" xr:uid="{6985B464-B8E4-4CE7-B06F-4533A21F5D8D}"/>
    <cellStyle name="Comma 13 7 6 2" xfId="23464" xr:uid="{5D7AD334-D460-43A2-AE43-C9991018FBF4}"/>
    <cellStyle name="Comma 13 7 6 2 2" xfId="53704" xr:uid="{13C535B9-4A61-42AA-B5F0-C2AD9C175939}"/>
    <cellStyle name="Comma 13 7 6 3" xfId="38584" xr:uid="{A5F20D9D-85F5-418F-95DE-3A6A9D40BCBD}"/>
    <cellStyle name="Comma 13 7 7" xfId="9856" xr:uid="{847F38E1-39F1-425E-A250-A9E56B4A40F7}"/>
    <cellStyle name="Comma 13 7 7 2" xfId="24976" xr:uid="{DE25C830-B218-4DD0-8120-F9A90E55C2E9}"/>
    <cellStyle name="Comma 13 7 7 2 2" xfId="55216" xr:uid="{8187AB01-0094-41F4-8EEC-E552F655234A}"/>
    <cellStyle name="Comma 13 7 7 3" xfId="40096" xr:uid="{34E83710-A412-433B-85D0-9E9BBD148EDD}"/>
    <cellStyle name="Comma 13 7 8" xfId="15904" xr:uid="{AE31CA4A-A651-4E21-A0DD-ACF6D435E07C}"/>
    <cellStyle name="Comma 13 7 8 2" xfId="46144" xr:uid="{1868E37E-2329-42A0-9CDF-DAA48CA6B1D8}"/>
    <cellStyle name="Comma 13 7 9" xfId="31024" xr:uid="{8ECB03B3-E25F-4CA9-B07F-A98C7C0BFBDF}"/>
    <cellStyle name="Comma 13 8" xfId="1540" xr:uid="{D1F21FA9-4E6A-46AA-A735-17BF0AEAD9E0}"/>
    <cellStyle name="Comma 13 8 2" xfId="10612" xr:uid="{F4FD3D96-0ADE-42B8-8B18-0694DCB9A00D}"/>
    <cellStyle name="Comma 13 8 2 2" xfId="25732" xr:uid="{A702920B-ECCB-45C9-88BC-88AF522E206F}"/>
    <cellStyle name="Comma 13 8 2 2 2" xfId="55972" xr:uid="{D3FA4D18-B0DC-4B4E-9CA7-7A97572F1D06}"/>
    <cellStyle name="Comma 13 8 2 3" xfId="40852" xr:uid="{CFDEEE35-7023-44B6-B5E6-09C0146A34B2}"/>
    <cellStyle name="Comma 13 8 3" xfId="16660" xr:uid="{389D8B83-D314-4E54-B5BC-BE0569B772CB}"/>
    <cellStyle name="Comma 13 8 3 2" xfId="46900" xr:uid="{3FAF70BF-E3EE-48DA-BD42-07B4A2429C66}"/>
    <cellStyle name="Comma 13 8 4" xfId="31780" xr:uid="{B7D17FFC-FE80-42F3-8195-C7E55A4B63F5}"/>
    <cellStyle name="Comma 13 9" xfId="3052" xr:uid="{1DC51F43-7973-413A-BDD9-F2C01C7D2BDB}"/>
    <cellStyle name="Comma 13 9 2" xfId="12124" xr:uid="{68246163-6D71-4D27-B273-1567F69A9D6D}"/>
    <cellStyle name="Comma 13 9 2 2" xfId="27244" xr:uid="{460197F2-942A-471F-A11A-20740D80F2ED}"/>
    <cellStyle name="Comma 13 9 2 2 2" xfId="57484" xr:uid="{1E27DABF-3369-4AFF-9602-2A69AF42520F}"/>
    <cellStyle name="Comma 13 9 2 3" xfId="42364" xr:uid="{1FC7A3B2-9354-4583-A092-48711B805801}"/>
    <cellStyle name="Comma 13 9 3" xfId="18172" xr:uid="{8983F7F1-68B8-445D-BF8A-4560C36B3531}"/>
    <cellStyle name="Comma 13 9 3 2" xfId="48412" xr:uid="{590DF4AC-AD56-4884-9EDB-91BA35EC2A12}"/>
    <cellStyle name="Comma 13 9 4" xfId="33292" xr:uid="{75654AB8-59F6-42BE-A7B0-6BC96579D5B2}"/>
    <cellStyle name="Comma 14" xfId="42" xr:uid="{4330DDF6-0020-48A8-8901-F51D984A84A9}"/>
    <cellStyle name="Comma 14 10" xfId="4578" xr:uid="{3B9BC097-5038-41D6-AA1E-55B4FDCBBD2F}"/>
    <cellStyle name="Comma 14 10 2" xfId="13650" xr:uid="{96D34EBB-32CA-42F2-B8F6-AA4A14F7A87D}"/>
    <cellStyle name="Comma 14 10 2 2" xfId="28770" xr:uid="{529067F0-9E92-407C-8199-AFB736EA2835}"/>
    <cellStyle name="Comma 14 10 2 2 2" xfId="59010" xr:uid="{C793C9DB-BA57-45A3-81F5-D1EBB3D472C2}"/>
    <cellStyle name="Comma 14 10 2 3" xfId="43890" xr:uid="{32319492-0C4A-4ADA-9FDD-8943830DDCAA}"/>
    <cellStyle name="Comma 14 10 3" xfId="19698" xr:uid="{B9AA572A-E849-4148-9E29-8E6C2BF3750C}"/>
    <cellStyle name="Comma 14 10 3 2" xfId="49938" xr:uid="{DBF59247-FA82-4B1B-9923-13866940A851}"/>
    <cellStyle name="Comma 14 10 4" xfId="34818" xr:uid="{59029C69-5284-4B3F-9568-13A12D6CE8E1}"/>
    <cellStyle name="Comma 14 11" xfId="6090" xr:uid="{A05C0433-4D1D-48C3-92F6-EDBFD776D651}"/>
    <cellStyle name="Comma 14 11 2" xfId="21210" xr:uid="{E89624E1-01CF-49FB-8A14-D43C71567B54}"/>
    <cellStyle name="Comma 14 11 2 2" xfId="51450" xr:uid="{DBBCEAEE-FFB7-4ACE-945C-B931EF878744}"/>
    <cellStyle name="Comma 14 11 3" xfId="36330" xr:uid="{59721968-F366-4CED-A6E2-DF60D62DF037}"/>
    <cellStyle name="Comma 14 12" xfId="7602" xr:uid="{C16B345E-607D-4356-80A0-5705BD13F036}"/>
    <cellStyle name="Comma 14 12 2" xfId="22722" xr:uid="{24DD8ADF-A41A-4957-A923-66402447E67D}"/>
    <cellStyle name="Comma 14 12 2 2" xfId="52962" xr:uid="{D968826D-338F-4090-AB97-638EED28FF10}"/>
    <cellStyle name="Comma 14 12 3" xfId="37842" xr:uid="{6AC1973F-175A-43D3-AA12-51CC491271A6}"/>
    <cellStyle name="Comma 14 13" xfId="9114" xr:uid="{3B72A3FF-983B-41B6-9123-5ABB8631A718}"/>
    <cellStyle name="Comma 14 13 2" xfId="24234" xr:uid="{17FC3570-85AC-4C22-A2EB-8BDAD27D2225}"/>
    <cellStyle name="Comma 14 13 2 2" xfId="54474" xr:uid="{35B6A0C4-216C-41E2-ABBC-C3314306F92C}"/>
    <cellStyle name="Comma 14 13 3" xfId="39354" xr:uid="{11A24C4C-1549-4E3A-9F87-87FBF5E22DBA}"/>
    <cellStyle name="Comma 14 14" xfId="15162" xr:uid="{455D2405-51BD-4B8C-ADAA-DDAE765561F6}"/>
    <cellStyle name="Comma 14 14 2" xfId="45402" xr:uid="{C30440CC-AA0C-455F-A284-C5C6BF6E0382}"/>
    <cellStyle name="Comma 14 15" xfId="30282" xr:uid="{983F1C79-6ECD-439E-AC4A-663C5C281124}"/>
    <cellStyle name="Comma 14 2" xfId="84" xr:uid="{32C41A48-E2FB-48C3-9B46-17A5533CA30D}"/>
    <cellStyle name="Comma 14 2 10" xfId="6132" xr:uid="{5E98AB95-7451-44E2-858E-AFB7FAD8D51A}"/>
    <cellStyle name="Comma 14 2 10 2" xfId="21252" xr:uid="{6EB84B67-2B3D-48A7-AC47-E665A3F49B81}"/>
    <cellStyle name="Comma 14 2 10 2 2" xfId="51492" xr:uid="{58957F4E-009A-4525-BF74-C80BB7C547F4}"/>
    <cellStyle name="Comma 14 2 10 3" xfId="36372" xr:uid="{F22B64A2-2FDA-4FAB-B7F1-5722E321730E}"/>
    <cellStyle name="Comma 14 2 11" xfId="7644" xr:uid="{E3A1F6BD-3CF4-415A-B1AC-9E9A155CF8DD}"/>
    <cellStyle name="Comma 14 2 11 2" xfId="22764" xr:uid="{DF388BC1-0FCB-4CB7-9C1B-B5D80B427E45}"/>
    <cellStyle name="Comma 14 2 11 2 2" xfId="53004" xr:uid="{76D94A4A-F178-499B-8D78-3815ECD1D951}"/>
    <cellStyle name="Comma 14 2 11 3" xfId="37884" xr:uid="{9265C06F-32C6-4E00-A1A9-ACDD4EB1B86F}"/>
    <cellStyle name="Comma 14 2 12" xfId="9156" xr:uid="{B115530A-2C92-44AE-81C6-5EB370727F3C}"/>
    <cellStyle name="Comma 14 2 12 2" xfId="24276" xr:uid="{CD9D2658-63AA-4456-8590-5483C070A5E7}"/>
    <cellStyle name="Comma 14 2 12 2 2" xfId="54516" xr:uid="{C2F2FDDB-CDDF-4E5A-9318-F2CD73FCE4BA}"/>
    <cellStyle name="Comma 14 2 12 3" xfId="39396" xr:uid="{224FB80A-15A4-483F-AC7A-D356872D4054}"/>
    <cellStyle name="Comma 14 2 13" xfId="15204" xr:uid="{8604ADAA-C2FF-4CAF-951E-3DBAF195082A}"/>
    <cellStyle name="Comma 14 2 13 2" xfId="45444" xr:uid="{6DD4BAD5-B8E3-428B-9EF5-0D80520D3337}"/>
    <cellStyle name="Comma 14 2 14" xfId="30324" xr:uid="{12822BC3-0E7B-4604-8983-AE81917B343E}"/>
    <cellStyle name="Comma 14 2 2" xfId="168" xr:uid="{C707EC15-F87A-4AFF-8C4E-367580598C0E}"/>
    <cellStyle name="Comma 14 2 2 10" xfId="9240" xr:uid="{1A113511-7773-4F93-AAE7-07FBB02EE286}"/>
    <cellStyle name="Comma 14 2 2 10 2" xfId="24360" xr:uid="{2DDA5AB7-1D71-4706-AAD8-14376FAA9790}"/>
    <cellStyle name="Comma 14 2 2 10 2 2" xfId="54600" xr:uid="{1558908F-94E1-4A18-95BB-B4197A0B869C}"/>
    <cellStyle name="Comma 14 2 2 10 3" xfId="39480" xr:uid="{495B807A-7333-47F8-85A7-0F8BC8E22285}"/>
    <cellStyle name="Comma 14 2 2 11" xfId="15288" xr:uid="{E6F50F4D-930F-4E6F-9E88-2B73565F0DF7}"/>
    <cellStyle name="Comma 14 2 2 11 2" xfId="45528" xr:uid="{089C37DF-79DF-4C82-AABE-4210B52A409A}"/>
    <cellStyle name="Comma 14 2 2 12" xfId="30408" xr:uid="{B5887372-8224-4273-B366-449932E4F839}"/>
    <cellStyle name="Comma 14 2 2 2" xfId="420" xr:uid="{57046BEC-19A6-45F1-BA3E-9ACCF3CE7B97}"/>
    <cellStyle name="Comma 14 2 2 2 10" xfId="30660" xr:uid="{4FACA5E6-94D1-4C0D-A6F4-4EC969C203BE}"/>
    <cellStyle name="Comma 14 2 2 2 2" xfId="1176" xr:uid="{06464ACD-D91F-407F-92A8-CF57F55BDDBC}"/>
    <cellStyle name="Comma 14 2 2 2 2 2" xfId="2688" xr:uid="{9A9777CF-2244-46A3-AFD5-CC41F3ED0BB6}"/>
    <cellStyle name="Comma 14 2 2 2 2 2 2" xfId="11760" xr:uid="{8EACDDC9-4965-435E-84F8-EBB30BECBE74}"/>
    <cellStyle name="Comma 14 2 2 2 2 2 2 2" xfId="26880" xr:uid="{4383B297-2107-4705-8702-2CF62EEEFBC5}"/>
    <cellStyle name="Comma 14 2 2 2 2 2 2 2 2" xfId="57120" xr:uid="{C34E6C56-34DE-4CA2-8FD1-7FA41455E586}"/>
    <cellStyle name="Comma 14 2 2 2 2 2 2 3" xfId="42000" xr:uid="{6C55EE5F-8F32-4AE7-B08E-12888AE0E4D9}"/>
    <cellStyle name="Comma 14 2 2 2 2 2 3" xfId="17808" xr:uid="{2B2C93B5-6FEF-4B04-9440-6128BCC9ACB1}"/>
    <cellStyle name="Comma 14 2 2 2 2 2 3 2" xfId="48048" xr:uid="{5B7A9E46-DC23-4043-A00B-CB6712FB9EC9}"/>
    <cellStyle name="Comma 14 2 2 2 2 2 4" xfId="32928" xr:uid="{89F95AE7-F271-4409-8799-985432DBFC03}"/>
    <cellStyle name="Comma 14 2 2 2 2 3" xfId="4200" xr:uid="{174FE6D7-B4FF-41AC-8C19-322162A88497}"/>
    <cellStyle name="Comma 14 2 2 2 2 3 2" xfId="13272" xr:uid="{34C9C3B8-3116-4B6C-A2F8-78102B07279D}"/>
    <cellStyle name="Comma 14 2 2 2 2 3 2 2" xfId="28392" xr:uid="{49BA683A-C7DC-43FC-8376-09210D22F706}"/>
    <cellStyle name="Comma 14 2 2 2 2 3 2 2 2" xfId="58632" xr:uid="{B13CE0C6-D354-45BE-B2E1-96CA963B3C81}"/>
    <cellStyle name="Comma 14 2 2 2 2 3 2 3" xfId="43512" xr:uid="{876308B3-D926-4DE6-9470-9BEB3002BC25}"/>
    <cellStyle name="Comma 14 2 2 2 2 3 3" xfId="19320" xr:uid="{287D7320-F52A-4B2B-9C22-5D77AE8C605D}"/>
    <cellStyle name="Comma 14 2 2 2 2 3 3 2" xfId="49560" xr:uid="{0C181E6A-A3FC-46F2-A17C-A1526B25A6A4}"/>
    <cellStyle name="Comma 14 2 2 2 2 3 4" xfId="34440" xr:uid="{20F00E0D-BC43-4CE8-A29D-8154A295D075}"/>
    <cellStyle name="Comma 14 2 2 2 2 4" xfId="5712" xr:uid="{424EA83F-078C-4B13-96FB-D55548B40EB6}"/>
    <cellStyle name="Comma 14 2 2 2 2 4 2" xfId="14784" xr:uid="{7540DAD4-8AAD-434E-8A80-58EF3E34C814}"/>
    <cellStyle name="Comma 14 2 2 2 2 4 2 2" xfId="29904" xr:uid="{175C1271-0DC4-4C6F-A0B9-A400DAB7FA39}"/>
    <cellStyle name="Comma 14 2 2 2 2 4 2 2 2" xfId="60144" xr:uid="{D7AC40C8-3909-42DF-AC45-DE73FC1CF434}"/>
    <cellStyle name="Comma 14 2 2 2 2 4 2 3" xfId="45024" xr:uid="{C75D4A96-580C-4003-B22E-80C79F4F18B2}"/>
    <cellStyle name="Comma 14 2 2 2 2 4 3" xfId="20832" xr:uid="{67A7551F-2EE8-4C6A-8D34-F6B2084108B0}"/>
    <cellStyle name="Comma 14 2 2 2 2 4 3 2" xfId="51072" xr:uid="{A5CCA544-3F54-4703-A40A-3EE0E5796ACE}"/>
    <cellStyle name="Comma 14 2 2 2 2 4 4" xfId="35952" xr:uid="{21DD23E6-0DF6-41E9-9A04-E0BA6C0C0ECB}"/>
    <cellStyle name="Comma 14 2 2 2 2 5" xfId="7224" xr:uid="{82AF030A-9A7C-4DED-A809-3F44BF763E0D}"/>
    <cellStyle name="Comma 14 2 2 2 2 5 2" xfId="22344" xr:uid="{85E5C9A9-CC05-4E8B-A88D-FB361B7AB695}"/>
    <cellStyle name="Comma 14 2 2 2 2 5 2 2" xfId="52584" xr:uid="{D9E56457-029F-48D7-9439-7DBDB59C8611}"/>
    <cellStyle name="Comma 14 2 2 2 2 5 3" xfId="37464" xr:uid="{E0F4D1F1-047A-4786-865F-2F728B8C6FB3}"/>
    <cellStyle name="Comma 14 2 2 2 2 6" xfId="8736" xr:uid="{7B52A963-4D09-4258-843A-95F2818C0191}"/>
    <cellStyle name="Comma 14 2 2 2 2 6 2" xfId="23856" xr:uid="{971523FA-54A5-4ED5-9575-36C41F5988F7}"/>
    <cellStyle name="Comma 14 2 2 2 2 6 2 2" xfId="54096" xr:uid="{63CF50B8-9265-473B-BDC1-5E9149DDB8A0}"/>
    <cellStyle name="Comma 14 2 2 2 2 6 3" xfId="38976" xr:uid="{1965179A-7C8F-4D83-A099-958E59F6A886}"/>
    <cellStyle name="Comma 14 2 2 2 2 7" xfId="10248" xr:uid="{D8D39615-6B0B-478E-83C6-67B96C3DDAF8}"/>
    <cellStyle name="Comma 14 2 2 2 2 7 2" xfId="25368" xr:uid="{80A425BD-EC5A-48E4-87A4-0B64E3E31252}"/>
    <cellStyle name="Comma 14 2 2 2 2 7 2 2" xfId="55608" xr:uid="{E36A903F-B8CF-4137-A18C-2B455E20396E}"/>
    <cellStyle name="Comma 14 2 2 2 2 7 3" xfId="40488" xr:uid="{C6A78DEF-3A53-4FCA-9488-C129D4998657}"/>
    <cellStyle name="Comma 14 2 2 2 2 8" xfId="16296" xr:uid="{FB68C620-057C-4423-B4F2-81BCBDACFD9B}"/>
    <cellStyle name="Comma 14 2 2 2 2 8 2" xfId="46536" xr:uid="{BFF902C7-5A6F-4AF5-A4D0-72298F5F0E0D}"/>
    <cellStyle name="Comma 14 2 2 2 2 9" xfId="31416" xr:uid="{CD4623E6-F622-4C39-B71D-0100F2DFDA6C}"/>
    <cellStyle name="Comma 14 2 2 2 3" xfId="1932" xr:uid="{E32E687C-0AF8-4C00-ACFA-E6F490CEC61B}"/>
    <cellStyle name="Comma 14 2 2 2 3 2" xfId="11004" xr:uid="{85C3153E-48FF-4317-BEAD-FF1A8B76244C}"/>
    <cellStyle name="Comma 14 2 2 2 3 2 2" xfId="26124" xr:uid="{31618E9C-A746-42A8-ADBA-515D286F1781}"/>
    <cellStyle name="Comma 14 2 2 2 3 2 2 2" xfId="56364" xr:uid="{97BC176A-EB14-4934-8B6E-A3E4B63E3DF8}"/>
    <cellStyle name="Comma 14 2 2 2 3 2 3" xfId="41244" xr:uid="{91E33884-78C0-4222-B2B3-9FF21150904A}"/>
    <cellStyle name="Comma 14 2 2 2 3 3" xfId="17052" xr:uid="{A1C034FE-D1F0-485D-B0F3-7D1C23B1B0E1}"/>
    <cellStyle name="Comma 14 2 2 2 3 3 2" xfId="47292" xr:uid="{2297FA2F-AEF0-45BD-BC2E-0BF4C2DB1C09}"/>
    <cellStyle name="Comma 14 2 2 2 3 4" xfId="32172" xr:uid="{BFF6B40B-E599-4324-ACEE-49C93DB6A135}"/>
    <cellStyle name="Comma 14 2 2 2 4" xfId="3444" xr:uid="{E7011434-5EEE-4293-B46B-462D70412950}"/>
    <cellStyle name="Comma 14 2 2 2 4 2" xfId="12516" xr:uid="{E1DBD691-1604-4446-BC00-69CC4388224A}"/>
    <cellStyle name="Comma 14 2 2 2 4 2 2" xfId="27636" xr:uid="{5FF5BB03-6873-4E10-9A16-11E81A21ED4C}"/>
    <cellStyle name="Comma 14 2 2 2 4 2 2 2" xfId="57876" xr:uid="{02F2ED4A-8FD5-457A-8A01-A6C8D6BEEBDD}"/>
    <cellStyle name="Comma 14 2 2 2 4 2 3" xfId="42756" xr:uid="{D09127B0-2C1C-4086-9E1E-E97E07FF8A51}"/>
    <cellStyle name="Comma 14 2 2 2 4 3" xfId="18564" xr:uid="{FC016503-7D57-46AC-B8D5-785C2AEED900}"/>
    <cellStyle name="Comma 14 2 2 2 4 3 2" xfId="48804" xr:uid="{EAD18F47-2E21-400E-8F56-B564653D5E27}"/>
    <cellStyle name="Comma 14 2 2 2 4 4" xfId="33684" xr:uid="{D2BB4578-CB65-40F9-87E4-0FD273806768}"/>
    <cellStyle name="Comma 14 2 2 2 5" xfId="4956" xr:uid="{16E3052B-9906-4975-8DC1-85E636F9D98D}"/>
    <cellStyle name="Comma 14 2 2 2 5 2" xfId="14028" xr:uid="{BF43E9C0-A89E-419C-AF2D-232C506BD889}"/>
    <cellStyle name="Comma 14 2 2 2 5 2 2" xfId="29148" xr:uid="{8E9C74DF-20B9-4F8A-910E-3302AEB876EC}"/>
    <cellStyle name="Comma 14 2 2 2 5 2 2 2" xfId="59388" xr:uid="{C07C8224-3E99-4663-8BE6-8A7F463CAD85}"/>
    <cellStyle name="Comma 14 2 2 2 5 2 3" xfId="44268" xr:uid="{17A6C4AE-90BC-4D58-91B1-F4131BF40809}"/>
    <cellStyle name="Comma 14 2 2 2 5 3" xfId="20076" xr:uid="{8EDA4DFE-B9B8-4E9F-9D16-8286AE2E55FA}"/>
    <cellStyle name="Comma 14 2 2 2 5 3 2" xfId="50316" xr:uid="{ECF72E18-E1C4-4D3B-924D-AC7CD04871CC}"/>
    <cellStyle name="Comma 14 2 2 2 5 4" xfId="35196" xr:uid="{DA66E638-4057-442F-A1F5-02C63C05A318}"/>
    <cellStyle name="Comma 14 2 2 2 6" xfId="6468" xr:uid="{7747EC11-FB0F-4D17-855C-CD015DFA2077}"/>
    <cellStyle name="Comma 14 2 2 2 6 2" xfId="21588" xr:uid="{36284D5C-AA32-4A35-9591-1FA8943CD59E}"/>
    <cellStyle name="Comma 14 2 2 2 6 2 2" xfId="51828" xr:uid="{FC301C1E-6117-4D8C-AFB5-8BCFF8833B86}"/>
    <cellStyle name="Comma 14 2 2 2 6 3" xfId="36708" xr:uid="{9AE4BB48-D988-450E-9002-2DFB39CE5301}"/>
    <cellStyle name="Comma 14 2 2 2 7" xfId="7980" xr:uid="{2E9CB6A9-B350-4B57-9FF6-45D06D2219F4}"/>
    <cellStyle name="Comma 14 2 2 2 7 2" xfId="23100" xr:uid="{71A1CC6C-70DA-47DF-A894-221FED4BD8F1}"/>
    <cellStyle name="Comma 14 2 2 2 7 2 2" xfId="53340" xr:uid="{8BA7109B-D44D-49C5-AC50-75AD6EC57DE9}"/>
    <cellStyle name="Comma 14 2 2 2 7 3" xfId="38220" xr:uid="{6A9451AB-997C-4842-8BB4-B4B10753415B}"/>
    <cellStyle name="Comma 14 2 2 2 8" xfId="9492" xr:uid="{1FB02AA6-DF01-45CE-AF6F-4F8B3F66A799}"/>
    <cellStyle name="Comma 14 2 2 2 8 2" xfId="24612" xr:uid="{081F2B2B-850E-45FF-BDEE-1CDC83D56C8C}"/>
    <cellStyle name="Comma 14 2 2 2 8 2 2" xfId="54852" xr:uid="{285D5ED9-0943-43B3-A152-E7695CCE2AC5}"/>
    <cellStyle name="Comma 14 2 2 2 8 3" xfId="39732" xr:uid="{26270121-4F8F-496B-B6C1-DF2F3B1005E4}"/>
    <cellStyle name="Comma 14 2 2 2 9" xfId="15540" xr:uid="{54763157-AFD6-4124-B0C3-214DEB217244}"/>
    <cellStyle name="Comma 14 2 2 2 9 2" xfId="45780" xr:uid="{B6BDF44A-C50F-412F-B687-CD22BFB063B1}"/>
    <cellStyle name="Comma 14 2 2 3" xfId="672" xr:uid="{FFAF663B-D42A-4B31-98F0-980E1DA4E08F}"/>
    <cellStyle name="Comma 14 2 2 3 10" xfId="30912" xr:uid="{F3CA95CC-B2D0-4FB4-8910-BCBC324D1425}"/>
    <cellStyle name="Comma 14 2 2 3 2" xfId="1428" xr:uid="{3A18269A-BF1C-4F3E-A26F-A86FEDE980C6}"/>
    <cellStyle name="Comma 14 2 2 3 2 2" xfId="2940" xr:uid="{5F229AA9-60A6-4085-9DEF-A1BB88E1E517}"/>
    <cellStyle name="Comma 14 2 2 3 2 2 2" xfId="12012" xr:uid="{5C23F06C-BAEB-4E5F-A67C-42ECABBCF95F}"/>
    <cellStyle name="Comma 14 2 2 3 2 2 2 2" xfId="27132" xr:uid="{55F5564B-3FD4-4BF1-9541-75E243C9FA65}"/>
    <cellStyle name="Comma 14 2 2 3 2 2 2 2 2" xfId="57372" xr:uid="{880CF8A0-A4DC-4E3A-8E1D-49D5E1447A49}"/>
    <cellStyle name="Comma 14 2 2 3 2 2 2 3" xfId="42252" xr:uid="{9B87CDF7-BD33-41B5-80EF-F2D13E9C8805}"/>
    <cellStyle name="Comma 14 2 2 3 2 2 3" xfId="18060" xr:uid="{9E217A2E-6026-42CC-8CDE-AB248747C965}"/>
    <cellStyle name="Comma 14 2 2 3 2 2 3 2" xfId="48300" xr:uid="{308B9E8D-AAB8-49AD-B571-646F630D2BEE}"/>
    <cellStyle name="Comma 14 2 2 3 2 2 4" xfId="33180" xr:uid="{720413AF-6C97-4B3F-BD8F-4A1B80B86060}"/>
    <cellStyle name="Comma 14 2 2 3 2 3" xfId="4452" xr:uid="{EFBC128E-A8D4-4BD6-8F5A-C4022530AFD6}"/>
    <cellStyle name="Comma 14 2 2 3 2 3 2" xfId="13524" xr:uid="{C4C5ADAE-E183-487E-AA94-05733894B735}"/>
    <cellStyle name="Comma 14 2 2 3 2 3 2 2" xfId="28644" xr:uid="{3AB893CF-BF99-47AD-8C4A-6218059F8826}"/>
    <cellStyle name="Comma 14 2 2 3 2 3 2 2 2" xfId="58884" xr:uid="{C584F7C3-AE03-41A5-86BD-77A45C56B693}"/>
    <cellStyle name="Comma 14 2 2 3 2 3 2 3" xfId="43764" xr:uid="{10C547DE-A5C8-4541-95FC-F36520D6AE8D}"/>
    <cellStyle name="Comma 14 2 2 3 2 3 3" xfId="19572" xr:uid="{7406EE28-BF0D-4912-ADB7-E424942D7A78}"/>
    <cellStyle name="Comma 14 2 2 3 2 3 3 2" xfId="49812" xr:uid="{36E8C805-0B1F-4DB6-AA08-227C6FA11437}"/>
    <cellStyle name="Comma 14 2 2 3 2 3 4" xfId="34692" xr:uid="{F7954E80-19CA-432A-9700-81EE602A06F0}"/>
    <cellStyle name="Comma 14 2 2 3 2 4" xfId="5964" xr:uid="{B91C4602-CC67-4B40-9EFD-7CE7F78454A5}"/>
    <cellStyle name="Comma 14 2 2 3 2 4 2" xfId="15036" xr:uid="{340FBD18-EB60-4207-B370-50CB5338E2D4}"/>
    <cellStyle name="Comma 14 2 2 3 2 4 2 2" xfId="30156" xr:uid="{65A9886D-524D-4E80-BE54-CC76EF1AFF1D}"/>
    <cellStyle name="Comma 14 2 2 3 2 4 2 2 2" xfId="60396" xr:uid="{429DFD74-7D61-467D-AE04-909F7F0F537C}"/>
    <cellStyle name="Comma 14 2 2 3 2 4 2 3" xfId="45276" xr:uid="{36278BAA-E2B9-4FEF-B690-4FC998E39A05}"/>
    <cellStyle name="Comma 14 2 2 3 2 4 3" xfId="21084" xr:uid="{9198130B-F616-41F0-9E07-318FDA5689D0}"/>
    <cellStyle name="Comma 14 2 2 3 2 4 3 2" xfId="51324" xr:uid="{82247F69-534D-45D1-950C-F59F633F172A}"/>
    <cellStyle name="Comma 14 2 2 3 2 4 4" xfId="36204" xr:uid="{64E7AAD8-6F49-433B-8393-F50F7AA9D0FB}"/>
    <cellStyle name="Comma 14 2 2 3 2 5" xfId="7476" xr:uid="{B32936E6-4389-4647-9662-2F85F8D37224}"/>
    <cellStyle name="Comma 14 2 2 3 2 5 2" xfId="22596" xr:uid="{BD336AE1-EDE8-40B7-A7F8-734042B07F08}"/>
    <cellStyle name="Comma 14 2 2 3 2 5 2 2" xfId="52836" xr:uid="{F3744E9D-910D-4BDE-A110-C20EF30B24FA}"/>
    <cellStyle name="Comma 14 2 2 3 2 5 3" xfId="37716" xr:uid="{94BE07DD-3373-40D8-94A2-59E0BF3E7708}"/>
    <cellStyle name="Comma 14 2 2 3 2 6" xfId="8988" xr:uid="{0C5CD029-DEE9-49D1-9C81-C4DE4F7D0256}"/>
    <cellStyle name="Comma 14 2 2 3 2 6 2" xfId="24108" xr:uid="{15A23824-659D-4754-8AD5-6A2A892EF1DC}"/>
    <cellStyle name="Comma 14 2 2 3 2 6 2 2" xfId="54348" xr:uid="{92CE2EE1-058F-4BD5-865C-ED1FCE984F93}"/>
    <cellStyle name="Comma 14 2 2 3 2 6 3" xfId="39228" xr:uid="{273575BC-AA4D-45F5-B634-EAB74B82C151}"/>
    <cellStyle name="Comma 14 2 2 3 2 7" xfId="10500" xr:uid="{C5B7CE5B-89D5-4118-9CFA-D714C8E46391}"/>
    <cellStyle name="Comma 14 2 2 3 2 7 2" xfId="25620" xr:uid="{E1C4DB1C-FCAC-45AE-8FEB-F53CA95EC9BE}"/>
    <cellStyle name="Comma 14 2 2 3 2 7 2 2" xfId="55860" xr:uid="{E567E0B7-94E9-4EF6-9D63-DCFC9AEE92C1}"/>
    <cellStyle name="Comma 14 2 2 3 2 7 3" xfId="40740" xr:uid="{BA78868E-008D-449B-B770-C23DB7D7D37B}"/>
    <cellStyle name="Comma 14 2 2 3 2 8" xfId="16548" xr:uid="{39F4D751-E59D-480F-9E61-770D77EBBD12}"/>
    <cellStyle name="Comma 14 2 2 3 2 8 2" xfId="46788" xr:uid="{AACF1395-C63C-41BB-9757-7DCD4F565B06}"/>
    <cellStyle name="Comma 14 2 2 3 2 9" xfId="31668" xr:uid="{12E2F443-BE6D-435B-9F62-E0EBA5E17C14}"/>
    <cellStyle name="Comma 14 2 2 3 3" xfId="2184" xr:uid="{C46EA634-C364-4573-844F-81AEB4FC1307}"/>
    <cellStyle name="Comma 14 2 2 3 3 2" xfId="11256" xr:uid="{52632F2D-8154-4207-9924-4A269C3687B7}"/>
    <cellStyle name="Comma 14 2 2 3 3 2 2" xfId="26376" xr:uid="{87215252-0901-4029-A9C8-6443C4A0A3DE}"/>
    <cellStyle name="Comma 14 2 2 3 3 2 2 2" xfId="56616" xr:uid="{97AEC25F-CF35-4FD4-8B5F-18779EC7C42A}"/>
    <cellStyle name="Comma 14 2 2 3 3 2 3" xfId="41496" xr:uid="{1D0116F3-07DE-4B72-977D-05C9F7705775}"/>
    <cellStyle name="Comma 14 2 2 3 3 3" xfId="17304" xr:uid="{3F1BB246-3247-4137-B263-FFE4B6B1C41A}"/>
    <cellStyle name="Comma 14 2 2 3 3 3 2" xfId="47544" xr:uid="{1A8A2298-E62F-40C0-B60A-E6579C749843}"/>
    <cellStyle name="Comma 14 2 2 3 3 4" xfId="32424" xr:uid="{BC281B39-55AD-4566-826B-5502ABF9851A}"/>
    <cellStyle name="Comma 14 2 2 3 4" xfId="3696" xr:uid="{FF4E8500-AEA4-42EC-85C1-73CB86C5C8B5}"/>
    <cellStyle name="Comma 14 2 2 3 4 2" xfId="12768" xr:uid="{5C28D479-86E2-4613-BF43-54CCA324B477}"/>
    <cellStyle name="Comma 14 2 2 3 4 2 2" xfId="27888" xr:uid="{D4EC48D9-5FBC-4DA3-9177-8AE9AB4C6D7D}"/>
    <cellStyle name="Comma 14 2 2 3 4 2 2 2" xfId="58128" xr:uid="{B1126018-DA96-4AAD-A06F-CA8B8F2136F4}"/>
    <cellStyle name="Comma 14 2 2 3 4 2 3" xfId="43008" xr:uid="{CD0B0FD6-FCAB-4C28-953A-838E2B7DD9A6}"/>
    <cellStyle name="Comma 14 2 2 3 4 3" xfId="18816" xr:uid="{B81241AC-2701-4E6F-9F1D-0AD5274B513F}"/>
    <cellStyle name="Comma 14 2 2 3 4 3 2" xfId="49056" xr:uid="{8584EE2D-CB81-45A8-BC6C-4E03F2B13623}"/>
    <cellStyle name="Comma 14 2 2 3 4 4" xfId="33936" xr:uid="{63B5AEB4-EBD2-42DB-A667-600936551F3D}"/>
    <cellStyle name="Comma 14 2 2 3 5" xfId="5208" xr:uid="{58BF2A06-2F03-4C3F-A797-99E4067B7E4B}"/>
    <cellStyle name="Comma 14 2 2 3 5 2" xfId="14280" xr:uid="{0A784B06-CDBC-4789-BB79-AC3CD25156A7}"/>
    <cellStyle name="Comma 14 2 2 3 5 2 2" xfId="29400" xr:uid="{B308FBDC-E9F6-4054-8758-C4E82E829A8A}"/>
    <cellStyle name="Comma 14 2 2 3 5 2 2 2" xfId="59640" xr:uid="{75599180-8698-4DE7-8EBC-8D85275E8509}"/>
    <cellStyle name="Comma 14 2 2 3 5 2 3" xfId="44520" xr:uid="{665B1A88-2B68-4961-BE05-8AA2C30FB310}"/>
    <cellStyle name="Comma 14 2 2 3 5 3" xfId="20328" xr:uid="{B74EF544-1EEC-4040-A272-AC84ABC0114F}"/>
    <cellStyle name="Comma 14 2 2 3 5 3 2" xfId="50568" xr:uid="{50F2944A-6BE3-41B7-AB68-6E9AEC1F739E}"/>
    <cellStyle name="Comma 14 2 2 3 5 4" xfId="35448" xr:uid="{954CE5D8-3A28-4D2C-B18B-C8DC7E42ABC6}"/>
    <cellStyle name="Comma 14 2 2 3 6" xfId="6720" xr:uid="{D3021BB0-7528-440B-BA01-4561863B4AEA}"/>
    <cellStyle name="Comma 14 2 2 3 6 2" xfId="21840" xr:uid="{EB18C298-2C4C-49F3-B5C7-4DCBC68EB2CD}"/>
    <cellStyle name="Comma 14 2 2 3 6 2 2" xfId="52080" xr:uid="{0A28338B-3124-4AA8-982E-D341D512F35C}"/>
    <cellStyle name="Comma 14 2 2 3 6 3" xfId="36960" xr:uid="{EF465653-F2A3-4457-8F97-89238BB6B4E9}"/>
    <cellStyle name="Comma 14 2 2 3 7" xfId="8232" xr:uid="{073F798B-8B1E-46CF-96EA-89FD7C195608}"/>
    <cellStyle name="Comma 14 2 2 3 7 2" xfId="23352" xr:uid="{EFCFFBC1-BF79-418F-8AE4-77A7536620EE}"/>
    <cellStyle name="Comma 14 2 2 3 7 2 2" xfId="53592" xr:uid="{9F9DAB2E-676C-48AC-BBD8-942F3D332B68}"/>
    <cellStyle name="Comma 14 2 2 3 7 3" xfId="38472" xr:uid="{EEB2A138-9324-4C8D-8505-119BD0AAFC3B}"/>
    <cellStyle name="Comma 14 2 2 3 8" xfId="9744" xr:uid="{212C56EC-F648-4752-8A1E-40CE15FBF56F}"/>
    <cellStyle name="Comma 14 2 2 3 8 2" xfId="24864" xr:uid="{2BCD19EB-BF79-4A93-9990-C4EDD4851D9C}"/>
    <cellStyle name="Comma 14 2 2 3 8 2 2" xfId="55104" xr:uid="{83B71BCF-5065-4B96-80C4-6C4EBC13B0E2}"/>
    <cellStyle name="Comma 14 2 2 3 8 3" xfId="39984" xr:uid="{3E807D85-8142-410C-8BA4-171102602E7E}"/>
    <cellStyle name="Comma 14 2 2 3 9" xfId="15792" xr:uid="{DEAC1892-A61A-4811-A32E-49C531AE7246}"/>
    <cellStyle name="Comma 14 2 2 3 9 2" xfId="46032" xr:uid="{E2C898BE-84BF-4D93-8EC5-E057E8A90894}"/>
    <cellStyle name="Comma 14 2 2 4" xfId="924" xr:uid="{2808A0DB-CD13-4895-B76A-CC420DA90FD0}"/>
    <cellStyle name="Comma 14 2 2 4 2" xfId="2436" xr:uid="{AF697489-57AC-4031-BA3D-30CC25DC0AED}"/>
    <cellStyle name="Comma 14 2 2 4 2 2" xfId="11508" xr:uid="{FB56DD58-1523-4124-9C7D-8AA95BED36F8}"/>
    <cellStyle name="Comma 14 2 2 4 2 2 2" xfId="26628" xr:uid="{20960DEB-93FB-4E8A-B3B8-395E7B6D82D5}"/>
    <cellStyle name="Comma 14 2 2 4 2 2 2 2" xfId="56868" xr:uid="{F5088508-391F-4467-8B87-8AFB17581938}"/>
    <cellStyle name="Comma 14 2 2 4 2 2 3" xfId="41748" xr:uid="{9F8A7DF5-E73A-46FD-8D62-887D7FEFE20D}"/>
    <cellStyle name="Comma 14 2 2 4 2 3" xfId="17556" xr:uid="{080A3A21-6E80-4331-8B30-D0884BD65C95}"/>
    <cellStyle name="Comma 14 2 2 4 2 3 2" xfId="47796" xr:uid="{A6DDA679-85D9-45EB-8ADF-86F91A01C434}"/>
    <cellStyle name="Comma 14 2 2 4 2 4" xfId="32676" xr:uid="{D75C89DD-5088-4EDB-81BD-D8539FD65756}"/>
    <cellStyle name="Comma 14 2 2 4 3" xfId="3948" xr:uid="{DA879E8E-191E-4109-8ECD-D69F954B63C7}"/>
    <cellStyle name="Comma 14 2 2 4 3 2" xfId="13020" xr:uid="{D6C0451F-B2C9-42A6-8071-D039CE8AB072}"/>
    <cellStyle name="Comma 14 2 2 4 3 2 2" xfId="28140" xr:uid="{DA11870B-1C1C-4086-B164-D63F379ED852}"/>
    <cellStyle name="Comma 14 2 2 4 3 2 2 2" xfId="58380" xr:uid="{0384D738-417A-4952-ACAB-8DE7546B7854}"/>
    <cellStyle name="Comma 14 2 2 4 3 2 3" xfId="43260" xr:uid="{138F6D5C-9829-4627-B23A-CF5AB60D67D6}"/>
    <cellStyle name="Comma 14 2 2 4 3 3" xfId="19068" xr:uid="{3D4FD075-BE60-4A76-BFD5-04B365989343}"/>
    <cellStyle name="Comma 14 2 2 4 3 3 2" xfId="49308" xr:uid="{A8745E95-7149-45DD-BF44-9A72DCB4D3E8}"/>
    <cellStyle name="Comma 14 2 2 4 3 4" xfId="34188" xr:uid="{8B57BF53-5015-47DC-89F1-4588A4AB36E6}"/>
    <cellStyle name="Comma 14 2 2 4 4" xfId="5460" xr:uid="{5CDE0360-CAF5-4BD9-BB5B-CCAC549FD8A3}"/>
    <cellStyle name="Comma 14 2 2 4 4 2" xfId="14532" xr:uid="{6809E1A5-C640-4E6B-A24B-CFCF0ED59709}"/>
    <cellStyle name="Comma 14 2 2 4 4 2 2" xfId="29652" xr:uid="{03A346FD-30F0-45BD-B7D0-F8FFC65ADB94}"/>
    <cellStyle name="Comma 14 2 2 4 4 2 2 2" xfId="59892" xr:uid="{4B70E42F-2853-4676-B143-C27F20A5C076}"/>
    <cellStyle name="Comma 14 2 2 4 4 2 3" xfId="44772" xr:uid="{CD9A472F-F3C2-4D6E-B87B-9CFF41A91569}"/>
    <cellStyle name="Comma 14 2 2 4 4 3" xfId="20580" xr:uid="{52D536EC-FFF4-47F0-9632-F7B879F60DBB}"/>
    <cellStyle name="Comma 14 2 2 4 4 3 2" xfId="50820" xr:uid="{3D6A4984-D790-4C23-9C56-2FE8C1AE48A6}"/>
    <cellStyle name="Comma 14 2 2 4 4 4" xfId="35700" xr:uid="{4EA57C9F-B033-4144-9B46-116054C6A1B1}"/>
    <cellStyle name="Comma 14 2 2 4 5" xfId="6972" xr:uid="{ABA895A5-1055-4C02-95CC-41B386C84486}"/>
    <cellStyle name="Comma 14 2 2 4 5 2" xfId="22092" xr:uid="{C3A35B62-027C-482E-A9C3-A6BF2F225740}"/>
    <cellStyle name="Comma 14 2 2 4 5 2 2" xfId="52332" xr:uid="{45C2F296-398C-4124-97D0-BF22F00868EB}"/>
    <cellStyle name="Comma 14 2 2 4 5 3" xfId="37212" xr:uid="{956A2749-39F9-4222-A625-F016009ACAD9}"/>
    <cellStyle name="Comma 14 2 2 4 6" xfId="8484" xr:uid="{C0BC6F7C-3AB0-4E45-8D99-4ACA7EC43D11}"/>
    <cellStyle name="Comma 14 2 2 4 6 2" xfId="23604" xr:uid="{E7039DC4-DE30-4127-8C9D-2CF966679664}"/>
    <cellStyle name="Comma 14 2 2 4 6 2 2" xfId="53844" xr:uid="{3CEC4441-F928-4441-ADFA-E6131F472538}"/>
    <cellStyle name="Comma 14 2 2 4 6 3" xfId="38724" xr:uid="{7BDD49F0-86AC-4C23-9A12-200975BE09F7}"/>
    <cellStyle name="Comma 14 2 2 4 7" xfId="9996" xr:uid="{FF2A1F71-981D-4A36-9DD3-6BD6970E48E5}"/>
    <cellStyle name="Comma 14 2 2 4 7 2" xfId="25116" xr:uid="{16E6B706-99F6-4141-A878-386B0AB8C6E2}"/>
    <cellStyle name="Comma 14 2 2 4 7 2 2" xfId="55356" xr:uid="{C18059B2-92CE-40E8-A73B-BD3D762D3842}"/>
    <cellStyle name="Comma 14 2 2 4 7 3" xfId="40236" xr:uid="{7780488F-C1BD-4C19-A03C-3C9C1E0C4431}"/>
    <cellStyle name="Comma 14 2 2 4 8" xfId="16044" xr:uid="{87785C46-53B8-4B14-8E06-C6070EB81647}"/>
    <cellStyle name="Comma 14 2 2 4 8 2" xfId="46284" xr:uid="{9723E47E-EE53-4F50-ADF9-BDF694B02F73}"/>
    <cellStyle name="Comma 14 2 2 4 9" xfId="31164" xr:uid="{4CB0D7D9-2A69-456E-8DC9-551F393C46DF}"/>
    <cellStyle name="Comma 14 2 2 5" xfId="1680" xr:uid="{64E89E0F-D28B-4D58-AFF3-2888E32763E4}"/>
    <cellStyle name="Comma 14 2 2 5 2" xfId="10752" xr:uid="{7EF1122F-C61B-49E1-97E3-D7ACCECD3D81}"/>
    <cellStyle name="Comma 14 2 2 5 2 2" xfId="25872" xr:uid="{66D32B07-F722-4E93-A133-4974C26E1F7F}"/>
    <cellStyle name="Comma 14 2 2 5 2 2 2" xfId="56112" xr:uid="{B0F3CEB5-99B8-42B8-BF59-DF1D089C193E}"/>
    <cellStyle name="Comma 14 2 2 5 2 3" xfId="40992" xr:uid="{683695DD-C35D-4CBC-B968-EA671E6851A5}"/>
    <cellStyle name="Comma 14 2 2 5 3" xfId="16800" xr:uid="{D921970E-2985-4E5A-B495-79742D058035}"/>
    <cellStyle name="Comma 14 2 2 5 3 2" xfId="47040" xr:uid="{DA939848-AE0A-43CD-9046-0F446383DF72}"/>
    <cellStyle name="Comma 14 2 2 5 4" xfId="31920" xr:uid="{069DB448-3144-402C-99F3-179046449EC6}"/>
    <cellStyle name="Comma 14 2 2 6" xfId="3192" xr:uid="{5F16ADF5-85F9-4ACD-ADE3-0F09266ABBA9}"/>
    <cellStyle name="Comma 14 2 2 6 2" xfId="12264" xr:uid="{F5C8221F-6786-4E1F-BCAC-E7ACD1D8D4E0}"/>
    <cellStyle name="Comma 14 2 2 6 2 2" xfId="27384" xr:uid="{E46A912A-2645-4CD0-8022-A3DE60024CAD}"/>
    <cellStyle name="Comma 14 2 2 6 2 2 2" xfId="57624" xr:uid="{63BF7AE1-AC2E-4031-BCD3-3B24B999BA8F}"/>
    <cellStyle name="Comma 14 2 2 6 2 3" xfId="42504" xr:uid="{0F2A8450-77DA-4515-9D84-283F7BCEB8F8}"/>
    <cellStyle name="Comma 14 2 2 6 3" xfId="18312" xr:uid="{6C2A1141-6328-4214-990C-E673A2CD9042}"/>
    <cellStyle name="Comma 14 2 2 6 3 2" xfId="48552" xr:uid="{AB6D1007-151C-4F7F-981D-764E51D2C07E}"/>
    <cellStyle name="Comma 14 2 2 6 4" xfId="33432" xr:uid="{DB161769-0F7A-44C9-8919-0DF1A48D52D0}"/>
    <cellStyle name="Comma 14 2 2 7" xfId="4704" xr:uid="{5D61BAF1-EDFF-41BF-809E-252449CD7977}"/>
    <cellStyle name="Comma 14 2 2 7 2" xfId="13776" xr:uid="{521317AB-15CC-4441-8C65-9ADFBEAA3A83}"/>
    <cellStyle name="Comma 14 2 2 7 2 2" xfId="28896" xr:uid="{A340D07A-8200-46FA-9AA3-55824EBF0E77}"/>
    <cellStyle name="Comma 14 2 2 7 2 2 2" xfId="59136" xr:uid="{028284C4-0B18-4A21-8819-974AA377D8B5}"/>
    <cellStyle name="Comma 14 2 2 7 2 3" xfId="44016" xr:uid="{EEEF2803-117F-4800-82BF-19B0AE23384C}"/>
    <cellStyle name="Comma 14 2 2 7 3" xfId="19824" xr:uid="{32873FBE-058E-4A4D-A571-66592EE5B71E}"/>
    <cellStyle name="Comma 14 2 2 7 3 2" xfId="50064" xr:uid="{A2BEC3E6-6019-4E1B-8D62-BD89F02808E2}"/>
    <cellStyle name="Comma 14 2 2 7 4" xfId="34944" xr:uid="{02E8B482-E6D0-4C2E-BF15-91DA3CA1B84C}"/>
    <cellStyle name="Comma 14 2 2 8" xfId="6216" xr:uid="{9B7F127B-E281-4FEB-A2A1-39F90876B044}"/>
    <cellStyle name="Comma 14 2 2 8 2" xfId="21336" xr:uid="{5796106E-6142-4B1D-87CA-7456ACAA61FF}"/>
    <cellStyle name="Comma 14 2 2 8 2 2" xfId="51576" xr:uid="{1BDA4527-7FCC-4134-9521-FBD6A6C20131}"/>
    <cellStyle name="Comma 14 2 2 8 3" xfId="36456" xr:uid="{F68F3F97-547E-4286-8043-0D17C03A5E05}"/>
    <cellStyle name="Comma 14 2 2 9" xfId="7728" xr:uid="{B4EA2C8B-FE35-49B0-83E4-2FE8431E87FB}"/>
    <cellStyle name="Comma 14 2 2 9 2" xfId="22848" xr:uid="{712181C2-B447-4706-9FF2-D876F2BFB06F}"/>
    <cellStyle name="Comma 14 2 2 9 2 2" xfId="53088" xr:uid="{104314FF-CC16-4558-AF67-CBC7F3571F3D}"/>
    <cellStyle name="Comma 14 2 2 9 3" xfId="37968" xr:uid="{8C43B641-C1A8-4684-8C6B-201877E92C3A}"/>
    <cellStyle name="Comma 14 2 3" xfId="252" xr:uid="{C0DDA391-ED9C-4C8F-9435-E61A40D941EE}"/>
    <cellStyle name="Comma 14 2 3 10" xfId="9324" xr:uid="{5FD5B20A-3BB7-4DAF-9FFB-D9366A053293}"/>
    <cellStyle name="Comma 14 2 3 10 2" xfId="24444" xr:uid="{8DEBF7CA-4858-4136-98F9-A10EEEE263A9}"/>
    <cellStyle name="Comma 14 2 3 10 2 2" xfId="54684" xr:uid="{7C8311A4-3A69-4757-BEC6-4DBD6B33DCAD}"/>
    <cellStyle name="Comma 14 2 3 10 3" xfId="39564" xr:uid="{82AE3484-C52A-4B99-916B-D6F160492D25}"/>
    <cellStyle name="Comma 14 2 3 11" xfId="15372" xr:uid="{FB559303-C0A1-4057-B13D-C3AA76FDBFFB}"/>
    <cellStyle name="Comma 14 2 3 11 2" xfId="45612" xr:uid="{4672D688-0D85-4D2F-9DF5-7F12912790B7}"/>
    <cellStyle name="Comma 14 2 3 12" xfId="30492" xr:uid="{5A9D6874-CFA8-4AB3-9D13-DAA4FD86FE74}"/>
    <cellStyle name="Comma 14 2 3 2" xfId="504" xr:uid="{3ACC5AEB-B3A8-42B0-9AC8-172CF6ACE697}"/>
    <cellStyle name="Comma 14 2 3 2 10" xfId="30744" xr:uid="{42503856-0913-4F93-AC4C-4E8BA7544E30}"/>
    <cellStyle name="Comma 14 2 3 2 2" xfId="1260" xr:uid="{D793545F-EC13-4F53-AEF3-C50E4315AE8E}"/>
    <cellStyle name="Comma 14 2 3 2 2 2" xfId="2772" xr:uid="{84FBC3A9-3E2E-4052-B417-4E34FBE19140}"/>
    <cellStyle name="Comma 14 2 3 2 2 2 2" xfId="11844" xr:uid="{4835E53E-D1A2-44B3-8C16-A0CE4717BB25}"/>
    <cellStyle name="Comma 14 2 3 2 2 2 2 2" xfId="26964" xr:uid="{0AD0CF5B-E7DB-4A3A-95CF-67191964517E}"/>
    <cellStyle name="Comma 14 2 3 2 2 2 2 2 2" xfId="57204" xr:uid="{A8C6DF1C-20B3-4783-80B7-4C436DA77764}"/>
    <cellStyle name="Comma 14 2 3 2 2 2 2 3" xfId="42084" xr:uid="{BD25EF4D-A9B7-47F8-B749-F3DCB45DBEC2}"/>
    <cellStyle name="Comma 14 2 3 2 2 2 3" xfId="17892" xr:uid="{C29D540B-C24F-42BB-92C9-BC16BC4E1C26}"/>
    <cellStyle name="Comma 14 2 3 2 2 2 3 2" xfId="48132" xr:uid="{D54AEBFA-EB38-4F85-84AA-7557DC55E9F6}"/>
    <cellStyle name="Comma 14 2 3 2 2 2 4" xfId="33012" xr:uid="{519A2422-1FA8-4A63-8D91-17B435FABA71}"/>
    <cellStyle name="Comma 14 2 3 2 2 3" xfId="4284" xr:uid="{50DEB859-D417-4CDD-928A-FCF87E2BC353}"/>
    <cellStyle name="Comma 14 2 3 2 2 3 2" xfId="13356" xr:uid="{E350C207-9BEA-4C6D-ADB8-2E9F0836328F}"/>
    <cellStyle name="Comma 14 2 3 2 2 3 2 2" xfId="28476" xr:uid="{12FFBF7B-E3A4-4A1C-B227-0282B5D26D9C}"/>
    <cellStyle name="Comma 14 2 3 2 2 3 2 2 2" xfId="58716" xr:uid="{89C0F306-33F4-44DD-B859-7956CEABBACE}"/>
    <cellStyle name="Comma 14 2 3 2 2 3 2 3" xfId="43596" xr:uid="{072FFBEB-CCD6-47BF-BB59-F363479C6986}"/>
    <cellStyle name="Comma 14 2 3 2 2 3 3" xfId="19404" xr:uid="{49538FEA-C265-47F2-9FFB-6E6B32313D10}"/>
    <cellStyle name="Comma 14 2 3 2 2 3 3 2" xfId="49644" xr:uid="{86901D93-7170-47A3-86E5-B20E5B87D6C1}"/>
    <cellStyle name="Comma 14 2 3 2 2 3 4" xfId="34524" xr:uid="{85E73E4A-1EAE-4716-9BE4-0A1D20207659}"/>
    <cellStyle name="Comma 14 2 3 2 2 4" xfId="5796" xr:uid="{FFC2E015-E9EB-4EC7-96E0-744CE2953238}"/>
    <cellStyle name="Comma 14 2 3 2 2 4 2" xfId="14868" xr:uid="{4FB97FBD-BB24-4E7F-93A6-D40E2B847B05}"/>
    <cellStyle name="Comma 14 2 3 2 2 4 2 2" xfId="29988" xr:uid="{DDDF86B9-74EA-4E9D-BA2F-E0B40A3D556E}"/>
    <cellStyle name="Comma 14 2 3 2 2 4 2 2 2" xfId="60228" xr:uid="{F1FEA716-78F9-4BFC-B000-83350DECA90D}"/>
    <cellStyle name="Comma 14 2 3 2 2 4 2 3" xfId="45108" xr:uid="{4EEF7102-93D3-4554-9CC3-695F4DD0791B}"/>
    <cellStyle name="Comma 14 2 3 2 2 4 3" xfId="20916" xr:uid="{0923035F-D702-4F08-9B5D-5C7169157D65}"/>
    <cellStyle name="Comma 14 2 3 2 2 4 3 2" xfId="51156" xr:uid="{82742BDD-F4F1-4A8F-A36C-B06BA32A09BE}"/>
    <cellStyle name="Comma 14 2 3 2 2 4 4" xfId="36036" xr:uid="{16C1AB2E-AD42-4DE0-9700-47D9CC033FEC}"/>
    <cellStyle name="Comma 14 2 3 2 2 5" xfId="7308" xr:uid="{689716D6-4D8F-41F0-AA92-5D929FF9A68D}"/>
    <cellStyle name="Comma 14 2 3 2 2 5 2" xfId="22428" xr:uid="{83256718-A89D-4619-A554-C15E8BC8EC6E}"/>
    <cellStyle name="Comma 14 2 3 2 2 5 2 2" xfId="52668" xr:uid="{17595679-58C5-4530-9FF2-298C8CA86D39}"/>
    <cellStyle name="Comma 14 2 3 2 2 5 3" xfId="37548" xr:uid="{D0E65E1B-6121-4BA3-B439-79A16530B7C0}"/>
    <cellStyle name="Comma 14 2 3 2 2 6" xfId="8820" xr:uid="{73814C3D-6359-45C1-961D-14575DE0FE2F}"/>
    <cellStyle name="Comma 14 2 3 2 2 6 2" xfId="23940" xr:uid="{E1244DDC-5306-435F-A1CE-C1CC203B0F60}"/>
    <cellStyle name="Comma 14 2 3 2 2 6 2 2" xfId="54180" xr:uid="{2C42CA97-5AE6-4D20-8D6E-63E3B0B81DD5}"/>
    <cellStyle name="Comma 14 2 3 2 2 6 3" xfId="39060" xr:uid="{78B5F53B-0A79-4F96-849D-7A7C9E7818B7}"/>
    <cellStyle name="Comma 14 2 3 2 2 7" xfId="10332" xr:uid="{A5E84756-567C-4ABB-9614-CDCC9A4F8843}"/>
    <cellStyle name="Comma 14 2 3 2 2 7 2" xfId="25452" xr:uid="{7DFB8F2D-F8AF-47E2-B434-8F8E83B7B66B}"/>
    <cellStyle name="Comma 14 2 3 2 2 7 2 2" xfId="55692" xr:uid="{3DBA8405-8505-47B4-86DC-6D4A76A9FA58}"/>
    <cellStyle name="Comma 14 2 3 2 2 7 3" xfId="40572" xr:uid="{E09835C8-CC1C-4365-B872-88BAA99CCBB1}"/>
    <cellStyle name="Comma 14 2 3 2 2 8" xfId="16380" xr:uid="{914B9661-2564-4140-BD24-6C3CBBC0B664}"/>
    <cellStyle name="Comma 14 2 3 2 2 8 2" xfId="46620" xr:uid="{AB5F58AB-6445-4BAD-AED8-65E66D7F7033}"/>
    <cellStyle name="Comma 14 2 3 2 2 9" xfId="31500" xr:uid="{EBA37EF1-33D6-411F-87B7-18B174EF78C3}"/>
    <cellStyle name="Comma 14 2 3 2 3" xfId="2016" xr:uid="{5C29973B-7ABB-4E9C-A33E-7920C54897E0}"/>
    <cellStyle name="Comma 14 2 3 2 3 2" xfId="11088" xr:uid="{258E54C7-1E6B-4FF9-87B8-840C200F1ED6}"/>
    <cellStyle name="Comma 14 2 3 2 3 2 2" xfId="26208" xr:uid="{3F97657F-554D-4D44-85CA-D5E12A30C5BE}"/>
    <cellStyle name="Comma 14 2 3 2 3 2 2 2" xfId="56448" xr:uid="{173231A8-F0B0-4CB5-B2DC-2F73F3F8F8C0}"/>
    <cellStyle name="Comma 14 2 3 2 3 2 3" xfId="41328" xr:uid="{6089316B-B9BE-440C-91A9-EF4F5FC12F14}"/>
    <cellStyle name="Comma 14 2 3 2 3 3" xfId="17136" xr:uid="{C9338846-D1E0-4C49-80D1-076D45EC294E}"/>
    <cellStyle name="Comma 14 2 3 2 3 3 2" xfId="47376" xr:uid="{6FEF409D-E38D-41ED-9972-6A5D943FECFC}"/>
    <cellStyle name="Comma 14 2 3 2 3 4" xfId="32256" xr:uid="{784D25B3-CC06-4C27-B898-821F6E2EA54A}"/>
    <cellStyle name="Comma 14 2 3 2 4" xfId="3528" xr:uid="{BA441D60-408E-4A35-9093-801F97580B19}"/>
    <cellStyle name="Comma 14 2 3 2 4 2" xfId="12600" xr:uid="{3D14B3FF-06BD-4D0F-A0A5-A19C3D4BEAA6}"/>
    <cellStyle name="Comma 14 2 3 2 4 2 2" xfId="27720" xr:uid="{3704FC89-6C39-476C-8E67-CF9C42BAD90B}"/>
    <cellStyle name="Comma 14 2 3 2 4 2 2 2" xfId="57960" xr:uid="{61B94EF8-724A-4D29-9735-398F41091BF0}"/>
    <cellStyle name="Comma 14 2 3 2 4 2 3" xfId="42840" xr:uid="{F6D7048A-F721-42FC-BC18-4E138A219FC1}"/>
    <cellStyle name="Comma 14 2 3 2 4 3" xfId="18648" xr:uid="{614DFC75-8FD1-414F-BF68-F4E2E27F643E}"/>
    <cellStyle name="Comma 14 2 3 2 4 3 2" xfId="48888" xr:uid="{931BD0DD-43E1-4669-9583-F54D470A9AF3}"/>
    <cellStyle name="Comma 14 2 3 2 4 4" xfId="33768" xr:uid="{8B51802C-3EBF-4D01-A356-05571C4BECB1}"/>
    <cellStyle name="Comma 14 2 3 2 5" xfId="5040" xr:uid="{8764EEFA-37FB-4AAE-900A-B49ACF7940FA}"/>
    <cellStyle name="Comma 14 2 3 2 5 2" xfId="14112" xr:uid="{5F5D9367-4217-45E6-9A33-16D42ACAFEDF}"/>
    <cellStyle name="Comma 14 2 3 2 5 2 2" xfId="29232" xr:uid="{48A3433E-0B96-4816-8BE1-42839FB846E8}"/>
    <cellStyle name="Comma 14 2 3 2 5 2 2 2" xfId="59472" xr:uid="{47A9202C-4B3D-4979-B62B-228F083C87A1}"/>
    <cellStyle name="Comma 14 2 3 2 5 2 3" xfId="44352" xr:uid="{D8C3E861-2FCC-406F-A4BD-CC29AA401735}"/>
    <cellStyle name="Comma 14 2 3 2 5 3" xfId="20160" xr:uid="{AA017799-EA28-49D8-B661-8B2210F7F703}"/>
    <cellStyle name="Comma 14 2 3 2 5 3 2" xfId="50400" xr:uid="{75416C52-620C-46CC-B5DF-C968F5144200}"/>
    <cellStyle name="Comma 14 2 3 2 5 4" xfId="35280" xr:uid="{335154B4-0851-457B-9B0A-1437908A13A5}"/>
    <cellStyle name="Comma 14 2 3 2 6" xfId="6552" xr:uid="{D3DB50D9-F09F-4F1D-BCD8-DAE615C365BB}"/>
    <cellStyle name="Comma 14 2 3 2 6 2" xfId="21672" xr:uid="{055DF7FE-4E6C-4F55-B140-80D461A7EE92}"/>
    <cellStyle name="Comma 14 2 3 2 6 2 2" xfId="51912" xr:uid="{05C3105C-5031-4AEA-9E25-1D4C77FB6F1A}"/>
    <cellStyle name="Comma 14 2 3 2 6 3" xfId="36792" xr:uid="{C5F7A60C-AA7F-45EB-9AB3-D4CBD1EDCA69}"/>
    <cellStyle name="Comma 14 2 3 2 7" xfId="8064" xr:uid="{E7812540-4F08-451C-9987-158D3809585D}"/>
    <cellStyle name="Comma 14 2 3 2 7 2" xfId="23184" xr:uid="{9E8B9690-BC5F-4B84-AE2A-2103A10EC92A}"/>
    <cellStyle name="Comma 14 2 3 2 7 2 2" xfId="53424" xr:uid="{BB5F6473-7B48-46F4-B5A6-1DD7566D8576}"/>
    <cellStyle name="Comma 14 2 3 2 7 3" xfId="38304" xr:uid="{DC2FD9D9-4AD7-486F-8EA3-9DD4B021BDB9}"/>
    <cellStyle name="Comma 14 2 3 2 8" xfId="9576" xr:uid="{8FFB6DF6-553F-4C45-AC65-CCBA21356FEF}"/>
    <cellStyle name="Comma 14 2 3 2 8 2" xfId="24696" xr:uid="{6621DF9A-ADC8-4386-BD0A-A6A038A77E13}"/>
    <cellStyle name="Comma 14 2 3 2 8 2 2" xfId="54936" xr:uid="{9326B683-4325-4FB0-9C77-21479309BCC8}"/>
    <cellStyle name="Comma 14 2 3 2 8 3" xfId="39816" xr:uid="{BD594BA8-B610-4E5C-AFE3-98DCF4E9CD84}"/>
    <cellStyle name="Comma 14 2 3 2 9" xfId="15624" xr:uid="{5E0A9605-522C-49B0-A8AE-586E520D2488}"/>
    <cellStyle name="Comma 14 2 3 2 9 2" xfId="45864" xr:uid="{4CEB9099-8E0C-453F-BF81-C1FC5CE26D73}"/>
    <cellStyle name="Comma 14 2 3 3" xfId="756" xr:uid="{E45C47A0-FB38-4087-8E2A-AF301394D21E}"/>
    <cellStyle name="Comma 14 2 3 3 10" xfId="30996" xr:uid="{469AFED0-AA21-45BA-91EF-CAA73745542F}"/>
    <cellStyle name="Comma 14 2 3 3 2" xfId="1512" xr:uid="{BAAE00AC-2BE7-4593-8DE3-91A3C3004585}"/>
    <cellStyle name="Comma 14 2 3 3 2 2" xfId="3024" xr:uid="{B6B6D06A-CF60-4528-B474-F01A49895638}"/>
    <cellStyle name="Comma 14 2 3 3 2 2 2" xfId="12096" xr:uid="{4B1C27C2-43F9-4888-B8DD-4457F47D80DD}"/>
    <cellStyle name="Comma 14 2 3 3 2 2 2 2" xfId="27216" xr:uid="{6923EB77-9BBF-4E05-A8C3-B677B29295F7}"/>
    <cellStyle name="Comma 14 2 3 3 2 2 2 2 2" xfId="57456" xr:uid="{FA3F6E4A-6C57-4B61-AA00-5A47325B4337}"/>
    <cellStyle name="Comma 14 2 3 3 2 2 2 3" xfId="42336" xr:uid="{B451987D-F09F-4CE1-915A-202B323E9262}"/>
    <cellStyle name="Comma 14 2 3 3 2 2 3" xfId="18144" xr:uid="{20A1A3F2-3517-40E7-BC24-94E6F5EBA265}"/>
    <cellStyle name="Comma 14 2 3 3 2 2 3 2" xfId="48384" xr:uid="{EABF7476-5F19-453B-A3AD-F90107A7C63C}"/>
    <cellStyle name="Comma 14 2 3 3 2 2 4" xfId="33264" xr:uid="{215B1F51-F8FE-4BC9-B878-F688A3B7C38D}"/>
    <cellStyle name="Comma 14 2 3 3 2 3" xfId="4536" xr:uid="{63A6A5FB-69DE-4AA4-9745-A0525FAF1146}"/>
    <cellStyle name="Comma 14 2 3 3 2 3 2" xfId="13608" xr:uid="{949FD977-198A-49DF-BE1B-AB23D738B42E}"/>
    <cellStyle name="Comma 14 2 3 3 2 3 2 2" xfId="28728" xr:uid="{DA55647F-82A5-46D6-B4CC-E0DA5EA5CCE1}"/>
    <cellStyle name="Comma 14 2 3 3 2 3 2 2 2" xfId="58968" xr:uid="{A838563D-A0A1-4C4F-B7FF-D2CE7B54999B}"/>
    <cellStyle name="Comma 14 2 3 3 2 3 2 3" xfId="43848" xr:uid="{4BF88D9A-05A0-4126-AF11-2331D9CEA0FF}"/>
    <cellStyle name="Comma 14 2 3 3 2 3 3" xfId="19656" xr:uid="{A1DF2B46-F4EF-4E53-9BAD-FDF17E0ED2F1}"/>
    <cellStyle name="Comma 14 2 3 3 2 3 3 2" xfId="49896" xr:uid="{B209503A-9E11-4BCD-98C0-B3BD8708A6EA}"/>
    <cellStyle name="Comma 14 2 3 3 2 3 4" xfId="34776" xr:uid="{D60DC8E6-0516-4B59-871F-5C7BD67C0B44}"/>
    <cellStyle name="Comma 14 2 3 3 2 4" xfId="6048" xr:uid="{BC8581FD-E2F6-4A10-97F4-5212417A89C6}"/>
    <cellStyle name="Comma 14 2 3 3 2 4 2" xfId="15120" xr:uid="{51C89156-BC93-416C-93C9-339AE9AFBF40}"/>
    <cellStyle name="Comma 14 2 3 3 2 4 2 2" xfId="30240" xr:uid="{A5A3EF69-D01A-40FD-9E62-73AF60B7D75E}"/>
    <cellStyle name="Comma 14 2 3 3 2 4 2 2 2" xfId="60480" xr:uid="{9985D375-C68D-4656-AD34-1E5BEB5350B8}"/>
    <cellStyle name="Comma 14 2 3 3 2 4 2 3" xfId="45360" xr:uid="{F162AAE0-D1B9-448B-942F-F5C38327E00C}"/>
    <cellStyle name="Comma 14 2 3 3 2 4 3" xfId="21168" xr:uid="{8916BBA9-BCBF-4D7E-942F-631D40BC1680}"/>
    <cellStyle name="Comma 14 2 3 3 2 4 3 2" xfId="51408" xr:uid="{E7635CD4-AF31-4EC3-A6B7-ACB23523B0D5}"/>
    <cellStyle name="Comma 14 2 3 3 2 4 4" xfId="36288" xr:uid="{C345F077-36DE-46C0-928F-17364475E6C7}"/>
    <cellStyle name="Comma 14 2 3 3 2 5" xfId="7560" xr:uid="{A6D55A84-D0A5-4BE7-BB4B-EE1C7C93322E}"/>
    <cellStyle name="Comma 14 2 3 3 2 5 2" xfId="22680" xr:uid="{5D486C65-B3F9-4965-8E8B-186A201E4887}"/>
    <cellStyle name="Comma 14 2 3 3 2 5 2 2" xfId="52920" xr:uid="{0B42DE04-F556-4A42-B2B5-E0D1CE827BEF}"/>
    <cellStyle name="Comma 14 2 3 3 2 5 3" xfId="37800" xr:uid="{0242D607-1E3A-4AB4-948E-013C6E8AFF67}"/>
    <cellStyle name="Comma 14 2 3 3 2 6" xfId="9072" xr:uid="{EAEEC3C6-BC23-4714-8A2D-BE50FA1E5AB7}"/>
    <cellStyle name="Comma 14 2 3 3 2 6 2" xfId="24192" xr:uid="{8A3CDD22-E240-4C7E-8105-434506C74728}"/>
    <cellStyle name="Comma 14 2 3 3 2 6 2 2" xfId="54432" xr:uid="{8729DAF8-2E67-4F65-85A5-E1F7429383B4}"/>
    <cellStyle name="Comma 14 2 3 3 2 6 3" xfId="39312" xr:uid="{84C06144-4821-4CD4-A785-7E258BC4425E}"/>
    <cellStyle name="Comma 14 2 3 3 2 7" xfId="10584" xr:uid="{BE05383F-5F07-43EC-9180-411D46180C88}"/>
    <cellStyle name="Comma 14 2 3 3 2 7 2" xfId="25704" xr:uid="{03EE92AE-0B68-45D1-9DBE-E383BEAEB3C7}"/>
    <cellStyle name="Comma 14 2 3 3 2 7 2 2" xfId="55944" xr:uid="{934B052A-6502-4910-8785-D3B8A68B4D3A}"/>
    <cellStyle name="Comma 14 2 3 3 2 7 3" xfId="40824" xr:uid="{15C46BC6-D3AD-481A-AE6B-832083C70170}"/>
    <cellStyle name="Comma 14 2 3 3 2 8" xfId="16632" xr:uid="{4B127CA1-0912-4980-935E-73E3A37C2480}"/>
    <cellStyle name="Comma 14 2 3 3 2 8 2" xfId="46872" xr:uid="{ABD8A5FB-C2C6-41FD-8249-C51A811130A6}"/>
    <cellStyle name="Comma 14 2 3 3 2 9" xfId="31752" xr:uid="{54D5AA00-0D1F-4F54-9D96-8D6259C947F3}"/>
    <cellStyle name="Comma 14 2 3 3 3" xfId="2268" xr:uid="{3F958E3B-B4B6-4B0F-BE97-317462FF3263}"/>
    <cellStyle name="Comma 14 2 3 3 3 2" xfId="11340" xr:uid="{E8DB554A-FC6F-4D4D-9078-BD2128FD5E6F}"/>
    <cellStyle name="Comma 14 2 3 3 3 2 2" xfId="26460" xr:uid="{29719616-FC92-4D9E-950A-D195D62913E7}"/>
    <cellStyle name="Comma 14 2 3 3 3 2 2 2" xfId="56700" xr:uid="{A025474B-0DD2-411D-B915-5600CDB5778B}"/>
    <cellStyle name="Comma 14 2 3 3 3 2 3" xfId="41580" xr:uid="{28E640A9-0258-494C-9523-5C1CDEA887D9}"/>
    <cellStyle name="Comma 14 2 3 3 3 3" xfId="17388" xr:uid="{41CAC633-0FFA-43BC-B7C8-5E023C03130D}"/>
    <cellStyle name="Comma 14 2 3 3 3 3 2" xfId="47628" xr:uid="{7EDC301C-E30A-4C36-864E-DFEC27367661}"/>
    <cellStyle name="Comma 14 2 3 3 3 4" xfId="32508" xr:uid="{1D9A83DD-0933-4098-A8AD-EF6402C1A181}"/>
    <cellStyle name="Comma 14 2 3 3 4" xfId="3780" xr:uid="{96BE7C20-CFE3-4FF8-8167-CAF88E8EE8F1}"/>
    <cellStyle name="Comma 14 2 3 3 4 2" xfId="12852" xr:uid="{3AF78635-5F81-407B-84D2-13A4525E5AB4}"/>
    <cellStyle name="Comma 14 2 3 3 4 2 2" xfId="27972" xr:uid="{E2362764-900E-47C3-8306-A49593503FF2}"/>
    <cellStyle name="Comma 14 2 3 3 4 2 2 2" xfId="58212" xr:uid="{93A8A54E-57D7-4DDE-A528-880AF6B1FB31}"/>
    <cellStyle name="Comma 14 2 3 3 4 2 3" xfId="43092" xr:uid="{761AB7DB-670F-4BAB-B182-094591E736A3}"/>
    <cellStyle name="Comma 14 2 3 3 4 3" xfId="18900" xr:uid="{10021CA8-3181-4BF2-BC9C-5775D18E73E8}"/>
    <cellStyle name="Comma 14 2 3 3 4 3 2" xfId="49140" xr:uid="{26CD209C-389A-4F13-BC1A-6F20681E9FA8}"/>
    <cellStyle name="Comma 14 2 3 3 4 4" xfId="34020" xr:uid="{D2DD40D0-FCD8-4738-A9B9-9F9030F99967}"/>
    <cellStyle name="Comma 14 2 3 3 5" xfId="5292" xr:uid="{CB1205D0-9C5C-40D7-A1E9-AE4EE97948A1}"/>
    <cellStyle name="Comma 14 2 3 3 5 2" xfId="14364" xr:uid="{F3B62E37-403C-4A62-BFF1-CA1A9BABFE39}"/>
    <cellStyle name="Comma 14 2 3 3 5 2 2" xfId="29484" xr:uid="{320EA097-70D9-4565-A3A5-D549412C2298}"/>
    <cellStyle name="Comma 14 2 3 3 5 2 2 2" xfId="59724" xr:uid="{92534ABB-435E-42AB-9343-834B9C8C274B}"/>
    <cellStyle name="Comma 14 2 3 3 5 2 3" xfId="44604" xr:uid="{0014419A-5CD6-4EAB-BB3F-386B746A49C1}"/>
    <cellStyle name="Comma 14 2 3 3 5 3" xfId="20412" xr:uid="{1C43A6AD-CF9E-4685-A0D7-E5CA539D85CF}"/>
    <cellStyle name="Comma 14 2 3 3 5 3 2" xfId="50652" xr:uid="{A3CF8B1C-C12F-475C-8D8A-98FABF044C19}"/>
    <cellStyle name="Comma 14 2 3 3 5 4" xfId="35532" xr:uid="{7F4A40C7-C529-4467-B67D-0C7E64F55EF9}"/>
    <cellStyle name="Comma 14 2 3 3 6" xfId="6804" xr:uid="{D1CF9126-AA88-4547-AB99-498641C6162A}"/>
    <cellStyle name="Comma 14 2 3 3 6 2" xfId="21924" xr:uid="{22820274-4C44-4E25-ABD9-A1C8F8C33797}"/>
    <cellStyle name="Comma 14 2 3 3 6 2 2" xfId="52164" xr:uid="{5E803C32-55DD-432C-8486-756CFA294FBB}"/>
    <cellStyle name="Comma 14 2 3 3 6 3" xfId="37044" xr:uid="{5C74BB09-D001-41AD-9136-1B0D0B22462E}"/>
    <cellStyle name="Comma 14 2 3 3 7" xfId="8316" xr:uid="{C3800C72-167C-4A8F-AA4D-87C879C986EA}"/>
    <cellStyle name="Comma 14 2 3 3 7 2" xfId="23436" xr:uid="{81CE0B4B-B957-400C-A469-E1F5860435A6}"/>
    <cellStyle name="Comma 14 2 3 3 7 2 2" xfId="53676" xr:uid="{2EF2229F-2EA3-4211-936D-ECC93646DD74}"/>
    <cellStyle name="Comma 14 2 3 3 7 3" xfId="38556" xr:uid="{48D91989-817A-40F1-B40D-A184EBA09C8D}"/>
    <cellStyle name="Comma 14 2 3 3 8" xfId="9828" xr:uid="{839D247C-6C8E-4121-AFDB-75E667AF5F0D}"/>
    <cellStyle name="Comma 14 2 3 3 8 2" xfId="24948" xr:uid="{4C4B0F39-FFFC-40CB-90F1-1B83F95544B9}"/>
    <cellStyle name="Comma 14 2 3 3 8 2 2" xfId="55188" xr:uid="{33E2BFBD-7F8A-498B-9F57-8548E645D6BA}"/>
    <cellStyle name="Comma 14 2 3 3 8 3" xfId="40068" xr:uid="{7F27F5C3-6DE2-4252-9D6D-FBBE8F7EBA13}"/>
    <cellStyle name="Comma 14 2 3 3 9" xfId="15876" xr:uid="{C91A35B4-D406-4997-988B-F46CF90F63F8}"/>
    <cellStyle name="Comma 14 2 3 3 9 2" xfId="46116" xr:uid="{B0F770D9-506A-4BC3-AA39-0E468D26313A}"/>
    <cellStyle name="Comma 14 2 3 4" xfId="1008" xr:uid="{EB33660A-BCDA-4045-9F2B-A68477CDC183}"/>
    <cellStyle name="Comma 14 2 3 4 2" xfId="2520" xr:uid="{0D050103-93D3-4E25-982A-70FFB156C664}"/>
    <cellStyle name="Comma 14 2 3 4 2 2" xfId="11592" xr:uid="{EFB864E0-9749-4C9D-A550-7B16D0016B45}"/>
    <cellStyle name="Comma 14 2 3 4 2 2 2" xfId="26712" xr:uid="{A9993C4A-A45A-41AD-941D-93A2D879F486}"/>
    <cellStyle name="Comma 14 2 3 4 2 2 2 2" xfId="56952" xr:uid="{0D0139A5-34F4-40D6-8E15-55AE99684935}"/>
    <cellStyle name="Comma 14 2 3 4 2 2 3" xfId="41832" xr:uid="{C113E2A2-5F5B-4475-8AB3-5EF064FC7A1B}"/>
    <cellStyle name="Comma 14 2 3 4 2 3" xfId="17640" xr:uid="{0285D44D-A4C8-4382-AA96-B053097A81B6}"/>
    <cellStyle name="Comma 14 2 3 4 2 3 2" xfId="47880" xr:uid="{099CF631-65C9-4F3F-96A5-E3489784B3D9}"/>
    <cellStyle name="Comma 14 2 3 4 2 4" xfId="32760" xr:uid="{089AA013-064F-4218-B9E6-035790ECD338}"/>
    <cellStyle name="Comma 14 2 3 4 3" xfId="4032" xr:uid="{7DB7CCFA-B963-4D52-91DF-84F1A7CB3201}"/>
    <cellStyle name="Comma 14 2 3 4 3 2" xfId="13104" xr:uid="{74EF8186-686C-44BC-88F0-4223960D4567}"/>
    <cellStyle name="Comma 14 2 3 4 3 2 2" xfId="28224" xr:uid="{48385C19-6229-41A6-93B8-B2EA6D1D8481}"/>
    <cellStyle name="Comma 14 2 3 4 3 2 2 2" xfId="58464" xr:uid="{B59EF2AC-A1D0-4DEC-86CC-9501847AE8DE}"/>
    <cellStyle name="Comma 14 2 3 4 3 2 3" xfId="43344" xr:uid="{B8D91B2A-6B98-4AAC-B46D-07D0EE4616BB}"/>
    <cellStyle name="Comma 14 2 3 4 3 3" xfId="19152" xr:uid="{CA189FCB-A14C-410B-96FE-F8A0CDD11566}"/>
    <cellStyle name="Comma 14 2 3 4 3 3 2" xfId="49392" xr:uid="{8482673D-6729-47CF-9DFA-19B919573830}"/>
    <cellStyle name="Comma 14 2 3 4 3 4" xfId="34272" xr:uid="{C3F70AC7-D595-4D0A-B0A5-CFF2868428CD}"/>
    <cellStyle name="Comma 14 2 3 4 4" xfId="5544" xr:uid="{DCF243B6-89FC-4493-8490-B4983F3120B4}"/>
    <cellStyle name="Comma 14 2 3 4 4 2" xfId="14616" xr:uid="{630E1DB8-05EF-4EB2-A92B-873DD6249805}"/>
    <cellStyle name="Comma 14 2 3 4 4 2 2" xfId="29736" xr:uid="{5BAF5DAB-E84A-4C6D-974B-2EE3361FF967}"/>
    <cellStyle name="Comma 14 2 3 4 4 2 2 2" xfId="59976" xr:uid="{3A226860-3114-4F2B-9A18-730CA4C3904F}"/>
    <cellStyle name="Comma 14 2 3 4 4 2 3" xfId="44856" xr:uid="{40E4D3EA-2985-4CF8-9338-CD9A71CCDF85}"/>
    <cellStyle name="Comma 14 2 3 4 4 3" xfId="20664" xr:uid="{0863AA36-A6DC-4F3D-8C95-343EE54F8BBB}"/>
    <cellStyle name="Comma 14 2 3 4 4 3 2" xfId="50904" xr:uid="{BE5F3B88-40EE-4C75-B4AE-59C4BB3B2549}"/>
    <cellStyle name="Comma 14 2 3 4 4 4" xfId="35784" xr:uid="{788BBE90-091C-4A53-A377-DBAAFA36CE30}"/>
    <cellStyle name="Comma 14 2 3 4 5" xfId="7056" xr:uid="{B9061305-5731-42CD-B85C-DE2862588BC7}"/>
    <cellStyle name="Comma 14 2 3 4 5 2" xfId="22176" xr:uid="{0F4D069D-9D4F-4DB6-8D20-1D03F9EE6867}"/>
    <cellStyle name="Comma 14 2 3 4 5 2 2" xfId="52416" xr:uid="{5D2215A2-747A-40E4-A455-282085266210}"/>
    <cellStyle name="Comma 14 2 3 4 5 3" xfId="37296" xr:uid="{0EC988BF-EA51-4B11-9CB0-8FBEDB3ABF1A}"/>
    <cellStyle name="Comma 14 2 3 4 6" xfId="8568" xr:uid="{4B34180E-A9D3-4F6F-B839-0E5FE246AD99}"/>
    <cellStyle name="Comma 14 2 3 4 6 2" xfId="23688" xr:uid="{CE469F24-90D7-4BB9-A04D-71F31CF2C6A7}"/>
    <cellStyle name="Comma 14 2 3 4 6 2 2" xfId="53928" xr:uid="{A052899A-7CE1-4811-AADB-4652FBFBD883}"/>
    <cellStyle name="Comma 14 2 3 4 6 3" xfId="38808" xr:uid="{ED766534-0B8D-4D7F-956A-BE8F6839365D}"/>
    <cellStyle name="Comma 14 2 3 4 7" xfId="10080" xr:uid="{8C074540-BA61-4437-87CC-FE1F3276BB35}"/>
    <cellStyle name="Comma 14 2 3 4 7 2" xfId="25200" xr:uid="{17926C1B-FDE0-4E5B-B54A-D3923DA7FF34}"/>
    <cellStyle name="Comma 14 2 3 4 7 2 2" xfId="55440" xr:uid="{D979FB72-45F1-4366-9CEE-E0B91631B894}"/>
    <cellStyle name="Comma 14 2 3 4 7 3" xfId="40320" xr:uid="{55907014-0188-4A44-ADB7-EF2E8FA26D8F}"/>
    <cellStyle name="Comma 14 2 3 4 8" xfId="16128" xr:uid="{4DEE493D-6E24-457B-864C-6780216B7553}"/>
    <cellStyle name="Comma 14 2 3 4 8 2" xfId="46368" xr:uid="{D40EDF53-6C47-412A-A8E8-CB8BEB50DED0}"/>
    <cellStyle name="Comma 14 2 3 4 9" xfId="31248" xr:uid="{4E8CFEA3-0FF7-4481-96A0-78C470C76108}"/>
    <cellStyle name="Comma 14 2 3 5" xfId="1764" xr:uid="{12E5212D-4355-4F97-8355-96C49154FCEA}"/>
    <cellStyle name="Comma 14 2 3 5 2" xfId="10836" xr:uid="{33B9D99C-BB25-4AEE-A064-6ACF1786781A}"/>
    <cellStyle name="Comma 14 2 3 5 2 2" xfId="25956" xr:uid="{8186F012-BAF0-47EC-BEA5-139B216F1242}"/>
    <cellStyle name="Comma 14 2 3 5 2 2 2" xfId="56196" xr:uid="{C2D2560E-75E7-4111-93E7-6CB6E1F6C3FA}"/>
    <cellStyle name="Comma 14 2 3 5 2 3" xfId="41076" xr:uid="{D478F052-6FD1-4111-9A3D-C02C56A43BF0}"/>
    <cellStyle name="Comma 14 2 3 5 3" xfId="16884" xr:uid="{9678655C-5333-41EA-8F9E-5EB128BCF2EC}"/>
    <cellStyle name="Comma 14 2 3 5 3 2" xfId="47124" xr:uid="{DCE497C1-C5A1-4AAF-B6B6-C1BAEA2B12CF}"/>
    <cellStyle name="Comma 14 2 3 5 4" xfId="32004" xr:uid="{637DA585-8299-4E6F-AC16-71BE7D0F4EC8}"/>
    <cellStyle name="Comma 14 2 3 6" xfId="3276" xr:uid="{90053A20-1C4E-4E26-B58C-18E99F0CE5C0}"/>
    <cellStyle name="Comma 14 2 3 6 2" xfId="12348" xr:uid="{6E4183FD-C5C7-4098-8FE7-B32AEEBF6A66}"/>
    <cellStyle name="Comma 14 2 3 6 2 2" xfId="27468" xr:uid="{E55D805C-8842-4678-A7F6-B33D555D08C2}"/>
    <cellStyle name="Comma 14 2 3 6 2 2 2" xfId="57708" xr:uid="{912C4DEF-55EE-4526-A836-741CC7B1D875}"/>
    <cellStyle name="Comma 14 2 3 6 2 3" xfId="42588" xr:uid="{19142CF0-D146-4E6B-8822-C54E3C0D1905}"/>
    <cellStyle name="Comma 14 2 3 6 3" xfId="18396" xr:uid="{B44B19B0-0A1C-487E-BFFE-F38196D60715}"/>
    <cellStyle name="Comma 14 2 3 6 3 2" xfId="48636" xr:uid="{5D2B2CD1-C7B0-46C8-BCD0-13EF07755919}"/>
    <cellStyle name="Comma 14 2 3 6 4" xfId="33516" xr:uid="{9D2AB794-BD33-45B9-9691-7E603E1DBB7F}"/>
    <cellStyle name="Comma 14 2 3 7" xfId="4788" xr:uid="{0186E73C-8B83-4102-9F33-97640CD315F4}"/>
    <cellStyle name="Comma 14 2 3 7 2" xfId="13860" xr:uid="{465E1898-781C-43FC-A6D5-73F81FC7797F}"/>
    <cellStyle name="Comma 14 2 3 7 2 2" xfId="28980" xr:uid="{7A8373F5-5B36-46F1-A1A8-8DF6C608E98A}"/>
    <cellStyle name="Comma 14 2 3 7 2 2 2" xfId="59220" xr:uid="{28CD10B1-44A5-48DB-B94E-45BA2B91C314}"/>
    <cellStyle name="Comma 14 2 3 7 2 3" xfId="44100" xr:uid="{0F71E5A4-55DE-4D33-A5B2-426491A9E7BC}"/>
    <cellStyle name="Comma 14 2 3 7 3" xfId="19908" xr:uid="{49BD2E89-50CF-4B04-96BA-4731F1B362BE}"/>
    <cellStyle name="Comma 14 2 3 7 3 2" xfId="50148" xr:uid="{D9628393-43B6-4345-A7DA-D293D5702456}"/>
    <cellStyle name="Comma 14 2 3 7 4" xfId="35028" xr:uid="{3D8B4FF7-DAB1-4F73-977D-ED6C689EE659}"/>
    <cellStyle name="Comma 14 2 3 8" xfId="6300" xr:uid="{45F056D9-CF2A-4005-859A-161BCD964252}"/>
    <cellStyle name="Comma 14 2 3 8 2" xfId="21420" xr:uid="{AE892C29-7642-44F3-B105-9DA1F0DB5B16}"/>
    <cellStyle name="Comma 14 2 3 8 2 2" xfId="51660" xr:uid="{58C30610-8ECC-4D03-9C98-A62AA5921159}"/>
    <cellStyle name="Comma 14 2 3 8 3" xfId="36540" xr:uid="{CEC6AB8B-FDDF-47AA-B0CB-9723F9B63B3F}"/>
    <cellStyle name="Comma 14 2 3 9" xfId="7812" xr:uid="{CDA10F18-D2BD-4A8B-B200-A92F7ED5B82B}"/>
    <cellStyle name="Comma 14 2 3 9 2" xfId="22932" xr:uid="{88DB957D-15D2-41CB-B3EB-75C49A13D05B}"/>
    <cellStyle name="Comma 14 2 3 9 2 2" xfId="53172" xr:uid="{34DAB707-9EE6-438D-9788-D23B3FA64512}"/>
    <cellStyle name="Comma 14 2 3 9 3" xfId="38052" xr:uid="{D70ABBE3-3300-4955-A13A-E42175DDB20B}"/>
    <cellStyle name="Comma 14 2 4" xfId="336" xr:uid="{55866874-B8DE-465F-8E08-F92917036064}"/>
    <cellStyle name="Comma 14 2 4 10" xfId="30576" xr:uid="{BA9631CA-823E-422A-8AA3-7B3C3BB44DAE}"/>
    <cellStyle name="Comma 14 2 4 2" xfId="1092" xr:uid="{98FEE393-6609-4504-89F2-835474FB4897}"/>
    <cellStyle name="Comma 14 2 4 2 2" xfId="2604" xr:uid="{4FC62910-EEC8-44AF-8A9B-6BC781FD2F72}"/>
    <cellStyle name="Comma 14 2 4 2 2 2" xfId="11676" xr:uid="{658C1F81-E732-4AFD-B3BE-2F13FC1559DD}"/>
    <cellStyle name="Comma 14 2 4 2 2 2 2" xfId="26796" xr:uid="{06CFC4FF-2C32-43B3-B105-58ED8376382A}"/>
    <cellStyle name="Comma 14 2 4 2 2 2 2 2" xfId="57036" xr:uid="{1EE10332-3F3B-4CF6-AEE9-3945507488F9}"/>
    <cellStyle name="Comma 14 2 4 2 2 2 3" xfId="41916" xr:uid="{BD15ED6F-CE05-45F3-BDE5-68537DC01908}"/>
    <cellStyle name="Comma 14 2 4 2 2 3" xfId="17724" xr:uid="{C7502296-0B38-443C-8D29-D7E5EEFFF423}"/>
    <cellStyle name="Comma 14 2 4 2 2 3 2" xfId="47964" xr:uid="{CFCB595E-C69B-4433-9F13-338F01C173B0}"/>
    <cellStyle name="Comma 14 2 4 2 2 4" xfId="32844" xr:uid="{1EF9C061-A6BD-4950-9036-3684211E0FA1}"/>
    <cellStyle name="Comma 14 2 4 2 3" xfId="4116" xr:uid="{D689F771-FC56-499A-B535-47A574EE684A}"/>
    <cellStyle name="Comma 14 2 4 2 3 2" xfId="13188" xr:uid="{22083D3B-89A2-4BE9-BCCB-321596012DDB}"/>
    <cellStyle name="Comma 14 2 4 2 3 2 2" xfId="28308" xr:uid="{73D2A6C5-C912-4CB5-BE40-976E759008A9}"/>
    <cellStyle name="Comma 14 2 4 2 3 2 2 2" xfId="58548" xr:uid="{DB93C301-3BCE-42E1-980B-28E40BEEFB77}"/>
    <cellStyle name="Comma 14 2 4 2 3 2 3" xfId="43428" xr:uid="{2776897A-2B6E-4687-A846-B1FE89D23D26}"/>
    <cellStyle name="Comma 14 2 4 2 3 3" xfId="19236" xr:uid="{B802BC1A-4F43-49ED-B8A6-3CFD90DB6666}"/>
    <cellStyle name="Comma 14 2 4 2 3 3 2" xfId="49476" xr:uid="{7D74143A-D99E-4A73-B872-F40F398E4BD4}"/>
    <cellStyle name="Comma 14 2 4 2 3 4" xfId="34356" xr:uid="{DC450577-4587-4624-A413-609CBB2287F4}"/>
    <cellStyle name="Comma 14 2 4 2 4" xfId="5628" xr:uid="{E1430113-A288-459C-96C0-DB88BCD8194B}"/>
    <cellStyle name="Comma 14 2 4 2 4 2" xfId="14700" xr:uid="{3BA83F07-5530-4806-B3B8-6FC9E590A4EE}"/>
    <cellStyle name="Comma 14 2 4 2 4 2 2" xfId="29820" xr:uid="{0069D4CD-3C25-44C0-9B78-65DF7EE35EFE}"/>
    <cellStyle name="Comma 14 2 4 2 4 2 2 2" xfId="60060" xr:uid="{B4E8B71D-86DB-48A9-91EA-8FB24FBB9095}"/>
    <cellStyle name="Comma 14 2 4 2 4 2 3" xfId="44940" xr:uid="{AAB51ED3-79A0-4C87-9596-9985C40FFD27}"/>
    <cellStyle name="Comma 14 2 4 2 4 3" xfId="20748" xr:uid="{4C7A1101-5415-40BC-B557-0E545519569A}"/>
    <cellStyle name="Comma 14 2 4 2 4 3 2" xfId="50988" xr:uid="{AB61EF0B-1E4A-480D-877C-CB4A3496CBA8}"/>
    <cellStyle name="Comma 14 2 4 2 4 4" xfId="35868" xr:uid="{0C39D156-81EC-4CA3-AAE4-56ACDFCA9F74}"/>
    <cellStyle name="Comma 14 2 4 2 5" xfId="7140" xr:uid="{880C6658-3691-43FD-BD34-3853B288524F}"/>
    <cellStyle name="Comma 14 2 4 2 5 2" xfId="22260" xr:uid="{74398F26-7DE4-4C57-8A6C-EF7E260EC6E3}"/>
    <cellStyle name="Comma 14 2 4 2 5 2 2" xfId="52500" xr:uid="{249A4B34-3242-4F63-B896-26EB8D21A74A}"/>
    <cellStyle name="Comma 14 2 4 2 5 3" xfId="37380" xr:uid="{8C5B5F20-13F3-4B66-BE48-46244B29A61A}"/>
    <cellStyle name="Comma 14 2 4 2 6" xfId="8652" xr:uid="{912C6AB1-0154-4CDA-9F3B-66D487D31557}"/>
    <cellStyle name="Comma 14 2 4 2 6 2" xfId="23772" xr:uid="{37845719-4337-4F5E-ACFF-684A6E6DB9AF}"/>
    <cellStyle name="Comma 14 2 4 2 6 2 2" xfId="54012" xr:uid="{1F183D22-AF9E-42E6-B30E-95C2201AE47E}"/>
    <cellStyle name="Comma 14 2 4 2 6 3" xfId="38892" xr:uid="{26501E28-5FEA-4238-947C-EA6000920DAC}"/>
    <cellStyle name="Comma 14 2 4 2 7" xfId="10164" xr:uid="{5955BB0B-53D1-4FFD-A354-02A144F6921E}"/>
    <cellStyle name="Comma 14 2 4 2 7 2" xfId="25284" xr:uid="{C0CE30F4-2118-4D26-9828-57BF99CBFBAD}"/>
    <cellStyle name="Comma 14 2 4 2 7 2 2" xfId="55524" xr:uid="{1A3FD247-FDF6-4BFF-BF07-67B3B748CAEA}"/>
    <cellStyle name="Comma 14 2 4 2 7 3" xfId="40404" xr:uid="{C5276135-9FAF-4324-B0BB-D760F5C3F69F}"/>
    <cellStyle name="Comma 14 2 4 2 8" xfId="16212" xr:uid="{5A23E38A-79C5-47B3-8EA0-2C33BD36A25E}"/>
    <cellStyle name="Comma 14 2 4 2 8 2" xfId="46452" xr:uid="{2147AB40-4CC0-455E-83E0-A50CB89A1A4F}"/>
    <cellStyle name="Comma 14 2 4 2 9" xfId="31332" xr:uid="{16A4782E-FA18-4804-9C9E-DFEED523E70C}"/>
    <cellStyle name="Comma 14 2 4 3" xfId="1848" xr:uid="{84C037C9-28D2-4470-8BCD-3146C8CA6630}"/>
    <cellStyle name="Comma 14 2 4 3 2" xfId="10920" xr:uid="{DA73548E-2BC9-488E-B8EB-A19B841867E6}"/>
    <cellStyle name="Comma 14 2 4 3 2 2" xfId="26040" xr:uid="{9307C61B-8434-42F3-A5CD-9C81B1A23632}"/>
    <cellStyle name="Comma 14 2 4 3 2 2 2" xfId="56280" xr:uid="{39D8A215-6D9E-4B30-84F4-BF0A2997137B}"/>
    <cellStyle name="Comma 14 2 4 3 2 3" xfId="41160" xr:uid="{79E37CE4-7BF1-47BD-BF8E-D4FF6EDE1759}"/>
    <cellStyle name="Comma 14 2 4 3 3" xfId="16968" xr:uid="{51400EB6-C623-489D-BB92-F44E2DD756A3}"/>
    <cellStyle name="Comma 14 2 4 3 3 2" xfId="47208" xr:uid="{58E3B31D-756E-409C-8D61-F9F0379EE65C}"/>
    <cellStyle name="Comma 14 2 4 3 4" xfId="32088" xr:uid="{C6F28F67-79AC-447B-BFDC-2C5B5DA900EC}"/>
    <cellStyle name="Comma 14 2 4 4" xfId="3360" xr:uid="{EA83F358-6233-48A3-BCC8-03EB02DA791E}"/>
    <cellStyle name="Comma 14 2 4 4 2" xfId="12432" xr:uid="{5540E4EA-E093-4AA4-8088-8B037320551F}"/>
    <cellStyle name="Comma 14 2 4 4 2 2" xfId="27552" xr:uid="{BC48B99F-0547-478B-BD0F-BE332C7A6AB2}"/>
    <cellStyle name="Comma 14 2 4 4 2 2 2" xfId="57792" xr:uid="{AD004D83-D8C9-42CC-B025-DD6CF2622EC4}"/>
    <cellStyle name="Comma 14 2 4 4 2 3" xfId="42672" xr:uid="{3D904904-EAD3-4EE6-AEDE-43A720D79EF1}"/>
    <cellStyle name="Comma 14 2 4 4 3" xfId="18480" xr:uid="{D158708D-2F3E-49BE-8E5E-B6D1A84819CC}"/>
    <cellStyle name="Comma 14 2 4 4 3 2" xfId="48720" xr:uid="{E1133BBF-7568-4EE3-BE9B-24B4F542F3D2}"/>
    <cellStyle name="Comma 14 2 4 4 4" xfId="33600" xr:uid="{1CDDCB5D-C161-4277-8F43-56E37BC32C29}"/>
    <cellStyle name="Comma 14 2 4 5" xfId="4872" xr:uid="{5C198DB7-4F89-49A0-8D44-DEA9DC94D3E6}"/>
    <cellStyle name="Comma 14 2 4 5 2" xfId="13944" xr:uid="{EB3FBA68-FA4B-4021-8A84-E98E1EAD142A}"/>
    <cellStyle name="Comma 14 2 4 5 2 2" xfId="29064" xr:uid="{AC6C9A75-DA6E-4F92-94A4-5624219ED72A}"/>
    <cellStyle name="Comma 14 2 4 5 2 2 2" xfId="59304" xr:uid="{8CAE1A71-5A09-4725-95FA-28540EC537E6}"/>
    <cellStyle name="Comma 14 2 4 5 2 3" xfId="44184" xr:uid="{389619C5-C6C5-4F2C-BF70-313AAA3DD0B2}"/>
    <cellStyle name="Comma 14 2 4 5 3" xfId="19992" xr:uid="{1FC2241C-68BE-4199-9504-A8F45F770B4D}"/>
    <cellStyle name="Comma 14 2 4 5 3 2" xfId="50232" xr:uid="{914234FC-DFE9-48FE-ACC5-2A32D32C791D}"/>
    <cellStyle name="Comma 14 2 4 5 4" xfId="35112" xr:uid="{C39F91BA-616F-48E4-B988-2060DB51442B}"/>
    <cellStyle name="Comma 14 2 4 6" xfId="6384" xr:uid="{C8C126DC-2551-4A3D-B646-0829D6BDE4D5}"/>
    <cellStyle name="Comma 14 2 4 6 2" xfId="21504" xr:uid="{64D340EB-6429-463D-8CBC-AE6F22372F1C}"/>
    <cellStyle name="Comma 14 2 4 6 2 2" xfId="51744" xr:uid="{BC3ADDA3-DE64-4D8E-9D76-79C2C820B6B5}"/>
    <cellStyle name="Comma 14 2 4 6 3" xfId="36624" xr:uid="{A283DD8A-5DD9-4BA2-AF42-D21BA9DF43BB}"/>
    <cellStyle name="Comma 14 2 4 7" xfId="7896" xr:uid="{71ECDADA-0119-44AF-AED5-2B9C1EB861A5}"/>
    <cellStyle name="Comma 14 2 4 7 2" xfId="23016" xr:uid="{7A73C7C1-9CA5-45CE-9893-B237A3467353}"/>
    <cellStyle name="Comma 14 2 4 7 2 2" xfId="53256" xr:uid="{E4AE0F18-919A-4A32-8469-EB62AE03AB36}"/>
    <cellStyle name="Comma 14 2 4 7 3" xfId="38136" xr:uid="{19ECFB61-6571-4764-8C16-645C208ED825}"/>
    <cellStyle name="Comma 14 2 4 8" xfId="9408" xr:uid="{400C83C3-1D48-491B-A6FB-98EDAE711B8F}"/>
    <cellStyle name="Comma 14 2 4 8 2" xfId="24528" xr:uid="{3A20782E-E930-4190-881E-2840BE97816F}"/>
    <cellStyle name="Comma 14 2 4 8 2 2" xfId="54768" xr:uid="{FA729169-1430-4E88-ABB5-428414391419}"/>
    <cellStyle name="Comma 14 2 4 8 3" xfId="39648" xr:uid="{AB7B71FC-1A6B-43F5-9736-FF509F4D0870}"/>
    <cellStyle name="Comma 14 2 4 9" xfId="15456" xr:uid="{88D2C233-DC5C-407D-9A40-06F2170BBAB3}"/>
    <cellStyle name="Comma 14 2 4 9 2" xfId="45696" xr:uid="{3A1E2400-50BD-4B83-AC94-780CA8BB7780}"/>
    <cellStyle name="Comma 14 2 5" xfId="588" xr:uid="{EB46C368-4CA8-46E1-B97D-7CDEEA23A802}"/>
    <cellStyle name="Comma 14 2 5 10" xfId="30828" xr:uid="{4CCD858C-21F5-41C1-AAB5-A1B35D8682C2}"/>
    <cellStyle name="Comma 14 2 5 2" xfId="1344" xr:uid="{71CC43F1-616C-465B-AE0D-3409DDE2FF6D}"/>
    <cellStyle name="Comma 14 2 5 2 2" xfId="2856" xr:uid="{DEC917BD-A26D-45EC-A591-CD12A20EAC44}"/>
    <cellStyle name="Comma 14 2 5 2 2 2" xfId="11928" xr:uid="{0B054FBB-1911-4620-83B3-B46713407D2E}"/>
    <cellStyle name="Comma 14 2 5 2 2 2 2" xfId="27048" xr:uid="{EF3ACE8B-2FAA-4F39-9B1D-6F4E980238DB}"/>
    <cellStyle name="Comma 14 2 5 2 2 2 2 2" xfId="57288" xr:uid="{EAF25B96-7B81-4142-AFBC-FF89B42AF421}"/>
    <cellStyle name="Comma 14 2 5 2 2 2 3" xfId="42168" xr:uid="{10356AE3-7E11-4BDA-87AC-008BE015B78A}"/>
    <cellStyle name="Comma 14 2 5 2 2 3" xfId="17976" xr:uid="{3262974E-FACF-408F-A35A-5E00B4EF1C0E}"/>
    <cellStyle name="Comma 14 2 5 2 2 3 2" xfId="48216" xr:uid="{FF82B8CF-193C-46BC-8347-A1CF96D8FE3E}"/>
    <cellStyle name="Comma 14 2 5 2 2 4" xfId="33096" xr:uid="{9D0A75A0-89A5-4C42-B7AF-6191BF746344}"/>
    <cellStyle name="Comma 14 2 5 2 3" xfId="4368" xr:uid="{EB1004DD-2DA6-45A8-B5AF-C1EDB209B6B7}"/>
    <cellStyle name="Comma 14 2 5 2 3 2" xfId="13440" xr:uid="{AFA3E94D-078C-419F-A091-2E33F1838282}"/>
    <cellStyle name="Comma 14 2 5 2 3 2 2" xfId="28560" xr:uid="{2D012BF8-7680-484F-9992-33243CCCD5D8}"/>
    <cellStyle name="Comma 14 2 5 2 3 2 2 2" xfId="58800" xr:uid="{413228E3-9A32-43DC-93DC-223CC79EDD3F}"/>
    <cellStyle name="Comma 14 2 5 2 3 2 3" xfId="43680" xr:uid="{541478B3-F9F2-4246-9BB6-D83EC9E16E31}"/>
    <cellStyle name="Comma 14 2 5 2 3 3" xfId="19488" xr:uid="{27A8ECEB-45A8-4DD3-BF90-E2B4BC7F925B}"/>
    <cellStyle name="Comma 14 2 5 2 3 3 2" xfId="49728" xr:uid="{ADD0C820-A038-41FD-94BE-16F246FBAA4B}"/>
    <cellStyle name="Comma 14 2 5 2 3 4" xfId="34608" xr:uid="{1FF450E0-1D12-4D71-9E35-F7560E823656}"/>
    <cellStyle name="Comma 14 2 5 2 4" xfId="5880" xr:uid="{2ED03D85-7B2D-4422-9708-3DADD0A55E3F}"/>
    <cellStyle name="Comma 14 2 5 2 4 2" xfId="14952" xr:uid="{1FA7DC5F-7028-427D-862F-47AC99055D76}"/>
    <cellStyle name="Comma 14 2 5 2 4 2 2" xfId="30072" xr:uid="{D9B8A665-1FCB-4794-9BC4-A76FB8FA22AA}"/>
    <cellStyle name="Comma 14 2 5 2 4 2 2 2" xfId="60312" xr:uid="{C90723F3-69C5-410A-8B7C-547F05848037}"/>
    <cellStyle name="Comma 14 2 5 2 4 2 3" xfId="45192" xr:uid="{C9A1A4F2-5162-4461-8AC4-F688D2CEC4AD}"/>
    <cellStyle name="Comma 14 2 5 2 4 3" xfId="21000" xr:uid="{8F30FC59-7D75-4DE2-9113-EC070CFD7A78}"/>
    <cellStyle name="Comma 14 2 5 2 4 3 2" xfId="51240" xr:uid="{3D7FD600-A872-4408-AA92-E6B30AFD9ED2}"/>
    <cellStyle name="Comma 14 2 5 2 4 4" xfId="36120" xr:uid="{EFD0FB13-C2DC-481B-89AC-3D1C96E4102D}"/>
    <cellStyle name="Comma 14 2 5 2 5" xfId="7392" xr:uid="{79393D55-59C2-4A31-89B8-DC782AD8D5A8}"/>
    <cellStyle name="Comma 14 2 5 2 5 2" xfId="22512" xr:uid="{0DC21B45-5544-4B71-BED5-2BC747C4AE50}"/>
    <cellStyle name="Comma 14 2 5 2 5 2 2" xfId="52752" xr:uid="{68DDD27B-1A4B-4A3E-B112-0882D0C913E1}"/>
    <cellStyle name="Comma 14 2 5 2 5 3" xfId="37632" xr:uid="{9056812C-C97A-41D2-AC77-DB5EEE0198D2}"/>
    <cellStyle name="Comma 14 2 5 2 6" xfId="8904" xr:uid="{B162438A-F973-4784-8660-24EA9BF926C2}"/>
    <cellStyle name="Comma 14 2 5 2 6 2" xfId="24024" xr:uid="{4CAAE418-0B81-45D8-8FA6-3DCACE2DB438}"/>
    <cellStyle name="Comma 14 2 5 2 6 2 2" xfId="54264" xr:uid="{685563F2-C27D-43C7-9EAE-D89BAA042194}"/>
    <cellStyle name="Comma 14 2 5 2 6 3" xfId="39144" xr:uid="{E2E1F871-B910-4B65-B4F1-1466F6168779}"/>
    <cellStyle name="Comma 14 2 5 2 7" xfId="10416" xr:uid="{34D44207-0F23-4F70-9030-942CDE64A843}"/>
    <cellStyle name="Comma 14 2 5 2 7 2" xfId="25536" xr:uid="{5A5EA1AB-E864-43A9-94B4-FF6BEF279C4C}"/>
    <cellStyle name="Comma 14 2 5 2 7 2 2" xfId="55776" xr:uid="{A4CF5179-14E2-486E-B0B1-15F979D5752C}"/>
    <cellStyle name="Comma 14 2 5 2 7 3" xfId="40656" xr:uid="{0574E487-2288-4D91-B0BC-D72AAF83D02F}"/>
    <cellStyle name="Comma 14 2 5 2 8" xfId="16464" xr:uid="{9642B1C7-1E24-46CD-9A2A-70F26C5E6A0D}"/>
    <cellStyle name="Comma 14 2 5 2 8 2" xfId="46704" xr:uid="{70D1B578-50C3-4B42-833D-6F4D4B523DF4}"/>
    <cellStyle name="Comma 14 2 5 2 9" xfId="31584" xr:uid="{9A2C30DC-5BEF-4C8D-93F6-061024E05DC7}"/>
    <cellStyle name="Comma 14 2 5 3" xfId="2100" xr:uid="{D752ECA3-6C6A-4DA0-B24F-CBAF4D51424D}"/>
    <cellStyle name="Comma 14 2 5 3 2" xfId="11172" xr:uid="{08536851-DFC6-404C-B7FA-7AEBEC54F625}"/>
    <cellStyle name="Comma 14 2 5 3 2 2" xfId="26292" xr:uid="{8FC341B3-CC01-4763-8E22-488EC7876CDA}"/>
    <cellStyle name="Comma 14 2 5 3 2 2 2" xfId="56532" xr:uid="{15BB768A-331E-41E3-8C68-2006F8A140B5}"/>
    <cellStyle name="Comma 14 2 5 3 2 3" xfId="41412" xr:uid="{E472AD87-3093-4536-BD10-DD2BEC3982EB}"/>
    <cellStyle name="Comma 14 2 5 3 3" xfId="17220" xr:uid="{3F888F18-62B9-4E5C-A775-E90AF89AFEAE}"/>
    <cellStyle name="Comma 14 2 5 3 3 2" xfId="47460" xr:uid="{35DD7CDC-4931-4E2B-A216-24B4299762A2}"/>
    <cellStyle name="Comma 14 2 5 3 4" xfId="32340" xr:uid="{9E73015A-678C-4281-A5EE-40A75375FF6E}"/>
    <cellStyle name="Comma 14 2 5 4" xfId="3612" xr:uid="{D29ABA8A-C1B4-450F-9D22-E2F7D49B56F6}"/>
    <cellStyle name="Comma 14 2 5 4 2" xfId="12684" xr:uid="{14A00B5A-46BB-4971-A8D3-C6A1CD579874}"/>
    <cellStyle name="Comma 14 2 5 4 2 2" xfId="27804" xr:uid="{190937BB-B005-4989-90A1-66CB31D55921}"/>
    <cellStyle name="Comma 14 2 5 4 2 2 2" xfId="58044" xr:uid="{DC9776FC-50FD-4FB7-BDFB-D096709CFAA5}"/>
    <cellStyle name="Comma 14 2 5 4 2 3" xfId="42924" xr:uid="{CC3D0FEA-6238-47AC-9702-B452E08A4E95}"/>
    <cellStyle name="Comma 14 2 5 4 3" xfId="18732" xr:uid="{34056A66-5EA7-4CB2-9DC2-D83F4A0D974E}"/>
    <cellStyle name="Comma 14 2 5 4 3 2" xfId="48972" xr:uid="{F7061003-D939-4935-93FF-E0CDBE39CFAE}"/>
    <cellStyle name="Comma 14 2 5 4 4" xfId="33852" xr:uid="{C762E669-0133-4679-BE75-A295CF6D960C}"/>
    <cellStyle name="Comma 14 2 5 5" xfId="5124" xr:uid="{6113CAE4-7A48-43A3-8790-01DA9AD12E2D}"/>
    <cellStyle name="Comma 14 2 5 5 2" xfId="14196" xr:uid="{E1723CF8-BBB1-4B4C-944B-DE5E44A412B5}"/>
    <cellStyle name="Comma 14 2 5 5 2 2" xfId="29316" xr:uid="{B597BF7A-DCDF-4319-AF40-7C058A08BF78}"/>
    <cellStyle name="Comma 14 2 5 5 2 2 2" xfId="59556" xr:uid="{596DEAE0-E0B6-4A31-BCC6-B08C208D8E0A}"/>
    <cellStyle name="Comma 14 2 5 5 2 3" xfId="44436" xr:uid="{A991D526-C869-44DB-B325-1939BD7F7BF5}"/>
    <cellStyle name="Comma 14 2 5 5 3" xfId="20244" xr:uid="{E193916C-54A9-4249-A866-7F207B4B240C}"/>
    <cellStyle name="Comma 14 2 5 5 3 2" xfId="50484" xr:uid="{F8AB6821-1DA9-43F4-B03F-3EB450D0A335}"/>
    <cellStyle name="Comma 14 2 5 5 4" xfId="35364" xr:uid="{0E660E26-493B-4892-9A3E-51E9E9E56B7A}"/>
    <cellStyle name="Comma 14 2 5 6" xfId="6636" xr:uid="{790DA880-CA8D-4A57-80EF-0BB4B791058A}"/>
    <cellStyle name="Comma 14 2 5 6 2" xfId="21756" xr:uid="{AAF067EA-6354-468C-BE3E-C1C5B8431575}"/>
    <cellStyle name="Comma 14 2 5 6 2 2" xfId="51996" xr:uid="{C16653F6-90BE-4CBC-953A-0B2545544522}"/>
    <cellStyle name="Comma 14 2 5 6 3" xfId="36876" xr:uid="{59FFEB6E-E206-4FF1-BBA0-2272F1F00A53}"/>
    <cellStyle name="Comma 14 2 5 7" xfId="8148" xr:uid="{53EA9C1D-9986-4C0D-88A9-4F5B11A5E896}"/>
    <cellStyle name="Comma 14 2 5 7 2" xfId="23268" xr:uid="{EB4718F0-DBB9-46AA-A59E-5CADF6314CC0}"/>
    <cellStyle name="Comma 14 2 5 7 2 2" xfId="53508" xr:uid="{52F015D3-8041-4E9A-A3FF-37622998C16D}"/>
    <cellStyle name="Comma 14 2 5 7 3" xfId="38388" xr:uid="{A9011F2A-1694-4610-8410-EF6CF7A00E5C}"/>
    <cellStyle name="Comma 14 2 5 8" xfId="9660" xr:uid="{EABDFACD-CDE0-4759-8A93-B01A85E82EB5}"/>
    <cellStyle name="Comma 14 2 5 8 2" xfId="24780" xr:uid="{FAF5A306-BA71-4D30-BC2F-01E77CFD652B}"/>
    <cellStyle name="Comma 14 2 5 8 2 2" xfId="55020" xr:uid="{BB8DEEDC-0E35-42AC-ACC1-F6DCB966A10C}"/>
    <cellStyle name="Comma 14 2 5 8 3" xfId="39900" xr:uid="{DA3D3A1A-1D9B-4D4E-9021-A81FA461868D}"/>
    <cellStyle name="Comma 14 2 5 9" xfId="15708" xr:uid="{43BF519A-E9C2-4F52-A096-FB8E2789AEA1}"/>
    <cellStyle name="Comma 14 2 5 9 2" xfId="45948" xr:uid="{CE366BF9-1940-413F-A4B4-9B2E477F7A3A}"/>
    <cellStyle name="Comma 14 2 6" xfId="840" xr:uid="{FF136CE3-A106-48F5-A08A-7AC428B07BA9}"/>
    <cellStyle name="Comma 14 2 6 2" xfId="2352" xr:uid="{F4EB1813-9298-4945-A566-A4B609F2C013}"/>
    <cellStyle name="Comma 14 2 6 2 2" xfId="11424" xr:uid="{2A1BCF0A-8330-4A1F-B7A8-A733CF63D37B}"/>
    <cellStyle name="Comma 14 2 6 2 2 2" xfId="26544" xr:uid="{B26C2D09-0BC2-4F7D-B52B-C68C9BB47D94}"/>
    <cellStyle name="Comma 14 2 6 2 2 2 2" xfId="56784" xr:uid="{DFB7C69C-3C30-4CCB-869A-A777D4F84BC8}"/>
    <cellStyle name="Comma 14 2 6 2 2 3" xfId="41664" xr:uid="{D47C4DCD-2047-4791-AB63-78CA80613144}"/>
    <cellStyle name="Comma 14 2 6 2 3" xfId="17472" xr:uid="{85BA4EA1-A4FE-44E5-ABF0-F0B07C417151}"/>
    <cellStyle name="Comma 14 2 6 2 3 2" xfId="47712" xr:uid="{813A2F91-3105-4880-9ABB-C22D66FFDBE3}"/>
    <cellStyle name="Comma 14 2 6 2 4" xfId="32592" xr:uid="{408250F7-8778-4146-9B47-DB8B2ABB84E3}"/>
    <cellStyle name="Comma 14 2 6 3" xfId="3864" xr:uid="{6504F38D-D042-43D6-B351-A786C2D00CBA}"/>
    <cellStyle name="Comma 14 2 6 3 2" xfId="12936" xr:uid="{DA0AE590-FFE9-4189-8569-32D1F639295F}"/>
    <cellStyle name="Comma 14 2 6 3 2 2" xfId="28056" xr:uid="{0A363A06-036C-49A1-9D6A-98066D697D5E}"/>
    <cellStyle name="Comma 14 2 6 3 2 2 2" xfId="58296" xr:uid="{98512E9C-3132-4AB7-A8F0-5BD2D4ECFEB6}"/>
    <cellStyle name="Comma 14 2 6 3 2 3" xfId="43176" xr:uid="{6E2FF580-9005-4FDA-A706-31B85CFF2EE5}"/>
    <cellStyle name="Comma 14 2 6 3 3" xfId="18984" xr:uid="{32E4A81E-DA43-4BB5-AD39-DAF028FFA809}"/>
    <cellStyle name="Comma 14 2 6 3 3 2" xfId="49224" xr:uid="{3B729E63-1362-4720-B9F7-EF9D9B36BE4F}"/>
    <cellStyle name="Comma 14 2 6 3 4" xfId="34104" xr:uid="{BC107A3D-23A2-4F93-9B67-9288BBF6D5A0}"/>
    <cellStyle name="Comma 14 2 6 4" xfId="5376" xr:uid="{0E8CDE69-FC9B-44A0-93A3-A2CE0B56728B}"/>
    <cellStyle name="Comma 14 2 6 4 2" xfId="14448" xr:uid="{B7AF42FC-5D91-4F80-97A4-33231D4FAD81}"/>
    <cellStyle name="Comma 14 2 6 4 2 2" xfId="29568" xr:uid="{79B38CEB-DD84-439F-B18A-3D205CBC0399}"/>
    <cellStyle name="Comma 14 2 6 4 2 2 2" xfId="59808" xr:uid="{DADA1F7E-042C-4007-BDB5-AC7C6E41115A}"/>
    <cellStyle name="Comma 14 2 6 4 2 3" xfId="44688" xr:uid="{99C24F38-49FF-4371-A685-C862EE066F05}"/>
    <cellStyle name="Comma 14 2 6 4 3" xfId="20496" xr:uid="{DC94F118-DAFE-4A39-BA38-D2F137ABF037}"/>
    <cellStyle name="Comma 14 2 6 4 3 2" xfId="50736" xr:uid="{19ABECF8-9FEB-4893-BC88-338D23AD6AC0}"/>
    <cellStyle name="Comma 14 2 6 4 4" xfId="35616" xr:uid="{AE862A22-DCDB-4AC6-AD66-D9E8A9663997}"/>
    <cellStyle name="Comma 14 2 6 5" xfId="6888" xr:uid="{2FC8244E-E933-4D25-B127-BD4078415A18}"/>
    <cellStyle name="Comma 14 2 6 5 2" xfId="22008" xr:uid="{29DE7FDB-CE45-4A34-93B5-48CB095B9833}"/>
    <cellStyle name="Comma 14 2 6 5 2 2" xfId="52248" xr:uid="{3BED829A-E292-4076-9F3C-A53A970508B9}"/>
    <cellStyle name="Comma 14 2 6 5 3" xfId="37128" xr:uid="{D6BAA77C-35A5-47DC-B564-CE42D52DBE55}"/>
    <cellStyle name="Comma 14 2 6 6" xfId="8400" xr:uid="{EC14CC61-FFDF-4C44-A46B-9AC9CE00E2E7}"/>
    <cellStyle name="Comma 14 2 6 6 2" xfId="23520" xr:uid="{282EED09-95C0-4FEF-A1AB-C6A5B3251D19}"/>
    <cellStyle name="Comma 14 2 6 6 2 2" xfId="53760" xr:uid="{E3AE0BE4-708E-4039-89C3-6B91BD802787}"/>
    <cellStyle name="Comma 14 2 6 6 3" xfId="38640" xr:uid="{B3B3F14E-E673-49A8-9C6A-67B0D3835D00}"/>
    <cellStyle name="Comma 14 2 6 7" xfId="9912" xr:uid="{39467CFA-CE73-43C9-B051-D69127A55C2F}"/>
    <cellStyle name="Comma 14 2 6 7 2" xfId="25032" xr:uid="{95FA2266-6D70-4366-9C1A-9F28CEA2316E}"/>
    <cellStyle name="Comma 14 2 6 7 2 2" xfId="55272" xr:uid="{3E8219C7-0414-4281-A05B-3444DB3514E6}"/>
    <cellStyle name="Comma 14 2 6 7 3" xfId="40152" xr:uid="{66DDEE73-C938-46DA-9B6E-1533D4572C1B}"/>
    <cellStyle name="Comma 14 2 6 8" xfId="15960" xr:uid="{D9B3226F-E589-4106-9B39-C6E3B5D8C691}"/>
    <cellStyle name="Comma 14 2 6 8 2" xfId="46200" xr:uid="{50EBFA8E-CEFD-4372-8FE2-A6B79E7C07E4}"/>
    <cellStyle name="Comma 14 2 6 9" xfId="31080" xr:uid="{FAF9A5A1-C1F8-4BD0-973A-CEF40B9D03A6}"/>
    <cellStyle name="Comma 14 2 7" xfId="1596" xr:uid="{C1933A13-128C-4AE6-AA54-571638437AE9}"/>
    <cellStyle name="Comma 14 2 7 2" xfId="10668" xr:uid="{29B7328A-B3B7-425E-A81C-1981B1D0C01D}"/>
    <cellStyle name="Comma 14 2 7 2 2" xfId="25788" xr:uid="{3FB5DA2F-EB8D-40E7-BF79-31E93EDAF055}"/>
    <cellStyle name="Comma 14 2 7 2 2 2" xfId="56028" xr:uid="{69312C07-D1ED-4448-9070-69544F3CA7BD}"/>
    <cellStyle name="Comma 14 2 7 2 3" xfId="40908" xr:uid="{647DC610-41BA-493D-A74E-91A8DA02EB43}"/>
    <cellStyle name="Comma 14 2 7 3" xfId="16716" xr:uid="{765A26C3-5F6E-4B0A-9CD0-D9E4F941287D}"/>
    <cellStyle name="Comma 14 2 7 3 2" xfId="46956" xr:uid="{FC5363F6-070F-4875-AAD7-A331C5679313}"/>
    <cellStyle name="Comma 14 2 7 4" xfId="31836" xr:uid="{E8CC79C3-B67B-4FC5-B33D-F99EB2B1BBED}"/>
    <cellStyle name="Comma 14 2 8" xfId="3108" xr:uid="{9BBA8C53-EE80-4731-B47C-7D7A62FAE725}"/>
    <cellStyle name="Comma 14 2 8 2" xfId="12180" xr:uid="{FD5D90B5-3CF7-43E8-86AB-0DE0C2012311}"/>
    <cellStyle name="Comma 14 2 8 2 2" xfId="27300" xr:uid="{B5CC323F-42FB-4964-8DCE-B504D9213706}"/>
    <cellStyle name="Comma 14 2 8 2 2 2" xfId="57540" xr:uid="{0224342D-CF52-4B1E-9F4A-5093B6D277C5}"/>
    <cellStyle name="Comma 14 2 8 2 3" xfId="42420" xr:uid="{A58F92C9-01DC-4032-80EE-DFB8E0A90DAC}"/>
    <cellStyle name="Comma 14 2 8 3" xfId="18228" xr:uid="{83E842C2-65C0-47F2-9C8E-C05AEBA6116D}"/>
    <cellStyle name="Comma 14 2 8 3 2" xfId="48468" xr:uid="{FE71DFAC-3AA3-422A-8CC3-B32D178DB175}"/>
    <cellStyle name="Comma 14 2 8 4" xfId="33348" xr:uid="{B4C07810-7AA3-4FCC-B8A2-DB7F07191A28}"/>
    <cellStyle name="Comma 14 2 9" xfId="4620" xr:uid="{2F1F27DF-AE16-4AC7-88F6-8F420437CA90}"/>
    <cellStyle name="Comma 14 2 9 2" xfId="13692" xr:uid="{CD67A662-B3C0-4A25-9FCC-3A29E1D525A1}"/>
    <cellStyle name="Comma 14 2 9 2 2" xfId="28812" xr:uid="{66CDBC3D-3B3C-4C89-B768-759F4E57E4BE}"/>
    <cellStyle name="Comma 14 2 9 2 2 2" xfId="59052" xr:uid="{F64E029D-5149-43D4-9F6B-B7EF5D0AE563}"/>
    <cellStyle name="Comma 14 2 9 2 3" xfId="43932" xr:uid="{8FDD430E-35F2-4140-9C01-FC35E91EE463}"/>
    <cellStyle name="Comma 14 2 9 3" xfId="19740" xr:uid="{3F565BF6-A9DB-4A66-B8C8-CBEC67B3B361}"/>
    <cellStyle name="Comma 14 2 9 3 2" xfId="49980" xr:uid="{BB031A64-88BB-48ED-BFAC-96E05B93A8F6}"/>
    <cellStyle name="Comma 14 2 9 4" xfId="34860" xr:uid="{C73B03E3-282E-4D4D-A8C7-20B406FBFA07}"/>
    <cellStyle name="Comma 14 3" xfId="126" xr:uid="{7515394E-DFA7-4FCD-8180-9588E7BE470B}"/>
    <cellStyle name="Comma 14 3 10" xfId="9198" xr:uid="{9F5356FB-0CBD-463B-9406-FC73EA9B9287}"/>
    <cellStyle name="Comma 14 3 10 2" xfId="24318" xr:uid="{C33578D0-CCDB-499B-B0BC-C578480900D4}"/>
    <cellStyle name="Comma 14 3 10 2 2" xfId="54558" xr:uid="{B32DF79C-9D8E-4E73-AB1E-C96CE6B2200D}"/>
    <cellStyle name="Comma 14 3 10 3" xfId="39438" xr:uid="{2C46C444-735C-46DD-96ED-245C3927A35E}"/>
    <cellStyle name="Comma 14 3 11" xfId="15246" xr:uid="{95CDAD69-4AB1-41C0-AB0D-237104480191}"/>
    <cellStyle name="Comma 14 3 11 2" xfId="45486" xr:uid="{C627C863-67F9-472D-87AC-90F3E604B07F}"/>
    <cellStyle name="Comma 14 3 12" xfId="30366" xr:uid="{6984BE7E-4E97-4D44-B345-D2C2830E8AD3}"/>
    <cellStyle name="Comma 14 3 2" xfId="378" xr:uid="{D3406945-F6C5-4B60-8657-38E458146FD6}"/>
    <cellStyle name="Comma 14 3 2 10" xfId="30618" xr:uid="{E821B965-1325-4E78-8EDD-F973A9D8554B}"/>
    <cellStyle name="Comma 14 3 2 2" xfId="1134" xr:uid="{6E89C9A2-30B4-4502-B3B0-71B12CD62CE5}"/>
    <cellStyle name="Comma 14 3 2 2 2" xfId="2646" xr:uid="{138A6034-E7C2-4BB1-8C3F-8462BAA8CD47}"/>
    <cellStyle name="Comma 14 3 2 2 2 2" xfId="11718" xr:uid="{17923123-EDE8-4802-83D1-75CAA1BCB14B}"/>
    <cellStyle name="Comma 14 3 2 2 2 2 2" xfId="26838" xr:uid="{ACBDB970-F7CA-4816-ABF6-BD9693415A21}"/>
    <cellStyle name="Comma 14 3 2 2 2 2 2 2" xfId="57078" xr:uid="{5E0D3AA6-BB3E-4F7C-8986-97B9D97C2103}"/>
    <cellStyle name="Comma 14 3 2 2 2 2 3" xfId="41958" xr:uid="{DF9F2182-1E88-431A-8D6D-1FE11E034E25}"/>
    <cellStyle name="Comma 14 3 2 2 2 3" xfId="17766" xr:uid="{08661F2D-30B1-4682-AD2B-47362C45FC00}"/>
    <cellStyle name="Comma 14 3 2 2 2 3 2" xfId="48006" xr:uid="{FC66FAEE-0058-46B5-B8D8-D413B3807D6E}"/>
    <cellStyle name="Comma 14 3 2 2 2 4" xfId="32886" xr:uid="{F2C89CE9-88DE-4B6D-B779-DBA26D95A5DC}"/>
    <cellStyle name="Comma 14 3 2 2 3" xfId="4158" xr:uid="{1072C961-47EB-45A9-A243-643513EE2CFE}"/>
    <cellStyle name="Comma 14 3 2 2 3 2" xfId="13230" xr:uid="{AA430C59-63A8-496E-B699-34BB220FF9D0}"/>
    <cellStyle name="Comma 14 3 2 2 3 2 2" xfId="28350" xr:uid="{46EB354C-270D-48CE-A3E9-060D896BCD16}"/>
    <cellStyle name="Comma 14 3 2 2 3 2 2 2" xfId="58590" xr:uid="{A8FF84EE-741E-4C53-9ED7-D416B865CAD4}"/>
    <cellStyle name="Comma 14 3 2 2 3 2 3" xfId="43470" xr:uid="{474FDF5E-872C-4163-BFED-241B4EC59B6A}"/>
    <cellStyle name="Comma 14 3 2 2 3 3" xfId="19278" xr:uid="{9E5CC073-00A2-4090-9851-E160BEBA5D2D}"/>
    <cellStyle name="Comma 14 3 2 2 3 3 2" xfId="49518" xr:uid="{5F7206F3-1B96-40A1-9B81-251CF86094E0}"/>
    <cellStyle name="Comma 14 3 2 2 3 4" xfId="34398" xr:uid="{966877BB-B6A1-4E0B-B2C2-30379C87CE9E}"/>
    <cellStyle name="Comma 14 3 2 2 4" xfId="5670" xr:uid="{D0AD0175-915C-453D-8385-5BB85207C0E2}"/>
    <cellStyle name="Comma 14 3 2 2 4 2" xfId="14742" xr:uid="{811D4994-0656-4EC3-BB39-20A9A9B3ABCC}"/>
    <cellStyle name="Comma 14 3 2 2 4 2 2" xfId="29862" xr:uid="{B2BDD8A3-1A78-4640-B56C-6BA411F8E75A}"/>
    <cellStyle name="Comma 14 3 2 2 4 2 2 2" xfId="60102" xr:uid="{F55278BB-8242-4BE8-A95E-02A4D126616A}"/>
    <cellStyle name="Comma 14 3 2 2 4 2 3" xfId="44982" xr:uid="{15AEE2A1-CA17-4750-8F94-60839822D6F7}"/>
    <cellStyle name="Comma 14 3 2 2 4 3" xfId="20790" xr:uid="{823A930B-DC09-49C9-A6D9-753373B2A61C}"/>
    <cellStyle name="Comma 14 3 2 2 4 3 2" xfId="51030" xr:uid="{8DCE91E3-D871-4AB3-AC24-E8E4D28AC607}"/>
    <cellStyle name="Comma 14 3 2 2 4 4" xfId="35910" xr:uid="{AA9D4365-4CEC-4A63-8471-F92F6A10BD37}"/>
    <cellStyle name="Comma 14 3 2 2 5" xfId="7182" xr:uid="{DCCBA5A5-A81D-46CA-AA9C-5B4670AE6D2B}"/>
    <cellStyle name="Comma 14 3 2 2 5 2" xfId="22302" xr:uid="{A8800E48-3A11-4FFC-A44E-3087EBED57E7}"/>
    <cellStyle name="Comma 14 3 2 2 5 2 2" xfId="52542" xr:uid="{1A0D71CD-36B4-48E0-8E8C-3C8B2D3929C5}"/>
    <cellStyle name="Comma 14 3 2 2 5 3" xfId="37422" xr:uid="{6C575164-CB70-43E9-81A0-E08F19047FE6}"/>
    <cellStyle name="Comma 14 3 2 2 6" xfId="8694" xr:uid="{E25C7514-F8E6-4F40-A0FD-C28719EDB4ED}"/>
    <cellStyle name="Comma 14 3 2 2 6 2" xfId="23814" xr:uid="{3475854D-6012-4C28-8581-511CED4393CD}"/>
    <cellStyle name="Comma 14 3 2 2 6 2 2" xfId="54054" xr:uid="{B69E36C1-E4B8-4969-A023-1E431DFA92EF}"/>
    <cellStyle name="Comma 14 3 2 2 6 3" xfId="38934" xr:uid="{6B19E93A-8132-4082-AC99-D2D7BDD54889}"/>
    <cellStyle name="Comma 14 3 2 2 7" xfId="10206" xr:uid="{2F6763CC-12D2-49E8-ADAA-5D044A2911CA}"/>
    <cellStyle name="Comma 14 3 2 2 7 2" xfId="25326" xr:uid="{F209903B-F866-41D4-B44C-E0091035832E}"/>
    <cellStyle name="Comma 14 3 2 2 7 2 2" xfId="55566" xr:uid="{F8B9CB1F-06BD-4160-81FF-9EAC42A88FF8}"/>
    <cellStyle name="Comma 14 3 2 2 7 3" xfId="40446" xr:uid="{AA204A82-77EC-49E3-AF88-B607616E5ADD}"/>
    <cellStyle name="Comma 14 3 2 2 8" xfId="16254" xr:uid="{BDD69B76-B699-49DA-97CC-628FAD2E565E}"/>
    <cellStyle name="Comma 14 3 2 2 8 2" xfId="46494" xr:uid="{0F9B8992-C05C-4016-83C5-A2AA40028AD1}"/>
    <cellStyle name="Comma 14 3 2 2 9" xfId="31374" xr:uid="{C72C6ED8-F8E7-4ADF-A8EA-387201C73200}"/>
    <cellStyle name="Comma 14 3 2 3" xfId="1890" xr:uid="{CA9F09AC-F552-413B-A70F-DFE6E53B8617}"/>
    <cellStyle name="Comma 14 3 2 3 2" xfId="10962" xr:uid="{423809A0-123E-42FB-9CE3-D438F95CB661}"/>
    <cellStyle name="Comma 14 3 2 3 2 2" xfId="26082" xr:uid="{9B789075-5D92-4C8C-ABE3-68CFCC297A10}"/>
    <cellStyle name="Comma 14 3 2 3 2 2 2" xfId="56322" xr:uid="{53FD1CB0-03A5-4EF9-ACAD-1D48D60839F7}"/>
    <cellStyle name="Comma 14 3 2 3 2 3" xfId="41202" xr:uid="{4542922A-4B21-42F1-AAC9-0610FFF0D6B1}"/>
    <cellStyle name="Comma 14 3 2 3 3" xfId="17010" xr:uid="{973CB013-00FE-4CC6-A120-B6CC151F0FED}"/>
    <cellStyle name="Comma 14 3 2 3 3 2" xfId="47250" xr:uid="{821EEF3D-CB3F-45B8-97C5-80B35C5DD63D}"/>
    <cellStyle name="Comma 14 3 2 3 4" xfId="32130" xr:uid="{65187730-CD8A-4B97-866A-46A574A3F933}"/>
    <cellStyle name="Comma 14 3 2 4" xfId="3402" xr:uid="{64E677EF-6139-48E5-B415-AF88BB3A8ADB}"/>
    <cellStyle name="Comma 14 3 2 4 2" xfId="12474" xr:uid="{A295A757-0A91-46A0-B954-E724C7211A93}"/>
    <cellStyle name="Comma 14 3 2 4 2 2" xfId="27594" xr:uid="{FEDE0138-4116-4B70-A4D2-CAE6F37217D0}"/>
    <cellStyle name="Comma 14 3 2 4 2 2 2" xfId="57834" xr:uid="{7FE0E6DD-12C5-42BA-A1F7-C48835395A01}"/>
    <cellStyle name="Comma 14 3 2 4 2 3" xfId="42714" xr:uid="{100798EE-61DD-4459-85EF-4D2DA601C475}"/>
    <cellStyle name="Comma 14 3 2 4 3" xfId="18522" xr:uid="{4F6A8AFC-A49E-4E06-B2CD-9B32C4C985A5}"/>
    <cellStyle name="Comma 14 3 2 4 3 2" xfId="48762" xr:uid="{D4B9BC57-7268-4AF8-B223-D2E05DAE69CE}"/>
    <cellStyle name="Comma 14 3 2 4 4" xfId="33642" xr:uid="{AA2C5CF2-5DA6-4502-8F95-F25C6B3F5050}"/>
    <cellStyle name="Comma 14 3 2 5" xfId="4914" xr:uid="{AA6A0508-E83A-4A98-B76C-7E2A2961DE47}"/>
    <cellStyle name="Comma 14 3 2 5 2" xfId="13986" xr:uid="{924B53D2-8635-476B-8E5B-3413078309D5}"/>
    <cellStyle name="Comma 14 3 2 5 2 2" xfId="29106" xr:uid="{9641F1D0-7C73-4012-AC0E-914D2BEE6D38}"/>
    <cellStyle name="Comma 14 3 2 5 2 2 2" xfId="59346" xr:uid="{EDEA3002-9A9A-4E08-BAF7-4D196EDBFD82}"/>
    <cellStyle name="Comma 14 3 2 5 2 3" xfId="44226" xr:uid="{FB4E0F85-2F02-4384-A9DA-A33344B2AC45}"/>
    <cellStyle name="Comma 14 3 2 5 3" xfId="20034" xr:uid="{2B47AACA-069D-44EF-8929-E9EEB9881B0F}"/>
    <cellStyle name="Comma 14 3 2 5 3 2" xfId="50274" xr:uid="{0412CC2D-09B5-4BF4-8C9D-5164C6CD87A0}"/>
    <cellStyle name="Comma 14 3 2 5 4" xfId="35154" xr:uid="{70EF514F-602E-49BC-BFEB-984488A36364}"/>
    <cellStyle name="Comma 14 3 2 6" xfId="6426" xr:uid="{0364F223-F8B9-49ED-A319-91DDDD7925F0}"/>
    <cellStyle name="Comma 14 3 2 6 2" xfId="21546" xr:uid="{78EB0504-16A1-43FC-A4DB-D3F1AD392B01}"/>
    <cellStyle name="Comma 14 3 2 6 2 2" xfId="51786" xr:uid="{94E08130-4702-471B-A3FC-0CBA216C08E9}"/>
    <cellStyle name="Comma 14 3 2 6 3" xfId="36666" xr:uid="{D43FBD5D-6D20-440F-AF70-6113F1B2F7B6}"/>
    <cellStyle name="Comma 14 3 2 7" xfId="7938" xr:uid="{44625DA6-5081-482B-A368-6F4229C25E57}"/>
    <cellStyle name="Comma 14 3 2 7 2" xfId="23058" xr:uid="{E7C26656-B144-4CC7-A422-5D9DD0EA0845}"/>
    <cellStyle name="Comma 14 3 2 7 2 2" xfId="53298" xr:uid="{72B95D49-70F4-4379-98D4-D8CF78B8F0DC}"/>
    <cellStyle name="Comma 14 3 2 7 3" xfId="38178" xr:uid="{944ACC2D-D989-4E72-9A0E-52285E414595}"/>
    <cellStyle name="Comma 14 3 2 8" xfId="9450" xr:uid="{7B354790-2002-4EAF-952E-182E8F3E5CBD}"/>
    <cellStyle name="Comma 14 3 2 8 2" xfId="24570" xr:uid="{997A2EF5-FA6B-4248-8F09-848DDB5B4F0C}"/>
    <cellStyle name="Comma 14 3 2 8 2 2" xfId="54810" xr:uid="{9A00C75E-5806-4373-A8CD-25ABD631332B}"/>
    <cellStyle name="Comma 14 3 2 8 3" xfId="39690" xr:uid="{5FE378F7-1CC4-4770-A461-1ADF437E6F4F}"/>
    <cellStyle name="Comma 14 3 2 9" xfId="15498" xr:uid="{89FF026B-8574-4D46-B373-57F1099C19E2}"/>
    <cellStyle name="Comma 14 3 2 9 2" xfId="45738" xr:uid="{4D79AC46-F750-4B69-B4A2-DF0F1419315A}"/>
    <cellStyle name="Comma 14 3 3" xfId="630" xr:uid="{7F16E7F7-805F-4314-A510-4B784FB3C3FC}"/>
    <cellStyle name="Comma 14 3 3 10" xfId="30870" xr:uid="{499A5A2D-497C-473B-B978-8824829416DE}"/>
    <cellStyle name="Comma 14 3 3 2" xfId="1386" xr:uid="{88DCAEAB-8229-4B49-A103-1D5CA4655C2F}"/>
    <cellStyle name="Comma 14 3 3 2 2" xfId="2898" xr:uid="{6D732452-52FB-4096-A355-767597BFC275}"/>
    <cellStyle name="Comma 14 3 3 2 2 2" xfId="11970" xr:uid="{B5F796EC-CA15-49BE-998B-938E8B53A43E}"/>
    <cellStyle name="Comma 14 3 3 2 2 2 2" xfId="27090" xr:uid="{B1B1FB1F-B07F-4A91-B0CE-22B5FC5798B7}"/>
    <cellStyle name="Comma 14 3 3 2 2 2 2 2" xfId="57330" xr:uid="{8DC74EC3-3737-4B00-9207-1FB8B73D5CCB}"/>
    <cellStyle name="Comma 14 3 3 2 2 2 3" xfId="42210" xr:uid="{4B05B352-68B9-4EB4-AA8B-F1AF6DF9AF30}"/>
    <cellStyle name="Comma 14 3 3 2 2 3" xfId="18018" xr:uid="{BD040F8E-DE25-40D7-8007-697EA5EC6DD9}"/>
    <cellStyle name="Comma 14 3 3 2 2 3 2" xfId="48258" xr:uid="{B9CE1F4E-752D-4237-B458-78AC26960FCB}"/>
    <cellStyle name="Comma 14 3 3 2 2 4" xfId="33138" xr:uid="{51D7236E-EF37-4702-965D-2E6B6BEB6456}"/>
    <cellStyle name="Comma 14 3 3 2 3" xfId="4410" xr:uid="{B45D0529-3771-45E1-B03E-8DB65BE25A59}"/>
    <cellStyle name="Comma 14 3 3 2 3 2" xfId="13482" xr:uid="{C5129BD9-A73C-4AD5-B1DD-6067E1DB5870}"/>
    <cellStyle name="Comma 14 3 3 2 3 2 2" xfId="28602" xr:uid="{E4A183F6-286F-4B15-8484-2F12181D9A3F}"/>
    <cellStyle name="Comma 14 3 3 2 3 2 2 2" xfId="58842" xr:uid="{83F71E93-E5D7-4A11-A7A9-1F8364968729}"/>
    <cellStyle name="Comma 14 3 3 2 3 2 3" xfId="43722" xr:uid="{3DF38E40-0E73-407A-8199-04D088E4B738}"/>
    <cellStyle name="Comma 14 3 3 2 3 3" xfId="19530" xr:uid="{82945693-6E92-4F27-94C5-84FF2996847C}"/>
    <cellStyle name="Comma 14 3 3 2 3 3 2" xfId="49770" xr:uid="{69DF1A13-5E71-4F13-9125-5EFA993C51B8}"/>
    <cellStyle name="Comma 14 3 3 2 3 4" xfId="34650" xr:uid="{B8053A2D-3423-4E16-9EF9-6B31BF698E77}"/>
    <cellStyle name="Comma 14 3 3 2 4" xfId="5922" xr:uid="{65974E90-A850-44D8-9200-7C8C636A5289}"/>
    <cellStyle name="Comma 14 3 3 2 4 2" xfId="14994" xr:uid="{A42642DB-BAC0-4BEE-9F31-7B83E0EBAF45}"/>
    <cellStyle name="Comma 14 3 3 2 4 2 2" xfId="30114" xr:uid="{9AC2F7F3-4E07-44CD-9745-BB18260186B7}"/>
    <cellStyle name="Comma 14 3 3 2 4 2 2 2" xfId="60354" xr:uid="{2BDB0C47-5468-45D6-A02E-0A046BD23AA8}"/>
    <cellStyle name="Comma 14 3 3 2 4 2 3" xfId="45234" xr:uid="{B7D6C762-A407-49E2-AD50-696727665F54}"/>
    <cellStyle name="Comma 14 3 3 2 4 3" xfId="21042" xr:uid="{CD8E88A4-201F-4EF5-98D8-9A0A90AB5588}"/>
    <cellStyle name="Comma 14 3 3 2 4 3 2" xfId="51282" xr:uid="{250C65A1-0830-4C96-9F9E-EFDABA315B4F}"/>
    <cellStyle name="Comma 14 3 3 2 4 4" xfId="36162" xr:uid="{1E36FB16-9A7D-4F0F-9AFB-657EABD4C690}"/>
    <cellStyle name="Comma 14 3 3 2 5" xfId="7434" xr:uid="{759CB343-38E3-43AE-8A2E-D5AC6E2EEA6C}"/>
    <cellStyle name="Comma 14 3 3 2 5 2" xfId="22554" xr:uid="{48778853-79F5-4BD3-BE35-BEA42166EE85}"/>
    <cellStyle name="Comma 14 3 3 2 5 2 2" xfId="52794" xr:uid="{53A5243E-E6F4-464E-A4B4-24274DD7A0DD}"/>
    <cellStyle name="Comma 14 3 3 2 5 3" xfId="37674" xr:uid="{A2CA9993-9F1D-4001-8531-03D206A089AE}"/>
    <cellStyle name="Comma 14 3 3 2 6" xfId="8946" xr:uid="{2DC8A85E-DC37-49AD-914B-782D86E2E3A2}"/>
    <cellStyle name="Comma 14 3 3 2 6 2" xfId="24066" xr:uid="{011E6BF2-3D01-4002-ACB3-A0D4284FEDFF}"/>
    <cellStyle name="Comma 14 3 3 2 6 2 2" xfId="54306" xr:uid="{D0869A68-8DB2-4B52-9082-C3C19AF9DE34}"/>
    <cellStyle name="Comma 14 3 3 2 6 3" xfId="39186" xr:uid="{CAC87285-93FF-4BBC-A050-5E74E72DB3D4}"/>
    <cellStyle name="Comma 14 3 3 2 7" xfId="10458" xr:uid="{782315C6-2EE4-4693-86C6-0D36AD14A225}"/>
    <cellStyle name="Comma 14 3 3 2 7 2" xfId="25578" xr:uid="{FF5F2CED-F1C8-4F64-A80B-724958A8921B}"/>
    <cellStyle name="Comma 14 3 3 2 7 2 2" xfId="55818" xr:uid="{C1FEDC67-EDA3-470C-866D-CA851AFB58EF}"/>
    <cellStyle name="Comma 14 3 3 2 7 3" xfId="40698" xr:uid="{CB0250F3-92E9-45D5-A161-140822A31249}"/>
    <cellStyle name="Comma 14 3 3 2 8" xfId="16506" xr:uid="{FC123D1E-B3D2-4A56-932A-3EC52374BD59}"/>
    <cellStyle name="Comma 14 3 3 2 8 2" xfId="46746" xr:uid="{C5AB04E2-8640-42EC-B23F-11B116D262A6}"/>
    <cellStyle name="Comma 14 3 3 2 9" xfId="31626" xr:uid="{D322A36B-072B-4883-80FA-42ED6C242041}"/>
    <cellStyle name="Comma 14 3 3 3" xfId="2142" xr:uid="{3A4CF1D5-E271-4624-9D3A-04116D3D11DA}"/>
    <cellStyle name="Comma 14 3 3 3 2" xfId="11214" xr:uid="{30756968-8CFD-4CCE-B9CE-39699E4B6F9B}"/>
    <cellStyle name="Comma 14 3 3 3 2 2" xfId="26334" xr:uid="{E7B543AC-99C4-4147-ADC3-AB4D6FC0CFF0}"/>
    <cellStyle name="Comma 14 3 3 3 2 2 2" xfId="56574" xr:uid="{C7A516F5-BBE2-4912-A175-44FDDA023138}"/>
    <cellStyle name="Comma 14 3 3 3 2 3" xfId="41454" xr:uid="{A9E7024B-6F7A-4A8A-8E56-C17AC480111A}"/>
    <cellStyle name="Comma 14 3 3 3 3" xfId="17262" xr:uid="{649A2FDF-A4BC-4B99-AFD3-AA8566B83673}"/>
    <cellStyle name="Comma 14 3 3 3 3 2" xfId="47502" xr:uid="{A217DEA2-09F9-484A-8A77-10C3F90F306D}"/>
    <cellStyle name="Comma 14 3 3 3 4" xfId="32382" xr:uid="{6B20E35A-A73D-4EA4-AD62-9FB0EE2D55D4}"/>
    <cellStyle name="Comma 14 3 3 4" xfId="3654" xr:uid="{45747C33-4D20-430A-8D6C-5DB9C642A9BD}"/>
    <cellStyle name="Comma 14 3 3 4 2" xfId="12726" xr:uid="{13D40D78-0DDF-476D-A002-124AE9E6C201}"/>
    <cellStyle name="Comma 14 3 3 4 2 2" xfId="27846" xr:uid="{528015AD-4207-45CD-AE49-B63689607347}"/>
    <cellStyle name="Comma 14 3 3 4 2 2 2" xfId="58086" xr:uid="{E7317B2B-13B1-4615-8CEA-8D94EF221B37}"/>
    <cellStyle name="Comma 14 3 3 4 2 3" xfId="42966" xr:uid="{43CC5D6F-E1F9-42B4-BF9A-8C89C5E041E8}"/>
    <cellStyle name="Comma 14 3 3 4 3" xfId="18774" xr:uid="{9C79A846-E457-4E4B-92A1-0E41411356AE}"/>
    <cellStyle name="Comma 14 3 3 4 3 2" xfId="49014" xr:uid="{811C5032-8CB7-49C8-B4C1-4174B5B4C217}"/>
    <cellStyle name="Comma 14 3 3 4 4" xfId="33894" xr:uid="{8C4CFB8C-06A4-4D8D-8C23-1C337E3CF3DF}"/>
    <cellStyle name="Comma 14 3 3 5" xfId="5166" xr:uid="{1CD1AE2E-8E36-4644-B5B6-5E81F5244BC8}"/>
    <cellStyle name="Comma 14 3 3 5 2" xfId="14238" xr:uid="{B886C790-DFF3-488A-8CBE-A7622131CCC4}"/>
    <cellStyle name="Comma 14 3 3 5 2 2" xfId="29358" xr:uid="{D5A28C76-09A7-4CA3-92D0-54EFDEC68F66}"/>
    <cellStyle name="Comma 14 3 3 5 2 2 2" xfId="59598" xr:uid="{FAFEAD8B-722D-44B3-B4BE-626D156E94F9}"/>
    <cellStyle name="Comma 14 3 3 5 2 3" xfId="44478" xr:uid="{015B799A-3933-4E6E-A57A-A378912677D5}"/>
    <cellStyle name="Comma 14 3 3 5 3" xfId="20286" xr:uid="{009A0705-D401-41A0-A0AD-AD19859F89F1}"/>
    <cellStyle name="Comma 14 3 3 5 3 2" xfId="50526" xr:uid="{B27AF9F8-ABBD-43B7-BA26-1035DABE7D79}"/>
    <cellStyle name="Comma 14 3 3 5 4" xfId="35406" xr:uid="{85E407A9-D1EC-4B29-900E-07434EC1BD77}"/>
    <cellStyle name="Comma 14 3 3 6" xfId="6678" xr:uid="{F27959CF-1FFB-4FD0-AD76-85F6646F128D}"/>
    <cellStyle name="Comma 14 3 3 6 2" xfId="21798" xr:uid="{CFB95720-6F5D-4F3D-AD79-DB22CD979F85}"/>
    <cellStyle name="Comma 14 3 3 6 2 2" xfId="52038" xr:uid="{51D6149F-2251-4A04-80DA-6D8392607413}"/>
    <cellStyle name="Comma 14 3 3 6 3" xfId="36918" xr:uid="{E8F5699D-39C3-4B6C-A59C-6A0BD7AA2C37}"/>
    <cellStyle name="Comma 14 3 3 7" xfId="8190" xr:uid="{4EC29071-4A94-415E-B9F9-6329A8B3CA08}"/>
    <cellStyle name="Comma 14 3 3 7 2" xfId="23310" xr:uid="{555B7C1A-EB47-4051-9BB3-15351C0159A2}"/>
    <cellStyle name="Comma 14 3 3 7 2 2" xfId="53550" xr:uid="{A8836B80-4C6D-40AE-9B01-672D93A54959}"/>
    <cellStyle name="Comma 14 3 3 7 3" xfId="38430" xr:uid="{EE899C82-712C-4A12-9D9A-DA25FD840A6C}"/>
    <cellStyle name="Comma 14 3 3 8" xfId="9702" xr:uid="{85B4DB6B-AAE5-44D3-89F2-488ADA5B2769}"/>
    <cellStyle name="Comma 14 3 3 8 2" xfId="24822" xr:uid="{B29839FD-44F2-4A34-843F-5E546561968B}"/>
    <cellStyle name="Comma 14 3 3 8 2 2" xfId="55062" xr:uid="{300B559F-0B21-4BCF-B723-DF213AD8F3C7}"/>
    <cellStyle name="Comma 14 3 3 8 3" xfId="39942" xr:uid="{EDA7DBEB-E515-494D-90A4-0522BD0A5F83}"/>
    <cellStyle name="Comma 14 3 3 9" xfId="15750" xr:uid="{5327D3FC-CE08-41DD-8293-F1B434EBEDEA}"/>
    <cellStyle name="Comma 14 3 3 9 2" xfId="45990" xr:uid="{0E2C855C-AC82-4348-93E9-A8A8FFD56B11}"/>
    <cellStyle name="Comma 14 3 4" xfId="882" xr:uid="{2DA24A36-74C2-4C06-A4D6-5D609FA2AC2E}"/>
    <cellStyle name="Comma 14 3 4 2" xfId="2394" xr:uid="{80B5363A-4803-418E-97DC-10D5B8D11ECB}"/>
    <cellStyle name="Comma 14 3 4 2 2" xfId="11466" xr:uid="{98678BBE-83A2-4711-BAB9-1FB91350BCC8}"/>
    <cellStyle name="Comma 14 3 4 2 2 2" xfId="26586" xr:uid="{53C23264-B856-41BE-9DFF-8EA1DD93BE2D}"/>
    <cellStyle name="Comma 14 3 4 2 2 2 2" xfId="56826" xr:uid="{E1DFC172-315B-402E-8CF5-5923EE3F3B0D}"/>
    <cellStyle name="Comma 14 3 4 2 2 3" xfId="41706" xr:uid="{3E8950D3-B7C1-4BEF-AF59-7B08D687A1B9}"/>
    <cellStyle name="Comma 14 3 4 2 3" xfId="17514" xr:uid="{2D63F435-D22F-40A4-B824-D10BB12E7A76}"/>
    <cellStyle name="Comma 14 3 4 2 3 2" xfId="47754" xr:uid="{57542FF6-E247-4E18-9948-A05C94EE1247}"/>
    <cellStyle name="Comma 14 3 4 2 4" xfId="32634" xr:uid="{96F3F67A-74A2-4319-B9BD-996DA7B4FA2A}"/>
    <cellStyle name="Comma 14 3 4 3" xfId="3906" xr:uid="{3A1B8E8A-FF54-4888-88F7-724329DC34A3}"/>
    <cellStyle name="Comma 14 3 4 3 2" xfId="12978" xr:uid="{167EAA3C-8BE9-432E-A7F9-6AB71539541D}"/>
    <cellStyle name="Comma 14 3 4 3 2 2" xfId="28098" xr:uid="{AFF5CF25-40FF-4318-BA53-6B25EF2D1259}"/>
    <cellStyle name="Comma 14 3 4 3 2 2 2" xfId="58338" xr:uid="{00A85DE3-2757-498F-AA97-D3245C7ACC39}"/>
    <cellStyle name="Comma 14 3 4 3 2 3" xfId="43218" xr:uid="{55F7DF29-7BC4-446B-92B8-8B4C0ED71AC4}"/>
    <cellStyle name="Comma 14 3 4 3 3" xfId="19026" xr:uid="{47C0733F-3E07-4C43-BC3E-565457C7F406}"/>
    <cellStyle name="Comma 14 3 4 3 3 2" xfId="49266" xr:uid="{9F1A0334-4014-41D6-A941-F3D1352FB1A9}"/>
    <cellStyle name="Comma 14 3 4 3 4" xfId="34146" xr:uid="{3DB648AC-F511-4B76-ACB0-1E5141D57924}"/>
    <cellStyle name="Comma 14 3 4 4" xfId="5418" xr:uid="{B22F2645-4B03-46B4-89F2-A0F50D3C028E}"/>
    <cellStyle name="Comma 14 3 4 4 2" xfId="14490" xr:uid="{8DCBB4B6-7623-415D-B0B9-117026BA03E9}"/>
    <cellStyle name="Comma 14 3 4 4 2 2" xfId="29610" xr:uid="{18E81442-0979-4BA7-9EC6-71848B19974A}"/>
    <cellStyle name="Comma 14 3 4 4 2 2 2" xfId="59850" xr:uid="{F08F44FE-71C4-4109-A283-0E4D627D26CA}"/>
    <cellStyle name="Comma 14 3 4 4 2 3" xfId="44730" xr:uid="{B93FEAEB-8A94-4C5C-A6CC-90E5DA1C1C13}"/>
    <cellStyle name="Comma 14 3 4 4 3" xfId="20538" xr:uid="{6C324E7E-5595-41D9-853E-3469943E3EF3}"/>
    <cellStyle name="Comma 14 3 4 4 3 2" xfId="50778" xr:uid="{A00D4B53-2B8E-415F-A02C-CC30411BEB52}"/>
    <cellStyle name="Comma 14 3 4 4 4" xfId="35658" xr:uid="{0BEFCED4-9D20-4448-AD36-F378217A5489}"/>
    <cellStyle name="Comma 14 3 4 5" xfId="6930" xr:uid="{38B752CE-81B6-4235-B66E-5D573013949F}"/>
    <cellStyle name="Comma 14 3 4 5 2" xfId="22050" xr:uid="{863668F1-A638-4BA8-B983-75A6077AC63E}"/>
    <cellStyle name="Comma 14 3 4 5 2 2" xfId="52290" xr:uid="{65BD808B-3464-4BFF-9378-CFE33110B7AC}"/>
    <cellStyle name="Comma 14 3 4 5 3" xfId="37170" xr:uid="{0396B5C6-647B-4099-9B95-900232A903BA}"/>
    <cellStyle name="Comma 14 3 4 6" xfId="8442" xr:uid="{AD4BEE5B-DA4B-4BF0-82CC-47427FF9901F}"/>
    <cellStyle name="Comma 14 3 4 6 2" xfId="23562" xr:uid="{8D5A5097-1403-49A0-827D-01B850DA47ED}"/>
    <cellStyle name="Comma 14 3 4 6 2 2" xfId="53802" xr:uid="{A91B142A-7481-45A1-AAB5-E5B450F5C11F}"/>
    <cellStyle name="Comma 14 3 4 6 3" xfId="38682" xr:uid="{8631B45E-04E6-49DE-8ADE-78022A555737}"/>
    <cellStyle name="Comma 14 3 4 7" xfId="9954" xr:uid="{8B4C36B7-1313-409D-A0D3-AA1E05F6B66F}"/>
    <cellStyle name="Comma 14 3 4 7 2" xfId="25074" xr:uid="{5D8A0975-24D5-4376-9CFF-5B39E0BC2315}"/>
    <cellStyle name="Comma 14 3 4 7 2 2" xfId="55314" xr:uid="{BEE8AE5F-BF6B-4F1F-9609-B7639A3D1F4F}"/>
    <cellStyle name="Comma 14 3 4 7 3" xfId="40194" xr:uid="{34137F62-B369-4851-B657-B29C7ECA18A3}"/>
    <cellStyle name="Comma 14 3 4 8" xfId="16002" xr:uid="{907A4233-BD23-4965-A965-5C6DCC2973E3}"/>
    <cellStyle name="Comma 14 3 4 8 2" xfId="46242" xr:uid="{56E48E83-11F7-4BB6-9460-61A0042DBB62}"/>
    <cellStyle name="Comma 14 3 4 9" xfId="31122" xr:uid="{768BA4BE-45F2-4D03-807A-E4637EC82720}"/>
    <cellStyle name="Comma 14 3 5" xfId="1638" xr:uid="{13C3B5C8-9F0F-476E-B769-168BCF3D6CB2}"/>
    <cellStyle name="Comma 14 3 5 2" xfId="10710" xr:uid="{F8D43B84-6B16-4858-A80D-07065C827F94}"/>
    <cellStyle name="Comma 14 3 5 2 2" xfId="25830" xr:uid="{6B987186-6874-44C4-B33D-B411BD87AB38}"/>
    <cellStyle name="Comma 14 3 5 2 2 2" xfId="56070" xr:uid="{DA0D3773-FA0A-4119-BEE6-9776F3F3AF52}"/>
    <cellStyle name="Comma 14 3 5 2 3" xfId="40950" xr:uid="{ABB74BC7-AE2C-43EE-9502-B7B5A9258F8C}"/>
    <cellStyle name="Comma 14 3 5 3" xfId="16758" xr:uid="{C7F6A809-199C-4F8D-895F-F117B5A8A837}"/>
    <cellStyle name="Comma 14 3 5 3 2" xfId="46998" xr:uid="{31170FEC-066E-4682-B487-268A86010C33}"/>
    <cellStyle name="Comma 14 3 5 4" xfId="31878" xr:uid="{B5DB5839-3232-4A0C-8E93-6A07747FBCCB}"/>
    <cellStyle name="Comma 14 3 6" xfId="3150" xr:uid="{B6ADFD67-6709-4507-9687-4429E18E81D4}"/>
    <cellStyle name="Comma 14 3 6 2" xfId="12222" xr:uid="{73F07A56-0F95-47BE-80FA-439591436F36}"/>
    <cellStyle name="Comma 14 3 6 2 2" xfId="27342" xr:uid="{9293BFFA-9E83-48B9-A049-EF7962F36869}"/>
    <cellStyle name="Comma 14 3 6 2 2 2" xfId="57582" xr:uid="{253B60B5-FF10-467A-A795-B27765BC12FF}"/>
    <cellStyle name="Comma 14 3 6 2 3" xfId="42462" xr:uid="{FEA1F6A5-B58D-4D97-9BED-C4B35D011268}"/>
    <cellStyle name="Comma 14 3 6 3" xfId="18270" xr:uid="{9C713111-9E98-4376-A387-53EAC3FD9625}"/>
    <cellStyle name="Comma 14 3 6 3 2" xfId="48510" xr:uid="{99BFC4C7-F9CB-4FB6-8B9F-41702D7F5104}"/>
    <cellStyle name="Comma 14 3 6 4" xfId="33390" xr:uid="{5EB61E86-3158-432A-A1D4-6773F9BF8729}"/>
    <cellStyle name="Comma 14 3 7" xfId="4662" xr:uid="{DE639227-BDF9-42A9-A38A-0815DEDF780E}"/>
    <cellStyle name="Comma 14 3 7 2" xfId="13734" xr:uid="{255F965E-9F63-4A0E-8574-FED477CCFD7B}"/>
    <cellStyle name="Comma 14 3 7 2 2" xfId="28854" xr:uid="{0D7FDCDA-714A-4EA0-A27B-06BE7DCDE416}"/>
    <cellStyle name="Comma 14 3 7 2 2 2" xfId="59094" xr:uid="{04B15B62-0D04-4BBD-BB0C-37447D72C820}"/>
    <cellStyle name="Comma 14 3 7 2 3" xfId="43974" xr:uid="{FE4ED720-82D6-40F1-93A1-3A80147F6455}"/>
    <cellStyle name="Comma 14 3 7 3" xfId="19782" xr:uid="{D2BC570D-961F-448E-8698-16369BBC01D0}"/>
    <cellStyle name="Comma 14 3 7 3 2" xfId="50022" xr:uid="{1A0C0C33-FD83-482F-96B2-EBD28EE550E4}"/>
    <cellStyle name="Comma 14 3 7 4" xfId="34902" xr:uid="{3FF9F922-6374-4131-9FB9-11A715794721}"/>
    <cellStyle name="Comma 14 3 8" xfId="6174" xr:uid="{BDC75712-D95A-45B8-ACA4-1EC6F59678FB}"/>
    <cellStyle name="Comma 14 3 8 2" xfId="21294" xr:uid="{6410C05D-A2D9-468F-B35F-699979E09D21}"/>
    <cellStyle name="Comma 14 3 8 2 2" xfId="51534" xr:uid="{96ADA710-DAAE-4AB4-930E-47294D56B146}"/>
    <cellStyle name="Comma 14 3 8 3" xfId="36414" xr:uid="{78D58FBC-D5B0-48A5-B751-93ECB36A3E69}"/>
    <cellStyle name="Comma 14 3 9" xfId="7686" xr:uid="{046EDBDA-97BC-4CE2-A594-DD20048D07EC}"/>
    <cellStyle name="Comma 14 3 9 2" xfId="22806" xr:uid="{67631EB2-CE69-4E4C-BE39-2355509F3805}"/>
    <cellStyle name="Comma 14 3 9 2 2" xfId="53046" xr:uid="{C7C99485-AB2D-4C5F-A831-6F8F0A709084}"/>
    <cellStyle name="Comma 14 3 9 3" xfId="37926" xr:uid="{3117BD58-D79A-4C77-96E3-162558A2C930}"/>
    <cellStyle name="Comma 14 4" xfId="210" xr:uid="{D81F503F-806E-45D3-81A5-055812A40567}"/>
    <cellStyle name="Comma 14 4 10" xfId="9282" xr:uid="{15A4BC37-A596-4B9B-BE0B-96419BFF1C99}"/>
    <cellStyle name="Comma 14 4 10 2" xfId="24402" xr:uid="{9A824B83-F6D0-494E-BBD8-9F70F62F262D}"/>
    <cellStyle name="Comma 14 4 10 2 2" xfId="54642" xr:uid="{2B2CFBB7-B670-4204-AAE7-29CF9C8311F0}"/>
    <cellStyle name="Comma 14 4 10 3" xfId="39522" xr:uid="{891BC580-4B06-438C-A1D1-36EBB61AB4D3}"/>
    <cellStyle name="Comma 14 4 11" xfId="15330" xr:uid="{8DC1EF80-90E3-44F0-A1D3-1F252DC229B8}"/>
    <cellStyle name="Comma 14 4 11 2" xfId="45570" xr:uid="{0C96F6C0-DE64-4FE1-8BEC-0AE79B4BFC30}"/>
    <cellStyle name="Comma 14 4 12" xfId="30450" xr:uid="{763B8769-FCDB-411F-9453-19BD8C5390BB}"/>
    <cellStyle name="Comma 14 4 2" xfId="462" xr:uid="{839B6563-18DB-42A2-83AA-765E42239915}"/>
    <cellStyle name="Comma 14 4 2 10" xfId="30702" xr:uid="{EB03D29E-9F13-4049-BE7B-DD40F59383BD}"/>
    <cellStyle name="Comma 14 4 2 2" xfId="1218" xr:uid="{5C3A791E-F4A5-4412-8546-83D37288A066}"/>
    <cellStyle name="Comma 14 4 2 2 2" xfId="2730" xr:uid="{00492616-DB24-41BD-819A-2F4FC1A060A0}"/>
    <cellStyle name="Comma 14 4 2 2 2 2" xfId="11802" xr:uid="{A9D28C54-A58E-47E9-AB91-18B2D0A452B4}"/>
    <cellStyle name="Comma 14 4 2 2 2 2 2" xfId="26922" xr:uid="{B5B2E7AE-DF7D-4096-9BF0-4C7D19A325B0}"/>
    <cellStyle name="Comma 14 4 2 2 2 2 2 2" xfId="57162" xr:uid="{D6CC123E-3A50-496B-A896-8E5D3612B39E}"/>
    <cellStyle name="Comma 14 4 2 2 2 2 3" xfId="42042" xr:uid="{598AFFCC-DB25-4280-A1D1-BCE25DD8B580}"/>
    <cellStyle name="Comma 14 4 2 2 2 3" xfId="17850" xr:uid="{5A9ACFE5-F212-41D2-984F-6A21739C3324}"/>
    <cellStyle name="Comma 14 4 2 2 2 3 2" xfId="48090" xr:uid="{20040A00-9F9C-48B5-BA51-2C7C098FA5AE}"/>
    <cellStyle name="Comma 14 4 2 2 2 4" xfId="32970" xr:uid="{39B4BA9A-15AC-434D-BB79-2C228E80A347}"/>
    <cellStyle name="Comma 14 4 2 2 3" xfId="4242" xr:uid="{A08DD24B-18C8-4B68-AE24-2CD4768A1DAE}"/>
    <cellStyle name="Comma 14 4 2 2 3 2" xfId="13314" xr:uid="{90340F7E-21E8-4422-B2AD-9B680919CBF5}"/>
    <cellStyle name="Comma 14 4 2 2 3 2 2" xfId="28434" xr:uid="{0DBC2561-5BF5-4793-968D-C9AE6A4F6E59}"/>
    <cellStyle name="Comma 14 4 2 2 3 2 2 2" xfId="58674" xr:uid="{D523AB3F-3C54-481C-975F-5FD72FAD39AC}"/>
    <cellStyle name="Comma 14 4 2 2 3 2 3" xfId="43554" xr:uid="{D27F029A-1448-4347-820D-1A61AF745FC2}"/>
    <cellStyle name="Comma 14 4 2 2 3 3" xfId="19362" xr:uid="{867B7984-E154-4C33-B1A4-D81A2553A39B}"/>
    <cellStyle name="Comma 14 4 2 2 3 3 2" xfId="49602" xr:uid="{2E6FCBB9-A84D-4E0B-B989-27EA50615D64}"/>
    <cellStyle name="Comma 14 4 2 2 3 4" xfId="34482" xr:uid="{94105B5D-650E-43BC-9A1E-913971E4C62D}"/>
    <cellStyle name="Comma 14 4 2 2 4" xfId="5754" xr:uid="{D98A1D31-CC6F-4444-81EC-262DEAF2C74A}"/>
    <cellStyle name="Comma 14 4 2 2 4 2" xfId="14826" xr:uid="{173F6971-F37C-41CB-A7EC-153515C573E3}"/>
    <cellStyle name="Comma 14 4 2 2 4 2 2" xfId="29946" xr:uid="{75CE6DDE-D244-4CB7-820C-B6916FBFE441}"/>
    <cellStyle name="Comma 14 4 2 2 4 2 2 2" xfId="60186" xr:uid="{3B350337-7CBB-4A91-8F63-7AA1492B701A}"/>
    <cellStyle name="Comma 14 4 2 2 4 2 3" xfId="45066" xr:uid="{24206FB7-6367-43BE-BE07-95562AD559FA}"/>
    <cellStyle name="Comma 14 4 2 2 4 3" xfId="20874" xr:uid="{C594D944-DB07-4857-A05E-6338702FD875}"/>
    <cellStyle name="Comma 14 4 2 2 4 3 2" xfId="51114" xr:uid="{5CC9E06D-B918-40D4-A9B6-FDA1693A5AF8}"/>
    <cellStyle name="Comma 14 4 2 2 4 4" xfId="35994" xr:uid="{B2C51F6F-421D-403C-9B5B-5A9C5E9451DE}"/>
    <cellStyle name="Comma 14 4 2 2 5" xfId="7266" xr:uid="{DF73F8FF-C942-4FF0-85E9-6ED9AAF05A88}"/>
    <cellStyle name="Comma 14 4 2 2 5 2" xfId="22386" xr:uid="{C4C8F1E7-ACF7-4F49-B7BE-26E558C996B1}"/>
    <cellStyle name="Comma 14 4 2 2 5 2 2" xfId="52626" xr:uid="{B8D16B94-E94B-4833-8EE1-6B8F3835FA94}"/>
    <cellStyle name="Comma 14 4 2 2 5 3" xfId="37506" xr:uid="{95B1ACB6-19F5-41B8-8B2F-2B0FC662CAE9}"/>
    <cellStyle name="Comma 14 4 2 2 6" xfId="8778" xr:uid="{1CA2186D-7C12-4F7F-A788-1EE64F484AC5}"/>
    <cellStyle name="Comma 14 4 2 2 6 2" xfId="23898" xr:uid="{8F431879-76EA-4685-89E5-C62107C6EBA5}"/>
    <cellStyle name="Comma 14 4 2 2 6 2 2" xfId="54138" xr:uid="{90B88BEA-7B59-4803-987F-B6DE3A4B9747}"/>
    <cellStyle name="Comma 14 4 2 2 6 3" xfId="39018" xr:uid="{6AE136F9-A013-4895-B3E2-752DAF85894C}"/>
    <cellStyle name="Comma 14 4 2 2 7" xfId="10290" xr:uid="{E2835025-C7C7-41EA-AD22-C7112521166C}"/>
    <cellStyle name="Comma 14 4 2 2 7 2" xfId="25410" xr:uid="{1ECC0880-8FBF-4548-919D-758AE382933F}"/>
    <cellStyle name="Comma 14 4 2 2 7 2 2" xfId="55650" xr:uid="{83076A80-DF4A-4550-9229-BF3C0713D032}"/>
    <cellStyle name="Comma 14 4 2 2 7 3" xfId="40530" xr:uid="{16023160-E7AA-4817-85CD-5A5A50CEB784}"/>
    <cellStyle name="Comma 14 4 2 2 8" xfId="16338" xr:uid="{4E1BD915-41CB-4BFD-B95C-0F2FA0E0E123}"/>
    <cellStyle name="Comma 14 4 2 2 8 2" xfId="46578" xr:uid="{961681F1-8514-47FE-A3C3-C1721365F5A6}"/>
    <cellStyle name="Comma 14 4 2 2 9" xfId="31458" xr:uid="{BF3ED04F-362F-4C15-947C-E95D5B8FCABF}"/>
    <cellStyle name="Comma 14 4 2 3" xfId="1974" xr:uid="{28357CE0-D4F2-4751-BDA9-9A7F5B82024A}"/>
    <cellStyle name="Comma 14 4 2 3 2" xfId="11046" xr:uid="{91D05554-A6A3-4ED9-8C2B-7729EC5A5897}"/>
    <cellStyle name="Comma 14 4 2 3 2 2" xfId="26166" xr:uid="{A29BD007-7E5E-4615-904D-5DED277DBEF5}"/>
    <cellStyle name="Comma 14 4 2 3 2 2 2" xfId="56406" xr:uid="{D041C201-8E00-48E5-A178-94822DF2F43D}"/>
    <cellStyle name="Comma 14 4 2 3 2 3" xfId="41286" xr:uid="{AC2E491A-2849-4E1A-A67F-318D3A9DB0ED}"/>
    <cellStyle name="Comma 14 4 2 3 3" xfId="17094" xr:uid="{2DAB2281-4E0D-4E1E-96DC-EFCEDAB042DE}"/>
    <cellStyle name="Comma 14 4 2 3 3 2" xfId="47334" xr:uid="{25251EB2-752B-4467-800E-A71F8F48E2C6}"/>
    <cellStyle name="Comma 14 4 2 3 4" xfId="32214" xr:uid="{6498B5F6-7833-4272-AEDC-5CB203D0CC12}"/>
    <cellStyle name="Comma 14 4 2 4" xfId="3486" xr:uid="{6DB5AC09-CD2D-463F-AA34-3C895C467480}"/>
    <cellStyle name="Comma 14 4 2 4 2" xfId="12558" xr:uid="{077A5C6E-23BA-413E-95AE-21BF3B8EFB40}"/>
    <cellStyle name="Comma 14 4 2 4 2 2" xfId="27678" xr:uid="{AF76C757-6DBE-4E7E-944A-FBF00C15FB76}"/>
    <cellStyle name="Comma 14 4 2 4 2 2 2" xfId="57918" xr:uid="{6103529D-1E78-46B4-AFE7-D0B668245ED0}"/>
    <cellStyle name="Comma 14 4 2 4 2 3" xfId="42798" xr:uid="{210056E6-E48D-4E0D-AF16-A6A56A9351D3}"/>
    <cellStyle name="Comma 14 4 2 4 3" xfId="18606" xr:uid="{32ECAA60-E658-4A6A-B9CD-C0AA9E9CBEFE}"/>
    <cellStyle name="Comma 14 4 2 4 3 2" xfId="48846" xr:uid="{7AB81569-255F-4F33-B195-29B5EBEDA938}"/>
    <cellStyle name="Comma 14 4 2 4 4" xfId="33726" xr:uid="{90A2FBED-2CEE-4572-B8F9-70C598984CAE}"/>
    <cellStyle name="Comma 14 4 2 5" xfId="4998" xr:uid="{046C45C0-797E-4CE6-B256-60528AA6F10C}"/>
    <cellStyle name="Comma 14 4 2 5 2" xfId="14070" xr:uid="{A4C3CF5B-C143-433B-84A2-013A3BEDCB4C}"/>
    <cellStyle name="Comma 14 4 2 5 2 2" xfId="29190" xr:uid="{C6B20ECF-C3D4-4F98-99EC-E03FD3D2EC13}"/>
    <cellStyle name="Comma 14 4 2 5 2 2 2" xfId="59430" xr:uid="{1E9F4958-5157-436E-BA5A-8BA071022240}"/>
    <cellStyle name="Comma 14 4 2 5 2 3" xfId="44310" xr:uid="{73D8FEB7-BC4A-4991-8DD8-7B5685F5C78B}"/>
    <cellStyle name="Comma 14 4 2 5 3" xfId="20118" xr:uid="{A9424090-5D18-479F-B512-0E9312637F49}"/>
    <cellStyle name="Comma 14 4 2 5 3 2" xfId="50358" xr:uid="{2837D7C3-317B-4FC1-8C2C-ED6397EF9C60}"/>
    <cellStyle name="Comma 14 4 2 5 4" xfId="35238" xr:uid="{1251E7F9-3A5B-4F94-8FE9-756D856E62AA}"/>
    <cellStyle name="Comma 14 4 2 6" xfId="6510" xr:uid="{7B0CE81B-47E9-4E20-BCBC-B790A8BE7875}"/>
    <cellStyle name="Comma 14 4 2 6 2" xfId="21630" xr:uid="{7D612F94-F630-40CB-BB1B-4386739AA619}"/>
    <cellStyle name="Comma 14 4 2 6 2 2" xfId="51870" xr:uid="{7DCF318A-341E-4D38-AB26-859428BD3A4B}"/>
    <cellStyle name="Comma 14 4 2 6 3" xfId="36750" xr:uid="{2CE604C5-D6D6-4011-A8F2-97513859DC54}"/>
    <cellStyle name="Comma 14 4 2 7" xfId="8022" xr:uid="{7873720A-8347-46E5-89E1-2EE2B2F68418}"/>
    <cellStyle name="Comma 14 4 2 7 2" xfId="23142" xr:uid="{4A8ED271-B41B-4FD7-A34C-CF3A66BDB854}"/>
    <cellStyle name="Comma 14 4 2 7 2 2" xfId="53382" xr:uid="{CC1F3A74-F299-4373-B033-44B7114C5ECE}"/>
    <cellStyle name="Comma 14 4 2 7 3" xfId="38262" xr:uid="{98B01597-1C45-4990-BD71-4745A26E3352}"/>
    <cellStyle name="Comma 14 4 2 8" xfId="9534" xr:uid="{C02125AB-3B78-4C45-ADD6-3E985B32452E}"/>
    <cellStyle name="Comma 14 4 2 8 2" xfId="24654" xr:uid="{40781D58-9B84-466F-A9CA-97301FBE301C}"/>
    <cellStyle name="Comma 14 4 2 8 2 2" xfId="54894" xr:uid="{FF01DF4A-6977-4148-AA4E-10A7332A8B80}"/>
    <cellStyle name="Comma 14 4 2 8 3" xfId="39774" xr:uid="{FD45E94A-FF03-49E2-8888-7536B2AEA175}"/>
    <cellStyle name="Comma 14 4 2 9" xfId="15582" xr:uid="{44D35F99-1D3E-4F47-BA24-B21C54A6D273}"/>
    <cellStyle name="Comma 14 4 2 9 2" xfId="45822" xr:uid="{BEF50627-1E12-48C3-841A-2C76F701802C}"/>
    <cellStyle name="Comma 14 4 3" xfId="714" xr:uid="{822C93DA-577A-4F9D-BCB7-4AA143C37040}"/>
    <cellStyle name="Comma 14 4 3 10" xfId="30954" xr:uid="{F32D6137-DF57-4C1D-8965-1C59D237E668}"/>
    <cellStyle name="Comma 14 4 3 2" xfId="1470" xr:uid="{F661A5ED-6019-4385-9BCB-7FBEB7910854}"/>
    <cellStyle name="Comma 14 4 3 2 2" xfId="2982" xr:uid="{513EF8FE-789B-41F7-BAA6-C2E75DF6E8C1}"/>
    <cellStyle name="Comma 14 4 3 2 2 2" xfId="12054" xr:uid="{FD87A70F-7CB2-4622-98B3-88626CC15338}"/>
    <cellStyle name="Comma 14 4 3 2 2 2 2" xfId="27174" xr:uid="{1AF42A4B-6366-4EF9-9E14-A530D1CB2566}"/>
    <cellStyle name="Comma 14 4 3 2 2 2 2 2" xfId="57414" xr:uid="{C5AE3870-8393-40C0-9EBA-66A1E2C3A108}"/>
    <cellStyle name="Comma 14 4 3 2 2 2 3" xfId="42294" xr:uid="{2B2073DF-B152-4E26-ADC1-918FB6CDCE2A}"/>
    <cellStyle name="Comma 14 4 3 2 2 3" xfId="18102" xr:uid="{66652490-6CAA-4B85-895F-A6B0F8063A7A}"/>
    <cellStyle name="Comma 14 4 3 2 2 3 2" xfId="48342" xr:uid="{EBCFDF3B-9AA5-4048-A6F7-8B4080B366A5}"/>
    <cellStyle name="Comma 14 4 3 2 2 4" xfId="33222" xr:uid="{952DB1AD-8EEE-45D5-921E-30DE5A48344D}"/>
    <cellStyle name="Comma 14 4 3 2 3" xfId="4494" xr:uid="{40E585BB-D8E5-4E53-88A2-FD16E45266EF}"/>
    <cellStyle name="Comma 14 4 3 2 3 2" xfId="13566" xr:uid="{2D06D3F1-F6DE-4CF3-BA40-1B41796EE95B}"/>
    <cellStyle name="Comma 14 4 3 2 3 2 2" xfId="28686" xr:uid="{F1CA85F3-9403-4334-8B2E-598D62B81D7F}"/>
    <cellStyle name="Comma 14 4 3 2 3 2 2 2" xfId="58926" xr:uid="{87D3EFB1-7834-4C47-9419-924D7242AF7D}"/>
    <cellStyle name="Comma 14 4 3 2 3 2 3" xfId="43806" xr:uid="{73FB6908-E0D1-4E46-A1D7-1BAD417BDC10}"/>
    <cellStyle name="Comma 14 4 3 2 3 3" xfId="19614" xr:uid="{B6F6B8CF-A734-4347-A83A-87CACAEDF78F}"/>
    <cellStyle name="Comma 14 4 3 2 3 3 2" xfId="49854" xr:uid="{501FF588-F3D5-452A-BA41-E71982A1AF3E}"/>
    <cellStyle name="Comma 14 4 3 2 3 4" xfId="34734" xr:uid="{1EF9A181-277E-43C8-BE44-05B1617899D0}"/>
    <cellStyle name="Comma 14 4 3 2 4" xfId="6006" xr:uid="{3FBA0737-B090-4891-AB76-7395A6DA7BCC}"/>
    <cellStyle name="Comma 14 4 3 2 4 2" xfId="15078" xr:uid="{C23F99BE-FB1E-431E-910C-D466BDA2A8DC}"/>
    <cellStyle name="Comma 14 4 3 2 4 2 2" xfId="30198" xr:uid="{E9B7999D-5A0E-4D2B-BD84-30DBE49E3313}"/>
    <cellStyle name="Comma 14 4 3 2 4 2 2 2" xfId="60438" xr:uid="{00F9A9A1-90F4-43D7-A9F0-66CCDCE5F9BB}"/>
    <cellStyle name="Comma 14 4 3 2 4 2 3" xfId="45318" xr:uid="{1E338154-692E-41D0-8213-174876F67D6C}"/>
    <cellStyle name="Comma 14 4 3 2 4 3" xfId="21126" xr:uid="{AA26575E-F38E-45F0-B235-9FC5B6916556}"/>
    <cellStyle name="Comma 14 4 3 2 4 3 2" xfId="51366" xr:uid="{3D22293D-3ABC-4595-BD91-877E2274F5B3}"/>
    <cellStyle name="Comma 14 4 3 2 4 4" xfId="36246" xr:uid="{82A1964A-589E-4513-8575-42227505E5BE}"/>
    <cellStyle name="Comma 14 4 3 2 5" xfId="7518" xr:uid="{C8AD6FEC-FAF6-49ED-B730-C61A60CA29DA}"/>
    <cellStyle name="Comma 14 4 3 2 5 2" xfId="22638" xr:uid="{04B42C14-73FF-4251-A98F-C813B9F7B166}"/>
    <cellStyle name="Comma 14 4 3 2 5 2 2" xfId="52878" xr:uid="{316EE4DA-BE89-4BE4-8BC4-24745C368FF9}"/>
    <cellStyle name="Comma 14 4 3 2 5 3" xfId="37758" xr:uid="{3F509FD4-5460-4469-8927-384DBE17F596}"/>
    <cellStyle name="Comma 14 4 3 2 6" xfId="9030" xr:uid="{F5648945-2FFC-4F0C-9596-C3F72F194B04}"/>
    <cellStyle name="Comma 14 4 3 2 6 2" xfId="24150" xr:uid="{D8ABE5DE-F49E-4671-AFA0-BFF95F7868E3}"/>
    <cellStyle name="Comma 14 4 3 2 6 2 2" xfId="54390" xr:uid="{F707ECAC-78E1-4B95-9D00-1957E241F815}"/>
    <cellStyle name="Comma 14 4 3 2 6 3" xfId="39270" xr:uid="{C214C354-DA93-4604-8FAB-D6026DD5ADF3}"/>
    <cellStyle name="Comma 14 4 3 2 7" xfId="10542" xr:uid="{DA274512-0D15-48C4-8ACB-61941C730677}"/>
    <cellStyle name="Comma 14 4 3 2 7 2" xfId="25662" xr:uid="{29900B51-43AF-4F26-8055-F70C8A641B9E}"/>
    <cellStyle name="Comma 14 4 3 2 7 2 2" xfId="55902" xr:uid="{C40E4A4F-E9BA-42E4-9D62-22A05C57BBD7}"/>
    <cellStyle name="Comma 14 4 3 2 7 3" xfId="40782" xr:uid="{09CBBD38-2966-48FB-B937-774D59BCC81A}"/>
    <cellStyle name="Comma 14 4 3 2 8" xfId="16590" xr:uid="{DC97BEB4-41FB-4A23-BAC6-505CC91DB1A1}"/>
    <cellStyle name="Comma 14 4 3 2 8 2" xfId="46830" xr:uid="{92ACE48A-080B-4263-BA58-CEC5D09A82E9}"/>
    <cellStyle name="Comma 14 4 3 2 9" xfId="31710" xr:uid="{86243C19-E025-4B99-B55B-6D5A8CBA0DEE}"/>
    <cellStyle name="Comma 14 4 3 3" xfId="2226" xr:uid="{DA65C708-BBF2-40C4-9967-652B10BC0EE8}"/>
    <cellStyle name="Comma 14 4 3 3 2" xfId="11298" xr:uid="{8D6EA388-D271-4447-B6C1-159B295E3E86}"/>
    <cellStyle name="Comma 14 4 3 3 2 2" xfId="26418" xr:uid="{57B82984-E0EC-4127-A4C0-F949D0D689D5}"/>
    <cellStyle name="Comma 14 4 3 3 2 2 2" xfId="56658" xr:uid="{AF4F0503-140C-439A-AA36-8938397058DB}"/>
    <cellStyle name="Comma 14 4 3 3 2 3" xfId="41538" xr:uid="{E3212A66-CC00-4BA1-9E75-FEAC0FAFC1DC}"/>
    <cellStyle name="Comma 14 4 3 3 3" xfId="17346" xr:uid="{868B956C-353E-4CF7-AA67-F84F162CD646}"/>
    <cellStyle name="Comma 14 4 3 3 3 2" xfId="47586" xr:uid="{F4AD7132-BDA2-45BE-9509-D700291BE868}"/>
    <cellStyle name="Comma 14 4 3 3 4" xfId="32466" xr:uid="{4DAC8783-5CF2-472A-A607-F3C9A29D68C2}"/>
    <cellStyle name="Comma 14 4 3 4" xfId="3738" xr:uid="{B71C0D05-5D25-47DB-B29E-C317227EC51F}"/>
    <cellStyle name="Comma 14 4 3 4 2" xfId="12810" xr:uid="{03D7EF2A-55E7-4413-8CEF-C1165EAC7B13}"/>
    <cellStyle name="Comma 14 4 3 4 2 2" xfId="27930" xr:uid="{D5C882E8-91A6-4318-9A13-61A60AD1AB82}"/>
    <cellStyle name="Comma 14 4 3 4 2 2 2" xfId="58170" xr:uid="{468326F7-2706-4347-A577-F4A1F43E5A33}"/>
    <cellStyle name="Comma 14 4 3 4 2 3" xfId="43050" xr:uid="{643DE6CF-D4A6-4EDB-8CC4-CB8B69598315}"/>
    <cellStyle name="Comma 14 4 3 4 3" xfId="18858" xr:uid="{CC75880D-6761-4676-8D55-0D243598ED24}"/>
    <cellStyle name="Comma 14 4 3 4 3 2" xfId="49098" xr:uid="{706AF615-4779-4FDF-BAC1-CDCF61F7AD42}"/>
    <cellStyle name="Comma 14 4 3 4 4" xfId="33978" xr:uid="{3F809313-2966-478D-92C9-F2A28429412A}"/>
    <cellStyle name="Comma 14 4 3 5" xfId="5250" xr:uid="{1A91978B-B38E-48CB-B59D-D4BC87C0C09C}"/>
    <cellStyle name="Comma 14 4 3 5 2" xfId="14322" xr:uid="{0937F5A7-7AAA-47DC-AEF2-E2A14C29012C}"/>
    <cellStyle name="Comma 14 4 3 5 2 2" xfId="29442" xr:uid="{8F43B1D5-0166-4F24-80E2-B7EBA45BD5E2}"/>
    <cellStyle name="Comma 14 4 3 5 2 2 2" xfId="59682" xr:uid="{C37F73C7-E9C5-4838-8513-C3DC282EA055}"/>
    <cellStyle name="Comma 14 4 3 5 2 3" xfId="44562" xr:uid="{45B346C5-8500-4A5C-A099-5DDC755B2ABC}"/>
    <cellStyle name="Comma 14 4 3 5 3" xfId="20370" xr:uid="{87EC6D72-9CBA-4090-AC66-246BB5BE54D6}"/>
    <cellStyle name="Comma 14 4 3 5 3 2" xfId="50610" xr:uid="{E566A491-8665-4388-A167-F2DD47F32C76}"/>
    <cellStyle name="Comma 14 4 3 5 4" xfId="35490" xr:uid="{74D37C11-62B8-412C-9EC2-A742BC877843}"/>
    <cellStyle name="Comma 14 4 3 6" xfId="6762" xr:uid="{6ACB7F32-D223-419E-A081-4213EB3FA1AD}"/>
    <cellStyle name="Comma 14 4 3 6 2" xfId="21882" xr:uid="{5CF8875D-5B55-4890-9081-C3C594516721}"/>
    <cellStyle name="Comma 14 4 3 6 2 2" xfId="52122" xr:uid="{DC436E2E-CA87-4433-8A26-0175C5759BA4}"/>
    <cellStyle name="Comma 14 4 3 6 3" xfId="37002" xr:uid="{52A173E9-7AB7-4BFA-A18A-19683D2A29E7}"/>
    <cellStyle name="Comma 14 4 3 7" xfId="8274" xr:uid="{0F16E6E4-DC0B-4C97-B30B-3104A0CA8B62}"/>
    <cellStyle name="Comma 14 4 3 7 2" xfId="23394" xr:uid="{5132B606-2FF3-4128-AFC9-A46FF18940C8}"/>
    <cellStyle name="Comma 14 4 3 7 2 2" xfId="53634" xr:uid="{0A4AD945-33B7-44FD-A0F5-C6B34592696C}"/>
    <cellStyle name="Comma 14 4 3 7 3" xfId="38514" xr:uid="{DFA49DED-3B7D-4F66-8DF0-ECA0F0C7FD01}"/>
    <cellStyle name="Comma 14 4 3 8" xfId="9786" xr:uid="{B9DDA919-5149-4273-A7B5-0F9BD149E85A}"/>
    <cellStyle name="Comma 14 4 3 8 2" xfId="24906" xr:uid="{D19A3862-6B2B-4E54-A095-CC4EC83D0D27}"/>
    <cellStyle name="Comma 14 4 3 8 2 2" xfId="55146" xr:uid="{15DD8DBC-F3AB-489F-802A-BDD2C62AEE35}"/>
    <cellStyle name="Comma 14 4 3 8 3" xfId="40026" xr:uid="{1645AC30-E5AA-45CC-9244-E191A2B149EC}"/>
    <cellStyle name="Comma 14 4 3 9" xfId="15834" xr:uid="{3B0CE306-F44A-4534-86A9-44E8E8740759}"/>
    <cellStyle name="Comma 14 4 3 9 2" xfId="46074" xr:uid="{3C5B18AC-2C23-48F4-8D9F-3F41A8540D3A}"/>
    <cellStyle name="Comma 14 4 4" xfId="966" xr:uid="{32ADC730-0509-4AE5-9EC4-1AE232F7F19E}"/>
    <cellStyle name="Comma 14 4 4 2" xfId="2478" xr:uid="{5AC39A11-7122-41F2-B31D-838B236B4C75}"/>
    <cellStyle name="Comma 14 4 4 2 2" xfId="11550" xr:uid="{85065176-394D-4CEA-BDD6-48C641CE1F29}"/>
    <cellStyle name="Comma 14 4 4 2 2 2" xfId="26670" xr:uid="{5FA8B3A7-D2DA-4193-89A8-22FBC0A0CD78}"/>
    <cellStyle name="Comma 14 4 4 2 2 2 2" xfId="56910" xr:uid="{F4268FA1-7093-42E0-A91E-C6F4999DDA51}"/>
    <cellStyle name="Comma 14 4 4 2 2 3" xfId="41790" xr:uid="{0056D446-3382-4818-85E3-F193B811F062}"/>
    <cellStyle name="Comma 14 4 4 2 3" xfId="17598" xr:uid="{480B38D6-19D5-4BDA-8EF7-36B1794A0999}"/>
    <cellStyle name="Comma 14 4 4 2 3 2" xfId="47838" xr:uid="{E9893AC0-EE68-41FA-A81A-9C7F0A283AA9}"/>
    <cellStyle name="Comma 14 4 4 2 4" xfId="32718" xr:uid="{A61AC1C6-6F62-453A-A208-7334428744D8}"/>
    <cellStyle name="Comma 14 4 4 3" xfId="3990" xr:uid="{88081B90-32B3-4B33-9B93-9B240FE4AB58}"/>
    <cellStyle name="Comma 14 4 4 3 2" xfId="13062" xr:uid="{0ABEFDE9-EFC1-4CC7-9E2C-E1343B674684}"/>
    <cellStyle name="Comma 14 4 4 3 2 2" xfId="28182" xr:uid="{0B172CBD-6CF1-4A86-A38F-4A8EAF887E30}"/>
    <cellStyle name="Comma 14 4 4 3 2 2 2" xfId="58422" xr:uid="{CB31A393-3C07-452B-BF2C-009083607435}"/>
    <cellStyle name="Comma 14 4 4 3 2 3" xfId="43302" xr:uid="{56F0C40E-3E49-4340-B9F7-50F43ACD4137}"/>
    <cellStyle name="Comma 14 4 4 3 3" xfId="19110" xr:uid="{9EAA1F58-78F2-4CE2-8867-09B6B1105BB7}"/>
    <cellStyle name="Comma 14 4 4 3 3 2" xfId="49350" xr:uid="{5FAFDB1C-5108-4B9E-AC19-3E8D216E7DE0}"/>
    <cellStyle name="Comma 14 4 4 3 4" xfId="34230" xr:uid="{2F1742D4-8B6A-4F91-8E1E-5683521916DC}"/>
    <cellStyle name="Comma 14 4 4 4" xfId="5502" xr:uid="{A553FB2C-98A7-4042-AAEB-5FE4BB9444CE}"/>
    <cellStyle name="Comma 14 4 4 4 2" xfId="14574" xr:uid="{301CA5FA-4422-4020-B4DA-ED97AC7562DC}"/>
    <cellStyle name="Comma 14 4 4 4 2 2" xfId="29694" xr:uid="{4DD0E51D-7DE3-4969-87E7-3ECFFA88ACD7}"/>
    <cellStyle name="Comma 14 4 4 4 2 2 2" xfId="59934" xr:uid="{B0CD9A37-435B-4FDC-B42A-25BA0B16651D}"/>
    <cellStyle name="Comma 14 4 4 4 2 3" xfId="44814" xr:uid="{61410F89-6F81-49DC-935B-9D8C576E448C}"/>
    <cellStyle name="Comma 14 4 4 4 3" xfId="20622" xr:uid="{26193211-1960-45F8-819C-0AFF21DD26FF}"/>
    <cellStyle name="Comma 14 4 4 4 3 2" xfId="50862" xr:uid="{5337E77F-3034-46EC-8F80-76D9042FD24E}"/>
    <cellStyle name="Comma 14 4 4 4 4" xfId="35742" xr:uid="{9FF87A67-5FBD-4E82-902C-BA9A27B7252E}"/>
    <cellStyle name="Comma 14 4 4 5" xfId="7014" xr:uid="{752AB2C6-806E-4F39-84C5-B1CB4F3E0305}"/>
    <cellStyle name="Comma 14 4 4 5 2" xfId="22134" xr:uid="{C505F1DE-D323-47C2-8FDA-E5F080445B83}"/>
    <cellStyle name="Comma 14 4 4 5 2 2" xfId="52374" xr:uid="{116B4D27-B2C3-4E26-81C7-062D53329962}"/>
    <cellStyle name="Comma 14 4 4 5 3" xfId="37254" xr:uid="{2EF0CFB3-A4C8-41C4-8C2D-268FA8CC8B5F}"/>
    <cellStyle name="Comma 14 4 4 6" xfId="8526" xr:uid="{ADC5E2CE-02A7-4468-9398-B8992D84A47D}"/>
    <cellStyle name="Comma 14 4 4 6 2" xfId="23646" xr:uid="{3399948F-9419-44A3-BBCD-933C20C912C0}"/>
    <cellStyle name="Comma 14 4 4 6 2 2" xfId="53886" xr:uid="{D00DD397-0ABF-4E3A-8B22-CDB79FCDBDF4}"/>
    <cellStyle name="Comma 14 4 4 6 3" xfId="38766" xr:uid="{2F3554DA-588C-4E64-BFD5-201FB41F9C1B}"/>
    <cellStyle name="Comma 14 4 4 7" xfId="10038" xr:uid="{81AFA3D7-EC75-44AE-B3CE-05EB630D62AC}"/>
    <cellStyle name="Comma 14 4 4 7 2" xfId="25158" xr:uid="{9C1CCBF9-9899-4CAF-A39C-619B35B8F84A}"/>
    <cellStyle name="Comma 14 4 4 7 2 2" xfId="55398" xr:uid="{FE8CE240-7B93-46B4-8653-E4083553860B}"/>
    <cellStyle name="Comma 14 4 4 7 3" xfId="40278" xr:uid="{D9BCC5D9-DB42-4923-9264-B90D26681B5E}"/>
    <cellStyle name="Comma 14 4 4 8" xfId="16086" xr:uid="{4BD5AB6E-EDDC-43E0-9C34-A1EC1B2E74D1}"/>
    <cellStyle name="Comma 14 4 4 8 2" xfId="46326" xr:uid="{5B8EB72A-54C9-4ACC-8DF8-16D424F552C6}"/>
    <cellStyle name="Comma 14 4 4 9" xfId="31206" xr:uid="{C0570103-DAE3-4FEC-B31A-14528DE148F5}"/>
    <cellStyle name="Comma 14 4 5" xfId="1722" xr:uid="{F1EE5C40-BCA4-49B7-8208-E45975259698}"/>
    <cellStyle name="Comma 14 4 5 2" xfId="10794" xr:uid="{E8F560D5-7D38-46A5-A55F-389D1EF2D956}"/>
    <cellStyle name="Comma 14 4 5 2 2" xfId="25914" xr:uid="{9C019A28-B2F3-4872-A19C-2C9C8E31F5C0}"/>
    <cellStyle name="Comma 14 4 5 2 2 2" xfId="56154" xr:uid="{64B5DB87-725F-44D3-B293-AF4E2BD51EF1}"/>
    <cellStyle name="Comma 14 4 5 2 3" xfId="41034" xr:uid="{C984259C-ED9D-45F3-BFC8-3E4BA68EACF3}"/>
    <cellStyle name="Comma 14 4 5 3" xfId="16842" xr:uid="{72A3581C-7CCE-4151-BE83-3FC157340C35}"/>
    <cellStyle name="Comma 14 4 5 3 2" xfId="47082" xr:uid="{85420C32-A872-42BA-B5A4-7BDA558E6794}"/>
    <cellStyle name="Comma 14 4 5 4" xfId="31962" xr:uid="{A95B380C-4D07-426D-A89F-AD2D0A7262D1}"/>
    <cellStyle name="Comma 14 4 6" xfId="3234" xr:uid="{01073540-92CD-4BFA-B513-7122289EC8FA}"/>
    <cellStyle name="Comma 14 4 6 2" xfId="12306" xr:uid="{8D09F731-1E42-4BFF-9B7A-72F69EAFCA51}"/>
    <cellStyle name="Comma 14 4 6 2 2" xfId="27426" xr:uid="{54F3FB22-CF1D-4630-9F5A-E13079139011}"/>
    <cellStyle name="Comma 14 4 6 2 2 2" xfId="57666" xr:uid="{11C74C12-5F1D-42B1-915B-995B8542708A}"/>
    <cellStyle name="Comma 14 4 6 2 3" xfId="42546" xr:uid="{B110A04F-2980-45B7-A8F6-60D181ADC452}"/>
    <cellStyle name="Comma 14 4 6 3" xfId="18354" xr:uid="{524A8227-FBA2-46CA-9F9B-E9AFFFE82E3E}"/>
    <cellStyle name="Comma 14 4 6 3 2" xfId="48594" xr:uid="{AAE664EE-7C4A-4633-BEB7-C12DED5F2A6C}"/>
    <cellStyle name="Comma 14 4 6 4" xfId="33474" xr:uid="{C9E5CEE0-DFDF-40D2-86DB-8048DABC37A4}"/>
    <cellStyle name="Comma 14 4 7" xfId="4746" xr:uid="{43C937A5-85D4-49D2-9A98-90E7E5A8A39B}"/>
    <cellStyle name="Comma 14 4 7 2" xfId="13818" xr:uid="{3E955525-1E2D-4EF4-9CE4-6C2A75E87A89}"/>
    <cellStyle name="Comma 14 4 7 2 2" xfId="28938" xr:uid="{D5048253-E60C-4978-86B2-68D0B8810AB7}"/>
    <cellStyle name="Comma 14 4 7 2 2 2" xfId="59178" xr:uid="{5EDAB1A8-2544-490C-B77D-287A3A8A76BF}"/>
    <cellStyle name="Comma 14 4 7 2 3" xfId="44058" xr:uid="{B197AB4C-020C-4D02-A756-88A50B04E6AE}"/>
    <cellStyle name="Comma 14 4 7 3" xfId="19866" xr:uid="{DF702282-D06D-4BC9-9C1A-24E90387EBBB}"/>
    <cellStyle name="Comma 14 4 7 3 2" xfId="50106" xr:uid="{53077CC7-2FD7-42BC-974A-3E1DD400CC45}"/>
    <cellStyle name="Comma 14 4 7 4" xfId="34986" xr:uid="{99515FC4-5BAB-4270-8A29-DF055C79CF6B}"/>
    <cellStyle name="Comma 14 4 8" xfId="6258" xr:uid="{1627B83A-07DD-480E-A624-F96E0E0BCA41}"/>
    <cellStyle name="Comma 14 4 8 2" xfId="21378" xr:uid="{AA29427A-5F93-41D9-B366-0437F8135178}"/>
    <cellStyle name="Comma 14 4 8 2 2" xfId="51618" xr:uid="{9AFF9AA1-906E-40B7-AB7F-749E788611A3}"/>
    <cellStyle name="Comma 14 4 8 3" xfId="36498" xr:uid="{0F82DF27-3A15-4685-A57D-52CD5C8F1C34}"/>
    <cellStyle name="Comma 14 4 9" xfId="7770" xr:uid="{B65B0A29-FF95-4060-A380-BDD50BE918FC}"/>
    <cellStyle name="Comma 14 4 9 2" xfId="22890" xr:uid="{A4D584DF-9234-467B-96DF-6F56B5150142}"/>
    <cellStyle name="Comma 14 4 9 2 2" xfId="53130" xr:uid="{EEF7A281-A253-4AEB-ADD3-BC793B18E329}"/>
    <cellStyle name="Comma 14 4 9 3" xfId="38010" xr:uid="{8A895C91-1551-4C86-8839-7C407F37157E}"/>
    <cellStyle name="Comma 14 5" xfId="294" xr:uid="{84AB8A81-1FB0-4F32-950A-14F222573E3F}"/>
    <cellStyle name="Comma 14 5 10" xfId="30534" xr:uid="{32D779A7-F289-4771-804F-5575FB711FC4}"/>
    <cellStyle name="Comma 14 5 2" xfId="1050" xr:uid="{F2FBB6B6-A8E5-4B1D-98B4-DF7885F4C196}"/>
    <cellStyle name="Comma 14 5 2 2" xfId="2562" xr:uid="{72B02689-5A5C-430F-906F-8278F5B1B5C8}"/>
    <cellStyle name="Comma 14 5 2 2 2" xfId="11634" xr:uid="{B18B8C31-E5F5-471E-BB6F-3A996B10A734}"/>
    <cellStyle name="Comma 14 5 2 2 2 2" xfId="26754" xr:uid="{485AE041-2956-4C81-84DC-AB7F87E3A784}"/>
    <cellStyle name="Comma 14 5 2 2 2 2 2" xfId="56994" xr:uid="{8948D748-5924-4CAD-B97D-760C8990EC33}"/>
    <cellStyle name="Comma 14 5 2 2 2 3" xfId="41874" xr:uid="{1ED4B6EC-C050-475E-BC05-9514171B812D}"/>
    <cellStyle name="Comma 14 5 2 2 3" xfId="17682" xr:uid="{08723B4C-7D73-447D-8918-A54A51FB022B}"/>
    <cellStyle name="Comma 14 5 2 2 3 2" xfId="47922" xr:uid="{8A6AE288-7D37-41D3-942A-7B6C3623D992}"/>
    <cellStyle name="Comma 14 5 2 2 4" xfId="32802" xr:uid="{69233B33-FF59-4636-A31F-7BB4278D7C42}"/>
    <cellStyle name="Comma 14 5 2 3" xfId="4074" xr:uid="{79BFD555-FD51-449F-9BD6-7214108E45C9}"/>
    <cellStyle name="Comma 14 5 2 3 2" xfId="13146" xr:uid="{DDEB0442-827A-4554-AA23-5201FF394804}"/>
    <cellStyle name="Comma 14 5 2 3 2 2" xfId="28266" xr:uid="{01141C20-CBF2-4B4D-B1F3-42288A1F6994}"/>
    <cellStyle name="Comma 14 5 2 3 2 2 2" xfId="58506" xr:uid="{190614B0-4F15-4643-8DBC-515463DD28F2}"/>
    <cellStyle name="Comma 14 5 2 3 2 3" xfId="43386" xr:uid="{38C982E4-7422-488D-BC30-D708CEFACCCF}"/>
    <cellStyle name="Comma 14 5 2 3 3" xfId="19194" xr:uid="{2CFA6CF1-AF3D-435B-ACAB-0508A7FB1269}"/>
    <cellStyle name="Comma 14 5 2 3 3 2" xfId="49434" xr:uid="{CBF0298E-39D8-4172-A0DA-68F7A56A9FB9}"/>
    <cellStyle name="Comma 14 5 2 3 4" xfId="34314" xr:uid="{2ABBC350-D1E1-4EF6-A868-5609FB45B7C5}"/>
    <cellStyle name="Comma 14 5 2 4" xfId="5586" xr:uid="{C5F9BEDA-D42A-4431-BBAC-1376E884F727}"/>
    <cellStyle name="Comma 14 5 2 4 2" xfId="14658" xr:uid="{04020627-A0F5-47B0-B9E6-752E2E26B3CA}"/>
    <cellStyle name="Comma 14 5 2 4 2 2" xfId="29778" xr:uid="{F3F6A232-E820-467E-9A54-D242C1343F7D}"/>
    <cellStyle name="Comma 14 5 2 4 2 2 2" xfId="60018" xr:uid="{7DD604E1-E61F-4E2D-8B06-208FCFE7AB9B}"/>
    <cellStyle name="Comma 14 5 2 4 2 3" xfId="44898" xr:uid="{CF152262-08B7-460C-B57D-18B071B321E7}"/>
    <cellStyle name="Comma 14 5 2 4 3" xfId="20706" xr:uid="{D24738A8-489F-4D66-8D19-C45F12BB4A61}"/>
    <cellStyle name="Comma 14 5 2 4 3 2" xfId="50946" xr:uid="{93A4F95C-0D35-4245-ADFE-571E8AE32C16}"/>
    <cellStyle name="Comma 14 5 2 4 4" xfId="35826" xr:uid="{E5223833-DA9B-469B-80B5-885BF9254205}"/>
    <cellStyle name="Comma 14 5 2 5" xfId="7098" xr:uid="{7888756D-A621-4330-ADB5-C7534D8439CE}"/>
    <cellStyle name="Comma 14 5 2 5 2" xfId="22218" xr:uid="{8A5D2111-A7C8-4F6A-B7B1-928C0C940947}"/>
    <cellStyle name="Comma 14 5 2 5 2 2" xfId="52458" xr:uid="{1DF5E796-72C1-49C2-9432-FCCECA3B05EC}"/>
    <cellStyle name="Comma 14 5 2 5 3" xfId="37338" xr:uid="{4B583A2A-04E0-4C9D-8332-D00BD3968B1C}"/>
    <cellStyle name="Comma 14 5 2 6" xfId="8610" xr:uid="{EA87560D-81C6-40D6-B485-71B5E5B35F1B}"/>
    <cellStyle name="Comma 14 5 2 6 2" xfId="23730" xr:uid="{A7B53326-44B9-428C-97F1-231CE69F4E94}"/>
    <cellStyle name="Comma 14 5 2 6 2 2" xfId="53970" xr:uid="{09B9B634-68EA-4895-B518-0A79A8E09F78}"/>
    <cellStyle name="Comma 14 5 2 6 3" xfId="38850" xr:uid="{CCA9EF0F-44E3-436D-B879-3D06DB5EE815}"/>
    <cellStyle name="Comma 14 5 2 7" xfId="10122" xr:uid="{A565312B-348E-4BA4-BCA4-F2AF6046912C}"/>
    <cellStyle name="Comma 14 5 2 7 2" xfId="25242" xr:uid="{16AF2760-8610-4D33-AB8D-6191F1455B04}"/>
    <cellStyle name="Comma 14 5 2 7 2 2" xfId="55482" xr:uid="{4471B6F3-51B3-4099-8068-B65B9C4CF8B9}"/>
    <cellStyle name="Comma 14 5 2 7 3" xfId="40362" xr:uid="{F90CD75B-0B69-4444-88BE-80FF6AC87709}"/>
    <cellStyle name="Comma 14 5 2 8" xfId="16170" xr:uid="{2748D66A-2589-4BD2-97A8-6C2FDA63F162}"/>
    <cellStyle name="Comma 14 5 2 8 2" xfId="46410" xr:uid="{80639CE1-DD8C-4EAB-9CFD-BD558BFACC57}"/>
    <cellStyle name="Comma 14 5 2 9" xfId="31290" xr:uid="{4F631023-FA0A-435C-ACAF-2873660ED30A}"/>
    <cellStyle name="Comma 14 5 3" xfId="1806" xr:uid="{6BEB47C6-0750-4646-B3AD-C85F73A6A938}"/>
    <cellStyle name="Comma 14 5 3 2" xfId="10878" xr:uid="{E0163B33-9A3F-42E9-82EE-C9B724F1F4C7}"/>
    <cellStyle name="Comma 14 5 3 2 2" xfId="25998" xr:uid="{5FFBD07B-6F8F-4B14-96C4-EE0BE03F62CD}"/>
    <cellStyle name="Comma 14 5 3 2 2 2" xfId="56238" xr:uid="{75A4F213-BCD5-4FB5-8C84-3426A62ABAC1}"/>
    <cellStyle name="Comma 14 5 3 2 3" xfId="41118" xr:uid="{2CE21B44-0948-41B7-84E2-448011C52185}"/>
    <cellStyle name="Comma 14 5 3 3" xfId="16926" xr:uid="{B016A45F-38AD-4218-9483-F1119FBB9BD8}"/>
    <cellStyle name="Comma 14 5 3 3 2" xfId="47166" xr:uid="{4EEECEB0-77B4-468D-A9C0-27A764D4E60D}"/>
    <cellStyle name="Comma 14 5 3 4" xfId="32046" xr:uid="{3BBF2107-7074-4DA3-A353-F0D6093E0978}"/>
    <cellStyle name="Comma 14 5 4" xfId="3318" xr:uid="{5858C221-CBD5-4616-938E-B92412027CD0}"/>
    <cellStyle name="Comma 14 5 4 2" xfId="12390" xr:uid="{69818041-B155-48CD-B3C5-43F67A02F23F}"/>
    <cellStyle name="Comma 14 5 4 2 2" xfId="27510" xr:uid="{B89F223F-A81B-4F3B-805C-FD5726B4A5A4}"/>
    <cellStyle name="Comma 14 5 4 2 2 2" xfId="57750" xr:uid="{9CD00676-7F45-49A3-A234-689C82246217}"/>
    <cellStyle name="Comma 14 5 4 2 3" xfId="42630" xr:uid="{775AB01C-DF42-4B0E-80B4-16B98194CEF4}"/>
    <cellStyle name="Comma 14 5 4 3" xfId="18438" xr:uid="{BE2B4BE8-AD1E-4BEB-9B35-FF1FF11AC7BB}"/>
    <cellStyle name="Comma 14 5 4 3 2" xfId="48678" xr:uid="{6F076AA6-C6F0-407D-AD00-9CEB2687786B}"/>
    <cellStyle name="Comma 14 5 4 4" xfId="33558" xr:uid="{51542646-7BE0-4907-A811-00A754CB8169}"/>
    <cellStyle name="Comma 14 5 5" xfId="4830" xr:uid="{FD86973A-6573-49A7-8513-FE981D8E5F24}"/>
    <cellStyle name="Comma 14 5 5 2" xfId="13902" xr:uid="{E9E9485E-DE9A-48E5-BED8-A693BC2E532E}"/>
    <cellStyle name="Comma 14 5 5 2 2" xfId="29022" xr:uid="{C1E4A567-DA14-4BF8-AEBE-F511255858F1}"/>
    <cellStyle name="Comma 14 5 5 2 2 2" xfId="59262" xr:uid="{D602955D-80A1-4837-9572-6C764A6017D5}"/>
    <cellStyle name="Comma 14 5 5 2 3" xfId="44142" xr:uid="{7C3B4674-9557-4812-9EF8-46FFC572450D}"/>
    <cellStyle name="Comma 14 5 5 3" xfId="19950" xr:uid="{A8C134FA-F8BF-4879-8B9D-7F8062C25C65}"/>
    <cellStyle name="Comma 14 5 5 3 2" xfId="50190" xr:uid="{56D1F643-7840-409A-815D-2282340BBA78}"/>
    <cellStyle name="Comma 14 5 5 4" xfId="35070" xr:uid="{C1484C46-D2CC-46E2-8786-B49668A8BF57}"/>
    <cellStyle name="Comma 14 5 6" xfId="6342" xr:uid="{C55F67BD-2CA5-4829-8797-558523EDFD68}"/>
    <cellStyle name="Comma 14 5 6 2" xfId="21462" xr:uid="{D6AFA549-762A-4314-B379-5DCA5F97BE01}"/>
    <cellStyle name="Comma 14 5 6 2 2" xfId="51702" xr:uid="{9512423D-FAD1-4D72-A3E5-58A9FF190E5A}"/>
    <cellStyle name="Comma 14 5 6 3" xfId="36582" xr:uid="{E3CFAC90-E697-4DBF-8C1B-1DF1EA336E70}"/>
    <cellStyle name="Comma 14 5 7" xfId="7854" xr:uid="{80A79F60-2CEF-48C7-91BB-2A1BB1842AEC}"/>
    <cellStyle name="Comma 14 5 7 2" xfId="22974" xr:uid="{3E1E3C7A-EF41-404E-A3BF-DF8FBAF02AEA}"/>
    <cellStyle name="Comma 14 5 7 2 2" xfId="53214" xr:uid="{7F2CDF9A-93AF-4E91-9079-36E8118957A9}"/>
    <cellStyle name="Comma 14 5 7 3" xfId="38094" xr:uid="{DBB23F28-D614-49FF-8A8D-E838846E02D5}"/>
    <cellStyle name="Comma 14 5 8" xfId="9366" xr:uid="{9E615977-4FAB-4E2A-900C-8501376BD826}"/>
    <cellStyle name="Comma 14 5 8 2" xfId="24486" xr:uid="{FD12A428-D2CD-42C6-8A28-C736A184327D}"/>
    <cellStyle name="Comma 14 5 8 2 2" xfId="54726" xr:uid="{27678E69-6301-40CD-AB64-8327CFD6E827}"/>
    <cellStyle name="Comma 14 5 8 3" xfId="39606" xr:uid="{60F50085-2757-4A9C-B9B0-D02BE66030F1}"/>
    <cellStyle name="Comma 14 5 9" xfId="15414" xr:uid="{BEEACABB-ADD3-4FD5-BD5B-3F2A6734973E}"/>
    <cellStyle name="Comma 14 5 9 2" xfId="45654" xr:uid="{F87C20F0-6722-4E08-8902-35AF2C3CFC75}"/>
    <cellStyle name="Comma 14 6" xfId="546" xr:uid="{6EF7CD7C-B265-4EA1-AED8-7A6C76D19D14}"/>
    <cellStyle name="Comma 14 6 10" xfId="30786" xr:uid="{499634AF-1DF9-4763-B07A-7F100D1EC5DB}"/>
    <cellStyle name="Comma 14 6 2" xfId="1302" xr:uid="{9EDB27D2-E235-490A-A62D-4798E01E4EAE}"/>
    <cellStyle name="Comma 14 6 2 2" xfId="2814" xr:uid="{8A40BEA2-8E38-4C8A-BEE7-814A070F730C}"/>
    <cellStyle name="Comma 14 6 2 2 2" xfId="11886" xr:uid="{62B5FDDF-2DA9-430D-8EBC-45E4C7D06011}"/>
    <cellStyle name="Comma 14 6 2 2 2 2" xfId="27006" xr:uid="{BE86296E-8739-4297-B10B-B6E727F43825}"/>
    <cellStyle name="Comma 14 6 2 2 2 2 2" xfId="57246" xr:uid="{1E5956FE-3E47-4E26-B6A9-52F2B93E5390}"/>
    <cellStyle name="Comma 14 6 2 2 2 3" xfId="42126" xr:uid="{41B76AD1-1587-4FE2-B7E8-ED10A17C8E6F}"/>
    <cellStyle name="Comma 14 6 2 2 3" xfId="17934" xr:uid="{4BCBC24A-D227-495B-A833-0B6E4031F5CA}"/>
    <cellStyle name="Comma 14 6 2 2 3 2" xfId="48174" xr:uid="{83842565-D355-4622-8A4F-AD1712DDEBBA}"/>
    <cellStyle name="Comma 14 6 2 2 4" xfId="33054" xr:uid="{CA617103-8F14-4983-B7E8-CDCD96B790CF}"/>
    <cellStyle name="Comma 14 6 2 3" xfId="4326" xr:uid="{F521269C-B693-4EC1-8880-3847EEF24DFD}"/>
    <cellStyle name="Comma 14 6 2 3 2" xfId="13398" xr:uid="{DA681372-C64A-4ADB-85F4-8995410EB866}"/>
    <cellStyle name="Comma 14 6 2 3 2 2" xfId="28518" xr:uid="{9BAC6A31-4ADA-467E-8C44-95380E4F5C28}"/>
    <cellStyle name="Comma 14 6 2 3 2 2 2" xfId="58758" xr:uid="{5145EFA5-1720-4FE7-9CC6-06FAE16EED4F}"/>
    <cellStyle name="Comma 14 6 2 3 2 3" xfId="43638" xr:uid="{83F8B8E8-2C23-4B9C-8C18-A69B3515D7C9}"/>
    <cellStyle name="Comma 14 6 2 3 3" xfId="19446" xr:uid="{B5D18F34-23FD-4C03-9916-3E99A9C820FC}"/>
    <cellStyle name="Comma 14 6 2 3 3 2" xfId="49686" xr:uid="{93F71791-8C7F-4A3E-9C7C-AD585C57C6CF}"/>
    <cellStyle name="Comma 14 6 2 3 4" xfId="34566" xr:uid="{BC6C334E-E99B-4BA9-9790-CE100047547A}"/>
    <cellStyle name="Comma 14 6 2 4" xfId="5838" xr:uid="{2A8D156A-1461-4C22-8F8E-C2E438517027}"/>
    <cellStyle name="Comma 14 6 2 4 2" xfId="14910" xr:uid="{FD21F4EC-88B2-4BA2-A2E1-D925DF796E62}"/>
    <cellStyle name="Comma 14 6 2 4 2 2" xfId="30030" xr:uid="{A6C49124-F0E5-417D-93A3-867FDB7C1276}"/>
    <cellStyle name="Comma 14 6 2 4 2 2 2" xfId="60270" xr:uid="{07A8584F-E712-4B29-9181-255BA75C8B2A}"/>
    <cellStyle name="Comma 14 6 2 4 2 3" xfId="45150" xr:uid="{FC867140-FF0C-42F8-B259-4461C9CA36EC}"/>
    <cellStyle name="Comma 14 6 2 4 3" xfId="20958" xr:uid="{1FABE030-1B80-4470-B201-85EA04579DC4}"/>
    <cellStyle name="Comma 14 6 2 4 3 2" xfId="51198" xr:uid="{A5FFFA50-F7B5-41AB-87C1-068465716D5C}"/>
    <cellStyle name="Comma 14 6 2 4 4" xfId="36078" xr:uid="{D1E90876-6221-4402-A09B-B32D4879806B}"/>
    <cellStyle name="Comma 14 6 2 5" xfId="7350" xr:uid="{55DA85B2-6B94-4923-AFAD-0850818A8B70}"/>
    <cellStyle name="Comma 14 6 2 5 2" xfId="22470" xr:uid="{C271EA3D-9E3F-4CC7-83E1-7ACBA3507FA1}"/>
    <cellStyle name="Comma 14 6 2 5 2 2" xfId="52710" xr:uid="{001D02A7-B81C-4E46-BEB4-A166A08882E1}"/>
    <cellStyle name="Comma 14 6 2 5 3" xfId="37590" xr:uid="{6E6175D2-DB85-4D02-AD81-520993CE65BA}"/>
    <cellStyle name="Comma 14 6 2 6" xfId="8862" xr:uid="{E356C837-D04B-41F7-A00C-F717B771416A}"/>
    <cellStyle name="Comma 14 6 2 6 2" xfId="23982" xr:uid="{03A09C75-5EBB-49AC-8D29-63B627DB3891}"/>
    <cellStyle name="Comma 14 6 2 6 2 2" xfId="54222" xr:uid="{7B038F3E-34A6-45A0-A959-3531BD0EC836}"/>
    <cellStyle name="Comma 14 6 2 6 3" xfId="39102" xr:uid="{DB5F786D-AC9F-4A74-87E0-0C4323A654BA}"/>
    <cellStyle name="Comma 14 6 2 7" xfId="10374" xr:uid="{98E4BBF8-36F8-4E2D-B96C-A061A9C9D794}"/>
    <cellStyle name="Comma 14 6 2 7 2" xfId="25494" xr:uid="{AEB5D928-53E4-4E56-A542-F6F6FEBBDCBC}"/>
    <cellStyle name="Comma 14 6 2 7 2 2" xfId="55734" xr:uid="{4547E870-1394-48FF-9742-5F932AFE9105}"/>
    <cellStyle name="Comma 14 6 2 7 3" xfId="40614" xr:uid="{62CF9F84-B6C3-4996-AA5E-A90C40015BF4}"/>
    <cellStyle name="Comma 14 6 2 8" xfId="16422" xr:uid="{674E081A-9E84-45D5-9620-794612D0E03D}"/>
    <cellStyle name="Comma 14 6 2 8 2" xfId="46662" xr:uid="{26CDF372-5960-470F-8379-2DCD057899D8}"/>
    <cellStyle name="Comma 14 6 2 9" xfId="31542" xr:uid="{3D1C3125-0429-4A7F-827D-96599B2E76BA}"/>
    <cellStyle name="Comma 14 6 3" xfId="2058" xr:uid="{04FF4EAD-2EF3-42C5-9E93-D7C0C57797A2}"/>
    <cellStyle name="Comma 14 6 3 2" xfId="11130" xr:uid="{7F1250B7-C906-4453-A75E-DF917FBB1B80}"/>
    <cellStyle name="Comma 14 6 3 2 2" xfId="26250" xr:uid="{17E89911-4076-4758-8FE8-FDDA50A8C2F4}"/>
    <cellStyle name="Comma 14 6 3 2 2 2" xfId="56490" xr:uid="{91C141E1-FD1B-4518-B9A5-1468DE334C10}"/>
    <cellStyle name="Comma 14 6 3 2 3" xfId="41370" xr:uid="{6F2D2B4C-4B31-428D-B0B7-D6B0E5DF5AE1}"/>
    <cellStyle name="Comma 14 6 3 3" xfId="17178" xr:uid="{999D0514-A5C7-4F82-8C8F-2C1E44AEBECF}"/>
    <cellStyle name="Comma 14 6 3 3 2" xfId="47418" xr:uid="{3C6AA61E-D287-462C-B4C7-D5245F5E2714}"/>
    <cellStyle name="Comma 14 6 3 4" xfId="32298" xr:uid="{945EA308-A9BC-4E26-8E5F-C283A97CF995}"/>
    <cellStyle name="Comma 14 6 4" xfId="3570" xr:uid="{FFA10F34-00DA-4C13-B2F0-FFDAC34B0A64}"/>
    <cellStyle name="Comma 14 6 4 2" xfId="12642" xr:uid="{4B310922-7AE4-4A7B-9A33-BD062893FC9E}"/>
    <cellStyle name="Comma 14 6 4 2 2" xfId="27762" xr:uid="{3FB16A2C-A99A-4E35-BFC0-09F1F7EFBE43}"/>
    <cellStyle name="Comma 14 6 4 2 2 2" xfId="58002" xr:uid="{6118AD29-6A00-410D-9D34-4140F2B144CA}"/>
    <cellStyle name="Comma 14 6 4 2 3" xfId="42882" xr:uid="{56D940CF-B91C-49BC-87E6-957D671DCB08}"/>
    <cellStyle name="Comma 14 6 4 3" xfId="18690" xr:uid="{957043C0-E878-4432-B46B-67340A9AD30C}"/>
    <cellStyle name="Comma 14 6 4 3 2" xfId="48930" xr:uid="{4F46A1C1-637D-49D6-9A8A-E32D09F8A4F3}"/>
    <cellStyle name="Comma 14 6 4 4" xfId="33810" xr:uid="{0C0CF2A1-9EA6-4670-B835-C9401CDD87A6}"/>
    <cellStyle name="Comma 14 6 5" xfId="5082" xr:uid="{ABFC7AAC-6837-43AF-B01A-C1FD3F2ECBE6}"/>
    <cellStyle name="Comma 14 6 5 2" xfId="14154" xr:uid="{1C63D29A-3F34-453E-B7B6-73E32A7A88B7}"/>
    <cellStyle name="Comma 14 6 5 2 2" xfId="29274" xr:uid="{29B53686-E835-4D87-A973-721E3B80C041}"/>
    <cellStyle name="Comma 14 6 5 2 2 2" xfId="59514" xr:uid="{DAC87D52-92C0-47BA-B48D-F0FCA420012B}"/>
    <cellStyle name="Comma 14 6 5 2 3" xfId="44394" xr:uid="{DFBD471C-556D-4DC2-BA01-8C10FF909E36}"/>
    <cellStyle name="Comma 14 6 5 3" xfId="20202" xr:uid="{E8FE97E5-66C2-4345-BC1A-40FBD42A1012}"/>
    <cellStyle name="Comma 14 6 5 3 2" xfId="50442" xr:uid="{C9770D43-7544-46B4-BBCA-A2D1F3ABAAB7}"/>
    <cellStyle name="Comma 14 6 5 4" xfId="35322" xr:uid="{C2C2A4AB-5621-4256-9457-2564C60ACDC8}"/>
    <cellStyle name="Comma 14 6 6" xfId="6594" xr:uid="{1013C751-8D3D-4964-99B4-07BA25BE6309}"/>
    <cellStyle name="Comma 14 6 6 2" xfId="21714" xr:uid="{2AD7877F-EB4C-46B6-9F34-67F3A83567E3}"/>
    <cellStyle name="Comma 14 6 6 2 2" xfId="51954" xr:uid="{F93C93B8-9DA9-4E46-AB91-FADD34FA2839}"/>
    <cellStyle name="Comma 14 6 6 3" xfId="36834" xr:uid="{DD22016F-5933-4F26-B21E-5BCE58101AF2}"/>
    <cellStyle name="Comma 14 6 7" xfId="8106" xr:uid="{2320892A-1581-471F-AC6A-4E120B7EDCD0}"/>
    <cellStyle name="Comma 14 6 7 2" xfId="23226" xr:uid="{E03EE6A0-A54A-4E6E-A550-E593FB76801A}"/>
    <cellStyle name="Comma 14 6 7 2 2" xfId="53466" xr:uid="{FF27E0F4-C48A-4BFF-AFDE-34AF18044098}"/>
    <cellStyle name="Comma 14 6 7 3" xfId="38346" xr:uid="{C20E846A-EBC5-494E-BAEF-1BEFD7035331}"/>
    <cellStyle name="Comma 14 6 8" xfId="9618" xr:uid="{2E686D3D-2C53-4683-9E12-D14DCE41D780}"/>
    <cellStyle name="Comma 14 6 8 2" xfId="24738" xr:uid="{1F4B2B87-7E4A-47AA-BA85-5F1BEC560D3F}"/>
    <cellStyle name="Comma 14 6 8 2 2" xfId="54978" xr:uid="{CFF8DEEE-3A33-4CC3-958F-C23B41EB0014}"/>
    <cellStyle name="Comma 14 6 8 3" xfId="39858" xr:uid="{EA236937-819F-4765-97D3-FA75AF7E5967}"/>
    <cellStyle name="Comma 14 6 9" xfId="15666" xr:uid="{2E354F98-825E-42A8-B811-A0F3C987C968}"/>
    <cellStyle name="Comma 14 6 9 2" xfId="45906" xr:uid="{18D883CE-2BFE-43D5-95C0-54BC82BD18B4}"/>
    <cellStyle name="Comma 14 7" xfId="798" xr:uid="{3982FE88-0986-4959-802D-FCC83A63276C}"/>
    <cellStyle name="Comma 14 7 2" xfId="2310" xr:uid="{01CCC733-DC39-4CA2-A4C1-E3847A555ED4}"/>
    <cellStyle name="Comma 14 7 2 2" xfId="11382" xr:uid="{9F6516D3-419A-42E6-8F38-1BBFB027B1B1}"/>
    <cellStyle name="Comma 14 7 2 2 2" xfId="26502" xr:uid="{8B95F9A8-88DD-424E-BD5B-D7A2DEED17C7}"/>
    <cellStyle name="Comma 14 7 2 2 2 2" xfId="56742" xr:uid="{4CD19231-4C42-46EF-A365-2ACA195C2363}"/>
    <cellStyle name="Comma 14 7 2 2 3" xfId="41622" xr:uid="{0A5BA781-84D5-41E5-8B07-86C673A5C413}"/>
    <cellStyle name="Comma 14 7 2 3" xfId="17430" xr:uid="{6289C503-D5CF-4609-8458-9FF21190ECE7}"/>
    <cellStyle name="Comma 14 7 2 3 2" xfId="47670" xr:uid="{6F0B0460-FEBB-4F62-9FE6-F1C1B6ABEB65}"/>
    <cellStyle name="Comma 14 7 2 4" xfId="32550" xr:uid="{3626C01D-DD5B-43F2-8263-A733C931A1AF}"/>
    <cellStyle name="Comma 14 7 3" xfId="3822" xr:uid="{F10B68CC-6062-4A27-890F-5B38A95DADE5}"/>
    <cellStyle name="Comma 14 7 3 2" xfId="12894" xr:uid="{14164623-4C4E-4EF8-A673-AE5EABA38FA7}"/>
    <cellStyle name="Comma 14 7 3 2 2" xfId="28014" xr:uid="{B6EA078B-608B-405D-8C53-7480D3B4840F}"/>
    <cellStyle name="Comma 14 7 3 2 2 2" xfId="58254" xr:uid="{69294375-22BA-4993-A71C-75AE1D1295CC}"/>
    <cellStyle name="Comma 14 7 3 2 3" xfId="43134" xr:uid="{8529647C-03E7-484F-AB13-12BB441271B5}"/>
    <cellStyle name="Comma 14 7 3 3" xfId="18942" xr:uid="{C1DDB29A-C024-45DB-AB6B-A64C6CE13809}"/>
    <cellStyle name="Comma 14 7 3 3 2" xfId="49182" xr:uid="{A50E76E3-BEC2-4E06-8DE9-6412D24C3E50}"/>
    <cellStyle name="Comma 14 7 3 4" xfId="34062" xr:uid="{CF06DE50-9F50-4C1A-AD0A-E0994E5351E7}"/>
    <cellStyle name="Comma 14 7 4" xfId="5334" xr:uid="{D1FC446F-B9AB-4B98-8CC2-D031D96C1F54}"/>
    <cellStyle name="Comma 14 7 4 2" xfId="14406" xr:uid="{B88F5DB9-4DFE-4E50-BF1F-8954BA16994F}"/>
    <cellStyle name="Comma 14 7 4 2 2" xfId="29526" xr:uid="{30207DC9-163B-4990-8434-8B58D0BA9735}"/>
    <cellStyle name="Comma 14 7 4 2 2 2" xfId="59766" xr:uid="{6EEC6412-8482-4766-9F29-FE74D14376D8}"/>
    <cellStyle name="Comma 14 7 4 2 3" xfId="44646" xr:uid="{22860EFB-B327-4E36-B171-CA2CF13C69DC}"/>
    <cellStyle name="Comma 14 7 4 3" xfId="20454" xr:uid="{22D0F432-CA48-487D-AA06-E1730706C6E7}"/>
    <cellStyle name="Comma 14 7 4 3 2" xfId="50694" xr:uid="{56340A55-569A-4BE8-88A9-1EF4A6B74293}"/>
    <cellStyle name="Comma 14 7 4 4" xfId="35574" xr:uid="{8890550B-63E6-4B57-87B3-FDB66626FB0C}"/>
    <cellStyle name="Comma 14 7 5" xfId="6846" xr:uid="{68C45D2F-09A6-4E04-A6C5-986D5CDA6988}"/>
    <cellStyle name="Comma 14 7 5 2" xfId="21966" xr:uid="{961592BC-A0F7-4767-A56B-2CF9BCD75EF3}"/>
    <cellStyle name="Comma 14 7 5 2 2" xfId="52206" xr:uid="{16FF91BB-F247-42C7-BD4C-B0A440522495}"/>
    <cellStyle name="Comma 14 7 5 3" xfId="37086" xr:uid="{75B75B3B-BE96-4208-8211-6A6A311CC75B}"/>
    <cellStyle name="Comma 14 7 6" xfId="8358" xr:uid="{4A9B6986-E6ED-4D96-9FF5-EB6C819E89E7}"/>
    <cellStyle name="Comma 14 7 6 2" xfId="23478" xr:uid="{7ABBCDA5-D2EE-4144-AB2A-E2844348BCCE}"/>
    <cellStyle name="Comma 14 7 6 2 2" xfId="53718" xr:uid="{18F873F9-BE2C-4A3E-89F1-EADE1BDD16E3}"/>
    <cellStyle name="Comma 14 7 6 3" xfId="38598" xr:uid="{EE3A2E01-2792-4DC0-9042-DEF0447BED0E}"/>
    <cellStyle name="Comma 14 7 7" xfId="9870" xr:uid="{ECD4BE32-750F-428D-B71B-F2EADDECA257}"/>
    <cellStyle name="Comma 14 7 7 2" xfId="24990" xr:uid="{B50BB1FF-80D1-4A42-AF74-6F835319BB45}"/>
    <cellStyle name="Comma 14 7 7 2 2" xfId="55230" xr:uid="{96AB5038-6705-4F1A-A62A-BDB3151F78E7}"/>
    <cellStyle name="Comma 14 7 7 3" xfId="40110" xr:uid="{40E6978F-6E31-4934-91C8-2D6D6F4D2E73}"/>
    <cellStyle name="Comma 14 7 8" xfId="15918" xr:uid="{2329152B-BCD5-4D66-9A34-163406233B8F}"/>
    <cellStyle name="Comma 14 7 8 2" xfId="46158" xr:uid="{3BFF2D37-6F58-45AD-AD5A-EE001FB1ADA8}"/>
    <cellStyle name="Comma 14 7 9" xfId="31038" xr:uid="{B6EA0CEE-0B0D-4F93-8942-93C718ED78CF}"/>
    <cellStyle name="Comma 14 8" xfId="1554" xr:uid="{011532E1-396B-4D53-B0DE-7843DA18B32E}"/>
    <cellStyle name="Comma 14 8 2" xfId="10626" xr:uid="{43A9B261-CC56-4EC0-AB35-31C9EACDC079}"/>
    <cellStyle name="Comma 14 8 2 2" xfId="25746" xr:uid="{4A8322CF-AE80-4672-B3F0-A5FEC96B342C}"/>
    <cellStyle name="Comma 14 8 2 2 2" xfId="55986" xr:uid="{E44D289F-CEC3-483E-9CAB-13BA7B7EA407}"/>
    <cellStyle name="Comma 14 8 2 3" xfId="40866" xr:uid="{6766A9F6-DE89-4011-BB8D-731BBE3B2375}"/>
    <cellStyle name="Comma 14 8 3" xfId="16674" xr:uid="{4A4692AE-5F0E-4812-A0EE-AB197DF51768}"/>
    <cellStyle name="Comma 14 8 3 2" xfId="46914" xr:uid="{A34C93DC-A655-489C-A231-A31BA4E3CCB0}"/>
    <cellStyle name="Comma 14 8 4" xfId="31794" xr:uid="{F79D4C3B-5E7E-4E6F-95B9-A6AF786DB85D}"/>
    <cellStyle name="Comma 14 9" xfId="3066" xr:uid="{A8569A8E-2E3A-47F5-B005-E70551AB86EC}"/>
    <cellStyle name="Comma 14 9 2" xfId="12138" xr:uid="{D2C5C05B-7A72-4F56-8CB7-3C72BF0A0146}"/>
    <cellStyle name="Comma 14 9 2 2" xfId="27258" xr:uid="{3DA26BED-459D-43DD-85EA-BB1582B169FC}"/>
    <cellStyle name="Comma 14 9 2 2 2" xfId="57498" xr:uid="{6594A441-8CEE-43B4-8B83-3564D1490304}"/>
    <cellStyle name="Comma 14 9 2 3" xfId="42378" xr:uid="{74FAD8D6-B232-4C90-9A79-CEE55628E3C8}"/>
    <cellStyle name="Comma 14 9 3" xfId="18186" xr:uid="{2B01DB19-26D5-480F-AF2D-D6B5904238D1}"/>
    <cellStyle name="Comma 14 9 3 2" xfId="48426" xr:uid="{37AA584D-2925-4B62-8797-E5E2CEEDD6D8}"/>
    <cellStyle name="Comma 14 9 4" xfId="33306" xr:uid="{7F64B092-245A-4195-9FEE-AD8A7ADE5726}"/>
    <cellStyle name="Comma 15" xfId="56" xr:uid="{EBB3C273-56F2-49C4-BFFE-BED98AAB4A4F}"/>
    <cellStyle name="Comma 15 10" xfId="6104" xr:uid="{E9730C3B-6F60-488F-AB7E-9B2707D59A7C}"/>
    <cellStyle name="Comma 15 10 2" xfId="21224" xr:uid="{E8A45AB3-4357-499B-922A-1F718682C481}"/>
    <cellStyle name="Comma 15 10 2 2" xfId="51464" xr:uid="{465E667F-9F06-4218-ACBB-DAD5F29B2EF6}"/>
    <cellStyle name="Comma 15 10 3" xfId="36344" xr:uid="{85DB5580-8D2D-4E08-9ED0-60DD6F26C2F3}"/>
    <cellStyle name="Comma 15 11" xfId="7616" xr:uid="{8D615FC3-0B63-48D9-87D6-A13F552727B6}"/>
    <cellStyle name="Comma 15 11 2" xfId="22736" xr:uid="{1550E8EE-DB88-4796-B799-63174E95EB9E}"/>
    <cellStyle name="Comma 15 11 2 2" xfId="52976" xr:uid="{4D21F345-ACCE-4B62-BE85-7AB82573FB1D}"/>
    <cellStyle name="Comma 15 11 3" xfId="37856" xr:uid="{4C95B72E-A06A-4552-903D-77BF6A828EC9}"/>
    <cellStyle name="Comma 15 12" xfId="9128" xr:uid="{4AC7498B-2A9E-4CC8-B8DE-D185E1C4CB3F}"/>
    <cellStyle name="Comma 15 12 2" xfId="24248" xr:uid="{F996AE85-1633-42BA-B1C9-7AA751EDFD1C}"/>
    <cellStyle name="Comma 15 12 2 2" xfId="54488" xr:uid="{C5DD25D1-B26D-4A47-8E60-29A4D8EB54FC}"/>
    <cellStyle name="Comma 15 12 3" xfId="39368" xr:uid="{772D4D8A-6F26-491D-8ECF-6ACD49B779FE}"/>
    <cellStyle name="Comma 15 13" xfId="15176" xr:uid="{759B8EB0-1F58-4EDF-BE06-5517FE808919}"/>
    <cellStyle name="Comma 15 13 2" xfId="45416" xr:uid="{E563F908-F6C2-4537-AC67-7CF6CAF8F17A}"/>
    <cellStyle name="Comma 15 14" xfId="30296" xr:uid="{E7F3B3DA-D6DE-4187-8212-CC4D2257DEBE}"/>
    <cellStyle name="Comma 15 2" xfId="140" xr:uid="{9815F4CB-E44B-4E81-9B6B-2542609AB077}"/>
    <cellStyle name="Comma 15 2 10" xfId="9212" xr:uid="{028C36F6-5305-4566-817D-0D4791D3D7F8}"/>
    <cellStyle name="Comma 15 2 10 2" xfId="24332" xr:uid="{099EB27F-2BF3-41BE-8AF2-2191F4495BC2}"/>
    <cellStyle name="Comma 15 2 10 2 2" xfId="54572" xr:uid="{BEDAD221-A10D-49C1-8C7A-36B76B1A954A}"/>
    <cellStyle name="Comma 15 2 10 3" xfId="39452" xr:uid="{C6D022F6-FBE6-45E5-8864-1C8EF133732B}"/>
    <cellStyle name="Comma 15 2 11" xfId="15260" xr:uid="{B86A6FA1-0ED5-4BCA-8068-6FC7ACFACC04}"/>
    <cellStyle name="Comma 15 2 11 2" xfId="45500" xr:uid="{3B2347A7-73C4-49DF-8788-B1AA92E62969}"/>
    <cellStyle name="Comma 15 2 12" xfId="30380" xr:uid="{040762D5-9898-4679-B49E-071C6DA59447}"/>
    <cellStyle name="Comma 15 2 2" xfId="392" xr:uid="{4613B3F1-298D-4227-A8BB-BF303DDBB9DE}"/>
    <cellStyle name="Comma 15 2 2 10" xfId="30632" xr:uid="{3E22C350-85E6-4F05-82D8-FD06A9D4D456}"/>
    <cellStyle name="Comma 15 2 2 2" xfId="1148" xr:uid="{EE1FD588-E0B6-4C67-8871-25B1BE312E92}"/>
    <cellStyle name="Comma 15 2 2 2 2" xfId="2660" xr:uid="{5A0D6311-ECD6-491D-8C1D-DF2277E85061}"/>
    <cellStyle name="Comma 15 2 2 2 2 2" xfId="11732" xr:uid="{2D62E426-3F2F-4DA8-98C2-E592E62A3DC8}"/>
    <cellStyle name="Comma 15 2 2 2 2 2 2" xfId="26852" xr:uid="{B242C791-4664-45A0-99C0-661DDD423BCA}"/>
    <cellStyle name="Comma 15 2 2 2 2 2 2 2" xfId="57092" xr:uid="{FF1A98DF-ECA6-4B2B-87AF-5BA0FBBB1FB8}"/>
    <cellStyle name="Comma 15 2 2 2 2 2 3" xfId="41972" xr:uid="{F7311C21-0598-41A3-A7E8-94B769E8C145}"/>
    <cellStyle name="Comma 15 2 2 2 2 3" xfId="17780" xr:uid="{E61E05F0-8E7A-4FC1-8762-7B2E8C0DE69F}"/>
    <cellStyle name="Comma 15 2 2 2 2 3 2" xfId="48020" xr:uid="{D1F9A27F-556A-4E74-A970-C6F2F5A1449A}"/>
    <cellStyle name="Comma 15 2 2 2 2 4" xfId="32900" xr:uid="{5F0B0DB1-648D-4A21-AFC0-BD4CDCAFB532}"/>
    <cellStyle name="Comma 15 2 2 2 3" xfId="4172" xr:uid="{C969DFFB-1CA2-4CBE-8910-CB0AF9336E62}"/>
    <cellStyle name="Comma 15 2 2 2 3 2" xfId="13244" xr:uid="{C3A51066-309B-489F-8BFC-BD2D30D886E7}"/>
    <cellStyle name="Comma 15 2 2 2 3 2 2" xfId="28364" xr:uid="{82906C94-63FD-41EA-A2D7-CD61AC31574F}"/>
    <cellStyle name="Comma 15 2 2 2 3 2 2 2" xfId="58604" xr:uid="{8B9F6B2F-6DAE-4F3E-AC72-850D75AF51EA}"/>
    <cellStyle name="Comma 15 2 2 2 3 2 3" xfId="43484" xr:uid="{9B0BBE7D-821B-456B-83CB-80F41B77E9EB}"/>
    <cellStyle name="Comma 15 2 2 2 3 3" xfId="19292" xr:uid="{6B26BB30-66D0-4533-AB9E-385A5B8B0C54}"/>
    <cellStyle name="Comma 15 2 2 2 3 3 2" xfId="49532" xr:uid="{B4F6EFFE-9E3F-40F2-B433-27C923DEE6EF}"/>
    <cellStyle name="Comma 15 2 2 2 3 4" xfId="34412" xr:uid="{6BDB58A3-188E-43E3-8B7A-40528D4126F9}"/>
    <cellStyle name="Comma 15 2 2 2 4" xfId="5684" xr:uid="{B070D576-D8E2-44AF-A8D9-6D32EAC7B104}"/>
    <cellStyle name="Comma 15 2 2 2 4 2" xfId="14756" xr:uid="{53FB7849-6CC8-43FE-AD9B-747C995AC77E}"/>
    <cellStyle name="Comma 15 2 2 2 4 2 2" xfId="29876" xr:uid="{4748B781-DBB8-4A64-9617-57EE9E8EFA4B}"/>
    <cellStyle name="Comma 15 2 2 2 4 2 2 2" xfId="60116" xr:uid="{B14AC4C2-8A9F-4C1C-BB64-460A89D801FE}"/>
    <cellStyle name="Comma 15 2 2 2 4 2 3" xfId="44996" xr:uid="{65881763-007B-4C21-8210-261267E79339}"/>
    <cellStyle name="Comma 15 2 2 2 4 3" xfId="20804" xr:uid="{42BC78F0-43E7-43BA-9657-72F4F39AD6DD}"/>
    <cellStyle name="Comma 15 2 2 2 4 3 2" xfId="51044" xr:uid="{B1DE7765-6ABF-4F51-AF05-910B455C8B37}"/>
    <cellStyle name="Comma 15 2 2 2 4 4" xfId="35924" xr:uid="{A5B6A9F7-8610-4341-91AD-6004D8F90A6F}"/>
    <cellStyle name="Comma 15 2 2 2 5" xfId="7196" xr:uid="{6E5BD20E-06B2-4D6C-BE0D-531450392E53}"/>
    <cellStyle name="Comma 15 2 2 2 5 2" xfId="22316" xr:uid="{2E1BEDE4-68F8-4CE7-A35B-D7B4C649207A}"/>
    <cellStyle name="Comma 15 2 2 2 5 2 2" xfId="52556" xr:uid="{6B793133-1634-45A5-BF62-F172CA679966}"/>
    <cellStyle name="Comma 15 2 2 2 5 3" xfId="37436" xr:uid="{92699D32-9D96-4CE7-84B0-7288C86329C2}"/>
    <cellStyle name="Comma 15 2 2 2 6" xfId="8708" xr:uid="{65B7000E-02B7-4E2B-BB95-C7AD5F911E4D}"/>
    <cellStyle name="Comma 15 2 2 2 6 2" xfId="23828" xr:uid="{4AF4F507-4DE4-4528-97A2-6F6D7B7B4378}"/>
    <cellStyle name="Comma 15 2 2 2 6 2 2" xfId="54068" xr:uid="{D1CDD068-F686-4542-8C99-A65B784DA269}"/>
    <cellStyle name="Comma 15 2 2 2 6 3" xfId="38948" xr:uid="{4DD154A2-E1E3-4FDD-928C-78F1E67D2776}"/>
    <cellStyle name="Comma 15 2 2 2 7" xfId="10220" xr:uid="{9CF7E8BB-EDD8-410D-93A9-4131A8DDDD6B}"/>
    <cellStyle name="Comma 15 2 2 2 7 2" xfId="25340" xr:uid="{152B3ECD-997F-4541-A4AC-0119D4488DC1}"/>
    <cellStyle name="Comma 15 2 2 2 7 2 2" xfId="55580" xr:uid="{1358E79B-13D6-4E68-A844-8DE83481C5E7}"/>
    <cellStyle name="Comma 15 2 2 2 7 3" xfId="40460" xr:uid="{64548A8E-24BA-4358-A44D-FF55E061CB9D}"/>
    <cellStyle name="Comma 15 2 2 2 8" xfId="16268" xr:uid="{2BD71C2C-DA65-4D95-846A-FDEC03DB1569}"/>
    <cellStyle name="Comma 15 2 2 2 8 2" xfId="46508" xr:uid="{634D21A4-092F-4F88-BC72-A8E4755D97C0}"/>
    <cellStyle name="Comma 15 2 2 2 9" xfId="31388" xr:uid="{5CDF39D8-0379-42CC-AAE9-4F3AE82F256F}"/>
    <cellStyle name="Comma 15 2 2 3" xfId="1904" xr:uid="{8B2338C2-6D42-4D0B-BCA0-71E66B380817}"/>
    <cellStyle name="Comma 15 2 2 3 2" xfId="10976" xr:uid="{63844346-66F7-4C54-AD6A-5CA397A0CC9F}"/>
    <cellStyle name="Comma 15 2 2 3 2 2" xfId="26096" xr:uid="{3251A987-F51F-4E52-A996-818CEFDC807F}"/>
    <cellStyle name="Comma 15 2 2 3 2 2 2" xfId="56336" xr:uid="{CBA025C9-1E27-4052-8337-96BC4256AAAC}"/>
    <cellStyle name="Comma 15 2 2 3 2 3" xfId="41216" xr:uid="{090F6044-4906-426E-B1E8-20B55837E948}"/>
    <cellStyle name="Comma 15 2 2 3 3" xfId="17024" xr:uid="{B9FF0DFA-3032-4997-9F1A-9F1FDA460684}"/>
    <cellStyle name="Comma 15 2 2 3 3 2" xfId="47264" xr:uid="{119F7A14-710A-4635-900D-BB6D4CBAD215}"/>
    <cellStyle name="Comma 15 2 2 3 4" xfId="32144" xr:uid="{EFAC6E19-D4F3-41C1-8E87-4C898FEA7D97}"/>
    <cellStyle name="Comma 15 2 2 4" xfId="3416" xr:uid="{8A5F4A7E-C1E5-467B-8C61-0672CC3C1C2C}"/>
    <cellStyle name="Comma 15 2 2 4 2" xfId="12488" xr:uid="{09DCCC47-3823-46DA-9305-00EBC4075011}"/>
    <cellStyle name="Comma 15 2 2 4 2 2" xfId="27608" xr:uid="{97DF827D-AFF4-4409-AF98-15BAFAB1BF4C}"/>
    <cellStyle name="Comma 15 2 2 4 2 2 2" xfId="57848" xr:uid="{949AA0D8-BA6A-4BCF-8BE9-20715369BCD3}"/>
    <cellStyle name="Comma 15 2 2 4 2 3" xfId="42728" xr:uid="{C6BA51D4-87D9-4697-B095-CA5EFD35B22D}"/>
    <cellStyle name="Comma 15 2 2 4 3" xfId="18536" xr:uid="{F0340F98-4839-4E6B-BF63-A13D16C74AA8}"/>
    <cellStyle name="Comma 15 2 2 4 3 2" xfId="48776" xr:uid="{D6D4DCDB-A2D0-4188-9392-8C1101A1353D}"/>
    <cellStyle name="Comma 15 2 2 4 4" xfId="33656" xr:uid="{2EECF792-2962-4D5C-9072-3CD88B02AB59}"/>
    <cellStyle name="Comma 15 2 2 5" xfId="4928" xr:uid="{D0DB4DE9-27FA-41E6-92CE-FEBA68CB16A6}"/>
    <cellStyle name="Comma 15 2 2 5 2" xfId="14000" xr:uid="{05F8A202-E271-4DB1-8DEB-DC5B4FE0488E}"/>
    <cellStyle name="Comma 15 2 2 5 2 2" xfId="29120" xr:uid="{8C8506ED-4C6E-40FD-A24A-38235E86A3F3}"/>
    <cellStyle name="Comma 15 2 2 5 2 2 2" xfId="59360" xr:uid="{84E40D3C-EF10-4944-A048-994DAEBB2FB4}"/>
    <cellStyle name="Comma 15 2 2 5 2 3" xfId="44240" xr:uid="{8F37DF99-45D5-4A0C-BFA2-C6BCDC4DF099}"/>
    <cellStyle name="Comma 15 2 2 5 3" xfId="20048" xr:uid="{91E1B785-BB01-4EBE-8AAE-5A872B6B3DFA}"/>
    <cellStyle name="Comma 15 2 2 5 3 2" xfId="50288" xr:uid="{17B61A3C-4213-4A97-B7F0-54E3EBBACBE7}"/>
    <cellStyle name="Comma 15 2 2 5 4" xfId="35168" xr:uid="{2B921D43-0BF5-4928-8BF6-100E784BB13C}"/>
    <cellStyle name="Comma 15 2 2 6" xfId="6440" xr:uid="{984F985E-750C-4D47-A468-D196B08D9337}"/>
    <cellStyle name="Comma 15 2 2 6 2" xfId="21560" xr:uid="{FD07D71E-17B5-4996-8116-205F969063DD}"/>
    <cellStyle name="Comma 15 2 2 6 2 2" xfId="51800" xr:uid="{C45BD307-6409-4A22-8A63-F92436A7575D}"/>
    <cellStyle name="Comma 15 2 2 6 3" xfId="36680" xr:uid="{B6DBE431-5B8B-407C-BE69-FDFDCB069B7D}"/>
    <cellStyle name="Comma 15 2 2 7" xfId="7952" xr:uid="{5C83D265-B230-403C-A9A9-CA5200540A84}"/>
    <cellStyle name="Comma 15 2 2 7 2" xfId="23072" xr:uid="{9FA50E5E-A3CB-43F1-940C-2846FB4F872B}"/>
    <cellStyle name="Comma 15 2 2 7 2 2" xfId="53312" xr:uid="{EB1B4E1C-CABA-4016-8873-A1144CBB97E2}"/>
    <cellStyle name="Comma 15 2 2 7 3" xfId="38192" xr:uid="{5D6E73AD-4B20-4ECF-8340-5B60978B69B4}"/>
    <cellStyle name="Comma 15 2 2 8" xfId="9464" xr:uid="{B1B547C3-7CB9-4AC6-BABE-A8465190435A}"/>
    <cellStyle name="Comma 15 2 2 8 2" xfId="24584" xr:uid="{A747839D-D3B0-468C-9037-C763BED8293E}"/>
    <cellStyle name="Comma 15 2 2 8 2 2" xfId="54824" xr:uid="{50C03239-D4E5-43F0-9544-3705BC9C8DBE}"/>
    <cellStyle name="Comma 15 2 2 8 3" xfId="39704" xr:uid="{B9D506F5-6B12-46FE-AF23-4BE7C4FE8CF0}"/>
    <cellStyle name="Comma 15 2 2 9" xfId="15512" xr:uid="{39D75D8A-010D-4B64-A027-77CB5E7A5203}"/>
    <cellStyle name="Comma 15 2 2 9 2" xfId="45752" xr:uid="{916CA3DF-FDD5-4060-9E0C-5CB038682838}"/>
    <cellStyle name="Comma 15 2 3" xfId="644" xr:uid="{67214002-938D-41FC-BE15-B3AB81516738}"/>
    <cellStyle name="Comma 15 2 3 10" xfId="30884" xr:uid="{7E7608AA-0D4B-471C-A9C4-ECE0FACC2942}"/>
    <cellStyle name="Comma 15 2 3 2" xfId="1400" xr:uid="{109A666E-D513-4EC3-A40F-FA76E97EEC22}"/>
    <cellStyle name="Comma 15 2 3 2 2" xfId="2912" xr:uid="{93F93790-2E58-4D24-AC9A-ED3FC23A91FE}"/>
    <cellStyle name="Comma 15 2 3 2 2 2" xfId="11984" xr:uid="{1E480199-34B0-4439-946D-5AAED23D687C}"/>
    <cellStyle name="Comma 15 2 3 2 2 2 2" xfId="27104" xr:uid="{5736D253-76D5-48A5-934D-35B209D0F50C}"/>
    <cellStyle name="Comma 15 2 3 2 2 2 2 2" xfId="57344" xr:uid="{91A40B1C-241A-4B4E-992E-C06E6571EEA0}"/>
    <cellStyle name="Comma 15 2 3 2 2 2 3" xfId="42224" xr:uid="{DDF7E6E2-64E5-49F9-8E8D-A4E4C62381E4}"/>
    <cellStyle name="Comma 15 2 3 2 2 3" xfId="18032" xr:uid="{B8855E46-D12A-46BB-A13E-9BEA37D9BCA9}"/>
    <cellStyle name="Comma 15 2 3 2 2 3 2" xfId="48272" xr:uid="{027D410D-018F-4572-A0CB-7C501261C1CF}"/>
    <cellStyle name="Comma 15 2 3 2 2 4" xfId="33152" xr:uid="{8398AD03-79FD-4BFC-B510-6DF15AF2B566}"/>
    <cellStyle name="Comma 15 2 3 2 3" xfId="4424" xr:uid="{10E119C5-58B9-44AD-957D-08B36597E1D8}"/>
    <cellStyle name="Comma 15 2 3 2 3 2" xfId="13496" xr:uid="{CFA30309-4C95-4C5D-AD2C-A91ADD7158A3}"/>
    <cellStyle name="Comma 15 2 3 2 3 2 2" xfId="28616" xr:uid="{4E083EFC-F2C7-40FB-894B-D06133B1D291}"/>
    <cellStyle name="Comma 15 2 3 2 3 2 2 2" xfId="58856" xr:uid="{98527493-74FE-4EBC-AC5C-12E711AA1512}"/>
    <cellStyle name="Comma 15 2 3 2 3 2 3" xfId="43736" xr:uid="{30966C64-694F-4EF8-B75B-A5756DE8442E}"/>
    <cellStyle name="Comma 15 2 3 2 3 3" xfId="19544" xr:uid="{265E8B19-97A7-43FB-9D81-B109ECE1CA50}"/>
    <cellStyle name="Comma 15 2 3 2 3 3 2" xfId="49784" xr:uid="{8FFA79D9-6625-422E-A814-120F1263C5EB}"/>
    <cellStyle name="Comma 15 2 3 2 3 4" xfId="34664" xr:uid="{25B995B1-CF4A-4BE3-A006-7FEF63C294E2}"/>
    <cellStyle name="Comma 15 2 3 2 4" xfId="5936" xr:uid="{CB555A7C-7A1E-48F7-8A93-F3C28CB90DB1}"/>
    <cellStyle name="Comma 15 2 3 2 4 2" xfId="15008" xr:uid="{A2B21CF9-BC58-4697-8988-9F119E5EEFDD}"/>
    <cellStyle name="Comma 15 2 3 2 4 2 2" xfId="30128" xr:uid="{E7AE054D-8A28-46A0-A7DA-D283236AE0E8}"/>
    <cellStyle name="Comma 15 2 3 2 4 2 2 2" xfId="60368" xr:uid="{C0330A1C-9C1C-42FE-B4D9-80478327E095}"/>
    <cellStyle name="Comma 15 2 3 2 4 2 3" xfId="45248" xr:uid="{6251762F-AA90-4523-9CAC-30582BE9BA9E}"/>
    <cellStyle name="Comma 15 2 3 2 4 3" xfId="21056" xr:uid="{093B82D0-FF63-4563-9197-84EBD68C7CF0}"/>
    <cellStyle name="Comma 15 2 3 2 4 3 2" xfId="51296" xr:uid="{F355D2C2-59E3-4A55-BF45-C465EF9549E5}"/>
    <cellStyle name="Comma 15 2 3 2 4 4" xfId="36176" xr:uid="{7F98540A-CC56-4F44-B56E-FF440BB53200}"/>
    <cellStyle name="Comma 15 2 3 2 5" xfId="7448" xr:uid="{3F5A6E2A-14B5-4CDC-A2B1-B834AFA1D501}"/>
    <cellStyle name="Comma 15 2 3 2 5 2" xfId="22568" xr:uid="{52396219-85A2-4556-9182-009BBACE307F}"/>
    <cellStyle name="Comma 15 2 3 2 5 2 2" xfId="52808" xr:uid="{4C43765F-A43C-4E03-8270-76D9891D9897}"/>
    <cellStyle name="Comma 15 2 3 2 5 3" xfId="37688" xr:uid="{01F996A4-17A5-4AFC-815C-7DC1974D5754}"/>
    <cellStyle name="Comma 15 2 3 2 6" xfId="8960" xr:uid="{74A4481A-8943-4326-A863-D3BCDBDF4DD3}"/>
    <cellStyle name="Comma 15 2 3 2 6 2" xfId="24080" xr:uid="{C39163A4-83BF-48B3-A566-24D792882F05}"/>
    <cellStyle name="Comma 15 2 3 2 6 2 2" xfId="54320" xr:uid="{80BD22DD-C855-4ADE-AF32-998D78331036}"/>
    <cellStyle name="Comma 15 2 3 2 6 3" xfId="39200" xr:uid="{F8D437E8-ED60-4136-BEC8-67E6598FFB7C}"/>
    <cellStyle name="Comma 15 2 3 2 7" xfId="10472" xr:uid="{F4940A03-9072-472C-A326-249D0B074EFD}"/>
    <cellStyle name="Comma 15 2 3 2 7 2" xfId="25592" xr:uid="{1D5FDAB4-89E3-47F7-9E21-46DA9739DD95}"/>
    <cellStyle name="Comma 15 2 3 2 7 2 2" xfId="55832" xr:uid="{49FB2DAB-31D3-403A-A9B6-BFA920003020}"/>
    <cellStyle name="Comma 15 2 3 2 7 3" xfId="40712" xr:uid="{D2BC441F-961F-41A2-82F5-3E89E1311CFE}"/>
    <cellStyle name="Comma 15 2 3 2 8" xfId="16520" xr:uid="{0F9CFF32-BF32-4E94-86DC-570E2557ACF7}"/>
    <cellStyle name="Comma 15 2 3 2 8 2" xfId="46760" xr:uid="{10152B0B-E1A8-4A35-96FD-A02466785CFC}"/>
    <cellStyle name="Comma 15 2 3 2 9" xfId="31640" xr:uid="{44740D50-0A73-4D01-897C-2295ACF89B34}"/>
    <cellStyle name="Comma 15 2 3 3" xfId="2156" xr:uid="{482B03A8-7CFF-429F-B6BA-3AAB9C9CAFCF}"/>
    <cellStyle name="Comma 15 2 3 3 2" xfId="11228" xr:uid="{5CE831D7-831F-49C2-8E2A-921834A120C9}"/>
    <cellStyle name="Comma 15 2 3 3 2 2" xfId="26348" xr:uid="{BD25BBA0-6187-456A-BDBB-E1E024260DD9}"/>
    <cellStyle name="Comma 15 2 3 3 2 2 2" xfId="56588" xr:uid="{E4AA3830-1A46-4A11-A304-4A7EA4F07AF7}"/>
    <cellStyle name="Comma 15 2 3 3 2 3" xfId="41468" xr:uid="{643BE2F1-3BB9-4C82-B912-AFA490DE2BB5}"/>
    <cellStyle name="Comma 15 2 3 3 3" xfId="17276" xr:uid="{762919AD-EB54-4351-8AD1-4A63263E3B1F}"/>
    <cellStyle name="Comma 15 2 3 3 3 2" xfId="47516" xr:uid="{2E88B40A-0B59-44B9-BF0A-CCC194B8A6AA}"/>
    <cellStyle name="Comma 15 2 3 3 4" xfId="32396" xr:uid="{900BC9EF-5C0F-4F23-9DB6-3EBAC538A229}"/>
    <cellStyle name="Comma 15 2 3 4" xfId="3668" xr:uid="{00B2E69C-94A7-43AF-ADA6-C33C06E4E275}"/>
    <cellStyle name="Comma 15 2 3 4 2" xfId="12740" xr:uid="{A82CE846-31B7-441B-9C4F-D230515D8C49}"/>
    <cellStyle name="Comma 15 2 3 4 2 2" xfId="27860" xr:uid="{E7A55B6C-1BED-43BC-ACFF-FF5DECC15C73}"/>
    <cellStyle name="Comma 15 2 3 4 2 2 2" xfId="58100" xr:uid="{CC0205FD-C287-4453-9559-01E5F2527E76}"/>
    <cellStyle name="Comma 15 2 3 4 2 3" xfId="42980" xr:uid="{1B9D1500-C199-419E-B073-FEA55ED21A4B}"/>
    <cellStyle name="Comma 15 2 3 4 3" xfId="18788" xr:uid="{6C0CD2A7-74F5-413D-92F5-05EDA3C8537B}"/>
    <cellStyle name="Comma 15 2 3 4 3 2" xfId="49028" xr:uid="{B54895EF-99BD-4E63-BB22-DEBB5C10C762}"/>
    <cellStyle name="Comma 15 2 3 4 4" xfId="33908" xr:uid="{ACEED658-FEA9-4C30-A657-09FEC31122CB}"/>
    <cellStyle name="Comma 15 2 3 5" xfId="5180" xr:uid="{0B0D46E3-1A9B-4523-959C-91238EC631FB}"/>
    <cellStyle name="Comma 15 2 3 5 2" xfId="14252" xr:uid="{81B19FB5-71C4-473E-93A8-C74F3B10282B}"/>
    <cellStyle name="Comma 15 2 3 5 2 2" xfId="29372" xr:uid="{D3385035-7642-4897-9011-D15C8C973BE6}"/>
    <cellStyle name="Comma 15 2 3 5 2 2 2" xfId="59612" xr:uid="{4DA37185-00C2-4F27-B385-10E2F9CF6870}"/>
    <cellStyle name="Comma 15 2 3 5 2 3" xfId="44492" xr:uid="{B5DDC0FF-50F2-4867-8749-99A8CC336B53}"/>
    <cellStyle name="Comma 15 2 3 5 3" xfId="20300" xr:uid="{E5BEBF6B-00DE-4782-9D5C-F823DA087197}"/>
    <cellStyle name="Comma 15 2 3 5 3 2" xfId="50540" xr:uid="{BE74C305-3393-487E-BE57-FD3CA783D47F}"/>
    <cellStyle name="Comma 15 2 3 5 4" xfId="35420" xr:uid="{88707A25-B082-44DB-AE23-5B36EB605FD0}"/>
    <cellStyle name="Comma 15 2 3 6" xfId="6692" xr:uid="{135879E9-5197-497B-B16B-92215B02E332}"/>
    <cellStyle name="Comma 15 2 3 6 2" xfId="21812" xr:uid="{11B75922-1BA8-46F4-A945-75AA9F9189D6}"/>
    <cellStyle name="Comma 15 2 3 6 2 2" xfId="52052" xr:uid="{45960E7D-9060-4DD1-B0EB-BB0D7DFA2632}"/>
    <cellStyle name="Comma 15 2 3 6 3" xfId="36932" xr:uid="{AB3DA156-B645-4D2C-AAB8-F61F63CAC918}"/>
    <cellStyle name="Comma 15 2 3 7" xfId="8204" xr:uid="{5D4BEB59-8B30-4CDF-B4F1-3009D7DC4E27}"/>
    <cellStyle name="Comma 15 2 3 7 2" xfId="23324" xr:uid="{4A29057C-C10B-47F3-9A5B-F3F836C4E875}"/>
    <cellStyle name="Comma 15 2 3 7 2 2" xfId="53564" xr:uid="{E2F0DC30-B80C-4DE7-AD5E-18B2B1F7D74B}"/>
    <cellStyle name="Comma 15 2 3 7 3" xfId="38444" xr:uid="{C793C131-E9DC-4602-8424-4AF8D955F003}"/>
    <cellStyle name="Comma 15 2 3 8" xfId="9716" xr:uid="{7CED9283-B2E1-4846-9D9A-4036E12CCFDA}"/>
    <cellStyle name="Comma 15 2 3 8 2" xfId="24836" xr:uid="{B6786A4C-108E-4B03-86C9-28D98851FA64}"/>
    <cellStyle name="Comma 15 2 3 8 2 2" xfId="55076" xr:uid="{8A2C2D39-E6E0-4ECD-BA36-0261BB9BF292}"/>
    <cellStyle name="Comma 15 2 3 8 3" xfId="39956" xr:uid="{39A9615E-AC6C-4D2F-B744-C452C46434E9}"/>
    <cellStyle name="Comma 15 2 3 9" xfId="15764" xr:uid="{EF14AF4C-9AC0-4EA4-8912-3D1E67664109}"/>
    <cellStyle name="Comma 15 2 3 9 2" xfId="46004" xr:uid="{6A4670D9-2DF7-4A72-BCA5-0A5D990585A6}"/>
    <cellStyle name="Comma 15 2 4" xfId="896" xr:uid="{06F41D3F-BA5A-4636-AA96-B0758C5277DC}"/>
    <cellStyle name="Comma 15 2 4 2" xfId="2408" xr:uid="{8AC26FDB-87AA-474B-AD17-CA6D5D24C29D}"/>
    <cellStyle name="Comma 15 2 4 2 2" xfId="11480" xr:uid="{A8FB1AB1-0FC2-4A78-B996-50548452380D}"/>
    <cellStyle name="Comma 15 2 4 2 2 2" xfId="26600" xr:uid="{9EC5513F-C13C-466D-BCFE-C7499462A2D5}"/>
    <cellStyle name="Comma 15 2 4 2 2 2 2" xfId="56840" xr:uid="{25B59D76-9F8D-4C76-80AA-31031B7A436A}"/>
    <cellStyle name="Comma 15 2 4 2 2 3" xfId="41720" xr:uid="{7CD070DF-CE9E-4C76-9462-393AB49B8524}"/>
    <cellStyle name="Comma 15 2 4 2 3" xfId="17528" xr:uid="{450B59C9-7D48-43D0-B975-8CC01548856D}"/>
    <cellStyle name="Comma 15 2 4 2 3 2" xfId="47768" xr:uid="{56CCB3BE-6505-4026-AE11-6AE202221594}"/>
    <cellStyle name="Comma 15 2 4 2 4" xfId="32648" xr:uid="{1A96D7CD-086E-4F29-AB26-BE0E96C93FF7}"/>
    <cellStyle name="Comma 15 2 4 3" xfId="3920" xr:uid="{AA1E25AB-F1C8-4A82-9DA2-B23548503E9E}"/>
    <cellStyle name="Comma 15 2 4 3 2" xfId="12992" xr:uid="{660E37F8-4ACF-41B4-AEEE-D47360508D2B}"/>
    <cellStyle name="Comma 15 2 4 3 2 2" xfId="28112" xr:uid="{21BFD822-914E-40AA-9E1F-ECA84F0DFB0B}"/>
    <cellStyle name="Comma 15 2 4 3 2 2 2" xfId="58352" xr:uid="{9A41F659-C9EE-4D00-B786-FC55BB4B3BA3}"/>
    <cellStyle name="Comma 15 2 4 3 2 3" xfId="43232" xr:uid="{90A54956-8930-4840-93CA-0275B62C062C}"/>
    <cellStyle name="Comma 15 2 4 3 3" xfId="19040" xr:uid="{9D8ED071-3187-4AED-89CF-064DFB8E2F5D}"/>
    <cellStyle name="Comma 15 2 4 3 3 2" xfId="49280" xr:uid="{8D792028-B919-4B7B-847C-CA82AE563899}"/>
    <cellStyle name="Comma 15 2 4 3 4" xfId="34160" xr:uid="{93EC21E4-88C6-4869-85D8-517D304820D6}"/>
    <cellStyle name="Comma 15 2 4 4" xfId="5432" xr:uid="{62FEDB4B-7382-4EA3-A75B-A94015738345}"/>
    <cellStyle name="Comma 15 2 4 4 2" xfId="14504" xr:uid="{CE52FC65-F7BB-40F4-81BE-43F1A7050491}"/>
    <cellStyle name="Comma 15 2 4 4 2 2" xfId="29624" xr:uid="{C0502D36-BB8A-44E2-8AAF-159BFEF6F033}"/>
    <cellStyle name="Comma 15 2 4 4 2 2 2" xfId="59864" xr:uid="{5A383E10-6B75-47FD-950A-9265D7D038FB}"/>
    <cellStyle name="Comma 15 2 4 4 2 3" xfId="44744" xr:uid="{8911200B-D1AC-4172-95F2-27EC999A824E}"/>
    <cellStyle name="Comma 15 2 4 4 3" xfId="20552" xr:uid="{1F523A22-E252-4C71-BC8A-36C13E74E13F}"/>
    <cellStyle name="Comma 15 2 4 4 3 2" xfId="50792" xr:uid="{7D1D18C2-9701-4919-9163-447DB9FCD8B4}"/>
    <cellStyle name="Comma 15 2 4 4 4" xfId="35672" xr:uid="{26D1BEAF-3E09-4426-BE6E-7796C1749372}"/>
    <cellStyle name="Comma 15 2 4 5" xfId="6944" xr:uid="{E4DAFED6-4201-471C-8CE6-F20B26487358}"/>
    <cellStyle name="Comma 15 2 4 5 2" xfId="22064" xr:uid="{D4A6B85C-62B4-4651-BFCF-29F5EB119A8B}"/>
    <cellStyle name="Comma 15 2 4 5 2 2" xfId="52304" xr:uid="{E2308C5C-8CB5-4CF5-8628-FB41EABCCD51}"/>
    <cellStyle name="Comma 15 2 4 5 3" xfId="37184" xr:uid="{76CB33C0-20FC-44BB-A1CE-6A0EB9D64A1D}"/>
    <cellStyle name="Comma 15 2 4 6" xfId="8456" xr:uid="{23CF58FA-3211-4E0D-BD84-1B891395D06A}"/>
    <cellStyle name="Comma 15 2 4 6 2" xfId="23576" xr:uid="{474DE94C-1A5E-4FB0-A3BC-0B5BB4E27FB5}"/>
    <cellStyle name="Comma 15 2 4 6 2 2" xfId="53816" xr:uid="{92A83CEA-61A1-4BBF-8FE6-276E583FCB6F}"/>
    <cellStyle name="Comma 15 2 4 6 3" xfId="38696" xr:uid="{D41DD0D3-71BA-4185-BE9C-50A0FFE666E0}"/>
    <cellStyle name="Comma 15 2 4 7" xfId="9968" xr:uid="{ABF4A92C-FB68-4F4D-B3C8-490BF5627D56}"/>
    <cellStyle name="Comma 15 2 4 7 2" xfId="25088" xr:uid="{F8600295-AB7D-4B9F-9CCF-62EF04DB16E3}"/>
    <cellStyle name="Comma 15 2 4 7 2 2" xfId="55328" xr:uid="{4CA1D4B6-F921-4604-AFC9-4A573D35CE91}"/>
    <cellStyle name="Comma 15 2 4 7 3" xfId="40208" xr:uid="{01C2876D-B385-4E07-998E-FA748FA18D4A}"/>
    <cellStyle name="Comma 15 2 4 8" xfId="16016" xr:uid="{23D65338-9841-4555-B6B3-0A1775F4F457}"/>
    <cellStyle name="Comma 15 2 4 8 2" xfId="46256" xr:uid="{D6E73137-479F-4033-BC0F-15248A0DF746}"/>
    <cellStyle name="Comma 15 2 4 9" xfId="31136" xr:uid="{87571AA5-6883-47BB-9E73-7BAAB2A440C8}"/>
    <cellStyle name="Comma 15 2 5" xfId="1652" xr:uid="{DC04EAAA-30CF-450D-B289-9CA79E9F3269}"/>
    <cellStyle name="Comma 15 2 5 2" xfId="10724" xr:uid="{594CBC34-E786-4B59-ABC6-8B9E11835B26}"/>
    <cellStyle name="Comma 15 2 5 2 2" xfId="25844" xr:uid="{5B3CAADE-CEBC-4481-9739-0C620DC54117}"/>
    <cellStyle name="Comma 15 2 5 2 2 2" xfId="56084" xr:uid="{0FB09D01-6624-4832-84D3-7B07AD9C9A0E}"/>
    <cellStyle name="Comma 15 2 5 2 3" xfId="40964" xr:uid="{83831A07-39E7-43D0-B2BE-9D5A28EE3794}"/>
    <cellStyle name="Comma 15 2 5 3" xfId="16772" xr:uid="{A6160012-C2F4-4AB8-BB2E-12321512A09D}"/>
    <cellStyle name="Comma 15 2 5 3 2" xfId="47012" xr:uid="{BF5EB82F-96E2-41D7-B77C-A99C1B177936}"/>
    <cellStyle name="Comma 15 2 5 4" xfId="31892" xr:uid="{10DF05FA-824E-4024-B928-EEE95661E924}"/>
    <cellStyle name="Comma 15 2 6" xfId="3164" xr:uid="{48164181-C361-43F1-A891-E6304A73CFD1}"/>
    <cellStyle name="Comma 15 2 6 2" xfId="12236" xr:uid="{FBE2E5C1-EF9E-4510-A39C-EC80972B6F71}"/>
    <cellStyle name="Comma 15 2 6 2 2" xfId="27356" xr:uid="{0627484A-57BB-48EF-BBA7-EDB9DA2383CE}"/>
    <cellStyle name="Comma 15 2 6 2 2 2" xfId="57596" xr:uid="{F020807B-4CFF-451E-8544-2B770014F19C}"/>
    <cellStyle name="Comma 15 2 6 2 3" xfId="42476" xr:uid="{1CC10F1B-EB37-4624-9873-72C2068BDBCD}"/>
    <cellStyle name="Comma 15 2 6 3" xfId="18284" xr:uid="{59D161C4-0BB4-407F-B15E-C6D0F6916921}"/>
    <cellStyle name="Comma 15 2 6 3 2" xfId="48524" xr:uid="{2257E992-8AEF-48A3-807E-0ADBB26B1D4A}"/>
    <cellStyle name="Comma 15 2 6 4" xfId="33404" xr:uid="{0AF5EF39-C8C9-414C-A4C2-D5685C5E6CCD}"/>
    <cellStyle name="Comma 15 2 7" xfId="4676" xr:uid="{2D4A2C89-95C5-49D2-8E84-D0607511EDA2}"/>
    <cellStyle name="Comma 15 2 7 2" xfId="13748" xr:uid="{61FC6107-CEA9-427F-89EF-49EE33058210}"/>
    <cellStyle name="Comma 15 2 7 2 2" xfId="28868" xr:uid="{A792246B-A3C2-4511-9C08-3D13EC422848}"/>
    <cellStyle name="Comma 15 2 7 2 2 2" xfId="59108" xr:uid="{C0E7CDE9-1C0E-4E35-BEA8-64EA39D4286D}"/>
    <cellStyle name="Comma 15 2 7 2 3" xfId="43988" xr:uid="{5A0870AD-B523-4161-9DEA-50705883521B}"/>
    <cellStyle name="Comma 15 2 7 3" xfId="19796" xr:uid="{B05FD40E-1076-451D-8FE5-31040F6B8BA2}"/>
    <cellStyle name="Comma 15 2 7 3 2" xfId="50036" xr:uid="{B150B16E-8A3F-4BF6-9B6A-34DB8D6D3105}"/>
    <cellStyle name="Comma 15 2 7 4" xfId="34916" xr:uid="{1B61DA07-B8B4-42AB-92CE-865189B4E217}"/>
    <cellStyle name="Comma 15 2 8" xfId="6188" xr:uid="{056EE372-7997-4968-A80F-14898EB8A3AE}"/>
    <cellStyle name="Comma 15 2 8 2" xfId="21308" xr:uid="{DB6AEE41-5711-4523-9268-2171061880F9}"/>
    <cellStyle name="Comma 15 2 8 2 2" xfId="51548" xr:uid="{1AF2EFB9-46A8-4D24-8BB3-253500D1C263}"/>
    <cellStyle name="Comma 15 2 8 3" xfId="36428" xr:uid="{B89B9504-CEC4-4430-86C4-F0DC820CE9DB}"/>
    <cellStyle name="Comma 15 2 9" xfId="7700" xr:uid="{97626731-8FF5-439D-A417-38CF85C2258B}"/>
    <cellStyle name="Comma 15 2 9 2" xfId="22820" xr:uid="{7BB2DCA3-7C9C-4F90-B2C5-72B5C527E5DC}"/>
    <cellStyle name="Comma 15 2 9 2 2" xfId="53060" xr:uid="{A1A99508-2479-4D26-9B67-F9DFC2E0FAA0}"/>
    <cellStyle name="Comma 15 2 9 3" xfId="37940" xr:uid="{E430582D-8B26-4F58-B9F8-58B486CDBBAA}"/>
    <cellStyle name="Comma 15 3" xfId="224" xr:uid="{00436670-C8E9-43AE-8F27-699382397A4C}"/>
    <cellStyle name="Comma 15 3 10" xfId="9296" xr:uid="{AF8BC1EA-C799-406B-9BD3-2861648AFECC}"/>
    <cellStyle name="Comma 15 3 10 2" xfId="24416" xr:uid="{4AD0B5E0-D7DC-4F6A-8D02-EA80D75AF385}"/>
    <cellStyle name="Comma 15 3 10 2 2" xfId="54656" xr:uid="{6D059073-DA68-4E2E-A708-60E7F145C797}"/>
    <cellStyle name="Comma 15 3 10 3" xfId="39536" xr:uid="{1A90FBF2-71CC-45E0-9782-F35614B2F2DB}"/>
    <cellStyle name="Comma 15 3 11" xfId="15344" xr:uid="{87CB6F43-3475-4D23-8810-69E349338A88}"/>
    <cellStyle name="Comma 15 3 11 2" xfId="45584" xr:uid="{B2058F49-0969-4B58-BBDB-DCBCF5079D35}"/>
    <cellStyle name="Comma 15 3 12" xfId="30464" xr:uid="{0E3E5CD4-EAED-48DF-87CC-C3E069226330}"/>
    <cellStyle name="Comma 15 3 2" xfId="476" xr:uid="{8D24D960-01E0-4383-9FD4-D8A21785A86B}"/>
    <cellStyle name="Comma 15 3 2 10" xfId="30716" xr:uid="{D197003C-531A-4DD3-B8C1-E6DFA52CBBD2}"/>
    <cellStyle name="Comma 15 3 2 2" xfId="1232" xr:uid="{598EC0EC-E372-4248-889F-BB54B91C2C6F}"/>
    <cellStyle name="Comma 15 3 2 2 2" xfId="2744" xr:uid="{75AC07CD-9B49-43A9-8854-A0DD567E98E7}"/>
    <cellStyle name="Comma 15 3 2 2 2 2" xfId="11816" xr:uid="{7C37B549-DC38-46B6-8597-55927355EE61}"/>
    <cellStyle name="Comma 15 3 2 2 2 2 2" xfId="26936" xr:uid="{CEAE75A9-28D5-4E31-89C8-8102D905C453}"/>
    <cellStyle name="Comma 15 3 2 2 2 2 2 2" xfId="57176" xr:uid="{CD6790CD-BE59-440B-847B-6CA495A2E589}"/>
    <cellStyle name="Comma 15 3 2 2 2 2 3" xfId="42056" xr:uid="{8FE8A41B-0CAB-45D9-BC98-921EC4897207}"/>
    <cellStyle name="Comma 15 3 2 2 2 3" xfId="17864" xr:uid="{B7E173E3-1FDE-48AE-85D8-8D296E317D97}"/>
    <cellStyle name="Comma 15 3 2 2 2 3 2" xfId="48104" xr:uid="{CDD8D426-CD05-4F9C-AC08-3D5B2F365D28}"/>
    <cellStyle name="Comma 15 3 2 2 2 4" xfId="32984" xr:uid="{47A8E9CE-E714-4FE7-B657-628B018C2674}"/>
    <cellStyle name="Comma 15 3 2 2 3" xfId="4256" xr:uid="{DAD6D916-1406-4059-AA2F-33351891C546}"/>
    <cellStyle name="Comma 15 3 2 2 3 2" xfId="13328" xr:uid="{7FC1409C-1662-49F8-9D9B-E03537399A2C}"/>
    <cellStyle name="Comma 15 3 2 2 3 2 2" xfId="28448" xr:uid="{8184CF95-FE7D-444F-8ABA-8C3CE0E370B8}"/>
    <cellStyle name="Comma 15 3 2 2 3 2 2 2" xfId="58688" xr:uid="{A6146E26-5246-427A-B33F-AB5FF7B44906}"/>
    <cellStyle name="Comma 15 3 2 2 3 2 3" xfId="43568" xr:uid="{7DDCC1CE-7005-4259-8637-E279EE4CC677}"/>
    <cellStyle name="Comma 15 3 2 2 3 3" xfId="19376" xr:uid="{CCC94C7B-792A-4204-AA9E-9CE73BCA3D50}"/>
    <cellStyle name="Comma 15 3 2 2 3 3 2" xfId="49616" xr:uid="{17CC5A91-3F6F-4659-B123-957079E390B4}"/>
    <cellStyle name="Comma 15 3 2 2 3 4" xfId="34496" xr:uid="{35BA072C-FFA0-4062-B747-B3992C06EBC8}"/>
    <cellStyle name="Comma 15 3 2 2 4" xfId="5768" xr:uid="{29664587-AF94-4CA6-BF05-F1D9B6F94AB9}"/>
    <cellStyle name="Comma 15 3 2 2 4 2" xfId="14840" xr:uid="{AE397F71-6B21-40E9-8B8F-DE58F7023022}"/>
    <cellStyle name="Comma 15 3 2 2 4 2 2" xfId="29960" xr:uid="{90A58B0F-DDC7-441F-BD60-FDE45261A19B}"/>
    <cellStyle name="Comma 15 3 2 2 4 2 2 2" xfId="60200" xr:uid="{D9FF0F51-8D7C-46ED-BDA1-514DC2E8022A}"/>
    <cellStyle name="Comma 15 3 2 2 4 2 3" xfId="45080" xr:uid="{528C3143-0A19-45AB-9074-686E2805082E}"/>
    <cellStyle name="Comma 15 3 2 2 4 3" xfId="20888" xr:uid="{706E1E0C-64E1-4F45-AAE3-390D8557852C}"/>
    <cellStyle name="Comma 15 3 2 2 4 3 2" xfId="51128" xr:uid="{57572EA0-DE80-4771-B18E-8D4DD1C6CF5B}"/>
    <cellStyle name="Comma 15 3 2 2 4 4" xfId="36008" xr:uid="{5C1FF855-B3A8-4CA5-B5A8-9A5391E17F37}"/>
    <cellStyle name="Comma 15 3 2 2 5" xfId="7280" xr:uid="{960B4A03-1B10-406C-9B68-08E6EB14CB03}"/>
    <cellStyle name="Comma 15 3 2 2 5 2" xfId="22400" xr:uid="{4E90A309-904C-45FE-9D94-37728BBA6D2D}"/>
    <cellStyle name="Comma 15 3 2 2 5 2 2" xfId="52640" xr:uid="{1EDBF18A-1717-4C5B-BD26-348611595618}"/>
    <cellStyle name="Comma 15 3 2 2 5 3" xfId="37520" xr:uid="{89183B47-6803-46E5-80FA-7C38F1D42BB6}"/>
    <cellStyle name="Comma 15 3 2 2 6" xfId="8792" xr:uid="{F0CBEBD0-9B08-4E7D-BCDA-A50B47216A6A}"/>
    <cellStyle name="Comma 15 3 2 2 6 2" xfId="23912" xr:uid="{90E5E3E3-29CC-402A-8CB7-EEDDB9DBB825}"/>
    <cellStyle name="Comma 15 3 2 2 6 2 2" xfId="54152" xr:uid="{09AFD088-BAA4-4203-A553-ACAAE2E864C7}"/>
    <cellStyle name="Comma 15 3 2 2 6 3" xfId="39032" xr:uid="{CC9691B0-0459-4520-B351-15CE9536C85D}"/>
    <cellStyle name="Comma 15 3 2 2 7" xfId="10304" xr:uid="{7137E8A8-C72E-47F0-842C-EE548B1CC08F}"/>
    <cellStyle name="Comma 15 3 2 2 7 2" xfId="25424" xr:uid="{3D6953A3-5739-42D7-9D21-3E6095D8150B}"/>
    <cellStyle name="Comma 15 3 2 2 7 2 2" xfId="55664" xr:uid="{7484C32E-CEA3-4C09-B1A9-A535B654A282}"/>
    <cellStyle name="Comma 15 3 2 2 7 3" xfId="40544" xr:uid="{4D529317-CEBA-4EF4-BB5E-184E86D86CD4}"/>
    <cellStyle name="Comma 15 3 2 2 8" xfId="16352" xr:uid="{D0040432-5FB1-4519-867E-86B0EEFEB3B2}"/>
    <cellStyle name="Comma 15 3 2 2 8 2" xfId="46592" xr:uid="{403A51DB-D75B-4EA2-9D37-9A6F6CBA1B51}"/>
    <cellStyle name="Comma 15 3 2 2 9" xfId="31472" xr:uid="{DA21CFD3-27C5-4757-A225-46330E454C5B}"/>
    <cellStyle name="Comma 15 3 2 3" xfId="1988" xr:uid="{EF4ACE6B-FF6F-4CC0-B071-114C398DF944}"/>
    <cellStyle name="Comma 15 3 2 3 2" xfId="11060" xr:uid="{410D32D0-8AB0-4E1E-8E6C-C1E29D5D2B89}"/>
    <cellStyle name="Comma 15 3 2 3 2 2" xfId="26180" xr:uid="{A8E94AA5-B462-4818-B835-B29683815BE8}"/>
    <cellStyle name="Comma 15 3 2 3 2 2 2" xfId="56420" xr:uid="{72158F64-31E1-4C79-9FEB-534B119196BD}"/>
    <cellStyle name="Comma 15 3 2 3 2 3" xfId="41300" xr:uid="{5A270D09-022D-4117-9C59-7F98748C620C}"/>
    <cellStyle name="Comma 15 3 2 3 3" xfId="17108" xr:uid="{45E2B2EA-36B2-45D3-98FA-83343C68786C}"/>
    <cellStyle name="Comma 15 3 2 3 3 2" xfId="47348" xr:uid="{23E631AD-7E54-4157-98AD-F266CFE67D90}"/>
    <cellStyle name="Comma 15 3 2 3 4" xfId="32228" xr:uid="{BB0259E8-0FE1-4D63-8D1E-730FA3A9DF9B}"/>
    <cellStyle name="Comma 15 3 2 4" xfId="3500" xr:uid="{4F1B0B19-4021-44DF-BC78-CF45D8637A21}"/>
    <cellStyle name="Comma 15 3 2 4 2" xfId="12572" xr:uid="{AA455F20-7ABE-43F9-A68B-28FF0874F6C8}"/>
    <cellStyle name="Comma 15 3 2 4 2 2" xfId="27692" xr:uid="{950C1C34-A7D7-48B5-A680-5C41376CAADB}"/>
    <cellStyle name="Comma 15 3 2 4 2 2 2" xfId="57932" xr:uid="{70CD1AED-CCA0-467D-B6CA-9AC670214FFD}"/>
    <cellStyle name="Comma 15 3 2 4 2 3" xfId="42812" xr:uid="{87F00988-8264-4DD0-AC78-A27757CC2668}"/>
    <cellStyle name="Comma 15 3 2 4 3" xfId="18620" xr:uid="{A7CDF87D-965E-4227-B0AA-5A50B6A81C51}"/>
    <cellStyle name="Comma 15 3 2 4 3 2" xfId="48860" xr:uid="{5881ED89-1151-44AC-AC3D-AC121D9989DF}"/>
    <cellStyle name="Comma 15 3 2 4 4" xfId="33740" xr:uid="{30B06A31-E1B8-4A3B-BCA4-39105D70CD49}"/>
    <cellStyle name="Comma 15 3 2 5" xfId="5012" xr:uid="{0826E983-17ED-46AF-BBE4-6F8AB63E7B7B}"/>
    <cellStyle name="Comma 15 3 2 5 2" xfId="14084" xr:uid="{3884D5C4-BA36-41EF-B6F8-DFA76593E914}"/>
    <cellStyle name="Comma 15 3 2 5 2 2" xfId="29204" xr:uid="{1D85F71B-4103-41B0-A563-65707E2279ED}"/>
    <cellStyle name="Comma 15 3 2 5 2 2 2" xfId="59444" xr:uid="{5203379F-6275-4BD5-BF54-37BEAC447547}"/>
    <cellStyle name="Comma 15 3 2 5 2 3" xfId="44324" xr:uid="{62CCD542-C73F-4D5F-961F-BB44CCE93BDD}"/>
    <cellStyle name="Comma 15 3 2 5 3" xfId="20132" xr:uid="{90AED3CD-D751-4903-B113-2D6899281B31}"/>
    <cellStyle name="Comma 15 3 2 5 3 2" xfId="50372" xr:uid="{22D0DBE6-AACF-4660-9D3E-4E4CC29C1B5A}"/>
    <cellStyle name="Comma 15 3 2 5 4" xfId="35252" xr:uid="{98EBF2C9-94F1-4CF5-BC52-A386339628AD}"/>
    <cellStyle name="Comma 15 3 2 6" xfId="6524" xr:uid="{6F908556-FFBA-4164-B270-D05634A79BD7}"/>
    <cellStyle name="Comma 15 3 2 6 2" xfId="21644" xr:uid="{9D25B6AF-D53D-40AA-95BB-3C36CA6F9F40}"/>
    <cellStyle name="Comma 15 3 2 6 2 2" xfId="51884" xr:uid="{304A98FD-7605-45B5-B11B-AB90CE997C7E}"/>
    <cellStyle name="Comma 15 3 2 6 3" xfId="36764" xr:uid="{52D6F490-3B9D-47F1-8366-A6F543E5382C}"/>
    <cellStyle name="Comma 15 3 2 7" xfId="8036" xr:uid="{80E0432D-4614-43A1-A27F-823F4A77A94E}"/>
    <cellStyle name="Comma 15 3 2 7 2" xfId="23156" xr:uid="{39D95CB9-42D0-426D-95C7-37B099FAB8C4}"/>
    <cellStyle name="Comma 15 3 2 7 2 2" xfId="53396" xr:uid="{F599F5E2-72F7-4B6E-BA2D-4DC0E7D7B3A8}"/>
    <cellStyle name="Comma 15 3 2 7 3" xfId="38276" xr:uid="{8A08A088-9B1A-4C98-87CD-6EE94D10BAE5}"/>
    <cellStyle name="Comma 15 3 2 8" xfId="9548" xr:uid="{7740B533-A7EF-4AA1-88CA-CF23689A859A}"/>
    <cellStyle name="Comma 15 3 2 8 2" xfId="24668" xr:uid="{0095750C-5B40-402E-AE09-F21C3FF7011B}"/>
    <cellStyle name="Comma 15 3 2 8 2 2" xfId="54908" xr:uid="{58F51B17-F9A0-4477-8C13-B1DCCE92E9BB}"/>
    <cellStyle name="Comma 15 3 2 8 3" xfId="39788" xr:uid="{106743A3-8832-4658-8B53-EEBB89B33028}"/>
    <cellStyle name="Comma 15 3 2 9" xfId="15596" xr:uid="{640C4D29-C290-4D46-93F3-41148C7AE8F3}"/>
    <cellStyle name="Comma 15 3 2 9 2" xfId="45836" xr:uid="{7DE43BE3-1A23-491A-85B3-4ACF761ECC45}"/>
    <cellStyle name="Comma 15 3 3" xfId="728" xr:uid="{87DDBBFB-A995-4A51-ADFC-0506F38DE6CA}"/>
    <cellStyle name="Comma 15 3 3 10" xfId="30968" xr:uid="{0C84099C-26C0-4E16-A117-784BF5542817}"/>
    <cellStyle name="Comma 15 3 3 2" xfId="1484" xr:uid="{4A86E40E-5DD6-4361-B3C9-D2F54847770D}"/>
    <cellStyle name="Comma 15 3 3 2 2" xfId="2996" xr:uid="{81CC8C1C-CAD4-4D22-9011-D1AB6918A232}"/>
    <cellStyle name="Comma 15 3 3 2 2 2" xfId="12068" xr:uid="{1035F6A6-729A-4FCF-BFF2-85E838F79CF7}"/>
    <cellStyle name="Comma 15 3 3 2 2 2 2" xfId="27188" xr:uid="{F0490A32-6F90-4CC5-85F6-D26C1E52FA0A}"/>
    <cellStyle name="Comma 15 3 3 2 2 2 2 2" xfId="57428" xr:uid="{DEE13A4E-EEF6-466B-A894-765552B2EED8}"/>
    <cellStyle name="Comma 15 3 3 2 2 2 3" xfId="42308" xr:uid="{CDEEAD40-9557-44C2-8558-20952577882B}"/>
    <cellStyle name="Comma 15 3 3 2 2 3" xfId="18116" xr:uid="{1261E01C-D788-433B-AC1A-CBD3398BA066}"/>
    <cellStyle name="Comma 15 3 3 2 2 3 2" xfId="48356" xr:uid="{07D7D509-22B9-4614-BA96-53AFB64B08CC}"/>
    <cellStyle name="Comma 15 3 3 2 2 4" xfId="33236" xr:uid="{5A6F12C0-AC2F-438E-96F1-1EE289033ECA}"/>
    <cellStyle name="Comma 15 3 3 2 3" xfId="4508" xr:uid="{423F5FE7-8BEE-4B03-9662-2916FAEFD3DB}"/>
    <cellStyle name="Comma 15 3 3 2 3 2" xfId="13580" xr:uid="{E6F7E1DB-63AB-4756-8604-6DFB2826897D}"/>
    <cellStyle name="Comma 15 3 3 2 3 2 2" xfId="28700" xr:uid="{7B45C3F5-E050-436E-B0A1-0CA93EFFDBA1}"/>
    <cellStyle name="Comma 15 3 3 2 3 2 2 2" xfId="58940" xr:uid="{33B0176C-74A8-4E11-A1EC-2E38F2665309}"/>
    <cellStyle name="Comma 15 3 3 2 3 2 3" xfId="43820" xr:uid="{1A17D0F3-832A-4C57-B66E-5FEB291A195A}"/>
    <cellStyle name="Comma 15 3 3 2 3 3" xfId="19628" xr:uid="{BF5220F3-8618-410B-A059-3F3FE9B48E4C}"/>
    <cellStyle name="Comma 15 3 3 2 3 3 2" xfId="49868" xr:uid="{1E034A8F-B150-45F1-B579-3491287D5433}"/>
    <cellStyle name="Comma 15 3 3 2 3 4" xfId="34748" xr:uid="{4505FE53-9BDC-4BBC-A59B-551775E29F0B}"/>
    <cellStyle name="Comma 15 3 3 2 4" xfId="6020" xr:uid="{D0DE6329-CCDD-4FE3-965C-EDDCE2E775C3}"/>
    <cellStyle name="Comma 15 3 3 2 4 2" xfId="15092" xr:uid="{0E36083C-8096-4089-9855-758D2BA5C49A}"/>
    <cellStyle name="Comma 15 3 3 2 4 2 2" xfId="30212" xr:uid="{F1A80DEF-5ECB-4427-9293-F36BB13EE0BD}"/>
    <cellStyle name="Comma 15 3 3 2 4 2 2 2" xfId="60452" xr:uid="{9ACC687B-7003-41C2-9FA8-F24B5FF48EFB}"/>
    <cellStyle name="Comma 15 3 3 2 4 2 3" xfId="45332" xr:uid="{BD1664F9-6679-4AD5-AB2E-1EB7B940CD82}"/>
    <cellStyle name="Comma 15 3 3 2 4 3" xfId="21140" xr:uid="{9EA31ABE-1187-4F92-AF28-BBA07EB8357E}"/>
    <cellStyle name="Comma 15 3 3 2 4 3 2" xfId="51380" xr:uid="{35AAE14E-FF3F-4A4F-871E-D62D82B27AEE}"/>
    <cellStyle name="Comma 15 3 3 2 4 4" xfId="36260" xr:uid="{67ACB82B-01D2-4183-A0EC-419DE10FBF7C}"/>
    <cellStyle name="Comma 15 3 3 2 5" xfId="7532" xr:uid="{23BF8021-C60A-4946-B443-95407837A993}"/>
    <cellStyle name="Comma 15 3 3 2 5 2" xfId="22652" xr:uid="{294EC157-7B4F-4F4D-A5AB-2CAFDBF15420}"/>
    <cellStyle name="Comma 15 3 3 2 5 2 2" xfId="52892" xr:uid="{FB2FA3E7-C0B9-4ADE-9ABA-B2991D69B6E1}"/>
    <cellStyle name="Comma 15 3 3 2 5 3" xfId="37772" xr:uid="{196D4582-35E9-463E-ACF7-12900F61E854}"/>
    <cellStyle name="Comma 15 3 3 2 6" xfId="9044" xr:uid="{E66EA98F-CCD3-42F7-8064-B36C410916A2}"/>
    <cellStyle name="Comma 15 3 3 2 6 2" xfId="24164" xr:uid="{E0988EFD-9B9B-4734-8152-B9B37E5798F1}"/>
    <cellStyle name="Comma 15 3 3 2 6 2 2" xfId="54404" xr:uid="{5182E734-2A95-4171-BE8C-537C784DF21A}"/>
    <cellStyle name="Comma 15 3 3 2 6 3" xfId="39284" xr:uid="{3B5A4C8C-FFE3-4F35-8B53-A1B682C0C207}"/>
    <cellStyle name="Comma 15 3 3 2 7" xfId="10556" xr:uid="{121A134D-4B93-4B14-84EF-38FA03753EA7}"/>
    <cellStyle name="Comma 15 3 3 2 7 2" xfId="25676" xr:uid="{9977BC67-98ED-4550-B976-0E3DC0913D4F}"/>
    <cellStyle name="Comma 15 3 3 2 7 2 2" xfId="55916" xr:uid="{2E80698F-F9C6-4E32-AF78-9E592C1FADB9}"/>
    <cellStyle name="Comma 15 3 3 2 7 3" xfId="40796" xr:uid="{73FFBAAF-F505-4294-A64E-AA06D496F990}"/>
    <cellStyle name="Comma 15 3 3 2 8" xfId="16604" xr:uid="{6F4733D3-0F21-4F84-9790-FF729B93E766}"/>
    <cellStyle name="Comma 15 3 3 2 8 2" xfId="46844" xr:uid="{0D9C7111-3774-4BA7-9386-2401C8AA8324}"/>
    <cellStyle name="Comma 15 3 3 2 9" xfId="31724" xr:uid="{B06D77F3-08F6-42A9-A858-0BB6A7DC8962}"/>
    <cellStyle name="Comma 15 3 3 3" xfId="2240" xr:uid="{0884A969-0EBD-4693-9A62-3CA13CDDD75B}"/>
    <cellStyle name="Comma 15 3 3 3 2" xfId="11312" xr:uid="{8629A3BA-A1FF-4692-BE97-882878A2A8B7}"/>
    <cellStyle name="Comma 15 3 3 3 2 2" xfId="26432" xr:uid="{7332FE0E-C5CA-4610-92C9-72BF75D01784}"/>
    <cellStyle name="Comma 15 3 3 3 2 2 2" xfId="56672" xr:uid="{E01E61DD-4C89-438B-8F1A-1CB86228252D}"/>
    <cellStyle name="Comma 15 3 3 3 2 3" xfId="41552" xr:uid="{CD4D9A7C-D87F-4E8A-B407-24F2ABD0810D}"/>
    <cellStyle name="Comma 15 3 3 3 3" xfId="17360" xr:uid="{6E3EB3A6-F1A8-4E38-9EAB-37EC727868CE}"/>
    <cellStyle name="Comma 15 3 3 3 3 2" xfId="47600" xr:uid="{64105398-EE5F-4391-BD08-EF472464B768}"/>
    <cellStyle name="Comma 15 3 3 3 4" xfId="32480" xr:uid="{8D5BA39C-A493-4B85-AA2F-42BCB0A7E92C}"/>
    <cellStyle name="Comma 15 3 3 4" xfId="3752" xr:uid="{4948FBE0-BE90-4A1F-BBF5-248B9CBD02D8}"/>
    <cellStyle name="Comma 15 3 3 4 2" xfId="12824" xr:uid="{BD76DF61-99A1-4E55-8FA6-10AE147D52BA}"/>
    <cellStyle name="Comma 15 3 3 4 2 2" xfId="27944" xr:uid="{B2183EA3-E613-4620-ADAD-B52B39C9BB92}"/>
    <cellStyle name="Comma 15 3 3 4 2 2 2" xfId="58184" xr:uid="{AE953357-ACF3-47A9-9444-B61438256DB1}"/>
    <cellStyle name="Comma 15 3 3 4 2 3" xfId="43064" xr:uid="{C2405F19-969E-4EBD-9758-9BA4834B51ED}"/>
    <cellStyle name="Comma 15 3 3 4 3" xfId="18872" xr:uid="{75414A96-C558-49FC-A9E3-7E73C974A674}"/>
    <cellStyle name="Comma 15 3 3 4 3 2" xfId="49112" xr:uid="{2BEF99F0-5421-462B-A6BB-DC2351B3B749}"/>
    <cellStyle name="Comma 15 3 3 4 4" xfId="33992" xr:uid="{82DDA0AD-7405-4CA8-99F0-A7D710318C42}"/>
    <cellStyle name="Comma 15 3 3 5" xfId="5264" xr:uid="{C230873F-9D51-49CC-A297-B5B83ABB7335}"/>
    <cellStyle name="Comma 15 3 3 5 2" xfId="14336" xr:uid="{0AD18005-D1C8-4B40-B5B1-9BFF9FB0C25E}"/>
    <cellStyle name="Comma 15 3 3 5 2 2" xfId="29456" xr:uid="{E1B9A8E5-1411-4CF4-8A0F-18BE10284E5F}"/>
    <cellStyle name="Comma 15 3 3 5 2 2 2" xfId="59696" xr:uid="{718173FC-3B19-41DB-A27C-828DDBC329FE}"/>
    <cellStyle name="Comma 15 3 3 5 2 3" xfId="44576" xr:uid="{A09387C8-BA3D-4150-A093-4A38C13938E9}"/>
    <cellStyle name="Comma 15 3 3 5 3" xfId="20384" xr:uid="{CDEFFA97-C83D-48F6-BD90-3AC3D483A093}"/>
    <cellStyle name="Comma 15 3 3 5 3 2" xfId="50624" xr:uid="{AAA421AD-77E5-4E09-9D98-247C9EC4F611}"/>
    <cellStyle name="Comma 15 3 3 5 4" xfId="35504" xr:uid="{F0EF0153-6B14-4BB2-9871-D09A9F4C9D8B}"/>
    <cellStyle name="Comma 15 3 3 6" xfId="6776" xr:uid="{D2C48C12-9EB7-42C1-887F-7EC0EB1EEAC9}"/>
    <cellStyle name="Comma 15 3 3 6 2" xfId="21896" xr:uid="{FDEBFA6B-369D-4279-9B3D-FA53E25CD500}"/>
    <cellStyle name="Comma 15 3 3 6 2 2" xfId="52136" xr:uid="{C19F295C-E9B9-44C0-903D-5331F73FAF01}"/>
    <cellStyle name="Comma 15 3 3 6 3" xfId="37016" xr:uid="{9D35BB1B-8CE6-42ED-96DD-BF2A2B957A81}"/>
    <cellStyle name="Comma 15 3 3 7" xfId="8288" xr:uid="{C4E8D1CF-1DC2-4C05-82D7-BD1C1FB21AB0}"/>
    <cellStyle name="Comma 15 3 3 7 2" xfId="23408" xr:uid="{690A790C-23AC-4225-AC51-E5027B371DB9}"/>
    <cellStyle name="Comma 15 3 3 7 2 2" xfId="53648" xr:uid="{72A2FCBD-70F7-47EE-ACC2-AF39CC85EF03}"/>
    <cellStyle name="Comma 15 3 3 7 3" xfId="38528" xr:uid="{1092B3BA-201B-4A39-94B0-F1B2B44183FF}"/>
    <cellStyle name="Comma 15 3 3 8" xfId="9800" xr:uid="{EB3586C1-505F-4643-888F-C7DC66A78A8D}"/>
    <cellStyle name="Comma 15 3 3 8 2" xfId="24920" xr:uid="{EA5F8A3C-60FE-4A8C-9647-6508CCDD156E}"/>
    <cellStyle name="Comma 15 3 3 8 2 2" xfId="55160" xr:uid="{3C9ECC04-40EE-4C94-9F74-9DB8D1B45AA8}"/>
    <cellStyle name="Comma 15 3 3 8 3" xfId="40040" xr:uid="{34327305-E20E-4EC1-B3F9-5D8E4BF17DF1}"/>
    <cellStyle name="Comma 15 3 3 9" xfId="15848" xr:uid="{5BA7704D-4A14-4445-A461-19C36C8FF7B5}"/>
    <cellStyle name="Comma 15 3 3 9 2" xfId="46088" xr:uid="{5A89BF8E-1C99-45A1-9F8B-FB6345308372}"/>
    <cellStyle name="Comma 15 3 4" xfId="980" xr:uid="{6D3AF94C-D205-4B76-A15E-C8DAEB1AF4EC}"/>
    <cellStyle name="Comma 15 3 4 2" xfId="2492" xr:uid="{1E286A71-DE68-47DC-8B77-9F232F70C524}"/>
    <cellStyle name="Comma 15 3 4 2 2" xfId="11564" xr:uid="{1326A04F-EABE-43CD-B4FF-975BCF7A5F36}"/>
    <cellStyle name="Comma 15 3 4 2 2 2" xfId="26684" xr:uid="{9BF49AC5-61A0-4C31-BDBA-507EB070D153}"/>
    <cellStyle name="Comma 15 3 4 2 2 2 2" xfId="56924" xr:uid="{377F2ABC-8B6D-4535-999D-A48AA9353453}"/>
    <cellStyle name="Comma 15 3 4 2 2 3" xfId="41804" xr:uid="{54EE7FD4-64FF-45D8-ACAF-B338C7032154}"/>
    <cellStyle name="Comma 15 3 4 2 3" xfId="17612" xr:uid="{0615B5E6-855B-4F7F-B610-FB8FE710BE90}"/>
    <cellStyle name="Comma 15 3 4 2 3 2" xfId="47852" xr:uid="{CBE9ED64-CF71-4C3F-B534-FBC5530A57AF}"/>
    <cellStyle name="Comma 15 3 4 2 4" xfId="32732" xr:uid="{AA507FA2-0382-4D59-9071-581C7453FEA6}"/>
    <cellStyle name="Comma 15 3 4 3" xfId="4004" xr:uid="{B0B24735-8BC4-44C0-8EB4-F01155C0C8BE}"/>
    <cellStyle name="Comma 15 3 4 3 2" xfId="13076" xr:uid="{F56A913A-9F78-4058-BB85-6664C988C6CF}"/>
    <cellStyle name="Comma 15 3 4 3 2 2" xfId="28196" xr:uid="{3A9E71D9-BD78-4FA2-BA5D-CE4010EF8019}"/>
    <cellStyle name="Comma 15 3 4 3 2 2 2" xfId="58436" xr:uid="{493EAAD9-5BDA-462B-ABED-D4C6040751D8}"/>
    <cellStyle name="Comma 15 3 4 3 2 3" xfId="43316" xr:uid="{2C902D78-901C-4CBE-A4DA-D570EC07C09A}"/>
    <cellStyle name="Comma 15 3 4 3 3" xfId="19124" xr:uid="{FC31BCD1-CB21-4DEB-8E69-9666DC9EFA72}"/>
    <cellStyle name="Comma 15 3 4 3 3 2" xfId="49364" xr:uid="{81784E18-BB97-4BAD-837F-4EF35D059B00}"/>
    <cellStyle name="Comma 15 3 4 3 4" xfId="34244" xr:uid="{353A18B5-80B4-4318-8227-794A721B63FC}"/>
    <cellStyle name="Comma 15 3 4 4" xfId="5516" xr:uid="{74DA9267-42FA-43B3-A335-56130BAD9E17}"/>
    <cellStyle name="Comma 15 3 4 4 2" xfId="14588" xr:uid="{3B0218A3-4B39-4707-8959-73EEA09EAC44}"/>
    <cellStyle name="Comma 15 3 4 4 2 2" xfId="29708" xr:uid="{D1B26BF1-31C0-4AEE-A12A-BD35C954AF43}"/>
    <cellStyle name="Comma 15 3 4 4 2 2 2" xfId="59948" xr:uid="{2EBB5431-2248-40CD-AABB-FBB3C92DC89B}"/>
    <cellStyle name="Comma 15 3 4 4 2 3" xfId="44828" xr:uid="{CA2E7643-182D-486B-AA06-4FCDC3EC03E8}"/>
    <cellStyle name="Comma 15 3 4 4 3" xfId="20636" xr:uid="{B61EECAB-148A-4956-9447-0CA55078ED62}"/>
    <cellStyle name="Comma 15 3 4 4 3 2" xfId="50876" xr:uid="{CB25B27C-84B2-40ED-9BCE-52A7A9A6D76C}"/>
    <cellStyle name="Comma 15 3 4 4 4" xfId="35756" xr:uid="{9A20BAFC-8929-4CD5-BBC5-A2C21AEAA0F3}"/>
    <cellStyle name="Comma 15 3 4 5" xfId="7028" xr:uid="{C7724E9F-DABD-482D-ACF0-2D378B51E34C}"/>
    <cellStyle name="Comma 15 3 4 5 2" xfId="22148" xr:uid="{057D7F56-F589-4EBA-8F3C-759697ACDDB3}"/>
    <cellStyle name="Comma 15 3 4 5 2 2" xfId="52388" xr:uid="{3929B138-06BD-4F78-A70C-716C60628726}"/>
    <cellStyle name="Comma 15 3 4 5 3" xfId="37268" xr:uid="{1B523491-A65B-4679-8CAC-36D7AEC6AE94}"/>
    <cellStyle name="Comma 15 3 4 6" xfId="8540" xr:uid="{7BC4033A-C831-4D47-927C-6CF02FDC4070}"/>
    <cellStyle name="Comma 15 3 4 6 2" xfId="23660" xr:uid="{5EBF1545-BB8D-4265-B997-15CF0B03DA6B}"/>
    <cellStyle name="Comma 15 3 4 6 2 2" xfId="53900" xr:uid="{CC120232-F29A-440D-B95A-B89CBE01465B}"/>
    <cellStyle name="Comma 15 3 4 6 3" xfId="38780" xr:uid="{B003B47B-A4AC-4C5E-9E20-A150D2D0378F}"/>
    <cellStyle name="Comma 15 3 4 7" xfId="10052" xr:uid="{F5B72967-F2A2-41AE-83F4-E558992FD424}"/>
    <cellStyle name="Comma 15 3 4 7 2" xfId="25172" xr:uid="{EF1BEA8A-390E-44EA-94B0-271A790AFC2C}"/>
    <cellStyle name="Comma 15 3 4 7 2 2" xfId="55412" xr:uid="{1BDB1DC1-4D95-4A15-BAAC-73BAA8932120}"/>
    <cellStyle name="Comma 15 3 4 7 3" xfId="40292" xr:uid="{02E7BAC8-CAE6-4E7E-9813-2DDEE3CCDE28}"/>
    <cellStyle name="Comma 15 3 4 8" xfId="16100" xr:uid="{7D85EA4B-8FE3-4CD6-899F-073326DBCD91}"/>
    <cellStyle name="Comma 15 3 4 8 2" xfId="46340" xr:uid="{505F8F49-7D7C-45A3-8CEA-4D8DEB2529E5}"/>
    <cellStyle name="Comma 15 3 4 9" xfId="31220" xr:uid="{CE67A7D7-3925-432D-8FFF-FA5300EF4EA7}"/>
    <cellStyle name="Comma 15 3 5" xfId="1736" xr:uid="{4274F359-D8CE-4D72-9D41-1397B6A31FA6}"/>
    <cellStyle name="Comma 15 3 5 2" xfId="10808" xr:uid="{8F573638-90B0-48EE-AC22-C31734937BD8}"/>
    <cellStyle name="Comma 15 3 5 2 2" xfId="25928" xr:uid="{CCBB533D-D6D0-4BB1-8FC7-283AFA2CA5F2}"/>
    <cellStyle name="Comma 15 3 5 2 2 2" xfId="56168" xr:uid="{19D0EAA1-FA3C-4466-83BB-010EF5112AB4}"/>
    <cellStyle name="Comma 15 3 5 2 3" xfId="41048" xr:uid="{AAC5798E-A57D-482D-8EF7-8C0D96F04A7E}"/>
    <cellStyle name="Comma 15 3 5 3" xfId="16856" xr:uid="{C4D7EAD5-C8AB-4A3C-8292-B8F7D2E831EA}"/>
    <cellStyle name="Comma 15 3 5 3 2" xfId="47096" xr:uid="{C513896F-8B68-4C9F-A07D-694A91D5A8E7}"/>
    <cellStyle name="Comma 15 3 5 4" xfId="31976" xr:uid="{13EAB224-455D-417A-B1C5-7B2515D06938}"/>
    <cellStyle name="Comma 15 3 6" xfId="3248" xr:uid="{08A0E230-A540-4514-9A72-2CE1AEE19283}"/>
    <cellStyle name="Comma 15 3 6 2" xfId="12320" xr:uid="{25A30BCB-2EF3-4957-BC45-0A8B1DA85C4B}"/>
    <cellStyle name="Comma 15 3 6 2 2" xfId="27440" xr:uid="{622251B6-D736-461C-B84C-35182B2FE03D}"/>
    <cellStyle name="Comma 15 3 6 2 2 2" xfId="57680" xr:uid="{26A3C447-1BAF-434B-BF83-421678128151}"/>
    <cellStyle name="Comma 15 3 6 2 3" xfId="42560" xr:uid="{EEA63D8B-669F-4C3D-BC66-B2FF904437B0}"/>
    <cellStyle name="Comma 15 3 6 3" xfId="18368" xr:uid="{E05DA902-89EC-4948-87C9-50C7FC702E1D}"/>
    <cellStyle name="Comma 15 3 6 3 2" xfId="48608" xr:uid="{9B61778B-D438-4798-8AB6-3634D913722A}"/>
    <cellStyle name="Comma 15 3 6 4" xfId="33488" xr:uid="{6658B720-3727-4E80-A173-F20384BDA414}"/>
    <cellStyle name="Comma 15 3 7" xfId="4760" xr:uid="{3BE97047-5AE3-41C7-AFF8-CC5B8C081FE9}"/>
    <cellStyle name="Comma 15 3 7 2" xfId="13832" xr:uid="{40618AEC-6519-4141-827B-9CCD11D99AE1}"/>
    <cellStyle name="Comma 15 3 7 2 2" xfId="28952" xr:uid="{19737EC7-013F-4955-9E28-30CEBE7B52FF}"/>
    <cellStyle name="Comma 15 3 7 2 2 2" xfId="59192" xr:uid="{94A2658A-6FAE-41DE-AF82-E4B317748A66}"/>
    <cellStyle name="Comma 15 3 7 2 3" xfId="44072" xr:uid="{A75AC01B-21B8-4809-AB53-C4C967FCEC99}"/>
    <cellStyle name="Comma 15 3 7 3" xfId="19880" xr:uid="{E8A9C0D2-4021-426C-8794-105260F6233B}"/>
    <cellStyle name="Comma 15 3 7 3 2" xfId="50120" xr:uid="{CE2E9D85-0129-481F-9209-270B3BEC64BE}"/>
    <cellStyle name="Comma 15 3 7 4" xfId="35000" xr:uid="{86C45095-7E42-4B0B-9588-9FCCB31432E6}"/>
    <cellStyle name="Comma 15 3 8" xfId="6272" xr:uid="{01EC7605-82C1-4B23-9135-D1FCC07682E8}"/>
    <cellStyle name="Comma 15 3 8 2" xfId="21392" xr:uid="{518EE575-7DF3-4331-9D52-692EEDDB4065}"/>
    <cellStyle name="Comma 15 3 8 2 2" xfId="51632" xr:uid="{1613DF4F-A5F9-4E88-9264-38DDB002DA6A}"/>
    <cellStyle name="Comma 15 3 8 3" xfId="36512" xr:uid="{25D411FD-6BD2-4848-B02A-F990DB9D1CDE}"/>
    <cellStyle name="Comma 15 3 9" xfId="7784" xr:uid="{48D44672-D5D5-4E91-AB6A-3FDD04A1EB7F}"/>
    <cellStyle name="Comma 15 3 9 2" xfId="22904" xr:uid="{87068456-A5C0-4B1F-9673-9DE94790ACD4}"/>
    <cellStyle name="Comma 15 3 9 2 2" xfId="53144" xr:uid="{AC839351-2D8C-4F8B-98D3-9856EE979905}"/>
    <cellStyle name="Comma 15 3 9 3" xfId="38024" xr:uid="{E114D684-0B31-4385-AE97-9167D0A121EB}"/>
    <cellStyle name="Comma 15 4" xfId="308" xr:uid="{C80F2817-0895-449A-BA39-0F523047407F}"/>
    <cellStyle name="Comma 15 4 10" xfId="30548" xr:uid="{B16E78E5-C24E-4E53-A56D-27AD2B6357F4}"/>
    <cellStyle name="Comma 15 4 2" xfId="1064" xr:uid="{1EF8640B-AA4A-4A4F-86F9-EB995CD672D3}"/>
    <cellStyle name="Comma 15 4 2 2" xfId="2576" xr:uid="{9B5D8C73-E876-4EB9-AD5C-266A79233D7F}"/>
    <cellStyle name="Comma 15 4 2 2 2" xfId="11648" xr:uid="{F0B2A48D-2DE2-4F9D-9C94-592C77D6669D}"/>
    <cellStyle name="Comma 15 4 2 2 2 2" xfId="26768" xr:uid="{9E8E77F6-0F5E-41F2-AB06-E39E1B3C3A1F}"/>
    <cellStyle name="Comma 15 4 2 2 2 2 2" xfId="57008" xr:uid="{E13A790C-F9F7-4F69-997C-089D097B04DD}"/>
    <cellStyle name="Comma 15 4 2 2 2 3" xfId="41888" xr:uid="{3A5A995A-2D17-4A4D-8241-370E658E9B49}"/>
    <cellStyle name="Comma 15 4 2 2 3" xfId="17696" xr:uid="{F0F4EFB5-393F-4027-8896-1B2EB66D837F}"/>
    <cellStyle name="Comma 15 4 2 2 3 2" xfId="47936" xr:uid="{328BD414-5CB5-4EDA-9682-9FEA7E3FD28B}"/>
    <cellStyle name="Comma 15 4 2 2 4" xfId="32816" xr:uid="{528BA8D3-5025-4213-9F71-2638054A14EE}"/>
    <cellStyle name="Comma 15 4 2 3" xfId="4088" xr:uid="{B45DFDA0-9357-4779-B4D5-EAD6F2007954}"/>
    <cellStyle name="Comma 15 4 2 3 2" xfId="13160" xr:uid="{EFC450AA-923F-4F3A-9D3A-E694F60376FE}"/>
    <cellStyle name="Comma 15 4 2 3 2 2" xfId="28280" xr:uid="{C68158E3-94EB-4ADA-A1B5-475A035C613A}"/>
    <cellStyle name="Comma 15 4 2 3 2 2 2" xfId="58520" xr:uid="{B711F6D1-5615-4216-8C74-487617FAEBB5}"/>
    <cellStyle name="Comma 15 4 2 3 2 3" xfId="43400" xr:uid="{6EC293C3-1DD0-41C8-95BB-36C1B8465339}"/>
    <cellStyle name="Comma 15 4 2 3 3" xfId="19208" xr:uid="{C24EC26B-372E-416D-9851-B9B1DE06AD6B}"/>
    <cellStyle name="Comma 15 4 2 3 3 2" xfId="49448" xr:uid="{EC435700-9966-4D0E-9BE9-7403E5F77B2E}"/>
    <cellStyle name="Comma 15 4 2 3 4" xfId="34328" xr:uid="{06F60DD3-6373-4134-BD29-999B4C5D144E}"/>
    <cellStyle name="Comma 15 4 2 4" xfId="5600" xr:uid="{D8A41FF0-54A1-43F9-A027-472983BC1006}"/>
    <cellStyle name="Comma 15 4 2 4 2" xfId="14672" xr:uid="{F2729D6C-988E-4C4A-9DD0-64E231A1F892}"/>
    <cellStyle name="Comma 15 4 2 4 2 2" xfId="29792" xr:uid="{D10FFB41-BC54-4353-92FF-A6BA932FD1E3}"/>
    <cellStyle name="Comma 15 4 2 4 2 2 2" xfId="60032" xr:uid="{C24EB389-E25F-4253-B103-782E5811CE5C}"/>
    <cellStyle name="Comma 15 4 2 4 2 3" xfId="44912" xr:uid="{5C2EC54D-0A9C-4E93-A846-E263236CD213}"/>
    <cellStyle name="Comma 15 4 2 4 3" xfId="20720" xr:uid="{AD285A5A-BB7C-4509-8615-63CA7074E3BD}"/>
    <cellStyle name="Comma 15 4 2 4 3 2" xfId="50960" xr:uid="{D33C4B23-F576-4ABD-9A38-DF7C06AF62CC}"/>
    <cellStyle name="Comma 15 4 2 4 4" xfId="35840" xr:uid="{AE651BFD-7118-4135-B540-8DD05D6610BD}"/>
    <cellStyle name="Comma 15 4 2 5" xfId="7112" xr:uid="{AE085A66-B982-4711-B316-57E614CA6AD4}"/>
    <cellStyle name="Comma 15 4 2 5 2" xfId="22232" xr:uid="{4BF15040-C3CB-4B9A-8DE3-50B950A90A47}"/>
    <cellStyle name="Comma 15 4 2 5 2 2" xfId="52472" xr:uid="{DAB037FF-9101-4735-BFA1-BDDD82F0DA9C}"/>
    <cellStyle name="Comma 15 4 2 5 3" xfId="37352" xr:uid="{A998B178-BB8C-4C01-B40D-50D2599379E7}"/>
    <cellStyle name="Comma 15 4 2 6" xfId="8624" xr:uid="{DF2E1D0C-789E-4452-91FB-AF5F5E9D03D9}"/>
    <cellStyle name="Comma 15 4 2 6 2" xfId="23744" xr:uid="{B98107DF-4DCE-47DB-A30B-F6A49851760B}"/>
    <cellStyle name="Comma 15 4 2 6 2 2" xfId="53984" xr:uid="{0D19C8D7-9F66-4CA3-852E-803CB272EA79}"/>
    <cellStyle name="Comma 15 4 2 6 3" xfId="38864" xr:uid="{2FEDC0A0-E0DC-4A63-B3DC-E7FC2E1C4793}"/>
    <cellStyle name="Comma 15 4 2 7" xfId="10136" xr:uid="{22D993A3-43C0-420A-B4B9-FB3090FE7FBE}"/>
    <cellStyle name="Comma 15 4 2 7 2" xfId="25256" xr:uid="{532E8F84-BFD7-460E-BDB6-C7B524ED71C7}"/>
    <cellStyle name="Comma 15 4 2 7 2 2" xfId="55496" xr:uid="{37932C51-BFE4-419D-AEC8-D0BF682A4EAF}"/>
    <cellStyle name="Comma 15 4 2 7 3" xfId="40376" xr:uid="{93F1CBEC-B222-4684-8E3D-D9BEEF853188}"/>
    <cellStyle name="Comma 15 4 2 8" xfId="16184" xr:uid="{437AC458-6E9A-4ABA-B888-8CDC2D44CED8}"/>
    <cellStyle name="Comma 15 4 2 8 2" xfId="46424" xr:uid="{3E277825-A3F4-4399-83C3-C5D5A7BB8BBF}"/>
    <cellStyle name="Comma 15 4 2 9" xfId="31304" xr:uid="{1DF408CB-9A02-4E8F-9D61-2739CFA917F3}"/>
    <cellStyle name="Comma 15 4 3" xfId="1820" xr:uid="{EC051993-6BB9-4C84-9DE7-614AC43CC610}"/>
    <cellStyle name="Comma 15 4 3 2" xfId="10892" xr:uid="{6952882D-9294-4D8D-9298-901485CB479C}"/>
    <cellStyle name="Comma 15 4 3 2 2" xfId="26012" xr:uid="{45DCF773-ED94-49BC-9DE4-A30E6E45F1E3}"/>
    <cellStyle name="Comma 15 4 3 2 2 2" xfId="56252" xr:uid="{ED2CA3A9-98FE-4374-923F-229B97DA9136}"/>
    <cellStyle name="Comma 15 4 3 2 3" xfId="41132" xr:uid="{73E8A993-1F01-400D-81D2-694DFF4BD3A2}"/>
    <cellStyle name="Comma 15 4 3 3" xfId="16940" xr:uid="{C8E942B7-C00F-4F6E-8BAD-A8E39CB3C818}"/>
    <cellStyle name="Comma 15 4 3 3 2" xfId="47180" xr:uid="{08870C58-9A41-4F10-860C-B05CD3135178}"/>
    <cellStyle name="Comma 15 4 3 4" xfId="32060" xr:uid="{09F3B37B-6014-4B5B-A399-E3C03298E5E9}"/>
    <cellStyle name="Comma 15 4 4" xfId="3332" xr:uid="{D6B92C36-4EBF-4422-BAD0-86FE23CEE61C}"/>
    <cellStyle name="Comma 15 4 4 2" xfId="12404" xr:uid="{99B43039-31B4-48DE-A6E4-330F7B1270DB}"/>
    <cellStyle name="Comma 15 4 4 2 2" xfId="27524" xr:uid="{2B794E66-769D-434E-BD1D-FB3F73DC5963}"/>
    <cellStyle name="Comma 15 4 4 2 2 2" xfId="57764" xr:uid="{BFC70F4F-FC83-4BC9-951F-3AFB9CA80E78}"/>
    <cellStyle name="Comma 15 4 4 2 3" xfId="42644" xr:uid="{0B11BD9C-CC05-4543-9704-2D54FCFDA4E2}"/>
    <cellStyle name="Comma 15 4 4 3" xfId="18452" xr:uid="{FA424B5E-EB0C-48EA-B833-81B4100C7C56}"/>
    <cellStyle name="Comma 15 4 4 3 2" xfId="48692" xr:uid="{90DAF93A-ED3A-4E69-8D96-FD0B7537059B}"/>
    <cellStyle name="Comma 15 4 4 4" xfId="33572" xr:uid="{864193A6-80DF-44AA-A394-5AFAF5587ADF}"/>
    <cellStyle name="Comma 15 4 5" xfId="4844" xr:uid="{9D283E1E-37C5-469B-8B43-667217ECA1C7}"/>
    <cellStyle name="Comma 15 4 5 2" xfId="13916" xr:uid="{5B6B35C0-3B1F-447C-94B5-A7F18D2F8868}"/>
    <cellStyle name="Comma 15 4 5 2 2" xfId="29036" xr:uid="{459AD755-1F3B-4152-B235-00216FA355A8}"/>
    <cellStyle name="Comma 15 4 5 2 2 2" xfId="59276" xr:uid="{B578964D-6675-46C0-BD3F-BBF5CCB917C4}"/>
    <cellStyle name="Comma 15 4 5 2 3" xfId="44156" xr:uid="{EFAAA679-6EAB-432E-84AB-1B7C98B5D4FB}"/>
    <cellStyle name="Comma 15 4 5 3" xfId="19964" xr:uid="{821FB04D-3E64-47D0-8FB1-377E0EBDF691}"/>
    <cellStyle name="Comma 15 4 5 3 2" xfId="50204" xr:uid="{7DD4031D-04D0-46DC-BE5B-9A6DB826E71D}"/>
    <cellStyle name="Comma 15 4 5 4" xfId="35084" xr:uid="{C0158E15-DECC-40AD-BC14-C29DF5EDC18B}"/>
    <cellStyle name="Comma 15 4 6" xfId="6356" xr:uid="{48B1E40A-82D9-4E01-8EAF-0D16C0B2BA81}"/>
    <cellStyle name="Comma 15 4 6 2" xfId="21476" xr:uid="{CDB966CD-A24B-48A3-8015-233716420F15}"/>
    <cellStyle name="Comma 15 4 6 2 2" xfId="51716" xr:uid="{95C74D9B-C7D3-44A0-B3C9-F289282596D8}"/>
    <cellStyle name="Comma 15 4 6 3" xfId="36596" xr:uid="{D0C51F5D-B513-4C38-A0D2-6F5147ED0D02}"/>
    <cellStyle name="Comma 15 4 7" xfId="7868" xr:uid="{ED070746-073C-483E-9D55-2B16110A6355}"/>
    <cellStyle name="Comma 15 4 7 2" xfId="22988" xr:uid="{28B956CA-D3B5-441B-B733-20D8FEB6D691}"/>
    <cellStyle name="Comma 15 4 7 2 2" xfId="53228" xr:uid="{7D4A7F32-6E09-462C-B855-F621F0DC7DD1}"/>
    <cellStyle name="Comma 15 4 7 3" xfId="38108" xr:uid="{B7C2A569-6B94-423C-885B-123DD796DC7A}"/>
    <cellStyle name="Comma 15 4 8" xfId="9380" xr:uid="{B005783E-F45E-47D6-9C55-D55F4BD686E5}"/>
    <cellStyle name="Comma 15 4 8 2" xfId="24500" xr:uid="{B05D27A7-B32C-4E76-AFA4-9087FA35EF03}"/>
    <cellStyle name="Comma 15 4 8 2 2" xfId="54740" xr:uid="{269B96E3-FC0A-4BDE-87D8-76588A4C575D}"/>
    <cellStyle name="Comma 15 4 8 3" xfId="39620" xr:uid="{E5CDF95B-FA0E-4050-A558-A8B9692076CB}"/>
    <cellStyle name="Comma 15 4 9" xfId="15428" xr:uid="{2FA5F0EC-8C08-4651-97E0-E48343072B00}"/>
    <cellStyle name="Comma 15 4 9 2" xfId="45668" xr:uid="{BDA35F5B-6BC3-422C-804A-99C0A538030C}"/>
    <cellStyle name="Comma 15 5" xfId="560" xr:uid="{5F283119-D538-4FBE-8AC7-5CF8195DFCE8}"/>
    <cellStyle name="Comma 15 5 10" xfId="30800" xr:uid="{420FE951-0AD2-4487-A83E-EF6ED673B679}"/>
    <cellStyle name="Comma 15 5 2" xfId="1316" xr:uid="{D7C54491-7A40-4993-9F49-7B6B8B31C883}"/>
    <cellStyle name="Comma 15 5 2 2" xfId="2828" xr:uid="{917CF942-27FE-4DD5-8F5F-0B43C768ECC1}"/>
    <cellStyle name="Comma 15 5 2 2 2" xfId="11900" xr:uid="{B5102EBC-B665-400B-BE2C-4885EA41CD16}"/>
    <cellStyle name="Comma 15 5 2 2 2 2" xfId="27020" xr:uid="{9FEBEB01-E2D8-4854-A809-802C9CDEF25F}"/>
    <cellStyle name="Comma 15 5 2 2 2 2 2" xfId="57260" xr:uid="{B3D3BA53-B352-4156-87AE-2F3D3304A58D}"/>
    <cellStyle name="Comma 15 5 2 2 2 3" xfId="42140" xr:uid="{F46BDBE3-D0B4-4E12-AA62-C101074B9C61}"/>
    <cellStyle name="Comma 15 5 2 2 3" xfId="17948" xr:uid="{5642BB47-B785-4D38-9527-2EB8D8937683}"/>
    <cellStyle name="Comma 15 5 2 2 3 2" xfId="48188" xr:uid="{AAB43716-4B93-41EB-9D8E-AE0C2299444C}"/>
    <cellStyle name="Comma 15 5 2 2 4" xfId="33068" xr:uid="{B2F355C0-E4AE-4B75-B0C1-F642D3249708}"/>
    <cellStyle name="Comma 15 5 2 3" xfId="4340" xr:uid="{E224537C-8F11-4E5D-A93E-9776518F0C2A}"/>
    <cellStyle name="Comma 15 5 2 3 2" xfId="13412" xr:uid="{82B73F6D-F2BA-491B-83FF-94D8781B41F3}"/>
    <cellStyle name="Comma 15 5 2 3 2 2" xfId="28532" xr:uid="{8BF9ADF9-51A0-4E39-ADB5-84928E12F598}"/>
    <cellStyle name="Comma 15 5 2 3 2 2 2" xfId="58772" xr:uid="{61E1E6F3-2F2B-49F5-A903-5E1F3CEFC1F1}"/>
    <cellStyle name="Comma 15 5 2 3 2 3" xfId="43652" xr:uid="{F5EB31FD-C318-40E1-8E8F-2F4ADE96ADA3}"/>
    <cellStyle name="Comma 15 5 2 3 3" xfId="19460" xr:uid="{26A8F8B0-F494-49A5-AD31-5BF137CC0558}"/>
    <cellStyle name="Comma 15 5 2 3 3 2" xfId="49700" xr:uid="{CC8FA51A-A768-4E6A-9027-597CE94B08DA}"/>
    <cellStyle name="Comma 15 5 2 3 4" xfId="34580" xr:uid="{30A26B16-9F2A-4F4F-BFF9-AC7337F706FC}"/>
    <cellStyle name="Comma 15 5 2 4" xfId="5852" xr:uid="{F273845D-6042-4B16-97D6-FCBC832AD573}"/>
    <cellStyle name="Comma 15 5 2 4 2" xfId="14924" xr:uid="{B379DA0A-8D7F-4C99-A590-C1CB4B5E3A06}"/>
    <cellStyle name="Comma 15 5 2 4 2 2" xfId="30044" xr:uid="{0AB9034E-13ED-489D-9F78-DC05DC490BD6}"/>
    <cellStyle name="Comma 15 5 2 4 2 2 2" xfId="60284" xr:uid="{FF27A947-7F5F-41C3-9EC0-32264E38FA50}"/>
    <cellStyle name="Comma 15 5 2 4 2 3" xfId="45164" xr:uid="{23839716-728D-4704-B7C1-3359B448DB4E}"/>
    <cellStyle name="Comma 15 5 2 4 3" xfId="20972" xr:uid="{60F611CF-8DB6-45AE-8363-387111E4C0C3}"/>
    <cellStyle name="Comma 15 5 2 4 3 2" xfId="51212" xr:uid="{606FD1AF-4E94-4DDE-95E4-15200BB8F991}"/>
    <cellStyle name="Comma 15 5 2 4 4" xfId="36092" xr:uid="{83721746-60EE-4294-8091-00D78BF1E9F5}"/>
    <cellStyle name="Comma 15 5 2 5" xfId="7364" xr:uid="{B8304052-828B-4F54-BDE1-11298866EC3E}"/>
    <cellStyle name="Comma 15 5 2 5 2" xfId="22484" xr:uid="{B3071941-C915-4AE7-A68A-DA6262E0AB92}"/>
    <cellStyle name="Comma 15 5 2 5 2 2" xfId="52724" xr:uid="{0D8711C5-53BB-47C9-8ACF-78E90FED32BD}"/>
    <cellStyle name="Comma 15 5 2 5 3" xfId="37604" xr:uid="{8A4F8AA1-2CBC-4FFF-AE1E-363BE675DD04}"/>
    <cellStyle name="Comma 15 5 2 6" xfId="8876" xr:uid="{049FA11E-DE51-49FA-82C2-6F8122A41468}"/>
    <cellStyle name="Comma 15 5 2 6 2" xfId="23996" xr:uid="{0D569284-A860-4FFC-AE6C-417902ADDA91}"/>
    <cellStyle name="Comma 15 5 2 6 2 2" xfId="54236" xr:uid="{044646C0-D05A-47CA-87AB-EB618EB0D755}"/>
    <cellStyle name="Comma 15 5 2 6 3" xfId="39116" xr:uid="{871F0AE5-D2CE-4A79-A7FC-1EA2FD0E298E}"/>
    <cellStyle name="Comma 15 5 2 7" xfId="10388" xr:uid="{F2F39ADC-8E35-45F4-BB95-DB6982C9244B}"/>
    <cellStyle name="Comma 15 5 2 7 2" xfId="25508" xr:uid="{3FE7FA24-453B-4EF5-B54D-393FD99A04C2}"/>
    <cellStyle name="Comma 15 5 2 7 2 2" xfId="55748" xr:uid="{84E75502-7FB3-47BA-8873-3AD64CF7B137}"/>
    <cellStyle name="Comma 15 5 2 7 3" xfId="40628" xr:uid="{EFD40766-4352-4A9B-8FCF-DDE417BD80EA}"/>
    <cellStyle name="Comma 15 5 2 8" xfId="16436" xr:uid="{91C6D55D-F8C1-4482-A3DC-7B2735E0A1D9}"/>
    <cellStyle name="Comma 15 5 2 8 2" xfId="46676" xr:uid="{FD1092D1-156A-4C35-99BA-53CB28F6067D}"/>
    <cellStyle name="Comma 15 5 2 9" xfId="31556" xr:uid="{4DC5ABB3-B70D-4F52-8128-DC02AECE7556}"/>
    <cellStyle name="Comma 15 5 3" xfId="2072" xr:uid="{8A9BF366-C55D-4E73-8D38-EB1FD80A9A85}"/>
    <cellStyle name="Comma 15 5 3 2" xfId="11144" xr:uid="{54E3F838-E9B6-4AB1-95B5-3CFF1FA062F8}"/>
    <cellStyle name="Comma 15 5 3 2 2" xfId="26264" xr:uid="{3BA5C9AF-5823-4A2A-9F79-6A685ED0E94F}"/>
    <cellStyle name="Comma 15 5 3 2 2 2" xfId="56504" xr:uid="{F541CD61-689B-46DA-ABB9-0C588EF1BDDD}"/>
    <cellStyle name="Comma 15 5 3 2 3" xfId="41384" xr:uid="{D34CE6FC-749E-48E0-B7B9-1C22E8840B37}"/>
    <cellStyle name="Comma 15 5 3 3" xfId="17192" xr:uid="{2702C8F9-0B68-4EDC-B1DE-0D5B6ACC29F0}"/>
    <cellStyle name="Comma 15 5 3 3 2" xfId="47432" xr:uid="{AE790D4A-EFC9-4AFD-9608-75B8F50AEB58}"/>
    <cellStyle name="Comma 15 5 3 4" xfId="32312" xr:uid="{9F52D467-C64B-45B1-86EC-B337F656DD02}"/>
    <cellStyle name="Comma 15 5 4" xfId="3584" xr:uid="{EC760F54-2CE1-45D7-BF33-7B783D7B9CA8}"/>
    <cellStyle name="Comma 15 5 4 2" xfId="12656" xr:uid="{1761E6D1-95FD-4830-8FE6-CE967151D761}"/>
    <cellStyle name="Comma 15 5 4 2 2" xfId="27776" xr:uid="{CB9F3D37-DF2C-42B0-AE62-6E9F1DEDF163}"/>
    <cellStyle name="Comma 15 5 4 2 2 2" xfId="58016" xr:uid="{1868BDCF-BA35-4179-9904-6E6CBFAF7994}"/>
    <cellStyle name="Comma 15 5 4 2 3" xfId="42896" xr:uid="{D28C6AD9-6F18-40B6-B6C2-ADD841FB9F46}"/>
    <cellStyle name="Comma 15 5 4 3" xfId="18704" xr:uid="{51564051-D2BD-4ADD-95BA-A6C05B75C1DF}"/>
    <cellStyle name="Comma 15 5 4 3 2" xfId="48944" xr:uid="{3F51BBD0-95CA-46AE-8455-4B7E054F06EC}"/>
    <cellStyle name="Comma 15 5 4 4" xfId="33824" xr:uid="{27D269B7-5441-4F1C-825F-81F3A366BABB}"/>
    <cellStyle name="Comma 15 5 5" xfId="5096" xr:uid="{D3C1DCED-46A9-482C-A475-D4E2903B4224}"/>
    <cellStyle name="Comma 15 5 5 2" xfId="14168" xr:uid="{E6532862-D570-48CB-AAF3-750DA6437970}"/>
    <cellStyle name="Comma 15 5 5 2 2" xfId="29288" xr:uid="{BE6D69B8-E7CE-49B9-ADED-397AAB726DBE}"/>
    <cellStyle name="Comma 15 5 5 2 2 2" xfId="59528" xr:uid="{3FC4CD07-0B55-4644-9634-A7445E0A1234}"/>
    <cellStyle name="Comma 15 5 5 2 3" xfId="44408" xr:uid="{F34E0182-C929-4558-B71B-B2C3A78E5268}"/>
    <cellStyle name="Comma 15 5 5 3" xfId="20216" xr:uid="{AB2756E1-40A6-4B3B-A5BF-F27DEA4179CC}"/>
    <cellStyle name="Comma 15 5 5 3 2" xfId="50456" xr:uid="{B27705AE-1FDA-42C7-B649-9F20E84BB593}"/>
    <cellStyle name="Comma 15 5 5 4" xfId="35336" xr:uid="{4AE1B789-BF2F-4686-A6F6-383974B6C500}"/>
    <cellStyle name="Comma 15 5 6" xfId="6608" xr:uid="{399494A5-89DC-4268-9721-A6EB9A445C23}"/>
    <cellStyle name="Comma 15 5 6 2" xfId="21728" xr:uid="{13E9B5A5-A350-4179-9523-EE8E3A858F9A}"/>
    <cellStyle name="Comma 15 5 6 2 2" xfId="51968" xr:uid="{6F54BB70-7D43-4748-A132-1C3FB563CB3A}"/>
    <cellStyle name="Comma 15 5 6 3" xfId="36848" xr:uid="{6CB5E2DF-B2DE-4ED1-8699-ADC61F9B65F6}"/>
    <cellStyle name="Comma 15 5 7" xfId="8120" xr:uid="{A640BC30-AB57-4FB3-B704-53017C1B9BEA}"/>
    <cellStyle name="Comma 15 5 7 2" xfId="23240" xr:uid="{C3239C9D-EB7D-4A50-A2E0-815BDA5FE993}"/>
    <cellStyle name="Comma 15 5 7 2 2" xfId="53480" xr:uid="{5E501119-84ED-40BD-AA98-B1324507D02F}"/>
    <cellStyle name="Comma 15 5 7 3" xfId="38360" xr:uid="{BF16BCB1-EBCE-4787-A3DF-2068A3942566}"/>
    <cellStyle name="Comma 15 5 8" xfId="9632" xr:uid="{DF3A3B1E-CE13-4A4E-A4BF-C81CF87ED1F4}"/>
    <cellStyle name="Comma 15 5 8 2" xfId="24752" xr:uid="{DF4BF6CB-7F59-4BA2-AE0C-EB86F1B9805C}"/>
    <cellStyle name="Comma 15 5 8 2 2" xfId="54992" xr:uid="{C6D3E2ED-F751-4331-B385-7A8DCE397BFA}"/>
    <cellStyle name="Comma 15 5 8 3" xfId="39872" xr:uid="{CFD996C9-1684-48CF-A79E-D3AA2017C17C}"/>
    <cellStyle name="Comma 15 5 9" xfId="15680" xr:uid="{7068AD4C-810A-4F04-B6A0-EDB134F578D4}"/>
    <cellStyle name="Comma 15 5 9 2" xfId="45920" xr:uid="{04573603-2900-438B-9F0D-905303544B4D}"/>
    <cellStyle name="Comma 15 6" xfId="812" xr:uid="{2E6A1A9D-1B57-422A-AB39-158B77FCA0B4}"/>
    <cellStyle name="Comma 15 6 2" xfId="2324" xr:uid="{5578AA6D-E1C8-4D38-8B2E-09C5ACAFB4E4}"/>
    <cellStyle name="Comma 15 6 2 2" xfId="11396" xr:uid="{DF701B14-9179-4F90-A287-DE0F69ED1C41}"/>
    <cellStyle name="Comma 15 6 2 2 2" xfId="26516" xr:uid="{D03B74E6-7B32-458D-8F2C-8D72F09FD656}"/>
    <cellStyle name="Comma 15 6 2 2 2 2" xfId="56756" xr:uid="{09710160-4C3B-4704-AE5C-8241EA8C8C1E}"/>
    <cellStyle name="Comma 15 6 2 2 3" xfId="41636" xr:uid="{7EE2F932-A619-40F2-9A2B-3BDF25BE0625}"/>
    <cellStyle name="Comma 15 6 2 3" xfId="17444" xr:uid="{CA4EA754-F921-4B37-8BD4-6BA110A959D9}"/>
    <cellStyle name="Comma 15 6 2 3 2" xfId="47684" xr:uid="{62FA3F55-2CED-42E4-848C-168FCFD5CC04}"/>
    <cellStyle name="Comma 15 6 2 4" xfId="32564" xr:uid="{C5BDB2A6-1B89-4B85-97FF-1B4CBFBB44AE}"/>
    <cellStyle name="Comma 15 6 3" xfId="3836" xr:uid="{F0AA5D81-22FF-4603-BA35-69198DE5DED5}"/>
    <cellStyle name="Comma 15 6 3 2" xfId="12908" xr:uid="{269C390B-5135-430F-9982-E81028645078}"/>
    <cellStyle name="Comma 15 6 3 2 2" xfId="28028" xr:uid="{A99F39E4-633D-4191-8F1E-546FE5AFF1DA}"/>
    <cellStyle name="Comma 15 6 3 2 2 2" xfId="58268" xr:uid="{F8C101C4-6DAE-47FA-B3CE-3284A78A350C}"/>
    <cellStyle name="Comma 15 6 3 2 3" xfId="43148" xr:uid="{66731D33-5952-41D6-9615-C2BC3F8228EF}"/>
    <cellStyle name="Comma 15 6 3 3" xfId="18956" xr:uid="{BD5A8B09-233C-4544-AB09-75F9BC4886B6}"/>
    <cellStyle name="Comma 15 6 3 3 2" xfId="49196" xr:uid="{90EEF2A2-7C84-4631-A6E4-122E7A870E53}"/>
    <cellStyle name="Comma 15 6 3 4" xfId="34076" xr:uid="{D782F977-9927-420C-8039-280FC2A9AFF8}"/>
    <cellStyle name="Comma 15 6 4" xfId="5348" xr:uid="{22AC789A-2DA3-4733-A1AA-CA4A32F424E2}"/>
    <cellStyle name="Comma 15 6 4 2" xfId="14420" xr:uid="{D13AC68F-A6A5-44AF-82F9-41B1A5B5DCDE}"/>
    <cellStyle name="Comma 15 6 4 2 2" xfId="29540" xr:uid="{C5DD3D22-DBEA-4D12-8641-C971D35121D2}"/>
    <cellStyle name="Comma 15 6 4 2 2 2" xfId="59780" xr:uid="{6D1C56DF-DDF9-499B-A777-8F9AF3C5335B}"/>
    <cellStyle name="Comma 15 6 4 2 3" xfId="44660" xr:uid="{E3C8C6FC-13E8-4988-9EBF-B3D3D07B7518}"/>
    <cellStyle name="Comma 15 6 4 3" xfId="20468" xr:uid="{049D251D-B2CC-4EBE-B77B-F05883799130}"/>
    <cellStyle name="Comma 15 6 4 3 2" xfId="50708" xr:uid="{E8239729-D346-485E-9F7F-C945A28586DF}"/>
    <cellStyle name="Comma 15 6 4 4" xfId="35588" xr:uid="{FA5D6247-ED6E-4DA7-8FAD-1B85202CC8AA}"/>
    <cellStyle name="Comma 15 6 5" xfId="6860" xr:uid="{8E01B84F-8581-476B-B8FB-86612F9931FD}"/>
    <cellStyle name="Comma 15 6 5 2" xfId="21980" xr:uid="{2BACDC25-DFAC-4762-BF97-6B343D666886}"/>
    <cellStyle name="Comma 15 6 5 2 2" xfId="52220" xr:uid="{64F87F95-55F7-4184-943E-C0DA7D3045FC}"/>
    <cellStyle name="Comma 15 6 5 3" xfId="37100" xr:uid="{F5CD9EE9-853C-4689-A9EF-F5771D50F0A3}"/>
    <cellStyle name="Comma 15 6 6" xfId="8372" xr:uid="{754A4F54-0B7A-4DFA-8C52-C7810639F8EC}"/>
    <cellStyle name="Comma 15 6 6 2" xfId="23492" xr:uid="{FCC3CB14-7C75-4046-AD21-EEA86AD3E3B9}"/>
    <cellStyle name="Comma 15 6 6 2 2" xfId="53732" xr:uid="{E189BA29-EB90-47FD-AB9F-12F2F11642FA}"/>
    <cellStyle name="Comma 15 6 6 3" xfId="38612" xr:uid="{2F6E663D-8DAC-4407-A4B0-43F5261FBB95}"/>
    <cellStyle name="Comma 15 6 7" xfId="9884" xr:uid="{DDA33CB1-43DF-4434-9152-5293FC24A751}"/>
    <cellStyle name="Comma 15 6 7 2" xfId="25004" xr:uid="{61C7F989-9492-43AB-A9DF-006064FB9A3E}"/>
    <cellStyle name="Comma 15 6 7 2 2" xfId="55244" xr:uid="{044D0397-8953-49D8-9B23-3AF078D5569D}"/>
    <cellStyle name="Comma 15 6 7 3" xfId="40124" xr:uid="{E85D2372-4F69-4B4D-865D-D6A58C248563}"/>
    <cellStyle name="Comma 15 6 8" xfId="15932" xr:uid="{037741EE-CBD1-4843-8B79-FCE99D3D8C73}"/>
    <cellStyle name="Comma 15 6 8 2" xfId="46172" xr:uid="{70A089D0-9E90-45EB-83AE-1614DDDEE597}"/>
    <cellStyle name="Comma 15 6 9" xfId="31052" xr:uid="{021A917F-BC97-4C7D-8F13-644D005C2BC4}"/>
    <cellStyle name="Comma 15 7" xfId="1568" xr:uid="{58647C57-75DA-40DD-B2D1-7FE45943B615}"/>
    <cellStyle name="Comma 15 7 2" xfId="10640" xr:uid="{E558D5B1-2E64-4F08-B218-D61A6D9F79A4}"/>
    <cellStyle name="Comma 15 7 2 2" xfId="25760" xr:uid="{6B2B8616-60E1-4C6C-9051-D2451B136298}"/>
    <cellStyle name="Comma 15 7 2 2 2" xfId="56000" xr:uid="{16F99A7C-691B-411B-A04E-C0A14134447E}"/>
    <cellStyle name="Comma 15 7 2 3" xfId="40880" xr:uid="{894CE895-F682-448E-97D3-DA8A68E59FAB}"/>
    <cellStyle name="Comma 15 7 3" xfId="16688" xr:uid="{C717CF02-20F2-42C0-B8F5-8173BA4E97F9}"/>
    <cellStyle name="Comma 15 7 3 2" xfId="46928" xr:uid="{005AC26E-4701-48FD-AC45-723D7D63E2D2}"/>
    <cellStyle name="Comma 15 7 4" xfId="31808" xr:uid="{5F28929F-D4EA-4708-AD48-8F2F4C5F69CF}"/>
    <cellStyle name="Comma 15 8" xfId="3080" xr:uid="{776EC49C-8B94-4C1B-9EB2-3ED2E01C59FC}"/>
    <cellStyle name="Comma 15 8 2" xfId="12152" xr:uid="{E8D63F17-EE66-41BE-A301-FCEE8385D563}"/>
    <cellStyle name="Comma 15 8 2 2" xfId="27272" xr:uid="{B993E3E2-AF3C-4478-8B91-82C32EED55D0}"/>
    <cellStyle name="Comma 15 8 2 2 2" xfId="57512" xr:uid="{AF273359-8139-4882-A3BA-3207B38B1FDC}"/>
    <cellStyle name="Comma 15 8 2 3" xfId="42392" xr:uid="{9DD066FE-FA70-427E-A1D3-141F000175E7}"/>
    <cellStyle name="Comma 15 8 3" xfId="18200" xr:uid="{E7917417-1FE2-45B4-8060-0AF68274A08B}"/>
    <cellStyle name="Comma 15 8 3 2" xfId="48440" xr:uid="{04B2EA77-F07F-4E7D-9533-6E14C9D693A7}"/>
    <cellStyle name="Comma 15 8 4" xfId="33320" xr:uid="{7E2DDED7-2ADD-41F8-8951-F32DA5EC77A7}"/>
    <cellStyle name="Comma 15 9" xfId="4592" xr:uid="{5C744D03-1ACD-4649-8344-93575F468A7B}"/>
    <cellStyle name="Comma 15 9 2" xfId="13664" xr:uid="{B246B6BC-BF9A-4534-849F-0D61EA9443FC}"/>
    <cellStyle name="Comma 15 9 2 2" xfId="28784" xr:uid="{80009F14-D6CF-49E4-9BC2-56E1C8C52B27}"/>
    <cellStyle name="Comma 15 9 2 2 2" xfId="59024" xr:uid="{F2EDC705-50BD-4150-AA6F-A2AD4815A80F}"/>
    <cellStyle name="Comma 15 9 2 3" xfId="43904" xr:uid="{23F3F42D-D087-45F6-89E3-64C0C54F0027}"/>
    <cellStyle name="Comma 15 9 3" xfId="19712" xr:uid="{85B27CB4-8C12-46DE-B580-97C21CFD3FE8}"/>
    <cellStyle name="Comma 15 9 3 2" xfId="49952" xr:uid="{F09BDE07-461E-4F8C-9F86-32222451C958}"/>
    <cellStyle name="Comma 15 9 4" xfId="34832" xr:uid="{2543759A-95A4-48B6-AFC2-0638D7D6E26A}"/>
    <cellStyle name="Comma 16" xfId="98" xr:uid="{5758AD3B-947A-43EA-847F-693EB3A89D41}"/>
    <cellStyle name="Comma 16 10" xfId="9170" xr:uid="{89185DFD-DCEA-4614-80FD-6A4D2E0F4592}"/>
    <cellStyle name="Comma 16 10 2" xfId="24290" xr:uid="{FF9DDA3F-8C84-4FDA-8726-602E4FE71A08}"/>
    <cellStyle name="Comma 16 10 2 2" xfId="54530" xr:uid="{EDD37B12-10D1-4516-A12B-10FEFF6A4043}"/>
    <cellStyle name="Comma 16 10 3" xfId="39410" xr:uid="{589DDEDB-B19B-42AF-85D9-DD2D6F64685A}"/>
    <cellStyle name="Comma 16 11" xfId="15218" xr:uid="{AD0F893C-1C9D-4D9F-B942-210FFF433CD9}"/>
    <cellStyle name="Comma 16 11 2" xfId="45458" xr:uid="{D261B25A-FD0B-4D76-9087-F7696A3EF60F}"/>
    <cellStyle name="Comma 16 12" xfId="30338" xr:uid="{BA0A2343-950C-4BAF-B073-FD2823730069}"/>
    <cellStyle name="Comma 16 2" xfId="350" xr:uid="{FBD5B982-4FF9-4FE2-A649-4C49A1EDC2A3}"/>
    <cellStyle name="Comma 16 2 10" xfId="30590" xr:uid="{3B6C7FD5-FA7A-43B8-B93E-354685F50574}"/>
    <cellStyle name="Comma 16 2 2" xfId="1106" xr:uid="{B2E3176B-F556-4602-ABF5-65F0B584AA5E}"/>
    <cellStyle name="Comma 16 2 2 2" xfId="2618" xr:uid="{4AEC4ACE-388E-4004-B775-9C4C43575124}"/>
    <cellStyle name="Comma 16 2 2 2 2" xfId="11690" xr:uid="{8F233928-7C5E-41F2-B674-3C0B09D82A19}"/>
    <cellStyle name="Comma 16 2 2 2 2 2" xfId="26810" xr:uid="{DFD05750-EF08-4084-976A-643431F32D08}"/>
    <cellStyle name="Comma 16 2 2 2 2 2 2" xfId="57050" xr:uid="{EFC82F73-0D65-4FA4-991C-7237AF08888A}"/>
    <cellStyle name="Comma 16 2 2 2 2 3" xfId="41930" xr:uid="{B730F868-3EEB-41CC-AD4D-452564606568}"/>
    <cellStyle name="Comma 16 2 2 2 3" xfId="17738" xr:uid="{D0C73A88-0E5D-437B-B7A3-0578F71D8559}"/>
    <cellStyle name="Comma 16 2 2 2 3 2" xfId="47978" xr:uid="{23232555-9D50-475F-AB92-1BFC33707423}"/>
    <cellStyle name="Comma 16 2 2 2 4" xfId="32858" xr:uid="{176E6710-0F4D-414F-9515-6532A289D031}"/>
    <cellStyle name="Comma 16 2 2 3" xfId="4130" xr:uid="{95B9E975-055F-4B33-B517-E21C0F1637DE}"/>
    <cellStyle name="Comma 16 2 2 3 2" xfId="13202" xr:uid="{587B0592-E85B-40F7-8817-E77A2F650894}"/>
    <cellStyle name="Comma 16 2 2 3 2 2" xfId="28322" xr:uid="{B40401D7-6527-44A2-A298-3F09ADC8FE3E}"/>
    <cellStyle name="Comma 16 2 2 3 2 2 2" xfId="58562" xr:uid="{560369C9-52DB-4613-A6CF-B52B24AC2777}"/>
    <cellStyle name="Comma 16 2 2 3 2 3" xfId="43442" xr:uid="{8C90D56A-B3AB-481B-8E2D-E4E621766772}"/>
    <cellStyle name="Comma 16 2 2 3 3" xfId="19250" xr:uid="{15D4B87B-D881-4E81-BC7F-DB20BB875E37}"/>
    <cellStyle name="Comma 16 2 2 3 3 2" xfId="49490" xr:uid="{C6499EE1-663A-47F5-A052-3A2815631FF4}"/>
    <cellStyle name="Comma 16 2 2 3 4" xfId="34370" xr:uid="{BF9B1267-FBB6-40DD-AB6F-925B4B644A7D}"/>
    <cellStyle name="Comma 16 2 2 4" xfId="5642" xr:uid="{1FAB66C6-4739-4696-830D-E692B5F5F00C}"/>
    <cellStyle name="Comma 16 2 2 4 2" xfId="14714" xr:uid="{BF944E6B-3177-41E4-BF0C-991C22F83E2D}"/>
    <cellStyle name="Comma 16 2 2 4 2 2" xfId="29834" xr:uid="{3BCD455E-1B24-422F-B850-52D764622412}"/>
    <cellStyle name="Comma 16 2 2 4 2 2 2" xfId="60074" xr:uid="{78C374EE-5A90-4EB9-A6CC-4470CE289786}"/>
    <cellStyle name="Comma 16 2 2 4 2 3" xfId="44954" xr:uid="{0DD38D99-8307-4248-87C5-786B31B2CF0D}"/>
    <cellStyle name="Comma 16 2 2 4 3" xfId="20762" xr:uid="{131F09FC-1C95-4FC3-947C-E34DCBE64186}"/>
    <cellStyle name="Comma 16 2 2 4 3 2" xfId="51002" xr:uid="{8C548653-5E38-42C4-8113-4D74EBD59AA1}"/>
    <cellStyle name="Comma 16 2 2 4 4" xfId="35882" xr:uid="{695F1EA4-F945-4C95-B3C5-C5263EA0EE82}"/>
    <cellStyle name="Comma 16 2 2 5" xfId="7154" xr:uid="{7F51B63B-DF3D-4E5F-BE3F-B31AD26AD45E}"/>
    <cellStyle name="Comma 16 2 2 5 2" xfId="22274" xr:uid="{4FC233B8-6C07-4FE9-BB1B-D7ABFEE8E8A7}"/>
    <cellStyle name="Comma 16 2 2 5 2 2" xfId="52514" xr:uid="{169C1710-0B7F-41CA-918C-5B9B39EA6AD1}"/>
    <cellStyle name="Comma 16 2 2 5 3" xfId="37394" xr:uid="{4704CF78-6C69-42FA-AD88-A962FE01A544}"/>
    <cellStyle name="Comma 16 2 2 6" xfId="8666" xr:uid="{4D7A8403-52F2-4945-BF06-6B64A2D72549}"/>
    <cellStyle name="Comma 16 2 2 6 2" xfId="23786" xr:uid="{584D7764-5D25-4BB9-BE2F-4A8496D56030}"/>
    <cellStyle name="Comma 16 2 2 6 2 2" xfId="54026" xr:uid="{416ADA3F-DD1C-4D36-8364-86CF497EF812}"/>
    <cellStyle name="Comma 16 2 2 6 3" xfId="38906" xr:uid="{887C3106-B103-41D8-A9D8-DD4491F3A3CB}"/>
    <cellStyle name="Comma 16 2 2 7" xfId="10178" xr:uid="{D3A7ABD2-F58D-4442-8BA2-456414B91E7D}"/>
    <cellStyle name="Comma 16 2 2 7 2" xfId="25298" xr:uid="{F4567632-6645-4472-8E42-A934B9787041}"/>
    <cellStyle name="Comma 16 2 2 7 2 2" xfId="55538" xr:uid="{10B97A8E-0E2E-4959-AC4A-A3B0BB872ADF}"/>
    <cellStyle name="Comma 16 2 2 7 3" xfId="40418" xr:uid="{BBEFC804-E295-4468-911D-928C229221FE}"/>
    <cellStyle name="Comma 16 2 2 8" xfId="16226" xr:uid="{9825F505-E7A2-47C0-A23E-03FC5258C80C}"/>
    <cellStyle name="Comma 16 2 2 8 2" xfId="46466" xr:uid="{81348356-8003-4F58-8ADB-C81CA7C55C8E}"/>
    <cellStyle name="Comma 16 2 2 9" xfId="31346" xr:uid="{5CDD7D7E-9FF9-48BA-87D4-91AAE730A229}"/>
    <cellStyle name="Comma 16 2 3" xfId="1862" xr:uid="{62C6A8E2-28AF-40B8-AD9F-ADAB125B7F1F}"/>
    <cellStyle name="Comma 16 2 3 2" xfId="10934" xr:uid="{F2723838-2EB7-46DD-9560-D94668EB92C6}"/>
    <cellStyle name="Comma 16 2 3 2 2" xfId="26054" xr:uid="{F9ED04E2-E618-40C4-AE31-D77EA374C4D3}"/>
    <cellStyle name="Comma 16 2 3 2 2 2" xfId="56294" xr:uid="{AB41B339-EC3F-4ABF-B5A2-39239BC68DA6}"/>
    <cellStyle name="Comma 16 2 3 2 3" xfId="41174" xr:uid="{CD2358B3-6043-48E7-B0CD-01B9F665ACC4}"/>
    <cellStyle name="Comma 16 2 3 3" xfId="16982" xr:uid="{DD8C8EAB-D226-41CF-8B7C-6BB9D39D8636}"/>
    <cellStyle name="Comma 16 2 3 3 2" xfId="47222" xr:uid="{F36D0122-F2B4-4FF1-8507-74B8F61D5434}"/>
    <cellStyle name="Comma 16 2 3 4" xfId="32102" xr:uid="{C4E92605-0597-4B4E-A07E-88F33B4A52A9}"/>
    <cellStyle name="Comma 16 2 4" xfId="3374" xr:uid="{7DB8DD8F-331F-481B-B099-70DC1762E07B}"/>
    <cellStyle name="Comma 16 2 4 2" xfId="12446" xr:uid="{1AEF6D4D-2729-4913-9159-88CCF34B739A}"/>
    <cellStyle name="Comma 16 2 4 2 2" xfId="27566" xr:uid="{771FF112-2B35-40D9-9B2C-BA2A4B3D8693}"/>
    <cellStyle name="Comma 16 2 4 2 2 2" xfId="57806" xr:uid="{0E43181E-D441-4934-B38E-8DA4F468B3E0}"/>
    <cellStyle name="Comma 16 2 4 2 3" xfId="42686" xr:uid="{772F9755-4C36-4097-AA94-1FAE44759517}"/>
    <cellStyle name="Comma 16 2 4 3" xfId="18494" xr:uid="{4BEC4B48-42C7-4988-9DD2-510E9FB9318F}"/>
    <cellStyle name="Comma 16 2 4 3 2" xfId="48734" xr:uid="{8322943E-E62F-48A2-963C-B0EB11634E76}"/>
    <cellStyle name="Comma 16 2 4 4" xfId="33614" xr:uid="{2DE847E1-F26E-4448-8666-6B32769A695B}"/>
    <cellStyle name="Comma 16 2 5" xfId="4886" xr:uid="{07F78076-65CB-4D08-82C2-3B4D5FC7EEFC}"/>
    <cellStyle name="Comma 16 2 5 2" xfId="13958" xr:uid="{C49FFC6D-6A5F-48B3-B073-0C7DB7ED11A2}"/>
    <cellStyle name="Comma 16 2 5 2 2" xfId="29078" xr:uid="{C01D6310-7967-4810-8DF0-8150BC3A0F87}"/>
    <cellStyle name="Comma 16 2 5 2 2 2" xfId="59318" xr:uid="{269D10FA-E7D4-4419-8117-6D6CC5641544}"/>
    <cellStyle name="Comma 16 2 5 2 3" xfId="44198" xr:uid="{0E643E8F-1577-4345-9A1B-0502D516000F}"/>
    <cellStyle name="Comma 16 2 5 3" xfId="20006" xr:uid="{FF4677C2-D81A-425D-8A28-42F03FBAE6B5}"/>
    <cellStyle name="Comma 16 2 5 3 2" xfId="50246" xr:uid="{54C1A8FA-F292-4CF9-9E50-8F300169928F}"/>
    <cellStyle name="Comma 16 2 5 4" xfId="35126" xr:uid="{E87ADFEE-16D0-4523-828E-BC8E67A5A0C5}"/>
    <cellStyle name="Comma 16 2 6" xfId="6398" xr:uid="{B20C4EB8-517B-45F8-BAA4-8B6A951DAF6F}"/>
    <cellStyle name="Comma 16 2 6 2" xfId="21518" xr:uid="{2A404A5A-DC1A-4A3C-944C-80E05B414ACD}"/>
    <cellStyle name="Comma 16 2 6 2 2" xfId="51758" xr:uid="{F980FF82-B39A-4654-8E54-718C961DD7FF}"/>
    <cellStyle name="Comma 16 2 6 3" xfId="36638" xr:uid="{257F258A-1402-4AB2-BBEB-730E60257640}"/>
    <cellStyle name="Comma 16 2 7" xfId="7910" xr:uid="{0084CFD6-652F-44C8-91BD-4F79A4538319}"/>
    <cellStyle name="Comma 16 2 7 2" xfId="23030" xr:uid="{0260A6C6-35E4-49CC-87DB-85090EB20BA7}"/>
    <cellStyle name="Comma 16 2 7 2 2" xfId="53270" xr:uid="{2E5643C6-245D-49FA-B8E1-FD982A8928A6}"/>
    <cellStyle name="Comma 16 2 7 3" xfId="38150" xr:uid="{7595CA52-ECFC-4746-A290-CAB1FB84A874}"/>
    <cellStyle name="Comma 16 2 8" xfId="9422" xr:uid="{A61998A3-EA55-4558-B8C6-2307BDB3D74E}"/>
    <cellStyle name="Comma 16 2 8 2" xfId="24542" xr:uid="{0B3A9034-6DD7-49F8-843A-3DFC8BAF8F87}"/>
    <cellStyle name="Comma 16 2 8 2 2" xfId="54782" xr:uid="{50D27970-CE22-4156-8EE8-3E768F861518}"/>
    <cellStyle name="Comma 16 2 8 3" xfId="39662" xr:uid="{7FDF1BC4-A0DE-45DE-B64D-89575084AA58}"/>
    <cellStyle name="Comma 16 2 9" xfId="15470" xr:uid="{7B951053-7C04-4494-912F-CD76F1A378AD}"/>
    <cellStyle name="Comma 16 2 9 2" xfId="45710" xr:uid="{2974C8A5-7406-44B1-A2E6-DE2A10BC9711}"/>
    <cellStyle name="Comma 16 3" xfId="602" xr:uid="{4B0A03F1-5573-4E78-AFD9-292DC49BF685}"/>
    <cellStyle name="Comma 16 3 10" xfId="30842" xr:uid="{FD8CF968-177C-49B9-9619-E80C40C3C298}"/>
    <cellStyle name="Comma 16 3 2" xfId="1358" xr:uid="{5A7A9C12-CB5C-4708-9C0C-E0E932391D6A}"/>
    <cellStyle name="Comma 16 3 2 2" xfId="2870" xr:uid="{E109C3E9-1ABE-4C96-8C05-29B6AEC49BD8}"/>
    <cellStyle name="Comma 16 3 2 2 2" xfId="11942" xr:uid="{0F1CCEEF-DDB9-4369-8C67-426C4CECDEDC}"/>
    <cellStyle name="Comma 16 3 2 2 2 2" xfId="27062" xr:uid="{ED297531-6573-4258-8E19-040DCDBE0FE0}"/>
    <cellStyle name="Comma 16 3 2 2 2 2 2" xfId="57302" xr:uid="{5CBF1EB0-5DA0-4E27-B392-D5B5E28F7754}"/>
    <cellStyle name="Comma 16 3 2 2 2 3" xfId="42182" xr:uid="{9711B6ED-EF3C-4663-9D75-66E4B61D561A}"/>
    <cellStyle name="Comma 16 3 2 2 3" xfId="17990" xr:uid="{8A6E09BE-42A9-4441-A865-3D955F61A20F}"/>
    <cellStyle name="Comma 16 3 2 2 3 2" xfId="48230" xr:uid="{B60EB3D7-DDD0-4634-AE31-C40117EBFCC2}"/>
    <cellStyle name="Comma 16 3 2 2 4" xfId="33110" xr:uid="{BB557D8A-2CCA-4C85-8FE8-EC498E737D44}"/>
    <cellStyle name="Comma 16 3 2 3" xfId="4382" xr:uid="{5296016A-B722-4109-8665-B2FB463CE9F6}"/>
    <cellStyle name="Comma 16 3 2 3 2" xfId="13454" xr:uid="{95B48C83-B5F9-444E-B71A-0EA39089077C}"/>
    <cellStyle name="Comma 16 3 2 3 2 2" xfId="28574" xr:uid="{AACDC76C-C573-4642-8B1A-4EF0FF0BD9D5}"/>
    <cellStyle name="Comma 16 3 2 3 2 2 2" xfId="58814" xr:uid="{6D2C4884-554D-4CBB-BFD5-CA4E9FC229C4}"/>
    <cellStyle name="Comma 16 3 2 3 2 3" xfId="43694" xr:uid="{A261B34B-03E0-4167-9090-2FA8EC69A08A}"/>
    <cellStyle name="Comma 16 3 2 3 3" xfId="19502" xr:uid="{EEA37C77-07FB-4BD5-80DB-400644213FB9}"/>
    <cellStyle name="Comma 16 3 2 3 3 2" xfId="49742" xr:uid="{F2931C74-D2A5-4149-8E99-A316C9DA3008}"/>
    <cellStyle name="Comma 16 3 2 3 4" xfId="34622" xr:uid="{B85AA735-7833-45F1-BDF2-21365A08F841}"/>
    <cellStyle name="Comma 16 3 2 4" xfId="5894" xr:uid="{F14AF61F-6865-41C6-BA53-B729A417A685}"/>
    <cellStyle name="Comma 16 3 2 4 2" xfId="14966" xr:uid="{2892860E-015A-4A99-A019-07C6D658FA31}"/>
    <cellStyle name="Comma 16 3 2 4 2 2" xfId="30086" xr:uid="{7CD89DC6-4C71-4337-B979-54BC412DE2BE}"/>
    <cellStyle name="Comma 16 3 2 4 2 2 2" xfId="60326" xr:uid="{A5447ACF-E9EB-49FD-B538-39AD6A16580F}"/>
    <cellStyle name="Comma 16 3 2 4 2 3" xfId="45206" xr:uid="{407BA19D-BB9C-4229-9FEB-CC9D9CA7EEBD}"/>
    <cellStyle name="Comma 16 3 2 4 3" xfId="21014" xr:uid="{1980648A-B827-4BA1-AD26-BA98FF7AFA48}"/>
    <cellStyle name="Comma 16 3 2 4 3 2" xfId="51254" xr:uid="{DF38C053-2700-496E-BF8F-CAC76178376F}"/>
    <cellStyle name="Comma 16 3 2 4 4" xfId="36134" xr:uid="{A06AC817-8443-46F1-AA07-B92FBD144158}"/>
    <cellStyle name="Comma 16 3 2 5" xfId="7406" xr:uid="{28F157D6-6A7E-4621-A8A1-BE9F8724EB31}"/>
    <cellStyle name="Comma 16 3 2 5 2" xfId="22526" xr:uid="{F92501D1-F679-4405-9120-583A6715F807}"/>
    <cellStyle name="Comma 16 3 2 5 2 2" xfId="52766" xr:uid="{E2118135-98D5-488F-B057-55C5746DF4F1}"/>
    <cellStyle name="Comma 16 3 2 5 3" xfId="37646" xr:uid="{DBBF9B1C-4DF2-4664-AFFF-AA17D6DE5C99}"/>
    <cellStyle name="Comma 16 3 2 6" xfId="8918" xr:uid="{796CDFAE-FE0F-4B9D-BC62-40A2B6CCB6B7}"/>
    <cellStyle name="Comma 16 3 2 6 2" xfId="24038" xr:uid="{EB6F3BDD-A871-4B2B-B2E6-27AFDE05743C}"/>
    <cellStyle name="Comma 16 3 2 6 2 2" xfId="54278" xr:uid="{925200EB-9D80-4B40-88A2-F26D3E46AC23}"/>
    <cellStyle name="Comma 16 3 2 6 3" xfId="39158" xr:uid="{DF839F7D-3FF8-4F94-8208-F0ED48A38984}"/>
    <cellStyle name="Comma 16 3 2 7" xfId="10430" xr:uid="{C94CE1D8-1D3D-4119-A14A-4085004802A4}"/>
    <cellStyle name="Comma 16 3 2 7 2" xfId="25550" xr:uid="{CB0EF404-BB3E-4F89-9A01-2A44F9202524}"/>
    <cellStyle name="Comma 16 3 2 7 2 2" xfId="55790" xr:uid="{39D74626-783E-499E-ADC9-8AF761762368}"/>
    <cellStyle name="Comma 16 3 2 7 3" xfId="40670" xr:uid="{72DBACEB-8EB8-4300-A58F-EE2B44766F87}"/>
    <cellStyle name="Comma 16 3 2 8" xfId="16478" xr:uid="{A726F0C8-09B1-489F-A36A-AC6456F3EB00}"/>
    <cellStyle name="Comma 16 3 2 8 2" xfId="46718" xr:uid="{CEC67EA0-9BC0-43A1-B0BD-749BBC610BF9}"/>
    <cellStyle name="Comma 16 3 2 9" xfId="31598" xr:uid="{6144B3E0-0E8E-4460-9E90-A82C29BDE795}"/>
    <cellStyle name="Comma 16 3 3" xfId="2114" xr:uid="{A35AE675-5F27-4586-B82A-CC8B0CD2FE94}"/>
    <cellStyle name="Comma 16 3 3 2" xfId="11186" xr:uid="{C2A17D91-ADBA-458A-8005-006A32F4660A}"/>
    <cellStyle name="Comma 16 3 3 2 2" xfId="26306" xr:uid="{C6B668BF-1079-454E-8569-C16E0FDE49F5}"/>
    <cellStyle name="Comma 16 3 3 2 2 2" xfId="56546" xr:uid="{B316D404-2B87-4962-8648-1C60A1EFD8EC}"/>
    <cellStyle name="Comma 16 3 3 2 3" xfId="41426" xr:uid="{4388D198-58C2-4943-87CD-A825CBDFFE39}"/>
    <cellStyle name="Comma 16 3 3 3" xfId="17234" xr:uid="{515DD7F0-0092-4C60-AD04-BDB5FBECF067}"/>
    <cellStyle name="Comma 16 3 3 3 2" xfId="47474" xr:uid="{2C287942-8101-40B7-BC62-72406EA06B3E}"/>
    <cellStyle name="Comma 16 3 3 4" xfId="32354" xr:uid="{51614A2F-DC17-40F8-AE78-6AA1F44C1B2D}"/>
    <cellStyle name="Comma 16 3 4" xfId="3626" xr:uid="{019CC752-ED79-4DA7-A6DF-C3799E5E06C1}"/>
    <cellStyle name="Comma 16 3 4 2" xfId="12698" xr:uid="{FFDE89D1-21C3-42AC-95B2-B8CB9078A550}"/>
    <cellStyle name="Comma 16 3 4 2 2" xfId="27818" xr:uid="{AB9F7874-AA3B-4A84-B69D-388EB1719AD3}"/>
    <cellStyle name="Comma 16 3 4 2 2 2" xfId="58058" xr:uid="{7847AB88-F41A-4782-81B1-9FE6E507358E}"/>
    <cellStyle name="Comma 16 3 4 2 3" xfId="42938" xr:uid="{99648665-D25B-4446-8BE2-B8359D9A2596}"/>
    <cellStyle name="Comma 16 3 4 3" xfId="18746" xr:uid="{6580B892-0998-4F5D-80F0-1DC86C0711C2}"/>
    <cellStyle name="Comma 16 3 4 3 2" xfId="48986" xr:uid="{BFB8B778-C371-48B0-B86B-EE58E6B250F9}"/>
    <cellStyle name="Comma 16 3 4 4" xfId="33866" xr:uid="{EF7E4F43-25EF-4304-87C9-C44F6548AD4C}"/>
    <cellStyle name="Comma 16 3 5" xfId="5138" xr:uid="{2E4140E8-6166-4021-B3C2-B1BD9D28B90B}"/>
    <cellStyle name="Comma 16 3 5 2" xfId="14210" xr:uid="{09F604C5-EBB4-4883-A8C9-04B3BB5578A4}"/>
    <cellStyle name="Comma 16 3 5 2 2" xfId="29330" xr:uid="{B3696EC5-505D-4D74-A6BB-69C6301CA29D}"/>
    <cellStyle name="Comma 16 3 5 2 2 2" xfId="59570" xr:uid="{0B0CF241-879F-4808-9797-505C929FF55B}"/>
    <cellStyle name="Comma 16 3 5 2 3" xfId="44450" xr:uid="{33EBADA1-70D7-471F-B863-A9C930FF4E21}"/>
    <cellStyle name="Comma 16 3 5 3" xfId="20258" xr:uid="{3431D1E1-D4A0-421D-B46E-622AADF9F7E6}"/>
    <cellStyle name="Comma 16 3 5 3 2" xfId="50498" xr:uid="{A3AF49D8-F07F-4EBD-BD84-7EA97184A524}"/>
    <cellStyle name="Comma 16 3 5 4" xfId="35378" xr:uid="{83651F45-40AA-41E3-8239-84908E9A1DD4}"/>
    <cellStyle name="Comma 16 3 6" xfId="6650" xr:uid="{7F42A518-8CA8-4AA7-80D3-022BF245C8DE}"/>
    <cellStyle name="Comma 16 3 6 2" xfId="21770" xr:uid="{7A636F68-0CA5-4267-B33B-1727BB18AEFE}"/>
    <cellStyle name="Comma 16 3 6 2 2" xfId="52010" xr:uid="{AE4074CD-B921-4FA0-B70F-44927B93E83A}"/>
    <cellStyle name="Comma 16 3 6 3" xfId="36890" xr:uid="{C6D33CC3-6712-4ABF-992F-2BB4212B3B95}"/>
    <cellStyle name="Comma 16 3 7" xfId="8162" xr:uid="{0A93222B-69E1-424C-965C-B2A0E9A65876}"/>
    <cellStyle name="Comma 16 3 7 2" xfId="23282" xr:uid="{E5E928D3-5435-4C5E-8FDB-34FF1CF86532}"/>
    <cellStyle name="Comma 16 3 7 2 2" xfId="53522" xr:uid="{6382A1BC-885D-4DD3-814B-68FAC93897FB}"/>
    <cellStyle name="Comma 16 3 7 3" xfId="38402" xr:uid="{CB41FD47-A402-4D8A-BEDE-D4194A62F646}"/>
    <cellStyle name="Comma 16 3 8" xfId="9674" xr:uid="{ED57681D-9CB7-40CE-BD3E-9633E52F2F20}"/>
    <cellStyle name="Comma 16 3 8 2" xfId="24794" xr:uid="{31EBE0F3-5C07-46A2-A71B-35BD564BD746}"/>
    <cellStyle name="Comma 16 3 8 2 2" xfId="55034" xr:uid="{80DF699C-A441-4539-BB72-F2C3AD1E34F9}"/>
    <cellStyle name="Comma 16 3 8 3" xfId="39914" xr:uid="{406F0896-DAD2-40C7-9AA4-01DE04026CF2}"/>
    <cellStyle name="Comma 16 3 9" xfId="15722" xr:uid="{C73CB0A8-3567-4D72-9F0E-188991AF034F}"/>
    <cellStyle name="Comma 16 3 9 2" xfId="45962" xr:uid="{8518613A-6A99-4EED-9257-FB2BB994A060}"/>
    <cellStyle name="Comma 16 4" xfId="854" xr:uid="{77034221-047C-4D41-8A62-1C1638BC663B}"/>
    <cellStyle name="Comma 16 4 2" xfId="2366" xr:uid="{5C842D19-4A69-4876-8CDD-EBCDD342F62E}"/>
    <cellStyle name="Comma 16 4 2 2" xfId="11438" xr:uid="{866ECA07-A1EF-494A-B05A-9990F3A57502}"/>
    <cellStyle name="Comma 16 4 2 2 2" xfId="26558" xr:uid="{560FF7A2-550D-470C-9B82-7F12623C142F}"/>
    <cellStyle name="Comma 16 4 2 2 2 2" xfId="56798" xr:uid="{BDE03018-6F9E-41E0-900C-011AE4FEFEF8}"/>
    <cellStyle name="Comma 16 4 2 2 3" xfId="41678" xr:uid="{1BD5FF32-03CE-490A-B99F-7ADB3192CA11}"/>
    <cellStyle name="Comma 16 4 2 3" xfId="17486" xr:uid="{248D7A57-7BF5-4D46-8674-43C70F255B37}"/>
    <cellStyle name="Comma 16 4 2 3 2" xfId="47726" xr:uid="{7D8F3EDE-0B0B-44A9-9180-16B207FD6D13}"/>
    <cellStyle name="Comma 16 4 2 4" xfId="32606" xr:uid="{AFE2CDA8-FE6E-4FFA-8C3F-BA711D61E719}"/>
    <cellStyle name="Comma 16 4 3" xfId="3878" xr:uid="{E8DE88CF-F513-4942-A00A-51377F961D70}"/>
    <cellStyle name="Comma 16 4 3 2" xfId="12950" xr:uid="{C647D2A9-C067-4ADC-9E7A-57951E049757}"/>
    <cellStyle name="Comma 16 4 3 2 2" xfId="28070" xr:uid="{B9992D23-4F3B-482D-8C9E-C7B6718B8C32}"/>
    <cellStyle name="Comma 16 4 3 2 2 2" xfId="58310" xr:uid="{FE1EB952-C138-4864-B2D5-984A4D3338F2}"/>
    <cellStyle name="Comma 16 4 3 2 3" xfId="43190" xr:uid="{DE210F32-B9A0-491C-816B-B0A99F38C002}"/>
    <cellStyle name="Comma 16 4 3 3" xfId="18998" xr:uid="{B06B7425-F2DE-442C-99C7-AD9CF847C3D8}"/>
    <cellStyle name="Comma 16 4 3 3 2" xfId="49238" xr:uid="{A29B98B2-E60F-4BBF-BA5E-8EA79D5D3770}"/>
    <cellStyle name="Comma 16 4 3 4" xfId="34118" xr:uid="{A22AD927-8908-4225-AE9C-62B58F84CDFB}"/>
    <cellStyle name="Comma 16 4 4" xfId="5390" xr:uid="{D5125E26-A62C-4779-93E0-E9621B5A88B4}"/>
    <cellStyle name="Comma 16 4 4 2" xfId="14462" xr:uid="{85F2B23A-B005-4CF7-A39B-1E66E1B25499}"/>
    <cellStyle name="Comma 16 4 4 2 2" xfId="29582" xr:uid="{94E8AFDC-45D3-4086-81AF-FF5D8BA177A5}"/>
    <cellStyle name="Comma 16 4 4 2 2 2" xfId="59822" xr:uid="{6990BEA4-9852-4BE9-A664-C8547034077F}"/>
    <cellStyle name="Comma 16 4 4 2 3" xfId="44702" xr:uid="{7832B52E-4E89-4E6B-86D8-5E2C52B56ED5}"/>
    <cellStyle name="Comma 16 4 4 3" xfId="20510" xr:uid="{023D272B-C9AE-4B47-8DE7-58BD1A2AB359}"/>
    <cellStyle name="Comma 16 4 4 3 2" xfId="50750" xr:uid="{CFBC383B-251D-4703-AEC2-A0A72248FF50}"/>
    <cellStyle name="Comma 16 4 4 4" xfId="35630" xr:uid="{22B8475D-2425-48EF-8CEE-A18637960DCE}"/>
    <cellStyle name="Comma 16 4 5" xfId="6902" xr:uid="{6D648F90-843D-4FA7-B17F-92DB909F6881}"/>
    <cellStyle name="Comma 16 4 5 2" xfId="22022" xr:uid="{A7D5DADC-F185-4171-A39F-C4002450934A}"/>
    <cellStyle name="Comma 16 4 5 2 2" xfId="52262" xr:uid="{6D0E00C5-77A2-482B-B24E-26DFA9D5734F}"/>
    <cellStyle name="Comma 16 4 5 3" xfId="37142" xr:uid="{8801E25B-23B2-4B88-9426-98E93B15FC21}"/>
    <cellStyle name="Comma 16 4 6" xfId="8414" xr:uid="{3C59C965-28DA-4F6E-AA13-0B8713889DBB}"/>
    <cellStyle name="Comma 16 4 6 2" xfId="23534" xr:uid="{17DCF7DC-625E-4E38-A9A3-1941CAA9462A}"/>
    <cellStyle name="Comma 16 4 6 2 2" xfId="53774" xr:uid="{EEEB55D4-198F-4C76-AAF2-638015C1072B}"/>
    <cellStyle name="Comma 16 4 6 3" xfId="38654" xr:uid="{2D9ACBD6-1AF1-458A-B3D2-715206FBA914}"/>
    <cellStyle name="Comma 16 4 7" xfId="9926" xr:uid="{61FF9A8F-B832-497A-A8A9-C2E55F1524CF}"/>
    <cellStyle name="Comma 16 4 7 2" xfId="25046" xr:uid="{D0803AFC-F3A6-44D2-8534-D3B27C9E4607}"/>
    <cellStyle name="Comma 16 4 7 2 2" xfId="55286" xr:uid="{597EC56F-E5B7-4BCF-8AF6-C45A6C8E0704}"/>
    <cellStyle name="Comma 16 4 7 3" xfId="40166" xr:uid="{D762854A-DEEF-47BE-A52C-F59EC3FBC2DD}"/>
    <cellStyle name="Comma 16 4 8" xfId="15974" xr:uid="{0FF887D9-79CF-4E66-8B91-162C66CD1BF4}"/>
    <cellStyle name="Comma 16 4 8 2" xfId="46214" xr:uid="{5237C121-D269-45D3-A57D-A1AA315AE7C8}"/>
    <cellStyle name="Comma 16 4 9" xfId="31094" xr:uid="{EAA97CC2-6D16-4D54-A0CD-EA1B8C73C410}"/>
    <cellStyle name="Comma 16 5" xfId="1610" xr:uid="{5928B00F-8A7A-4465-85D9-C923FDF5D414}"/>
    <cellStyle name="Comma 16 5 2" xfId="10682" xr:uid="{2FCF0D8D-0E3A-4BA0-A678-71F4294E1674}"/>
    <cellStyle name="Comma 16 5 2 2" xfId="25802" xr:uid="{494590F3-2495-4FA9-8F72-0F9C093084E8}"/>
    <cellStyle name="Comma 16 5 2 2 2" xfId="56042" xr:uid="{8C6C317A-7345-4C28-8FF2-26E943E6EF34}"/>
    <cellStyle name="Comma 16 5 2 3" xfId="40922" xr:uid="{2AC6D6B7-10B4-4A9F-B754-45723047C81A}"/>
    <cellStyle name="Comma 16 5 3" xfId="16730" xr:uid="{C3092FA3-E008-4252-AEA1-54C26D968245}"/>
    <cellStyle name="Comma 16 5 3 2" xfId="46970" xr:uid="{1AD1473A-B257-455D-8A2D-2CCD46EB0182}"/>
    <cellStyle name="Comma 16 5 4" xfId="31850" xr:uid="{127E551D-8BB5-4E61-AF58-B2F0C645C14C}"/>
    <cellStyle name="Comma 16 6" xfId="3122" xr:uid="{ACD11676-BF0E-4B17-BC47-AC304F49B295}"/>
    <cellStyle name="Comma 16 6 2" xfId="12194" xr:uid="{E76334A5-7195-41CF-B041-A0F98281DFC3}"/>
    <cellStyle name="Comma 16 6 2 2" xfId="27314" xr:uid="{98490C52-91E1-413F-AE33-ECCDBDAD9649}"/>
    <cellStyle name="Comma 16 6 2 2 2" xfId="57554" xr:uid="{237561F1-E53B-4B26-BBE2-5CCE2B5D5D34}"/>
    <cellStyle name="Comma 16 6 2 3" xfId="42434" xr:uid="{EDCA1B46-E9C9-4534-B0FF-66233A5920B0}"/>
    <cellStyle name="Comma 16 6 3" xfId="18242" xr:uid="{12672D4D-7127-43FF-BD92-8E6D7CD2F36C}"/>
    <cellStyle name="Comma 16 6 3 2" xfId="48482" xr:uid="{EC5F109C-214B-4ACE-98B5-0E7A02C00F37}"/>
    <cellStyle name="Comma 16 6 4" xfId="33362" xr:uid="{34A8275F-E85B-46DB-BA28-ED19E306F872}"/>
    <cellStyle name="Comma 16 7" xfId="4634" xr:uid="{CDF71E11-BC43-42DF-B3BA-DF2EA298536B}"/>
    <cellStyle name="Comma 16 7 2" xfId="13706" xr:uid="{928BB70D-9C95-4384-86FC-869EF6AB92D5}"/>
    <cellStyle name="Comma 16 7 2 2" xfId="28826" xr:uid="{7767B49E-C854-4118-B3CF-3AF877F719C8}"/>
    <cellStyle name="Comma 16 7 2 2 2" xfId="59066" xr:uid="{5725C1A2-9A07-4C47-83B3-40EBAF446470}"/>
    <cellStyle name="Comma 16 7 2 3" xfId="43946" xr:uid="{9BF918FE-7842-4878-8BE9-86E8703E0537}"/>
    <cellStyle name="Comma 16 7 3" xfId="19754" xr:uid="{6BC57513-B747-456E-B16F-B083D7496876}"/>
    <cellStyle name="Comma 16 7 3 2" xfId="49994" xr:uid="{A0166ECD-5407-44E0-B68D-A1ABB13CAC8D}"/>
    <cellStyle name="Comma 16 7 4" xfId="34874" xr:uid="{E020124C-85BB-467F-99A9-84E4F0FD680E}"/>
    <cellStyle name="Comma 16 8" xfId="6146" xr:uid="{0B554F6E-82A9-4D6A-B072-B88924BE629C}"/>
    <cellStyle name="Comma 16 8 2" xfId="21266" xr:uid="{C51DB1A2-DF35-4807-A81F-B7E097D7D5ED}"/>
    <cellStyle name="Comma 16 8 2 2" xfId="51506" xr:uid="{9C17408A-A12A-4D54-8EEE-B0E6DE37638C}"/>
    <cellStyle name="Comma 16 8 3" xfId="36386" xr:uid="{44E9E105-FE39-4C25-9E4D-FD7EA93C6AF2}"/>
    <cellStyle name="Comma 16 9" xfId="7658" xr:uid="{D32BE036-49ED-4E5F-8C44-2EC4F9409802}"/>
    <cellStyle name="Comma 16 9 2" xfId="22778" xr:uid="{3313145B-03E0-46CB-A65F-59B018859A4B}"/>
    <cellStyle name="Comma 16 9 2 2" xfId="53018" xr:uid="{57508DFA-FA8D-4505-AD09-EACFDE25B9A6}"/>
    <cellStyle name="Comma 16 9 3" xfId="37898" xr:uid="{77008A67-F1F8-4381-8237-B9B39B515DB1}"/>
    <cellStyle name="Comma 17" xfId="182" xr:uid="{AF73A4D8-5EB2-4D48-B76B-26C507839FDE}"/>
    <cellStyle name="Comma 17 10" xfId="9254" xr:uid="{B4A273A2-5832-48BC-B5AE-78503705BDDF}"/>
    <cellStyle name="Comma 17 10 2" xfId="24374" xr:uid="{69A75312-5C5D-4CA2-BF20-3F96D2BD9F12}"/>
    <cellStyle name="Comma 17 10 2 2" xfId="54614" xr:uid="{8E3E3349-FA39-484A-AD6F-BEE16E51558D}"/>
    <cellStyle name="Comma 17 10 3" xfId="39494" xr:uid="{BE75B1DB-F6DB-43D1-8342-262CFFE9A652}"/>
    <cellStyle name="Comma 17 11" xfId="15302" xr:uid="{14194710-7318-4BB9-A18D-65D4E130C408}"/>
    <cellStyle name="Comma 17 11 2" xfId="45542" xr:uid="{DA185386-D0B4-4AF5-A7B2-0C02AB92F28A}"/>
    <cellStyle name="Comma 17 12" xfId="30422" xr:uid="{3983EF6C-9058-4B69-A832-54B0BF8B10F0}"/>
    <cellStyle name="Comma 17 2" xfId="434" xr:uid="{7A9EB812-1C8C-4F9D-8040-0105D9B695E2}"/>
    <cellStyle name="Comma 17 2 10" xfId="30674" xr:uid="{918197F1-9945-426A-AF69-C61CC6859D11}"/>
    <cellStyle name="Comma 17 2 2" xfId="1190" xr:uid="{82A126EB-D0B1-46E2-957C-3E17EB65EFA8}"/>
    <cellStyle name="Comma 17 2 2 2" xfId="2702" xr:uid="{ECDA82D6-A5FB-48C9-A7F9-54CAAE84F1CE}"/>
    <cellStyle name="Comma 17 2 2 2 2" xfId="11774" xr:uid="{92CA4F7B-748C-439A-A2E9-B4770810175F}"/>
    <cellStyle name="Comma 17 2 2 2 2 2" xfId="26894" xr:uid="{7B006669-2304-4225-9027-81EB0D08FC40}"/>
    <cellStyle name="Comma 17 2 2 2 2 2 2" xfId="57134" xr:uid="{78FA1376-6DF3-4A72-A37A-2CF179FDA0CE}"/>
    <cellStyle name="Comma 17 2 2 2 2 3" xfId="42014" xr:uid="{67292274-C2FA-4678-9DE7-76DD11DD8909}"/>
    <cellStyle name="Comma 17 2 2 2 3" xfId="17822" xr:uid="{213F5618-38CF-4B71-93C1-4B5DC624E95D}"/>
    <cellStyle name="Comma 17 2 2 2 3 2" xfId="48062" xr:uid="{6654FD52-3704-457D-958B-53CA7569A385}"/>
    <cellStyle name="Comma 17 2 2 2 4" xfId="32942" xr:uid="{2F54C5B8-3B92-4DC5-AE42-C78998176742}"/>
    <cellStyle name="Comma 17 2 2 3" xfId="4214" xr:uid="{F652901D-4679-43D7-AC45-2656DA5071F9}"/>
    <cellStyle name="Comma 17 2 2 3 2" xfId="13286" xr:uid="{02E81B4D-1031-4222-B136-7615BF1BD71C}"/>
    <cellStyle name="Comma 17 2 2 3 2 2" xfId="28406" xr:uid="{9A79EE89-5BF9-42F7-A6E7-C8D002AB893B}"/>
    <cellStyle name="Comma 17 2 2 3 2 2 2" xfId="58646" xr:uid="{DF566517-A1B3-4181-AE24-38502CBA4792}"/>
    <cellStyle name="Comma 17 2 2 3 2 3" xfId="43526" xr:uid="{BD06769E-D267-4085-A2A0-40385905641C}"/>
    <cellStyle name="Comma 17 2 2 3 3" xfId="19334" xr:uid="{772D92C3-ED45-4A95-9515-53322B27001E}"/>
    <cellStyle name="Comma 17 2 2 3 3 2" xfId="49574" xr:uid="{A79F9627-4070-435F-AB8C-E819512E7774}"/>
    <cellStyle name="Comma 17 2 2 3 4" xfId="34454" xr:uid="{83D82901-6A53-4173-B85D-FD87E952331F}"/>
    <cellStyle name="Comma 17 2 2 4" xfId="5726" xr:uid="{EBE88146-217F-4A93-BDD5-E1D3CA99D57D}"/>
    <cellStyle name="Comma 17 2 2 4 2" xfId="14798" xr:uid="{39073807-F093-4AB2-B34E-1F60119BFCE0}"/>
    <cellStyle name="Comma 17 2 2 4 2 2" xfId="29918" xr:uid="{A9E20991-3F65-4D80-AB6D-DB59198DEB64}"/>
    <cellStyle name="Comma 17 2 2 4 2 2 2" xfId="60158" xr:uid="{8CB5C737-C138-4E16-B59D-6BA91D80E276}"/>
    <cellStyle name="Comma 17 2 2 4 2 3" xfId="45038" xr:uid="{F708828E-1B51-43A3-9978-5505F2FD9933}"/>
    <cellStyle name="Comma 17 2 2 4 3" xfId="20846" xr:uid="{0E7C89E9-B006-4085-A570-4FD5AD646022}"/>
    <cellStyle name="Comma 17 2 2 4 3 2" xfId="51086" xr:uid="{CE229118-E351-40EF-A20B-7CC6A51337C1}"/>
    <cellStyle name="Comma 17 2 2 4 4" xfId="35966" xr:uid="{9F29A4E4-9E90-4426-BF70-9019CCC61462}"/>
    <cellStyle name="Comma 17 2 2 5" xfId="7238" xr:uid="{087707A8-A555-4F22-BFD3-21E4AE24DE85}"/>
    <cellStyle name="Comma 17 2 2 5 2" xfId="22358" xr:uid="{E6CE7C15-2225-407C-B863-DF264F500628}"/>
    <cellStyle name="Comma 17 2 2 5 2 2" xfId="52598" xr:uid="{855321CF-CF01-46E2-8C01-E9673F3F347C}"/>
    <cellStyle name="Comma 17 2 2 5 3" xfId="37478" xr:uid="{76195E68-51B3-4D07-9120-7B43891FEB90}"/>
    <cellStyle name="Comma 17 2 2 6" xfId="8750" xr:uid="{FEB274AD-C35C-4AB7-8310-5AA7F61B2468}"/>
    <cellStyle name="Comma 17 2 2 6 2" xfId="23870" xr:uid="{300ADD29-5350-4729-8BD7-C60FFE7C4130}"/>
    <cellStyle name="Comma 17 2 2 6 2 2" xfId="54110" xr:uid="{CE3FF011-DCD0-4402-9AA8-F4194BF233EB}"/>
    <cellStyle name="Comma 17 2 2 6 3" xfId="38990" xr:uid="{94FE4756-3F95-49C2-B0B4-76CB18830473}"/>
    <cellStyle name="Comma 17 2 2 7" xfId="10262" xr:uid="{1555E5C7-351D-4180-BCB7-C63085DD2A01}"/>
    <cellStyle name="Comma 17 2 2 7 2" xfId="25382" xr:uid="{DC524C5D-A22D-4A53-B9F3-F69040808BCC}"/>
    <cellStyle name="Comma 17 2 2 7 2 2" xfId="55622" xr:uid="{396DA0F1-56B5-4E22-BC9A-C3A97BCE1FD9}"/>
    <cellStyle name="Comma 17 2 2 7 3" xfId="40502" xr:uid="{6830B21B-CB43-4767-86B2-BF8F898E4C6C}"/>
    <cellStyle name="Comma 17 2 2 8" xfId="16310" xr:uid="{857A739A-3B31-4A7A-8291-7EE082E25ADB}"/>
    <cellStyle name="Comma 17 2 2 8 2" xfId="46550" xr:uid="{A31FA289-BA22-45E2-B3F4-A69E59BB6881}"/>
    <cellStyle name="Comma 17 2 2 9" xfId="31430" xr:uid="{7BECA81E-09AE-4D6C-96B0-2B3E527DD889}"/>
    <cellStyle name="Comma 17 2 3" xfId="1946" xr:uid="{D5914ECF-1371-4C23-AA7D-29085893E1AF}"/>
    <cellStyle name="Comma 17 2 3 2" xfId="11018" xr:uid="{D7602414-F9B9-4485-96D4-386EBB084D0F}"/>
    <cellStyle name="Comma 17 2 3 2 2" xfId="26138" xr:uid="{F2F55260-1E26-4833-B0EB-2B716851510D}"/>
    <cellStyle name="Comma 17 2 3 2 2 2" xfId="56378" xr:uid="{8D968450-CEE0-4030-BC75-587C44E04401}"/>
    <cellStyle name="Comma 17 2 3 2 3" xfId="41258" xr:uid="{04EB5370-8A13-4A8E-80BE-AFC7FB30786C}"/>
    <cellStyle name="Comma 17 2 3 3" xfId="17066" xr:uid="{F28F9A5C-854B-4D38-9FAD-83D8AD845B85}"/>
    <cellStyle name="Comma 17 2 3 3 2" xfId="47306" xr:uid="{7E09701D-D9B2-41FD-9B73-234C96D08F32}"/>
    <cellStyle name="Comma 17 2 3 4" xfId="32186" xr:uid="{480D7B72-C88B-40CB-B81F-516B1444C69F}"/>
    <cellStyle name="Comma 17 2 4" xfId="3458" xr:uid="{A76AFAA8-6FF8-4C56-BC7C-38D8BC616785}"/>
    <cellStyle name="Comma 17 2 4 2" xfId="12530" xr:uid="{ADC32F97-AD22-43E3-AB79-288B6EE31BEB}"/>
    <cellStyle name="Comma 17 2 4 2 2" xfId="27650" xr:uid="{835A8D48-2F12-4741-9BF1-6F7F9CA79ED7}"/>
    <cellStyle name="Comma 17 2 4 2 2 2" xfId="57890" xr:uid="{B038AF8E-E8E4-415A-9B15-822887EF8E64}"/>
    <cellStyle name="Comma 17 2 4 2 3" xfId="42770" xr:uid="{BC7A3D15-7FF0-4C74-B0A0-5CDC3845EC6F}"/>
    <cellStyle name="Comma 17 2 4 3" xfId="18578" xr:uid="{BB402441-3001-4363-A3F9-61539482E11E}"/>
    <cellStyle name="Comma 17 2 4 3 2" xfId="48818" xr:uid="{F91C4BCA-0FD4-4CB1-8D64-3EE83526013B}"/>
    <cellStyle name="Comma 17 2 4 4" xfId="33698" xr:uid="{3CF83A2C-8BCD-49F8-90F8-5E3BCE17CC1B}"/>
    <cellStyle name="Comma 17 2 5" xfId="4970" xr:uid="{9D958CAF-60AD-4CFB-8BE9-82FAFBE28689}"/>
    <cellStyle name="Comma 17 2 5 2" xfId="14042" xr:uid="{8A980F10-E417-4C51-8597-DA91F1B65030}"/>
    <cellStyle name="Comma 17 2 5 2 2" xfId="29162" xr:uid="{A131A1AC-B515-4408-A29D-7FCD7DAE7A36}"/>
    <cellStyle name="Comma 17 2 5 2 2 2" xfId="59402" xr:uid="{0159434B-B039-47D1-AC0A-B4317DCEF253}"/>
    <cellStyle name="Comma 17 2 5 2 3" xfId="44282" xr:uid="{50788114-6A1B-41FF-9911-DC58F46E6A15}"/>
    <cellStyle name="Comma 17 2 5 3" xfId="20090" xr:uid="{FC9B3C44-D861-43AC-AC1D-95B0AD23F298}"/>
    <cellStyle name="Comma 17 2 5 3 2" xfId="50330" xr:uid="{3A249C3F-FF95-44E9-BCC8-2924E774E22C}"/>
    <cellStyle name="Comma 17 2 5 4" xfId="35210" xr:uid="{ABAF5DAB-C815-4770-ADA0-C2FE01B9D51C}"/>
    <cellStyle name="Comma 17 2 6" xfId="6482" xr:uid="{73E0DBB9-60F1-4EE8-B409-F4360A4D393B}"/>
    <cellStyle name="Comma 17 2 6 2" xfId="21602" xr:uid="{60A478F2-4E8A-4280-86ED-C615579BD4B5}"/>
    <cellStyle name="Comma 17 2 6 2 2" xfId="51842" xr:uid="{A0AF4DF5-73B9-49F4-97A6-FED523767ADC}"/>
    <cellStyle name="Comma 17 2 6 3" xfId="36722" xr:uid="{154298B8-C6E3-498B-9D3A-86B5B69D78FE}"/>
    <cellStyle name="Comma 17 2 7" xfId="7994" xr:uid="{2C2C6E45-C4F0-4B6C-A7A8-78FC7A336B31}"/>
    <cellStyle name="Comma 17 2 7 2" xfId="23114" xr:uid="{597243F2-C932-4D71-95EC-8F095F4FF941}"/>
    <cellStyle name="Comma 17 2 7 2 2" xfId="53354" xr:uid="{C0BF1141-ECE3-4B34-AFB0-DF464AE653D6}"/>
    <cellStyle name="Comma 17 2 7 3" xfId="38234" xr:uid="{E1907288-1C77-4635-90D0-8D131EFDCABC}"/>
    <cellStyle name="Comma 17 2 8" xfId="9506" xr:uid="{5008D6BE-B062-467A-8B37-44384BFD6095}"/>
    <cellStyle name="Comma 17 2 8 2" xfId="24626" xr:uid="{452D1253-718E-4167-9545-A683822B1ACC}"/>
    <cellStyle name="Comma 17 2 8 2 2" xfId="54866" xr:uid="{9EF8851C-B57D-4251-8F7E-327E5D3C3EAB}"/>
    <cellStyle name="Comma 17 2 8 3" xfId="39746" xr:uid="{860F6726-555F-43AD-92F0-823957437AC4}"/>
    <cellStyle name="Comma 17 2 9" xfId="15554" xr:uid="{E996C7CB-F3F5-4409-8569-5CF637F989CB}"/>
    <cellStyle name="Comma 17 2 9 2" xfId="45794" xr:uid="{EBBEBAAE-5AC6-483A-ABFB-7F7E5B86052F}"/>
    <cellStyle name="Comma 17 3" xfId="686" xr:uid="{CD5CECC0-1D1D-479C-BBED-2C3DDB0AECF6}"/>
    <cellStyle name="Comma 17 3 10" xfId="30926" xr:uid="{140EDEAF-B8C8-42C4-B547-764663DCAE8A}"/>
    <cellStyle name="Comma 17 3 2" xfId="1442" xr:uid="{0B0FD4C7-F692-4ADB-B783-2F192BE5249A}"/>
    <cellStyle name="Comma 17 3 2 2" xfId="2954" xr:uid="{E0FBBE18-45C1-4CFC-A4F4-D7E85840A54A}"/>
    <cellStyle name="Comma 17 3 2 2 2" xfId="12026" xr:uid="{D93D217D-4DB0-4E81-915E-790332974D65}"/>
    <cellStyle name="Comma 17 3 2 2 2 2" xfId="27146" xr:uid="{09D05B92-E84A-4F7C-ACDA-DF3112D0A82A}"/>
    <cellStyle name="Comma 17 3 2 2 2 2 2" xfId="57386" xr:uid="{338B9F45-72D9-4EC4-B8F3-AB9726E9D931}"/>
    <cellStyle name="Comma 17 3 2 2 2 3" xfId="42266" xr:uid="{A60C6EFA-9E37-44BA-95C1-3C023B5D5C22}"/>
    <cellStyle name="Comma 17 3 2 2 3" xfId="18074" xr:uid="{C0FFF055-C62F-472C-A274-6D8EB7C6FB5C}"/>
    <cellStyle name="Comma 17 3 2 2 3 2" xfId="48314" xr:uid="{1AE33E44-E1B3-4F88-98D7-BF57FD2F7627}"/>
    <cellStyle name="Comma 17 3 2 2 4" xfId="33194" xr:uid="{35A8D6ED-1034-4EA9-B681-02EF6352448B}"/>
    <cellStyle name="Comma 17 3 2 3" xfId="4466" xr:uid="{58444972-B661-4F40-810B-1FD8F93F5C9E}"/>
    <cellStyle name="Comma 17 3 2 3 2" xfId="13538" xr:uid="{698B37A9-EE0C-4D11-827F-518839BBC356}"/>
    <cellStyle name="Comma 17 3 2 3 2 2" xfId="28658" xr:uid="{1C3E864A-C938-4E06-BCB6-90315469C663}"/>
    <cellStyle name="Comma 17 3 2 3 2 2 2" xfId="58898" xr:uid="{176AE1A3-2B76-469F-BD0B-98BB7043DA2D}"/>
    <cellStyle name="Comma 17 3 2 3 2 3" xfId="43778" xr:uid="{3BDE9DDF-2A1A-4EC5-8F17-53533CE6CC0A}"/>
    <cellStyle name="Comma 17 3 2 3 3" xfId="19586" xr:uid="{4216FD1D-DE53-4119-96C7-1CBEE4AA101A}"/>
    <cellStyle name="Comma 17 3 2 3 3 2" xfId="49826" xr:uid="{0F997834-0BD0-4EA4-8BB8-DD0007D88594}"/>
    <cellStyle name="Comma 17 3 2 3 4" xfId="34706" xr:uid="{5CABE615-51E5-40E8-9A59-413E45F6EEE3}"/>
    <cellStyle name="Comma 17 3 2 4" xfId="5978" xr:uid="{33DD69BF-6466-40F4-A4AC-78668AA23A0E}"/>
    <cellStyle name="Comma 17 3 2 4 2" xfId="15050" xr:uid="{38325D37-8EC9-4BAA-BBB4-BE36E400E7CA}"/>
    <cellStyle name="Comma 17 3 2 4 2 2" xfId="30170" xr:uid="{0998E389-021C-4E6A-926C-845FE84D8013}"/>
    <cellStyle name="Comma 17 3 2 4 2 2 2" xfId="60410" xr:uid="{BEE1D3DD-C898-49BF-864F-1A0DED27220B}"/>
    <cellStyle name="Comma 17 3 2 4 2 3" xfId="45290" xr:uid="{2B39BA58-C857-43F3-87E5-3CC34957C7B5}"/>
    <cellStyle name="Comma 17 3 2 4 3" xfId="21098" xr:uid="{C92BA1C4-B5A7-4AF3-8FED-448DFC5274B7}"/>
    <cellStyle name="Comma 17 3 2 4 3 2" xfId="51338" xr:uid="{238C835F-185D-4829-B596-C82B48CD6B5D}"/>
    <cellStyle name="Comma 17 3 2 4 4" xfId="36218" xr:uid="{643EFCF9-735E-4902-AF80-7A4A6798AF1C}"/>
    <cellStyle name="Comma 17 3 2 5" xfId="7490" xr:uid="{2C4E2462-5034-4948-BC7E-96B61D9E2685}"/>
    <cellStyle name="Comma 17 3 2 5 2" xfId="22610" xr:uid="{B7A95A09-2328-4381-A658-FF846AE2E88C}"/>
    <cellStyle name="Comma 17 3 2 5 2 2" xfId="52850" xr:uid="{A64BB033-9C4F-41A7-81CF-623F855CFEFD}"/>
    <cellStyle name="Comma 17 3 2 5 3" xfId="37730" xr:uid="{07137FCF-41E1-4E54-B28E-424717B51FFC}"/>
    <cellStyle name="Comma 17 3 2 6" xfId="9002" xr:uid="{CC305B53-F25D-4729-B5F0-8DCF621FF73A}"/>
    <cellStyle name="Comma 17 3 2 6 2" xfId="24122" xr:uid="{89BE6242-3D00-4B73-A38F-84A2F7C89B8C}"/>
    <cellStyle name="Comma 17 3 2 6 2 2" xfId="54362" xr:uid="{42D68D16-1AFC-472B-A448-5B7E3CD21C5A}"/>
    <cellStyle name="Comma 17 3 2 6 3" xfId="39242" xr:uid="{F742A9DE-9C06-4025-8F0B-3A8FDF82C915}"/>
    <cellStyle name="Comma 17 3 2 7" xfId="10514" xr:uid="{F113B2D3-8156-4062-BAF2-4FC0C906AEEC}"/>
    <cellStyle name="Comma 17 3 2 7 2" xfId="25634" xr:uid="{87D14250-B2DC-456E-A106-58D47E44BEDA}"/>
    <cellStyle name="Comma 17 3 2 7 2 2" xfId="55874" xr:uid="{EF57F695-A84E-49CC-BA3F-CA7859418F74}"/>
    <cellStyle name="Comma 17 3 2 7 3" xfId="40754" xr:uid="{5AE0BCFD-89AB-4013-8247-BA09C3800BD8}"/>
    <cellStyle name="Comma 17 3 2 8" xfId="16562" xr:uid="{6914D208-3281-4040-907C-AF3505A2EE3C}"/>
    <cellStyle name="Comma 17 3 2 8 2" xfId="46802" xr:uid="{C9AE6360-77DE-497D-BAFC-4BB72E5A2D2A}"/>
    <cellStyle name="Comma 17 3 2 9" xfId="31682" xr:uid="{2CEF64E8-820C-4AC4-9B92-89BB39E9568B}"/>
    <cellStyle name="Comma 17 3 3" xfId="2198" xr:uid="{D2BE47D1-4C39-4BDE-BD5C-4BBE6866F4D8}"/>
    <cellStyle name="Comma 17 3 3 2" xfId="11270" xr:uid="{4783C7DD-3E1F-43BF-922F-F7E1B2EB086C}"/>
    <cellStyle name="Comma 17 3 3 2 2" xfId="26390" xr:uid="{837A2CE9-3625-4104-BFC8-D505DC9BDE40}"/>
    <cellStyle name="Comma 17 3 3 2 2 2" xfId="56630" xr:uid="{74178E35-25FC-4F85-A72F-A038ABDAB0CF}"/>
    <cellStyle name="Comma 17 3 3 2 3" xfId="41510" xr:uid="{BCB04F53-C16D-40EC-A6C3-F329BD677B2F}"/>
    <cellStyle name="Comma 17 3 3 3" xfId="17318" xr:uid="{223DEE8A-D797-468E-BC6A-0E7A2357D261}"/>
    <cellStyle name="Comma 17 3 3 3 2" xfId="47558" xr:uid="{22A7DC2A-47C4-4841-A41D-CBCC7E2FB2B1}"/>
    <cellStyle name="Comma 17 3 3 4" xfId="32438" xr:uid="{C04186BF-382C-4276-BF0D-62CA76201B93}"/>
    <cellStyle name="Comma 17 3 4" xfId="3710" xr:uid="{C301806B-FD88-4201-B279-231AFC6B398C}"/>
    <cellStyle name="Comma 17 3 4 2" xfId="12782" xr:uid="{D9C98506-8FAF-4E98-9438-3062D0F3F9D5}"/>
    <cellStyle name="Comma 17 3 4 2 2" xfId="27902" xr:uid="{1112B33F-B131-490B-8B32-5D82DA37FB4A}"/>
    <cellStyle name="Comma 17 3 4 2 2 2" xfId="58142" xr:uid="{964E2409-5879-4DA2-A913-C66934EE190E}"/>
    <cellStyle name="Comma 17 3 4 2 3" xfId="43022" xr:uid="{099551FE-B8CB-4B9B-8327-9000E9023346}"/>
    <cellStyle name="Comma 17 3 4 3" xfId="18830" xr:uid="{D8CB1093-5505-494D-A628-9CBB215CD309}"/>
    <cellStyle name="Comma 17 3 4 3 2" xfId="49070" xr:uid="{0DD9037D-C97D-4769-B180-1E26A64629BB}"/>
    <cellStyle name="Comma 17 3 4 4" xfId="33950" xr:uid="{7759F237-8C15-4A69-826B-565E00A66807}"/>
    <cellStyle name="Comma 17 3 5" xfId="5222" xr:uid="{C6A5290D-B419-4FEB-A746-07E5766D3071}"/>
    <cellStyle name="Comma 17 3 5 2" xfId="14294" xr:uid="{668CA1A3-71F5-4F57-9303-8C6140371696}"/>
    <cellStyle name="Comma 17 3 5 2 2" xfId="29414" xr:uid="{A0ABFE46-C190-4FFB-B9ED-70FCBDA61B89}"/>
    <cellStyle name="Comma 17 3 5 2 2 2" xfId="59654" xr:uid="{07FF3FDA-AFEF-4695-997C-E8CD0E1A50D3}"/>
    <cellStyle name="Comma 17 3 5 2 3" xfId="44534" xr:uid="{839E7DCD-9603-4C64-9B20-4B6DD8C03037}"/>
    <cellStyle name="Comma 17 3 5 3" xfId="20342" xr:uid="{0411C4F4-3AAE-4CF8-BE78-99B2FE7AD1CA}"/>
    <cellStyle name="Comma 17 3 5 3 2" xfId="50582" xr:uid="{9DB1D67C-710F-4607-BE91-84D5C1F977D6}"/>
    <cellStyle name="Comma 17 3 5 4" xfId="35462" xr:uid="{15157B51-AF87-48D0-AF5E-71BE00812F5D}"/>
    <cellStyle name="Comma 17 3 6" xfId="6734" xr:uid="{72AB8615-7913-4E6D-B830-3A38B46EC572}"/>
    <cellStyle name="Comma 17 3 6 2" xfId="21854" xr:uid="{BC75630E-EEFA-4C5F-830A-E3E208CA4D99}"/>
    <cellStyle name="Comma 17 3 6 2 2" xfId="52094" xr:uid="{4ED055DA-EF33-4C33-B0CE-95CC658AFBF8}"/>
    <cellStyle name="Comma 17 3 6 3" xfId="36974" xr:uid="{487ABDF7-8F65-420D-9681-1163D072CE9F}"/>
    <cellStyle name="Comma 17 3 7" xfId="8246" xr:uid="{33BFFE9E-AAE9-4E71-A95E-A373878D003E}"/>
    <cellStyle name="Comma 17 3 7 2" xfId="23366" xr:uid="{237B318D-63C9-4C22-A18F-6459A154053B}"/>
    <cellStyle name="Comma 17 3 7 2 2" xfId="53606" xr:uid="{701DE1ED-4B30-4F63-99A9-5C4EAD8CA35D}"/>
    <cellStyle name="Comma 17 3 7 3" xfId="38486" xr:uid="{46314F21-54C6-4951-B63A-100C52ECF6AE}"/>
    <cellStyle name="Comma 17 3 8" xfId="9758" xr:uid="{3D789F35-9959-4EA8-8CBC-F47B73ED9EF5}"/>
    <cellStyle name="Comma 17 3 8 2" xfId="24878" xr:uid="{0F2935C4-B88F-41D6-8D5E-98C24BA699CC}"/>
    <cellStyle name="Comma 17 3 8 2 2" xfId="55118" xr:uid="{8FB85FBC-45CD-460A-BB47-0CAFEFD35A8E}"/>
    <cellStyle name="Comma 17 3 8 3" xfId="39998" xr:uid="{96CFB23E-317E-4075-9546-DF18F96E5C0A}"/>
    <cellStyle name="Comma 17 3 9" xfId="15806" xr:uid="{F9082B63-0534-427F-944A-51E860C5EBA4}"/>
    <cellStyle name="Comma 17 3 9 2" xfId="46046" xr:uid="{21431AED-13BC-411E-A666-1823C8813F9B}"/>
    <cellStyle name="Comma 17 4" xfId="938" xr:uid="{A8DB4CFF-7F00-482F-B6CC-C151DFF92662}"/>
    <cellStyle name="Comma 17 4 2" xfId="2450" xr:uid="{44ECBA3F-8E70-4539-A7CA-55CD152FFE8E}"/>
    <cellStyle name="Comma 17 4 2 2" xfId="11522" xr:uid="{4E131C15-8B68-44AB-82B1-6A4EC3D9BE58}"/>
    <cellStyle name="Comma 17 4 2 2 2" xfId="26642" xr:uid="{A8E3F04C-72CA-483F-B875-D5C00B314B8B}"/>
    <cellStyle name="Comma 17 4 2 2 2 2" xfId="56882" xr:uid="{BDFCCF16-42BD-4BC1-BD08-2A947E00A8A0}"/>
    <cellStyle name="Comma 17 4 2 2 3" xfId="41762" xr:uid="{90127F6D-F9EE-404B-9842-8E2622F48370}"/>
    <cellStyle name="Comma 17 4 2 3" xfId="17570" xr:uid="{6DABFF76-D478-4CE9-80FE-B1DD43549039}"/>
    <cellStyle name="Comma 17 4 2 3 2" xfId="47810" xr:uid="{E2C8351C-CCF8-4939-B20F-4448D3991A1B}"/>
    <cellStyle name="Comma 17 4 2 4" xfId="32690" xr:uid="{28FD9D2D-B1A1-4619-939E-5BFD7B5925AD}"/>
    <cellStyle name="Comma 17 4 3" xfId="3962" xr:uid="{A6A79890-20E0-40BA-8863-396FA6DC83F0}"/>
    <cellStyle name="Comma 17 4 3 2" xfId="13034" xr:uid="{8CBDF80D-A6F1-436A-9488-BC50F607F8CC}"/>
    <cellStyle name="Comma 17 4 3 2 2" xfId="28154" xr:uid="{3C767296-A393-4C86-8F76-7DC03137C9E3}"/>
    <cellStyle name="Comma 17 4 3 2 2 2" xfId="58394" xr:uid="{F1AD0406-8095-464B-88A6-4356DB905545}"/>
    <cellStyle name="Comma 17 4 3 2 3" xfId="43274" xr:uid="{1348CE85-837A-4A7F-9597-60EED4C14B61}"/>
    <cellStyle name="Comma 17 4 3 3" xfId="19082" xr:uid="{B846C587-B8BF-49F4-9B9D-867825D8E23D}"/>
    <cellStyle name="Comma 17 4 3 3 2" xfId="49322" xr:uid="{CFF336A8-01E2-408D-A348-D07987C9537C}"/>
    <cellStyle name="Comma 17 4 3 4" xfId="34202" xr:uid="{C0399C10-23BA-4BE5-AA8A-58555723002A}"/>
    <cellStyle name="Comma 17 4 4" xfId="5474" xr:uid="{D277C676-6D3D-4C9C-9109-FB3A7BE60ACC}"/>
    <cellStyle name="Comma 17 4 4 2" xfId="14546" xr:uid="{AC7E4177-2621-48A6-B2CC-213B8A75F035}"/>
    <cellStyle name="Comma 17 4 4 2 2" xfId="29666" xr:uid="{B5E6BB78-8974-44D0-873C-6D1BCF5BA9C4}"/>
    <cellStyle name="Comma 17 4 4 2 2 2" xfId="59906" xr:uid="{F9DF28C9-58C6-4D82-881B-B58DE3609CA2}"/>
    <cellStyle name="Comma 17 4 4 2 3" xfId="44786" xr:uid="{53CC7597-09EA-4EBF-9552-6DB4CDD0E86A}"/>
    <cellStyle name="Comma 17 4 4 3" xfId="20594" xr:uid="{6E319A83-487A-4967-BA7C-203E69698505}"/>
    <cellStyle name="Comma 17 4 4 3 2" xfId="50834" xr:uid="{729DD974-5148-45CA-88FC-D86C839E8A36}"/>
    <cellStyle name="Comma 17 4 4 4" xfId="35714" xr:uid="{F0EE39A0-6D36-477B-A823-F30FFD8461BF}"/>
    <cellStyle name="Comma 17 4 5" xfId="6986" xr:uid="{8C35E06B-FFD7-4AC9-80A2-ED8796554E6E}"/>
    <cellStyle name="Comma 17 4 5 2" xfId="22106" xr:uid="{3ABC18CC-A4F8-4216-BA3C-0E7BC0276A8B}"/>
    <cellStyle name="Comma 17 4 5 2 2" xfId="52346" xr:uid="{72008566-EC33-40B4-BAC6-9D934500378A}"/>
    <cellStyle name="Comma 17 4 5 3" xfId="37226" xr:uid="{334E0D8E-E5F7-48F6-977F-A2E26629D971}"/>
    <cellStyle name="Comma 17 4 6" xfId="8498" xr:uid="{5DC2AD4C-209F-4D74-A841-7A7A8661A847}"/>
    <cellStyle name="Comma 17 4 6 2" xfId="23618" xr:uid="{61DFAADC-1544-4EAA-A655-21B0077D6666}"/>
    <cellStyle name="Comma 17 4 6 2 2" xfId="53858" xr:uid="{DDC025CD-A640-40FB-B90A-36A71682E50E}"/>
    <cellStyle name="Comma 17 4 6 3" xfId="38738" xr:uid="{6F07E585-0EE3-4261-A386-EB4ED260D89B}"/>
    <cellStyle name="Comma 17 4 7" xfId="10010" xr:uid="{15FAECEB-AA15-4ABC-89AA-C4C7A306AF17}"/>
    <cellStyle name="Comma 17 4 7 2" xfId="25130" xr:uid="{DDE0319A-102A-46BD-A81B-00DEC0A5A69E}"/>
    <cellStyle name="Comma 17 4 7 2 2" xfId="55370" xr:uid="{025660A1-D674-4838-BE6B-DCA81A14561D}"/>
    <cellStyle name="Comma 17 4 7 3" xfId="40250" xr:uid="{3658572A-C52D-4B86-80E4-69173B8D5428}"/>
    <cellStyle name="Comma 17 4 8" xfId="16058" xr:uid="{8E1EB6C0-C854-446E-8A42-F92A20728D4E}"/>
    <cellStyle name="Comma 17 4 8 2" xfId="46298" xr:uid="{6A2A9285-6E29-4902-BBED-A6C7E012A8F5}"/>
    <cellStyle name="Comma 17 4 9" xfId="31178" xr:uid="{7C1C22AD-A4F2-4A5D-A2AA-F838901FC503}"/>
    <cellStyle name="Comma 17 5" xfId="1694" xr:uid="{501191F1-9EDA-42A7-9848-507B77096BD6}"/>
    <cellStyle name="Comma 17 5 2" xfId="10766" xr:uid="{CD6E434A-B80A-4991-B4A3-CBABD7EAA56A}"/>
    <cellStyle name="Comma 17 5 2 2" xfId="25886" xr:uid="{A9F869B6-C7E7-4F17-AA5A-875A499E2107}"/>
    <cellStyle name="Comma 17 5 2 2 2" xfId="56126" xr:uid="{57871093-DA6A-4160-9F54-91CBC422508C}"/>
    <cellStyle name="Comma 17 5 2 3" xfId="41006" xr:uid="{45F8B33F-0743-474C-9ADF-73BBB331324F}"/>
    <cellStyle name="Comma 17 5 3" xfId="16814" xr:uid="{52555850-372F-4B61-B748-4FCD1075AEC7}"/>
    <cellStyle name="Comma 17 5 3 2" xfId="47054" xr:uid="{7AF9F057-FF5B-4D56-A584-1E940EB6F34E}"/>
    <cellStyle name="Comma 17 5 4" xfId="31934" xr:uid="{BEB84DFD-E725-4C60-94E4-C8364D6C0BA9}"/>
    <cellStyle name="Comma 17 6" xfId="3206" xr:uid="{797AE448-E5AB-47B3-9A98-D7AB248714B2}"/>
    <cellStyle name="Comma 17 6 2" xfId="12278" xr:uid="{D1B46C8B-EA73-43C1-84FF-42CDADA3C8B5}"/>
    <cellStyle name="Comma 17 6 2 2" xfId="27398" xr:uid="{78BC2BB6-111E-4985-9FB7-46EB03C5DE48}"/>
    <cellStyle name="Comma 17 6 2 2 2" xfId="57638" xr:uid="{60CA418E-A8B7-4260-B2CC-BF209E622453}"/>
    <cellStyle name="Comma 17 6 2 3" xfId="42518" xr:uid="{916D2062-152F-42F9-B6BE-E81B9390680C}"/>
    <cellStyle name="Comma 17 6 3" xfId="18326" xr:uid="{63CB2943-1D57-43E8-AE14-191D44DE4B06}"/>
    <cellStyle name="Comma 17 6 3 2" xfId="48566" xr:uid="{891CD686-0B88-4779-AA0C-88AC8E9CD363}"/>
    <cellStyle name="Comma 17 6 4" xfId="33446" xr:uid="{66DA357B-E90D-4973-9272-0CA9CFA8F3B0}"/>
    <cellStyle name="Comma 17 7" xfId="4718" xr:uid="{80EF01EF-3FC1-4978-AC60-B0D94747AB56}"/>
    <cellStyle name="Comma 17 7 2" xfId="13790" xr:uid="{8B6867F5-5CFB-4F1F-8B7C-A23B64DFC717}"/>
    <cellStyle name="Comma 17 7 2 2" xfId="28910" xr:uid="{43A4E640-D41C-41CA-92BC-68B3DE561E6C}"/>
    <cellStyle name="Comma 17 7 2 2 2" xfId="59150" xr:uid="{274C408B-4BFF-45CC-A35E-012A05788B22}"/>
    <cellStyle name="Comma 17 7 2 3" xfId="44030" xr:uid="{1956E360-E118-4B74-B1FA-9A00D3873F4D}"/>
    <cellStyle name="Comma 17 7 3" xfId="19838" xr:uid="{7333496F-0663-442C-B119-3E3CE41E19DE}"/>
    <cellStyle name="Comma 17 7 3 2" xfId="50078" xr:uid="{111510DE-CB2A-4AB1-BF85-68F621A29C2B}"/>
    <cellStyle name="Comma 17 7 4" xfId="34958" xr:uid="{E2CDD26A-B2C6-4C89-B36B-5CDF545A2AE8}"/>
    <cellStyle name="Comma 17 8" xfId="6230" xr:uid="{C5695108-1E35-464B-8AAE-8673479CB151}"/>
    <cellStyle name="Comma 17 8 2" xfId="21350" xr:uid="{7CCEC5BE-DC20-4C68-A4DF-E3B948099FF8}"/>
    <cellStyle name="Comma 17 8 2 2" xfId="51590" xr:uid="{A63FA175-ECDC-423D-A288-A845A04780D9}"/>
    <cellStyle name="Comma 17 8 3" xfId="36470" xr:uid="{CF5CCB6F-1ED2-4CB2-8470-681B023A639C}"/>
    <cellStyle name="Comma 17 9" xfId="7742" xr:uid="{9D74C1DB-9692-4689-8D76-5558E1D7B400}"/>
    <cellStyle name="Comma 17 9 2" xfId="22862" xr:uid="{38261C1D-BF66-4C42-9BF7-C9E38445C504}"/>
    <cellStyle name="Comma 17 9 2 2" xfId="53102" xr:uid="{E9575E1C-DF82-44BF-868D-B9306EA969CA}"/>
    <cellStyle name="Comma 17 9 3" xfId="37982" xr:uid="{BD891C40-9807-43D8-9015-E612D8C3961E}"/>
    <cellStyle name="Comma 18" xfId="266" xr:uid="{8621C6BB-A766-4C0A-B30F-91A8EDD13F03}"/>
    <cellStyle name="Comma 18 10" xfId="30506" xr:uid="{899FAB18-CEC9-4172-ACF9-A68B631026B3}"/>
    <cellStyle name="Comma 18 2" xfId="1022" xr:uid="{CEC3F4FD-1392-4F89-81A8-9E2C55B51977}"/>
    <cellStyle name="Comma 18 2 2" xfId="2534" xr:uid="{4FCA596C-E274-4471-8636-26B9A77F6449}"/>
    <cellStyle name="Comma 18 2 2 2" xfId="11606" xr:uid="{D1F6E317-03F0-4C3E-BFF5-39300667C3AF}"/>
    <cellStyle name="Comma 18 2 2 2 2" xfId="26726" xr:uid="{2ADBAA22-EA13-4412-8A5A-023CEC0841F4}"/>
    <cellStyle name="Comma 18 2 2 2 2 2" xfId="56966" xr:uid="{760C2811-76C4-496F-BF0F-5111ECCA2B69}"/>
    <cellStyle name="Comma 18 2 2 2 3" xfId="41846" xr:uid="{140B3BDE-AA8B-4B50-8A5B-0A667D957F2E}"/>
    <cellStyle name="Comma 18 2 2 3" xfId="17654" xr:uid="{5F198E67-0593-4471-B5BC-98F7D0720620}"/>
    <cellStyle name="Comma 18 2 2 3 2" xfId="47894" xr:uid="{F41D0577-5F59-41FF-95F9-5FB1C40F7D3C}"/>
    <cellStyle name="Comma 18 2 2 4" xfId="32774" xr:uid="{484855F4-4FD2-451C-8194-71AC9FB266EA}"/>
    <cellStyle name="Comma 18 2 3" xfId="4046" xr:uid="{B90B4A3A-D563-40DF-AFDA-A05C02FD9C78}"/>
    <cellStyle name="Comma 18 2 3 2" xfId="13118" xr:uid="{B4C49E4E-A0D0-470E-AFF7-F6F057DF751D}"/>
    <cellStyle name="Comma 18 2 3 2 2" xfId="28238" xr:uid="{7920C24C-81CC-4649-92EB-7F35659E4516}"/>
    <cellStyle name="Comma 18 2 3 2 2 2" xfId="58478" xr:uid="{00523783-C993-4A8D-9F5C-450A5054F072}"/>
    <cellStyle name="Comma 18 2 3 2 3" xfId="43358" xr:uid="{A4E57C34-80CB-4F6F-A5A1-75D2BABADDEF}"/>
    <cellStyle name="Comma 18 2 3 3" xfId="19166" xr:uid="{A8A01E71-4757-428B-8770-5B3E0F34EBC5}"/>
    <cellStyle name="Comma 18 2 3 3 2" xfId="49406" xr:uid="{A8CD47EA-A82A-4672-B95F-4763ED3E0C3E}"/>
    <cellStyle name="Comma 18 2 3 4" xfId="34286" xr:uid="{34B17CBF-0D7A-43CF-A251-952F7EFC7939}"/>
    <cellStyle name="Comma 18 2 4" xfId="5558" xr:uid="{91AF805A-1B93-41C8-8F0C-6D2EB086E91B}"/>
    <cellStyle name="Comma 18 2 4 2" xfId="14630" xr:uid="{313A12A8-2F95-4D8B-80CB-3B2A0E547D9B}"/>
    <cellStyle name="Comma 18 2 4 2 2" xfId="29750" xr:uid="{4115D9C6-5C33-47A0-91B3-A0F5150094AB}"/>
    <cellStyle name="Comma 18 2 4 2 2 2" xfId="59990" xr:uid="{1A556A48-E5F9-43C2-9821-94B1160B283E}"/>
    <cellStyle name="Comma 18 2 4 2 3" xfId="44870" xr:uid="{3FD29F63-E411-4804-8D97-3E4A23081EA3}"/>
    <cellStyle name="Comma 18 2 4 3" xfId="20678" xr:uid="{A31CF70E-44DA-42CD-89B8-995567D968C4}"/>
    <cellStyle name="Comma 18 2 4 3 2" xfId="50918" xr:uid="{7C037FE2-F2AA-4B6C-82BC-11D8B546D73F}"/>
    <cellStyle name="Comma 18 2 4 4" xfId="35798" xr:uid="{56074ADF-5C0D-4EC2-AF79-D1A94F320470}"/>
    <cellStyle name="Comma 18 2 5" xfId="7070" xr:uid="{15052458-5CB6-4A57-B2E9-3AA7365823CC}"/>
    <cellStyle name="Comma 18 2 5 2" xfId="22190" xr:uid="{6CFE760B-47C1-4C16-94EF-4C01F6738135}"/>
    <cellStyle name="Comma 18 2 5 2 2" xfId="52430" xr:uid="{C79768D9-5F04-47E5-961A-B21B966806F5}"/>
    <cellStyle name="Comma 18 2 5 3" xfId="37310" xr:uid="{B05DFDF7-FD2D-45DB-81BA-4799831609D3}"/>
    <cellStyle name="Comma 18 2 6" xfId="8582" xr:uid="{34EA1A14-1612-4463-868B-A1A82FFDAB32}"/>
    <cellStyle name="Comma 18 2 6 2" xfId="23702" xr:uid="{6005B124-F3B1-4E24-AAD8-424109AF4168}"/>
    <cellStyle name="Comma 18 2 6 2 2" xfId="53942" xr:uid="{B77E8CCB-A735-4194-885B-85F757EB4A03}"/>
    <cellStyle name="Comma 18 2 6 3" xfId="38822" xr:uid="{96B2DC24-B411-47E6-8C95-DD8B4BB12FAC}"/>
    <cellStyle name="Comma 18 2 7" xfId="10094" xr:uid="{AF6FC490-186C-45A3-81B8-18D346B9F788}"/>
    <cellStyle name="Comma 18 2 7 2" xfId="25214" xr:uid="{9D0EAAE6-31D4-4DE2-9EE8-9CC68567C987}"/>
    <cellStyle name="Comma 18 2 7 2 2" xfId="55454" xr:uid="{128079AE-0FAD-40A2-AE6E-2B7FF58A4AF9}"/>
    <cellStyle name="Comma 18 2 7 3" xfId="40334" xr:uid="{BC53B3AB-80F1-4CBA-A4D9-7B608BA89D7C}"/>
    <cellStyle name="Comma 18 2 8" xfId="16142" xr:uid="{6ADBB7D0-7154-4624-B7D4-C0A38456FD7E}"/>
    <cellStyle name="Comma 18 2 8 2" xfId="46382" xr:uid="{35AC1998-566F-4BAE-B3D3-E8D73F03F7F3}"/>
    <cellStyle name="Comma 18 2 9" xfId="31262" xr:uid="{80B5DFC0-049A-48E8-894F-EAD60D89EC6E}"/>
    <cellStyle name="Comma 18 3" xfId="1778" xr:uid="{09990C84-2325-422F-AFBD-D3AC3604B6C4}"/>
    <cellStyle name="Comma 18 3 2" xfId="10850" xr:uid="{C9F61103-DFC9-4A8C-A96D-3DBADF401843}"/>
    <cellStyle name="Comma 18 3 2 2" xfId="25970" xr:uid="{52545C70-8F0F-4630-AA0E-29A49C5F4A41}"/>
    <cellStyle name="Comma 18 3 2 2 2" xfId="56210" xr:uid="{0A911ABE-E4DB-4780-9D17-384476BB1A3C}"/>
    <cellStyle name="Comma 18 3 2 3" xfId="41090" xr:uid="{F3AE97CB-737A-44E6-9BA0-9EAC593DD71F}"/>
    <cellStyle name="Comma 18 3 3" xfId="16898" xr:uid="{23BC857C-D74F-45B0-B84F-6F3A69FC72BB}"/>
    <cellStyle name="Comma 18 3 3 2" xfId="47138" xr:uid="{5B3B90F9-2447-420D-8AD6-136B3C3220EF}"/>
    <cellStyle name="Comma 18 3 4" xfId="32018" xr:uid="{073FFF22-2AE4-4AF3-AC20-9B7B4FC40264}"/>
    <cellStyle name="Comma 18 4" xfId="3290" xr:uid="{1E6C9FD7-B82C-45F0-B5D0-B231AF0FB98F}"/>
    <cellStyle name="Comma 18 4 2" xfId="12362" xr:uid="{1071EA8B-9AA8-4716-A5EF-5DD2AC5C487A}"/>
    <cellStyle name="Comma 18 4 2 2" xfId="27482" xr:uid="{BBC77EF8-22FA-497B-B191-79732AE6F811}"/>
    <cellStyle name="Comma 18 4 2 2 2" xfId="57722" xr:uid="{56A39D48-04B2-4F4E-97D7-8A88E8271814}"/>
    <cellStyle name="Comma 18 4 2 3" xfId="42602" xr:uid="{161CD9C3-5197-4F4A-91E6-4EC3721D6D8A}"/>
    <cellStyle name="Comma 18 4 3" xfId="18410" xr:uid="{AE081F9D-36F3-4B4A-8343-C18B2EBDE309}"/>
    <cellStyle name="Comma 18 4 3 2" xfId="48650" xr:uid="{D1BBA307-C429-4F2C-BF5F-4598B8AA462A}"/>
    <cellStyle name="Comma 18 4 4" xfId="33530" xr:uid="{6EE9232C-3689-4F8D-BA05-8A922BCEFDBA}"/>
    <cellStyle name="Comma 18 5" xfId="4802" xr:uid="{4D548652-84E3-417B-8E28-7B07D118BF30}"/>
    <cellStyle name="Comma 18 5 2" xfId="13874" xr:uid="{281DFDB1-DC47-4392-8F4E-C0844A0AC7F5}"/>
    <cellStyle name="Comma 18 5 2 2" xfId="28994" xr:uid="{723EC940-ABB2-4834-993F-69C88235CF66}"/>
    <cellStyle name="Comma 18 5 2 2 2" xfId="59234" xr:uid="{295F1C4E-8F86-4375-9DE5-1778761738EF}"/>
    <cellStyle name="Comma 18 5 2 3" xfId="44114" xr:uid="{F76AB526-31BD-404B-B9D4-DE5EC64ED79A}"/>
    <cellStyle name="Comma 18 5 3" xfId="19922" xr:uid="{24B52674-E896-4A40-B0B9-CF33FBB1E345}"/>
    <cellStyle name="Comma 18 5 3 2" xfId="50162" xr:uid="{9453A965-24C0-459A-A80D-52FE1BB5C539}"/>
    <cellStyle name="Comma 18 5 4" xfId="35042" xr:uid="{E0B13599-56B0-4F8A-8D6A-CE1C2119527C}"/>
    <cellStyle name="Comma 18 6" xfId="6314" xr:uid="{0CCEE008-E99B-46ED-87CC-F6234C215188}"/>
    <cellStyle name="Comma 18 6 2" xfId="21434" xr:uid="{74B22EE7-C047-4754-99B2-1C743FF806E3}"/>
    <cellStyle name="Comma 18 6 2 2" xfId="51674" xr:uid="{4EFC5C77-1D8C-4A84-84C7-7F6930A7B86D}"/>
    <cellStyle name="Comma 18 6 3" xfId="36554" xr:uid="{4C060D67-5F80-4DAA-9224-5F8B3CFA94B7}"/>
    <cellStyle name="Comma 18 7" xfId="7826" xr:uid="{79AAFF8D-B154-47B0-8587-4712DC51E1C4}"/>
    <cellStyle name="Comma 18 7 2" xfId="22946" xr:uid="{8047EC63-9E60-4D5E-9F55-D7A26F791B0B}"/>
    <cellStyle name="Comma 18 7 2 2" xfId="53186" xr:uid="{8F7193E9-3552-486B-BB1A-B7D6E8929D01}"/>
    <cellStyle name="Comma 18 7 3" xfId="38066" xr:uid="{DCD2B559-A426-4446-B52D-4D09337278B1}"/>
    <cellStyle name="Comma 18 8" xfId="9338" xr:uid="{BF346F80-2DBB-4B59-B3DD-60B8061ED23E}"/>
    <cellStyle name="Comma 18 8 2" xfId="24458" xr:uid="{F7885E2B-1B5D-40B9-B9D7-E3CD1D8D01A8}"/>
    <cellStyle name="Comma 18 8 2 2" xfId="54698" xr:uid="{6FA4A3BE-6F35-4A48-BBDB-FC756199FABD}"/>
    <cellStyle name="Comma 18 8 3" xfId="39578" xr:uid="{8B0C1A28-1C5D-412B-AAAD-DD649500C7D8}"/>
    <cellStyle name="Comma 18 9" xfId="15386" xr:uid="{94EF47C0-9DA0-4241-B348-F7A5EF5AC7C1}"/>
    <cellStyle name="Comma 18 9 2" xfId="45626" xr:uid="{D48AF5EF-41E4-4042-9AAD-B5A8059E80A2}"/>
    <cellStyle name="Comma 19" xfId="518" xr:uid="{359177D2-6C58-4E2C-875A-CE0111380D34}"/>
    <cellStyle name="Comma 19 10" xfId="30758" xr:uid="{43256458-30FA-45F7-B9B3-592706C60F5C}"/>
    <cellStyle name="Comma 19 2" xfId="1274" xr:uid="{78378E1C-A6A1-45CE-B7D5-44ABE6CC2924}"/>
    <cellStyle name="Comma 19 2 2" xfId="2786" xr:uid="{FAF9D13B-D2EB-4D9B-953E-F555E78B656B}"/>
    <cellStyle name="Comma 19 2 2 2" xfId="11858" xr:uid="{4F425A51-7EE3-471A-9487-DCE8A40744ED}"/>
    <cellStyle name="Comma 19 2 2 2 2" xfId="26978" xr:uid="{0595D886-0063-4549-8F02-AD98E1B27C10}"/>
    <cellStyle name="Comma 19 2 2 2 2 2" xfId="57218" xr:uid="{9DF5D576-05B8-4890-8B34-DD6A894E4FCD}"/>
    <cellStyle name="Comma 19 2 2 2 3" xfId="42098" xr:uid="{04007AAF-77C2-4637-BA8B-AF8F98CD6AB4}"/>
    <cellStyle name="Comma 19 2 2 3" xfId="17906" xr:uid="{A3548401-D0E4-4C3A-BEAE-A0D2F9E163B5}"/>
    <cellStyle name="Comma 19 2 2 3 2" xfId="48146" xr:uid="{DE094D2C-EA6D-4077-BBF3-EAD33D6E9C03}"/>
    <cellStyle name="Comma 19 2 2 4" xfId="33026" xr:uid="{8ED079C4-AA68-460D-9C78-70CA235DC12B}"/>
    <cellStyle name="Comma 19 2 3" xfId="4298" xr:uid="{7A1DE43D-14DB-45C2-A704-840EE724804B}"/>
    <cellStyle name="Comma 19 2 3 2" xfId="13370" xr:uid="{99D424EE-0443-4E9D-B69B-118EB84C4F0F}"/>
    <cellStyle name="Comma 19 2 3 2 2" xfId="28490" xr:uid="{B5F65C23-EC99-423D-8391-1B8B1DF98780}"/>
    <cellStyle name="Comma 19 2 3 2 2 2" xfId="58730" xr:uid="{6898E9AA-D3D5-4C81-AE4C-70C0DEDC5CD6}"/>
    <cellStyle name="Comma 19 2 3 2 3" xfId="43610" xr:uid="{CF7EFF53-EB66-4FCE-AE56-6D68637E2F40}"/>
    <cellStyle name="Comma 19 2 3 3" xfId="19418" xr:uid="{432AEADB-094D-4260-973E-4BF4A8271FBA}"/>
    <cellStyle name="Comma 19 2 3 3 2" xfId="49658" xr:uid="{2773C151-B1BE-407A-B7B6-D3DF0C18B6C0}"/>
    <cellStyle name="Comma 19 2 3 4" xfId="34538" xr:uid="{0B66A7C1-9EB9-4E62-B991-E5CB5C9B2896}"/>
    <cellStyle name="Comma 19 2 4" xfId="5810" xr:uid="{CF05C536-434C-4A99-AFA7-C84EA5293BB7}"/>
    <cellStyle name="Comma 19 2 4 2" xfId="14882" xr:uid="{C59BC65C-BA22-4825-A7A2-FFB509676C76}"/>
    <cellStyle name="Comma 19 2 4 2 2" xfId="30002" xr:uid="{59E03F0F-7968-42C9-BB75-ADD0406BA067}"/>
    <cellStyle name="Comma 19 2 4 2 2 2" xfId="60242" xr:uid="{BDD6F3D8-0AC6-4CB1-9BD8-69223548C97E}"/>
    <cellStyle name="Comma 19 2 4 2 3" xfId="45122" xr:uid="{71079AB1-F6F1-4104-AED6-27070B2CB69F}"/>
    <cellStyle name="Comma 19 2 4 3" xfId="20930" xr:uid="{35D5CDA7-A052-41F9-BBC7-6E73C924BCBF}"/>
    <cellStyle name="Comma 19 2 4 3 2" xfId="51170" xr:uid="{C6530779-DD85-4F92-8F49-1ED66493B0EE}"/>
    <cellStyle name="Comma 19 2 4 4" xfId="36050" xr:uid="{4D38385E-B3E7-4CFC-B66E-122696069FD3}"/>
    <cellStyle name="Comma 19 2 5" xfId="7322" xr:uid="{CCEFEF1B-A53F-446D-8D77-B1E724B278C3}"/>
    <cellStyle name="Comma 19 2 5 2" xfId="22442" xr:uid="{AC986A07-3C83-4A9C-8881-0CABD42E83BE}"/>
    <cellStyle name="Comma 19 2 5 2 2" xfId="52682" xr:uid="{0C4390AA-8488-4B74-B905-B4C9BB64096B}"/>
    <cellStyle name="Comma 19 2 5 3" xfId="37562" xr:uid="{062AAF80-7243-443E-AB42-92B19876B567}"/>
    <cellStyle name="Comma 19 2 6" xfId="8834" xr:uid="{C4D9006D-5025-4073-967D-342FB4724459}"/>
    <cellStyle name="Comma 19 2 6 2" xfId="23954" xr:uid="{99F33303-EE92-4EA9-81E8-5003EC68EE84}"/>
    <cellStyle name="Comma 19 2 6 2 2" xfId="54194" xr:uid="{612AAAE1-571D-4EAA-9A7C-9C347183305E}"/>
    <cellStyle name="Comma 19 2 6 3" xfId="39074" xr:uid="{C8EC4FC8-EFE9-4A1C-B496-AE0FBF311230}"/>
    <cellStyle name="Comma 19 2 7" xfId="10346" xr:uid="{74E0B4A1-D675-4704-A69C-C1AE4A3DA4BE}"/>
    <cellStyle name="Comma 19 2 7 2" xfId="25466" xr:uid="{AFB4D03E-3B75-4EC7-ADF7-7C7F04640980}"/>
    <cellStyle name="Comma 19 2 7 2 2" xfId="55706" xr:uid="{7695FFCE-F7EE-4797-98C1-B902FAFBB5DA}"/>
    <cellStyle name="Comma 19 2 7 3" xfId="40586" xr:uid="{09081136-E779-4881-ABBE-91ADB0E0C050}"/>
    <cellStyle name="Comma 19 2 8" xfId="16394" xr:uid="{8CFCE92F-5A40-4DA2-B7CD-5497AEFBA36D}"/>
    <cellStyle name="Comma 19 2 8 2" xfId="46634" xr:uid="{AC418629-B736-45C9-8A50-67BC48CD20A2}"/>
    <cellStyle name="Comma 19 2 9" xfId="31514" xr:uid="{421CE415-7C20-48F3-B65E-D34C79960144}"/>
    <cellStyle name="Comma 19 3" xfId="2030" xr:uid="{04C05DA3-56CE-4AE3-8524-C34806A09202}"/>
    <cellStyle name="Comma 19 3 2" xfId="11102" xr:uid="{01B0F5F5-1B50-41F6-82D8-443AC06BBF52}"/>
    <cellStyle name="Comma 19 3 2 2" xfId="26222" xr:uid="{45AB2017-9077-44BA-A7C9-43435C815638}"/>
    <cellStyle name="Comma 19 3 2 2 2" xfId="56462" xr:uid="{2BFFCBCA-7865-4FEF-AC35-C6E65C45E622}"/>
    <cellStyle name="Comma 19 3 2 3" xfId="41342" xr:uid="{B07F6A3E-3B65-4DCD-9D23-1AB50964CE15}"/>
    <cellStyle name="Comma 19 3 3" xfId="17150" xr:uid="{709999A8-E382-4384-B111-A41BF33A01D9}"/>
    <cellStyle name="Comma 19 3 3 2" xfId="47390" xr:uid="{6E5FDEEB-6611-422E-B1EB-1CEB5DE4CE50}"/>
    <cellStyle name="Comma 19 3 4" xfId="32270" xr:uid="{3B65CB25-90E2-4E9C-A7B7-70868B4D0145}"/>
    <cellStyle name="Comma 19 4" xfId="3542" xr:uid="{4A035758-F4B9-4577-9CA3-F6E2FDFFC0DD}"/>
    <cellStyle name="Comma 19 4 2" xfId="12614" xr:uid="{377B935E-8F81-45B0-AA29-2BB93BC197F1}"/>
    <cellStyle name="Comma 19 4 2 2" xfId="27734" xr:uid="{B1F573AF-01EA-485B-9BA9-38244CBE4E0B}"/>
    <cellStyle name="Comma 19 4 2 2 2" xfId="57974" xr:uid="{8C555A76-D98E-480B-ACA6-CD96AA207430}"/>
    <cellStyle name="Comma 19 4 2 3" xfId="42854" xr:uid="{C5E523C7-BD04-41F9-A168-81DD01896396}"/>
    <cellStyle name="Comma 19 4 3" xfId="18662" xr:uid="{7CA409A3-A281-45B4-AE8B-09A9CFBD5BC7}"/>
    <cellStyle name="Comma 19 4 3 2" xfId="48902" xr:uid="{347B50F1-E014-4111-8FA7-A9A5247DE064}"/>
    <cellStyle name="Comma 19 4 4" xfId="33782" xr:uid="{2500D6F3-9232-4CC3-BCC6-D739E48EAA1F}"/>
    <cellStyle name="Comma 19 5" xfId="5054" xr:uid="{47C06B9B-1323-48E0-8249-9CAA2BBBA16D}"/>
    <cellStyle name="Comma 19 5 2" xfId="14126" xr:uid="{C3E7F181-7F7E-45CC-991D-60267BEC0B56}"/>
    <cellStyle name="Comma 19 5 2 2" xfId="29246" xr:uid="{B3AE67B0-C15D-4EDA-BF26-28B23243F070}"/>
    <cellStyle name="Comma 19 5 2 2 2" xfId="59486" xr:uid="{6C003342-FA76-4E42-9141-D2848E2201EE}"/>
    <cellStyle name="Comma 19 5 2 3" xfId="44366" xr:uid="{AD497E34-D4D5-4AF3-A313-F7639850869F}"/>
    <cellStyle name="Comma 19 5 3" xfId="20174" xr:uid="{D75CFA1C-95CF-4FDF-ABCA-717038EFA607}"/>
    <cellStyle name="Comma 19 5 3 2" xfId="50414" xr:uid="{9C2C9FAB-8196-4597-B455-8565C81C9771}"/>
    <cellStyle name="Comma 19 5 4" xfId="35294" xr:uid="{E139406E-7D79-45DE-8403-72C3EF734B7A}"/>
    <cellStyle name="Comma 19 6" xfId="6566" xr:uid="{8C34B64A-9124-4D17-9417-3FCAEA4DCAFC}"/>
    <cellStyle name="Comma 19 6 2" xfId="21686" xr:uid="{5DBD5A59-CD04-44F5-A5C7-46685E0E4BC2}"/>
    <cellStyle name="Comma 19 6 2 2" xfId="51926" xr:uid="{AAF33FFC-867F-47A9-91E1-73B7420AB8FF}"/>
    <cellStyle name="Comma 19 6 3" xfId="36806" xr:uid="{CE2B783A-9B35-42B6-987B-A4D852083B23}"/>
    <cellStyle name="Comma 19 7" xfId="8078" xr:uid="{12A0C1D1-371F-43C6-9CE4-7E3A84EABB14}"/>
    <cellStyle name="Comma 19 7 2" xfId="23198" xr:uid="{4856A9F7-3739-45C8-B683-B49EDD4BFAA9}"/>
    <cellStyle name="Comma 19 7 2 2" xfId="53438" xr:uid="{6BD39B9B-3016-4470-9E20-1ADE1ACFB080}"/>
    <cellStyle name="Comma 19 7 3" xfId="38318" xr:uid="{C9B93E91-505F-49C5-AB78-BD50E7B4002C}"/>
    <cellStyle name="Comma 19 8" xfId="9590" xr:uid="{4DE6A1E7-C2C8-41F4-9F95-955B8F401325}"/>
    <cellStyle name="Comma 19 8 2" xfId="24710" xr:uid="{C599A980-5A4E-4D6B-A3DE-1E5DF6E4A279}"/>
    <cellStyle name="Comma 19 8 2 2" xfId="54950" xr:uid="{BD13D85C-6306-4AE4-9895-DCC82CAACC5B}"/>
    <cellStyle name="Comma 19 8 3" xfId="39830" xr:uid="{F8351825-605F-4248-A306-1C15909C7922}"/>
    <cellStyle name="Comma 19 9" xfId="15638" xr:uid="{D248C090-4DEA-4A6E-A84F-FB751EE75A82}"/>
    <cellStyle name="Comma 19 9 2" xfId="45878" xr:uid="{C91AC288-FB31-458A-AE27-9C270369F762}"/>
    <cellStyle name="Comma 2" xfId="2" xr:uid="{00000000-0005-0000-0000-000000000000}"/>
    <cellStyle name="Comma 2 10" xfId="771" xr:uid="{994BC9E9-6DE5-47FE-B93E-BB715FAEE658}"/>
    <cellStyle name="Comma 2 10 2" xfId="2283" xr:uid="{F9076B22-9A20-4DFB-9647-EAC34BE14A20}"/>
    <cellStyle name="Comma 2 10 2 2" xfId="11355" xr:uid="{6B78BC96-1F37-4A7E-A986-DD02F4A1E64C}"/>
    <cellStyle name="Comma 2 10 2 2 2" xfId="26475" xr:uid="{0CEABD58-7066-4E91-89A7-8B0A8B40306F}"/>
    <cellStyle name="Comma 2 10 2 2 2 2" xfId="56715" xr:uid="{65987FA9-76C0-4ABA-9676-CA96B6EEABDB}"/>
    <cellStyle name="Comma 2 10 2 2 3" xfId="41595" xr:uid="{07A3E853-F3C0-4F41-B7C2-A335C7213910}"/>
    <cellStyle name="Comma 2 10 2 3" xfId="17403" xr:uid="{6A4B99A4-56B3-4046-9CB0-FA9D19A5E72E}"/>
    <cellStyle name="Comma 2 10 2 3 2" xfId="47643" xr:uid="{765D4E47-B594-4781-B404-AA0B628E8039}"/>
    <cellStyle name="Comma 2 10 2 4" xfId="32523" xr:uid="{A90F0365-DEC8-4C77-9C81-BE3288819A0A}"/>
    <cellStyle name="Comma 2 10 3" xfId="3795" xr:uid="{4EAEAF6A-6F20-4EFD-8DF4-E901B70F0402}"/>
    <cellStyle name="Comma 2 10 3 2" xfId="12867" xr:uid="{05FF4CFC-9C29-4B53-8C5B-1F284110CBE8}"/>
    <cellStyle name="Comma 2 10 3 2 2" xfId="27987" xr:uid="{9567D865-37E4-4F8A-9274-F340F0139275}"/>
    <cellStyle name="Comma 2 10 3 2 2 2" xfId="58227" xr:uid="{5641F631-E8B3-4D46-B1E2-4F50AA6473EA}"/>
    <cellStyle name="Comma 2 10 3 2 3" xfId="43107" xr:uid="{D7C30272-CA02-482C-B29D-0071BA0A0389}"/>
    <cellStyle name="Comma 2 10 3 3" xfId="18915" xr:uid="{C9614D76-A590-4886-A792-BF39C61D49DA}"/>
    <cellStyle name="Comma 2 10 3 3 2" xfId="49155" xr:uid="{31817654-935B-46FD-99CC-0F776A9EEA93}"/>
    <cellStyle name="Comma 2 10 3 4" xfId="34035" xr:uid="{495FBA13-3B8C-4117-BC4C-3F3C3F5DCA41}"/>
    <cellStyle name="Comma 2 10 4" xfId="5307" xr:uid="{79E6EB7E-012F-41AC-9721-C9A01D8CA5DB}"/>
    <cellStyle name="Comma 2 10 4 2" xfId="14379" xr:uid="{D88B57EA-E39C-48CE-B773-893F2C970A42}"/>
    <cellStyle name="Comma 2 10 4 2 2" xfId="29499" xr:uid="{4406138C-839D-4C2A-92F1-2F7F87032695}"/>
    <cellStyle name="Comma 2 10 4 2 2 2" xfId="59739" xr:uid="{42CEE05D-EBB6-4726-9542-B48310DDA350}"/>
    <cellStyle name="Comma 2 10 4 2 3" xfId="44619" xr:uid="{917A4B35-171C-48C8-B357-729678C08F7E}"/>
    <cellStyle name="Comma 2 10 4 3" xfId="20427" xr:uid="{7BD08056-9192-41EE-924F-8937F8EF8C7D}"/>
    <cellStyle name="Comma 2 10 4 3 2" xfId="50667" xr:uid="{65C6B608-E03C-4970-8E3C-4BE4268C66A0}"/>
    <cellStyle name="Comma 2 10 4 4" xfId="35547" xr:uid="{25CA2104-FA19-4DC2-93D8-A3A062866BD2}"/>
    <cellStyle name="Comma 2 10 5" xfId="6819" xr:uid="{855C2B9F-F001-4F60-AD39-E6D3D5D03F41}"/>
    <cellStyle name="Comma 2 10 5 2" xfId="21939" xr:uid="{DD627315-2CEC-4862-A977-F1B05BAE221B}"/>
    <cellStyle name="Comma 2 10 5 2 2" xfId="52179" xr:uid="{6AA61539-CA38-445F-AC79-ADCB4D85309A}"/>
    <cellStyle name="Comma 2 10 5 3" xfId="37059" xr:uid="{E9008DA9-9F8A-4D99-A105-A945CDFF857A}"/>
    <cellStyle name="Comma 2 10 6" xfId="8331" xr:uid="{991B4CC3-979E-453B-9D37-1D84656A63C7}"/>
    <cellStyle name="Comma 2 10 6 2" xfId="23451" xr:uid="{80B69A2A-354C-446E-94D4-8C5325FC7DCB}"/>
    <cellStyle name="Comma 2 10 6 2 2" xfId="53691" xr:uid="{8F31D605-DE7A-4E08-8C1A-A63E81063632}"/>
    <cellStyle name="Comma 2 10 6 3" xfId="38571" xr:uid="{DFB02F85-6655-4DE1-9A31-EAD6F3A9B83E}"/>
    <cellStyle name="Comma 2 10 7" xfId="9843" xr:uid="{0EC21C85-674D-42A4-B22F-4E54A2A900EC}"/>
    <cellStyle name="Comma 2 10 7 2" xfId="24963" xr:uid="{239CF8AB-DC36-476A-B4D4-3D53879E93E9}"/>
    <cellStyle name="Comma 2 10 7 2 2" xfId="55203" xr:uid="{90263B23-F297-4C6D-8AB0-545B6755195D}"/>
    <cellStyle name="Comma 2 10 7 3" xfId="40083" xr:uid="{C1E74735-A519-4C75-B058-9FE809AE0502}"/>
    <cellStyle name="Comma 2 10 8" xfId="15891" xr:uid="{6E819130-E189-47A1-BF75-45879778BE31}"/>
    <cellStyle name="Comma 2 10 8 2" xfId="46131" xr:uid="{7A4F470A-7B8E-465D-8BA3-0A9420E50D75}"/>
    <cellStyle name="Comma 2 10 9" xfId="31011" xr:uid="{42F637FD-5EB8-4F47-80C9-BA0FA988E27E}"/>
    <cellStyle name="Comma 2 11" xfId="1527" xr:uid="{69AC5130-33EE-49DB-8A3B-58E02848E0F1}"/>
    <cellStyle name="Comma 2 11 2" xfId="10599" xr:uid="{1F904FB2-C6F2-4D39-8B94-293F0493F60A}"/>
    <cellStyle name="Comma 2 11 2 2" xfId="25719" xr:uid="{C55465E3-C9C2-4B05-A163-06C558EA6F1B}"/>
    <cellStyle name="Comma 2 11 2 2 2" xfId="55959" xr:uid="{5FAEEBBC-2C10-4EB3-AB53-CCB1857C7551}"/>
    <cellStyle name="Comma 2 11 2 3" xfId="40839" xr:uid="{543A3997-BBB1-4125-B69A-D4CA38BA9622}"/>
    <cellStyle name="Comma 2 11 3" xfId="16647" xr:uid="{1FB69503-E30C-4675-A9D6-13220704AEF2}"/>
    <cellStyle name="Comma 2 11 3 2" xfId="46887" xr:uid="{04FE43A3-3DC4-4608-B2C2-928A5879FEBD}"/>
    <cellStyle name="Comma 2 11 4" xfId="31767" xr:uid="{6B322B8C-C687-45FE-9C1F-25D3DDF77FFA}"/>
    <cellStyle name="Comma 2 12" xfId="3039" xr:uid="{1E3A8995-762C-4056-8CC3-5DACD79F082A}"/>
    <cellStyle name="Comma 2 12 2" xfId="12111" xr:uid="{D1CE44D6-E8C0-49B4-A1C0-6397D2125B8F}"/>
    <cellStyle name="Comma 2 12 2 2" xfId="27231" xr:uid="{47388C2D-0F45-4DAE-8B3A-0CBE8B24678B}"/>
    <cellStyle name="Comma 2 12 2 2 2" xfId="57471" xr:uid="{CF3A10CF-C228-49E0-97E8-193A4C031DAF}"/>
    <cellStyle name="Comma 2 12 2 3" xfId="42351" xr:uid="{DF6B5677-35FE-477C-9E2A-A2F40F771602}"/>
    <cellStyle name="Comma 2 12 3" xfId="18159" xr:uid="{67B039F5-2BBD-48AD-B708-388C121DC226}"/>
    <cellStyle name="Comma 2 12 3 2" xfId="48399" xr:uid="{767AC7F0-C0E3-4E07-9E88-31D6201CF93A}"/>
    <cellStyle name="Comma 2 12 4" xfId="33279" xr:uid="{3041D103-B788-4BB6-BF1B-38B2AB6B2F6A}"/>
    <cellStyle name="Comma 2 13" xfId="4551" xr:uid="{01E28134-4B35-4EE8-9411-110721FB7027}"/>
    <cellStyle name="Comma 2 13 2" xfId="13623" xr:uid="{7754FA62-DFC7-4061-8EBF-8DCB3A8878E3}"/>
    <cellStyle name="Comma 2 13 2 2" xfId="28743" xr:uid="{C429D663-70D9-47A0-8B2F-D6CF2D9E7AA4}"/>
    <cellStyle name="Comma 2 13 2 2 2" xfId="58983" xr:uid="{A3C77B34-18FE-4F76-8B2B-78003B963C4E}"/>
    <cellStyle name="Comma 2 13 2 3" xfId="43863" xr:uid="{021CBB56-9BF2-45AB-9AAB-2032D604BC7C}"/>
    <cellStyle name="Comma 2 13 3" xfId="19671" xr:uid="{7A3161E8-E404-4677-A419-C07BB244D086}"/>
    <cellStyle name="Comma 2 13 3 2" xfId="49911" xr:uid="{6DE4BE2E-D823-43B4-8D77-D2B23F6EAF8B}"/>
    <cellStyle name="Comma 2 13 4" xfId="34791" xr:uid="{F60618D5-5998-42FE-85F3-92272F4BF892}"/>
    <cellStyle name="Comma 2 14" xfId="6063" xr:uid="{BC677E66-FDB3-4AF4-8B50-96D3DF701770}"/>
    <cellStyle name="Comma 2 14 2" xfId="21183" xr:uid="{6182EF3F-C097-4633-8180-2BAE90CC513A}"/>
    <cellStyle name="Comma 2 14 2 2" xfId="51423" xr:uid="{FCB76B6D-5309-491C-B269-3207705700BE}"/>
    <cellStyle name="Comma 2 14 3" xfId="36303" xr:uid="{FE156854-A2B9-4CA5-B1C7-B02406F0117B}"/>
    <cellStyle name="Comma 2 15" xfId="7575" xr:uid="{FCDA99FE-6174-4851-94E3-58EFC1B58DE3}"/>
    <cellStyle name="Comma 2 15 2" xfId="22695" xr:uid="{581E4062-1776-492C-9132-B25F296B1783}"/>
    <cellStyle name="Comma 2 15 2 2" xfId="52935" xr:uid="{7DB26C62-3989-4519-977B-250ECFC1818D}"/>
    <cellStyle name="Comma 2 15 3" xfId="37815" xr:uid="{2E7CCAF8-7B9B-48A6-AFE5-1F14FFC67057}"/>
    <cellStyle name="Comma 2 16" xfId="9087" xr:uid="{033803A0-B019-416C-A585-C8E0C935A4BE}"/>
    <cellStyle name="Comma 2 16 2" xfId="24207" xr:uid="{3DCE4B87-1715-40D8-943D-EAC8D97C75B1}"/>
    <cellStyle name="Comma 2 16 2 2" xfId="54447" xr:uid="{AE52E992-7B16-4916-AA24-62CB057FD2C9}"/>
    <cellStyle name="Comma 2 16 3" xfId="39327" xr:uid="{1B7D5C51-F9CC-4BF4-8847-D4F2D2D9FF8D}"/>
    <cellStyle name="Comma 2 17" xfId="15135" xr:uid="{0BD755DF-F262-48E2-82A7-ABC6CFF5104D}"/>
    <cellStyle name="Comma 2 17 2" xfId="45375" xr:uid="{0D3338BB-773B-4562-90E6-9E82D98F0C85}"/>
    <cellStyle name="Comma 2 18" xfId="30255" xr:uid="{3D3B6521-98AD-40CD-9170-C56BC6D4E381}"/>
    <cellStyle name="Comma 2 19" xfId="14" xr:uid="{5791CCB3-6664-471C-B2A6-EB14A002AD79}"/>
    <cellStyle name="Comma 2 2" xfId="11" xr:uid="{E21973FE-F25F-4983-9561-EC122AC083EC}"/>
    <cellStyle name="Comma 2 2 10" xfId="1530" xr:uid="{B7F14E66-910A-4B38-82B0-F9779DB709A2}"/>
    <cellStyle name="Comma 2 2 10 2" xfId="10602" xr:uid="{7706279B-FE2E-48CD-A2D2-4275BEE01207}"/>
    <cellStyle name="Comma 2 2 10 2 2" xfId="25722" xr:uid="{C7386CE2-6F78-4243-A05C-7E4721B6A0EF}"/>
    <cellStyle name="Comma 2 2 10 2 2 2" xfId="55962" xr:uid="{1DBAEB6A-6E23-4C80-AF12-3C2906D66EFA}"/>
    <cellStyle name="Comma 2 2 10 2 3" xfId="40842" xr:uid="{3429FA3B-551B-4024-9474-A230E2ECD6DB}"/>
    <cellStyle name="Comma 2 2 10 3" xfId="16650" xr:uid="{1C11BEC9-8F55-4B51-AF50-F4CF11DF893D}"/>
    <cellStyle name="Comma 2 2 10 3 2" xfId="46890" xr:uid="{29FB3EB2-D86A-4C3A-9D42-7F0C895E9CCF}"/>
    <cellStyle name="Comma 2 2 10 4" xfId="31770" xr:uid="{DB94B9C1-CBCD-4914-B8CD-4ED2D87AEC78}"/>
    <cellStyle name="Comma 2 2 11" xfId="3042" xr:uid="{749B0630-7577-4CF7-97D1-0A7A8B211302}"/>
    <cellStyle name="Comma 2 2 11 2" xfId="12114" xr:uid="{F3150B52-093B-4148-B4A2-1C25FC0966AB}"/>
    <cellStyle name="Comma 2 2 11 2 2" xfId="27234" xr:uid="{961F4573-F50A-49F3-89CC-AF3EA42A16DE}"/>
    <cellStyle name="Comma 2 2 11 2 2 2" xfId="57474" xr:uid="{2FB0E7C9-8B73-4357-B46F-8A59F80D808E}"/>
    <cellStyle name="Comma 2 2 11 2 3" xfId="42354" xr:uid="{9D926ACD-ADBF-416D-9906-9CB535A867B7}"/>
    <cellStyle name="Comma 2 2 11 3" xfId="18162" xr:uid="{1B87CCD6-C2CB-4F45-AD84-419A462AFD6A}"/>
    <cellStyle name="Comma 2 2 11 3 2" xfId="48402" xr:uid="{12CA4D92-452D-4B6C-80CC-0FC1E7F39F7E}"/>
    <cellStyle name="Comma 2 2 11 4" xfId="33282" xr:uid="{0E899639-3460-4D76-B1EC-D788F22E02DB}"/>
    <cellStyle name="Comma 2 2 12" xfId="4554" xr:uid="{B5478CD6-66F2-4F4B-806D-91F55CF62B9D}"/>
    <cellStyle name="Comma 2 2 12 2" xfId="13626" xr:uid="{1CC4969B-9CC0-4836-A0EC-2DC3F1A4AAD8}"/>
    <cellStyle name="Comma 2 2 12 2 2" xfId="28746" xr:uid="{DBFEAFC1-B302-4779-821A-34D3865DD077}"/>
    <cellStyle name="Comma 2 2 12 2 2 2" xfId="58986" xr:uid="{F4073C18-7361-42BC-A4CB-5419DF01C70A}"/>
    <cellStyle name="Comma 2 2 12 2 3" xfId="43866" xr:uid="{E96B31E7-4EF9-4BBF-8044-7E925AD971EE}"/>
    <cellStyle name="Comma 2 2 12 3" xfId="19674" xr:uid="{3C869424-4629-4EAD-B1B6-0F811069B9BD}"/>
    <cellStyle name="Comma 2 2 12 3 2" xfId="49914" xr:uid="{7BF88C14-E5E3-43E3-AE7A-A7DE3715CAC8}"/>
    <cellStyle name="Comma 2 2 12 4" xfId="34794" xr:uid="{680E6647-49E6-4339-8FFD-C105D2F0515C}"/>
    <cellStyle name="Comma 2 2 13" xfId="6066" xr:uid="{237F9C96-667F-4316-86EC-F4956DFCB3F9}"/>
    <cellStyle name="Comma 2 2 13 2" xfId="21186" xr:uid="{54BA73A8-4E17-40BE-B0FF-93C6D6725CDA}"/>
    <cellStyle name="Comma 2 2 13 2 2" xfId="51426" xr:uid="{867A8165-2E95-40B8-8B07-66D1F8DA58E2}"/>
    <cellStyle name="Comma 2 2 13 3" xfId="36306" xr:uid="{7FA6EB7B-B454-4B96-8D77-39976C306B12}"/>
    <cellStyle name="Comma 2 2 14" xfId="7578" xr:uid="{3940C72A-1511-4BD0-9471-51D02E537596}"/>
    <cellStyle name="Comma 2 2 14 2" xfId="22698" xr:uid="{FC545815-5BDF-4CBB-BA0E-526728778CA4}"/>
    <cellStyle name="Comma 2 2 14 2 2" xfId="52938" xr:uid="{F9585AB7-5FB6-48D8-8A85-A6F9537710CA}"/>
    <cellStyle name="Comma 2 2 14 3" xfId="37818" xr:uid="{1A9B5274-CA2C-4901-A974-B2D1D852B5C3}"/>
    <cellStyle name="Comma 2 2 15" xfId="9090" xr:uid="{21287604-236A-4F81-8039-6EB1B780E9F8}"/>
    <cellStyle name="Comma 2 2 15 2" xfId="24210" xr:uid="{4CE4B13A-3B9B-4633-B414-8608707DA847}"/>
    <cellStyle name="Comma 2 2 15 2 2" xfId="54450" xr:uid="{98C0E710-2DF4-40BE-9C04-DCB511FE5132}"/>
    <cellStyle name="Comma 2 2 15 3" xfId="39330" xr:uid="{620E9CFC-E21E-4E72-A3E4-5F1231D6834A}"/>
    <cellStyle name="Comma 2 2 16" xfId="15138" xr:uid="{185B6D5C-1705-4290-A6F5-A6B539E8DA29}"/>
    <cellStyle name="Comma 2 2 16 2" xfId="45378" xr:uid="{96430905-35E4-4BC1-9416-83F69DE7587C}"/>
    <cellStyle name="Comma 2 2 17" xfId="30258" xr:uid="{5D0B7C37-9FE1-4227-BEDA-44A2706CEBCF}"/>
    <cellStyle name="Comma 2 2 18" xfId="16" xr:uid="{C2B878EB-FC90-438C-9BAC-58CA5057A52A}"/>
    <cellStyle name="Comma 2 2 2" xfId="32" xr:uid="{C14AB986-7BC5-4879-8FC6-CCE93402D6EC}"/>
    <cellStyle name="Comma 2 2 2 10" xfId="4568" xr:uid="{E4AD65B5-6CC7-42B9-8FF1-563CC7EBF105}"/>
    <cellStyle name="Comma 2 2 2 10 2" xfId="13640" xr:uid="{6B41F447-D7A4-4439-953F-2D4F4AE9D86F}"/>
    <cellStyle name="Comma 2 2 2 10 2 2" xfId="28760" xr:uid="{16CA0A58-DA19-471F-A253-3BFDC54B8F91}"/>
    <cellStyle name="Comma 2 2 2 10 2 2 2" xfId="59000" xr:uid="{301B5269-5D6E-4087-99B3-69B7C9CB022E}"/>
    <cellStyle name="Comma 2 2 2 10 2 3" xfId="43880" xr:uid="{8E15F20B-4000-4079-85C1-7E1B0B2B26E4}"/>
    <cellStyle name="Comma 2 2 2 10 3" xfId="19688" xr:uid="{6028259C-7B2C-47A7-ACF9-73F9FA7F37B4}"/>
    <cellStyle name="Comma 2 2 2 10 3 2" xfId="49928" xr:uid="{0F40FE95-4D1C-4BDD-BD6B-A1A4573E0E22}"/>
    <cellStyle name="Comma 2 2 2 10 4" xfId="34808" xr:uid="{00296957-EAC2-4D32-A465-AB5D41EFAC8D}"/>
    <cellStyle name="Comma 2 2 2 11" xfId="6080" xr:uid="{A21180FB-D0A1-4E4B-A94C-EAE7059BED07}"/>
    <cellStyle name="Comma 2 2 2 11 2" xfId="21200" xr:uid="{0C650183-50BE-4CC7-A5EF-8D84FB437E5B}"/>
    <cellStyle name="Comma 2 2 2 11 2 2" xfId="51440" xr:uid="{A7DE6184-AE35-4C34-B897-D675D4C8E225}"/>
    <cellStyle name="Comma 2 2 2 11 3" xfId="36320" xr:uid="{3B0AA149-751A-4058-A9AD-18F32CEEEB81}"/>
    <cellStyle name="Comma 2 2 2 12" xfId="7592" xr:uid="{4EF48208-8D6F-4A9E-A221-04A836325B79}"/>
    <cellStyle name="Comma 2 2 2 12 2" xfId="22712" xr:uid="{0375566B-D4D2-43C6-A6A7-2D6388966BD9}"/>
    <cellStyle name="Comma 2 2 2 12 2 2" xfId="52952" xr:uid="{CEBDAF95-A5EA-4523-9098-B4DCEA85F17D}"/>
    <cellStyle name="Comma 2 2 2 12 3" xfId="37832" xr:uid="{C3CA798E-261E-4AE2-AC03-17796F2C0F9A}"/>
    <cellStyle name="Comma 2 2 2 13" xfId="9104" xr:uid="{E6A7F55C-4FFF-4B92-957A-E637855D1EB1}"/>
    <cellStyle name="Comma 2 2 2 13 2" xfId="24224" xr:uid="{FC752473-BB7C-4CEE-A5B8-AC1CE7EE3BA4}"/>
    <cellStyle name="Comma 2 2 2 13 2 2" xfId="54464" xr:uid="{842437D9-1588-4F14-A0A3-C20B553795D6}"/>
    <cellStyle name="Comma 2 2 2 13 3" xfId="39344" xr:uid="{0C22285F-034A-492C-91F8-A040ABE10747}"/>
    <cellStyle name="Comma 2 2 2 14" xfId="15152" xr:uid="{349078FC-B61A-430B-A73F-D49E8FFE619A}"/>
    <cellStyle name="Comma 2 2 2 14 2" xfId="45392" xr:uid="{A7EE7FA0-3AB6-489B-BC0B-CADCD11891C4}"/>
    <cellStyle name="Comma 2 2 2 15" xfId="30272" xr:uid="{40ADCA45-E47D-45FE-84F6-B8646F6025CB}"/>
    <cellStyle name="Comma 2 2 2 2" xfId="74" xr:uid="{083CDC6E-F454-4212-9967-FC7560F2404A}"/>
    <cellStyle name="Comma 2 2 2 2 10" xfId="6122" xr:uid="{DEAEB8C0-E9D5-4BFF-915B-E4FF1DAF86EC}"/>
    <cellStyle name="Comma 2 2 2 2 10 2" xfId="21242" xr:uid="{518A793C-AFB9-4156-BE96-C2ED45F3860C}"/>
    <cellStyle name="Comma 2 2 2 2 10 2 2" xfId="51482" xr:uid="{9DC8DFC9-D710-4E37-99C8-FEF40FA99510}"/>
    <cellStyle name="Comma 2 2 2 2 10 3" xfId="36362" xr:uid="{1599AF3C-2C23-4F53-99D1-BB0C7DD63EF6}"/>
    <cellStyle name="Comma 2 2 2 2 11" xfId="7634" xr:uid="{3556B3CC-FAE1-4F59-BBEC-EB16B8906622}"/>
    <cellStyle name="Comma 2 2 2 2 11 2" xfId="22754" xr:uid="{A00E284A-90C9-4FAA-B0FA-224B3DBE1A4B}"/>
    <cellStyle name="Comma 2 2 2 2 11 2 2" xfId="52994" xr:uid="{963BB66F-448C-4FA0-BDC9-9CA47C01E19F}"/>
    <cellStyle name="Comma 2 2 2 2 11 3" xfId="37874" xr:uid="{5457584C-ACB2-4DF5-BA31-72F6409DA79B}"/>
    <cellStyle name="Comma 2 2 2 2 12" xfId="9146" xr:uid="{B7DE8B3D-A4F7-4271-BD94-D989B1175F4F}"/>
    <cellStyle name="Comma 2 2 2 2 12 2" xfId="24266" xr:uid="{1FFFA81B-A234-4C4B-A181-A60F04382EB6}"/>
    <cellStyle name="Comma 2 2 2 2 12 2 2" xfId="54506" xr:uid="{9BE5979D-A9C8-489C-B64D-8C2F5EB903BC}"/>
    <cellStyle name="Comma 2 2 2 2 12 3" xfId="39386" xr:uid="{C34CCADC-3F03-406C-9B77-D89671B3583B}"/>
    <cellStyle name="Comma 2 2 2 2 13" xfId="15194" xr:uid="{AF482E14-2E0F-4A99-AB8B-85EA789AE20A}"/>
    <cellStyle name="Comma 2 2 2 2 13 2" xfId="45434" xr:uid="{22813349-F9F2-4BAE-A5C8-88A081E87613}"/>
    <cellStyle name="Comma 2 2 2 2 14" xfId="30314" xr:uid="{F3C8C18D-F8ED-4BD9-9DB1-4A0414461807}"/>
    <cellStyle name="Comma 2 2 2 2 2" xfId="158" xr:uid="{5F010E7E-A32A-49B3-9D3B-BFE2A6183CEA}"/>
    <cellStyle name="Comma 2 2 2 2 2 10" xfId="9230" xr:uid="{BAD81EF1-3AC5-49A7-8313-1D184935A6C6}"/>
    <cellStyle name="Comma 2 2 2 2 2 10 2" xfId="24350" xr:uid="{89ED29A3-A505-417D-A8C5-88B7D9A0FD83}"/>
    <cellStyle name="Comma 2 2 2 2 2 10 2 2" xfId="54590" xr:uid="{7FC079BA-6F16-4D27-A646-92281A079D4B}"/>
    <cellStyle name="Comma 2 2 2 2 2 10 3" xfId="39470" xr:uid="{20FE994B-192C-4810-8227-E89F42285891}"/>
    <cellStyle name="Comma 2 2 2 2 2 11" xfId="15278" xr:uid="{2F868235-EF8A-43F7-B9B6-9C2570BE1924}"/>
    <cellStyle name="Comma 2 2 2 2 2 11 2" xfId="45518" xr:uid="{596A93BC-6FA5-4691-B097-62D274A66D9F}"/>
    <cellStyle name="Comma 2 2 2 2 2 12" xfId="30398" xr:uid="{24C02710-D06F-46DE-98B6-A0B574203544}"/>
    <cellStyle name="Comma 2 2 2 2 2 2" xfId="410" xr:uid="{D3260262-09AC-4012-B9C5-562D31418D2F}"/>
    <cellStyle name="Comma 2 2 2 2 2 2 10" xfId="30650" xr:uid="{8C123947-8BBC-4968-BA9A-35D575EF2A61}"/>
    <cellStyle name="Comma 2 2 2 2 2 2 2" xfId="1166" xr:uid="{0F3E1941-81E0-4415-B539-6BC1890B9580}"/>
    <cellStyle name="Comma 2 2 2 2 2 2 2 2" xfId="2678" xr:uid="{CBBD1E93-AB25-400C-86E2-D46594852ED4}"/>
    <cellStyle name="Comma 2 2 2 2 2 2 2 2 2" xfId="11750" xr:uid="{563E0140-45B9-44BB-A2E5-8ADDE2BFF842}"/>
    <cellStyle name="Comma 2 2 2 2 2 2 2 2 2 2" xfId="26870" xr:uid="{7FC52557-A008-4AE9-923D-764CF5753BFB}"/>
    <cellStyle name="Comma 2 2 2 2 2 2 2 2 2 2 2" xfId="57110" xr:uid="{53241D6E-E432-4E02-A64E-E2C180383FC0}"/>
    <cellStyle name="Comma 2 2 2 2 2 2 2 2 2 3" xfId="41990" xr:uid="{DE5215F6-2DAB-42F8-9912-6E85EE785B7C}"/>
    <cellStyle name="Comma 2 2 2 2 2 2 2 2 3" xfId="17798" xr:uid="{DE6EB864-A002-405C-86A3-3C0463B96E95}"/>
    <cellStyle name="Comma 2 2 2 2 2 2 2 2 3 2" xfId="48038" xr:uid="{149202F2-A826-4541-855A-FA73F64F7F79}"/>
    <cellStyle name="Comma 2 2 2 2 2 2 2 2 4" xfId="32918" xr:uid="{1AAD2553-C94F-451B-A125-C46E7C72C79F}"/>
    <cellStyle name="Comma 2 2 2 2 2 2 2 3" xfId="4190" xr:uid="{38840D70-0908-4E78-B057-9E2A35754A14}"/>
    <cellStyle name="Comma 2 2 2 2 2 2 2 3 2" xfId="13262" xr:uid="{1E013268-5C4A-43E6-98AF-6100BB8D31A3}"/>
    <cellStyle name="Comma 2 2 2 2 2 2 2 3 2 2" xfId="28382" xr:uid="{C30441D4-DA49-43A9-955A-F58690BB7741}"/>
    <cellStyle name="Comma 2 2 2 2 2 2 2 3 2 2 2" xfId="58622" xr:uid="{B94A4B99-3703-42BA-A5E4-AEC8E76A6DD6}"/>
    <cellStyle name="Comma 2 2 2 2 2 2 2 3 2 3" xfId="43502" xr:uid="{17B619F0-2B31-45B8-BC11-C16DC709A561}"/>
    <cellStyle name="Comma 2 2 2 2 2 2 2 3 3" xfId="19310" xr:uid="{427C3203-8BB1-408B-8384-EC750C4D2E84}"/>
    <cellStyle name="Comma 2 2 2 2 2 2 2 3 3 2" xfId="49550" xr:uid="{C278B9C4-D120-4768-AE61-F22C42E45B90}"/>
    <cellStyle name="Comma 2 2 2 2 2 2 2 3 4" xfId="34430" xr:uid="{81A55C82-42BC-48C3-A5EF-0073A3279313}"/>
    <cellStyle name="Comma 2 2 2 2 2 2 2 4" xfId="5702" xr:uid="{484A8F44-86B4-40F3-BF22-E805FEEE87A7}"/>
    <cellStyle name="Comma 2 2 2 2 2 2 2 4 2" xfId="14774" xr:uid="{3A690CC8-DB2F-40A3-9A46-06D8026A23C5}"/>
    <cellStyle name="Comma 2 2 2 2 2 2 2 4 2 2" xfId="29894" xr:uid="{F9E02D36-FC8B-4CC0-ABE7-A8AFA0C220A6}"/>
    <cellStyle name="Comma 2 2 2 2 2 2 2 4 2 2 2" xfId="60134" xr:uid="{AB89F32A-4985-4E03-90CE-B0B946822E9A}"/>
    <cellStyle name="Comma 2 2 2 2 2 2 2 4 2 3" xfId="45014" xr:uid="{2373A73E-BC8F-4B68-923C-4E7AB7B784FB}"/>
    <cellStyle name="Comma 2 2 2 2 2 2 2 4 3" xfId="20822" xr:uid="{7C0491E2-4613-47B8-A659-A9322901658E}"/>
    <cellStyle name="Comma 2 2 2 2 2 2 2 4 3 2" xfId="51062" xr:uid="{125387E7-3034-4165-B9EE-3572618420B1}"/>
    <cellStyle name="Comma 2 2 2 2 2 2 2 4 4" xfId="35942" xr:uid="{339DEAAA-2E2C-476A-A4A9-C0EC996A0140}"/>
    <cellStyle name="Comma 2 2 2 2 2 2 2 5" xfId="7214" xr:uid="{5D589AD8-6F6D-43EB-93D4-12A86295CAA3}"/>
    <cellStyle name="Comma 2 2 2 2 2 2 2 5 2" xfId="22334" xr:uid="{C0BAC346-7882-489C-A90E-95E1076E5826}"/>
    <cellStyle name="Comma 2 2 2 2 2 2 2 5 2 2" xfId="52574" xr:uid="{CB28AF9D-2E0A-4F39-95BD-30299508C968}"/>
    <cellStyle name="Comma 2 2 2 2 2 2 2 5 3" xfId="37454" xr:uid="{ECEFB00E-65D6-4C2A-B6C9-6E9836D76CB0}"/>
    <cellStyle name="Comma 2 2 2 2 2 2 2 6" xfId="8726" xr:uid="{A1A5C413-5C0F-48AC-BC25-89EE45D279FF}"/>
    <cellStyle name="Comma 2 2 2 2 2 2 2 6 2" xfId="23846" xr:uid="{7A8BE01D-CBDB-484C-8E15-2089B3EA445E}"/>
    <cellStyle name="Comma 2 2 2 2 2 2 2 6 2 2" xfId="54086" xr:uid="{BDEF71AE-FA48-4516-B478-482548441081}"/>
    <cellStyle name="Comma 2 2 2 2 2 2 2 6 3" xfId="38966" xr:uid="{D63F8D35-A4EB-423D-8A7C-B3706A5B9E2F}"/>
    <cellStyle name="Comma 2 2 2 2 2 2 2 7" xfId="10238" xr:uid="{49D4B9C0-E078-4A8F-9F87-FBC3585BC7D7}"/>
    <cellStyle name="Comma 2 2 2 2 2 2 2 7 2" xfId="25358" xr:uid="{CB0C8A9D-9807-4EE8-845B-ED5616422AD7}"/>
    <cellStyle name="Comma 2 2 2 2 2 2 2 7 2 2" xfId="55598" xr:uid="{628105FD-2119-4DB6-95DD-A9C6B754B341}"/>
    <cellStyle name="Comma 2 2 2 2 2 2 2 7 3" xfId="40478" xr:uid="{13D5D99F-5ED7-46A5-8C31-233BB775D8A7}"/>
    <cellStyle name="Comma 2 2 2 2 2 2 2 8" xfId="16286" xr:uid="{099DBFAB-3C93-47BB-8517-ED5EDE93AB71}"/>
    <cellStyle name="Comma 2 2 2 2 2 2 2 8 2" xfId="46526" xr:uid="{BA5823A1-BBEF-4DBB-94C3-6214CF009FA2}"/>
    <cellStyle name="Comma 2 2 2 2 2 2 2 9" xfId="31406" xr:uid="{D5799261-7433-4807-AFAB-A79640310E10}"/>
    <cellStyle name="Comma 2 2 2 2 2 2 3" xfId="1922" xr:uid="{EBBBBC5C-5282-4E61-9903-4D9CE3A54C61}"/>
    <cellStyle name="Comma 2 2 2 2 2 2 3 2" xfId="10994" xr:uid="{339E2CC6-5EE3-4903-AA7E-694F6981328A}"/>
    <cellStyle name="Comma 2 2 2 2 2 2 3 2 2" xfId="26114" xr:uid="{9FC3E55D-3416-4B17-BCFC-66B264D4866E}"/>
    <cellStyle name="Comma 2 2 2 2 2 2 3 2 2 2" xfId="56354" xr:uid="{4078D4EA-FD35-4981-BC2C-6D416155C323}"/>
    <cellStyle name="Comma 2 2 2 2 2 2 3 2 3" xfId="41234" xr:uid="{4BF2DD20-C625-4E1D-B95C-880359D67A4F}"/>
    <cellStyle name="Comma 2 2 2 2 2 2 3 3" xfId="17042" xr:uid="{A82C6CD3-D103-4B5C-864A-5F5C22C3C1C2}"/>
    <cellStyle name="Comma 2 2 2 2 2 2 3 3 2" xfId="47282" xr:uid="{C6D5A418-FCF9-476A-A855-B7BDB21347FD}"/>
    <cellStyle name="Comma 2 2 2 2 2 2 3 4" xfId="32162" xr:uid="{CE7A6953-F935-4AA3-8025-80EEE29D77FB}"/>
    <cellStyle name="Comma 2 2 2 2 2 2 4" xfId="3434" xr:uid="{6E1A5C77-CC66-496E-A117-AB091E55F447}"/>
    <cellStyle name="Comma 2 2 2 2 2 2 4 2" xfId="12506" xr:uid="{846FD039-CE49-42B4-AE38-CD16FEB9BE52}"/>
    <cellStyle name="Comma 2 2 2 2 2 2 4 2 2" xfId="27626" xr:uid="{622B34E0-154D-44B5-B93D-687E0556857F}"/>
    <cellStyle name="Comma 2 2 2 2 2 2 4 2 2 2" xfId="57866" xr:uid="{BC2AEA51-E6DC-44C8-892A-0EAE1DE9FD64}"/>
    <cellStyle name="Comma 2 2 2 2 2 2 4 2 3" xfId="42746" xr:uid="{7A191253-99B9-4E06-8373-24F0BDFCEBDA}"/>
    <cellStyle name="Comma 2 2 2 2 2 2 4 3" xfId="18554" xr:uid="{0C696A98-71D3-44FB-A7FF-D8107A862B1F}"/>
    <cellStyle name="Comma 2 2 2 2 2 2 4 3 2" xfId="48794" xr:uid="{DBABC22E-2624-4D0A-861B-60F3EE4412AE}"/>
    <cellStyle name="Comma 2 2 2 2 2 2 4 4" xfId="33674" xr:uid="{E0E6C5C6-58C6-4E7C-B29A-BE3D70CF5969}"/>
    <cellStyle name="Comma 2 2 2 2 2 2 5" xfId="4946" xr:uid="{AF8D06E7-3FD2-4E07-B602-8EF4EB17703E}"/>
    <cellStyle name="Comma 2 2 2 2 2 2 5 2" xfId="14018" xr:uid="{7225231E-F5A6-4FC3-B7CB-0909841B39FD}"/>
    <cellStyle name="Comma 2 2 2 2 2 2 5 2 2" xfId="29138" xr:uid="{8DFE5183-540A-4810-95E5-6F9A75FDF809}"/>
    <cellStyle name="Comma 2 2 2 2 2 2 5 2 2 2" xfId="59378" xr:uid="{2D18CD2E-B1AF-477B-8425-DCB7B13498BB}"/>
    <cellStyle name="Comma 2 2 2 2 2 2 5 2 3" xfId="44258" xr:uid="{AE3AFAA7-13A4-4F07-A06D-0B6AF637E0D9}"/>
    <cellStyle name="Comma 2 2 2 2 2 2 5 3" xfId="20066" xr:uid="{C82AEB72-EEFC-435F-9B2A-8354AFA6FF9B}"/>
    <cellStyle name="Comma 2 2 2 2 2 2 5 3 2" xfId="50306" xr:uid="{5AB7E2BB-99A6-46F6-97C2-D25984209364}"/>
    <cellStyle name="Comma 2 2 2 2 2 2 5 4" xfId="35186" xr:uid="{A268EA46-A184-49DB-BADC-B70496026A18}"/>
    <cellStyle name="Comma 2 2 2 2 2 2 6" xfId="6458" xr:uid="{6EE522B3-7464-4B64-8B7A-B2A42943673E}"/>
    <cellStyle name="Comma 2 2 2 2 2 2 6 2" xfId="21578" xr:uid="{5940264A-11BF-4FAC-8F58-B62C04310DFD}"/>
    <cellStyle name="Comma 2 2 2 2 2 2 6 2 2" xfId="51818" xr:uid="{66B260F1-8398-4021-BD91-9F53EE939E93}"/>
    <cellStyle name="Comma 2 2 2 2 2 2 6 3" xfId="36698" xr:uid="{733A84E8-656D-4B5B-9B5E-87EB3201F047}"/>
    <cellStyle name="Comma 2 2 2 2 2 2 7" xfId="7970" xr:uid="{9B0C5D22-C1D0-414A-AD0E-FEB599E548BD}"/>
    <cellStyle name="Comma 2 2 2 2 2 2 7 2" xfId="23090" xr:uid="{5F7C5E93-FB6E-41BC-8950-73786B49C018}"/>
    <cellStyle name="Comma 2 2 2 2 2 2 7 2 2" xfId="53330" xr:uid="{38918D2F-7608-4D7F-B222-E12970C0C13E}"/>
    <cellStyle name="Comma 2 2 2 2 2 2 7 3" xfId="38210" xr:uid="{33B8E0E6-4B04-400D-AD74-B898D9EF3D6D}"/>
    <cellStyle name="Comma 2 2 2 2 2 2 8" xfId="9482" xr:uid="{04FD5C03-1F17-4DC3-A98E-F258C9B87A16}"/>
    <cellStyle name="Comma 2 2 2 2 2 2 8 2" xfId="24602" xr:uid="{96BE3DD2-233F-4E9D-97F4-6D41E833BCDE}"/>
    <cellStyle name="Comma 2 2 2 2 2 2 8 2 2" xfId="54842" xr:uid="{3513A014-213D-42B2-B1CB-E3F807A67CF7}"/>
    <cellStyle name="Comma 2 2 2 2 2 2 8 3" xfId="39722" xr:uid="{B60C793C-1FB5-4840-9D37-7DAD9B66A3AB}"/>
    <cellStyle name="Comma 2 2 2 2 2 2 9" xfId="15530" xr:uid="{BC32CEF0-5338-4AF9-A9FF-DBD437E25580}"/>
    <cellStyle name="Comma 2 2 2 2 2 2 9 2" xfId="45770" xr:uid="{A74409F7-9168-46EF-96D7-E3D8061A21F6}"/>
    <cellStyle name="Comma 2 2 2 2 2 3" xfId="662" xr:uid="{1E3F3D16-E4A6-4F30-B26D-A5C700C5E248}"/>
    <cellStyle name="Comma 2 2 2 2 2 3 10" xfId="30902" xr:uid="{77517959-F726-49CC-84D5-34FE8597AB02}"/>
    <cellStyle name="Comma 2 2 2 2 2 3 2" xfId="1418" xr:uid="{61345209-214E-433F-ADE7-39BAD2F7AC10}"/>
    <cellStyle name="Comma 2 2 2 2 2 3 2 2" xfId="2930" xr:uid="{3D2DAD85-A5F7-4105-AFFA-C77CE8F12F66}"/>
    <cellStyle name="Comma 2 2 2 2 2 3 2 2 2" xfId="12002" xr:uid="{4428EC39-566D-4DDC-BB8A-2AB91465E2AB}"/>
    <cellStyle name="Comma 2 2 2 2 2 3 2 2 2 2" xfId="27122" xr:uid="{C65BE10C-3988-41FA-82B0-92C07BFC6EF2}"/>
    <cellStyle name="Comma 2 2 2 2 2 3 2 2 2 2 2" xfId="57362" xr:uid="{238D1045-ECAA-4E1D-BEEB-F66B59492B46}"/>
    <cellStyle name="Comma 2 2 2 2 2 3 2 2 2 3" xfId="42242" xr:uid="{57764903-B748-4664-BA2C-A4B4C1375832}"/>
    <cellStyle name="Comma 2 2 2 2 2 3 2 2 3" xfId="18050" xr:uid="{4437015F-E365-454A-B167-013B60D4C09E}"/>
    <cellStyle name="Comma 2 2 2 2 2 3 2 2 3 2" xfId="48290" xr:uid="{950C155C-B9B9-4C2D-ADDE-D9EDFACD4A6B}"/>
    <cellStyle name="Comma 2 2 2 2 2 3 2 2 4" xfId="33170" xr:uid="{F24C3E2A-4097-4C94-A0E1-2D2DD57955D5}"/>
    <cellStyle name="Comma 2 2 2 2 2 3 2 3" xfId="4442" xr:uid="{20381F4A-15C2-4E9B-8631-8D54D7D621F6}"/>
    <cellStyle name="Comma 2 2 2 2 2 3 2 3 2" xfId="13514" xr:uid="{0E046931-14E0-42E9-97D9-21DE65D63C4B}"/>
    <cellStyle name="Comma 2 2 2 2 2 3 2 3 2 2" xfId="28634" xr:uid="{5A55740D-3621-4171-A567-EE62A8D01AFF}"/>
    <cellStyle name="Comma 2 2 2 2 2 3 2 3 2 2 2" xfId="58874" xr:uid="{3B17F5C0-9FAF-47CB-ACA5-8338F17EDF49}"/>
    <cellStyle name="Comma 2 2 2 2 2 3 2 3 2 3" xfId="43754" xr:uid="{2391B04F-6468-498A-8064-EE2C3ABE19B9}"/>
    <cellStyle name="Comma 2 2 2 2 2 3 2 3 3" xfId="19562" xr:uid="{CEB84248-AEAF-4060-BC4C-B349A8BD7132}"/>
    <cellStyle name="Comma 2 2 2 2 2 3 2 3 3 2" xfId="49802" xr:uid="{FFA89CC9-EE1F-4771-A786-ABAFC810D6C6}"/>
    <cellStyle name="Comma 2 2 2 2 2 3 2 3 4" xfId="34682" xr:uid="{218F4009-79B8-4510-BC07-6807A047E51C}"/>
    <cellStyle name="Comma 2 2 2 2 2 3 2 4" xfId="5954" xr:uid="{255BA443-AE6D-440A-8E7F-3496CFC58B54}"/>
    <cellStyle name="Comma 2 2 2 2 2 3 2 4 2" xfId="15026" xr:uid="{F0927832-4419-4271-9D86-F1A5941099C5}"/>
    <cellStyle name="Comma 2 2 2 2 2 3 2 4 2 2" xfId="30146" xr:uid="{8A0823D5-256A-4EEC-B752-9A7FAEC60384}"/>
    <cellStyle name="Comma 2 2 2 2 2 3 2 4 2 2 2" xfId="60386" xr:uid="{372B67F6-D3EF-4E89-8D97-1344CC127DA9}"/>
    <cellStyle name="Comma 2 2 2 2 2 3 2 4 2 3" xfId="45266" xr:uid="{9D122070-E8FC-41D8-AD67-47AC05BD144A}"/>
    <cellStyle name="Comma 2 2 2 2 2 3 2 4 3" xfId="21074" xr:uid="{F2097CA3-0D9B-4140-9885-1D24D3A0B8D0}"/>
    <cellStyle name="Comma 2 2 2 2 2 3 2 4 3 2" xfId="51314" xr:uid="{F3226192-695E-4095-A9CD-79FD98A96BE2}"/>
    <cellStyle name="Comma 2 2 2 2 2 3 2 4 4" xfId="36194" xr:uid="{14AA7637-816C-44D8-A441-90833B744F8A}"/>
    <cellStyle name="Comma 2 2 2 2 2 3 2 5" xfId="7466" xr:uid="{0116D620-2A85-4449-AFE8-008739B756CA}"/>
    <cellStyle name="Comma 2 2 2 2 2 3 2 5 2" xfId="22586" xr:uid="{52F27ADA-D7E5-401A-9CC4-C34E68872816}"/>
    <cellStyle name="Comma 2 2 2 2 2 3 2 5 2 2" xfId="52826" xr:uid="{52456CA1-A065-4906-830C-1D7CBC9849A4}"/>
    <cellStyle name="Comma 2 2 2 2 2 3 2 5 3" xfId="37706" xr:uid="{D40D7485-D0AA-4918-BC9F-2FBED2353CC1}"/>
    <cellStyle name="Comma 2 2 2 2 2 3 2 6" xfId="8978" xr:uid="{C5715151-A8BE-49BE-9A40-BCF4EF09F82E}"/>
    <cellStyle name="Comma 2 2 2 2 2 3 2 6 2" xfId="24098" xr:uid="{7EE8EFEF-3F00-4857-A4A9-B753D74CAB8A}"/>
    <cellStyle name="Comma 2 2 2 2 2 3 2 6 2 2" xfId="54338" xr:uid="{0B0105B1-2E38-4F8B-A0D4-268AF8A72DF9}"/>
    <cellStyle name="Comma 2 2 2 2 2 3 2 6 3" xfId="39218" xr:uid="{0A20AA5D-A041-4D35-904B-4B0B78052BD4}"/>
    <cellStyle name="Comma 2 2 2 2 2 3 2 7" xfId="10490" xr:uid="{C982EB2B-9A49-4CF8-A4AC-7D7555A8FD06}"/>
    <cellStyle name="Comma 2 2 2 2 2 3 2 7 2" xfId="25610" xr:uid="{930DFC8F-52C1-4F8D-BB4D-F6F1B629EB93}"/>
    <cellStyle name="Comma 2 2 2 2 2 3 2 7 2 2" xfId="55850" xr:uid="{10A4D04E-64D0-4A14-9F56-87BB00F4E49E}"/>
    <cellStyle name="Comma 2 2 2 2 2 3 2 7 3" xfId="40730" xr:uid="{A6D2F32B-0119-43A3-9F46-A295774C05F7}"/>
    <cellStyle name="Comma 2 2 2 2 2 3 2 8" xfId="16538" xr:uid="{6B074D49-E042-4CCA-AA57-17C598A3D6A2}"/>
    <cellStyle name="Comma 2 2 2 2 2 3 2 8 2" xfId="46778" xr:uid="{C40B03EF-D3EF-45B2-8198-BB6F54FC89C8}"/>
    <cellStyle name="Comma 2 2 2 2 2 3 2 9" xfId="31658" xr:uid="{7623888D-D179-4FCB-B2E6-5E8A47FA4F52}"/>
    <cellStyle name="Comma 2 2 2 2 2 3 3" xfId="2174" xr:uid="{B6C2A559-4D38-496A-8764-37BA63E0A646}"/>
    <cellStyle name="Comma 2 2 2 2 2 3 3 2" xfId="11246" xr:uid="{7F36F6EA-2A36-4EC8-98F1-78F248E75FB9}"/>
    <cellStyle name="Comma 2 2 2 2 2 3 3 2 2" xfId="26366" xr:uid="{1081F27F-C5C0-4B88-9F06-845A58CF76E6}"/>
    <cellStyle name="Comma 2 2 2 2 2 3 3 2 2 2" xfId="56606" xr:uid="{0C3B8938-0431-4184-ABE4-A329856A4678}"/>
    <cellStyle name="Comma 2 2 2 2 2 3 3 2 3" xfId="41486" xr:uid="{73F35BEA-1EF1-4ADD-B852-ABE2E70C02F5}"/>
    <cellStyle name="Comma 2 2 2 2 2 3 3 3" xfId="17294" xr:uid="{B9C916E3-C1E4-44F6-9001-D2B4D73BB958}"/>
    <cellStyle name="Comma 2 2 2 2 2 3 3 3 2" xfId="47534" xr:uid="{F6249D1F-68EB-4094-8F42-9017BF9E78C5}"/>
    <cellStyle name="Comma 2 2 2 2 2 3 3 4" xfId="32414" xr:uid="{842E55FF-731D-4B6F-AF3C-77C518189578}"/>
    <cellStyle name="Comma 2 2 2 2 2 3 4" xfId="3686" xr:uid="{7DAF168C-74DF-4219-987B-4A89B3FAF7F9}"/>
    <cellStyle name="Comma 2 2 2 2 2 3 4 2" xfId="12758" xr:uid="{379CE3D0-7942-4EEA-BD29-F6EDEA92861B}"/>
    <cellStyle name="Comma 2 2 2 2 2 3 4 2 2" xfId="27878" xr:uid="{DC5606CC-2E7E-486C-B293-78C537511A56}"/>
    <cellStyle name="Comma 2 2 2 2 2 3 4 2 2 2" xfId="58118" xr:uid="{CED10604-A33B-48A4-B64A-D2E8CCC89236}"/>
    <cellStyle name="Comma 2 2 2 2 2 3 4 2 3" xfId="42998" xr:uid="{ED47CD04-DBE1-4392-9956-297B66B6C5D2}"/>
    <cellStyle name="Comma 2 2 2 2 2 3 4 3" xfId="18806" xr:uid="{3CBB0386-2520-4AD2-A5A2-6CFA1EDE3DAC}"/>
    <cellStyle name="Comma 2 2 2 2 2 3 4 3 2" xfId="49046" xr:uid="{932F1417-7B64-459F-A487-DF36DF3D76B4}"/>
    <cellStyle name="Comma 2 2 2 2 2 3 4 4" xfId="33926" xr:uid="{64CB0119-8A08-45AE-A108-F01613780AE6}"/>
    <cellStyle name="Comma 2 2 2 2 2 3 5" xfId="5198" xr:uid="{0B97337F-D96F-4840-9F80-5D83E25AB401}"/>
    <cellStyle name="Comma 2 2 2 2 2 3 5 2" xfId="14270" xr:uid="{CFF018D3-47EE-445D-A70B-D46EB15E8010}"/>
    <cellStyle name="Comma 2 2 2 2 2 3 5 2 2" xfId="29390" xr:uid="{5F591C09-C495-41BE-80DE-8AAE053EFBE6}"/>
    <cellStyle name="Comma 2 2 2 2 2 3 5 2 2 2" xfId="59630" xr:uid="{803E939F-DEA2-4561-8263-736DF113A76B}"/>
    <cellStyle name="Comma 2 2 2 2 2 3 5 2 3" xfId="44510" xr:uid="{373BADF6-BC53-41E1-A597-02034729F9DB}"/>
    <cellStyle name="Comma 2 2 2 2 2 3 5 3" xfId="20318" xr:uid="{E879699E-8823-42ED-8DB7-B49612417D2B}"/>
    <cellStyle name="Comma 2 2 2 2 2 3 5 3 2" xfId="50558" xr:uid="{8FA5F0BE-6AC9-4734-8204-817097E13079}"/>
    <cellStyle name="Comma 2 2 2 2 2 3 5 4" xfId="35438" xr:uid="{6990AB87-F096-4561-952A-D185444A9088}"/>
    <cellStyle name="Comma 2 2 2 2 2 3 6" xfId="6710" xr:uid="{67FFBAA1-BC61-48A2-86B8-2B27EE6B18FB}"/>
    <cellStyle name="Comma 2 2 2 2 2 3 6 2" xfId="21830" xr:uid="{C04A7717-7423-44B3-87BA-0EBD68AFF4DC}"/>
    <cellStyle name="Comma 2 2 2 2 2 3 6 2 2" xfId="52070" xr:uid="{2CE8A6B3-9D3C-4781-A4B8-AC04B461B5E2}"/>
    <cellStyle name="Comma 2 2 2 2 2 3 6 3" xfId="36950" xr:uid="{F2A7F028-6C60-4F4D-8E26-33BFABA3C22E}"/>
    <cellStyle name="Comma 2 2 2 2 2 3 7" xfId="8222" xr:uid="{BDC13CA1-1DC5-4880-9FB5-3BE693BD86E4}"/>
    <cellStyle name="Comma 2 2 2 2 2 3 7 2" xfId="23342" xr:uid="{76C8E7DB-DD05-439C-B53D-968E5CDDBBA6}"/>
    <cellStyle name="Comma 2 2 2 2 2 3 7 2 2" xfId="53582" xr:uid="{73B3579C-0367-4B35-967D-FEECF6A7213E}"/>
    <cellStyle name="Comma 2 2 2 2 2 3 7 3" xfId="38462" xr:uid="{0DC638BF-C6C0-443C-B89E-55BF2D9FE0F4}"/>
    <cellStyle name="Comma 2 2 2 2 2 3 8" xfId="9734" xr:uid="{4C305476-668A-422A-92ED-D5607951DF98}"/>
    <cellStyle name="Comma 2 2 2 2 2 3 8 2" xfId="24854" xr:uid="{3E545226-190B-413C-8D6B-DC602876294A}"/>
    <cellStyle name="Comma 2 2 2 2 2 3 8 2 2" xfId="55094" xr:uid="{65C20DBD-DECB-4EF9-B3E9-AC47707816DF}"/>
    <cellStyle name="Comma 2 2 2 2 2 3 8 3" xfId="39974" xr:uid="{723D62D1-AFF0-4FA0-88BB-A83AF61E28F5}"/>
    <cellStyle name="Comma 2 2 2 2 2 3 9" xfId="15782" xr:uid="{81725F79-7F59-473F-820E-B89A4089ADB4}"/>
    <cellStyle name="Comma 2 2 2 2 2 3 9 2" xfId="46022" xr:uid="{DC9B6AEF-4617-4FCD-9C90-3B07CF47674A}"/>
    <cellStyle name="Comma 2 2 2 2 2 4" xfId="914" xr:uid="{83A00262-ED45-4444-B638-9F128D4B9449}"/>
    <cellStyle name="Comma 2 2 2 2 2 4 2" xfId="2426" xr:uid="{C188F281-65D5-4E64-8AE5-2FEB7384BFE5}"/>
    <cellStyle name="Comma 2 2 2 2 2 4 2 2" xfId="11498" xr:uid="{3C22D89D-9602-4EB1-B666-22E68F85B5FB}"/>
    <cellStyle name="Comma 2 2 2 2 2 4 2 2 2" xfId="26618" xr:uid="{C2900FAE-E7AA-462D-9854-C52C9987A72F}"/>
    <cellStyle name="Comma 2 2 2 2 2 4 2 2 2 2" xfId="56858" xr:uid="{BFDB592A-7857-4B20-9BE6-CC301FA15548}"/>
    <cellStyle name="Comma 2 2 2 2 2 4 2 2 3" xfId="41738" xr:uid="{AD9BC2A3-4A33-4CE2-9D32-98F1625FD6C4}"/>
    <cellStyle name="Comma 2 2 2 2 2 4 2 3" xfId="17546" xr:uid="{5E1C7C52-0DF5-4CB4-892A-77D21264F784}"/>
    <cellStyle name="Comma 2 2 2 2 2 4 2 3 2" xfId="47786" xr:uid="{7E0363D8-CAB5-4B9B-8F73-F4CEFDBBDBCC}"/>
    <cellStyle name="Comma 2 2 2 2 2 4 2 4" xfId="32666" xr:uid="{8C60FCC0-9A52-4068-856B-E463B2AA1A09}"/>
    <cellStyle name="Comma 2 2 2 2 2 4 3" xfId="3938" xr:uid="{0EAD670F-E06D-40F6-88E3-1F7135CFD3C6}"/>
    <cellStyle name="Comma 2 2 2 2 2 4 3 2" xfId="13010" xr:uid="{C47D7445-6A6D-4BC6-A554-F826FF0A6CB9}"/>
    <cellStyle name="Comma 2 2 2 2 2 4 3 2 2" xfId="28130" xr:uid="{ED0AA3B1-D016-4516-87DA-F0A6EB7E781F}"/>
    <cellStyle name="Comma 2 2 2 2 2 4 3 2 2 2" xfId="58370" xr:uid="{C3F1AE03-5237-42E5-8703-3401698F21C0}"/>
    <cellStyle name="Comma 2 2 2 2 2 4 3 2 3" xfId="43250" xr:uid="{19B21A37-1330-469A-B8F7-3855B1AAEDC5}"/>
    <cellStyle name="Comma 2 2 2 2 2 4 3 3" xfId="19058" xr:uid="{770F5BE7-EA61-41D1-A532-8DBEF8CA3AE7}"/>
    <cellStyle name="Comma 2 2 2 2 2 4 3 3 2" xfId="49298" xr:uid="{97D01A06-9215-4C65-9B14-445345100559}"/>
    <cellStyle name="Comma 2 2 2 2 2 4 3 4" xfId="34178" xr:uid="{A7BC8414-CA3D-4B5D-A5E0-A26BFB5D1FDE}"/>
    <cellStyle name="Comma 2 2 2 2 2 4 4" xfId="5450" xr:uid="{9C01C31F-AA50-4487-8AFF-0F53D2BF38B3}"/>
    <cellStyle name="Comma 2 2 2 2 2 4 4 2" xfId="14522" xr:uid="{3996708B-2CAE-40E5-8747-95361892149F}"/>
    <cellStyle name="Comma 2 2 2 2 2 4 4 2 2" xfId="29642" xr:uid="{315059F9-5CBE-4214-A278-137D16003ED7}"/>
    <cellStyle name="Comma 2 2 2 2 2 4 4 2 2 2" xfId="59882" xr:uid="{D9FC1072-E3DE-4297-97C0-31E7CCD6A241}"/>
    <cellStyle name="Comma 2 2 2 2 2 4 4 2 3" xfId="44762" xr:uid="{E4C3585C-A12C-4C2B-8A44-BF8C6B35ACF2}"/>
    <cellStyle name="Comma 2 2 2 2 2 4 4 3" xfId="20570" xr:uid="{280AFCC5-1CE2-46B2-9957-894CFAB700F2}"/>
    <cellStyle name="Comma 2 2 2 2 2 4 4 3 2" xfId="50810" xr:uid="{C1F50F5D-9748-4209-9E01-9AA60B7C63D1}"/>
    <cellStyle name="Comma 2 2 2 2 2 4 4 4" xfId="35690" xr:uid="{F56BB7FF-16FA-4762-9D38-13ABF3C42F08}"/>
    <cellStyle name="Comma 2 2 2 2 2 4 5" xfId="6962" xr:uid="{90C0921F-7434-4F5D-9F79-FD391A7A865E}"/>
    <cellStyle name="Comma 2 2 2 2 2 4 5 2" xfId="22082" xr:uid="{AFAF0BB1-39D3-47D3-AE0C-74F9C12E7CA6}"/>
    <cellStyle name="Comma 2 2 2 2 2 4 5 2 2" xfId="52322" xr:uid="{80875814-8DA9-41AD-B614-44E783CF3718}"/>
    <cellStyle name="Comma 2 2 2 2 2 4 5 3" xfId="37202" xr:uid="{80B4EE7B-C607-4960-8440-A15591A16C86}"/>
    <cellStyle name="Comma 2 2 2 2 2 4 6" xfId="8474" xr:uid="{EBDCB20F-91AF-4D9D-969D-051E64FAF54A}"/>
    <cellStyle name="Comma 2 2 2 2 2 4 6 2" xfId="23594" xr:uid="{5CD1A1A0-E065-4EB7-9318-B11B918B0E27}"/>
    <cellStyle name="Comma 2 2 2 2 2 4 6 2 2" xfId="53834" xr:uid="{27EE6949-475F-42E5-B693-8F6473E3CC6E}"/>
    <cellStyle name="Comma 2 2 2 2 2 4 6 3" xfId="38714" xr:uid="{F5FCF03F-537B-4066-A426-D7549446AEB0}"/>
    <cellStyle name="Comma 2 2 2 2 2 4 7" xfId="9986" xr:uid="{94CF896D-E9FE-49CA-9B26-5884A0951F80}"/>
    <cellStyle name="Comma 2 2 2 2 2 4 7 2" xfId="25106" xr:uid="{26E175FE-46C9-427F-B9E6-B36B2B952832}"/>
    <cellStyle name="Comma 2 2 2 2 2 4 7 2 2" xfId="55346" xr:uid="{A8C700E6-6BCB-4B2A-86BA-052F9B715453}"/>
    <cellStyle name="Comma 2 2 2 2 2 4 7 3" xfId="40226" xr:uid="{124D807C-EF88-4C90-85C7-6D77CBF5DE6F}"/>
    <cellStyle name="Comma 2 2 2 2 2 4 8" xfId="16034" xr:uid="{7BBD8F6C-F3FE-4F68-A126-3115A8516330}"/>
    <cellStyle name="Comma 2 2 2 2 2 4 8 2" xfId="46274" xr:uid="{57C22CC6-29C2-4021-A865-3463F0A1A6A9}"/>
    <cellStyle name="Comma 2 2 2 2 2 4 9" xfId="31154" xr:uid="{DB8237E0-F3C6-460A-B456-68BBF483E198}"/>
    <cellStyle name="Comma 2 2 2 2 2 5" xfId="1670" xr:uid="{4E9E2064-AD9D-456B-875A-E764C03C485F}"/>
    <cellStyle name="Comma 2 2 2 2 2 5 2" xfId="10742" xr:uid="{0087259D-470C-40A3-9C89-5DE9DD988B94}"/>
    <cellStyle name="Comma 2 2 2 2 2 5 2 2" xfId="25862" xr:uid="{60838DF8-9B7E-496A-9EF5-5D6D6B45FF84}"/>
    <cellStyle name="Comma 2 2 2 2 2 5 2 2 2" xfId="56102" xr:uid="{214BC2F7-B6E8-487F-A07B-2ADC7BF9AA0D}"/>
    <cellStyle name="Comma 2 2 2 2 2 5 2 3" xfId="40982" xr:uid="{F633D4C8-7343-4C14-A69A-2D721ED182CC}"/>
    <cellStyle name="Comma 2 2 2 2 2 5 3" xfId="16790" xr:uid="{95FCD114-E4B1-4C58-8278-90CD626050D6}"/>
    <cellStyle name="Comma 2 2 2 2 2 5 3 2" xfId="47030" xr:uid="{3043D3F8-E721-461D-A286-52BB3E1B4950}"/>
    <cellStyle name="Comma 2 2 2 2 2 5 4" xfId="31910" xr:uid="{162A8A60-7023-4A04-8DAF-63A6D8FE81F3}"/>
    <cellStyle name="Comma 2 2 2 2 2 6" xfId="3182" xr:uid="{DFE43EC6-F618-48CA-9085-234FDB9EEC65}"/>
    <cellStyle name="Comma 2 2 2 2 2 6 2" xfId="12254" xr:uid="{E35456A2-413A-4821-A13E-6DBEB59C2E29}"/>
    <cellStyle name="Comma 2 2 2 2 2 6 2 2" xfId="27374" xr:uid="{D3555107-3A1B-47ED-ADBB-DBEC45DEC25D}"/>
    <cellStyle name="Comma 2 2 2 2 2 6 2 2 2" xfId="57614" xr:uid="{BDBCFA08-ED72-4AB8-8EE1-0AB97CCE059E}"/>
    <cellStyle name="Comma 2 2 2 2 2 6 2 3" xfId="42494" xr:uid="{2ADDAADB-E9FA-4EA9-9013-7C1FFEC64D90}"/>
    <cellStyle name="Comma 2 2 2 2 2 6 3" xfId="18302" xr:uid="{A6D45757-77A7-446F-B698-D7BF4E8C2C85}"/>
    <cellStyle name="Comma 2 2 2 2 2 6 3 2" xfId="48542" xr:uid="{4424B909-F3BF-4C37-AABA-80329D971658}"/>
    <cellStyle name="Comma 2 2 2 2 2 6 4" xfId="33422" xr:uid="{D236D515-BDC1-4EE9-94F5-A11E96EB0E86}"/>
    <cellStyle name="Comma 2 2 2 2 2 7" xfId="4694" xr:uid="{26A88952-49B0-4AF1-8E1D-9BC4644B0AFC}"/>
    <cellStyle name="Comma 2 2 2 2 2 7 2" xfId="13766" xr:uid="{BFB15FE5-3586-4DE1-84A9-7E0D040E6F8F}"/>
    <cellStyle name="Comma 2 2 2 2 2 7 2 2" xfId="28886" xr:uid="{563C2199-6662-459B-A1F4-14B46C7475CC}"/>
    <cellStyle name="Comma 2 2 2 2 2 7 2 2 2" xfId="59126" xr:uid="{9A795AC5-F126-458C-BA69-3331D3DD858D}"/>
    <cellStyle name="Comma 2 2 2 2 2 7 2 3" xfId="44006" xr:uid="{B1584DC6-919C-41EC-B309-F378E67DC27F}"/>
    <cellStyle name="Comma 2 2 2 2 2 7 3" xfId="19814" xr:uid="{3E88A5FA-FCA2-494F-ADED-EDCF8C424736}"/>
    <cellStyle name="Comma 2 2 2 2 2 7 3 2" xfId="50054" xr:uid="{4D1AE64F-AB9A-4CB0-B5FA-F73B45A5FAD6}"/>
    <cellStyle name="Comma 2 2 2 2 2 7 4" xfId="34934" xr:uid="{49437C3C-8825-4D35-90E7-6E2A60196BDE}"/>
    <cellStyle name="Comma 2 2 2 2 2 8" xfId="6206" xr:uid="{52529E29-C72D-4510-8B44-94D98DCFFD53}"/>
    <cellStyle name="Comma 2 2 2 2 2 8 2" xfId="21326" xr:uid="{1EB9941B-F31C-41A3-AA10-A55834B5A1B5}"/>
    <cellStyle name="Comma 2 2 2 2 2 8 2 2" xfId="51566" xr:uid="{620A057B-1A28-44C5-AF6F-57B47E491A21}"/>
    <cellStyle name="Comma 2 2 2 2 2 8 3" xfId="36446" xr:uid="{D7655962-07D3-4D33-941D-01F3AF4E4ED8}"/>
    <cellStyle name="Comma 2 2 2 2 2 9" xfId="7718" xr:uid="{F401063D-66D0-48E6-9391-59DF27FD640C}"/>
    <cellStyle name="Comma 2 2 2 2 2 9 2" xfId="22838" xr:uid="{3FE71A05-2F4A-4311-BD0B-4F1E246ED4A9}"/>
    <cellStyle name="Comma 2 2 2 2 2 9 2 2" xfId="53078" xr:uid="{C737FF0C-912D-4B4C-872B-B1F1ED87BCBF}"/>
    <cellStyle name="Comma 2 2 2 2 2 9 3" xfId="37958" xr:uid="{0558B46B-190B-4149-B9E6-247A7A3E88AE}"/>
    <cellStyle name="Comma 2 2 2 2 3" xfId="242" xr:uid="{12584FA1-7FA8-4B5F-9945-C605737FF15E}"/>
    <cellStyle name="Comma 2 2 2 2 3 10" xfId="9314" xr:uid="{FFA0886C-CC74-4541-A93C-4BC62925D0AE}"/>
    <cellStyle name="Comma 2 2 2 2 3 10 2" xfId="24434" xr:uid="{6214AE96-28D3-426D-AC3A-9391BADD5D56}"/>
    <cellStyle name="Comma 2 2 2 2 3 10 2 2" xfId="54674" xr:uid="{62A34B8D-3D5A-4D07-8330-BF9F99850BE8}"/>
    <cellStyle name="Comma 2 2 2 2 3 10 3" xfId="39554" xr:uid="{149DE60F-25C1-45C7-A9F6-E67D3D4E25F3}"/>
    <cellStyle name="Comma 2 2 2 2 3 11" xfId="15362" xr:uid="{7DF775C4-AC7C-4D53-92C5-4EDF6091ADBB}"/>
    <cellStyle name="Comma 2 2 2 2 3 11 2" xfId="45602" xr:uid="{34AD1A3C-62AF-4B11-9D9E-07FEFD5D7930}"/>
    <cellStyle name="Comma 2 2 2 2 3 12" xfId="30482" xr:uid="{44DED9AD-B5B9-4DFA-AC06-59AD3C63CB37}"/>
    <cellStyle name="Comma 2 2 2 2 3 2" xfId="494" xr:uid="{557B94F1-05FE-4D39-892B-E7676BE2386E}"/>
    <cellStyle name="Comma 2 2 2 2 3 2 10" xfId="30734" xr:uid="{5844BA47-871B-4D9C-AD5B-67E2B8BF984F}"/>
    <cellStyle name="Comma 2 2 2 2 3 2 2" xfId="1250" xr:uid="{00979ABB-B478-46D9-89A7-7331810C86DC}"/>
    <cellStyle name="Comma 2 2 2 2 3 2 2 2" xfId="2762" xr:uid="{9CCF8232-F797-4E1F-8BFE-D5441E600D0C}"/>
    <cellStyle name="Comma 2 2 2 2 3 2 2 2 2" xfId="11834" xr:uid="{992269D4-665A-4B02-8C71-CC4B1FD46ECD}"/>
    <cellStyle name="Comma 2 2 2 2 3 2 2 2 2 2" xfId="26954" xr:uid="{99A864B8-D26D-47A1-9FA1-27B153759DD2}"/>
    <cellStyle name="Comma 2 2 2 2 3 2 2 2 2 2 2" xfId="57194" xr:uid="{C7D8CC03-6AB7-46EE-A87C-37EAD5BD09A2}"/>
    <cellStyle name="Comma 2 2 2 2 3 2 2 2 2 3" xfId="42074" xr:uid="{0D804C1F-F789-42C1-A532-5576D8FC3B89}"/>
    <cellStyle name="Comma 2 2 2 2 3 2 2 2 3" xfId="17882" xr:uid="{669A4AD4-940D-4BCE-8F11-48D866E01555}"/>
    <cellStyle name="Comma 2 2 2 2 3 2 2 2 3 2" xfId="48122" xr:uid="{8C23D015-DD0A-498F-8955-C814FFDD52E7}"/>
    <cellStyle name="Comma 2 2 2 2 3 2 2 2 4" xfId="33002" xr:uid="{34312BDD-281B-4E2D-A0EF-55DECD25A593}"/>
    <cellStyle name="Comma 2 2 2 2 3 2 2 3" xfId="4274" xr:uid="{3862ACC2-0F06-40C8-B8F7-DC15E251882C}"/>
    <cellStyle name="Comma 2 2 2 2 3 2 2 3 2" xfId="13346" xr:uid="{340811EB-FFE9-4654-863F-2EA857B665CE}"/>
    <cellStyle name="Comma 2 2 2 2 3 2 2 3 2 2" xfId="28466" xr:uid="{561249FF-CD69-446C-92B4-FCE6C766A6AC}"/>
    <cellStyle name="Comma 2 2 2 2 3 2 2 3 2 2 2" xfId="58706" xr:uid="{2CD22572-DA8D-49B1-8FF3-3DDC8E2D6FF7}"/>
    <cellStyle name="Comma 2 2 2 2 3 2 2 3 2 3" xfId="43586" xr:uid="{3F74AACE-8D1E-48D8-84C0-1E20C87DB035}"/>
    <cellStyle name="Comma 2 2 2 2 3 2 2 3 3" xfId="19394" xr:uid="{8558977E-35C8-4241-A993-6A82179F63C9}"/>
    <cellStyle name="Comma 2 2 2 2 3 2 2 3 3 2" xfId="49634" xr:uid="{B8E001A0-30F5-4E5A-BED7-3A320E7A9583}"/>
    <cellStyle name="Comma 2 2 2 2 3 2 2 3 4" xfId="34514" xr:uid="{4A2165EF-2F5D-412E-B6C1-309A2FEE343A}"/>
    <cellStyle name="Comma 2 2 2 2 3 2 2 4" xfId="5786" xr:uid="{51046C3A-0015-4D33-AC91-E337B4027F67}"/>
    <cellStyle name="Comma 2 2 2 2 3 2 2 4 2" xfId="14858" xr:uid="{473206AE-89BC-4768-876F-599C0BB8FE50}"/>
    <cellStyle name="Comma 2 2 2 2 3 2 2 4 2 2" xfId="29978" xr:uid="{1B954184-F30B-4625-8910-3327EC4C330E}"/>
    <cellStyle name="Comma 2 2 2 2 3 2 2 4 2 2 2" xfId="60218" xr:uid="{3E59387D-33DE-434B-89D0-1386C06B7785}"/>
    <cellStyle name="Comma 2 2 2 2 3 2 2 4 2 3" xfId="45098" xr:uid="{B3E1DF81-EE44-4DEF-AB95-6E5932D240BA}"/>
    <cellStyle name="Comma 2 2 2 2 3 2 2 4 3" xfId="20906" xr:uid="{5136D3AE-ABEC-4234-96AF-1DD75867CB13}"/>
    <cellStyle name="Comma 2 2 2 2 3 2 2 4 3 2" xfId="51146" xr:uid="{293EE39B-AEF5-4063-B6B1-1BF4635124DD}"/>
    <cellStyle name="Comma 2 2 2 2 3 2 2 4 4" xfId="36026" xr:uid="{EA6F579B-7D6C-4A26-9CD9-735F14B8D27E}"/>
    <cellStyle name="Comma 2 2 2 2 3 2 2 5" xfId="7298" xr:uid="{22065056-4AF7-4CBD-82CD-E839ACD2D600}"/>
    <cellStyle name="Comma 2 2 2 2 3 2 2 5 2" xfId="22418" xr:uid="{B23E2064-16A7-4BC1-BFF3-88D1B6CF13D2}"/>
    <cellStyle name="Comma 2 2 2 2 3 2 2 5 2 2" xfId="52658" xr:uid="{EF143B35-F5BF-43FC-8D95-F38F3A22BEF0}"/>
    <cellStyle name="Comma 2 2 2 2 3 2 2 5 3" xfId="37538" xr:uid="{3C94D5BC-1DD5-4EFD-9ECA-F9540991CC7A}"/>
    <cellStyle name="Comma 2 2 2 2 3 2 2 6" xfId="8810" xr:uid="{AA048ACC-CEE2-471E-850A-71E54DD4B8A0}"/>
    <cellStyle name="Comma 2 2 2 2 3 2 2 6 2" xfId="23930" xr:uid="{C4CED531-1E55-49D7-8763-81A408D04890}"/>
    <cellStyle name="Comma 2 2 2 2 3 2 2 6 2 2" xfId="54170" xr:uid="{2531BAB2-55CD-44D3-8FC9-8D7AB542B0EE}"/>
    <cellStyle name="Comma 2 2 2 2 3 2 2 6 3" xfId="39050" xr:uid="{82758AAE-EFB1-40B2-8FEF-AB2C5708205C}"/>
    <cellStyle name="Comma 2 2 2 2 3 2 2 7" xfId="10322" xr:uid="{7995B954-CA95-4092-B1CA-505AF8172F5A}"/>
    <cellStyle name="Comma 2 2 2 2 3 2 2 7 2" xfId="25442" xr:uid="{6F8515F7-5691-4B04-B224-0628FC3BB7BC}"/>
    <cellStyle name="Comma 2 2 2 2 3 2 2 7 2 2" xfId="55682" xr:uid="{3B7370D6-35F8-48C4-91AE-B4FFB8188536}"/>
    <cellStyle name="Comma 2 2 2 2 3 2 2 7 3" xfId="40562" xr:uid="{8B95DA45-B79F-43A0-AC34-350E4A43D94D}"/>
    <cellStyle name="Comma 2 2 2 2 3 2 2 8" xfId="16370" xr:uid="{B5BC934E-A4F4-4F6D-B46A-AED0C534D25F}"/>
    <cellStyle name="Comma 2 2 2 2 3 2 2 8 2" xfId="46610" xr:uid="{F56365BB-A6C3-4746-B35D-1BF0C233227F}"/>
    <cellStyle name="Comma 2 2 2 2 3 2 2 9" xfId="31490" xr:uid="{587A92A5-362E-4C1E-A544-9CBCB5CA7CB8}"/>
    <cellStyle name="Comma 2 2 2 2 3 2 3" xfId="2006" xr:uid="{1D4FA602-2C57-44A9-95E6-3DF2A6E031CA}"/>
    <cellStyle name="Comma 2 2 2 2 3 2 3 2" xfId="11078" xr:uid="{F21C62E7-385D-453E-AC76-D52962DE44DB}"/>
    <cellStyle name="Comma 2 2 2 2 3 2 3 2 2" xfId="26198" xr:uid="{E1ED2B3F-ABB0-42D3-A61E-2A803B0D3BA9}"/>
    <cellStyle name="Comma 2 2 2 2 3 2 3 2 2 2" xfId="56438" xr:uid="{FDEF7B14-B7A3-4548-A669-EA83C482A7A4}"/>
    <cellStyle name="Comma 2 2 2 2 3 2 3 2 3" xfId="41318" xr:uid="{28ED3C2A-A39D-4DCC-B4C6-3DAE6017F215}"/>
    <cellStyle name="Comma 2 2 2 2 3 2 3 3" xfId="17126" xr:uid="{E7795D22-F1C6-409A-AE4A-67CA099E0E42}"/>
    <cellStyle name="Comma 2 2 2 2 3 2 3 3 2" xfId="47366" xr:uid="{43A56329-453D-459C-9D38-C76EDAE3716E}"/>
    <cellStyle name="Comma 2 2 2 2 3 2 3 4" xfId="32246" xr:uid="{9BB65618-214C-4181-A3C2-8191D2F55B0C}"/>
    <cellStyle name="Comma 2 2 2 2 3 2 4" xfId="3518" xr:uid="{6953DF66-EA5D-44A2-87BE-FD4F6C367C44}"/>
    <cellStyle name="Comma 2 2 2 2 3 2 4 2" xfId="12590" xr:uid="{35AB06C5-4253-4123-95B5-92C40860C744}"/>
    <cellStyle name="Comma 2 2 2 2 3 2 4 2 2" xfId="27710" xr:uid="{A9AA7317-4DDF-463A-9A7A-BB6BD4897E43}"/>
    <cellStyle name="Comma 2 2 2 2 3 2 4 2 2 2" xfId="57950" xr:uid="{FD7D1E49-4306-477E-B79E-A22E7C429B61}"/>
    <cellStyle name="Comma 2 2 2 2 3 2 4 2 3" xfId="42830" xr:uid="{4EDB4363-6177-41B0-86CD-3A6243AEFA44}"/>
    <cellStyle name="Comma 2 2 2 2 3 2 4 3" xfId="18638" xr:uid="{D35F2D61-F163-4D42-B90D-EA9A8A031EAE}"/>
    <cellStyle name="Comma 2 2 2 2 3 2 4 3 2" xfId="48878" xr:uid="{D117F803-3EBE-4AB7-941C-035D7DFD7928}"/>
    <cellStyle name="Comma 2 2 2 2 3 2 4 4" xfId="33758" xr:uid="{3F75F9AB-DA4B-461B-BD93-BD80604B9D2E}"/>
    <cellStyle name="Comma 2 2 2 2 3 2 5" xfId="5030" xr:uid="{58AA272B-571D-42EE-92BE-E6A65336A0D5}"/>
    <cellStyle name="Comma 2 2 2 2 3 2 5 2" xfId="14102" xr:uid="{1491AF3B-ACF9-4825-8C0C-8A942AACCE09}"/>
    <cellStyle name="Comma 2 2 2 2 3 2 5 2 2" xfId="29222" xr:uid="{30E2F8D8-CC01-4276-BD43-A8E1BCD6772F}"/>
    <cellStyle name="Comma 2 2 2 2 3 2 5 2 2 2" xfId="59462" xr:uid="{07BBC791-548C-444D-91FA-2958B7372C71}"/>
    <cellStyle name="Comma 2 2 2 2 3 2 5 2 3" xfId="44342" xr:uid="{84F63B0C-128C-4346-90F2-735B3D55B94C}"/>
    <cellStyle name="Comma 2 2 2 2 3 2 5 3" xfId="20150" xr:uid="{143ACA43-4542-4F17-95A7-184D973E02F8}"/>
    <cellStyle name="Comma 2 2 2 2 3 2 5 3 2" xfId="50390" xr:uid="{F0DC8992-FCC9-4D81-88FE-CB1A2E407EE6}"/>
    <cellStyle name="Comma 2 2 2 2 3 2 5 4" xfId="35270" xr:uid="{E861C4D9-BAF0-4B6D-BF4B-7330B7C5886F}"/>
    <cellStyle name="Comma 2 2 2 2 3 2 6" xfId="6542" xr:uid="{3FBFAF64-7C75-4780-8FE1-110C802AF985}"/>
    <cellStyle name="Comma 2 2 2 2 3 2 6 2" xfId="21662" xr:uid="{D1BF02E3-B64F-408B-AE4F-CCB8A161AF6A}"/>
    <cellStyle name="Comma 2 2 2 2 3 2 6 2 2" xfId="51902" xr:uid="{40ED05C2-A50F-46FD-AE2C-AB1A32304587}"/>
    <cellStyle name="Comma 2 2 2 2 3 2 6 3" xfId="36782" xr:uid="{4D63548C-8D93-4BF0-A53D-D48D0DBF72F3}"/>
    <cellStyle name="Comma 2 2 2 2 3 2 7" xfId="8054" xr:uid="{E40654D0-2662-4757-B613-FFD39494B1C1}"/>
    <cellStyle name="Comma 2 2 2 2 3 2 7 2" xfId="23174" xr:uid="{C9CF4834-FCFC-4FCA-8CED-3F575EB7B551}"/>
    <cellStyle name="Comma 2 2 2 2 3 2 7 2 2" xfId="53414" xr:uid="{6959F9B7-3246-4E3D-B4C6-8482D43EADFC}"/>
    <cellStyle name="Comma 2 2 2 2 3 2 7 3" xfId="38294" xr:uid="{7D28AE59-CFAB-4C8D-8F91-FC3D4467D128}"/>
    <cellStyle name="Comma 2 2 2 2 3 2 8" xfId="9566" xr:uid="{B3664CF9-A6CD-4F39-A8EB-37D702D0E11B}"/>
    <cellStyle name="Comma 2 2 2 2 3 2 8 2" xfId="24686" xr:uid="{1CA8E40E-BCD5-4F58-B02C-D06DA28E8935}"/>
    <cellStyle name="Comma 2 2 2 2 3 2 8 2 2" xfId="54926" xr:uid="{41BF6F2E-AF03-4404-BF64-CA86FDA0423A}"/>
    <cellStyle name="Comma 2 2 2 2 3 2 8 3" xfId="39806" xr:uid="{FCF12224-C0D4-4984-B8C1-3C04B6BCCECB}"/>
    <cellStyle name="Comma 2 2 2 2 3 2 9" xfId="15614" xr:uid="{2AB84EA0-2317-453D-ABEC-7C96B357B689}"/>
    <cellStyle name="Comma 2 2 2 2 3 2 9 2" xfId="45854" xr:uid="{3E5AC7D0-2BD2-41F2-BAE4-E90E8B8CAF2A}"/>
    <cellStyle name="Comma 2 2 2 2 3 3" xfId="746" xr:uid="{6D8BB6E2-3958-40F1-8EB5-CA76E752EB96}"/>
    <cellStyle name="Comma 2 2 2 2 3 3 10" xfId="30986" xr:uid="{C72ADE6A-BC82-4CD6-8E48-4FAC196F1078}"/>
    <cellStyle name="Comma 2 2 2 2 3 3 2" xfId="1502" xr:uid="{20405E8E-DF4E-4D9E-9F67-22993BD72C7C}"/>
    <cellStyle name="Comma 2 2 2 2 3 3 2 2" xfId="3014" xr:uid="{719518E4-7D40-423F-9BC1-C7FC51326238}"/>
    <cellStyle name="Comma 2 2 2 2 3 3 2 2 2" xfId="12086" xr:uid="{12C3CB4F-C482-4D7C-92F3-BC424587361D}"/>
    <cellStyle name="Comma 2 2 2 2 3 3 2 2 2 2" xfId="27206" xr:uid="{E1F7C83E-CD29-4FE6-9A94-8913752E5E95}"/>
    <cellStyle name="Comma 2 2 2 2 3 3 2 2 2 2 2" xfId="57446" xr:uid="{37379581-E323-4F4F-952E-B0DC13D6F3F9}"/>
    <cellStyle name="Comma 2 2 2 2 3 3 2 2 2 3" xfId="42326" xr:uid="{72F03744-19CA-4FDF-8209-6741A394C5C0}"/>
    <cellStyle name="Comma 2 2 2 2 3 3 2 2 3" xfId="18134" xr:uid="{CE0CA91D-040E-415D-9ADF-C638EE532C0A}"/>
    <cellStyle name="Comma 2 2 2 2 3 3 2 2 3 2" xfId="48374" xr:uid="{BA20E5B1-0198-4582-8A45-1D9CAEE0E134}"/>
    <cellStyle name="Comma 2 2 2 2 3 3 2 2 4" xfId="33254" xr:uid="{05966096-DB70-4BA4-93DC-3833A549EE61}"/>
    <cellStyle name="Comma 2 2 2 2 3 3 2 3" xfId="4526" xr:uid="{4E36E43E-3359-49EF-853B-3A27CD9A3E78}"/>
    <cellStyle name="Comma 2 2 2 2 3 3 2 3 2" xfId="13598" xr:uid="{B210382B-8B60-49C8-AD8D-F55511B83271}"/>
    <cellStyle name="Comma 2 2 2 2 3 3 2 3 2 2" xfId="28718" xr:uid="{B18D0F9F-65D1-44B4-8302-5FBFBB42F8A1}"/>
    <cellStyle name="Comma 2 2 2 2 3 3 2 3 2 2 2" xfId="58958" xr:uid="{32C73BC1-5F61-4318-B9EA-71F47A432A1E}"/>
    <cellStyle name="Comma 2 2 2 2 3 3 2 3 2 3" xfId="43838" xr:uid="{CD0F55BB-CD5C-457F-B71F-C9D3EBDAB314}"/>
    <cellStyle name="Comma 2 2 2 2 3 3 2 3 3" xfId="19646" xr:uid="{4C59B67F-DE15-472E-869E-17957ACB320C}"/>
    <cellStyle name="Comma 2 2 2 2 3 3 2 3 3 2" xfId="49886" xr:uid="{602E36E4-7888-444E-8253-677CDE889242}"/>
    <cellStyle name="Comma 2 2 2 2 3 3 2 3 4" xfId="34766" xr:uid="{8277A16F-30AF-4B61-9F5F-06E62C0855D1}"/>
    <cellStyle name="Comma 2 2 2 2 3 3 2 4" xfId="6038" xr:uid="{A6D00383-80B3-465A-818A-D42DF802DF39}"/>
    <cellStyle name="Comma 2 2 2 2 3 3 2 4 2" xfId="15110" xr:uid="{0698DC4A-34B1-4150-84C2-322F9A8F247A}"/>
    <cellStyle name="Comma 2 2 2 2 3 3 2 4 2 2" xfId="30230" xr:uid="{7E9F547B-7AEE-4818-B5B4-52BD76395811}"/>
    <cellStyle name="Comma 2 2 2 2 3 3 2 4 2 2 2" xfId="60470" xr:uid="{10A5F25D-079B-47BD-98E5-A82DF239ED91}"/>
    <cellStyle name="Comma 2 2 2 2 3 3 2 4 2 3" xfId="45350" xr:uid="{A397F501-9652-4B94-9AF4-5876E72D2D71}"/>
    <cellStyle name="Comma 2 2 2 2 3 3 2 4 3" xfId="21158" xr:uid="{C2AA8FAA-2A82-43A2-A15D-AAC34EFE4C58}"/>
    <cellStyle name="Comma 2 2 2 2 3 3 2 4 3 2" xfId="51398" xr:uid="{B942D6B0-D12D-4295-B325-379E36D813B5}"/>
    <cellStyle name="Comma 2 2 2 2 3 3 2 4 4" xfId="36278" xr:uid="{D4704062-BDF3-4B6E-B822-A105B92B5B7C}"/>
    <cellStyle name="Comma 2 2 2 2 3 3 2 5" xfId="7550" xr:uid="{BE69C6CC-F69A-4033-9576-AF7C0B688614}"/>
    <cellStyle name="Comma 2 2 2 2 3 3 2 5 2" xfId="22670" xr:uid="{9EFCD523-798D-4935-8CC7-9B594B153DE3}"/>
    <cellStyle name="Comma 2 2 2 2 3 3 2 5 2 2" xfId="52910" xr:uid="{75EAC99F-C8BC-46E9-B8DD-DB7F8DE8A212}"/>
    <cellStyle name="Comma 2 2 2 2 3 3 2 5 3" xfId="37790" xr:uid="{CBFFC785-25FB-47D3-AEC6-E2D572829912}"/>
    <cellStyle name="Comma 2 2 2 2 3 3 2 6" xfId="9062" xr:uid="{20A1775C-C19F-407E-B788-B6BCD1028481}"/>
    <cellStyle name="Comma 2 2 2 2 3 3 2 6 2" xfId="24182" xr:uid="{BC2BF2DC-698C-4F9D-9096-0283C2184EE1}"/>
    <cellStyle name="Comma 2 2 2 2 3 3 2 6 2 2" xfId="54422" xr:uid="{C15E6B32-26DA-436B-B1C0-9E5639A0CBF7}"/>
    <cellStyle name="Comma 2 2 2 2 3 3 2 6 3" xfId="39302" xr:uid="{02CFD94A-AD98-4EAB-8066-3B69240CEB59}"/>
    <cellStyle name="Comma 2 2 2 2 3 3 2 7" xfId="10574" xr:uid="{0657C2AC-3831-40DD-A626-A14F68CC05D8}"/>
    <cellStyle name="Comma 2 2 2 2 3 3 2 7 2" xfId="25694" xr:uid="{DAA905E7-095A-4606-A03B-0D7377155513}"/>
    <cellStyle name="Comma 2 2 2 2 3 3 2 7 2 2" xfId="55934" xr:uid="{17A9BF94-A9D3-4DFF-82F9-99AB3F2C0872}"/>
    <cellStyle name="Comma 2 2 2 2 3 3 2 7 3" xfId="40814" xr:uid="{F606C389-0BC4-4053-8D5C-6796E3B3648C}"/>
    <cellStyle name="Comma 2 2 2 2 3 3 2 8" xfId="16622" xr:uid="{B776544E-01F1-4B0C-B637-091291472977}"/>
    <cellStyle name="Comma 2 2 2 2 3 3 2 8 2" xfId="46862" xr:uid="{C278AF32-1011-43CA-B98C-83271BE2EF8A}"/>
    <cellStyle name="Comma 2 2 2 2 3 3 2 9" xfId="31742" xr:uid="{106275FB-D23F-4EFD-A611-4E2E4AD5F92F}"/>
    <cellStyle name="Comma 2 2 2 2 3 3 3" xfId="2258" xr:uid="{7BBC9E54-5F1B-499B-AEE5-41787EEFEF1C}"/>
    <cellStyle name="Comma 2 2 2 2 3 3 3 2" xfId="11330" xr:uid="{4E7BE560-F601-4D4D-AB01-CC2BE981897D}"/>
    <cellStyle name="Comma 2 2 2 2 3 3 3 2 2" xfId="26450" xr:uid="{209B9D07-9F74-4C69-9544-8D6C76B0B4AE}"/>
    <cellStyle name="Comma 2 2 2 2 3 3 3 2 2 2" xfId="56690" xr:uid="{3332485C-555A-4BDA-88FC-67D2B7A119F0}"/>
    <cellStyle name="Comma 2 2 2 2 3 3 3 2 3" xfId="41570" xr:uid="{41BC25C5-3D72-4E06-98E6-BAD859C50D6F}"/>
    <cellStyle name="Comma 2 2 2 2 3 3 3 3" xfId="17378" xr:uid="{B0EAD4DC-D751-453D-BCFE-E76DB1528640}"/>
    <cellStyle name="Comma 2 2 2 2 3 3 3 3 2" xfId="47618" xr:uid="{5430C356-2430-49F8-80F7-72884F5C6E37}"/>
    <cellStyle name="Comma 2 2 2 2 3 3 3 4" xfId="32498" xr:uid="{6B80F445-49A9-43EA-83D3-BD84D8C56F03}"/>
    <cellStyle name="Comma 2 2 2 2 3 3 4" xfId="3770" xr:uid="{8660DFFB-B305-4553-A669-95593F8013F5}"/>
    <cellStyle name="Comma 2 2 2 2 3 3 4 2" xfId="12842" xr:uid="{AA83C667-CE6F-4920-BF48-9A79471E4162}"/>
    <cellStyle name="Comma 2 2 2 2 3 3 4 2 2" xfId="27962" xr:uid="{E856D388-EA6C-4258-9E16-E408248C97C1}"/>
    <cellStyle name="Comma 2 2 2 2 3 3 4 2 2 2" xfId="58202" xr:uid="{BB1F7997-427A-4260-AD71-F9D490375895}"/>
    <cellStyle name="Comma 2 2 2 2 3 3 4 2 3" xfId="43082" xr:uid="{85891A48-D21A-4732-A0E4-5DF7A0CF16C7}"/>
    <cellStyle name="Comma 2 2 2 2 3 3 4 3" xfId="18890" xr:uid="{AF06185C-EFE6-460F-8735-8DC0B2B04923}"/>
    <cellStyle name="Comma 2 2 2 2 3 3 4 3 2" xfId="49130" xr:uid="{2F04A5ED-01AC-4692-9CA5-65EA72E46A3E}"/>
    <cellStyle name="Comma 2 2 2 2 3 3 4 4" xfId="34010" xr:uid="{5091A63C-EC65-48C6-8371-E8A39218B308}"/>
    <cellStyle name="Comma 2 2 2 2 3 3 5" xfId="5282" xr:uid="{EEDC3842-3BAB-4432-B696-732BE2A46994}"/>
    <cellStyle name="Comma 2 2 2 2 3 3 5 2" xfId="14354" xr:uid="{450D48E5-D437-4484-996B-223366DA5BBC}"/>
    <cellStyle name="Comma 2 2 2 2 3 3 5 2 2" xfId="29474" xr:uid="{B63FFEB0-B874-4BF3-8580-8F9008FEDB2E}"/>
    <cellStyle name="Comma 2 2 2 2 3 3 5 2 2 2" xfId="59714" xr:uid="{7B2D7100-33E8-4733-B3C2-C9BA75AE34A2}"/>
    <cellStyle name="Comma 2 2 2 2 3 3 5 2 3" xfId="44594" xr:uid="{A5132FB9-33B9-4431-87A6-C2D12C8ABD2F}"/>
    <cellStyle name="Comma 2 2 2 2 3 3 5 3" xfId="20402" xr:uid="{E04BFBF3-FD3A-4B22-A94B-8228E96C83E8}"/>
    <cellStyle name="Comma 2 2 2 2 3 3 5 3 2" xfId="50642" xr:uid="{C44735A9-0DDD-409D-8331-65DD809B299E}"/>
    <cellStyle name="Comma 2 2 2 2 3 3 5 4" xfId="35522" xr:uid="{40179AF7-1DE8-45F4-8E3C-4F44A05E8EBE}"/>
    <cellStyle name="Comma 2 2 2 2 3 3 6" xfId="6794" xr:uid="{648D7D4E-8CAA-4D9E-9307-6D39D79DD219}"/>
    <cellStyle name="Comma 2 2 2 2 3 3 6 2" xfId="21914" xr:uid="{5BC0E3C9-489D-4D00-A721-FB9BDFB67F06}"/>
    <cellStyle name="Comma 2 2 2 2 3 3 6 2 2" xfId="52154" xr:uid="{D3DC005F-9DED-44C0-958C-4A1EEB4A66BB}"/>
    <cellStyle name="Comma 2 2 2 2 3 3 6 3" xfId="37034" xr:uid="{51D3A7AB-A3D8-4492-AB7D-CD1F4F4BBC1E}"/>
    <cellStyle name="Comma 2 2 2 2 3 3 7" xfId="8306" xr:uid="{C1C0F43E-3B1A-4568-A158-BC59A39A8288}"/>
    <cellStyle name="Comma 2 2 2 2 3 3 7 2" xfId="23426" xr:uid="{B1E00393-223D-4696-9828-2EE89B9BE73C}"/>
    <cellStyle name="Comma 2 2 2 2 3 3 7 2 2" xfId="53666" xr:uid="{61E0F057-4D16-43E5-8C29-FD235EF9C2D3}"/>
    <cellStyle name="Comma 2 2 2 2 3 3 7 3" xfId="38546" xr:uid="{0C7F4700-BD61-4046-B213-7B218B907D22}"/>
    <cellStyle name="Comma 2 2 2 2 3 3 8" xfId="9818" xr:uid="{335F0BD2-61D6-4D0F-91BB-6532ECBE0DDF}"/>
    <cellStyle name="Comma 2 2 2 2 3 3 8 2" xfId="24938" xr:uid="{438DBAA6-547D-45CC-9AAD-DBA43FB34C7F}"/>
    <cellStyle name="Comma 2 2 2 2 3 3 8 2 2" xfId="55178" xr:uid="{5234F743-A438-4707-B856-F8FB1497D7BE}"/>
    <cellStyle name="Comma 2 2 2 2 3 3 8 3" xfId="40058" xr:uid="{E3BE71AF-6682-4199-B4E7-8CF7F79464FC}"/>
    <cellStyle name="Comma 2 2 2 2 3 3 9" xfId="15866" xr:uid="{59371E67-FCCF-4812-B09A-B2A7236DCCEE}"/>
    <cellStyle name="Comma 2 2 2 2 3 3 9 2" xfId="46106" xr:uid="{368CE96B-12AB-46CB-B053-E48BECA4EA25}"/>
    <cellStyle name="Comma 2 2 2 2 3 4" xfId="998" xr:uid="{3F9C7B3C-965C-49F9-9012-92BB8E673A37}"/>
    <cellStyle name="Comma 2 2 2 2 3 4 2" xfId="2510" xr:uid="{A518180A-A45C-4A78-B658-542D9705D69C}"/>
    <cellStyle name="Comma 2 2 2 2 3 4 2 2" xfId="11582" xr:uid="{E4238187-069B-42E6-93DA-0431B3D29402}"/>
    <cellStyle name="Comma 2 2 2 2 3 4 2 2 2" xfId="26702" xr:uid="{454D9E77-0A3B-4330-BCEC-E8EDE14DB59A}"/>
    <cellStyle name="Comma 2 2 2 2 3 4 2 2 2 2" xfId="56942" xr:uid="{1507DE04-D481-4411-B2A1-F11EFE121D9A}"/>
    <cellStyle name="Comma 2 2 2 2 3 4 2 2 3" xfId="41822" xr:uid="{CA85ED07-BA40-43F4-8613-291D48AACC92}"/>
    <cellStyle name="Comma 2 2 2 2 3 4 2 3" xfId="17630" xr:uid="{9751A4A2-594E-4D96-ADF4-722E55B7D968}"/>
    <cellStyle name="Comma 2 2 2 2 3 4 2 3 2" xfId="47870" xr:uid="{2B1194ED-3935-4BB3-B793-6BF18C5B225F}"/>
    <cellStyle name="Comma 2 2 2 2 3 4 2 4" xfId="32750" xr:uid="{D58A8470-0DB1-4991-AA57-44EE39FC6825}"/>
    <cellStyle name="Comma 2 2 2 2 3 4 3" xfId="4022" xr:uid="{A2C4D144-7322-4949-829C-5F68A71B14C4}"/>
    <cellStyle name="Comma 2 2 2 2 3 4 3 2" xfId="13094" xr:uid="{43D9B3F6-337E-4690-A1C7-66C8C37F5675}"/>
    <cellStyle name="Comma 2 2 2 2 3 4 3 2 2" xfId="28214" xr:uid="{069FA000-5DF4-4FDE-8915-7B14F47B08C1}"/>
    <cellStyle name="Comma 2 2 2 2 3 4 3 2 2 2" xfId="58454" xr:uid="{67A7E2E6-0676-4947-8723-E40A9604961C}"/>
    <cellStyle name="Comma 2 2 2 2 3 4 3 2 3" xfId="43334" xr:uid="{E70A334A-24A1-4AAB-8B5B-5A9FBE57DE6D}"/>
    <cellStyle name="Comma 2 2 2 2 3 4 3 3" xfId="19142" xr:uid="{5315E9F0-C78D-4B54-9F0C-30E245CE3F8A}"/>
    <cellStyle name="Comma 2 2 2 2 3 4 3 3 2" xfId="49382" xr:uid="{40BFD0B7-3362-442D-8F20-BC1B73E47008}"/>
    <cellStyle name="Comma 2 2 2 2 3 4 3 4" xfId="34262" xr:uid="{F8989891-0358-4530-ACE9-19025561B3B9}"/>
    <cellStyle name="Comma 2 2 2 2 3 4 4" xfId="5534" xr:uid="{6C334542-A0C6-42E4-B254-D916FE7618D0}"/>
    <cellStyle name="Comma 2 2 2 2 3 4 4 2" xfId="14606" xr:uid="{5611942A-E036-498A-97B8-C558D4DA7FF4}"/>
    <cellStyle name="Comma 2 2 2 2 3 4 4 2 2" xfId="29726" xr:uid="{B54C9276-B9DB-4E19-B2D7-F229AEA0D8AF}"/>
    <cellStyle name="Comma 2 2 2 2 3 4 4 2 2 2" xfId="59966" xr:uid="{4F293B89-3F1E-4C23-BA3E-628A476308C7}"/>
    <cellStyle name="Comma 2 2 2 2 3 4 4 2 3" xfId="44846" xr:uid="{280DA2D3-19D2-4754-9CAF-10A28518F690}"/>
    <cellStyle name="Comma 2 2 2 2 3 4 4 3" xfId="20654" xr:uid="{CE129EC7-B2BE-4F49-A820-93F8BD085766}"/>
    <cellStyle name="Comma 2 2 2 2 3 4 4 3 2" xfId="50894" xr:uid="{28756FA1-DA23-47B1-BBA0-E89D8BFA6FB1}"/>
    <cellStyle name="Comma 2 2 2 2 3 4 4 4" xfId="35774" xr:uid="{0ADC6D0A-76A5-4320-BAA7-A5222ABC04EF}"/>
    <cellStyle name="Comma 2 2 2 2 3 4 5" xfId="7046" xr:uid="{C74023AD-DD6A-4C4A-82B0-EEB8E84A745E}"/>
    <cellStyle name="Comma 2 2 2 2 3 4 5 2" xfId="22166" xr:uid="{D8A01336-7F4A-4D99-B9F7-A4A5AA3CE233}"/>
    <cellStyle name="Comma 2 2 2 2 3 4 5 2 2" xfId="52406" xr:uid="{570166B7-659C-4115-83F7-903EAD56A7F7}"/>
    <cellStyle name="Comma 2 2 2 2 3 4 5 3" xfId="37286" xr:uid="{7C6DB1B9-4D9D-48B8-BB41-CEE1BE013E7B}"/>
    <cellStyle name="Comma 2 2 2 2 3 4 6" xfId="8558" xr:uid="{6456DAFF-A1E8-4402-821B-FB81D69E3957}"/>
    <cellStyle name="Comma 2 2 2 2 3 4 6 2" xfId="23678" xr:uid="{B88E6E5D-2DF7-49F1-85E2-1B5D9FCA52B7}"/>
    <cellStyle name="Comma 2 2 2 2 3 4 6 2 2" xfId="53918" xr:uid="{F535B19F-92D8-4E43-9EB9-B8981F90F940}"/>
    <cellStyle name="Comma 2 2 2 2 3 4 6 3" xfId="38798" xr:uid="{8A5E4E49-1F70-4FEB-AE4C-510624D543EA}"/>
    <cellStyle name="Comma 2 2 2 2 3 4 7" xfId="10070" xr:uid="{D1CAAD91-8532-4A1B-8B45-62F9153A6639}"/>
    <cellStyle name="Comma 2 2 2 2 3 4 7 2" xfId="25190" xr:uid="{36C90D62-0E1E-4C8C-B9BD-D8155BD139FB}"/>
    <cellStyle name="Comma 2 2 2 2 3 4 7 2 2" xfId="55430" xr:uid="{79D7FF7A-8C5D-4329-93DF-8E517F01DA9E}"/>
    <cellStyle name="Comma 2 2 2 2 3 4 7 3" xfId="40310" xr:uid="{CE37D8D6-57B0-43F8-A045-112ABA9CB3CB}"/>
    <cellStyle name="Comma 2 2 2 2 3 4 8" xfId="16118" xr:uid="{FA2CA691-ACC7-4C34-81AC-62E3E66AADB4}"/>
    <cellStyle name="Comma 2 2 2 2 3 4 8 2" xfId="46358" xr:uid="{E13768CC-610A-41D5-B83E-139C24764093}"/>
    <cellStyle name="Comma 2 2 2 2 3 4 9" xfId="31238" xr:uid="{6253C8B3-7FF9-45D8-940D-94E5C307449B}"/>
    <cellStyle name="Comma 2 2 2 2 3 5" xfId="1754" xr:uid="{D8CF1565-5C79-4B79-ABFD-74C99C9DC70E}"/>
    <cellStyle name="Comma 2 2 2 2 3 5 2" xfId="10826" xr:uid="{DD3E4D3F-FFDC-4CA7-A972-9BA5680D6439}"/>
    <cellStyle name="Comma 2 2 2 2 3 5 2 2" xfId="25946" xr:uid="{6EE06726-5A31-4072-908B-167527E8FE48}"/>
    <cellStyle name="Comma 2 2 2 2 3 5 2 2 2" xfId="56186" xr:uid="{85B8A34F-B641-4A2E-B28B-C1C51ABB094A}"/>
    <cellStyle name="Comma 2 2 2 2 3 5 2 3" xfId="41066" xr:uid="{7DB6DBB6-725C-4DBE-9AFE-09DC834D8BE3}"/>
    <cellStyle name="Comma 2 2 2 2 3 5 3" xfId="16874" xr:uid="{B5C0FA8C-1A7A-48F5-A8E4-E7C3CF052ED9}"/>
    <cellStyle name="Comma 2 2 2 2 3 5 3 2" xfId="47114" xr:uid="{D6A8947E-C845-4924-92A2-E3D5F6DD1C27}"/>
    <cellStyle name="Comma 2 2 2 2 3 5 4" xfId="31994" xr:uid="{8EC4B05B-E464-44BF-B3A1-6D792B50DAEF}"/>
    <cellStyle name="Comma 2 2 2 2 3 6" xfId="3266" xr:uid="{514EFE90-9F58-47EF-A551-94BB4172555A}"/>
    <cellStyle name="Comma 2 2 2 2 3 6 2" xfId="12338" xr:uid="{AD9AAF9B-0E31-4BED-8565-C65D1EC6ADF8}"/>
    <cellStyle name="Comma 2 2 2 2 3 6 2 2" xfId="27458" xr:uid="{40F86EC1-A66C-4196-9703-0B13E35BA6C9}"/>
    <cellStyle name="Comma 2 2 2 2 3 6 2 2 2" xfId="57698" xr:uid="{F1AD63CE-5B11-4E07-B8E5-D4B98A49D0FC}"/>
    <cellStyle name="Comma 2 2 2 2 3 6 2 3" xfId="42578" xr:uid="{6D59ACAA-7522-49CC-86CE-D90F67ABB9D6}"/>
    <cellStyle name="Comma 2 2 2 2 3 6 3" xfId="18386" xr:uid="{302040B2-EFCC-468D-BACB-887942092233}"/>
    <cellStyle name="Comma 2 2 2 2 3 6 3 2" xfId="48626" xr:uid="{46C84356-9FD8-4DAF-BE2C-F2F987383C53}"/>
    <cellStyle name="Comma 2 2 2 2 3 6 4" xfId="33506" xr:uid="{DB7B77C7-F609-4205-AD01-2005E5D87728}"/>
    <cellStyle name="Comma 2 2 2 2 3 7" xfId="4778" xr:uid="{DFB0FA9F-86EE-484A-A0E7-F10958443AF3}"/>
    <cellStyle name="Comma 2 2 2 2 3 7 2" xfId="13850" xr:uid="{3D074AD5-05EF-4554-8E0D-8B5626FA54D0}"/>
    <cellStyle name="Comma 2 2 2 2 3 7 2 2" xfId="28970" xr:uid="{0001B0D5-5F38-44A9-90BE-4E5C99E2DCE2}"/>
    <cellStyle name="Comma 2 2 2 2 3 7 2 2 2" xfId="59210" xr:uid="{921A9677-5579-454D-97F6-DC394318F16D}"/>
    <cellStyle name="Comma 2 2 2 2 3 7 2 3" xfId="44090" xr:uid="{FB54D8DB-7D44-4808-9FD9-94673F79C381}"/>
    <cellStyle name="Comma 2 2 2 2 3 7 3" xfId="19898" xr:uid="{B9F61532-A6AD-45B5-AAF5-8544CAE9B634}"/>
    <cellStyle name="Comma 2 2 2 2 3 7 3 2" xfId="50138" xr:uid="{CFF62898-0100-4B53-BBC6-7FE587711525}"/>
    <cellStyle name="Comma 2 2 2 2 3 7 4" xfId="35018" xr:uid="{A6EE09CD-9194-4773-9FEB-BF740A1C9FE9}"/>
    <cellStyle name="Comma 2 2 2 2 3 8" xfId="6290" xr:uid="{A2DDBB24-CB16-469B-AAF1-1372979FE8C2}"/>
    <cellStyle name="Comma 2 2 2 2 3 8 2" xfId="21410" xr:uid="{620ABCA3-E771-4128-9984-DBEBEEF54B6D}"/>
    <cellStyle name="Comma 2 2 2 2 3 8 2 2" xfId="51650" xr:uid="{4F3A59C4-8CAA-45CB-8D9D-FD76B03D5C4A}"/>
    <cellStyle name="Comma 2 2 2 2 3 8 3" xfId="36530" xr:uid="{6F5FB1D2-D46B-4C41-86C5-D46DD9B2F57B}"/>
    <cellStyle name="Comma 2 2 2 2 3 9" xfId="7802" xr:uid="{408BD030-C6C6-4005-B986-1A84C0F0BDA3}"/>
    <cellStyle name="Comma 2 2 2 2 3 9 2" xfId="22922" xr:uid="{1E51E3B9-E05A-4E7E-A41D-A6D00937D2CF}"/>
    <cellStyle name="Comma 2 2 2 2 3 9 2 2" xfId="53162" xr:uid="{916AEDAB-0818-4E36-A6C7-D7CC2D84AFE8}"/>
    <cellStyle name="Comma 2 2 2 2 3 9 3" xfId="38042" xr:uid="{F9F57F2A-C794-49AE-B06D-302B8E07E7F2}"/>
    <cellStyle name="Comma 2 2 2 2 4" xfId="326" xr:uid="{27342BAA-1A11-4E17-B2A6-C40AF2F31BAF}"/>
    <cellStyle name="Comma 2 2 2 2 4 10" xfId="30566" xr:uid="{8C06939F-2474-4FF7-B796-3AC8BA561351}"/>
    <cellStyle name="Comma 2 2 2 2 4 2" xfId="1082" xr:uid="{902523FB-1E33-4AF0-AD44-AC421D17E692}"/>
    <cellStyle name="Comma 2 2 2 2 4 2 2" xfId="2594" xr:uid="{A84C9FBE-2C63-4F16-B38C-034923ED65BC}"/>
    <cellStyle name="Comma 2 2 2 2 4 2 2 2" xfId="11666" xr:uid="{AA9435EE-FF86-4C76-B37F-50C04FEEFE58}"/>
    <cellStyle name="Comma 2 2 2 2 4 2 2 2 2" xfId="26786" xr:uid="{E84BDD76-2694-4058-8B15-18D2E39E6252}"/>
    <cellStyle name="Comma 2 2 2 2 4 2 2 2 2 2" xfId="57026" xr:uid="{59B6AB1F-4EA8-4203-843F-12215D3BD05B}"/>
    <cellStyle name="Comma 2 2 2 2 4 2 2 2 3" xfId="41906" xr:uid="{867A7C39-B1D8-4933-9708-72B007BDED2F}"/>
    <cellStyle name="Comma 2 2 2 2 4 2 2 3" xfId="17714" xr:uid="{18717D47-FDE4-43B0-B5F9-B0F602AE9839}"/>
    <cellStyle name="Comma 2 2 2 2 4 2 2 3 2" xfId="47954" xr:uid="{69804A8B-F1E7-472B-B4A0-D820E5D2C412}"/>
    <cellStyle name="Comma 2 2 2 2 4 2 2 4" xfId="32834" xr:uid="{07508518-F828-48FB-BF66-A21EAF708D89}"/>
    <cellStyle name="Comma 2 2 2 2 4 2 3" xfId="4106" xr:uid="{E6336009-BDF8-4807-AF58-FAC66762FE54}"/>
    <cellStyle name="Comma 2 2 2 2 4 2 3 2" xfId="13178" xr:uid="{E8CACD46-0D55-4E9B-8E7E-E017CEAF15B9}"/>
    <cellStyle name="Comma 2 2 2 2 4 2 3 2 2" xfId="28298" xr:uid="{3234D576-5F19-41B0-B484-474BA1BE8C10}"/>
    <cellStyle name="Comma 2 2 2 2 4 2 3 2 2 2" xfId="58538" xr:uid="{8E783863-83B3-4FCB-91F6-60A9B65D00A5}"/>
    <cellStyle name="Comma 2 2 2 2 4 2 3 2 3" xfId="43418" xr:uid="{29688252-04A1-4E64-9D1E-ECFF4874C473}"/>
    <cellStyle name="Comma 2 2 2 2 4 2 3 3" xfId="19226" xr:uid="{FD291BDC-3528-4969-A9DB-E373713BD39A}"/>
    <cellStyle name="Comma 2 2 2 2 4 2 3 3 2" xfId="49466" xr:uid="{AB8534DA-6E64-48A3-A484-326E94542ABC}"/>
    <cellStyle name="Comma 2 2 2 2 4 2 3 4" xfId="34346" xr:uid="{8DE00FAA-8B38-45FF-ABCB-A96D6607DD80}"/>
    <cellStyle name="Comma 2 2 2 2 4 2 4" xfId="5618" xr:uid="{FAE5BDBA-A47B-439B-BAE6-D65A4AA036FA}"/>
    <cellStyle name="Comma 2 2 2 2 4 2 4 2" xfId="14690" xr:uid="{8D0FFA17-F665-4E62-B6DE-EFABD2D088EC}"/>
    <cellStyle name="Comma 2 2 2 2 4 2 4 2 2" xfId="29810" xr:uid="{8EA88266-A803-470C-8CE9-A2406CC3A539}"/>
    <cellStyle name="Comma 2 2 2 2 4 2 4 2 2 2" xfId="60050" xr:uid="{CFA3D262-35B7-410C-9404-01B39FCEF27A}"/>
    <cellStyle name="Comma 2 2 2 2 4 2 4 2 3" xfId="44930" xr:uid="{0AE374CF-9DAD-4516-AC76-3459C1BA2CF9}"/>
    <cellStyle name="Comma 2 2 2 2 4 2 4 3" xfId="20738" xr:uid="{6A38FB1E-0419-4347-B58C-81CCD1AB4A45}"/>
    <cellStyle name="Comma 2 2 2 2 4 2 4 3 2" xfId="50978" xr:uid="{B5C531CD-3BDC-4818-9D23-356879C97530}"/>
    <cellStyle name="Comma 2 2 2 2 4 2 4 4" xfId="35858" xr:uid="{D55DE4A1-70E6-464D-9591-F516B82D2E32}"/>
    <cellStyle name="Comma 2 2 2 2 4 2 5" xfId="7130" xr:uid="{901E14D2-F5A8-4E44-A639-47A794A67AD5}"/>
    <cellStyle name="Comma 2 2 2 2 4 2 5 2" xfId="22250" xr:uid="{C6379079-F845-4797-AA5B-1A94559560A0}"/>
    <cellStyle name="Comma 2 2 2 2 4 2 5 2 2" xfId="52490" xr:uid="{EF1176AC-1303-4765-8CAE-B50E78358BD5}"/>
    <cellStyle name="Comma 2 2 2 2 4 2 5 3" xfId="37370" xr:uid="{EBBE42B6-FB2A-4D24-BF3A-1F9977D6A8FA}"/>
    <cellStyle name="Comma 2 2 2 2 4 2 6" xfId="8642" xr:uid="{B0F469C5-3EC9-4861-865B-9F19F4064848}"/>
    <cellStyle name="Comma 2 2 2 2 4 2 6 2" xfId="23762" xr:uid="{85FAF859-9440-48CA-9FE6-0F661778CF31}"/>
    <cellStyle name="Comma 2 2 2 2 4 2 6 2 2" xfId="54002" xr:uid="{001CA1E6-A7FF-4A93-A8FC-71BF4F1A6293}"/>
    <cellStyle name="Comma 2 2 2 2 4 2 6 3" xfId="38882" xr:uid="{AD7F3D61-889A-44EF-A683-48E81D4EF58B}"/>
    <cellStyle name="Comma 2 2 2 2 4 2 7" xfId="10154" xr:uid="{CBB09CBB-CF96-45A7-925F-9CBF8A883507}"/>
    <cellStyle name="Comma 2 2 2 2 4 2 7 2" xfId="25274" xr:uid="{0E876D80-10B3-4BEA-BD7E-D0464CFD8D72}"/>
    <cellStyle name="Comma 2 2 2 2 4 2 7 2 2" xfId="55514" xr:uid="{02CDB773-E4DD-4196-A71A-A8255AC50D8C}"/>
    <cellStyle name="Comma 2 2 2 2 4 2 7 3" xfId="40394" xr:uid="{9D81F34A-C6EF-41B1-8C70-99FC8FA4F9E3}"/>
    <cellStyle name="Comma 2 2 2 2 4 2 8" xfId="16202" xr:uid="{1B4F3087-589C-447D-B3DA-0214F63767AF}"/>
    <cellStyle name="Comma 2 2 2 2 4 2 8 2" xfId="46442" xr:uid="{00DE1D23-13D1-4F16-A442-CAC32F3595D2}"/>
    <cellStyle name="Comma 2 2 2 2 4 2 9" xfId="31322" xr:uid="{7CE5BBAB-B70D-4153-A4B9-9609965EF2E1}"/>
    <cellStyle name="Comma 2 2 2 2 4 3" xfId="1838" xr:uid="{CBC583FD-8983-44EE-8D91-1EBC26BC15C0}"/>
    <cellStyle name="Comma 2 2 2 2 4 3 2" xfId="10910" xr:uid="{0BD267A9-A92F-4BD0-9ACB-7C58AA924501}"/>
    <cellStyle name="Comma 2 2 2 2 4 3 2 2" xfId="26030" xr:uid="{EDA6935E-2EAC-4B77-AC44-98B318B4FDAC}"/>
    <cellStyle name="Comma 2 2 2 2 4 3 2 2 2" xfId="56270" xr:uid="{99572069-F3BB-46F0-9ED3-106F8DA36EC3}"/>
    <cellStyle name="Comma 2 2 2 2 4 3 2 3" xfId="41150" xr:uid="{20CB328E-D563-4B18-81E8-F559C0881A9D}"/>
    <cellStyle name="Comma 2 2 2 2 4 3 3" xfId="16958" xr:uid="{86A879B8-FD54-4CFA-A2E6-48DADC71208D}"/>
    <cellStyle name="Comma 2 2 2 2 4 3 3 2" xfId="47198" xr:uid="{97612A8E-3578-424B-9272-51F151082D3D}"/>
    <cellStyle name="Comma 2 2 2 2 4 3 4" xfId="32078" xr:uid="{0ABD42B6-7833-43E5-B76D-6916EB8AB78E}"/>
    <cellStyle name="Comma 2 2 2 2 4 4" xfId="3350" xr:uid="{4966732F-5BA2-4A3D-8DE8-EF5E3975C5AA}"/>
    <cellStyle name="Comma 2 2 2 2 4 4 2" xfId="12422" xr:uid="{424FDA0A-7A2D-428C-84CC-236ED7362CCF}"/>
    <cellStyle name="Comma 2 2 2 2 4 4 2 2" xfId="27542" xr:uid="{E58EDE7D-CF61-44CA-84D6-FFEDBE9351B5}"/>
    <cellStyle name="Comma 2 2 2 2 4 4 2 2 2" xfId="57782" xr:uid="{B25A44ED-9432-4FAC-A780-CF64ECD80C2C}"/>
    <cellStyle name="Comma 2 2 2 2 4 4 2 3" xfId="42662" xr:uid="{7F64A8B6-2FEB-4C2E-AB7F-0A2DADEAE5E9}"/>
    <cellStyle name="Comma 2 2 2 2 4 4 3" xfId="18470" xr:uid="{9EC4B899-40F5-43F4-BF26-92A14D2BA3A6}"/>
    <cellStyle name="Comma 2 2 2 2 4 4 3 2" xfId="48710" xr:uid="{05337D6D-D3B1-4329-AB45-AC15E9C3451E}"/>
    <cellStyle name="Comma 2 2 2 2 4 4 4" xfId="33590" xr:uid="{CBBBCE1F-579A-44E0-BD62-CBFFF4CF8FCB}"/>
    <cellStyle name="Comma 2 2 2 2 4 5" xfId="4862" xr:uid="{4511F930-2053-412E-A5EC-45115745961B}"/>
    <cellStyle name="Comma 2 2 2 2 4 5 2" xfId="13934" xr:uid="{32796E19-6D7A-4A9D-A3B0-9005AA56839A}"/>
    <cellStyle name="Comma 2 2 2 2 4 5 2 2" xfId="29054" xr:uid="{0FCAD9CF-039D-4817-A864-F3EC9C79D964}"/>
    <cellStyle name="Comma 2 2 2 2 4 5 2 2 2" xfId="59294" xr:uid="{04E19458-7D87-4A7E-A231-13466CAE48CC}"/>
    <cellStyle name="Comma 2 2 2 2 4 5 2 3" xfId="44174" xr:uid="{7756FD00-2FF7-41A9-ACAE-37BE16580D0F}"/>
    <cellStyle name="Comma 2 2 2 2 4 5 3" xfId="19982" xr:uid="{9D7B98D7-2932-4CD8-A7DB-F51410933D9B}"/>
    <cellStyle name="Comma 2 2 2 2 4 5 3 2" xfId="50222" xr:uid="{547D3F7E-2FEA-4BE5-9614-94AAD76F41BB}"/>
    <cellStyle name="Comma 2 2 2 2 4 5 4" xfId="35102" xr:uid="{01F9D5E0-FB34-46A3-9AC9-A1B1A02FDF3B}"/>
    <cellStyle name="Comma 2 2 2 2 4 6" xfId="6374" xr:uid="{9D8EF29D-DC81-478D-A2B4-E859F0041700}"/>
    <cellStyle name="Comma 2 2 2 2 4 6 2" xfId="21494" xr:uid="{4885D86E-35CD-45D9-AD3F-97BB5D2E6183}"/>
    <cellStyle name="Comma 2 2 2 2 4 6 2 2" xfId="51734" xr:uid="{9B658B8A-0D80-43CB-94D7-84BAF1D93B19}"/>
    <cellStyle name="Comma 2 2 2 2 4 6 3" xfId="36614" xr:uid="{4D87B186-DEBC-4253-A23F-01AB27782819}"/>
    <cellStyle name="Comma 2 2 2 2 4 7" xfId="7886" xr:uid="{B1562345-382A-4AC5-A5FC-4FBE5F8E977B}"/>
    <cellStyle name="Comma 2 2 2 2 4 7 2" xfId="23006" xr:uid="{F8371A82-5E43-4008-9619-159F42880F57}"/>
    <cellStyle name="Comma 2 2 2 2 4 7 2 2" xfId="53246" xr:uid="{CCE2E6BF-C3E8-43C3-91B2-B383A8E0D32F}"/>
    <cellStyle name="Comma 2 2 2 2 4 7 3" xfId="38126" xr:uid="{40A8D7D3-F303-406A-857F-CCF805E710F4}"/>
    <cellStyle name="Comma 2 2 2 2 4 8" xfId="9398" xr:uid="{C8168549-54A5-440F-9073-049A79A9AF30}"/>
    <cellStyle name="Comma 2 2 2 2 4 8 2" xfId="24518" xr:uid="{E3AE59FC-2CEB-4B82-A254-1554D1827180}"/>
    <cellStyle name="Comma 2 2 2 2 4 8 2 2" xfId="54758" xr:uid="{156A059E-1C2E-4461-A704-5CCB5098A3B3}"/>
    <cellStyle name="Comma 2 2 2 2 4 8 3" xfId="39638" xr:uid="{DFFF8ED6-323F-48CE-AE8E-31D2CB1DC56E}"/>
    <cellStyle name="Comma 2 2 2 2 4 9" xfId="15446" xr:uid="{44C18E3F-5D5F-450E-95EC-8107CD926EEA}"/>
    <cellStyle name="Comma 2 2 2 2 4 9 2" xfId="45686" xr:uid="{ADBA2BA0-7911-48F6-A496-A39A99F93768}"/>
    <cellStyle name="Comma 2 2 2 2 5" xfId="578" xr:uid="{B01AB2A7-5A96-454C-AC79-058911B938C7}"/>
    <cellStyle name="Comma 2 2 2 2 5 10" xfId="30818" xr:uid="{08EF68B1-E1BA-4095-82AC-DF122BA692B6}"/>
    <cellStyle name="Comma 2 2 2 2 5 2" xfId="1334" xr:uid="{C32A13C7-6C42-45B2-B756-86E6DBA17D3A}"/>
    <cellStyle name="Comma 2 2 2 2 5 2 2" xfId="2846" xr:uid="{3826A95A-075D-4A7A-B8E9-4CFC8DF1C5B2}"/>
    <cellStyle name="Comma 2 2 2 2 5 2 2 2" xfId="11918" xr:uid="{54DF3501-977E-4933-8961-35E00633CA9A}"/>
    <cellStyle name="Comma 2 2 2 2 5 2 2 2 2" xfId="27038" xr:uid="{E436F0C2-0D28-49E8-85FE-14E0F494B60A}"/>
    <cellStyle name="Comma 2 2 2 2 5 2 2 2 2 2" xfId="57278" xr:uid="{BA8D6899-1AEA-4F70-B831-B036BA8D07A4}"/>
    <cellStyle name="Comma 2 2 2 2 5 2 2 2 3" xfId="42158" xr:uid="{F55F6593-9C8B-498B-B3E9-EDF18AC83F10}"/>
    <cellStyle name="Comma 2 2 2 2 5 2 2 3" xfId="17966" xr:uid="{CD58A579-AAE9-4376-97EB-F17FA080A17C}"/>
    <cellStyle name="Comma 2 2 2 2 5 2 2 3 2" xfId="48206" xr:uid="{69350887-D333-4080-AA71-510FC46AE21B}"/>
    <cellStyle name="Comma 2 2 2 2 5 2 2 4" xfId="33086" xr:uid="{64AA7BD3-E1A9-4D21-96C6-3B028344C269}"/>
    <cellStyle name="Comma 2 2 2 2 5 2 3" xfId="4358" xr:uid="{526357D6-9666-45D1-B478-BB8630C44CA6}"/>
    <cellStyle name="Comma 2 2 2 2 5 2 3 2" xfId="13430" xr:uid="{35089D8A-2438-4438-815C-6F8DFD8605D9}"/>
    <cellStyle name="Comma 2 2 2 2 5 2 3 2 2" xfId="28550" xr:uid="{3E432204-E0EF-4CDC-B402-9A351CD6C0BE}"/>
    <cellStyle name="Comma 2 2 2 2 5 2 3 2 2 2" xfId="58790" xr:uid="{B211E5F3-49C8-4C1D-99C7-38E89FA2B74E}"/>
    <cellStyle name="Comma 2 2 2 2 5 2 3 2 3" xfId="43670" xr:uid="{9C67EB24-574E-4239-8CA9-0DFC666D5BE5}"/>
    <cellStyle name="Comma 2 2 2 2 5 2 3 3" xfId="19478" xr:uid="{88C40D2C-4730-4AD0-A7C4-DA70552DF4F8}"/>
    <cellStyle name="Comma 2 2 2 2 5 2 3 3 2" xfId="49718" xr:uid="{125208E1-EEEF-4BAE-91EF-93AF263F9821}"/>
    <cellStyle name="Comma 2 2 2 2 5 2 3 4" xfId="34598" xr:uid="{C54E50FB-1779-446A-89B5-F1D7BA7A4CB1}"/>
    <cellStyle name="Comma 2 2 2 2 5 2 4" xfId="5870" xr:uid="{30ADDAE0-FBBD-41E5-9295-C2EDEED193DD}"/>
    <cellStyle name="Comma 2 2 2 2 5 2 4 2" xfId="14942" xr:uid="{F7139A04-D024-43E6-A425-A8F7E7FDEB14}"/>
    <cellStyle name="Comma 2 2 2 2 5 2 4 2 2" xfId="30062" xr:uid="{035135DF-00B3-4706-9945-71D7C4D41D3A}"/>
    <cellStyle name="Comma 2 2 2 2 5 2 4 2 2 2" xfId="60302" xr:uid="{223418CA-ABC0-4BC5-BC64-CC6C09E67A2A}"/>
    <cellStyle name="Comma 2 2 2 2 5 2 4 2 3" xfId="45182" xr:uid="{0066EEFA-2223-4089-9667-015B150D4F73}"/>
    <cellStyle name="Comma 2 2 2 2 5 2 4 3" xfId="20990" xr:uid="{0242BCCF-1887-4716-A5B0-6417F0522503}"/>
    <cellStyle name="Comma 2 2 2 2 5 2 4 3 2" xfId="51230" xr:uid="{D1CF21B1-F16D-4420-8EA2-8B9F93B77231}"/>
    <cellStyle name="Comma 2 2 2 2 5 2 4 4" xfId="36110" xr:uid="{8AE888EF-6828-47DB-A4A7-05C5E4B947FC}"/>
    <cellStyle name="Comma 2 2 2 2 5 2 5" xfId="7382" xr:uid="{705EA3FA-C2E1-4F95-B92D-986201B46BB2}"/>
    <cellStyle name="Comma 2 2 2 2 5 2 5 2" xfId="22502" xr:uid="{68431172-4E82-445E-BD64-ED9F47BBA9D5}"/>
    <cellStyle name="Comma 2 2 2 2 5 2 5 2 2" xfId="52742" xr:uid="{C0A799BC-918A-4976-8A51-254042B2DA64}"/>
    <cellStyle name="Comma 2 2 2 2 5 2 5 3" xfId="37622" xr:uid="{08DE98F4-5BB5-483C-93F2-9E486860F6A0}"/>
    <cellStyle name="Comma 2 2 2 2 5 2 6" xfId="8894" xr:uid="{F44EEF7E-E3A3-44E3-865A-10B43172FB3B}"/>
    <cellStyle name="Comma 2 2 2 2 5 2 6 2" xfId="24014" xr:uid="{71C0ED70-3965-475D-B4AB-34DD60B8CE49}"/>
    <cellStyle name="Comma 2 2 2 2 5 2 6 2 2" xfId="54254" xr:uid="{C807D7C1-3784-4E75-A4E1-35E2B01B63CE}"/>
    <cellStyle name="Comma 2 2 2 2 5 2 6 3" xfId="39134" xr:uid="{7C275E30-E54D-4D71-A4C7-AF647A601E89}"/>
    <cellStyle name="Comma 2 2 2 2 5 2 7" xfId="10406" xr:uid="{0E43C779-8406-454F-B0F9-B3182F967327}"/>
    <cellStyle name="Comma 2 2 2 2 5 2 7 2" xfId="25526" xr:uid="{E9971B72-6552-4108-B024-01555DF36217}"/>
    <cellStyle name="Comma 2 2 2 2 5 2 7 2 2" xfId="55766" xr:uid="{F09DFDEF-3431-46EF-BC23-EC9C97D77D36}"/>
    <cellStyle name="Comma 2 2 2 2 5 2 7 3" xfId="40646" xr:uid="{66F75C70-7496-49C1-9CFE-662CB937808B}"/>
    <cellStyle name="Comma 2 2 2 2 5 2 8" xfId="16454" xr:uid="{23ECC157-3142-424A-9ECB-BFA70C5A8A8E}"/>
    <cellStyle name="Comma 2 2 2 2 5 2 8 2" xfId="46694" xr:uid="{86DB4E81-E38E-45C2-B9A3-80083A534D12}"/>
    <cellStyle name="Comma 2 2 2 2 5 2 9" xfId="31574" xr:uid="{3496DEF7-EE28-4E15-8B2C-33B55E5D742E}"/>
    <cellStyle name="Comma 2 2 2 2 5 3" xfId="2090" xr:uid="{DE6C5152-FC4E-4D13-9E98-725F1B2B7C20}"/>
    <cellStyle name="Comma 2 2 2 2 5 3 2" xfId="11162" xr:uid="{6AE03ECD-C194-4315-BF81-6B29CF549D11}"/>
    <cellStyle name="Comma 2 2 2 2 5 3 2 2" xfId="26282" xr:uid="{A8079E4F-CF3A-4BE2-85F5-BBA93A34E1BC}"/>
    <cellStyle name="Comma 2 2 2 2 5 3 2 2 2" xfId="56522" xr:uid="{DBDC54D8-0317-4082-8E6F-D5466FD8BF97}"/>
    <cellStyle name="Comma 2 2 2 2 5 3 2 3" xfId="41402" xr:uid="{E2AEE21E-E1BF-4128-A038-1F3947744F07}"/>
    <cellStyle name="Comma 2 2 2 2 5 3 3" xfId="17210" xr:uid="{2C7F2F84-4D5D-477D-A4D5-FC726BD418C8}"/>
    <cellStyle name="Comma 2 2 2 2 5 3 3 2" xfId="47450" xr:uid="{F5763545-269D-4478-9E9C-3C1CBEF834AB}"/>
    <cellStyle name="Comma 2 2 2 2 5 3 4" xfId="32330" xr:uid="{B5DD208B-9635-4C0B-A44D-9F4416273858}"/>
    <cellStyle name="Comma 2 2 2 2 5 4" xfId="3602" xr:uid="{E63D91B9-B864-4262-90D4-E6A691E6D393}"/>
    <cellStyle name="Comma 2 2 2 2 5 4 2" xfId="12674" xr:uid="{ECD943AF-7D6B-4CDB-A06A-F8AFA0881981}"/>
    <cellStyle name="Comma 2 2 2 2 5 4 2 2" xfId="27794" xr:uid="{F5F8E21B-B0D6-49C3-A077-7B5D3BBC879D}"/>
    <cellStyle name="Comma 2 2 2 2 5 4 2 2 2" xfId="58034" xr:uid="{E2F75C8F-6A8A-4BEE-9ED8-276C3B5AA23C}"/>
    <cellStyle name="Comma 2 2 2 2 5 4 2 3" xfId="42914" xr:uid="{33433494-D754-46E4-9525-EF64E7D8AD96}"/>
    <cellStyle name="Comma 2 2 2 2 5 4 3" xfId="18722" xr:uid="{53F19C0D-6BA3-46DE-B8BC-980B5E5131AC}"/>
    <cellStyle name="Comma 2 2 2 2 5 4 3 2" xfId="48962" xr:uid="{407A58B1-CF39-49E7-84D2-A5F5C119C166}"/>
    <cellStyle name="Comma 2 2 2 2 5 4 4" xfId="33842" xr:uid="{E3745E81-8A7D-431D-BE51-793BA100B5C0}"/>
    <cellStyle name="Comma 2 2 2 2 5 5" xfId="5114" xr:uid="{61FBA58B-2D45-40D0-829B-CAA19565355B}"/>
    <cellStyle name="Comma 2 2 2 2 5 5 2" xfId="14186" xr:uid="{25F6E485-0F64-4469-A9EE-9E9D5AE044F3}"/>
    <cellStyle name="Comma 2 2 2 2 5 5 2 2" xfId="29306" xr:uid="{B6F31575-9736-414E-B7B4-49AEF53E1309}"/>
    <cellStyle name="Comma 2 2 2 2 5 5 2 2 2" xfId="59546" xr:uid="{FFC74591-81FA-49AA-9528-31BBCD18BEEA}"/>
    <cellStyle name="Comma 2 2 2 2 5 5 2 3" xfId="44426" xr:uid="{0BEECDF8-6DDB-407D-A205-A69170D623A6}"/>
    <cellStyle name="Comma 2 2 2 2 5 5 3" xfId="20234" xr:uid="{233F4F6C-62BF-4519-93CC-72B285332AD1}"/>
    <cellStyle name="Comma 2 2 2 2 5 5 3 2" xfId="50474" xr:uid="{2DE53B37-6112-4556-ACD3-DC21CAAA0BDD}"/>
    <cellStyle name="Comma 2 2 2 2 5 5 4" xfId="35354" xr:uid="{D8AEEC95-ACD1-48D2-86AD-AE621C753E08}"/>
    <cellStyle name="Comma 2 2 2 2 5 6" xfId="6626" xr:uid="{3B7DA1D9-8632-4018-B536-B5CB9F1F8DFD}"/>
    <cellStyle name="Comma 2 2 2 2 5 6 2" xfId="21746" xr:uid="{BFC3F375-BD0B-4E3E-80EB-4662491C934A}"/>
    <cellStyle name="Comma 2 2 2 2 5 6 2 2" xfId="51986" xr:uid="{1FB47ACB-3FB6-4A92-AB20-80A8D875535A}"/>
    <cellStyle name="Comma 2 2 2 2 5 6 3" xfId="36866" xr:uid="{EB8033F2-ECCF-48E3-98E7-EE501CE64148}"/>
    <cellStyle name="Comma 2 2 2 2 5 7" xfId="8138" xr:uid="{221C2361-887D-4C6C-A092-FBC47FCB34C1}"/>
    <cellStyle name="Comma 2 2 2 2 5 7 2" xfId="23258" xr:uid="{40A01B18-C38B-4A04-BF8E-619D453203DD}"/>
    <cellStyle name="Comma 2 2 2 2 5 7 2 2" xfId="53498" xr:uid="{F51D5471-FDD7-419B-A04A-0FAA3B674480}"/>
    <cellStyle name="Comma 2 2 2 2 5 7 3" xfId="38378" xr:uid="{E3FC989D-954C-4113-ACE1-0B31E7C27D53}"/>
    <cellStyle name="Comma 2 2 2 2 5 8" xfId="9650" xr:uid="{F292B1E9-EFB0-473A-B89E-79920EE002F8}"/>
    <cellStyle name="Comma 2 2 2 2 5 8 2" xfId="24770" xr:uid="{060342B2-8C85-46AB-B717-3A8625F389E1}"/>
    <cellStyle name="Comma 2 2 2 2 5 8 2 2" xfId="55010" xr:uid="{FA1A0AF1-D427-42CD-A69D-D73E5B5B9D4D}"/>
    <cellStyle name="Comma 2 2 2 2 5 8 3" xfId="39890" xr:uid="{E4E71B82-A2AA-4D9C-B17D-FAB21EB2CD8D}"/>
    <cellStyle name="Comma 2 2 2 2 5 9" xfId="15698" xr:uid="{490DDC8D-7630-435D-B9B5-68717E1CD1BD}"/>
    <cellStyle name="Comma 2 2 2 2 5 9 2" xfId="45938" xr:uid="{5ECF0A4B-FE26-458F-A448-14C8A2B66330}"/>
    <cellStyle name="Comma 2 2 2 2 6" xfId="830" xr:uid="{A741CF90-E5EA-4A4B-8260-CF171DD4F2C4}"/>
    <cellStyle name="Comma 2 2 2 2 6 2" xfId="2342" xr:uid="{35AA81ED-B29E-4574-9CE8-647EFC06D157}"/>
    <cellStyle name="Comma 2 2 2 2 6 2 2" xfId="11414" xr:uid="{AF934C79-1F96-4693-9B54-9E2B2ACEC76C}"/>
    <cellStyle name="Comma 2 2 2 2 6 2 2 2" xfId="26534" xr:uid="{D7A67095-7D5F-4222-A7D5-696DD6CF4E08}"/>
    <cellStyle name="Comma 2 2 2 2 6 2 2 2 2" xfId="56774" xr:uid="{3ECD5982-57F4-4F35-8FA5-BDBA4D231617}"/>
    <cellStyle name="Comma 2 2 2 2 6 2 2 3" xfId="41654" xr:uid="{7597A003-1F45-4D58-908B-008A77F112DC}"/>
    <cellStyle name="Comma 2 2 2 2 6 2 3" xfId="17462" xr:uid="{3D16851E-94D1-452B-B17A-F9AF5BB5BF75}"/>
    <cellStyle name="Comma 2 2 2 2 6 2 3 2" xfId="47702" xr:uid="{BAF0035C-2938-4341-81AE-CE4A04E058F1}"/>
    <cellStyle name="Comma 2 2 2 2 6 2 4" xfId="32582" xr:uid="{D72A5ECA-B097-4952-A86C-879E49B4CBB6}"/>
    <cellStyle name="Comma 2 2 2 2 6 3" xfId="3854" xr:uid="{C1CA292A-1BB7-415D-9C31-291B36D7C7CB}"/>
    <cellStyle name="Comma 2 2 2 2 6 3 2" xfId="12926" xr:uid="{3AE07CE7-1376-4576-8B8E-7D201E993147}"/>
    <cellStyle name="Comma 2 2 2 2 6 3 2 2" xfId="28046" xr:uid="{1CDFFCC5-9CFB-4FA7-9E7D-CD249F374F10}"/>
    <cellStyle name="Comma 2 2 2 2 6 3 2 2 2" xfId="58286" xr:uid="{38EDA4D3-F3AF-4694-942D-05F51E85BFC9}"/>
    <cellStyle name="Comma 2 2 2 2 6 3 2 3" xfId="43166" xr:uid="{28FD524C-281B-4741-86C1-13EAD76C8388}"/>
    <cellStyle name="Comma 2 2 2 2 6 3 3" xfId="18974" xr:uid="{31358DDF-F815-4650-97E6-810544CA3ACB}"/>
    <cellStyle name="Comma 2 2 2 2 6 3 3 2" xfId="49214" xr:uid="{60698467-14DC-4572-88C4-6E0975089F01}"/>
    <cellStyle name="Comma 2 2 2 2 6 3 4" xfId="34094" xr:uid="{28F028D6-FDC2-47ED-8B2E-622CACCA5D76}"/>
    <cellStyle name="Comma 2 2 2 2 6 4" xfId="5366" xr:uid="{55B994CF-41F5-40DD-B9F5-20B036814D6C}"/>
    <cellStyle name="Comma 2 2 2 2 6 4 2" xfId="14438" xr:uid="{928C6955-81B4-4B50-90C4-71FA8E848A31}"/>
    <cellStyle name="Comma 2 2 2 2 6 4 2 2" xfId="29558" xr:uid="{6B2D9C14-98C5-4CB9-BE2C-12C026B8BA99}"/>
    <cellStyle name="Comma 2 2 2 2 6 4 2 2 2" xfId="59798" xr:uid="{8DCF31B0-6173-4A2E-BDE5-B54E3688B872}"/>
    <cellStyle name="Comma 2 2 2 2 6 4 2 3" xfId="44678" xr:uid="{06280F02-5C5A-47EC-983B-B42C35589094}"/>
    <cellStyle name="Comma 2 2 2 2 6 4 3" xfId="20486" xr:uid="{DFD25733-FCDD-455D-A6D7-7A9E01909C1B}"/>
    <cellStyle name="Comma 2 2 2 2 6 4 3 2" xfId="50726" xr:uid="{A4E58E22-21B6-4AB5-8CAC-1100B14833AA}"/>
    <cellStyle name="Comma 2 2 2 2 6 4 4" xfId="35606" xr:uid="{F1DFDE73-1088-45A6-BEF1-171603E505C4}"/>
    <cellStyle name="Comma 2 2 2 2 6 5" xfId="6878" xr:uid="{C80F423C-E234-4F22-8F2E-42C41A7786EC}"/>
    <cellStyle name="Comma 2 2 2 2 6 5 2" xfId="21998" xr:uid="{39549C3D-5EC5-464E-AB56-E44ED28D8468}"/>
    <cellStyle name="Comma 2 2 2 2 6 5 2 2" xfId="52238" xr:uid="{51508548-C4DC-4779-B462-974CA56D76E7}"/>
    <cellStyle name="Comma 2 2 2 2 6 5 3" xfId="37118" xr:uid="{38D8053E-9D86-484F-B392-4174783EC141}"/>
    <cellStyle name="Comma 2 2 2 2 6 6" xfId="8390" xr:uid="{58EF7EBD-AE63-4945-A6B9-2E76754361B3}"/>
    <cellStyle name="Comma 2 2 2 2 6 6 2" xfId="23510" xr:uid="{0FFC9E52-C567-4A48-A15A-AE3D7D63E7AC}"/>
    <cellStyle name="Comma 2 2 2 2 6 6 2 2" xfId="53750" xr:uid="{0164D7EA-D5DB-4D9D-9FFE-B44EEB498DC9}"/>
    <cellStyle name="Comma 2 2 2 2 6 6 3" xfId="38630" xr:uid="{572C6670-F41E-479B-AA19-331632C82D3E}"/>
    <cellStyle name="Comma 2 2 2 2 6 7" xfId="9902" xr:uid="{D10D4BCE-272A-4DAF-85EE-B63589064247}"/>
    <cellStyle name="Comma 2 2 2 2 6 7 2" xfId="25022" xr:uid="{39BFC4EA-9341-46B8-B3E6-B4D75DE1BC7D}"/>
    <cellStyle name="Comma 2 2 2 2 6 7 2 2" xfId="55262" xr:uid="{03B8C8A1-79CF-4477-9B92-4957E5085D8D}"/>
    <cellStyle name="Comma 2 2 2 2 6 7 3" xfId="40142" xr:uid="{EEC8C620-6F7D-433B-978A-3FBDAA611806}"/>
    <cellStyle name="Comma 2 2 2 2 6 8" xfId="15950" xr:uid="{6E1D58CF-A6A9-40AA-9772-A8097B4FCAE4}"/>
    <cellStyle name="Comma 2 2 2 2 6 8 2" xfId="46190" xr:uid="{CC6E9FDD-63F4-4D96-B697-DA4FC0793101}"/>
    <cellStyle name="Comma 2 2 2 2 6 9" xfId="31070" xr:uid="{407A44F2-87F9-435B-9FA7-07715ED07D0C}"/>
    <cellStyle name="Comma 2 2 2 2 7" xfId="1586" xr:uid="{D1DB8138-5814-4792-924E-E6247ADB9F1A}"/>
    <cellStyle name="Comma 2 2 2 2 7 2" xfId="10658" xr:uid="{BF7FBE82-8EC9-4770-9D6F-2F8908FE19DD}"/>
    <cellStyle name="Comma 2 2 2 2 7 2 2" xfId="25778" xr:uid="{CCB5EFA3-B5A8-4850-A3EE-ACD600E6AFA4}"/>
    <cellStyle name="Comma 2 2 2 2 7 2 2 2" xfId="56018" xr:uid="{0B192B36-BE88-4221-960D-466DC4DCB366}"/>
    <cellStyle name="Comma 2 2 2 2 7 2 3" xfId="40898" xr:uid="{0B2B90A7-96C1-4EBA-8765-14D8762D7849}"/>
    <cellStyle name="Comma 2 2 2 2 7 3" xfId="16706" xr:uid="{1F28DEF2-CB7C-46EF-85D6-3B99A67C0BBB}"/>
    <cellStyle name="Comma 2 2 2 2 7 3 2" xfId="46946" xr:uid="{56CB2580-94F3-4FC5-9DB2-D189887BD9DF}"/>
    <cellStyle name="Comma 2 2 2 2 7 4" xfId="31826" xr:uid="{8C6B1458-9FCC-4AAF-9E79-4819941DA023}"/>
    <cellStyle name="Comma 2 2 2 2 8" xfId="3098" xr:uid="{058B23AB-CDFB-4546-A4ED-871704612EB3}"/>
    <cellStyle name="Comma 2 2 2 2 8 2" xfId="12170" xr:uid="{3CC0F795-DD8C-45FB-84C1-BECCC07F5F33}"/>
    <cellStyle name="Comma 2 2 2 2 8 2 2" xfId="27290" xr:uid="{08CD5596-4C90-484F-B8FF-5931165126D4}"/>
    <cellStyle name="Comma 2 2 2 2 8 2 2 2" xfId="57530" xr:uid="{1D5CA8C3-291C-4E77-B9AF-1701CF4FAE06}"/>
    <cellStyle name="Comma 2 2 2 2 8 2 3" xfId="42410" xr:uid="{C584AB0E-CF4F-4532-80D5-3B699944F8BC}"/>
    <cellStyle name="Comma 2 2 2 2 8 3" xfId="18218" xr:uid="{5E49AABB-6299-49E9-9F4E-29ED56F2E602}"/>
    <cellStyle name="Comma 2 2 2 2 8 3 2" xfId="48458" xr:uid="{DB23C8AA-1815-4F35-B46B-775DAF34256B}"/>
    <cellStyle name="Comma 2 2 2 2 8 4" xfId="33338" xr:uid="{7C937759-2377-47CF-8F37-9108C6CB10D4}"/>
    <cellStyle name="Comma 2 2 2 2 9" xfId="4610" xr:uid="{81E678DE-36F2-4DFE-AC2B-4975F7CECFE3}"/>
    <cellStyle name="Comma 2 2 2 2 9 2" xfId="13682" xr:uid="{07B75C48-8871-43D0-B868-59309FFC7F7A}"/>
    <cellStyle name="Comma 2 2 2 2 9 2 2" xfId="28802" xr:uid="{E19AE9F8-C6C0-4389-A2C4-CBBA058BDE44}"/>
    <cellStyle name="Comma 2 2 2 2 9 2 2 2" xfId="59042" xr:uid="{7F8329E5-3D67-4441-B908-2965DC5DBF34}"/>
    <cellStyle name="Comma 2 2 2 2 9 2 3" xfId="43922" xr:uid="{221D6505-0211-4198-91C9-48E9BB3A34B6}"/>
    <cellStyle name="Comma 2 2 2 2 9 3" xfId="19730" xr:uid="{ABA9DF02-CF37-4E06-BBC5-18239A01F5E9}"/>
    <cellStyle name="Comma 2 2 2 2 9 3 2" xfId="49970" xr:uid="{C83C1696-06A9-475F-AB2B-C6301B7A87B1}"/>
    <cellStyle name="Comma 2 2 2 2 9 4" xfId="34850" xr:uid="{3407F051-DEEE-4F73-891A-44B5316810BF}"/>
    <cellStyle name="Comma 2 2 2 3" xfId="116" xr:uid="{55089725-A18D-476D-9ACA-84F747727D3B}"/>
    <cellStyle name="Comma 2 2 2 3 10" xfId="9188" xr:uid="{84496CBE-6A8A-48AF-B039-984B6D6638DF}"/>
    <cellStyle name="Comma 2 2 2 3 10 2" xfId="24308" xr:uid="{D6A4446A-7C31-4B2E-A704-B5DB65BCAC5F}"/>
    <cellStyle name="Comma 2 2 2 3 10 2 2" xfId="54548" xr:uid="{9AB622F8-72AB-4D58-AEBE-7568363C6275}"/>
    <cellStyle name="Comma 2 2 2 3 10 3" xfId="39428" xr:uid="{CD8D017B-8311-424E-B632-4C8CEDBF56A2}"/>
    <cellStyle name="Comma 2 2 2 3 11" xfId="15236" xr:uid="{30496F36-DF23-42AF-8410-3E60E097B967}"/>
    <cellStyle name="Comma 2 2 2 3 11 2" xfId="45476" xr:uid="{A463135E-0897-44D5-8FD6-F6B89A8E210B}"/>
    <cellStyle name="Comma 2 2 2 3 12" xfId="30356" xr:uid="{18ACC80D-D5EA-4D70-A17B-863D89261EAF}"/>
    <cellStyle name="Comma 2 2 2 3 2" xfId="368" xr:uid="{F7A84C4F-B679-4747-BC79-1DD22EEF90C2}"/>
    <cellStyle name="Comma 2 2 2 3 2 10" xfId="30608" xr:uid="{70778691-761D-43AD-B1DE-4A3A9C419FAD}"/>
    <cellStyle name="Comma 2 2 2 3 2 2" xfId="1124" xr:uid="{D9B8F5D4-0F2D-4118-88F2-F0A0F0729B28}"/>
    <cellStyle name="Comma 2 2 2 3 2 2 2" xfId="2636" xr:uid="{CBC65DB0-E5FB-471D-95B0-DABA524BBB6E}"/>
    <cellStyle name="Comma 2 2 2 3 2 2 2 2" xfId="11708" xr:uid="{8635CD39-6880-4FD8-A5F4-0EBF138C4A5F}"/>
    <cellStyle name="Comma 2 2 2 3 2 2 2 2 2" xfId="26828" xr:uid="{BF6534B9-BA94-4784-AFC2-A3007BFAF3DA}"/>
    <cellStyle name="Comma 2 2 2 3 2 2 2 2 2 2" xfId="57068" xr:uid="{B3742332-C48F-4726-A8DD-295CB0C844AC}"/>
    <cellStyle name="Comma 2 2 2 3 2 2 2 2 3" xfId="41948" xr:uid="{7C04223E-213D-4510-97A3-57A00E608BA6}"/>
    <cellStyle name="Comma 2 2 2 3 2 2 2 3" xfId="17756" xr:uid="{D09D9D53-F6F0-4DBC-880D-A36C19F04FE1}"/>
    <cellStyle name="Comma 2 2 2 3 2 2 2 3 2" xfId="47996" xr:uid="{4D42CA6B-827F-4DF4-A73B-57C619FEB2D7}"/>
    <cellStyle name="Comma 2 2 2 3 2 2 2 4" xfId="32876" xr:uid="{E690E27F-8206-4CAE-BE60-C6AB0AD6E717}"/>
    <cellStyle name="Comma 2 2 2 3 2 2 3" xfId="4148" xr:uid="{0B12630A-D86F-4F40-9FC0-D7EC5E98E8C8}"/>
    <cellStyle name="Comma 2 2 2 3 2 2 3 2" xfId="13220" xr:uid="{D076BEB9-FBA5-4F64-A01F-786095245E0B}"/>
    <cellStyle name="Comma 2 2 2 3 2 2 3 2 2" xfId="28340" xr:uid="{8EACB266-E392-49B3-B119-76E183B266A7}"/>
    <cellStyle name="Comma 2 2 2 3 2 2 3 2 2 2" xfId="58580" xr:uid="{327AC349-6D85-44A3-A4EB-E5F220ABD841}"/>
    <cellStyle name="Comma 2 2 2 3 2 2 3 2 3" xfId="43460" xr:uid="{9F0DEF09-9FF9-4C26-AB92-0C0B69AFB9ED}"/>
    <cellStyle name="Comma 2 2 2 3 2 2 3 3" xfId="19268" xr:uid="{0D0C5D49-1756-4FB1-84C4-33D33068E4EC}"/>
    <cellStyle name="Comma 2 2 2 3 2 2 3 3 2" xfId="49508" xr:uid="{7D443B9B-98F4-4928-B15D-9E039E35FF2D}"/>
    <cellStyle name="Comma 2 2 2 3 2 2 3 4" xfId="34388" xr:uid="{B5D2B3CD-4B93-4EB8-B9B9-2BF0D6FB68CA}"/>
    <cellStyle name="Comma 2 2 2 3 2 2 4" xfId="5660" xr:uid="{05D39904-961B-4332-93CD-558EF7BCD65F}"/>
    <cellStyle name="Comma 2 2 2 3 2 2 4 2" xfId="14732" xr:uid="{300B702E-61D8-4E12-98E3-4C305D96C2C6}"/>
    <cellStyle name="Comma 2 2 2 3 2 2 4 2 2" xfId="29852" xr:uid="{0523ECE6-CB62-4EC3-8029-7D9A413CF28C}"/>
    <cellStyle name="Comma 2 2 2 3 2 2 4 2 2 2" xfId="60092" xr:uid="{66AEC01B-C084-4E86-9495-31133343ADCD}"/>
    <cellStyle name="Comma 2 2 2 3 2 2 4 2 3" xfId="44972" xr:uid="{C68680EA-5C04-486A-9CEF-D23880884E68}"/>
    <cellStyle name="Comma 2 2 2 3 2 2 4 3" xfId="20780" xr:uid="{DFAB3E87-29EB-4A83-9E74-4EA668B0319E}"/>
    <cellStyle name="Comma 2 2 2 3 2 2 4 3 2" xfId="51020" xr:uid="{F37586E2-8206-4678-959F-813B8E750F5B}"/>
    <cellStyle name="Comma 2 2 2 3 2 2 4 4" xfId="35900" xr:uid="{9F65EB68-BA53-4BE9-92F7-8A9AFF1CB043}"/>
    <cellStyle name="Comma 2 2 2 3 2 2 5" xfId="7172" xr:uid="{2E60EDA1-D798-4F4E-BD9D-728D1566B931}"/>
    <cellStyle name="Comma 2 2 2 3 2 2 5 2" xfId="22292" xr:uid="{42898C58-C740-455E-AE21-9D55CDCBE63E}"/>
    <cellStyle name="Comma 2 2 2 3 2 2 5 2 2" xfId="52532" xr:uid="{9CF1558C-2038-45E1-8449-1B0CC0AE6642}"/>
    <cellStyle name="Comma 2 2 2 3 2 2 5 3" xfId="37412" xr:uid="{F66A2147-C35D-4248-9061-9E4DE3EF6907}"/>
    <cellStyle name="Comma 2 2 2 3 2 2 6" xfId="8684" xr:uid="{E3906280-B4D0-446A-ACA8-7F28AB206A90}"/>
    <cellStyle name="Comma 2 2 2 3 2 2 6 2" xfId="23804" xr:uid="{F437AB9B-E1A9-4D49-B95C-43A6A57A3C65}"/>
    <cellStyle name="Comma 2 2 2 3 2 2 6 2 2" xfId="54044" xr:uid="{FA4CCD20-AA05-4263-8952-C93B69853817}"/>
    <cellStyle name="Comma 2 2 2 3 2 2 6 3" xfId="38924" xr:uid="{77383C84-AA9D-4CB5-9A7D-16E3FE111120}"/>
    <cellStyle name="Comma 2 2 2 3 2 2 7" xfId="10196" xr:uid="{1F2970B2-AD9F-49D7-98EC-6387F2358E75}"/>
    <cellStyle name="Comma 2 2 2 3 2 2 7 2" xfId="25316" xr:uid="{62D9BA1D-FA54-40BA-AD24-637D89EBDDD2}"/>
    <cellStyle name="Comma 2 2 2 3 2 2 7 2 2" xfId="55556" xr:uid="{331200F3-A967-4A1F-BFAA-3094B39C58C3}"/>
    <cellStyle name="Comma 2 2 2 3 2 2 7 3" xfId="40436" xr:uid="{8F254D71-FD5A-4BCA-A43A-4FCAF03607E8}"/>
    <cellStyle name="Comma 2 2 2 3 2 2 8" xfId="16244" xr:uid="{105BAA4C-9540-4B4C-BC0F-F37048F048C3}"/>
    <cellStyle name="Comma 2 2 2 3 2 2 8 2" xfId="46484" xr:uid="{3388FA35-78CB-4A47-8B4B-04FFC427769F}"/>
    <cellStyle name="Comma 2 2 2 3 2 2 9" xfId="31364" xr:uid="{4816F8E3-53F4-4EC8-A367-61BDE6853F7C}"/>
    <cellStyle name="Comma 2 2 2 3 2 3" xfId="1880" xr:uid="{1FE399E6-00B8-4271-8939-8863CF5074A7}"/>
    <cellStyle name="Comma 2 2 2 3 2 3 2" xfId="10952" xr:uid="{D368D296-1F0F-439E-8206-EF1C2B7CEFAF}"/>
    <cellStyle name="Comma 2 2 2 3 2 3 2 2" xfId="26072" xr:uid="{F80B76C8-0A19-45B6-BEF7-CAFD357A8275}"/>
    <cellStyle name="Comma 2 2 2 3 2 3 2 2 2" xfId="56312" xr:uid="{791882DD-9D19-420A-A3E7-FE4210192079}"/>
    <cellStyle name="Comma 2 2 2 3 2 3 2 3" xfId="41192" xr:uid="{DDA6F6B5-609C-45D9-B850-7A77E1466DCE}"/>
    <cellStyle name="Comma 2 2 2 3 2 3 3" xfId="17000" xr:uid="{75B7C55B-BF67-4BCB-B55F-4A89DEF447F9}"/>
    <cellStyle name="Comma 2 2 2 3 2 3 3 2" xfId="47240" xr:uid="{4A5B4A22-0F7C-48FE-A83C-BAC6FF072B94}"/>
    <cellStyle name="Comma 2 2 2 3 2 3 4" xfId="32120" xr:uid="{69FC1BD0-6CCB-425B-BE64-C6AF58D2D2CF}"/>
    <cellStyle name="Comma 2 2 2 3 2 4" xfId="3392" xr:uid="{299B0D2C-576A-40CA-9D26-66A91E17F589}"/>
    <cellStyle name="Comma 2 2 2 3 2 4 2" xfId="12464" xr:uid="{EC07F8F9-F4A4-4E5F-9889-2B13E268D7E0}"/>
    <cellStyle name="Comma 2 2 2 3 2 4 2 2" xfId="27584" xr:uid="{11697A3E-327F-4656-A82C-87C63AD39538}"/>
    <cellStyle name="Comma 2 2 2 3 2 4 2 2 2" xfId="57824" xr:uid="{00F2025A-2014-482E-82AF-DBA144692805}"/>
    <cellStyle name="Comma 2 2 2 3 2 4 2 3" xfId="42704" xr:uid="{52AB5C2D-5605-4173-ABB1-8816C2445DB2}"/>
    <cellStyle name="Comma 2 2 2 3 2 4 3" xfId="18512" xr:uid="{03F56FBD-2880-4A24-8619-236353282E5C}"/>
    <cellStyle name="Comma 2 2 2 3 2 4 3 2" xfId="48752" xr:uid="{AC3BB1E4-E89A-488B-89E9-BC88918D69CA}"/>
    <cellStyle name="Comma 2 2 2 3 2 4 4" xfId="33632" xr:uid="{34EC4A95-C93C-48EF-A800-204E45B7FCF7}"/>
    <cellStyle name="Comma 2 2 2 3 2 5" xfId="4904" xr:uid="{99FBD840-C40C-4454-85C3-0AA7930082F6}"/>
    <cellStyle name="Comma 2 2 2 3 2 5 2" xfId="13976" xr:uid="{CABBE6B1-E0D1-442B-8775-4A521A4BA97E}"/>
    <cellStyle name="Comma 2 2 2 3 2 5 2 2" xfId="29096" xr:uid="{E4710F6D-3834-4F3B-8849-4EF5083EE9FB}"/>
    <cellStyle name="Comma 2 2 2 3 2 5 2 2 2" xfId="59336" xr:uid="{137429DA-96E5-4F92-B961-B282AAB4D549}"/>
    <cellStyle name="Comma 2 2 2 3 2 5 2 3" xfId="44216" xr:uid="{02C84F98-BA75-4FC8-BBCE-617E025FA60C}"/>
    <cellStyle name="Comma 2 2 2 3 2 5 3" xfId="20024" xr:uid="{48E03DF1-8000-48EA-B109-B009B282BDEB}"/>
    <cellStyle name="Comma 2 2 2 3 2 5 3 2" xfId="50264" xr:uid="{87F1DF24-22ED-401E-9912-1B2002AD44A7}"/>
    <cellStyle name="Comma 2 2 2 3 2 5 4" xfId="35144" xr:uid="{FDAE345D-BD30-4A79-A5A0-2D0B29A053CC}"/>
    <cellStyle name="Comma 2 2 2 3 2 6" xfId="6416" xr:uid="{B136523F-7CF0-4B6F-A3A4-C8BC75B4E387}"/>
    <cellStyle name="Comma 2 2 2 3 2 6 2" xfId="21536" xr:uid="{191F823A-54CB-430E-B627-D204C4636668}"/>
    <cellStyle name="Comma 2 2 2 3 2 6 2 2" xfId="51776" xr:uid="{14FD7DAD-D971-4521-97C3-D742F8D2D59E}"/>
    <cellStyle name="Comma 2 2 2 3 2 6 3" xfId="36656" xr:uid="{831F522E-F43B-4F2A-897B-F8F45CC985EF}"/>
    <cellStyle name="Comma 2 2 2 3 2 7" xfId="7928" xr:uid="{AA9A4F07-D2C8-4365-BD45-AD8409AA7A07}"/>
    <cellStyle name="Comma 2 2 2 3 2 7 2" xfId="23048" xr:uid="{CFF79DE2-C0E6-4FD4-BA75-1FE664BE3B04}"/>
    <cellStyle name="Comma 2 2 2 3 2 7 2 2" xfId="53288" xr:uid="{D4C2F4C5-EB8B-40AD-B634-917131C15EFC}"/>
    <cellStyle name="Comma 2 2 2 3 2 7 3" xfId="38168" xr:uid="{D4C738FF-AA33-42B9-90CB-26D73D60AB01}"/>
    <cellStyle name="Comma 2 2 2 3 2 8" xfId="9440" xr:uid="{40848CC8-7B0B-43CA-A2B2-F701014D6809}"/>
    <cellStyle name="Comma 2 2 2 3 2 8 2" xfId="24560" xr:uid="{0F0D2DCF-0CCC-4DB0-B0D6-DB0599AD4435}"/>
    <cellStyle name="Comma 2 2 2 3 2 8 2 2" xfId="54800" xr:uid="{E6ACE4DD-1441-4669-9C14-0634C56146ED}"/>
    <cellStyle name="Comma 2 2 2 3 2 8 3" xfId="39680" xr:uid="{DF61AD9F-06BB-42CD-9D32-E414A3966CF2}"/>
    <cellStyle name="Comma 2 2 2 3 2 9" xfId="15488" xr:uid="{5DE9E47F-625B-4BEB-A442-4E11E12F3D51}"/>
    <cellStyle name="Comma 2 2 2 3 2 9 2" xfId="45728" xr:uid="{61EB113C-3BB8-41E3-99D8-7FB0B32D5A36}"/>
    <cellStyle name="Comma 2 2 2 3 3" xfId="620" xr:uid="{8CC849CA-D4EC-498B-9FE1-A6564A04C6B2}"/>
    <cellStyle name="Comma 2 2 2 3 3 10" xfId="30860" xr:uid="{42FC6929-413A-430D-82D4-099CA855F9FB}"/>
    <cellStyle name="Comma 2 2 2 3 3 2" xfId="1376" xr:uid="{0CA46EED-2DB1-4E3C-BA7C-B6AB505A5371}"/>
    <cellStyle name="Comma 2 2 2 3 3 2 2" xfId="2888" xr:uid="{0CDF6043-40AB-468C-BFB0-CBC940F07FBC}"/>
    <cellStyle name="Comma 2 2 2 3 3 2 2 2" xfId="11960" xr:uid="{AE4F4084-C39F-44E5-AF66-E8C3049F2D5A}"/>
    <cellStyle name="Comma 2 2 2 3 3 2 2 2 2" xfId="27080" xr:uid="{99F0C174-6F2D-42D2-B8F1-C507838857A4}"/>
    <cellStyle name="Comma 2 2 2 3 3 2 2 2 2 2" xfId="57320" xr:uid="{D2C48F7F-F799-45FF-A343-D7CD9A0CEA77}"/>
    <cellStyle name="Comma 2 2 2 3 3 2 2 2 3" xfId="42200" xr:uid="{E703F1D2-AF55-4340-8320-E1B970DAAF18}"/>
    <cellStyle name="Comma 2 2 2 3 3 2 2 3" xfId="18008" xr:uid="{21C8AC44-83DF-4A42-970B-D8EBC273F7C3}"/>
    <cellStyle name="Comma 2 2 2 3 3 2 2 3 2" xfId="48248" xr:uid="{B0987373-D6B2-4E90-97FF-7A4EBFDF485E}"/>
    <cellStyle name="Comma 2 2 2 3 3 2 2 4" xfId="33128" xr:uid="{DB713EC1-E2E8-47A4-98B3-B38DBE1935FF}"/>
    <cellStyle name="Comma 2 2 2 3 3 2 3" xfId="4400" xr:uid="{BC0790B4-EC92-4588-AF79-C409A585394C}"/>
    <cellStyle name="Comma 2 2 2 3 3 2 3 2" xfId="13472" xr:uid="{76586870-4991-4F3A-B9F2-F878E956A107}"/>
    <cellStyle name="Comma 2 2 2 3 3 2 3 2 2" xfId="28592" xr:uid="{C57C69D6-CFC7-4E3C-B61A-9E737756DB44}"/>
    <cellStyle name="Comma 2 2 2 3 3 2 3 2 2 2" xfId="58832" xr:uid="{EC2F0636-10FF-42CB-879B-DFB9240EABFF}"/>
    <cellStyle name="Comma 2 2 2 3 3 2 3 2 3" xfId="43712" xr:uid="{09DAF11E-C104-49AA-A418-4A06A41070A9}"/>
    <cellStyle name="Comma 2 2 2 3 3 2 3 3" xfId="19520" xr:uid="{43C3163E-3755-4CAA-B94A-8C8A7758D739}"/>
    <cellStyle name="Comma 2 2 2 3 3 2 3 3 2" xfId="49760" xr:uid="{567E5441-09F3-446E-ABC8-F2252D3E2D27}"/>
    <cellStyle name="Comma 2 2 2 3 3 2 3 4" xfId="34640" xr:uid="{EB3F593F-D54A-4B1F-883B-C14DA7725596}"/>
    <cellStyle name="Comma 2 2 2 3 3 2 4" xfId="5912" xr:uid="{424B90D7-6C77-42EB-967F-3DD5571D0B2C}"/>
    <cellStyle name="Comma 2 2 2 3 3 2 4 2" xfId="14984" xr:uid="{7C9999AA-EC84-445B-A0F2-E8718C7AF989}"/>
    <cellStyle name="Comma 2 2 2 3 3 2 4 2 2" xfId="30104" xr:uid="{C14C8853-59C6-4BA3-AE5A-E8FE91EAB1B5}"/>
    <cellStyle name="Comma 2 2 2 3 3 2 4 2 2 2" xfId="60344" xr:uid="{EEDFF3B3-196A-4B89-9BF8-99D9B7BD1EC4}"/>
    <cellStyle name="Comma 2 2 2 3 3 2 4 2 3" xfId="45224" xr:uid="{FC47BEDF-51A3-41FC-ABEB-88DB4D6A3F80}"/>
    <cellStyle name="Comma 2 2 2 3 3 2 4 3" xfId="21032" xr:uid="{EFDDCB4C-844E-42F3-AB55-9C1D387B0E7C}"/>
    <cellStyle name="Comma 2 2 2 3 3 2 4 3 2" xfId="51272" xr:uid="{54B76AF4-F3F5-4DE2-9D34-AF15F6615025}"/>
    <cellStyle name="Comma 2 2 2 3 3 2 4 4" xfId="36152" xr:uid="{C02A5E3A-D2E3-4CB5-BD02-DFDFA9F02ED6}"/>
    <cellStyle name="Comma 2 2 2 3 3 2 5" xfId="7424" xr:uid="{D7208B67-ACFB-43F1-BC59-1A841218709C}"/>
    <cellStyle name="Comma 2 2 2 3 3 2 5 2" xfId="22544" xr:uid="{0FD24476-00D7-4A6B-A161-075F31F78AF6}"/>
    <cellStyle name="Comma 2 2 2 3 3 2 5 2 2" xfId="52784" xr:uid="{34392BD5-5C17-4CE8-8D82-52E327D61995}"/>
    <cellStyle name="Comma 2 2 2 3 3 2 5 3" xfId="37664" xr:uid="{034BB90E-49DB-4101-A580-7D9046DF2530}"/>
    <cellStyle name="Comma 2 2 2 3 3 2 6" xfId="8936" xr:uid="{CC0DBB5A-2B0A-4545-9592-132A5767CCB1}"/>
    <cellStyle name="Comma 2 2 2 3 3 2 6 2" xfId="24056" xr:uid="{144D2145-228C-4DF5-9578-F93A51EF140C}"/>
    <cellStyle name="Comma 2 2 2 3 3 2 6 2 2" xfId="54296" xr:uid="{BBC26F26-3B26-4F3C-AFC8-B415062267FC}"/>
    <cellStyle name="Comma 2 2 2 3 3 2 6 3" xfId="39176" xr:uid="{F4D0BA6B-D192-48DD-AA16-B865E626D647}"/>
    <cellStyle name="Comma 2 2 2 3 3 2 7" xfId="10448" xr:uid="{E8E8ED2B-8F11-4FAA-9E2A-82ABEC24797F}"/>
    <cellStyle name="Comma 2 2 2 3 3 2 7 2" xfId="25568" xr:uid="{53F5BDD8-FCCC-40C4-A5E0-A6C734B7EC9A}"/>
    <cellStyle name="Comma 2 2 2 3 3 2 7 2 2" xfId="55808" xr:uid="{A4D3A4E7-4EC0-4677-91F2-993F5CC1C6C1}"/>
    <cellStyle name="Comma 2 2 2 3 3 2 7 3" xfId="40688" xr:uid="{3BEB00B4-886C-4B51-8AE9-5B195185DCB5}"/>
    <cellStyle name="Comma 2 2 2 3 3 2 8" xfId="16496" xr:uid="{1F67259F-9EEF-4684-AF5B-A6717E8E486A}"/>
    <cellStyle name="Comma 2 2 2 3 3 2 8 2" xfId="46736" xr:uid="{9B40EE37-1473-4CB2-B4F4-68426CDE21BE}"/>
    <cellStyle name="Comma 2 2 2 3 3 2 9" xfId="31616" xr:uid="{36E4C488-F751-44DB-B3E9-105F09679B08}"/>
    <cellStyle name="Comma 2 2 2 3 3 3" xfId="2132" xr:uid="{6DB8F4DE-7B9B-4632-B121-7EE408D6BBC8}"/>
    <cellStyle name="Comma 2 2 2 3 3 3 2" xfId="11204" xr:uid="{69B4B7AD-4E2B-4E06-97BB-523A5E55617E}"/>
    <cellStyle name="Comma 2 2 2 3 3 3 2 2" xfId="26324" xr:uid="{87E0AEFA-69F8-4237-9CE4-80C7CECE6527}"/>
    <cellStyle name="Comma 2 2 2 3 3 3 2 2 2" xfId="56564" xr:uid="{C148EE5F-9C0E-4C81-873E-DA53F978C007}"/>
    <cellStyle name="Comma 2 2 2 3 3 3 2 3" xfId="41444" xr:uid="{438F20E8-C7A5-4C51-A2ED-AB6B3FD1C4E6}"/>
    <cellStyle name="Comma 2 2 2 3 3 3 3" xfId="17252" xr:uid="{5CEEDCE9-04F5-421F-8124-D32D9ADA3A23}"/>
    <cellStyle name="Comma 2 2 2 3 3 3 3 2" xfId="47492" xr:uid="{B075A24C-3DEE-4B69-AA03-A11646B76B7E}"/>
    <cellStyle name="Comma 2 2 2 3 3 3 4" xfId="32372" xr:uid="{10E8F191-2A63-4EE3-947D-96562FA012DD}"/>
    <cellStyle name="Comma 2 2 2 3 3 4" xfId="3644" xr:uid="{32B02A3D-C5C7-4DC7-93ED-2FA2577F54AE}"/>
    <cellStyle name="Comma 2 2 2 3 3 4 2" xfId="12716" xr:uid="{2831669F-AAB5-4620-86D7-A807F2BC62BF}"/>
    <cellStyle name="Comma 2 2 2 3 3 4 2 2" xfId="27836" xr:uid="{681ABD52-1351-49F1-9FAD-CE04F7159C8B}"/>
    <cellStyle name="Comma 2 2 2 3 3 4 2 2 2" xfId="58076" xr:uid="{325DF743-415F-47B5-B964-74F391B9967D}"/>
    <cellStyle name="Comma 2 2 2 3 3 4 2 3" xfId="42956" xr:uid="{F34B6956-05C1-4BEB-B7C4-70B5057422D4}"/>
    <cellStyle name="Comma 2 2 2 3 3 4 3" xfId="18764" xr:uid="{3D02C1EA-6321-41B9-8754-72B51C6A45F2}"/>
    <cellStyle name="Comma 2 2 2 3 3 4 3 2" xfId="49004" xr:uid="{884674ED-621C-4E5F-9D71-36E2293DE89C}"/>
    <cellStyle name="Comma 2 2 2 3 3 4 4" xfId="33884" xr:uid="{34AA76BC-BCF8-4485-A803-4384C85FC96E}"/>
    <cellStyle name="Comma 2 2 2 3 3 5" xfId="5156" xr:uid="{D64B2699-7419-4001-B7C3-FCBD2848C1CE}"/>
    <cellStyle name="Comma 2 2 2 3 3 5 2" xfId="14228" xr:uid="{547BE57A-B5A6-4DE5-AC6C-9DF09F7A86C6}"/>
    <cellStyle name="Comma 2 2 2 3 3 5 2 2" xfId="29348" xr:uid="{2E6A6B93-3934-43A0-B3B5-FF85EB4D653A}"/>
    <cellStyle name="Comma 2 2 2 3 3 5 2 2 2" xfId="59588" xr:uid="{B01915A6-0590-4FF5-821E-EC0E925A3438}"/>
    <cellStyle name="Comma 2 2 2 3 3 5 2 3" xfId="44468" xr:uid="{17116F13-6BC9-409E-A117-B257969EC01B}"/>
    <cellStyle name="Comma 2 2 2 3 3 5 3" xfId="20276" xr:uid="{47381679-DA8B-4735-9B58-2510B72A9195}"/>
    <cellStyle name="Comma 2 2 2 3 3 5 3 2" xfId="50516" xr:uid="{85D62CEB-0DA2-4D24-970F-DFD9DD6BFFE4}"/>
    <cellStyle name="Comma 2 2 2 3 3 5 4" xfId="35396" xr:uid="{859B22A5-9F52-484D-9D24-26772C7ED305}"/>
    <cellStyle name="Comma 2 2 2 3 3 6" xfId="6668" xr:uid="{1F6BCF79-5704-4FD4-8CDA-BD02AA0ED015}"/>
    <cellStyle name="Comma 2 2 2 3 3 6 2" xfId="21788" xr:uid="{8E39DCDA-E83B-4E24-A458-BCA93DF562BF}"/>
    <cellStyle name="Comma 2 2 2 3 3 6 2 2" xfId="52028" xr:uid="{9C3E227F-301D-4BFE-8907-2FE8E473BE94}"/>
    <cellStyle name="Comma 2 2 2 3 3 6 3" xfId="36908" xr:uid="{E23330E0-4481-4DE0-BCCE-3AADE11F9A09}"/>
    <cellStyle name="Comma 2 2 2 3 3 7" xfId="8180" xr:uid="{9BC6A938-53D6-40AA-A641-BBF6EBDBEFA7}"/>
    <cellStyle name="Comma 2 2 2 3 3 7 2" xfId="23300" xr:uid="{A4C6F5F3-6FCB-4D46-93F8-9F5AF55C7AFC}"/>
    <cellStyle name="Comma 2 2 2 3 3 7 2 2" xfId="53540" xr:uid="{2BE7D5FB-966B-40DC-BE77-F6E34E6EA2DF}"/>
    <cellStyle name="Comma 2 2 2 3 3 7 3" xfId="38420" xr:uid="{86FED734-1909-4CB7-AC70-4229C9ED4FA4}"/>
    <cellStyle name="Comma 2 2 2 3 3 8" xfId="9692" xr:uid="{B6A6B329-E6DF-4841-8C24-398C931B6758}"/>
    <cellStyle name="Comma 2 2 2 3 3 8 2" xfId="24812" xr:uid="{8353BCDE-226C-4FBF-BC71-4D48A9F0E9DD}"/>
    <cellStyle name="Comma 2 2 2 3 3 8 2 2" xfId="55052" xr:uid="{A4D87D16-C3BB-46F0-8E84-38959572463B}"/>
    <cellStyle name="Comma 2 2 2 3 3 8 3" xfId="39932" xr:uid="{81E793F0-8B3B-461C-99E0-F404311C0A29}"/>
    <cellStyle name="Comma 2 2 2 3 3 9" xfId="15740" xr:uid="{03E311D5-D399-440C-A753-B656E83ADA32}"/>
    <cellStyle name="Comma 2 2 2 3 3 9 2" xfId="45980" xr:uid="{6BB818EB-0A57-413E-B416-5E2B37A51CE1}"/>
    <cellStyle name="Comma 2 2 2 3 4" xfId="872" xr:uid="{8FD00BB7-4D27-4BEB-A7C0-DF9A1FA8A7BD}"/>
    <cellStyle name="Comma 2 2 2 3 4 2" xfId="2384" xr:uid="{78EEFE2F-89CE-4D15-9185-1DDF00F4FFF7}"/>
    <cellStyle name="Comma 2 2 2 3 4 2 2" xfId="11456" xr:uid="{F3E25862-923D-4DF0-86AD-55049C3D7D21}"/>
    <cellStyle name="Comma 2 2 2 3 4 2 2 2" xfId="26576" xr:uid="{34EEE90E-AE17-4B4F-B927-BF1BE66475EE}"/>
    <cellStyle name="Comma 2 2 2 3 4 2 2 2 2" xfId="56816" xr:uid="{35C7A551-D030-4C36-BA32-D1B4EDFD26E8}"/>
    <cellStyle name="Comma 2 2 2 3 4 2 2 3" xfId="41696" xr:uid="{9E6A4F12-69BB-40C5-A923-4EA66E241578}"/>
    <cellStyle name="Comma 2 2 2 3 4 2 3" xfId="17504" xr:uid="{DF3F644E-3FAE-4478-A870-A6111F7C2668}"/>
    <cellStyle name="Comma 2 2 2 3 4 2 3 2" xfId="47744" xr:uid="{62C8121C-DBA3-4CCE-86B5-5FA564452B5C}"/>
    <cellStyle name="Comma 2 2 2 3 4 2 4" xfId="32624" xr:uid="{E826217D-53ED-413D-9CCA-09BD9BBEE260}"/>
    <cellStyle name="Comma 2 2 2 3 4 3" xfId="3896" xr:uid="{8501F586-113D-434C-B126-43D871FD6086}"/>
    <cellStyle name="Comma 2 2 2 3 4 3 2" xfId="12968" xr:uid="{C8A03FCF-083F-498A-9112-FA13065762AF}"/>
    <cellStyle name="Comma 2 2 2 3 4 3 2 2" xfId="28088" xr:uid="{21CC5FEB-6433-4FA6-A740-30FD1694490F}"/>
    <cellStyle name="Comma 2 2 2 3 4 3 2 2 2" xfId="58328" xr:uid="{B2E32042-DD67-4213-A885-DB398D5DD597}"/>
    <cellStyle name="Comma 2 2 2 3 4 3 2 3" xfId="43208" xr:uid="{CE8F40BD-49F1-4A5F-A91D-C1889EE2EA86}"/>
    <cellStyle name="Comma 2 2 2 3 4 3 3" xfId="19016" xr:uid="{8950CBD5-4571-4769-8015-36472E34238B}"/>
    <cellStyle name="Comma 2 2 2 3 4 3 3 2" xfId="49256" xr:uid="{FDA48C04-3AA0-4227-A3EB-DD806D7757A0}"/>
    <cellStyle name="Comma 2 2 2 3 4 3 4" xfId="34136" xr:uid="{DC5410A6-63F4-4E8D-9A79-8951AAA97DDB}"/>
    <cellStyle name="Comma 2 2 2 3 4 4" xfId="5408" xr:uid="{76B20D53-9C77-473A-B8C5-8638346B88FC}"/>
    <cellStyle name="Comma 2 2 2 3 4 4 2" xfId="14480" xr:uid="{63806E9C-1853-449F-9263-E8555E23EFB5}"/>
    <cellStyle name="Comma 2 2 2 3 4 4 2 2" xfId="29600" xr:uid="{05685644-C3D8-4B65-8A70-F3C0CECD4E3F}"/>
    <cellStyle name="Comma 2 2 2 3 4 4 2 2 2" xfId="59840" xr:uid="{EFD3BC86-E5FB-4A47-949E-F06224705463}"/>
    <cellStyle name="Comma 2 2 2 3 4 4 2 3" xfId="44720" xr:uid="{70431775-6F3E-4F40-9311-A41363D769D9}"/>
    <cellStyle name="Comma 2 2 2 3 4 4 3" xfId="20528" xr:uid="{696D631F-2D9F-4236-8F81-1FA3CCE78BE4}"/>
    <cellStyle name="Comma 2 2 2 3 4 4 3 2" xfId="50768" xr:uid="{FB949F67-0F4C-40F3-A568-FE815F7CEA36}"/>
    <cellStyle name="Comma 2 2 2 3 4 4 4" xfId="35648" xr:uid="{2031C767-F198-432F-AF39-BC9A9AA70797}"/>
    <cellStyle name="Comma 2 2 2 3 4 5" xfId="6920" xr:uid="{BDE44EA0-4ED3-45E5-8A78-C0944FE00B25}"/>
    <cellStyle name="Comma 2 2 2 3 4 5 2" xfId="22040" xr:uid="{DB2E56A9-AA57-4DB6-8285-3D074475DAE2}"/>
    <cellStyle name="Comma 2 2 2 3 4 5 2 2" xfId="52280" xr:uid="{E5624544-C032-4836-AAB6-8E012023AC65}"/>
    <cellStyle name="Comma 2 2 2 3 4 5 3" xfId="37160" xr:uid="{5DE235AC-F8D6-470C-8945-DCC786E4B149}"/>
    <cellStyle name="Comma 2 2 2 3 4 6" xfId="8432" xr:uid="{21EA39F6-6724-403A-816F-5740EC85DCDD}"/>
    <cellStyle name="Comma 2 2 2 3 4 6 2" xfId="23552" xr:uid="{4FF6EF21-E190-4F5F-8346-B4FE7AEB922D}"/>
    <cellStyle name="Comma 2 2 2 3 4 6 2 2" xfId="53792" xr:uid="{E444A3D4-35DB-4E9B-B65B-1BF73A540CA7}"/>
    <cellStyle name="Comma 2 2 2 3 4 6 3" xfId="38672" xr:uid="{025E235F-5D19-4381-A44F-0FD7F606A205}"/>
    <cellStyle name="Comma 2 2 2 3 4 7" xfId="9944" xr:uid="{BCB510BB-9F03-4EC0-BF20-94A0EE400244}"/>
    <cellStyle name="Comma 2 2 2 3 4 7 2" xfId="25064" xr:uid="{3EC1E554-15F2-4E0F-B7C3-AAB3356C5829}"/>
    <cellStyle name="Comma 2 2 2 3 4 7 2 2" xfId="55304" xr:uid="{8DE18515-E8BC-415E-80C8-F54F0CEA3D3B}"/>
    <cellStyle name="Comma 2 2 2 3 4 7 3" xfId="40184" xr:uid="{732635F8-B59C-4750-A504-3D73569D94B8}"/>
    <cellStyle name="Comma 2 2 2 3 4 8" xfId="15992" xr:uid="{56E5C7AB-9C1D-4DAE-80A1-6D288C9E38EC}"/>
    <cellStyle name="Comma 2 2 2 3 4 8 2" xfId="46232" xr:uid="{28AF3368-9820-4441-98BA-99D828520C31}"/>
    <cellStyle name="Comma 2 2 2 3 4 9" xfId="31112" xr:uid="{999FA405-3282-43D0-B798-3107AE4AB3F5}"/>
    <cellStyle name="Comma 2 2 2 3 5" xfId="1628" xr:uid="{4FC7AADF-4614-4809-BB0B-1C98383DC351}"/>
    <cellStyle name="Comma 2 2 2 3 5 2" xfId="10700" xr:uid="{4F759A52-71A1-4E0E-A21F-69B70984EAE7}"/>
    <cellStyle name="Comma 2 2 2 3 5 2 2" xfId="25820" xr:uid="{DC6E8260-948C-4AA2-BCEA-1FE416351E81}"/>
    <cellStyle name="Comma 2 2 2 3 5 2 2 2" xfId="56060" xr:uid="{02131216-7109-49B0-8692-74E5EEB97A1E}"/>
    <cellStyle name="Comma 2 2 2 3 5 2 3" xfId="40940" xr:uid="{444EAA06-5F41-4215-AD2A-8D3BAC27871F}"/>
    <cellStyle name="Comma 2 2 2 3 5 3" xfId="16748" xr:uid="{8D1DB9F4-6311-47D3-8610-9AB598613F38}"/>
    <cellStyle name="Comma 2 2 2 3 5 3 2" xfId="46988" xr:uid="{1F5C7CD4-7B11-4C04-B2C2-E73794AB5F56}"/>
    <cellStyle name="Comma 2 2 2 3 5 4" xfId="31868" xr:uid="{0363142E-84F2-4105-B95E-03BECDBD8135}"/>
    <cellStyle name="Comma 2 2 2 3 6" xfId="3140" xr:uid="{203BC0C5-72B7-400B-9DBA-9DC76EBE5AED}"/>
    <cellStyle name="Comma 2 2 2 3 6 2" xfId="12212" xr:uid="{7E4B5281-09AF-4D61-826E-63BC59F7048B}"/>
    <cellStyle name="Comma 2 2 2 3 6 2 2" xfId="27332" xr:uid="{FC49FF33-3E76-4F12-9B0C-33CDD9E95EC4}"/>
    <cellStyle name="Comma 2 2 2 3 6 2 2 2" xfId="57572" xr:uid="{42F87944-3732-430E-80FF-5C50A0B1FB20}"/>
    <cellStyle name="Comma 2 2 2 3 6 2 3" xfId="42452" xr:uid="{7338E2E3-2839-40AE-B667-E238C04CF16F}"/>
    <cellStyle name="Comma 2 2 2 3 6 3" xfId="18260" xr:uid="{C910AD5D-77BE-4F83-B142-7950A767637C}"/>
    <cellStyle name="Comma 2 2 2 3 6 3 2" xfId="48500" xr:uid="{30F083AC-A1A3-44BE-AB59-C948EC685E9F}"/>
    <cellStyle name="Comma 2 2 2 3 6 4" xfId="33380" xr:uid="{66824535-9389-4090-9B0A-E36C6F195E54}"/>
    <cellStyle name="Comma 2 2 2 3 7" xfId="4652" xr:uid="{C86C2878-7A00-423D-A7C9-D634F8CE935E}"/>
    <cellStyle name="Comma 2 2 2 3 7 2" xfId="13724" xr:uid="{8930E33B-A334-4CF1-B765-22732E6995E9}"/>
    <cellStyle name="Comma 2 2 2 3 7 2 2" xfId="28844" xr:uid="{F772683B-C5C2-4FEF-BA85-1D003B520ABB}"/>
    <cellStyle name="Comma 2 2 2 3 7 2 2 2" xfId="59084" xr:uid="{7CAF20C4-615F-4DC7-95FE-CCBF50BDB480}"/>
    <cellStyle name="Comma 2 2 2 3 7 2 3" xfId="43964" xr:uid="{C2765191-0818-48E4-B6B5-E6F9A453EAB6}"/>
    <cellStyle name="Comma 2 2 2 3 7 3" xfId="19772" xr:uid="{04620BBE-D1A9-4879-8650-18B3BC155249}"/>
    <cellStyle name="Comma 2 2 2 3 7 3 2" xfId="50012" xr:uid="{D209C23D-FD7B-4EBA-9DB8-57AACED63FCF}"/>
    <cellStyle name="Comma 2 2 2 3 7 4" xfId="34892" xr:uid="{07424F53-B96B-44B6-8398-536D001547F3}"/>
    <cellStyle name="Comma 2 2 2 3 8" xfId="6164" xr:uid="{D9EF258F-A273-48CC-9335-BFB6404597E5}"/>
    <cellStyle name="Comma 2 2 2 3 8 2" xfId="21284" xr:uid="{23A8D616-4008-451B-88EC-73D6632F2A95}"/>
    <cellStyle name="Comma 2 2 2 3 8 2 2" xfId="51524" xr:uid="{47BEDCF8-F309-4917-8702-0A32CADBDDE7}"/>
    <cellStyle name="Comma 2 2 2 3 8 3" xfId="36404" xr:uid="{4F4F24F3-9159-4BEE-AAAA-82BCCB0CF8BC}"/>
    <cellStyle name="Comma 2 2 2 3 9" xfId="7676" xr:uid="{A242F64D-8583-4C11-BB79-B4244C5F12D0}"/>
    <cellStyle name="Comma 2 2 2 3 9 2" xfId="22796" xr:uid="{4A00DFDD-0653-4BF6-8768-BC1BBA3F6006}"/>
    <cellStyle name="Comma 2 2 2 3 9 2 2" xfId="53036" xr:uid="{39F7AEA5-40A8-4CCE-B7B9-D589B4983757}"/>
    <cellStyle name="Comma 2 2 2 3 9 3" xfId="37916" xr:uid="{7CBE76E0-1AB7-4FE3-A326-B5E71CE10D71}"/>
    <cellStyle name="Comma 2 2 2 4" xfId="200" xr:uid="{C10E9F16-8AFA-427A-88C4-9BB7455AAAC5}"/>
    <cellStyle name="Comma 2 2 2 4 10" xfId="9272" xr:uid="{86726926-1D27-4629-BE35-DF0FCA1AEDCB}"/>
    <cellStyle name="Comma 2 2 2 4 10 2" xfId="24392" xr:uid="{A9863072-192D-4BBD-AB95-F5B134A5D022}"/>
    <cellStyle name="Comma 2 2 2 4 10 2 2" xfId="54632" xr:uid="{2F1B596B-D3AE-49B9-858B-BD518ED6DC91}"/>
    <cellStyle name="Comma 2 2 2 4 10 3" xfId="39512" xr:uid="{F89A9748-4D11-4F50-B9D6-B01C4CD9C92E}"/>
    <cellStyle name="Comma 2 2 2 4 11" xfId="15320" xr:uid="{C9F472DC-C07E-4F3C-AFB3-7B12D9EAFF25}"/>
    <cellStyle name="Comma 2 2 2 4 11 2" xfId="45560" xr:uid="{4A5D4224-8FB4-468F-A511-4FBD7AE98A25}"/>
    <cellStyle name="Comma 2 2 2 4 12" xfId="30440" xr:uid="{AB4F483F-8D26-4C84-B308-C6A288A32514}"/>
    <cellStyle name="Comma 2 2 2 4 2" xfId="452" xr:uid="{FCA2839B-131B-4260-8B96-D17C4FA999EB}"/>
    <cellStyle name="Comma 2 2 2 4 2 10" xfId="30692" xr:uid="{9ADB00A0-A456-4311-BFFF-604E9C48BD33}"/>
    <cellStyle name="Comma 2 2 2 4 2 2" xfId="1208" xr:uid="{76D5C624-EE6B-4303-AE25-5A06E7AB3912}"/>
    <cellStyle name="Comma 2 2 2 4 2 2 2" xfId="2720" xr:uid="{F6A8AA81-A87E-4261-BDBE-B46AB4079495}"/>
    <cellStyle name="Comma 2 2 2 4 2 2 2 2" xfId="11792" xr:uid="{FDCA3D8A-72AD-4402-A89E-A20A23E18936}"/>
    <cellStyle name="Comma 2 2 2 4 2 2 2 2 2" xfId="26912" xr:uid="{0A56DB47-990E-47FA-BB65-AF1A0444B524}"/>
    <cellStyle name="Comma 2 2 2 4 2 2 2 2 2 2" xfId="57152" xr:uid="{D27D2C4A-B6F4-4509-8FAC-0476EA50AD6C}"/>
    <cellStyle name="Comma 2 2 2 4 2 2 2 2 3" xfId="42032" xr:uid="{12785587-8D69-483C-AF47-F9684E114D0E}"/>
    <cellStyle name="Comma 2 2 2 4 2 2 2 3" xfId="17840" xr:uid="{121D98A1-3F60-4DCF-8AE3-4564F7F06C57}"/>
    <cellStyle name="Comma 2 2 2 4 2 2 2 3 2" xfId="48080" xr:uid="{39CBC6EA-0E24-4DF9-A786-E6562964A8B0}"/>
    <cellStyle name="Comma 2 2 2 4 2 2 2 4" xfId="32960" xr:uid="{F4A699E6-C704-46F1-9F40-91065754BDB3}"/>
    <cellStyle name="Comma 2 2 2 4 2 2 3" xfId="4232" xr:uid="{BEDC2E4A-09E6-425E-ACA5-4CB23C4CD780}"/>
    <cellStyle name="Comma 2 2 2 4 2 2 3 2" xfId="13304" xr:uid="{3FDD3739-7E57-4956-8B5E-589B2797899E}"/>
    <cellStyle name="Comma 2 2 2 4 2 2 3 2 2" xfId="28424" xr:uid="{291E67A8-5A1A-462E-82DF-85DDE3165ACD}"/>
    <cellStyle name="Comma 2 2 2 4 2 2 3 2 2 2" xfId="58664" xr:uid="{C6DC1EAA-C8B7-4D3D-8B5B-B2833FAD87CE}"/>
    <cellStyle name="Comma 2 2 2 4 2 2 3 2 3" xfId="43544" xr:uid="{BFAC9E5F-81AE-4245-9AEA-7539C6E5F286}"/>
    <cellStyle name="Comma 2 2 2 4 2 2 3 3" xfId="19352" xr:uid="{502F1752-9077-4D7D-A5FD-47F6D2834DA8}"/>
    <cellStyle name="Comma 2 2 2 4 2 2 3 3 2" xfId="49592" xr:uid="{0297A900-05BE-4652-8DB2-CF7EC0A6D379}"/>
    <cellStyle name="Comma 2 2 2 4 2 2 3 4" xfId="34472" xr:uid="{132F62B0-F7BD-4AF3-B836-8A60A26CEA7A}"/>
    <cellStyle name="Comma 2 2 2 4 2 2 4" xfId="5744" xr:uid="{A8A4D318-ACBA-4D4A-894B-86056A5A3462}"/>
    <cellStyle name="Comma 2 2 2 4 2 2 4 2" xfId="14816" xr:uid="{7636A26D-0B89-4B64-A82A-B5F0AFD84073}"/>
    <cellStyle name="Comma 2 2 2 4 2 2 4 2 2" xfId="29936" xr:uid="{ED4ABDAF-2F1A-4238-8F2D-0C3928EBBC43}"/>
    <cellStyle name="Comma 2 2 2 4 2 2 4 2 2 2" xfId="60176" xr:uid="{41AEE669-34DB-4CAE-A221-08DA2B7F76F8}"/>
    <cellStyle name="Comma 2 2 2 4 2 2 4 2 3" xfId="45056" xr:uid="{CAC47470-351F-4CC6-98DD-151D8375C7C4}"/>
    <cellStyle name="Comma 2 2 2 4 2 2 4 3" xfId="20864" xr:uid="{32E7435F-46D3-4FEF-BA4A-248645A62113}"/>
    <cellStyle name="Comma 2 2 2 4 2 2 4 3 2" xfId="51104" xr:uid="{EED7F39F-909D-48EB-827F-9A3B8F4FD208}"/>
    <cellStyle name="Comma 2 2 2 4 2 2 4 4" xfId="35984" xr:uid="{991489D7-B09C-4368-922E-A034148DCA82}"/>
    <cellStyle name="Comma 2 2 2 4 2 2 5" xfId="7256" xr:uid="{D2B25C33-E163-4A7D-A936-7E2C29569B31}"/>
    <cellStyle name="Comma 2 2 2 4 2 2 5 2" xfId="22376" xr:uid="{C568C9D9-D03B-45C3-8BD9-03E0279E4BCB}"/>
    <cellStyle name="Comma 2 2 2 4 2 2 5 2 2" xfId="52616" xr:uid="{B624CE69-6B43-4024-9BF1-F3D7932E3C02}"/>
    <cellStyle name="Comma 2 2 2 4 2 2 5 3" xfId="37496" xr:uid="{EFC5C0A8-015E-4D0D-9060-D3618B6CD7C2}"/>
    <cellStyle name="Comma 2 2 2 4 2 2 6" xfId="8768" xr:uid="{EBA406BC-9953-4B5D-8821-89CE7ED470A5}"/>
    <cellStyle name="Comma 2 2 2 4 2 2 6 2" xfId="23888" xr:uid="{0ECA7440-9B17-4575-9D98-34466AE2116A}"/>
    <cellStyle name="Comma 2 2 2 4 2 2 6 2 2" xfId="54128" xr:uid="{30C58429-9616-4DCE-A4AC-13B8BDDFAC3D}"/>
    <cellStyle name="Comma 2 2 2 4 2 2 6 3" xfId="39008" xr:uid="{A22AF1C9-7DC6-45BF-9201-83329D32C686}"/>
    <cellStyle name="Comma 2 2 2 4 2 2 7" xfId="10280" xr:uid="{76330166-F080-404F-A1BD-31C60E1133B4}"/>
    <cellStyle name="Comma 2 2 2 4 2 2 7 2" xfId="25400" xr:uid="{2A3B5F65-03FB-4B63-8BC9-300510B41CAE}"/>
    <cellStyle name="Comma 2 2 2 4 2 2 7 2 2" xfId="55640" xr:uid="{B764285A-204A-4C67-9DB9-0B69309B88BA}"/>
    <cellStyle name="Comma 2 2 2 4 2 2 7 3" xfId="40520" xr:uid="{56BB9C56-B208-4A0E-A7CE-7C81ACFF3362}"/>
    <cellStyle name="Comma 2 2 2 4 2 2 8" xfId="16328" xr:uid="{D0CE8218-C4EA-4E34-9277-C62D702136BE}"/>
    <cellStyle name="Comma 2 2 2 4 2 2 8 2" xfId="46568" xr:uid="{94A579D6-3C88-4DF6-9E36-60D67DD2F37F}"/>
    <cellStyle name="Comma 2 2 2 4 2 2 9" xfId="31448" xr:uid="{A211E8B7-0163-4CDB-A79D-4EE702A49688}"/>
    <cellStyle name="Comma 2 2 2 4 2 3" xfId="1964" xr:uid="{7C6F9E5F-5B32-42FE-9326-EDB9AACC8A25}"/>
    <cellStyle name="Comma 2 2 2 4 2 3 2" xfId="11036" xr:uid="{A2FC5339-AEB8-43DC-AD79-ABAA87F50717}"/>
    <cellStyle name="Comma 2 2 2 4 2 3 2 2" xfId="26156" xr:uid="{14C0324F-3EB8-4A51-B7C6-FD6EA05D5762}"/>
    <cellStyle name="Comma 2 2 2 4 2 3 2 2 2" xfId="56396" xr:uid="{D7491EEC-F9D2-4ABD-A3C0-E4259211C559}"/>
    <cellStyle name="Comma 2 2 2 4 2 3 2 3" xfId="41276" xr:uid="{485632D1-EFDC-4F28-9E64-FD73EB113869}"/>
    <cellStyle name="Comma 2 2 2 4 2 3 3" xfId="17084" xr:uid="{DCEEF6E9-0C8F-4E10-B5E8-DBB6B1C12641}"/>
    <cellStyle name="Comma 2 2 2 4 2 3 3 2" xfId="47324" xr:uid="{ADAF5AE4-9AA4-4AF3-8364-81D26A8A08C9}"/>
    <cellStyle name="Comma 2 2 2 4 2 3 4" xfId="32204" xr:uid="{D60A8296-16F0-4F40-AAC8-E316B6BC74D6}"/>
    <cellStyle name="Comma 2 2 2 4 2 4" xfId="3476" xr:uid="{ACB2AC31-542C-449B-9BD6-2C6080B01039}"/>
    <cellStyle name="Comma 2 2 2 4 2 4 2" xfId="12548" xr:uid="{C5092949-0B05-4596-BFD1-F5170DC39782}"/>
    <cellStyle name="Comma 2 2 2 4 2 4 2 2" xfId="27668" xr:uid="{40149554-A923-4BCE-8A45-9C79A155B3D1}"/>
    <cellStyle name="Comma 2 2 2 4 2 4 2 2 2" xfId="57908" xr:uid="{A1B7F7A9-79A3-4840-8570-8A80FEC962DD}"/>
    <cellStyle name="Comma 2 2 2 4 2 4 2 3" xfId="42788" xr:uid="{6161D304-B527-4334-9F52-67E1193E41C5}"/>
    <cellStyle name="Comma 2 2 2 4 2 4 3" xfId="18596" xr:uid="{F2035371-8744-4A4E-A77A-7D9AEF70BD19}"/>
    <cellStyle name="Comma 2 2 2 4 2 4 3 2" xfId="48836" xr:uid="{42EAE4BC-B235-434F-8199-C3BCEE2CAF4B}"/>
    <cellStyle name="Comma 2 2 2 4 2 4 4" xfId="33716" xr:uid="{875806F5-0DA5-4FDE-9F37-EDFCF97032B1}"/>
    <cellStyle name="Comma 2 2 2 4 2 5" xfId="4988" xr:uid="{326E33DC-F404-489A-A49B-09E54A638DDA}"/>
    <cellStyle name="Comma 2 2 2 4 2 5 2" xfId="14060" xr:uid="{A2644619-AFDE-4D36-9F08-592419A5BE81}"/>
    <cellStyle name="Comma 2 2 2 4 2 5 2 2" xfId="29180" xr:uid="{D044B580-FD3D-414E-89B4-D01A5176B82F}"/>
    <cellStyle name="Comma 2 2 2 4 2 5 2 2 2" xfId="59420" xr:uid="{77C62E6B-5086-45DF-A0EB-7A38E895A02B}"/>
    <cellStyle name="Comma 2 2 2 4 2 5 2 3" xfId="44300" xr:uid="{BA7BD0D2-2A85-443B-988A-FA6F6941E7F9}"/>
    <cellStyle name="Comma 2 2 2 4 2 5 3" xfId="20108" xr:uid="{BC143F7F-EDE9-4423-959D-B302007DA4E0}"/>
    <cellStyle name="Comma 2 2 2 4 2 5 3 2" xfId="50348" xr:uid="{E77C85C6-6041-4164-9233-F18B9183CA79}"/>
    <cellStyle name="Comma 2 2 2 4 2 5 4" xfId="35228" xr:uid="{89A3B83A-4A68-4CC9-A4B4-F6988A5F8421}"/>
    <cellStyle name="Comma 2 2 2 4 2 6" xfId="6500" xr:uid="{938A5033-63E9-48F2-90A8-B969EBEA4EB3}"/>
    <cellStyle name="Comma 2 2 2 4 2 6 2" xfId="21620" xr:uid="{B7CC2D48-8387-4FEC-BD0B-74F1BF95035A}"/>
    <cellStyle name="Comma 2 2 2 4 2 6 2 2" xfId="51860" xr:uid="{2E2D6988-7E35-4D19-BB65-614448965D26}"/>
    <cellStyle name="Comma 2 2 2 4 2 6 3" xfId="36740" xr:uid="{E4260577-CCB6-4E0B-9666-9DD3584A50D9}"/>
    <cellStyle name="Comma 2 2 2 4 2 7" xfId="8012" xr:uid="{3BDC75DD-B460-4258-9608-A4A1AEB3F964}"/>
    <cellStyle name="Comma 2 2 2 4 2 7 2" xfId="23132" xr:uid="{E836DE40-7C97-4482-A3A6-01DB55455DD5}"/>
    <cellStyle name="Comma 2 2 2 4 2 7 2 2" xfId="53372" xr:uid="{696C2792-D2B0-4962-B8A0-848661B426CD}"/>
    <cellStyle name="Comma 2 2 2 4 2 7 3" xfId="38252" xr:uid="{638182A9-3A43-4384-889C-035397A1835B}"/>
    <cellStyle name="Comma 2 2 2 4 2 8" xfId="9524" xr:uid="{A90E4EBF-B128-4E54-9C65-3C8E894AD44B}"/>
    <cellStyle name="Comma 2 2 2 4 2 8 2" xfId="24644" xr:uid="{22B1A4E6-955A-4758-A271-7CED8ACF16DD}"/>
    <cellStyle name="Comma 2 2 2 4 2 8 2 2" xfId="54884" xr:uid="{E6C0CD54-473F-4CFF-8F7F-33628087695C}"/>
    <cellStyle name="Comma 2 2 2 4 2 8 3" xfId="39764" xr:uid="{3B1706B6-F3FC-4C44-A76D-C2A6761454AA}"/>
    <cellStyle name="Comma 2 2 2 4 2 9" xfId="15572" xr:uid="{B4944847-EFE4-4D63-9D8C-CC9C312976B7}"/>
    <cellStyle name="Comma 2 2 2 4 2 9 2" xfId="45812" xr:uid="{76F96850-C088-4E2B-818E-05F5C474D297}"/>
    <cellStyle name="Comma 2 2 2 4 3" xfId="704" xr:uid="{F2C73F57-4DB8-4AC2-819D-9133B8786270}"/>
    <cellStyle name="Comma 2 2 2 4 3 10" xfId="30944" xr:uid="{D51B28AB-58DE-431D-8C33-FDFEA1E2A79C}"/>
    <cellStyle name="Comma 2 2 2 4 3 2" xfId="1460" xr:uid="{7F47F95F-0F02-47C0-B5DF-79E3E721F447}"/>
    <cellStyle name="Comma 2 2 2 4 3 2 2" xfId="2972" xr:uid="{7CDED981-115D-4D27-8055-17EE9E406C15}"/>
    <cellStyle name="Comma 2 2 2 4 3 2 2 2" xfId="12044" xr:uid="{A4A4BF86-939A-4BA0-8CD3-DED668D46A72}"/>
    <cellStyle name="Comma 2 2 2 4 3 2 2 2 2" xfId="27164" xr:uid="{F4A0791D-530D-416C-80A8-C562E1018342}"/>
    <cellStyle name="Comma 2 2 2 4 3 2 2 2 2 2" xfId="57404" xr:uid="{39348032-14F6-4C26-B1CC-7979B882765E}"/>
    <cellStyle name="Comma 2 2 2 4 3 2 2 2 3" xfId="42284" xr:uid="{8DC6B6A9-C78E-496B-B3E0-701F0035E63C}"/>
    <cellStyle name="Comma 2 2 2 4 3 2 2 3" xfId="18092" xr:uid="{C69BA2D7-DD24-4922-918A-8055237FC005}"/>
    <cellStyle name="Comma 2 2 2 4 3 2 2 3 2" xfId="48332" xr:uid="{11583D84-4F38-47D4-8B92-44FCECE9CE88}"/>
    <cellStyle name="Comma 2 2 2 4 3 2 2 4" xfId="33212" xr:uid="{F0BD17D0-FE69-4D0B-8E55-BCC3DCCAEA49}"/>
    <cellStyle name="Comma 2 2 2 4 3 2 3" xfId="4484" xr:uid="{407AABA9-AD78-43D6-B8C8-165D9A4FCA2D}"/>
    <cellStyle name="Comma 2 2 2 4 3 2 3 2" xfId="13556" xr:uid="{27F4BE8E-2FE8-4C2B-ACC3-CF8A294F7040}"/>
    <cellStyle name="Comma 2 2 2 4 3 2 3 2 2" xfId="28676" xr:uid="{D32F9120-A3E9-4CCA-A170-25444D2875AE}"/>
    <cellStyle name="Comma 2 2 2 4 3 2 3 2 2 2" xfId="58916" xr:uid="{17DBCA81-1DF3-4A84-9A7E-F55A8BAF46E3}"/>
    <cellStyle name="Comma 2 2 2 4 3 2 3 2 3" xfId="43796" xr:uid="{236C0EB2-3710-4162-8C55-FF063395E854}"/>
    <cellStyle name="Comma 2 2 2 4 3 2 3 3" xfId="19604" xr:uid="{A93FEF16-0973-460D-802B-35E80B64AFCB}"/>
    <cellStyle name="Comma 2 2 2 4 3 2 3 3 2" xfId="49844" xr:uid="{3C33AA97-3001-4EA4-8699-F4590F346952}"/>
    <cellStyle name="Comma 2 2 2 4 3 2 3 4" xfId="34724" xr:uid="{8C777B87-FD03-4A2E-A9E0-7E4102932CC3}"/>
    <cellStyle name="Comma 2 2 2 4 3 2 4" xfId="5996" xr:uid="{DB4C24BC-39B0-445B-91A6-6A55359C64A6}"/>
    <cellStyle name="Comma 2 2 2 4 3 2 4 2" xfId="15068" xr:uid="{A611125C-0236-42DE-B1F0-AAE91BD0E261}"/>
    <cellStyle name="Comma 2 2 2 4 3 2 4 2 2" xfId="30188" xr:uid="{13D68CE7-22A0-4F8F-A75F-EB049B1DD60E}"/>
    <cellStyle name="Comma 2 2 2 4 3 2 4 2 2 2" xfId="60428" xr:uid="{1BA88641-7ABE-434F-8766-1A20E228CD36}"/>
    <cellStyle name="Comma 2 2 2 4 3 2 4 2 3" xfId="45308" xr:uid="{DF092E69-CAA9-4334-9A0E-9A07B30918AA}"/>
    <cellStyle name="Comma 2 2 2 4 3 2 4 3" xfId="21116" xr:uid="{02F60CF7-597A-438A-9F5B-72B64C94D481}"/>
    <cellStyle name="Comma 2 2 2 4 3 2 4 3 2" xfId="51356" xr:uid="{7DA37926-2873-4771-B192-1F1D239E55DB}"/>
    <cellStyle name="Comma 2 2 2 4 3 2 4 4" xfId="36236" xr:uid="{859C57BF-B892-4DFD-9B7E-6B67443DFDD7}"/>
    <cellStyle name="Comma 2 2 2 4 3 2 5" xfId="7508" xr:uid="{ED70AC0C-6119-45CA-AF16-CF0829694BC4}"/>
    <cellStyle name="Comma 2 2 2 4 3 2 5 2" xfId="22628" xr:uid="{F970392F-9430-43C9-9FD7-D047A203DAC1}"/>
    <cellStyle name="Comma 2 2 2 4 3 2 5 2 2" xfId="52868" xr:uid="{FC1E9F17-5C18-4959-B619-376384203C61}"/>
    <cellStyle name="Comma 2 2 2 4 3 2 5 3" xfId="37748" xr:uid="{AEEE2432-90E4-49D0-A9CF-1BAEDD53D51A}"/>
    <cellStyle name="Comma 2 2 2 4 3 2 6" xfId="9020" xr:uid="{C9D24B7F-EF3A-48A2-876C-3C4EA5BD2A4C}"/>
    <cellStyle name="Comma 2 2 2 4 3 2 6 2" xfId="24140" xr:uid="{1B68A907-EE1E-4B9B-AC72-A963F561A8DA}"/>
    <cellStyle name="Comma 2 2 2 4 3 2 6 2 2" xfId="54380" xr:uid="{B41FE837-291D-4A10-90B6-E1DAEDB3F366}"/>
    <cellStyle name="Comma 2 2 2 4 3 2 6 3" xfId="39260" xr:uid="{1F180546-B4EC-46F3-B47A-D6857E4D92DB}"/>
    <cellStyle name="Comma 2 2 2 4 3 2 7" xfId="10532" xr:uid="{842BDEB6-5F5E-465B-8ADA-8675C0F5576B}"/>
    <cellStyle name="Comma 2 2 2 4 3 2 7 2" xfId="25652" xr:uid="{B580191B-2B04-46FC-ACD2-42425E20495A}"/>
    <cellStyle name="Comma 2 2 2 4 3 2 7 2 2" xfId="55892" xr:uid="{807564B2-6453-45CC-B4FC-007B6DA151CE}"/>
    <cellStyle name="Comma 2 2 2 4 3 2 7 3" xfId="40772" xr:uid="{E544B897-13D1-453E-8281-981F1B563437}"/>
    <cellStyle name="Comma 2 2 2 4 3 2 8" xfId="16580" xr:uid="{C2108B47-BCF3-4B1D-ABF7-B6389ED869D2}"/>
    <cellStyle name="Comma 2 2 2 4 3 2 8 2" xfId="46820" xr:uid="{875B5AC1-3FFA-4CC0-A1DB-731D8C7F7FAF}"/>
    <cellStyle name="Comma 2 2 2 4 3 2 9" xfId="31700" xr:uid="{5A294CED-53B4-4D9F-955E-EBEF2C41EA3C}"/>
    <cellStyle name="Comma 2 2 2 4 3 3" xfId="2216" xr:uid="{1A541820-2E56-4EEF-9091-7999BA35AB92}"/>
    <cellStyle name="Comma 2 2 2 4 3 3 2" xfId="11288" xr:uid="{A04CD7A5-3C5A-46E1-8A30-151578D85534}"/>
    <cellStyle name="Comma 2 2 2 4 3 3 2 2" xfId="26408" xr:uid="{4D45879D-3DE9-4534-BDC6-6EE08DBB13FA}"/>
    <cellStyle name="Comma 2 2 2 4 3 3 2 2 2" xfId="56648" xr:uid="{E1E06751-38F9-4FF8-8F2E-3FAA2B0466B1}"/>
    <cellStyle name="Comma 2 2 2 4 3 3 2 3" xfId="41528" xr:uid="{963E1B7D-EF1B-4CB6-B1A2-61A8A7697592}"/>
    <cellStyle name="Comma 2 2 2 4 3 3 3" xfId="17336" xr:uid="{C7AB371C-7D3C-49BD-9D5D-511983DB5AD9}"/>
    <cellStyle name="Comma 2 2 2 4 3 3 3 2" xfId="47576" xr:uid="{7E73054A-A04E-466B-B163-0CE57369B8F1}"/>
    <cellStyle name="Comma 2 2 2 4 3 3 4" xfId="32456" xr:uid="{F8B1DE21-69AE-4D02-BEBE-213444D52611}"/>
    <cellStyle name="Comma 2 2 2 4 3 4" xfId="3728" xr:uid="{D833AD5B-0662-46AD-AE4F-A732807AB204}"/>
    <cellStyle name="Comma 2 2 2 4 3 4 2" xfId="12800" xr:uid="{9F48A308-BB18-4B2D-8054-3A04679214E7}"/>
    <cellStyle name="Comma 2 2 2 4 3 4 2 2" xfId="27920" xr:uid="{25DBE513-E12F-4F17-983B-381605738403}"/>
    <cellStyle name="Comma 2 2 2 4 3 4 2 2 2" xfId="58160" xr:uid="{836F0002-0211-42F2-AE32-DA05D316E0D5}"/>
    <cellStyle name="Comma 2 2 2 4 3 4 2 3" xfId="43040" xr:uid="{B16728AA-0554-4E8C-A97E-C2D336A566A4}"/>
    <cellStyle name="Comma 2 2 2 4 3 4 3" xfId="18848" xr:uid="{86FC69A4-4D0F-46F6-9C42-45B94C60805E}"/>
    <cellStyle name="Comma 2 2 2 4 3 4 3 2" xfId="49088" xr:uid="{635D0FFC-6946-439F-A4C2-1CE68E32CC93}"/>
    <cellStyle name="Comma 2 2 2 4 3 4 4" xfId="33968" xr:uid="{68A61C69-2D89-43EA-8DB1-EE3F5E3B5704}"/>
    <cellStyle name="Comma 2 2 2 4 3 5" xfId="5240" xr:uid="{032495B7-0C44-41BF-9406-2561EB8E8E5C}"/>
    <cellStyle name="Comma 2 2 2 4 3 5 2" xfId="14312" xr:uid="{F2366C90-EF5C-4D8D-83EB-D18905C0BDC4}"/>
    <cellStyle name="Comma 2 2 2 4 3 5 2 2" xfId="29432" xr:uid="{F46D0895-0D5A-49CC-A56A-613458E8D2AF}"/>
    <cellStyle name="Comma 2 2 2 4 3 5 2 2 2" xfId="59672" xr:uid="{E967E265-E2AB-4184-81BC-FFD457107397}"/>
    <cellStyle name="Comma 2 2 2 4 3 5 2 3" xfId="44552" xr:uid="{CCC50183-00F1-4A3E-8611-470A33F66941}"/>
    <cellStyle name="Comma 2 2 2 4 3 5 3" xfId="20360" xr:uid="{C2803317-1D9B-4FD1-9BC8-4030E15A3FC7}"/>
    <cellStyle name="Comma 2 2 2 4 3 5 3 2" xfId="50600" xr:uid="{3DE6896D-1888-476D-8DA8-50C26D450955}"/>
    <cellStyle name="Comma 2 2 2 4 3 5 4" xfId="35480" xr:uid="{3EDEAAEB-5777-4B2E-BF68-EFDD351B05BD}"/>
    <cellStyle name="Comma 2 2 2 4 3 6" xfId="6752" xr:uid="{D0C68698-775D-4345-B4E1-945B1FE588BD}"/>
    <cellStyle name="Comma 2 2 2 4 3 6 2" xfId="21872" xr:uid="{14B1AE72-C82C-4470-BB68-19C7863A6352}"/>
    <cellStyle name="Comma 2 2 2 4 3 6 2 2" xfId="52112" xr:uid="{51DD3DBF-2656-4716-A3D7-822858F7690A}"/>
    <cellStyle name="Comma 2 2 2 4 3 6 3" xfId="36992" xr:uid="{3EF74519-1AAE-46A3-AEA0-67ACC9E0F436}"/>
    <cellStyle name="Comma 2 2 2 4 3 7" xfId="8264" xr:uid="{4ABCBD43-B867-4DBB-85FA-E369285EFF28}"/>
    <cellStyle name="Comma 2 2 2 4 3 7 2" xfId="23384" xr:uid="{C81C07BD-6374-4F1E-8E90-7AFFBB2A4C97}"/>
    <cellStyle name="Comma 2 2 2 4 3 7 2 2" xfId="53624" xr:uid="{983924EF-A948-43E7-92D8-803D4825A562}"/>
    <cellStyle name="Comma 2 2 2 4 3 7 3" xfId="38504" xr:uid="{48E67337-4B13-42EB-8DD0-4490371469E6}"/>
    <cellStyle name="Comma 2 2 2 4 3 8" xfId="9776" xr:uid="{CF96F3C7-A925-4D5E-9AE6-A0987E541034}"/>
    <cellStyle name="Comma 2 2 2 4 3 8 2" xfId="24896" xr:uid="{2524A514-DB7E-409C-A047-2B7F36C041F4}"/>
    <cellStyle name="Comma 2 2 2 4 3 8 2 2" xfId="55136" xr:uid="{3C18E4D3-7BEA-40B0-B9AA-D62EB20BE7C9}"/>
    <cellStyle name="Comma 2 2 2 4 3 8 3" xfId="40016" xr:uid="{A95A3120-CC0C-44F9-90CC-CD5D9E9E85C9}"/>
    <cellStyle name="Comma 2 2 2 4 3 9" xfId="15824" xr:uid="{808EF50A-26AF-437D-A59B-0A0D2DECF261}"/>
    <cellStyle name="Comma 2 2 2 4 3 9 2" xfId="46064" xr:uid="{FB5181FA-2139-4C30-8EF8-1F63ECD9C392}"/>
    <cellStyle name="Comma 2 2 2 4 4" xfId="956" xr:uid="{7080AC05-AC80-4C5F-AFFA-FAF91AB3ECD9}"/>
    <cellStyle name="Comma 2 2 2 4 4 2" xfId="2468" xr:uid="{BDB54EBB-91AE-47DD-B79E-BA7F2E127980}"/>
    <cellStyle name="Comma 2 2 2 4 4 2 2" xfId="11540" xr:uid="{D61DC71C-2EF0-4547-BB83-32B3CDF3598B}"/>
    <cellStyle name="Comma 2 2 2 4 4 2 2 2" xfId="26660" xr:uid="{229285DE-9576-4C60-8C54-55D3D83DB732}"/>
    <cellStyle name="Comma 2 2 2 4 4 2 2 2 2" xfId="56900" xr:uid="{6095ADBE-E842-4460-844D-28E5D7F99C3A}"/>
    <cellStyle name="Comma 2 2 2 4 4 2 2 3" xfId="41780" xr:uid="{008CEE96-0160-4CB3-959C-B9FC02748296}"/>
    <cellStyle name="Comma 2 2 2 4 4 2 3" xfId="17588" xr:uid="{4A127BD5-630A-42F3-B891-0A0976970EEC}"/>
    <cellStyle name="Comma 2 2 2 4 4 2 3 2" xfId="47828" xr:uid="{226B81FF-63F1-4E0D-A6D9-FC097CA00A2A}"/>
    <cellStyle name="Comma 2 2 2 4 4 2 4" xfId="32708" xr:uid="{BDCDD403-1DEC-4078-A0B3-348A827B0A13}"/>
    <cellStyle name="Comma 2 2 2 4 4 3" xfId="3980" xr:uid="{92DB3BE8-6C2B-4802-B013-46AFCBB02E4F}"/>
    <cellStyle name="Comma 2 2 2 4 4 3 2" xfId="13052" xr:uid="{A7DCFFE3-F7DF-4DC2-8453-6572D5CCC5FB}"/>
    <cellStyle name="Comma 2 2 2 4 4 3 2 2" xfId="28172" xr:uid="{D9F50B83-FE4A-49B8-923D-FEFEC45F9C58}"/>
    <cellStyle name="Comma 2 2 2 4 4 3 2 2 2" xfId="58412" xr:uid="{B50C8E05-A7D3-4B3F-B688-7CE0269BCD8B}"/>
    <cellStyle name="Comma 2 2 2 4 4 3 2 3" xfId="43292" xr:uid="{2D4723BC-0947-4F57-8A3D-83B062A025AA}"/>
    <cellStyle name="Comma 2 2 2 4 4 3 3" xfId="19100" xr:uid="{36B64B09-B731-4FE5-99CD-AB70AC922F16}"/>
    <cellStyle name="Comma 2 2 2 4 4 3 3 2" xfId="49340" xr:uid="{0CE76410-4EC2-4D15-94F5-E58FA804271A}"/>
    <cellStyle name="Comma 2 2 2 4 4 3 4" xfId="34220" xr:uid="{D44D7640-F496-4987-89DF-45C43A65CC46}"/>
    <cellStyle name="Comma 2 2 2 4 4 4" xfId="5492" xr:uid="{988129DA-6B00-492C-976D-13C78DB9C349}"/>
    <cellStyle name="Comma 2 2 2 4 4 4 2" xfId="14564" xr:uid="{EA93FF28-363C-41F5-AB1A-2490F2621A54}"/>
    <cellStyle name="Comma 2 2 2 4 4 4 2 2" xfId="29684" xr:uid="{498EC84C-443A-4BCF-A037-8A3D48E5FE46}"/>
    <cellStyle name="Comma 2 2 2 4 4 4 2 2 2" xfId="59924" xr:uid="{76588DFA-D6B6-454E-BF19-AB1CC34EC3EF}"/>
    <cellStyle name="Comma 2 2 2 4 4 4 2 3" xfId="44804" xr:uid="{C1F9F319-2F45-4E69-A7AA-030230639063}"/>
    <cellStyle name="Comma 2 2 2 4 4 4 3" xfId="20612" xr:uid="{FE955F78-CF42-4D4E-B6A0-7C3D81E164F7}"/>
    <cellStyle name="Comma 2 2 2 4 4 4 3 2" xfId="50852" xr:uid="{C3C00D24-80F8-4BD8-990E-A32DD7FDE5BC}"/>
    <cellStyle name="Comma 2 2 2 4 4 4 4" xfId="35732" xr:uid="{D5054ED1-CAB8-45CF-9D97-7D027D82454A}"/>
    <cellStyle name="Comma 2 2 2 4 4 5" xfId="7004" xr:uid="{567314A6-F6A4-4307-A5A9-4B849B0B32B9}"/>
    <cellStyle name="Comma 2 2 2 4 4 5 2" xfId="22124" xr:uid="{F60A79D7-90A0-45FD-891A-ED28413D119E}"/>
    <cellStyle name="Comma 2 2 2 4 4 5 2 2" xfId="52364" xr:uid="{E5912FB2-EC5B-4DF4-8CF9-3FB0A637A5E7}"/>
    <cellStyle name="Comma 2 2 2 4 4 5 3" xfId="37244" xr:uid="{C6C6621D-5FC6-4D62-ABBF-48FE585362D3}"/>
    <cellStyle name="Comma 2 2 2 4 4 6" xfId="8516" xr:uid="{0CF81637-EB44-484D-B5AD-7E37E66C7879}"/>
    <cellStyle name="Comma 2 2 2 4 4 6 2" xfId="23636" xr:uid="{1C815878-7602-4A5B-9522-9DE90DF5117B}"/>
    <cellStyle name="Comma 2 2 2 4 4 6 2 2" xfId="53876" xr:uid="{19F1008D-0F3B-4F5E-865E-F6AF4E6AC20D}"/>
    <cellStyle name="Comma 2 2 2 4 4 6 3" xfId="38756" xr:uid="{C1DBAADD-3E56-4286-939D-1DAA42BEC444}"/>
    <cellStyle name="Comma 2 2 2 4 4 7" xfId="10028" xr:uid="{C826F284-1F24-452B-A384-6A9D93104FEF}"/>
    <cellStyle name="Comma 2 2 2 4 4 7 2" xfId="25148" xr:uid="{56B3D133-2E13-420B-82C5-8DFAD7875DE0}"/>
    <cellStyle name="Comma 2 2 2 4 4 7 2 2" xfId="55388" xr:uid="{9D104C4E-12AA-4FC6-9C6B-1927AEFE4C4A}"/>
    <cellStyle name="Comma 2 2 2 4 4 7 3" xfId="40268" xr:uid="{A10244FB-B8F4-4F30-885E-909DA40143AA}"/>
    <cellStyle name="Comma 2 2 2 4 4 8" xfId="16076" xr:uid="{DB1D077A-38A9-47F8-B550-1966C5DE9AFA}"/>
    <cellStyle name="Comma 2 2 2 4 4 8 2" xfId="46316" xr:uid="{AACCFAB3-5837-4A0F-9EDB-58EA07D71641}"/>
    <cellStyle name="Comma 2 2 2 4 4 9" xfId="31196" xr:uid="{59E9E9AC-C1DC-4EF3-A182-52E4D30CDF15}"/>
    <cellStyle name="Comma 2 2 2 4 5" xfId="1712" xr:uid="{5C396843-FFE4-45CE-A8FD-8D96BA12B669}"/>
    <cellStyle name="Comma 2 2 2 4 5 2" xfId="10784" xr:uid="{91006CC8-51BD-4E22-9EC2-94DF81B2D488}"/>
    <cellStyle name="Comma 2 2 2 4 5 2 2" xfId="25904" xr:uid="{B6813700-3806-4FB5-B5B9-91E535128C2B}"/>
    <cellStyle name="Comma 2 2 2 4 5 2 2 2" xfId="56144" xr:uid="{547B22B8-F685-451F-B7A6-14153EDE8B8F}"/>
    <cellStyle name="Comma 2 2 2 4 5 2 3" xfId="41024" xr:uid="{9E9BF280-5A1B-4872-A448-EAC964B02416}"/>
    <cellStyle name="Comma 2 2 2 4 5 3" xfId="16832" xr:uid="{6D7888CD-8DD1-49D3-BE6D-4E84112AA323}"/>
    <cellStyle name="Comma 2 2 2 4 5 3 2" xfId="47072" xr:uid="{50C99C5B-77B3-4E63-A922-34021A29B6E8}"/>
    <cellStyle name="Comma 2 2 2 4 5 4" xfId="31952" xr:uid="{871E93B9-2F02-4C5B-83F5-9A6B7C1AACE3}"/>
    <cellStyle name="Comma 2 2 2 4 6" xfId="3224" xr:uid="{C2165544-4F10-481C-83BC-F3ADC8D1AF40}"/>
    <cellStyle name="Comma 2 2 2 4 6 2" xfId="12296" xr:uid="{61BD5E07-B2EB-46C3-B436-B3D49DD15076}"/>
    <cellStyle name="Comma 2 2 2 4 6 2 2" xfId="27416" xr:uid="{537054A5-C0FB-4C8C-BE17-FABB455D4813}"/>
    <cellStyle name="Comma 2 2 2 4 6 2 2 2" xfId="57656" xr:uid="{7C397580-6813-41EB-BDCB-99250A4295DA}"/>
    <cellStyle name="Comma 2 2 2 4 6 2 3" xfId="42536" xr:uid="{E0F57AAD-E033-4BA7-878B-D4DA1745AA56}"/>
    <cellStyle name="Comma 2 2 2 4 6 3" xfId="18344" xr:uid="{61AB5F92-49AA-44C9-8ED7-CA640E797EC2}"/>
    <cellStyle name="Comma 2 2 2 4 6 3 2" xfId="48584" xr:uid="{C9612C8B-7634-4B2C-B53E-662ECEE8CB6F}"/>
    <cellStyle name="Comma 2 2 2 4 6 4" xfId="33464" xr:uid="{F35DD29D-62D7-43B4-AED2-7306854CE45D}"/>
    <cellStyle name="Comma 2 2 2 4 7" xfId="4736" xr:uid="{1EE46A3D-DA62-4F29-9BDA-08BC236FDF71}"/>
    <cellStyle name="Comma 2 2 2 4 7 2" xfId="13808" xr:uid="{5D0373CD-3B05-4985-8651-785E13F3D3C6}"/>
    <cellStyle name="Comma 2 2 2 4 7 2 2" xfId="28928" xr:uid="{51455B93-F785-491F-BA3F-20CD05106186}"/>
    <cellStyle name="Comma 2 2 2 4 7 2 2 2" xfId="59168" xr:uid="{32C05FC6-025C-46CA-AC9B-B141E6491620}"/>
    <cellStyle name="Comma 2 2 2 4 7 2 3" xfId="44048" xr:uid="{138627B2-67F4-4ACF-8BB4-AB4D42901205}"/>
    <cellStyle name="Comma 2 2 2 4 7 3" xfId="19856" xr:uid="{47A457AA-5186-487C-BAAC-AF19958752D6}"/>
    <cellStyle name="Comma 2 2 2 4 7 3 2" xfId="50096" xr:uid="{9D816B3D-1835-4EA6-A4F4-2399ADFB7AC8}"/>
    <cellStyle name="Comma 2 2 2 4 7 4" xfId="34976" xr:uid="{BF977C33-2599-499B-91E1-96D13491A46F}"/>
    <cellStyle name="Comma 2 2 2 4 8" xfId="6248" xr:uid="{851EFEED-A4C3-4DDA-98CF-BB4B658F0EB9}"/>
    <cellStyle name="Comma 2 2 2 4 8 2" xfId="21368" xr:uid="{06C622C1-F84A-41E1-A6D0-9BAE8B2835E7}"/>
    <cellStyle name="Comma 2 2 2 4 8 2 2" xfId="51608" xr:uid="{13268BC2-893D-4B66-98B8-87B67A69A499}"/>
    <cellStyle name="Comma 2 2 2 4 8 3" xfId="36488" xr:uid="{7AA66C0E-BB09-4293-B0BB-233A55A08104}"/>
    <cellStyle name="Comma 2 2 2 4 9" xfId="7760" xr:uid="{89231E9B-EF95-481B-B6C7-483FA942B55F}"/>
    <cellStyle name="Comma 2 2 2 4 9 2" xfId="22880" xr:uid="{172449D2-C7EA-4957-8635-4E09D9619FDF}"/>
    <cellStyle name="Comma 2 2 2 4 9 2 2" xfId="53120" xr:uid="{CC97D5D0-2301-40CE-8C82-48DF4A9FD93B}"/>
    <cellStyle name="Comma 2 2 2 4 9 3" xfId="38000" xr:uid="{D2A6A8EF-A976-46C7-B9A4-87B2F7723F10}"/>
    <cellStyle name="Comma 2 2 2 5" xfId="284" xr:uid="{E825BC8B-B0ED-411D-83BA-253665030C4A}"/>
    <cellStyle name="Comma 2 2 2 5 10" xfId="30524" xr:uid="{1A351808-AFC2-4576-B4FC-1AE336C3D493}"/>
    <cellStyle name="Comma 2 2 2 5 2" xfId="1040" xr:uid="{22CBF41F-23C1-4917-948A-818E11A20299}"/>
    <cellStyle name="Comma 2 2 2 5 2 2" xfId="2552" xr:uid="{20E4A886-4044-456F-9270-062263B0BE3E}"/>
    <cellStyle name="Comma 2 2 2 5 2 2 2" xfId="11624" xr:uid="{1D52E1BB-C4E1-4DE3-8EDD-D7F53B0A9EBC}"/>
    <cellStyle name="Comma 2 2 2 5 2 2 2 2" xfId="26744" xr:uid="{3D748F0B-B243-40ED-B464-1B9CC3425632}"/>
    <cellStyle name="Comma 2 2 2 5 2 2 2 2 2" xfId="56984" xr:uid="{F8CAC499-D218-4152-9DCA-7B36632E920D}"/>
    <cellStyle name="Comma 2 2 2 5 2 2 2 3" xfId="41864" xr:uid="{76C038FE-84C7-4606-B660-8505644A0553}"/>
    <cellStyle name="Comma 2 2 2 5 2 2 3" xfId="17672" xr:uid="{231E83D5-2FB4-4F6E-AF41-72C805004F32}"/>
    <cellStyle name="Comma 2 2 2 5 2 2 3 2" xfId="47912" xr:uid="{223B8A4C-45CE-4F24-81C7-3128CE8676F7}"/>
    <cellStyle name="Comma 2 2 2 5 2 2 4" xfId="32792" xr:uid="{0DB5BE9F-E128-461E-BABD-43BB15BEE59E}"/>
    <cellStyle name="Comma 2 2 2 5 2 3" xfId="4064" xr:uid="{D62A0BB1-524F-405E-BC93-2892DBFF55C0}"/>
    <cellStyle name="Comma 2 2 2 5 2 3 2" xfId="13136" xr:uid="{C25E01DE-5FDC-4317-ACDF-38C18E9FDDE7}"/>
    <cellStyle name="Comma 2 2 2 5 2 3 2 2" xfId="28256" xr:uid="{2EE6C6C0-E8AC-4154-95F0-4C4101AE770D}"/>
    <cellStyle name="Comma 2 2 2 5 2 3 2 2 2" xfId="58496" xr:uid="{C0E14059-62CD-4797-8057-5EDDF8A5F870}"/>
    <cellStyle name="Comma 2 2 2 5 2 3 2 3" xfId="43376" xr:uid="{EFAA7779-2E18-4373-816F-1191DC901C57}"/>
    <cellStyle name="Comma 2 2 2 5 2 3 3" xfId="19184" xr:uid="{7B4F8DE6-8F63-4D42-9DC3-90AB44E88A84}"/>
    <cellStyle name="Comma 2 2 2 5 2 3 3 2" xfId="49424" xr:uid="{8536CCD0-56BC-4A4A-9198-90C6605F21FC}"/>
    <cellStyle name="Comma 2 2 2 5 2 3 4" xfId="34304" xr:uid="{E683A172-B90F-49CC-9E04-FC9F52250D4D}"/>
    <cellStyle name="Comma 2 2 2 5 2 4" xfId="5576" xr:uid="{B2FFC570-9EEC-4333-AACD-278347C3752D}"/>
    <cellStyle name="Comma 2 2 2 5 2 4 2" xfId="14648" xr:uid="{15DD5E0A-5162-4CB6-90D7-9F383DD522A8}"/>
    <cellStyle name="Comma 2 2 2 5 2 4 2 2" xfId="29768" xr:uid="{06F00572-6C81-434E-A4C4-40F0DF2EC7EE}"/>
    <cellStyle name="Comma 2 2 2 5 2 4 2 2 2" xfId="60008" xr:uid="{4FBC0341-8D3E-4D6B-A27F-7CB5DE8B7C1D}"/>
    <cellStyle name="Comma 2 2 2 5 2 4 2 3" xfId="44888" xr:uid="{46BCFE45-EB52-4BC9-B6BD-2BF4A7AA5278}"/>
    <cellStyle name="Comma 2 2 2 5 2 4 3" xfId="20696" xr:uid="{20E614BF-CD3E-4106-86CB-6377C47F13C6}"/>
    <cellStyle name="Comma 2 2 2 5 2 4 3 2" xfId="50936" xr:uid="{A0054EE5-5B9A-4287-ADAF-5F95D1CAF4FA}"/>
    <cellStyle name="Comma 2 2 2 5 2 4 4" xfId="35816" xr:uid="{32C31863-0F02-4DAB-A33C-82C4DE2F1CA9}"/>
    <cellStyle name="Comma 2 2 2 5 2 5" xfId="7088" xr:uid="{634CE336-80DC-4908-8787-CDF24FBBF364}"/>
    <cellStyle name="Comma 2 2 2 5 2 5 2" xfId="22208" xr:uid="{67E0FFA3-76F7-416A-A889-93830FE97DF3}"/>
    <cellStyle name="Comma 2 2 2 5 2 5 2 2" xfId="52448" xr:uid="{A45729FD-3B2D-4E40-A613-02C237D7FA49}"/>
    <cellStyle name="Comma 2 2 2 5 2 5 3" xfId="37328" xr:uid="{2FA71300-4927-4277-8161-594F863220ED}"/>
    <cellStyle name="Comma 2 2 2 5 2 6" xfId="8600" xr:uid="{99E60EFC-2BA2-4CEC-9B4D-A1785D7D854F}"/>
    <cellStyle name="Comma 2 2 2 5 2 6 2" xfId="23720" xr:uid="{71FD6313-5166-4F5B-AB66-36339648A2B7}"/>
    <cellStyle name="Comma 2 2 2 5 2 6 2 2" xfId="53960" xr:uid="{F19863F2-2DC1-4D30-8FD1-E084C9113427}"/>
    <cellStyle name="Comma 2 2 2 5 2 6 3" xfId="38840" xr:uid="{08F7EF36-13DA-4D89-A0E5-B3B963A51002}"/>
    <cellStyle name="Comma 2 2 2 5 2 7" xfId="10112" xr:uid="{583DD8D9-351F-4DE9-B1AD-06BC92FF4A59}"/>
    <cellStyle name="Comma 2 2 2 5 2 7 2" xfId="25232" xr:uid="{A805DBB0-6FBC-4CAA-BDD9-052DBAD17699}"/>
    <cellStyle name="Comma 2 2 2 5 2 7 2 2" xfId="55472" xr:uid="{4A51E133-91D2-4158-ADDA-90A59DDA5CAD}"/>
    <cellStyle name="Comma 2 2 2 5 2 7 3" xfId="40352" xr:uid="{0163187C-2A7F-4853-B4C0-C2683B9A99DD}"/>
    <cellStyle name="Comma 2 2 2 5 2 8" xfId="16160" xr:uid="{B31586F5-28E4-4E1E-B01C-13F5C3C3D0A2}"/>
    <cellStyle name="Comma 2 2 2 5 2 8 2" xfId="46400" xr:uid="{8E3027F8-BE7F-470C-A7CC-C9382205E088}"/>
    <cellStyle name="Comma 2 2 2 5 2 9" xfId="31280" xr:uid="{605E040C-7D34-4C6F-AA60-DA16D2967B4C}"/>
    <cellStyle name="Comma 2 2 2 5 3" xfId="1796" xr:uid="{0FC6FE93-D03E-4AC2-A7D6-2BBACD2EACBB}"/>
    <cellStyle name="Comma 2 2 2 5 3 2" xfId="10868" xr:uid="{04C2002D-C8DC-49F7-8126-E3EEA5CC3565}"/>
    <cellStyle name="Comma 2 2 2 5 3 2 2" xfId="25988" xr:uid="{E2C6785B-859B-4488-8156-70DFD5CA59F8}"/>
    <cellStyle name="Comma 2 2 2 5 3 2 2 2" xfId="56228" xr:uid="{79F93113-9B24-4359-8972-015FE3CDF997}"/>
    <cellStyle name="Comma 2 2 2 5 3 2 3" xfId="41108" xr:uid="{2C2BA4D5-1B9E-46B0-BD8B-FB1981C4C6F3}"/>
    <cellStyle name="Comma 2 2 2 5 3 3" xfId="16916" xr:uid="{20317D9F-A001-4E98-9C78-542620A98143}"/>
    <cellStyle name="Comma 2 2 2 5 3 3 2" xfId="47156" xr:uid="{FFC0C1D0-1078-4FAA-B423-8A41FAF5D9DB}"/>
    <cellStyle name="Comma 2 2 2 5 3 4" xfId="32036" xr:uid="{3C5ACBD4-2A3B-47E2-9460-E1313683765A}"/>
    <cellStyle name="Comma 2 2 2 5 4" xfId="3308" xr:uid="{9615A30B-C1D7-44FC-ADBD-D9B44B11F9C1}"/>
    <cellStyle name="Comma 2 2 2 5 4 2" xfId="12380" xr:uid="{2A2F42FB-39AB-4D92-BA9A-D23A0A8DCE2B}"/>
    <cellStyle name="Comma 2 2 2 5 4 2 2" xfId="27500" xr:uid="{EBCD1F70-BC75-4CA5-8CE2-A2DCDF1F036E}"/>
    <cellStyle name="Comma 2 2 2 5 4 2 2 2" xfId="57740" xr:uid="{07E8F6E1-15A7-4697-975C-ED47A41C25FA}"/>
    <cellStyle name="Comma 2 2 2 5 4 2 3" xfId="42620" xr:uid="{A2D5F8AA-BFA0-4F64-BB14-EFB92BB26429}"/>
    <cellStyle name="Comma 2 2 2 5 4 3" xfId="18428" xr:uid="{33334A48-FFFE-4C38-9EDC-C26D11F260CE}"/>
    <cellStyle name="Comma 2 2 2 5 4 3 2" xfId="48668" xr:uid="{A5B14C3E-B82C-4C7A-8A73-66A629D3128C}"/>
    <cellStyle name="Comma 2 2 2 5 4 4" xfId="33548" xr:uid="{4C775BBA-36A0-40E7-8DB9-84BCD7137914}"/>
    <cellStyle name="Comma 2 2 2 5 5" xfId="4820" xr:uid="{A8F012FD-6AAB-4127-BA9E-06AB8DD8B6C1}"/>
    <cellStyle name="Comma 2 2 2 5 5 2" xfId="13892" xr:uid="{17880B09-F614-40A6-8ACC-34389FADFE94}"/>
    <cellStyle name="Comma 2 2 2 5 5 2 2" xfId="29012" xr:uid="{2C3B7399-BBED-4FA5-9911-5E333194E757}"/>
    <cellStyle name="Comma 2 2 2 5 5 2 2 2" xfId="59252" xr:uid="{63C545EB-9F66-4BC6-B223-46DD481109B5}"/>
    <cellStyle name="Comma 2 2 2 5 5 2 3" xfId="44132" xr:uid="{4BC36D23-EC69-4CC1-A3D2-4516E6CA0A1C}"/>
    <cellStyle name="Comma 2 2 2 5 5 3" xfId="19940" xr:uid="{CA50F8BE-F276-44DA-B486-75548EB95BB4}"/>
    <cellStyle name="Comma 2 2 2 5 5 3 2" xfId="50180" xr:uid="{083123F3-2586-45AF-A1DB-0F3A749FD1FE}"/>
    <cellStyle name="Comma 2 2 2 5 5 4" xfId="35060" xr:uid="{D9B0A46D-1757-4BB6-9512-10EA95425BD6}"/>
    <cellStyle name="Comma 2 2 2 5 6" xfId="6332" xr:uid="{8F0367BB-0A3C-45E3-81DB-10B34348C845}"/>
    <cellStyle name="Comma 2 2 2 5 6 2" xfId="21452" xr:uid="{E95DFA2A-E507-4FE3-BAC3-E67D48DA5D6F}"/>
    <cellStyle name="Comma 2 2 2 5 6 2 2" xfId="51692" xr:uid="{5C8D3403-7AE9-4442-A56E-50A025C50041}"/>
    <cellStyle name="Comma 2 2 2 5 6 3" xfId="36572" xr:uid="{F0565646-8516-4041-9B55-9CAFE32F8194}"/>
    <cellStyle name="Comma 2 2 2 5 7" xfId="7844" xr:uid="{0F717BC1-D56A-4C73-80CB-57C5ABA04C51}"/>
    <cellStyle name="Comma 2 2 2 5 7 2" xfId="22964" xr:uid="{AABDF0E7-655D-46E6-B9AD-ABBDECA2171E}"/>
    <cellStyle name="Comma 2 2 2 5 7 2 2" xfId="53204" xr:uid="{B0516E00-CC25-427A-81B0-71628DFA6FF4}"/>
    <cellStyle name="Comma 2 2 2 5 7 3" xfId="38084" xr:uid="{996A50E1-4CDB-4848-B01A-BDFFA289C0C0}"/>
    <cellStyle name="Comma 2 2 2 5 8" xfId="9356" xr:uid="{B04D568E-3EC5-4B9E-A654-96F136FCD15D}"/>
    <cellStyle name="Comma 2 2 2 5 8 2" xfId="24476" xr:uid="{F0DACF2D-E17E-4CF5-A3D5-9D4B189F9358}"/>
    <cellStyle name="Comma 2 2 2 5 8 2 2" xfId="54716" xr:uid="{261CBBA3-D83B-4378-A1A2-2B518DA0E261}"/>
    <cellStyle name="Comma 2 2 2 5 8 3" xfId="39596" xr:uid="{64663864-3526-4061-825E-8C12769382F7}"/>
    <cellStyle name="Comma 2 2 2 5 9" xfId="15404" xr:uid="{C78B80D7-6726-4C99-8FE8-2CD8F149E1CB}"/>
    <cellStyle name="Comma 2 2 2 5 9 2" xfId="45644" xr:uid="{8499D3F3-5B4A-4B77-A2F0-938FBE48E8BB}"/>
    <cellStyle name="Comma 2 2 2 6" xfId="536" xr:uid="{7F6E6519-9956-4D20-AEA9-7237299C4F5F}"/>
    <cellStyle name="Comma 2 2 2 6 10" xfId="30776" xr:uid="{F8FDA69C-8121-4503-AAB5-139F5B756B35}"/>
    <cellStyle name="Comma 2 2 2 6 2" xfId="1292" xr:uid="{CFB78A8C-EBE3-439B-BE95-8D67FBAE0346}"/>
    <cellStyle name="Comma 2 2 2 6 2 2" xfId="2804" xr:uid="{B5FC761D-A87B-485D-93FF-EE24779118B2}"/>
    <cellStyle name="Comma 2 2 2 6 2 2 2" xfId="11876" xr:uid="{04A596AC-661C-459B-B316-C900372DCB2D}"/>
    <cellStyle name="Comma 2 2 2 6 2 2 2 2" xfId="26996" xr:uid="{530EBD9F-2AD9-4DEE-A752-4C6AAF9A16A1}"/>
    <cellStyle name="Comma 2 2 2 6 2 2 2 2 2" xfId="57236" xr:uid="{8B9D7B38-DE92-442A-984D-03C48012DBD4}"/>
    <cellStyle name="Comma 2 2 2 6 2 2 2 3" xfId="42116" xr:uid="{A491709C-AB9F-4210-9E4C-F2909464A621}"/>
    <cellStyle name="Comma 2 2 2 6 2 2 3" xfId="17924" xr:uid="{214CFE63-65D1-4C3F-96B9-BF0EFCDE1054}"/>
    <cellStyle name="Comma 2 2 2 6 2 2 3 2" xfId="48164" xr:uid="{05C8A807-78BD-4C00-B61C-D3E154C37F3C}"/>
    <cellStyle name="Comma 2 2 2 6 2 2 4" xfId="33044" xr:uid="{A5BB9C26-50EA-4E5A-929A-CD688AFC9882}"/>
    <cellStyle name="Comma 2 2 2 6 2 3" xfId="4316" xr:uid="{3EAFF656-EA15-4BC9-BBA1-4E8A23EEEC82}"/>
    <cellStyle name="Comma 2 2 2 6 2 3 2" xfId="13388" xr:uid="{D14422F4-0FEF-4B33-9FF8-068C24925681}"/>
    <cellStyle name="Comma 2 2 2 6 2 3 2 2" xfId="28508" xr:uid="{D8EC3277-0F33-490C-AB8B-E6E777DDA865}"/>
    <cellStyle name="Comma 2 2 2 6 2 3 2 2 2" xfId="58748" xr:uid="{14F058B2-2BF4-4911-845A-BC6193242C10}"/>
    <cellStyle name="Comma 2 2 2 6 2 3 2 3" xfId="43628" xr:uid="{6EF6F024-7403-4F3F-ADB2-D3F305340B61}"/>
    <cellStyle name="Comma 2 2 2 6 2 3 3" xfId="19436" xr:uid="{BF80D6EE-9BBE-4ACA-8F41-F28759D538F5}"/>
    <cellStyle name="Comma 2 2 2 6 2 3 3 2" xfId="49676" xr:uid="{1905530D-278A-4E06-B82F-56C0B61D0BC2}"/>
    <cellStyle name="Comma 2 2 2 6 2 3 4" xfId="34556" xr:uid="{7354FE7C-F74F-42F1-A84A-371CF16EEEFE}"/>
    <cellStyle name="Comma 2 2 2 6 2 4" xfId="5828" xr:uid="{7ECE92DD-A788-4D25-A48D-EC6E207919E3}"/>
    <cellStyle name="Comma 2 2 2 6 2 4 2" xfId="14900" xr:uid="{C2860563-D11A-4393-A863-A27AD0BBEF84}"/>
    <cellStyle name="Comma 2 2 2 6 2 4 2 2" xfId="30020" xr:uid="{A781989A-9B42-40B4-A66B-F6F1DE50548B}"/>
    <cellStyle name="Comma 2 2 2 6 2 4 2 2 2" xfId="60260" xr:uid="{F62A9170-1D5C-43C6-BF9F-EFD16DB86AED}"/>
    <cellStyle name="Comma 2 2 2 6 2 4 2 3" xfId="45140" xr:uid="{4A0F7F51-0986-4A9D-AE14-66DE95AA2BB2}"/>
    <cellStyle name="Comma 2 2 2 6 2 4 3" xfId="20948" xr:uid="{22579EEB-C592-4935-8E90-4675D2CB72C1}"/>
    <cellStyle name="Comma 2 2 2 6 2 4 3 2" xfId="51188" xr:uid="{78384BC4-BB23-418E-9CB9-BDCD5964F771}"/>
    <cellStyle name="Comma 2 2 2 6 2 4 4" xfId="36068" xr:uid="{A5D47610-4F34-493C-8FE0-EB7BB5FECA9C}"/>
    <cellStyle name="Comma 2 2 2 6 2 5" xfId="7340" xr:uid="{774679E3-5124-49A4-A4A3-836A4FC9B881}"/>
    <cellStyle name="Comma 2 2 2 6 2 5 2" xfId="22460" xr:uid="{AAD4A9F9-D61A-4430-B0CA-D4068A37A8FC}"/>
    <cellStyle name="Comma 2 2 2 6 2 5 2 2" xfId="52700" xr:uid="{470F760E-0753-42BC-B25D-2FBC5C012D66}"/>
    <cellStyle name="Comma 2 2 2 6 2 5 3" xfId="37580" xr:uid="{22B6A510-922F-4C72-87B0-E4805D0154E8}"/>
    <cellStyle name="Comma 2 2 2 6 2 6" xfId="8852" xr:uid="{A484BC61-D48B-46EA-AB54-A62F58043CF0}"/>
    <cellStyle name="Comma 2 2 2 6 2 6 2" xfId="23972" xr:uid="{82E61D82-142A-460F-A636-7403804BD0C6}"/>
    <cellStyle name="Comma 2 2 2 6 2 6 2 2" xfId="54212" xr:uid="{C8134A53-8E74-4521-BDEA-88C14C5BA40B}"/>
    <cellStyle name="Comma 2 2 2 6 2 6 3" xfId="39092" xr:uid="{F6811587-A192-4D4A-BE72-F4F1EC66C31D}"/>
    <cellStyle name="Comma 2 2 2 6 2 7" xfId="10364" xr:uid="{3EC73F33-E073-46D8-A69D-9293C5CA40D1}"/>
    <cellStyle name="Comma 2 2 2 6 2 7 2" xfId="25484" xr:uid="{AF332503-4D6C-4292-B257-BE503CA77DF7}"/>
    <cellStyle name="Comma 2 2 2 6 2 7 2 2" xfId="55724" xr:uid="{AA71D9BC-5BB2-4DA9-AA8C-F2A65E7A6CE8}"/>
    <cellStyle name="Comma 2 2 2 6 2 7 3" xfId="40604" xr:uid="{906AE104-B764-4368-97FE-B70A0CEFE5E1}"/>
    <cellStyle name="Comma 2 2 2 6 2 8" xfId="16412" xr:uid="{717890F0-E3A1-4BA7-8422-08BA5D95C6D4}"/>
    <cellStyle name="Comma 2 2 2 6 2 8 2" xfId="46652" xr:uid="{C2816237-2D11-4166-A2CA-4BABA08E9235}"/>
    <cellStyle name="Comma 2 2 2 6 2 9" xfId="31532" xr:uid="{5DE4CF53-B842-430D-92AD-444392C82E4B}"/>
    <cellStyle name="Comma 2 2 2 6 3" xfId="2048" xr:uid="{942E31FF-6C1E-4586-B79C-26B2ED6FE557}"/>
    <cellStyle name="Comma 2 2 2 6 3 2" xfId="11120" xr:uid="{A24E88F9-6E00-4576-A3BB-3F7D6D03AE2F}"/>
    <cellStyle name="Comma 2 2 2 6 3 2 2" xfId="26240" xr:uid="{AA337D67-921F-49DD-AED8-01F8EF17732E}"/>
    <cellStyle name="Comma 2 2 2 6 3 2 2 2" xfId="56480" xr:uid="{B3592A18-48CA-4CAE-BD64-5ED0564D3640}"/>
    <cellStyle name="Comma 2 2 2 6 3 2 3" xfId="41360" xr:uid="{DC9CB788-4F1F-4EAD-8A0C-2134BD7AA020}"/>
    <cellStyle name="Comma 2 2 2 6 3 3" xfId="17168" xr:uid="{F0B14401-C304-4324-988C-B1E384844284}"/>
    <cellStyle name="Comma 2 2 2 6 3 3 2" xfId="47408" xr:uid="{588732D6-1CE4-465B-A921-6C153A979467}"/>
    <cellStyle name="Comma 2 2 2 6 3 4" xfId="32288" xr:uid="{A815A09A-E1BE-455D-BE8B-B43456231F0C}"/>
    <cellStyle name="Comma 2 2 2 6 4" xfId="3560" xr:uid="{F84EA2A8-BC90-458D-88B1-F247D655C5E3}"/>
    <cellStyle name="Comma 2 2 2 6 4 2" xfId="12632" xr:uid="{2B53E9C0-764F-4413-9296-93F75DA10B3F}"/>
    <cellStyle name="Comma 2 2 2 6 4 2 2" xfId="27752" xr:uid="{1BD8E70C-56E6-4FDE-9F74-FD9E42B251B2}"/>
    <cellStyle name="Comma 2 2 2 6 4 2 2 2" xfId="57992" xr:uid="{36FA544E-E404-4B35-864C-D5E2D123FF34}"/>
    <cellStyle name="Comma 2 2 2 6 4 2 3" xfId="42872" xr:uid="{843DFDC2-8B19-4066-A2BF-7043DF2819D3}"/>
    <cellStyle name="Comma 2 2 2 6 4 3" xfId="18680" xr:uid="{DEA022DC-EDEB-4C14-87A2-62533BF4B88D}"/>
    <cellStyle name="Comma 2 2 2 6 4 3 2" xfId="48920" xr:uid="{7B2D2250-4BE3-4E8A-A2F7-629B3A09DF33}"/>
    <cellStyle name="Comma 2 2 2 6 4 4" xfId="33800" xr:uid="{1FFD4CAE-9B10-440E-8E49-BE2115B9232F}"/>
    <cellStyle name="Comma 2 2 2 6 5" xfId="5072" xr:uid="{63864DCF-3585-42A6-B5FE-64D012294611}"/>
    <cellStyle name="Comma 2 2 2 6 5 2" xfId="14144" xr:uid="{960CC739-C728-4685-B709-47A1D46D71C3}"/>
    <cellStyle name="Comma 2 2 2 6 5 2 2" xfId="29264" xr:uid="{B21E8A86-6B28-4D46-9D87-BB953C8032EE}"/>
    <cellStyle name="Comma 2 2 2 6 5 2 2 2" xfId="59504" xr:uid="{8CE8354F-75AF-4644-9680-5758FD6853AB}"/>
    <cellStyle name="Comma 2 2 2 6 5 2 3" xfId="44384" xr:uid="{36913FA8-6792-4330-A3F9-161A4674099C}"/>
    <cellStyle name="Comma 2 2 2 6 5 3" xfId="20192" xr:uid="{4FF27755-D70B-4D32-8BC0-7610199805F9}"/>
    <cellStyle name="Comma 2 2 2 6 5 3 2" xfId="50432" xr:uid="{9A89A0D9-F612-4000-9725-0DE8B18C1A11}"/>
    <cellStyle name="Comma 2 2 2 6 5 4" xfId="35312" xr:uid="{7553E369-F1F2-4D1F-9CD5-F4E7AF9A933C}"/>
    <cellStyle name="Comma 2 2 2 6 6" xfId="6584" xr:uid="{1FB3A6A7-E178-4621-86D9-B5A4B94D1B52}"/>
    <cellStyle name="Comma 2 2 2 6 6 2" xfId="21704" xr:uid="{200CC208-2D5F-4D5D-AD20-B1C5F3C3031C}"/>
    <cellStyle name="Comma 2 2 2 6 6 2 2" xfId="51944" xr:uid="{184FB8FF-59F0-4203-B620-E3C44D5BDA98}"/>
    <cellStyle name="Comma 2 2 2 6 6 3" xfId="36824" xr:uid="{F7CB8BD4-03B3-441C-BC63-05B7A5AE8BA6}"/>
    <cellStyle name="Comma 2 2 2 6 7" xfId="8096" xr:uid="{339A5CC7-9987-4864-AF67-133A4C33CCCD}"/>
    <cellStyle name="Comma 2 2 2 6 7 2" xfId="23216" xr:uid="{E66429A4-405A-4784-BEB0-40D283C9F120}"/>
    <cellStyle name="Comma 2 2 2 6 7 2 2" xfId="53456" xr:uid="{37CAD494-3919-4BA0-8364-BC13E158FF58}"/>
    <cellStyle name="Comma 2 2 2 6 7 3" xfId="38336" xr:uid="{48AC13B8-CE79-4A8D-963B-D62C59AFD0D0}"/>
    <cellStyle name="Comma 2 2 2 6 8" xfId="9608" xr:uid="{C6A5D13D-1F55-4C38-B5C7-627AA2FC25E6}"/>
    <cellStyle name="Comma 2 2 2 6 8 2" xfId="24728" xr:uid="{55DC0DB1-C4C7-436B-A021-B552D9119D2D}"/>
    <cellStyle name="Comma 2 2 2 6 8 2 2" xfId="54968" xr:uid="{94230FDB-EA54-422B-913E-F9D3EC4CF5EF}"/>
    <cellStyle name="Comma 2 2 2 6 8 3" xfId="39848" xr:uid="{C6381537-8308-4B53-A30E-696CAF5F2AC9}"/>
    <cellStyle name="Comma 2 2 2 6 9" xfId="15656" xr:uid="{09D8B2E5-14E2-41CB-B7ED-5890AC88B6FD}"/>
    <cellStyle name="Comma 2 2 2 6 9 2" xfId="45896" xr:uid="{5B456AE0-609A-495E-B0DF-8936962C4010}"/>
    <cellStyle name="Comma 2 2 2 7" xfId="788" xr:uid="{05FFF0FA-29DD-4629-A965-0D0DC84CFBE6}"/>
    <cellStyle name="Comma 2 2 2 7 2" xfId="2300" xr:uid="{7DA163B4-6123-424F-973A-AB6F2254D809}"/>
    <cellStyle name="Comma 2 2 2 7 2 2" xfId="11372" xr:uid="{BCE421FA-EC32-42CF-86FC-40E726C6E773}"/>
    <cellStyle name="Comma 2 2 2 7 2 2 2" xfId="26492" xr:uid="{E8B14B68-C6C1-473B-8425-2727317B20E3}"/>
    <cellStyle name="Comma 2 2 2 7 2 2 2 2" xfId="56732" xr:uid="{255CEB7B-8A6B-4F43-BFD8-1730D6168BB2}"/>
    <cellStyle name="Comma 2 2 2 7 2 2 3" xfId="41612" xr:uid="{73107319-BE27-49DE-8CF5-45902E80B854}"/>
    <cellStyle name="Comma 2 2 2 7 2 3" xfId="17420" xr:uid="{72365D45-BBA3-40E5-9575-3E158DEB584D}"/>
    <cellStyle name="Comma 2 2 2 7 2 3 2" xfId="47660" xr:uid="{F2DDF66A-D02C-4489-BD93-D3ABCD49ADF4}"/>
    <cellStyle name="Comma 2 2 2 7 2 4" xfId="32540" xr:uid="{2F57B64F-D57F-4A7F-A28C-09983C4EF9E8}"/>
    <cellStyle name="Comma 2 2 2 7 3" xfId="3812" xr:uid="{0816B6D7-78E7-496E-B9D8-C580223DF9EF}"/>
    <cellStyle name="Comma 2 2 2 7 3 2" xfId="12884" xr:uid="{4D9398AA-C090-4485-87D5-AFBC655FD6A1}"/>
    <cellStyle name="Comma 2 2 2 7 3 2 2" xfId="28004" xr:uid="{A153E323-28F7-490B-B942-2E973B7339D2}"/>
    <cellStyle name="Comma 2 2 2 7 3 2 2 2" xfId="58244" xr:uid="{02671735-4EA4-4B9F-BC8D-3468A31E06A5}"/>
    <cellStyle name="Comma 2 2 2 7 3 2 3" xfId="43124" xr:uid="{4C702FC1-B0BA-4C59-9F59-BDADDFB3348B}"/>
    <cellStyle name="Comma 2 2 2 7 3 3" xfId="18932" xr:uid="{6A28789A-37F4-4954-BB4B-4EC3F4229366}"/>
    <cellStyle name="Comma 2 2 2 7 3 3 2" xfId="49172" xr:uid="{784EA24F-3A57-42A5-A707-DDCBE9A9E450}"/>
    <cellStyle name="Comma 2 2 2 7 3 4" xfId="34052" xr:uid="{A6B37A34-B588-4F16-B998-F63506EB2F41}"/>
    <cellStyle name="Comma 2 2 2 7 4" xfId="5324" xr:uid="{C3FE61D9-B549-4292-976F-27B2C8F9D192}"/>
    <cellStyle name="Comma 2 2 2 7 4 2" xfId="14396" xr:uid="{1852AA61-4E8C-4DB5-BAB1-53873871FE1C}"/>
    <cellStyle name="Comma 2 2 2 7 4 2 2" xfId="29516" xr:uid="{80D84404-8520-4ABB-9A5D-A240197EDED7}"/>
    <cellStyle name="Comma 2 2 2 7 4 2 2 2" xfId="59756" xr:uid="{A1020554-9DFC-4DAB-9316-77E81934970F}"/>
    <cellStyle name="Comma 2 2 2 7 4 2 3" xfId="44636" xr:uid="{3E8B3672-AF1A-4F9C-BE1C-5635BEE88337}"/>
    <cellStyle name="Comma 2 2 2 7 4 3" xfId="20444" xr:uid="{834512E2-C206-4DB8-9A01-6D431487ED0A}"/>
    <cellStyle name="Comma 2 2 2 7 4 3 2" xfId="50684" xr:uid="{7B018CF8-DEDF-463F-A9FD-AACAE63964C6}"/>
    <cellStyle name="Comma 2 2 2 7 4 4" xfId="35564" xr:uid="{90B007B3-BFAC-4DCA-8482-016E92D47D11}"/>
    <cellStyle name="Comma 2 2 2 7 5" xfId="6836" xr:uid="{B7B957A4-752D-43AE-8E55-8EEFFA0044C6}"/>
    <cellStyle name="Comma 2 2 2 7 5 2" xfId="21956" xr:uid="{BB31B400-BEB1-4B67-A4C2-567D696FB81F}"/>
    <cellStyle name="Comma 2 2 2 7 5 2 2" xfId="52196" xr:uid="{C91F6A09-38D5-4AB6-9D22-9DFA6CB700FF}"/>
    <cellStyle name="Comma 2 2 2 7 5 3" xfId="37076" xr:uid="{9D76C8EC-6660-48D9-8C36-04D2BE771FD2}"/>
    <cellStyle name="Comma 2 2 2 7 6" xfId="8348" xr:uid="{4258D43F-E449-4747-A65E-09960F30C561}"/>
    <cellStyle name="Comma 2 2 2 7 6 2" xfId="23468" xr:uid="{B0C800D9-AB96-4232-9640-78B973B4305D}"/>
    <cellStyle name="Comma 2 2 2 7 6 2 2" xfId="53708" xr:uid="{8A9C3796-5615-4B2D-9F40-C7AC74B5E551}"/>
    <cellStyle name="Comma 2 2 2 7 6 3" xfId="38588" xr:uid="{4C4B2CBE-53D9-4DEB-999C-D24FF491B5A6}"/>
    <cellStyle name="Comma 2 2 2 7 7" xfId="9860" xr:uid="{8BA95D5B-76B3-4C70-BFF8-0E00A164E775}"/>
    <cellStyle name="Comma 2 2 2 7 7 2" xfId="24980" xr:uid="{45319A2D-3E7F-4B10-98FC-3FD31582F854}"/>
    <cellStyle name="Comma 2 2 2 7 7 2 2" xfId="55220" xr:uid="{F0DAA645-3865-4269-8C74-DE25D41F46C9}"/>
    <cellStyle name="Comma 2 2 2 7 7 3" xfId="40100" xr:uid="{60C7B8AA-C50C-4CD5-BEFD-16B961245FDA}"/>
    <cellStyle name="Comma 2 2 2 7 8" xfId="15908" xr:uid="{A298D25B-156E-4FAD-8634-056A9CEE018A}"/>
    <cellStyle name="Comma 2 2 2 7 8 2" xfId="46148" xr:uid="{942EF007-8A86-435F-BB07-5FFAFD00C8DA}"/>
    <cellStyle name="Comma 2 2 2 7 9" xfId="31028" xr:uid="{FFEAE0B7-6606-46CB-B677-2F0F949F2663}"/>
    <cellStyle name="Comma 2 2 2 8" xfId="1544" xr:uid="{88D9EE69-59BC-4BB0-BC63-19CA2A50E9C7}"/>
    <cellStyle name="Comma 2 2 2 8 2" xfId="10616" xr:uid="{E9D56EA8-3CC0-466A-A0D6-D909CFF8157C}"/>
    <cellStyle name="Comma 2 2 2 8 2 2" xfId="25736" xr:uid="{926ACB26-98DB-4EBB-9F0E-96917ED20B2C}"/>
    <cellStyle name="Comma 2 2 2 8 2 2 2" xfId="55976" xr:uid="{3E735A20-24CE-4A5B-912D-76C3A617D9CE}"/>
    <cellStyle name="Comma 2 2 2 8 2 3" xfId="40856" xr:uid="{E05CE6F2-2F83-4E3E-9E5B-9A1EAB95180A}"/>
    <cellStyle name="Comma 2 2 2 8 3" xfId="16664" xr:uid="{B2EDB085-BEEE-49A2-BDE5-C046E2A9F6B7}"/>
    <cellStyle name="Comma 2 2 2 8 3 2" xfId="46904" xr:uid="{34CD6E24-D6C6-4EAB-AF2F-F3B90CC27E54}"/>
    <cellStyle name="Comma 2 2 2 8 4" xfId="31784" xr:uid="{11254A12-A241-4EBB-99EB-598493D59442}"/>
    <cellStyle name="Comma 2 2 2 9" xfId="3056" xr:uid="{3D0CBDAF-9B3D-45AA-8D1D-5D2AC065ECD2}"/>
    <cellStyle name="Comma 2 2 2 9 2" xfId="12128" xr:uid="{9CFC31A1-5990-4B75-B419-E1AADA0AB67F}"/>
    <cellStyle name="Comma 2 2 2 9 2 2" xfId="27248" xr:uid="{B1F5F1AA-67E5-4F8A-96BB-B1C072B5F7AF}"/>
    <cellStyle name="Comma 2 2 2 9 2 2 2" xfId="57488" xr:uid="{D5D194BA-03FD-4A48-A35D-BF39296EBF57}"/>
    <cellStyle name="Comma 2 2 2 9 2 3" xfId="42368" xr:uid="{169AD568-D162-472F-A0BC-F9DED06A8C6A}"/>
    <cellStyle name="Comma 2 2 2 9 3" xfId="18176" xr:uid="{AE92853E-36B9-4866-8D25-99F6BEDBFD35}"/>
    <cellStyle name="Comma 2 2 2 9 3 2" xfId="48416" xr:uid="{36D2C027-FB63-485F-ACE9-18A4DAC2577E}"/>
    <cellStyle name="Comma 2 2 2 9 4" xfId="33296" xr:uid="{A9D0D4AB-BB63-496C-8159-7730ECE0A6FC}"/>
    <cellStyle name="Comma 2 2 3" xfId="46" xr:uid="{4F97027D-6CD4-4C92-8E83-EA34E80ECDE7}"/>
    <cellStyle name="Comma 2 2 3 10" xfId="4582" xr:uid="{32210EF0-0DC2-4181-97D4-5934947CBA72}"/>
    <cellStyle name="Comma 2 2 3 10 2" xfId="13654" xr:uid="{2A318C56-78B6-42D1-98D8-8DE27B931FD2}"/>
    <cellStyle name="Comma 2 2 3 10 2 2" xfId="28774" xr:uid="{354B5E94-5D15-443A-AEAE-467B41E732FE}"/>
    <cellStyle name="Comma 2 2 3 10 2 2 2" xfId="59014" xr:uid="{96D63020-D696-4B62-B75F-6294EECC40CB}"/>
    <cellStyle name="Comma 2 2 3 10 2 3" xfId="43894" xr:uid="{79EAA480-4B96-45C7-B8FB-A6D4A121E27D}"/>
    <cellStyle name="Comma 2 2 3 10 3" xfId="19702" xr:uid="{C4B6ED23-C640-4645-AA4F-4745663D8809}"/>
    <cellStyle name="Comma 2 2 3 10 3 2" xfId="49942" xr:uid="{8005CF66-1154-492E-9EC6-1D92BAB72BCD}"/>
    <cellStyle name="Comma 2 2 3 10 4" xfId="34822" xr:uid="{3066F972-84EE-4A5D-978B-08C33ADCE0E4}"/>
    <cellStyle name="Comma 2 2 3 11" xfId="6094" xr:uid="{E05E809E-E1A4-4170-B930-EC9D9591A491}"/>
    <cellStyle name="Comma 2 2 3 11 2" xfId="21214" xr:uid="{53E1FBC5-AC04-4806-88AB-4C1E7EE7619C}"/>
    <cellStyle name="Comma 2 2 3 11 2 2" xfId="51454" xr:uid="{ECAA3CF5-8C9F-46AB-A087-FEA5107008E8}"/>
    <cellStyle name="Comma 2 2 3 11 3" xfId="36334" xr:uid="{E8A24780-D32E-40B5-A65A-9455051A0ECF}"/>
    <cellStyle name="Comma 2 2 3 12" xfId="7606" xr:uid="{2423BFFB-1D93-4B07-82EA-FD49A057CC32}"/>
    <cellStyle name="Comma 2 2 3 12 2" xfId="22726" xr:uid="{CE355977-DE0E-4680-852E-863CECB52776}"/>
    <cellStyle name="Comma 2 2 3 12 2 2" xfId="52966" xr:uid="{072D430C-BB45-4B0E-929A-A03A231B5D70}"/>
    <cellStyle name="Comma 2 2 3 12 3" xfId="37846" xr:uid="{9389B41D-22AC-493C-A15E-6CFC2142D219}"/>
    <cellStyle name="Comma 2 2 3 13" xfId="9118" xr:uid="{13E4794C-36FA-4754-A882-10DAF6C89805}"/>
    <cellStyle name="Comma 2 2 3 13 2" xfId="24238" xr:uid="{5648164F-271F-4C8F-A490-D594C5DAA856}"/>
    <cellStyle name="Comma 2 2 3 13 2 2" xfId="54478" xr:uid="{1621E31D-E23F-47F9-9954-D7E433E299B2}"/>
    <cellStyle name="Comma 2 2 3 13 3" xfId="39358" xr:uid="{F7812D59-ABC2-4C26-B2F4-E5918BAB85F3}"/>
    <cellStyle name="Comma 2 2 3 14" xfId="15166" xr:uid="{1E01E8C1-A487-470B-8F9B-90E22EE34A02}"/>
    <cellStyle name="Comma 2 2 3 14 2" xfId="45406" xr:uid="{0D71B55F-DB6D-41D7-B417-530F9D9D3E22}"/>
    <cellStyle name="Comma 2 2 3 15" xfId="30286" xr:uid="{E8D70CF9-6F04-487E-BAD5-1F7BE14003B6}"/>
    <cellStyle name="Comma 2 2 3 2" xfId="88" xr:uid="{DCDC5C9A-2C9F-49E6-9A10-5E0C3E906017}"/>
    <cellStyle name="Comma 2 2 3 2 10" xfId="6136" xr:uid="{93DF6887-CA9D-42A2-8BA3-34468861C3F1}"/>
    <cellStyle name="Comma 2 2 3 2 10 2" xfId="21256" xr:uid="{7289B2DA-C3D6-4198-96EA-55B5C04EC3FA}"/>
    <cellStyle name="Comma 2 2 3 2 10 2 2" xfId="51496" xr:uid="{8F657219-AD7A-49A4-AC6B-0DCFE572368B}"/>
    <cellStyle name="Comma 2 2 3 2 10 3" xfId="36376" xr:uid="{BF20DA16-CD79-48E6-AA63-5E78D0201FBC}"/>
    <cellStyle name="Comma 2 2 3 2 11" xfId="7648" xr:uid="{23CD930A-6A55-4154-851C-39A039D56C81}"/>
    <cellStyle name="Comma 2 2 3 2 11 2" xfId="22768" xr:uid="{2394F733-1BCF-4BCB-8B90-4D96C278C28C}"/>
    <cellStyle name="Comma 2 2 3 2 11 2 2" xfId="53008" xr:uid="{749215B4-EBFC-42C3-B1F3-A4142E013260}"/>
    <cellStyle name="Comma 2 2 3 2 11 3" xfId="37888" xr:uid="{BF0CEF12-0123-4531-B70A-6237809CD33C}"/>
    <cellStyle name="Comma 2 2 3 2 12" xfId="9160" xr:uid="{9B4256BF-B578-43BA-BF0D-EC8E2C3F3502}"/>
    <cellStyle name="Comma 2 2 3 2 12 2" xfId="24280" xr:uid="{D78BDD4C-9D93-45F8-A627-7F9900205211}"/>
    <cellStyle name="Comma 2 2 3 2 12 2 2" xfId="54520" xr:uid="{B1F20172-C97A-4D2C-87AF-5DE83A92878B}"/>
    <cellStyle name="Comma 2 2 3 2 12 3" xfId="39400" xr:uid="{EDD99B6F-7BD7-4E3A-8ED5-BA433973C402}"/>
    <cellStyle name="Comma 2 2 3 2 13" xfId="15208" xr:uid="{64E4134A-6D3A-4888-B3FE-0E849A7F3CBD}"/>
    <cellStyle name="Comma 2 2 3 2 13 2" xfId="45448" xr:uid="{B42747BB-B4A1-4309-AE3E-65B10E0FACA4}"/>
    <cellStyle name="Comma 2 2 3 2 14" xfId="30328" xr:uid="{3A7520ED-EE7F-425B-AA27-BE0CC6B8C28D}"/>
    <cellStyle name="Comma 2 2 3 2 2" xfId="172" xr:uid="{CCF36A5F-0FC3-416F-92BA-85AADD1015C1}"/>
    <cellStyle name="Comma 2 2 3 2 2 10" xfId="9244" xr:uid="{9314CA46-78DB-49DA-ADF6-EF848B8D0E2E}"/>
    <cellStyle name="Comma 2 2 3 2 2 10 2" xfId="24364" xr:uid="{B896A623-DB34-4542-B168-982A98934510}"/>
    <cellStyle name="Comma 2 2 3 2 2 10 2 2" xfId="54604" xr:uid="{D5036797-AB6E-4170-9D6B-3C3716AC9FB9}"/>
    <cellStyle name="Comma 2 2 3 2 2 10 3" xfId="39484" xr:uid="{8845812B-487B-4A56-AAF8-1E16C871D126}"/>
    <cellStyle name="Comma 2 2 3 2 2 11" xfId="15292" xr:uid="{39BA966D-109E-4519-B04C-1464F3F39568}"/>
    <cellStyle name="Comma 2 2 3 2 2 11 2" xfId="45532" xr:uid="{636FA853-3AB4-4CA2-817B-832D5580B09B}"/>
    <cellStyle name="Comma 2 2 3 2 2 12" xfId="30412" xr:uid="{09EF1F92-7C55-4A98-AF8D-9B7DD1CFC2F0}"/>
    <cellStyle name="Comma 2 2 3 2 2 2" xfId="424" xr:uid="{602CE520-96F5-48C9-8DE8-32328936BB8B}"/>
    <cellStyle name="Comma 2 2 3 2 2 2 10" xfId="30664" xr:uid="{38692166-C8C8-4A40-92C1-534ED1804217}"/>
    <cellStyle name="Comma 2 2 3 2 2 2 2" xfId="1180" xr:uid="{9A31D65C-E0B8-4FB7-B9F9-FF7E9C7CFDB7}"/>
    <cellStyle name="Comma 2 2 3 2 2 2 2 2" xfId="2692" xr:uid="{C867E161-9E31-454D-8A5D-735AF0851186}"/>
    <cellStyle name="Comma 2 2 3 2 2 2 2 2 2" xfId="11764" xr:uid="{6FF1C213-1B24-4A2B-B842-2E6E20C87FF0}"/>
    <cellStyle name="Comma 2 2 3 2 2 2 2 2 2 2" xfId="26884" xr:uid="{BC8581F9-3C85-4B46-8A62-14465D911B30}"/>
    <cellStyle name="Comma 2 2 3 2 2 2 2 2 2 2 2" xfId="57124" xr:uid="{B71812D5-DA9C-4EFB-9873-CBAED476C39A}"/>
    <cellStyle name="Comma 2 2 3 2 2 2 2 2 2 3" xfId="42004" xr:uid="{8028C1DB-9676-4E92-84A5-9505FCFAF64F}"/>
    <cellStyle name="Comma 2 2 3 2 2 2 2 2 3" xfId="17812" xr:uid="{07851E05-5474-4FCF-BC1C-630152432D0F}"/>
    <cellStyle name="Comma 2 2 3 2 2 2 2 2 3 2" xfId="48052" xr:uid="{B136380A-A46B-4D8A-A2FB-E3173FA3560B}"/>
    <cellStyle name="Comma 2 2 3 2 2 2 2 2 4" xfId="32932" xr:uid="{57F01BE0-E36B-4045-89F2-F24930173C14}"/>
    <cellStyle name="Comma 2 2 3 2 2 2 2 3" xfId="4204" xr:uid="{3C6CE8A4-7977-4BCD-AC09-D891ED6A534D}"/>
    <cellStyle name="Comma 2 2 3 2 2 2 2 3 2" xfId="13276" xr:uid="{E0CA07AA-CEFD-4874-A867-DF4FEF1CAB5B}"/>
    <cellStyle name="Comma 2 2 3 2 2 2 2 3 2 2" xfId="28396" xr:uid="{85C2C9B7-82D1-4C1B-BC02-AF86BE4EFD39}"/>
    <cellStyle name="Comma 2 2 3 2 2 2 2 3 2 2 2" xfId="58636" xr:uid="{C95F4021-CEB3-4364-A7E1-D480F01C66E1}"/>
    <cellStyle name="Comma 2 2 3 2 2 2 2 3 2 3" xfId="43516" xr:uid="{051CDEE3-5A32-41FF-95EA-95950AB91C36}"/>
    <cellStyle name="Comma 2 2 3 2 2 2 2 3 3" xfId="19324" xr:uid="{FB90CEE4-72A4-41D4-8D33-20888A331E3D}"/>
    <cellStyle name="Comma 2 2 3 2 2 2 2 3 3 2" xfId="49564" xr:uid="{C0EF6A8C-08CE-4D46-879E-74FCB0DA898C}"/>
    <cellStyle name="Comma 2 2 3 2 2 2 2 3 4" xfId="34444" xr:uid="{71B14751-6493-4C84-ADEE-6103EEC1109C}"/>
    <cellStyle name="Comma 2 2 3 2 2 2 2 4" xfId="5716" xr:uid="{F8C774F1-7F0B-4957-B926-15DBF775922C}"/>
    <cellStyle name="Comma 2 2 3 2 2 2 2 4 2" xfId="14788" xr:uid="{3E2315FF-41D1-4E1A-98DA-6D5E8024EA65}"/>
    <cellStyle name="Comma 2 2 3 2 2 2 2 4 2 2" xfId="29908" xr:uid="{7D95A46F-2469-4D75-BAB7-F0B6699C1CB4}"/>
    <cellStyle name="Comma 2 2 3 2 2 2 2 4 2 2 2" xfId="60148" xr:uid="{70B909BE-3F21-45D0-814F-59040BDA0DA7}"/>
    <cellStyle name="Comma 2 2 3 2 2 2 2 4 2 3" xfId="45028" xr:uid="{0986C9AA-8C19-4E4A-95E4-DD1911E5822C}"/>
    <cellStyle name="Comma 2 2 3 2 2 2 2 4 3" xfId="20836" xr:uid="{1DE0B25F-6867-49DA-B8AE-970E4AD42CD1}"/>
    <cellStyle name="Comma 2 2 3 2 2 2 2 4 3 2" xfId="51076" xr:uid="{6803F60D-D922-43AC-8616-AC36F365921B}"/>
    <cellStyle name="Comma 2 2 3 2 2 2 2 4 4" xfId="35956" xr:uid="{C753F1D6-BDF7-4952-9E4B-D6A1858CCEB7}"/>
    <cellStyle name="Comma 2 2 3 2 2 2 2 5" xfId="7228" xr:uid="{0027F12A-3693-4B7E-AC94-BEC656EEE0B7}"/>
    <cellStyle name="Comma 2 2 3 2 2 2 2 5 2" xfId="22348" xr:uid="{66F6842B-11A3-4283-9E5B-415E9B6CEEE2}"/>
    <cellStyle name="Comma 2 2 3 2 2 2 2 5 2 2" xfId="52588" xr:uid="{B9DF2D7D-399D-413C-8A04-2A7BE7819EF2}"/>
    <cellStyle name="Comma 2 2 3 2 2 2 2 5 3" xfId="37468" xr:uid="{AB5F9EA8-EB13-4A55-9329-556921E21975}"/>
    <cellStyle name="Comma 2 2 3 2 2 2 2 6" xfId="8740" xr:uid="{45F6AD4B-8DAF-4AA9-9596-D1AFCA4A6C4F}"/>
    <cellStyle name="Comma 2 2 3 2 2 2 2 6 2" xfId="23860" xr:uid="{A2D5872B-AE16-4D24-8397-6BC32FC7DAAB}"/>
    <cellStyle name="Comma 2 2 3 2 2 2 2 6 2 2" xfId="54100" xr:uid="{6AA59155-0140-4353-8BF9-08C2BCBDA41E}"/>
    <cellStyle name="Comma 2 2 3 2 2 2 2 6 3" xfId="38980" xr:uid="{AC568516-117A-4092-9A1F-44B55846D133}"/>
    <cellStyle name="Comma 2 2 3 2 2 2 2 7" xfId="10252" xr:uid="{50009C13-891F-4B1A-8C49-33175D2CE5F6}"/>
    <cellStyle name="Comma 2 2 3 2 2 2 2 7 2" xfId="25372" xr:uid="{E71F7B93-8213-4CB6-8CEB-F645595357C0}"/>
    <cellStyle name="Comma 2 2 3 2 2 2 2 7 2 2" xfId="55612" xr:uid="{B34C1C55-17FF-413C-BDE7-8195D266AA9D}"/>
    <cellStyle name="Comma 2 2 3 2 2 2 2 7 3" xfId="40492" xr:uid="{63CF7693-3CEA-4567-846B-8D316BFDCE21}"/>
    <cellStyle name="Comma 2 2 3 2 2 2 2 8" xfId="16300" xr:uid="{0C6CB9E5-0F3A-4874-A326-3BBF53B78D88}"/>
    <cellStyle name="Comma 2 2 3 2 2 2 2 8 2" xfId="46540" xr:uid="{18731DCC-4CDB-4FE4-A864-4ECBF55E7968}"/>
    <cellStyle name="Comma 2 2 3 2 2 2 2 9" xfId="31420" xr:uid="{DBD3DDE3-70D1-4345-9E9E-81CC26B8BDE8}"/>
    <cellStyle name="Comma 2 2 3 2 2 2 3" xfId="1936" xr:uid="{533949B9-2836-4F14-9A08-363B9DBF895D}"/>
    <cellStyle name="Comma 2 2 3 2 2 2 3 2" xfId="11008" xr:uid="{086C4554-17F2-41EA-A95B-F9AC17602146}"/>
    <cellStyle name="Comma 2 2 3 2 2 2 3 2 2" xfId="26128" xr:uid="{02A59A2F-B15E-4460-B058-337BEC029C8F}"/>
    <cellStyle name="Comma 2 2 3 2 2 2 3 2 2 2" xfId="56368" xr:uid="{91FFAE97-A1DA-4E5A-AA6D-20E59D37511B}"/>
    <cellStyle name="Comma 2 2 3 2 2 2 3 2 3" xfId="41248" xr:uid="{2DE9DB44-FDB1-4CF8-B1D3-04D285F42522}"/>
    <cellStyle name="Comma 2 2 3 2 2 2 3 3" xfId="17056" xr:uid="{22467C95-6DD5-49E9-8B0D-CF7BD122B229}"/>
    <cellStyle name="Comma 2 2 3 2 2 2 3 3 2" xfId="47296" xr:uid="{D70ED3C5-E714-49E2-94B9-333B2FB096F9}"/>
    <cellStyle name="Comma 2 2 3 2 2 2 3 4" xfId="32176" xr:uid="{5EE74C45-A509-42C2-B752-1C54FD5E86FA}"/>
    <cellStyle name="Comma 2 2 3 2 2 2 4" xfId="3448" xr:uid="{D5F7EED5-88B4-4E77-A19F-6ED895C48B36}"/>
    <cellStyle name="Comma 2 2 3 2 2 2 4 2" xfId="12520" xr:uid="{6E3534AB-91C4-4212-9019-ABFB7193FB2C}"/>
    <cellStyle name="Comma 2 2 3 2 2 2 4 2 2" xfId="27640" xr:uid="{ABB810D9-0648-4F6A-947B-2BDBF568F476}"/>
    <cellStyle name="Comma 2 2 3 2 2 2 4 2 2 2" xfId="57880" xr:uid="{2E16861D-541B-46A8-850C-490925408AD5}"/>
    <cellStyle name="Comma 2 2 3 2 2 2 4 2 3" xfId="42760" xr:uid="{12F59642-3ED5-42C3-84D5-B25AB5BEAFFC}"/>
    <cellStyle name="Comma 2 2 3 2 2 2 4 3" xfId="18568" xr:uid="{06A3BD69-A51D-45F9-91E6-617EE9003CB3}"/>
    <cellStyle name="Comma 2 2 3 2 2 2 4 3 2" xfId="48808" xr:uid="{A4D97DEB-78EF-4D85-9CEC-3FCD7649F2D6}"/>
    <cellStyle name="Comma 2 2 3 2 2 2 4 4" xfId="33688" xr:uid="{D2648CE6-EFE1-4891-839E-14F10383E759}"/>
    <cellStyle name="Comma 2 2 3 2 2 2 5" xfId="4960" xr:uid="{9C287BE5-26F9-40E0-AADA-EA44F4B45850}"/>
    <cellStyle name="Comma 2 2 3 2 2 2 5 2" xfId="14032" xr:uid="{ACE14479-5864-4219-8535-6420DE91674A}"/>
    <cellStyle name="Comma 2 2 3 2 2 2 5 2 2" xfId="29152" xr:uid="{C9460558-1C38-436E-AC43-4166C0F22245}"/>
    <cellStyle name="Comma 2 2 3 2 2 2 5 2 2 2" xfId="59392" xr:uid="{400DE7B3-1258-4615-A5BF-0C1DFB36C3BE}"/>
    <cellStyle name="Comma 2 2 3 2 2 2 5 2 3" xfId="44272" xr:uid="{82590B27-8555-4536-9189-182CBEDE4111}"/>
    <cellStyle name="Comma 2 2 3 2 2 2 5 3" xfId="20080" xr:uid="{6D2449AC-CDD1-4EB9-8BA7-233D0C37D37D}"/>
    <cellStyle name="Comma 2 2 3 2 2 2 5 3 2" xfId="50320" xr:uid="{21E869D1-874E-401B-B234-3DD506B4B35F}"/>
    <cellStyle name="Comma 2 2 3 2 2 2 5 4" xfId="35200" xr:uid="{638AAE1C-644D-43BF-BFB8-931C816FE98A}"/>
    <cellStyle name="Comma 2 2 3 2 2 2 6" xfId="6472" xr:uid="{9CD48BC6-D9DF-4926-B58F-AAA888B6B5E3}"/>
    <cellStyle name="Comma 2 2 3 2 2 2 6 2" xfId="21592" xr:uid="{F961F8B7-912F-44E0-AE67-6AE0AF1D001F}"/>
    <cellStyle name="Comma 2 2 3 2 2 2 6 2 2" xfId="51832" xr:uid="{0E949AD9-D58D-473E-9E35-02F2CDA2C603}"/>
    <cellStyle name="Comma 2 2 3 2 2 2 6 3" xfId="36712" xr:uid="{2AC5EDE0-C16B-4331-BCE9-59B04D625FE7}"/>
    <cellStyle name="Comma 2 2 3 2 2 2 7" xfId="7984" xr:uid="{ACBB6C66-CC84-46F2-B491-030F66FA16DA}"/>
    <cellStyle name="Comma 2 2 3 2 2 2 7 2" xfId="23104" xr:uid="{C5A0EE83-E3B7-46D8-BDDD-3F0D16245B43}"/>
    <cellStyle name="Comma 2 2 3 2 2 2 7 2 2" xfId="53344" xr:uid="{4761AB6E-D636-4235-92D0-BC94F24503EF}"/>
    <cellStyle name="Comma 2 2 3 2 2 2 7 3" xfId="38224" xr:uid="{3BAE803B-7B52-452C-B343-520F456479D7}"/>
    <cellStyle name="Comma 2 2 3 2 2 2 8" xfId="9496" xr:uid="{55F27767-8AF8-44BC-9ED0-B72CDF36AEB5}"/>
    <cellStyle name="Comma 2 2 3 2 2 2 8 2" xfId="24616" xr:uid="{8DE46A4B-806A-4ADF-BC50-561A122A418E}"/>
    <cellStyle name="Comma 2 2 3 2 2 2 8 2 2" xfId="54856" xr:uid="{46930E71-5683-4B0B-8C39-834B22183B0E}"/>
    <cellStyle name="Comma 2 2 3 2 2 2 8 3" xfId="39736" xr:uid="{BFF40F5D-EC60-44BB-A529-8AAF18E7ED7A}"/>
    <cellStyle name="Comma 2 2 3 2 2 2 9" xfId="15544" xr:uid="{775C1EAD-6847-4302-B0D9-AD71E6B4CBFB}"/>
    <cellStyle name="Comma 2 2 3 2 2 2 9 2" xfId="45784" xr:uid="{F293F930-5149-4D33-924D-E8BD7AE59B1C}"/>
    <cellStyle name="Comma 2 2 3 2 2 3" xfId="676" xr:uid="{76A699FA-83FB-4B7F-9526-D73BD03F28DE}"/>
    <cellStyle name="Comma 2 2 3 2 2 3 10" xfId="30916" xr:uid="{0D2B328F-5583-4F75-A39D-F7D6E342D53F}"/>
    <cellStyle name="Comma 2 2 3 2 2 3 2" xfId="1432" xr:uid="{26391AF7-B3F4-4F4C-A761-B7F607C50C07}"/>
    <cellStyle name="Comma 2 2 3 2 2 3 2 2" xfId="2944" xr:uid="{12F45F48-2B83-4F12-93E7-BA164D32A3BE}"/>
    <cellStyle name="Comma 2 2 3 2 2 3 2 2 2" xfId="12016" xr:uid="{316E5208-F486-4F70-937F-A91735D5B2C3}"/>
    <cellStyle name="Comma 2 2 3 2 2 3 2 2 2 2" xfId="27136" xr:uid="{E8224764-1FE9-438C-BFC1-7240A4D886FB}"/>
    <cellStyle name="Comma 2 2 3 2 2 3 2 2 2 2 2" xfId="57376" xr:uid="{27E4F288-E8F1-408D-8708-88CE16D17237}"/>
    <cellStyle name="Comma 2 2 3 2 2 3 2 2 2 3" xfId="42256" xr:uid="{D9DCA0F2-04DE-4598-9D02-981530976EE4}"/>
    <cellStyle name="Comma 2 2 3 2 2 3 2 2 3" xfId="18064" xr:uid="{91972855-D670-4FCF-A9EA-70A06838CC43}"/>
    <cellStyle name="Comma 2 2 3 2 2 3 2 2 3 2" xfId="48304" xr:uid="{2D2EDF20-2740-4261-8116-DC1A5614CD2C}"/>
    <cellStyle name="Comma 2 2 3 2 2 3 2 2 4" xfId="33184" xr:uid="{C2922B14-F408-45F3-B6D4-BB325CCB4347}"/>
    <cellStyle name="Comma 2 2 3 2 2 3 2 3" xfId="4456" xr:uid="{C9736EBE-1DF6-4AE2-80B4-98653B9BD0DA}"/>
    <cellStyle name="Comma 2 2 3 2 2 3 2 3 2" xfId="13528" xr:uid="{7DD11009-ECF1-4F20-907B-D4B6989D0CC7}"/>
    <cellStyle name="Comma 2 2 3 2 2 3 2 3 2 2" xfId="28648" xr:uid="{AF820577-A18A-498B-9896-9B64BC36662F}"/>
    <cellStyle name="Comma 2 2 3 2 2 3 2 3 2 2 2" xfId="58888" xr:uid="{A5D5C574-2D98-4419-BF9B-2270CE51FBCA}"/>
    <cellStyle name="Comma 2 2 3 2 2 3 2 3 2 3" xfId="43768" xr:uid="{C64CE09B-604E-49F2-9FFE-E8FA22FDAA59}"/>
    <cellStyle name="Comma 2 2 3 2 2 3 2 3 3" xfId="19576" xr:uid="{1C106D4D-C65D-493D-91D8-0C820CEFE66F}"/>
    <cellStyle name="Comma 2 2 3 2 2 3 2 3 3 2" xfId="49816" xr:uid="{ED321E3B-AA71-4F7B-9DBD-0A2111730899}"/>
    <cellStyle name="Comma 2 2 3 2 2 3 2 3 4" xfId="34696" xr:uid="{B1179ECE-80E9-47AA-89FD-1F222E053023}"/>
    <cellStyle name="Comma 2 2 3 2 2 3 2 4" xfId="5968" xr:uid="{A4AE0005-D7FB-4F83-9339-FF4C0BAEFBAF}"/>
    <cellStyle name="Comma 2 2 3 2 2 3 2 4 2" xfId="15040" xr:uid="{BAE046DF-C0AB-429D-85D3-6DCAB3FEC260}"/>
    <cellStyle name="Comma 2 2 3 2 2 3 2 4 2 2" xfId="30160" xr:uid="{63B9CF07-EC42-490C-8C39-762A442A83EB}"/>
    <cellStyle name="Comma 2 2 3 2 2 3 2 4 2 2 2" xfId="60400" xr:uid="{B807E004-A4DB-4AA5-89A5-2FBFA018BF98}"/>
    <cellStyle name="Comma 2 2 3 2 2 3 2 4 2 3" xfId="45280" xr:uid="{B214F818-5589-46DF-9DFA-7AA0B1FD41AD}"/>
    <cellStyle name="Comma 2 2 3 2 2 3 2 4 3" xfId="21088" xr:uid="{3641F078-F508-437E-B62F-4960FFFF5E2D}"/>
    <cellStyle name="Comma 2 2 3 2 2 3 2 4 3 2" xfId="51328" xr:uid="{B13878E7-19AF-4334-9891-BE4E7CA8BA64}"/>
    <cellStyle name="Comma 2 2 3 2 2 3 2 4 4" xfId="36208" xr:uid="{1F87A5F7-EDEF-4B6E-97F5-6D2A3A834F80}"/>
    <cellStyle name="Comma 2 2 3 2 2 3 2 5" xfId="7480" xr:uid="{365F8670-F1C6-4646-ABBD-537557BEDBAF}"/>
    <cellStyle name="Comma 2 2 3 2 2 3 2 5 2" xfId="22600" xr:uid="{B10B7B4E-B5EB-4376-A4ED-3ACA58FEFE50}"/>
    <cellStyle name="Comma 2 2 3 2 2 3 2 5 2 2" xfId="52840" xr:uid="{4C2F23A8-42FF-4057-9B50-2D6A6B106AF8}"/>
    <cellStyle name="Comma 2 2 3 2 2 3 2 5 3" xfId="37720" xr:uid="{EBEDC68B-5BEA-4866-922C-DC5F446C2FC1}"/>
    <cellStyle name="Comma 2 2 3 2 2 3 2 6" xfId="8992" xr:uid="{FC6A38D9-04BA-47BD-B2E1-6080E9E89E0C}"/>
    <cellStyle name="Comma 2 2 3 2 2 3 2 6 2" xfId="24112" xr:uid="{D4CFEF67-0124-4310-92F2-C4ECCA59050A}"/>
    <cellStyle name="Comma 2 2 3 2 2 3 2 6 2 2" xfId="54352" xr:uid="{59393134-0C70-4D02-9FDC-BB3D92EEAB9D}"/>
    <cellStyle name="Comma 2 2 3 2 2 3 2 6 3" xfId="39232" xr:uid="{4EB29358-B500-47B7-8BC7-FC3E0F6E5F16}"/>
    <cellStyle name="Comma 2 2 3 2 2 3 2 7" xfId="10504" xr:uid="{5BE14A20-BD61-471C-A9CC-66C6625FEF72}"/>
    <cellStyle name="Comma 2 2 3 2 2 3 2 7 2" xfId="25624" xr:uid="{687D4BD9-C3C6-4B4E-95B0-C161AEBDEA29}"/>
    <cellStyle name="Comma 2 2 3 2 2 3 2 7 2 2" xfId="55864" xr:uid="{3DF4B163-0E33-40E4-BDE7-624A2A82BC8C}"/>
    <cellStyle name="Comma 2 2 3 2 2 3 2 7 3" xfId="40744" xr:uid="{5CDB9B65-ED04-41D6-B294-C6A92B4EEF18}"/>
    <cellStyle name="Comma 2 2 3 2 2 3 2 8" xfId="16552" xr:uid="{9C26238B-1ABF-412E-AC4F-102F3FCD390F}"/>
    <cellStyle name="Comma 2 2 3 2 2 3 2 8 2" xfId="46792" xr:uid="{6EBAB560-712F-4968-BC0E-1CC6F07DE2E6}"/>
    <cellStyle name="Comma 2 2 3 2 2 3 2 9" xfId="31672" xr:uid="{85AC23E7-B56F-4C23-881F-95C3454715E3}"/>
    <cellStyle name="Comma 2 2 3 2 2 3 3" xfId="2188" xr:uid="{AC099009-E67D-4E72-BACC-78061CE43667}"/>
    <cellStyle name="Comma 2 2 3 2 2 3 3 2" xfId="11260" xr:uid="{D3470C6B-C60E-40CF-BC7F-7066B9D6C6BD}"/>
    <cellStyle name="Comma 2 2 3 2 2 3 3 2 2" xfId="26380" xr:uid="{77D80AB3-BDDE-4FB0-ADD5-6C3928273462}"/>
    <cellStyle name="Comma 2 2 3 2 2 3 3 2 2 2" xfId="56620" xr:uid="{31993843-F145-413E-9A69-5FCD414AEB27}"/>
    <cellStyle name="Comma 2 2 3 2 2 3 3 2 3" xfId="41500" xr:uid="{C6ACE695-F146-4BFE-B659-5263ACDB6E41}"/>
    <cellStyle name="Comma 2 2 3 2 2 3 3 3" xfId="17308" xr:uid="{5DAAC449-4F6F-41A2-915C-9BB801674E4C}"/>
    <cellStyle name="Comma 2 2 3 2 2 3 3 3 2" xfId="47548" xr:uid="{53CED5E5-23A5-4189-8629-B205CF1A3B1C}"/>
    <cellStyle name="Comma 2 2 3 2 2 3 3 4" xfId="32428" xr:uid="{98B57811-3BEB-47B4-B14D-4E55A894B629}"/>
    <cellStyle name="Comma 2 2 3 2 2 3 4" xfId="3700" xr:uid="{AB693719-FA34-46C3-86BA-60D93896EF0E}"/>
    <cellStyle name="Comma 2 2 3 2 2 3 4 2" xfId="12772" xr:uid="{A3690773-82F2-49D7-BB51-04D0A5C35D34}"/>
    <cellStyle name="Comma 2 2 3 2 2 3 4 2 2" xfId="27892" xr:uid="{D8E25087-AE93-49FD-9CA5-EB44F68D939A}"/>
    <cellStyle name="Comma 2 2 3 2 2 3 4 2 2 2" xfId="58132" xr:uid="{922B888D-5FB3-4E50-A687-FF72B26B5F67}"/>
    <cellStyle name="Comma 2 2 3 2 2 3 4 2 3" xfId="43012" xr:uid="{3D23BECD-A0A6-46A1-AD1F-25C31421B09B}"/>
    <cellStyle name="Comma 2 2 3 2 2 3 4 3" xfId="18820" xr:uid="{6403B276-24B8-4135-8F05-3EDA3DF92B1A}"/>
    <cellStyle name="Comma 2 2 3 2 2 3 4 3 2" xfId="49060" xr:uid="{85905586-2BFE-4973-9E7B-A0CADFD31AC1}"/>
    <cellStyle name="Comma 2 2 3 2 2 3 4 4" xfId="33940" xr:uid="{80CF2B5E-72AC-4C7B-AFC7-7D97C30A3545}"/>
    <cellStyle name="Comma 2 2 3 2 2 3 5" xfId="5212" xr:uid="{19570704-BC21-4721-AD86-94160CD211EF}"/>
    <cellStyle name="Comma 2 2 3 2 2 3 5 2" xfId="14284" xr:uid="{C586D8FA-CBAB-4BCD-B6A0-B7CCDE2D4305}"/>
    <cellStyle name="Comma 2 2 3 2 2 3 5 2 2" xfId="29404" xr:uid="{C1A31B4C-558A-474C-914D-FFD466C76988}"/>
    <cellStyle name="Comma 2 2 3 2 2 3 5 2 2 2" xfId="59644" xr:uid="{6918F5FC-CC1D-4246-AD6B-EC2C36C50DFB}"/>
    <cellStyle name="Comma 2 2 3 2 2 3 5 2 3" xfId="44524" xr:uid="{AA7EE497-E7B2-4CE4-AA13-3250025E0484}"/>
    <cellStyle name="Comma 2 2 3 2 2 3 5 3" xfId="20332" xr:uid="{2F3602E4-FCE9-4249-98AC-8F5927113101}"/>
    <cellStyle name="Comma 2 2 3 2 2 3 5 3 2" xfId="50572" xr:uid="{000CE67C-9884-443C-B2BC-C08A45EF9DE4}"/>
    <cellStyle name="Comma 2 2 3 2 2 3 5 4" xfId="35452" xr:uid="{0C7B75EF-21D3-46BC-855F-CE186A032DBC}"/>
    <cellStyle name="Comma 2 2 3 2 2 3 6" xfId="6724" xr:uid="{38D746AB-F872-4042-9335-6C9943E3AE8C}"/>
    <cellStyle name="Comma 2 2 3 2 2 3 6 2" xfId="21844" xr:uid="{378F28E1-F542-40F2-B582-D4A5B4296123}"/>
    <cellStyle name="Comma 2 2 3 2 2 3 6 2 2" xfId="52084" xr:uid="{C5C26A85-D2DE-437A-8220-D22D42901F6D}"/>
    <cellStyle name="Comma 2 2 3 2 2 3 6 3" xfId="36964" xr:uid="{10E7EBCD-CDC1-49C7-93FB-AA6C3E163C75}"/>
    <cellStyle name="Comma 2 2 3 2 2 3 7" xfId="8236" xr:uid="{53EF08DD-7F9E-43C8-A7F2-3C8EDE9BA5D2}"/>
    <cellStyle name="Comma 2 2 3 2 2 3 7 2" xfId="23356" xr:uid="{1957B534-0702-4FCE-8328-10B1FA799513}"/>
    <cellStyle name="Comma 2 2 3 2 2 3 7 2 2" xfId="53596" xr:uid="{57843415-15ED-472F-9F31-90BC4604B54F}"/>
    <cellStyle name="Comma 2 2 3 2 2 3 7 3" xfId="38476" xr:uid="{4D94BB9D-6B25-42D6-B86B-FBFB2CCFB354}"/>
    <cellStyle name="Comma 2 2 3 2 2 3 8" xfId="9748" xr:uid="{CE12B427-3CC8-4234-8880-060E62F8FB64}"/>
    <cellStyle name="Comma 2 2 3 2 2 3 8 2" xfId="24868" xr:uid="{CE4575FE-D31E-4D2C-98A4-3542A38B37B4}"/>
    <cellStyle name="Comma 2 2 3 2 2 3 8 2 2" xfId="55108" xr:uid="{36D2FAC2-DF07-40A6-93D5-D298CE98BAA8}"/>
    <cellStyle name="Comma 2 2 3 2 2 3 8 3" xfId="39988" xr:uid="{7D3D9002-01A9-4508-AE34-11036ABE8FA0}"/>
    <cellStyle name="Comma 2 2 3 2 2 3 9" xfId="15796" xr:uid="{33BC19CF-84CB-4F18-9848-FB47FD3C3CC1}"/>
    <cellStyle name="Comma 2 2 3 2 2 3 9 2" xfId="46036" xr:uid="{DC5F09B8-1DB1-4CC2-98EB-A81F53382BB5}"/>
    <cellStyle name="Comma 2 2 3 2 2 4" xfId="928" xr:uid="{813F22DC-A955-4A38-AA72-FAB23B1BC84A}"/>
    <cellStyle name="Comma 2 2 3 2 2 4 2" xfId="2440" xr:uid="{E42D068B-090D-4D33-8121-A0DE62A95335}"/>
    <cellStyle name="Comma 2 2 3 2 2 4 2 2" xfId="11512" xr:uid="{88BB5DB8-C7DC-4DCA-8B6A-71E6409578E9}"/>
    <cellStyle name="Comma 2 2 3 2 2 4 2 2 2" xfId="26632" xr:uid="{22433E3D-29D0-47D0-80EB-B5E61C9236EB}"/>
    <cellStyle name="Comma 2 2 3 2 2 4 2 2 2 2" xfId="56872" xr:uid="{3D8325FA-A862-4BA5-805E-CE40C4382919}"/>
    <cellStyle name="Comma 2 2 3 2 2 4 2 2 3" xfId="41752" xr:uid="{6126BE7E-972A-4FA8-B899-896FBBB6DC1E}"/>
    <cellStyle name="Comma 2 2 3 2 2 4 2 3" xfId="17560" xr:uid="{DA881127-03ED-4A6F-90EB-41C19E814F05}"/>
    <cellStyle name="Comma 2 2 3 2 2 4 2 3 2" xfId="47800" xr:uid="{EAE5873A-31DB-4B18-89F8-CDEFBA76ED76}"/>
    <cellStyle name="Comma 2 2 3 2 2 4 2 4" xfId="32680" xr:uid="{4FAE9CED-A92F-4DD5-9693-437F181AB400}"/>
    <cellStyle name="Comma 2 2 3 2 2 4 3" xfId="3952" xr:uid="{7FB80B16-A888-4733-8374-D7591D5E6731}"/>
    <cellStyle name="Comma 2 2 3 2 2 4 3 2" xfId="13024" xr:uid="{6D977F0C-62A7-4EC4-805D-C9A544A578B5}"/>
    <cellStyle name="Comma 2 2 3 2 2 4 3 2 2" xfId="28144" xr:uid="{AB4EA138-85D5-4B91-9362-CF105C9EB060}"/>
    <cellStyle name="Comma 2 2 3 2 2 4 3 2 2 2" xfId="58384" xr:uid="{A30D91D9-D728-4600-B764-95B8FCA6FCCC}"/>
    <cellStyle name="Comma 2 2 3 2 2 4 3 2 3" xfId="43264" xr:uid="{04B02477-A994-42B9-B068-4CDB932B7BDE}"/>
    <cellStyle name="Comma 2 2 3 2 2 4 3 3" xfId="19072" xr:uid="{4489FE89-2E54-4AE9-9B87-550B094006F1}"/>
    <cellStyle name="Comma 2 2 3 2 2 4 3 3 2" xfId="49312" xr:uid="{A4629C43-17B8-47CD-8146-3A512D46FA2F}"/>
    <cellStyle name="Comma 2 2 3 2 2 4 3 4" xfId="34192" xr:uid="{874A3583-7619-41E0-BC30-2F8852D94CC6}"/>
    <cellStyle name="Comma 2 2 3 2 2 4 4" xfId="5464" xr:uid="{FE24A11D-A35E-4D00-9FDF-87099C718551}"/>
    <cellStyle name="Comma 2 2 3 2 2 4 4 2" xfId="14536" xr:uid="{8E626CAB-7DFE-42C4-9785-8C561333A359}"/>
    <cellStyle name="Comma 2 2 3 2 2 4 4 2 2" xfId="29656" xr:uid="{6BC2EDC5-1902-4B77-B0F2-073A4FCD721B}"/>
    <cellStyle name="Comma 2 2 3 2 2 4 4 2 2 2" xfId="59896" xr:uid="{84B2E290-D24E-4408-9D6E-0BD4FD0E4BD9}"/>
    <cellStyle name="Comma 2 2 3 2 2 4 4 2 3" xfId="44776" xr:uid="{B5071208-E6FB-4381-9F1A-92CD0A4435E9}"/>
    <cellStyle name="Comma 2 2 3 2 2 4 4 3" xfId="20584" xr:uid="{FD23693E-87DD-4814-8002-DD8475202E2B}"/>
    <cellStyle name="Comma 2 2 3 2 2 4 4 3 2" xfId="50824" xr:uid="{C40C262F-E051-420F-87EF-30817173CFE9}"/>
    <cellStyle name="Comma 2 2 3 2 2 4 4 4" xfId="35704" xr:uid="{4F3AB087-A054-42C0-8368-9A4456B1B042}"/>
    <cellStyle name="Comma 2 2 3 2 2 4 5" xfId="6976" xr:uid="{E76D0E22-8B42-49C5-AFE3-305193C6A0BD}"/>
    <cellStyle name="Comma 2 2 3 2 2 4 5 2" xfId="22096" xr:uid="{884E89A5-F58A-4244-ACE7-30BAC25E9649}"/>
    <cellStyle name="Comma 2 2 3 2 2 4 5 2 2" xfId="52336" xr:uid="{AB0FA96E-8A2D-4269-8C9D-9C79A99D4BDB}"/>
    <cellStyle name="Comma 2 2 3 2 2 4 5 3" xfId="37216" xr:uid="{96C10A34-7F1D-4011-AB83-CD6CA2564B9C}"/>
    <cellStyle name="Comma 2 2 3 2 2 4 6" xfId="8488" xr:uid="{3214D019-FA48-4F7F-A15F-DF7BBC79CAF5}"/>
    <cellStyle name="Comma 2 2 3 2 2 4 6 2" xfId="23608" xr:uid="{6C286027-C77E-4F2C-A933-3D2FE0ED9B5F}"/>
    <cellStyle name="Comma 2 2 3 2 2 4 6 2 2" xfId="53848" xr:uid="{324588B5-A6D7-4CA6-9C9D-A47E821E4B5F}"/>
    <cellStyle name="Comma 2 2 3 2 2 4 6 3" xfId="38728" xr:uid="{2FBD2BF6-0FED-48CC-8DD0-CE4CD02297C8}"/>
    <cellStyle name="Comma 2 2 3 2 2 4 7" xfId="10000" xr:uid="{77455F5D-54DD-4327-92DB-5CD309A3A589}"/>
    <cellStyle name="Comma 2 2 3 2 2 4 7 2" xfId="25120" xr:uid="{A7C1A95D-72BD-49FD-B4BE-632FCCC6681B}"/>
    <cellStyle name="Comma 2 2 3 2 2 4 7 2 2" xfId="55360" xr:uid="{004C29BD-E313-4045-9119-5F1DF9576B4B}"/>
    <cellStyle name="Comma 2 2 3 2 2 4 7 3" xfId="40240" xr:uid="{87CB02CD-DD04-40B4-A2F0-C4700CF19CC6}"/>
    <cellStyle name="Comma 2 2 3 2 2 4 8" xfId="16048" xr:uid="{B1563D13-322C-4435-973B-A38E88E423B6}"/>
    <cellStyle name="Comma 2 2 3 2 2 4 8 2" xfId="46288" xr:uid="{A39D7D1B-1867-45E1-BF1E-DACF34710BB1}"/>
    <cellStyle name="Comma 2 2 3 2 2 4 9" xfId="31168" xr:uid="{512B7D5C-4466-41D0-81A9-BA8B4637417D}"/>
    <cellStyle name="Comma 2 2 3 2 2 5" xfId="1684" xr:uid="{4BA91539-321A-466D-9285-20B8D0D351D7}"/>
    <cellStyle name="Comma 2 2 3 2 2 5 2" xfId="10756" xr:uid="{9F7A0F20-C8E6-4F29-972F-8AED8492598E}"/>
    <cellStyle name="Comma 2 2 3 2 2 5 2 2" xfId="25876" xr:uid="{E61EA417-F74A-4318-92FA-3D8E98E5861B}"/>
    <cellStyle name="Comma 2 2 3 2 2 5 2 2 2" xfId="56116" xr:uid="{07A02C4E-8008-4905-B0AE-40EC6C50FE20}"/>
    <cellStyle name="Comma 2 2 3 2 2 5 2 3" xfId="40996" xr:uid="{35DE5002-D085-481B-B3D7-FCA114BC2E6E}"/>
    <cellStyle name="Comma 2 2 3 2 2 5 3" xfId="16804" xr:uid="{0A993D95-4546-4283-8520-803768C8F33D}"/>
    <cellStyle name="Comma 2 2 3 2 2 5 3 2" xfId="47044" xr:uid="{4A203861-F2B2-423F-99A8-719435E4D73B}"/>
    <cellStyle name="Comma 2 2 3 2 2 5 4" xfId="31924" xr:uid="{0B6D1470-3703-46E6-BA19-8B0D064C353B}"/>
    <cellStyle name="Comma 2 2 3 2 2 6" xfId="3196" xr:uid="{5A33DD87-DA19-45A3-AE11-827B973F6950}"/>
    <cellStyle name="Comma 2 2 3 2 2 6 2" xfId="12268" xr:uid="{5637D578-C624-47A4-BE27-37C33F35A196}"/>
    <cellStyle name="Comma 2 2 3 2 2 6 2 2" xfId="27388" xr:uid="{195C1334-C1E9-4F48-9FAC-2B4E7EC57FB4}"/>
    <cellStyle name="Comma 2 2 3 2 2 6 2 2 2" xfId="57628" xr:uid="{58541D55-E4FE-4735-A3CA-D13122171701}"/>
    <cellStyle name="Comma 2 2 3 2 2 6 2 3" xfId="42508" xr:uid="{8897E757-373A-497D-8DCB-9E17DEB48AE1}"/>
    <cellStyle name="Comma 2 2 3 2 2 6 3" xfId="18316" xr:uid="{1205D6D4-CC42-4116-83DF-8DF6CACCBABD}"/>
    <cellStyle name="Comma 2 2 3 2 2 6 3 2" xfId="48556" xr:uid="{7269E9BE-9749-486E-8E45-E2C8262E12E0}"/>
    <cellStyle name="Comma 2 2 3 2 2 6 4" xfId="33436" xr:uid="{DFAC36C0-B732-4149-BAE9-A153F078869A}"/>
    <cellStyle name="Comma 2 2 3 2 2 7" xfId="4708" xr:uid="{F8EC641A-A8C9-40AC-BF7D-FC580C4FC8BD}"/>
    <cellStyle name="Comma 2 2 3 2 2 7 2" xfId="13780" xr:uid="{3D5576A8-FEC1-4366-827E-3097FEE5B5C3}"/>
    <cellStyle name="Comma 2 2 3 2 2 7 2 2" xfId="28900" xr:uid="{DC98BEFF-4D7B-4DD8-B430-FA0380421A6B}"/>
    <cellStyle name="Comma 2 2 3 2 2 7 2 2 2" xfId="59140" xr:uid="{06EB12A1-8D5C-47B5-AA64-4FA054AE281C}"/>
    <cellStyle name="Comma 2 2 3 2 2 7 2 3" xfId="44020" xr:uid="{5ADF0BFA-96DB-4320-A873-16B8BC9F5D02}"/>
    <cellStyle name="Comma 2 2 3 2 2 7 3" xfId="19828" xr:uid="{49E658B7-CC50-41AF-8C27-BB8288A17EB3}"/>
    <cellStyle name="Comma 2 2 3 2 2 7 3 2" xfId="50068" xr:uid="{9561E5D1-828C-4CC8-A0D4-393B1CEB328D}"/>
    <cellStyle name="Comma 2 2 3 2 2 7 4" xfId="34948" xr:uid="{0E064F59-8415-43DD-8676-C880B82FA7C8}"/>
    <cellStyle name="Comma 2 2 3 2 2 8" xfId="6220" xr:uid="{1913235F-21CB-4451-A061-89D5EB37E542}"/>
    <cellStyle name="Comma 2 2 3 2 2 8 2" xfId="21340" xr:uid="{A2C6EE77-6422-43E4-AA26-3355E54FC7E6}"/>
    <cellStyle name="Comma 2 2 3 2 2 8 2 2" xfId="51580" xr:uid="{EB672A85-B721-4240-9020-044A4A0E2083}"/>
    <cellStyle name="Comma 2 2 3 2 2 8 3" xfId="36460" xr:uid="{8CAA330B-C5EE-4EDF-9D4E-40743881CCCB}"/>
    <cellStyle name="Comma 2 2 3 2 2 9" xfId="7732" xr:uid="{BE25D70D-74DA-4E78-BCE5-8D2420808561}"/>
    <cellStyle name="Comma 2 2 3 2 2 9 2" xfId="22852" xr:uid="{26801D22-0259-4544-A2EF-854219454D6A}"/>
    <cellStyle name="Comma 2 2 3 2 2 9 2 2" xfId="53092" xr:uid="{2CE570A5-45DB-4178-8160-8F11C548C4A2}"/>
    <cellStyle name="Comma 2 2 3 2 2 9 3" xfId="37972" xr:uid="{7BC75671-C88A-4719-9177-AD60850D85C6}"/>
    <cellStyle name="Comma 2 2 3 2 3" xfId="256" xr:uid="{384DB844-4EA0-4A59-A75F-8CB68F2E1301}"/>
    <cellStyle name="Comma 2 2 3 2 3 10" xfId="9328" xr:uid="{F441039A-382E-4286-B43C-FFBFE154B5D2}"/>
    <cellStyle name="Comma 2 2 3 2 3 10 2" xfId="24448" xr:uid="{2E137815-696D-4D40-B4B3-9DE901768841}"/>
    <cellStyle name="Comma 2 2 3 2 3 10 2 2" xfId="54688" xr:uid="{DB114DAF-32CB-45CB-A130-83E07B56A0F6}"/>
    <cellStyle name="Comma 2 2 3 2 3 10 3" xfId="39568" xr:uid="{933C28FE-DE51-4DF2-98C3-76E0262C9118}"/>
    <cellStyle name="Comma 2 2 3 2 3 11" xfId="15376" xr:uid="{298760BC-08ED-490C-8AF1-AFCCD8B5D71C}"/>
    <cellStyle name="Comma 2 2 3 2 3 11 2" xfId="45616" xr:uid="{C0E501C1-B7E9-45EE-9946-611576D27D97}"/>
    <cellStyle name="Comma 2 2 3 2 3 12" xfId="30496" xr:uid="{F066F13A-E692-44E2-994E-C54D88CB68E8}"/>
    <cellStyle name="Comma 2 2 3 2 3 2" xfId="508" xr:uid="{A8A79AC1-B3A1-45D3-AB9C-5FA87CADB95B}"/>
    <cellStyle name="Comma 2 2 3 2 3 2 10" xfId="30748" xr:uid="{99C1E1BC-4A34-4CA3-8390-435DAFFC6A92}"/>
    <cellStyle name="Comma 2 2 3 2 3 2 2" xfId="1264" xr:uid="{AA199FA9-DD5B-4089-B3EA-F8D186226ED7}"/>
    <cellStyle name="Comma 2 2 3 2 3 2 2 2" xfId="2776" xr:uid="{98D0FCE4-67C0-4EC1-B1BF-28FCCB53E59D}"/>
    <cellStyle name="Comma 2 2 3 2 3 2 2 2 2" xfId="11848" xr:uid="{8DFA6690-4E73-4B2E-8E62-4BC20FCD1D75}"/>
    <cellStyle name="Comma 2 2 3 2 3 2 2 2 2 2" xfId="26968" xr:uid="{34BE7736-35E4-489F-A8DA-914A4EACF369}"/>
    <cellStyle name="Comma 2 2 3 2 3 2 2 2 2 2 2" xfId="57208" xr:uid="{F56A8E7B-2B2D-4C9D-B662-9D5BF4BE1DE2}"/>
    <cellStyle name="Comma 2 2 3 2 3 2 2 2 2 3" xfId="42088" xr:uid="{893D2C77-5B1F-4F09-860D-44A7BD6E2D98}"/>
    <cellStyle name="Comma 2 2 3 2 3 2 2 2 3" xfId="17896" xr:uid="{C61D19FE-5551-4453-955C-93672FD7CE52}"/>
    <cellStyle name="Comma 2 2 3 2 3 2 2 2 3 2" xfId="48136" xr:uid="{252FAC90-F8BC-4027-826A-45B4EB751F01}"/>
    <cellStyle name="Comma 2 2 3 2 3 2 2 2 4" xfId="33016" xr:uid="{2EBA07E5-801B-4E5A-8AFA-2F92095971E5}"/>
    <cellStyle name="Comma 2 2 3 2 3 2 2 3" xfId="4288" xr:uid="{4CF96403-BEA6-4516-8AFC-F05AE9F3DD9B}"/>
    <cellStyle name="Comma 2 2 3 2 3 2 2 3 2" xfId="13360" xr:uid="{5B8D54E5-98D4-4A4F-A332-12A4DA7E2460}"/>
    <cellStyle name="Comma 2 2 3 2 3 2 2 3 2 2" xfId="28480" xr:uid="{BD0C5EAF-9061-4C72-98CA-D2C60747ED4B}"/>
    <cellStyle name="Comma 2 2 3 2 3 2 2 3 2 2 2" xfId="58720" xr:uid="{82108CD5-C22C-4953-8754-0B22F05AC6AB}"/>
    <cellStyle name="Comma 2 2 3 2 3 2 2 3 2 3" xfId="43600" xr:uid="{6B13176A-CC5D-4D9A-AA1A-59E34540719D}"/>
    <cellStyle name="Comma 2 2 3 2 3 2 2 3 3" xfId="19408" xr:uid="{5DC2EFDC-0F5D-458A-BA67-6BDE4D9B8105}"/>
    <cellStyle name="Comma 2 2 3 2 3 2 2 3 3 2" xfId="49648" xr:uid="{8BFE9C37-DCE1-4AC0-B2DE-906CBEFF56B9}"/>
    <cellStyle name="Comma 2 2 3 2 3 2 2 3 4" xfId="34528" xr:uid="{6D6796D3-CCF8-4A61-9B45-9D115266A18B}"/>
    <cellStyle name="Comma 2 2 3 2 3 2 2 4" xfId="5800" xr:uid="{23169152-FA6F-4F9B-ACF5-4616009166B7}"/>
    <cellStyle name="Comma 2 2 3 2 3 2 2 4 2" xfId="14872" xr:uid="{C9C37BC5-C9CA-4271-A2A3-F08B4EC26B45}"/>
    <cellStyle name="Comma 2 2 3 2 3 2 2 4 2 2" xfId="29992" xr:uid="{400C4FD5-7F4B-4869-BDD2-B6E5061EAC66}"/>
    <cellStyle name="Comma 2 2 3 2 3 2 2 4 2 2 2" xfId="60232" xr:uid="{6052391A-F09E-4B23-BF11-80B0C77703EA}"/>
    <cellStyle name="Comma 2 2 3 2 3 2 2 4 2 3" xfId="45112" xr:uid="{D0DD9A11-17E7-4482-90C9-471E12200DAF}"/>
    <cellStyle name="Comma 2 2 3 2 3 2 2 4 3" xfId="20920" xr:uid="{A64169F5-D68A-46BD-85AD-7C6829738752}"/>
    <cellStyle name="Comma 2 2 3 2 3 2 2 4 3 2" xfId="51160" xr:uid="{9F4E1E7D-6CE6-4CA0-8037-E326F75F4BBD}"/>
    <cellStyle name="Comma 2 2 3 2 3 2 2 4 4" xfId="36040" xr:uid="{80104B4F-887B-4850-AF1F-03CAB75A654D}"/>
    <cellStyle name="Comma 2 2 3 2 3 2 2 5" xfId="7312" xr:uid="{C4392B9E-3B6D-4C34-86D2-BF415B9BE0E9}"/>
    <cellStyle name="Comma 2 2 3 2 3 2 2 5 2" xfId="22432" xr:uid="{213A587D-1DDC-4B53-A655-0968BEB30BF5}"/>
    <cellStyle name="Comma 2 2 3 2 3 2 2 5 2 2" xfId="52672" xr:uid="{E2FD03E3-06BC-4EE4-9F95-B9F4A7E4F6A4}"/>
    <cellStyle name="Comma 2 2 3 2 3 2 2 5 3" xfId="37552" xr:uid="{968FCDA7-2779-4115-A7E6-FFDCA2E12CE3}"/>
    <cellStyle name="Comma 2 2 3 2 3 2 2 6" xfId="8824" xr:uid="{970BABCD-BE97-46A1-BB76-EAA98CCCFE6A}"/>
    <cellStyle name="Comma 2 2 3 2 3 2 2 6 2" xfId="23944" xr:uid="{AD90B4FE-2DBF-404A-B388-1C6B3442C42B}"/>
    <cellStyle name="Comma 2 2 3 2 3 2 2 6 2 2" xfId="54184" xr:uid="{326B05F6-1562-47C2-B152-B6871B619356}"/>
    <cellStyle name="Comma 2 2 3 2 3 2 2 6 3" xfId="39064" xr:uid="{CEC951F5-509C-4650-87F8-EE3510420D7A}"/>
    <cellStyle name="Comma 2 2 3 2 3 2 2 7" xfId="10336" xr:uid="{2EDA8ADF-01B2-4F78-9863-7E0754269FBE}"/>
    <cellStyle name="Comma 2 2 3 2 3 2 2 7 2" xfId="25456" xr:uid="{AA3B5352-D2B9-499C-9BE3-E8779B901D47}"/>
    <cellStyle name="Comma 2 2 3 2 3 2 2 7 2 2" xfId="55696" xr:uid="{1F383F8D-C509-4F7E-86EB-D794942FA221}"/>
    <cellStyle name="Comma 2 2 3 2 3 2 2 7 3" xfId="40576" xr:uid="{4C242973-4858-4F3D-9E48-B6F9BC56C9B9}"/>
    <cellStyle name="Comma 2 2 3 2 3 2 2 8" xfId="16384" xr:uid="{31660918-D502-4C0F-AC69-4930511E9856}"/>
    <cellStyle name="Comma 2 2 3 2 3 2 2 8 2" xfId="46624" xr:uid="{5EA4788B-B058-43CC-8C46-EC094A469658}"/>
    <cellStyle name="Comma 2 2 3 2 3 2 2 9" xfId="31504" xr:uid="{13B30E60-4E4A-4D98-BE73-3254D3E8284F}"/>
    <cellStyle name="Comma 2 2 3 2 3 2 3" xfId="2020" xr:uid="{E256C4F3-49F5-46D9-9812-E7ED7FC234FB}"/>
    <cellStyle name="Comma 2 2 3 2 3 2 3 2" xfId="11092" xr:uid="{70FA9AE1-5BD7-43FE-8BDE-6DE698C296C5}"/>
    <cellStyle name="Comma 2 2 3 2 3 2 3 2 2" xfId="26212" xr:uid="{610704A8-AF5E-48DB-9AFC-D4144425BEA4}"/>
    <cellStyle name="Comma 2 2 3 2 3 2 3 2 2 2" xfId="56452" xr:uid="{9343A0A9-C34D-4296-A6A6-5CB38A497C37}"/>
    <cellStyle name="Comma 2 2 3 2 3 2 3 2 3" xfId="41332" xr:uid="{28B308CD-1A16-4229-BB19-ED69F73452DC}"/>
    <cellStyle name="Comma 2 2 3 2 3 2 3 3" xfId="17140" xr:uid="{0603DD63-B76B-45D9-80B2-9A5D3887F4A3}"/>
    <cellStyle name="Comma 2 2 3 2 3 2 3 3 2" xfId="47380" xr:uid="{2629204D-6B84-4067-ABDA-0C16008053E2}"/>
    <cellStyle name="Comma 2 2 3 2 3 2 3 4" xfId="32260" xr:uid="{82F5E75E-BFAF-4849-A2B4-DD5B21A9C1DC}"/>
    <cellStyle name="Comma 2 2 3 2 3 2 4" xfId="3532" xr:uid="{049BB90A-7D95-467A-9670-098B4BB3B5E6}"/>
    <cellStyle name="Comma 2 2 3 2 3 2 4 2" xfId="12604" xr:uid="{2F09B39F-BADF-46E8-9E5F-EB06201A1AA7}"/>
    <cellStyle name="Comma 2 2 3 2 3 2 4 2 2" xfId="27724" xr:uid="{E54F2478-05E0-4C3E-91BC-929DD911A2CB}"/>
    <cellStyle name="Comma 2 2 3 2 3 2 4 2 2 2" xfId="57964" xr:uid="{532CCAB9-3DA5-4423-BBA6-6C76DC3D5B08}"/>
    <cellStyle name="Comma 2 2 3 2 3 2 4 2 3" xfId="42844" xr:uid="{46B33C6A-C843-4DF0-B861-27EB55F98563}"/>
    <cellStyle name="Comma 2 2 3 2 3 2 4 3" xfId="18652" xr:uid="{38DA52F6-7D40-449E-A384-19C3C099CB81}"/>
    <cellStyle name="Comma 2 2 3 2 3 2 4 3 2" xfId="48892" xr:uid="{3D380DE7-BB78-4BFB-A443-A77850B5BAD1}"/>
    <cellStyle name="Comma 2 2 3 2 3 2 4 4" xfId="33772" xr:uid="{FF4D0B5F-171C-4422-B7A9-F6EE0917B4B1}"/>
    <cellStyle name="Comma 2 2 3 2 3 2 5" xfId="5044" xr:uid="{7874F57B-484F-423D-B1A4-BAD0A324BF12}"/>
    <cellStyle name="Comma 2 2 3 2 3 2 5 2" xfId="14116" xr:uid="{46E35D34-FC78-4A5C-995F-6DAAE03816BC}"/>
    <cellStyle name="Comma 2 2 3 2 3 2 5 2 2" xfId="29236" xr:uid="{97451AD9-A634-4EF1-9B5B-406CDA498FF0}"/>
    <cellStyle name="Comma 2 2 3 2 3 2 5 2 2 2" xfId="59476" xr:uid="{227A9630-316E-4AAF-8CCC-B95C02AFA349}"/>
    <cellStyle name="Comma 2 2 3 2 3 2 5 2 3" xfId="44356" xr:uid="{4FF591FF-C32B-4BD4-B8FD-D58FEC55DAF3}"/>
    <cellStyle name="Comma 2 2 3 2 3 2 5 3" xfId="20164" xr:uid="{C17B9A6B-BD90-489E-9CE4-5060D3E29BEE}"/>
    <cellStyle name="Comma 2 2 3 2 3 2 5 3 2" xfId="50404" xr:uid="{C2ABC579-AFF3-4DEC-9FDE-484802C579D6}"/>
    <cellStyle name="Comma 2 2 3 2 3 2 5 4" xfId="35284" xr:uid="{5C1AE946-E431-4063-AA6E-220FA0E87C70}"/>
    <cellStyle name="Comma 2 2 3 2 3 2 6" xfId="6556" xr:uid="{1ADBBFCE-6FA3-4D4B-860E-5DB158F26FD6}"/>
    <cellStyle name="Comma 2 2 3 2 3 2 6 2" xfId="21676" xr:uid="{0583AA41-D3E5-4743-BD52-51A9244E6905}"/>
    <cellStyle name="Comma 2 2 3 2 3 2 6 2 2" xfId="51916" xr:uid="{85EEBE0E-C385-4DC7-9C43-AD5D897B99D4}"/>
    <cellStyle name="Comma 2 2 3 2 3 2 6 3" xfId="36796" xr:uid="{067B38C6-EB25-4582-B1B3-951FF7937787}"/>
    <cellStyle name="Comma 2 2 3 2 3 2 7" xfId="8068" xr:uid="{07E99B7A-60FD-44F4-B9AE-E8E445359A11}"/>
    <cellStyle name="Comma 2 2 3 2 3 2 7 2" xfId="23188" xr:uid="{4A8C085F-7833-4E6C-8CAB-F4DE710DE4E3}"/>
    <cellStyle name="Comma 2 2 3 2 3 2 7 2 2" xfId="53428" xr:uid="{563C7099-DDF0-4624-A37D-D476B4CC6B8E}"/>
    <cellStyle name="Comma 2 2 3 2 3 2 7 3" xfId="38308" xr:uid="{43A0FE85-B89D-42BE-A7A9-42C773D399DA}"/>
    <cellStyle name="Comma 2 2 3 2 3 2 8" xfId="9580" xr:uid="{6F8AFD9A-C326-4A5E-BE4D-EEA1BD896FA1}"/>
    <cellStyle name="Comma 2 2 3 2 3 2 8 2" xfId="24700" xr:uid="{45E13F94-2DF8-4DB5-90C0-5846EE7688B3}"/>
    <cellStyle name="Comma 2 2 3 2 3 2 8 2 2" xfId="54940" xr:uid="{A7C482F9-8A4D-4B59-B8F0-8F57FEC56EDF}"/>
    <cellStyle name="Comma 2 2 3 2 3 2 8 3" xfId="39820" xr:uid="{78723574-1999-41A0-B20F-44B626395E74}"/>
    <cellStyle name="Comma 2 2 3 2 3 2 9" xfId="15628" xr:uid="{5F7129CF-84ED-452B-83FB-0185942AF5DC}"/>
    <cellStyle name="Comma 2 2 3 2 3 2 9 2" xfId="45868" xr:uid="{315D557E-5189-4B41-961C-911534832C1D}"/>
    <cellStyle name="Comma 2 2 3 2 3 3" xfId="760" xr:uid="{7BB7AEFB-FD6B-459B-BD0C-F0DFE04057C1}"/>
    <cellStyle name="Comma 2 2 3 2 3 3 10" xfId="31000" xr:uid="{3D2FE514-D75C-4224-97BB-C6A0AD022938}"/>
    <cellStyle name="Comma 2 2 3 2 3 3 2" xfId="1516" xr:uid="{05A5DC40-C1B3-4CD0-8457-BC23523CC137}"/>
    <cellStyle name="Comma 2 2 3 2 3 3 2 2" xfId="3028" xr:uid="{6A373A0F-5019-455E-A5D6-A5AA644C0212}"/>
    <cellStyle name="Comma 2 2 3 2 3 3 2 2 2" xfId="12100" xr:uid="{1ED9ED0F-D257-4CEB-A848-855E4DFB5A30}"/>
    <cellStyle name="Comma 2 2 3 2 3 3 2 2 2 2" xfId="27220" xr:uid="{64272778-390B-4571-BEAF-B77247EA8E86}"/>
    <cellStyle name="Comma 2 2 3 2 3 3 2 2 2 2 2" xfId="57460" xr:uid="{2FCD8B60-7CFD-4D9E-B267-052DB0C5B4E9}"/>
    <cellStyle name="Comma 2 2 3 2 3 3 2 2 2 3" xfId="42340" xr:uid="{D90BF6E9-25C2-4E96-9BB0-65493755780B}"/>
    <cellStyle name="Comma 2 2 3 2 3 3 2 2 3" xfId="18148" xr:uid="{9A0F55C6-1370-44C2-B779-FA37373172FA}"/>
    <cellStyle name="Comma 2 2 3 2 3 3 2 2 3 2" xfId="48388" xr:uid="{76495EE4-9DC1-4982-ABD2-253E2EDD9D57}"/>
    <cellStyle name="Comma 2 2 3 2 3 3 2 2 4" xfId="33268" xr:uid="{8E5ACF85-4F1B-4ED0-9C21-DE6FE5221234}"/>
    <cellStyle name="Comma 2 2 3 2 3 3 2 3" xfId="4540" xr:uid="{A72D6F14-445B-48EB-BC37-F7EAEF9A16F1}"/>
    <cellStyle name="Comma 2 2 3 2 3 3 2 3 2" xfId="13612" xr:uid="{ED1CD8BB-C98D-4D1E-8012-66AAF85FC59C}"/>
    <cellStyle name="Comma 2 2 3 2 3 3 2 3 2 2" xfId="28732" xr:uid="{C830A9A9-837C-47A5-A932-7DEB582680F0}"/>
    <cellStyle name="Comma 2 2 3 2 3 3 2 3 2 2 2" xfId="58972" xr:uid="{5B8EA21A-C0CE-4FFE-BE35-8D727B2666B5}"/>
    <cellStyle name="Comma 2 2 3 2 3 3 2 3 2 3" xfId="43852" xr:uid="{628B8127-1930-4699-A980-B4E32745801F}"/>
    <cellStyle name="Comma 2 2 3 2 3 3 2 3 3" xfId="19660" xr:uid="{288817B3-5B27-438F-8555-E2C771CA8C82}"/>
    <cellStyle name="Comma 2 2 3 2 3 3 2 3 3 2" xfId="49900" xr:uid="{BE52A2E7-3DB4-4784-B54E-4BCA6C6A4C47}"/>
    <cellStyle name="Comma 2 2 3 2 3 3 2 3 4" xfId="34780" xr:uid="{43034B99-6101-450C-8348-D4FA9E56E076}"/>
    <cellStyle name="Comma 2 2 3 2 3 3 2 4" xfId="6052" xr:uid="{6BF18C06-9E93-48D5-85C2-56FFC6524F01}"/>
    <cellStyle name="Comma 2 2 3 2 3 3 2 4 2" xfId="15124" xr:uid="{B76DE2C2-FC7A-478B-9212-F52A6B1D7766}"/>
    <cellStyle name="Comma 2 2 3 2 3 3 2 4 2 2" xfId="30244" xr:uid="{C0437A37-E947-4440-9CA7-4B6A2DEC9C20}"/>
    <cellStyle name="Comma 2 2 3 2 3 3 2 4 2 2 2" xfId="60484" xr:uid="{B5EA8336-D145-479A-A928-9E06A6ED7825}"/>
    <cellStyle name="Comma 2 2 3 2 3 3 2 4 2 3" xfId="45364" xr:uid="{7E3E6BE6-B969-4DA0-A609-C06A6025BD7B}"/>
    <cellStyle name="Comma 2 2 3 2 3 3 2 4 3" xfId="21172" xr:uid="{6F68C3F3-84B8-4A27-AA87-1ED68949EBE5}"/>
    <cellStyle name="Comma 2 2 3 2 3 3 2 4 3 2" xfId="51412" xr:uid="{13817BA1-F4DA-4C15-B27F-B8CA9A709CB4}"/>
    <cellStyle name="Comma 2 2 3 2 3 3 2 4 4" xfId="36292" xr:uid="{64F796B4-2F57-4471-A329-89B435591D89}"/>
    <cellStyle name="Comma 2 2 3 2 3 3 2 5" xfId="7564" xr:uid="{3F9E9AAA-CA32-418F-A816-0337C885C030}"/>
    <cellStyle name="Comma 2 2 3 2 3 3 2 5 2" xfId="22684" xr:uid="{3EB88294-DBB8-40B1-AD11-8C4E99CD6950}"/>
    <cellStyle name="Comma 2 2 3 2 3 3 2 5 2 2" xfId="52924" xr:uid="{7DA54E95-2FDA-4A9E-A681-A2498A317090}"/>
    <cellStyle name="Comma 2 2 3 2 3 3 2 5 3" xfId="37804" xr:uid="{441F6EC1-D723-4F49-A976-CFE0DB817251}"/>
    <cellStyle name="Comma 2 2 3 2 3 3 2 6" xfId="9076" xr:uid="{17F5C56F-3396-43D3-B354-839B666D2B89}"/>
    <cellStyle name="Comma 2 2 3 2 3 3 2 6 2" xfId="24196" xr:uid="{F3E4033C-D2F6-476F-BE5C-63A7CCC39B7C}"/>
    <cellStyle name="Comma 2 2 3 2 3 3 2 6 2 2" xfId="54436" xr:uid="{870F3C6D-FFEB-4D08-8430-67FF562C95BA}"/>
    <cellStyle name="Comma 2 2 3 2 3 3 2 6 3" xfId="39316" xr:uid="{3B5595DC-4C19-4CAB-84D4-AFAB288B494C}"/>
    <cellStyle name="Comma 2 2 3 2 3 3 2 7" xfId="10588" xr:uid="{2249ED22-7B78-43AE-992A-BC9A6200653A}"/>
    <cellStyle name="Comma 2 2 3 2 3 3 2 7 2" xfId="25708" xr:uid="{0841346A-CA6C-4182-A792-FC00DB6F3E3F}"/>
    <cellStyle name="Comma 2 2 3 2 3 3 2 7 2 2" xfId="55948" xr:uid="{4FBDB601-9067-4743-8A72-556C6805F334}"/>
    <cellStyle name="Comma 2 2 3 2 3 3 2 7 3" xfId="40828" xr:uid="{77D50C7E-AF24-4D6E-AE28-762E5E2427E2}"/>
    <cellStyle name="Comma 2 2 3 2 3 3 2 8" xfId="16636" xr:uid="{F3213748-619F-4B8B-B3C0-271BF6461DC5}"/>
    <cellStyle name="Comma 2 2 3 2 3 3 2 8 2" xfId="46876" xr:uid="{3EB0095C-CDD4-4633-B169-EC756C678547}"/>
    <cellStyle name="Comma 2 2 3 2 3 3 2 9" xfId="31756" xr:uid="{660B2B1D-8227-4522-B74B-2EA55D7CDA78}"/>
    <cellStyle name="Comma 2 2 3 2 3 3 3" xfId="2272" xr:uid="{703D93E8-6DFA-4D63-9212-FCA5818C94E9}"/>
    <cellStyle name="Comma 2 2 3 2 3 3 3 2" xfId="11344" xr:uid="{BAFD9EC8-1BC1-48F0-9224-D8C1CA909E40}"/>
    <cellStyle name="Comma 2 2 3 2 3 3 3 2 2" xfId="26464" xr:uid="{1A21739D-ECFF-480C-8831-67B60AFBAE4D}"/>
    <cellStyle name="Comma 2 2 3 2 3 3 3 2 2 2" xfId="56704" xr:uid="{B8B32C03-60C2-4310-AF22-DB08E6EA2724}"/>
    <cellStyle name="Comma 2 2 3 2 3 3 3 2 3" xfId="41584" xr:uid="{3D26C93D-CB74-4C2B-8F19-ED49F2383259}"/>
    <cellStyle name="Comma 2 2 3 2 3 3 3 3" xfId="17392" xr:uid="{7D755FC5-B7D1-42C7-A1B7-5E41B1D20DCB}"/>
    <cellStyle name="Comma 2 2 3 2 3 3 3 3 2" xfId="47632" xr:uid="{C5C5838D-66B0-481A-947F-7DDC25FC34A9}"/>
    <cellStyle name="Comma 2 2 3 2 3 3 3 4" xfId="32512" xr:uid="{9D13F52E-5FDD-4B45-ADB0-EF61BAABE098}"/>
    <cellStyle name="Comma 2 2 3 2 3 3 4" xfId="3784" xr:uid="{9E9C92DC-9BA1-454A-9D49-8E826D228FE3}"/>
    <cellStyle name="Comma 2 2 3 2 3 3 4 2" xfId="12856" xr:uid="{2F49BDDD-AA22-4A45-93D8-650CEE7C6A72}"/>
    <cellStyle name="Comma 2 2 3 2 3 3 4 2 2" xfId="27976" xr:uid="{67CAF9DB-F2A6-4274-8A97-240CAB8BAE10}"/>
    <cellStyle name="Comma 2 2 3 2 3 3 4 2 2 2" xfId="58216" xr:uid="{626F35D5-4272-4283-8DD5-F7D11A730701}"/>
    <cellStyle name="Comma 2 2 3 2 3 3 4 2 3" xfId="43096" xr:uid="{4587E63E-4668-4A26-A009-4EF285829F2A}"/>
    <cellStyle name="Comma 2 2 3 2 3 3 4 3" xfId="18904" xr:uid="{771B6F02-33EC-465F-8BA8-C6E6A8BFBC13}"/>
    <cellStyle name="Comma 2 2 3 2 3 3 4 3 2" xfId="49144" xr:uid="{1EA8F8C7-7DA9-4931-837E-29EA0775387C}"/>
    <cellStyle name="Comma 2 2 3 2 3 3 4 4" xfId="34024" xr:uid="{095DF009-C26E-4255-8947-0C9CCFFBE9F3}"/>
    <cellStyle name="Comma 2 2 3 2 3 3 5" xfId="5296" xr:uid="{184200A1-A0B8-4235-B57B-832EAA2EB192}"/>
    <cellStyle name="Comma 2 2 3 2 3 3 5 2" xfId="14368" xr:uid="{8D54A1E6-7AAD-49BD-9B8F-0B9D59EE5488}"/>
    <cellStyle name="Comma 2 2 3 2 3 3 5 2 2" xfId="29488" xr:uid="{20345396-9244-4424-8301-EFA96F678829}"/>
    <cellStyle name="Comma 2 2 3 2 3 3 5 2 2 2" xfId="59728" xr:uid="{E464007B-3DF9-4E67-81FF-5EE977556998}"/>
    <cellStyle name="Comma 2 2 3 2 3 3 5 2 3" xfId="44608" xr:uid="{1A747308-1191-47A8-9595-E40E405585D9}"/>
    <cellStyle name="Comma 2 2 3 2 3 3 5 3" xfId="20416" xr:uid="{D29175C5-FBE0-4430-A90F-80B31FE4B4E1}"/>
    <cellStyle name="Comma 2 2 3 2 3 3 5 3 2" xfId="50656" xr:uid="{38A78348-C17D-4B1B-8E75-C91D5DBD6468}"/>
    <cellStyle name="Comma 2 2 3 2 3 3 5 4" xfId="35536" xr:uid="{1EC8547B-CF08-4CF3-9246-8F392418A231}"/>
    <cellStyle name="Comma 2 2 3 2 3 3 6" xfId="6808" xr:uid="{A970956A-FD61-43F4-A93D-17F52C136FA2}"/>
    <cellStyle name="Comma 2 2 3 2 3 3 6 2" xfId="21928" xr:uid="{DE98EB3E-36A9-430D-9B0E-16D4AB2A50E7}"/>
    <cellStyle name="Comma 2 2 3 2 3 3 6 2 2" xfId="52168" xr:uid="{9E201160-2668-49DD-8B8A-A300D49F5C7F}"/>
    <cellStyle name="Comma 2 2 3 2 3 3 6 3" xfId="37048" xr:uid="{5957F440-A7AC-49CA-9B32-446BE9EB4150}"/>
    <cellStyle name="Comma 2 2 3 2 3 3 7" xfId="8320" xr:uid="{8D710FE3-3590-452C-B794-1C8D2A4D1F7B}"/>
    <cellStyle name="Comma 2 2 3 2 3 3 7 2" xfId="23440" xr:uid="{A94D5701-423A-4880-A408-DFC8561CA810}"/>
    <cellStyle name="Comma 2 2 3 2 3 3 7 2 2" xfId="53680" xr:uid="{C0856BFA-39F4-4D6A-B0FD-0D59F0BADA22}"/>
    <cellStyle name="Comma 2 2 3 2 3 3 7 3" xfId="38560" xr:uid="{91D90C6F-1A8D-485A-AA26-BD4F299B639D}"/>
    <cellStyle name="Comma 2 2 3 2 3 3 8" xfId="9832" xr:uid="{E27C65E6-92B5-491B-9A54-30C9818848C1}"/>
    <cellStyle name="Comma 2 2 3 2 3 3 8 2" xfId="24952" xr:uid="{87EFFFC7-6413-4182-A4EF-3035E6ACD455}"/>
    <cellStyle name="Comma 2 2 3 2 3 3 8 2 2" xfId="55192" xr:uid="{6F96C44D-1F2D-4E4C-92C8-F09C2FACF7ED}"/>
    <cellStyle name="Comma 2 2 3 2 3 3 8 3" xfId="40072" xr:uid="{21682644-0C91-4478-BD21-030A88B30ADD}"/>
    <cellStyle name="Comma 2 2 3 2 3 3 9" xfId="15880" xr:uid="{B63BFCED-878D-438F-B868-1D07A38CC42D}"/>
    <cellStyle name="Comma 2 2 3 2 3 3 9 2" xfId="46120" xr:uid="{76923D25-50CF-4A0C-B2A1-19D4B753AAF5}"/>
    <cellStyle name="Comma 2 2 3 2 3 4" xfId="1012" xr:uid="{61AB6AC4-8515-4949-9D5C-BB65AD0861C1}"/>
    <cellStyle name="Comma 2 2 3 2 3 4 2" xfId="2524" xr:uid="{499AEC19-9BF6-46F4-A785-8BA719AAD6DE}"/>
    <cellStyle name="Comma 2 2 3 2 3 4 2 2" xfId="11596" xr:uid="{A3934E57-2143-463B-A36C-1108F114D61B}"/>
    <cellStyle name="Comma 2 2 3 2 3 4 2 2 2" xfId="26716" xr:uid="{7A668A4D-B43E-4E03-972D-20E48CAB9977}"/>
    <cellStyle name="Comma 2 2 3 2 3 4 2 2 2 2" xfId="56956" xr:uid="{F5F48F6C-9284-4358-A433-D449ED439F84}"/>
    <cellStyle name="Comma 2 2 3 2 3 4 2 2 3" xfId="41836" xr:uid="{2C1CBE00-2766-4104-B874-7ED174F30D63}"/>
    <cellStyle name="Comma 2 2 3 2 3 4 2 3" xfId="17644" xr:uid="{1B8E3DBC-E9EE-4B9A-B40D-3B72A48E4875}"/>
    <cellStyle name="Comma 2 2 3 2 3 4 2 3 2" xfId="47884" xr:uid="{582FAB7F-519A-4E81-904A-A40F368FE27D}"/>
    <cellStyle name="Comma 2 2 3 2 3 4 2 4" xfId="32764" xr:uid="{7470DB6D-23A6-4825-AD76-529830A7B251}"/>
    <cellStyle name="Comma 2 2 3 2 3 4 3" xfId="4036" xr:uid="{8653AE9C-99F5-4168-9533-C6C9BF848917}"/>
    <cellStyle name="Comma 2 2 3 2 3 4 3 2" xfId="13108" xr:uid="{DE17EDF4-F7E9-4C25-9ABC-040E73C88F61}"/>
    <cellStyle name="Comma 2 2 3 2 3 4 3 2 2" xfId="28228" xr:uid="{1341A269-F29B-48AD-B2EE-05A359FDD97E}"/>
    <cellStyle name="Comma 2 2 3 2 3 4 3 2 2 2" xfId="58468" xr:uid="{CBFBA690-4046-47EA-BED4-AD8DCB044260}"/>
    <cellStyle name="Comma 2 2 3 2 3 4 3 2 3" xfId="43348" xr:uid="{98EF6950-6D20-4935-8FB5-A4E4E2F63B20}"/>
    <cellStyle name="Comma 2 2 3 2 3 4 3 3" xfId="19156" xr:uid="{DB60E33D-6EB5-4183-85E6-537F0AC282DA}"/>
    <cellStyle name="Comma 2 2 3 2 3 4 3 3 2" xfId="49396" xr:uid="{0C1C1FC8-2DEE-4CC6-9910-6364357A1FE3}"/>
    <cellStyle name="Comma 2 2 3 2 3 4 3 4" xfId="34276" xr:uid="{CF28E00D-AA59-47C2-A03C-90231E25DDEA}"/>
    <cellStyle name="Comma 2 2 3 2 3 4 4" xfId="5548" xr:uid="{E474124C-15CE-4AA5-A046-846C24E395AB}"/>
    <cellStyle name="Comma 2 2 3 2 3 4 4 2" xfId="14620" xr:uid="{0BE485D1-C0DE-4D09-8A05-2AF588A01639}"/>
    <cellStyle name="Comma 2 2 3 2 3 4 4 2 2" xfId="29740" xr:uid="{B4AB9030-977B-45A3-9D3F-546211D218E2}"/>
    <cellStyle name="Comma 2 2 3 2 3 4 4 2 2 2" xfId="59980" xr:uid="{50E88CF3-884D-490F-B6FF-363001A39DDE}"/>
    <cellStyle name="Comma 2 2 3 2 3 4 4 2 3" xfId="44860" xr:uid="{99C9C21F-43CA-46A0-926B-CA3CA47062C4}"/>
    <cellStyle name="Comma 2 2 3 2 3 4 4 3" xfId="20668" xr:uid="{F9CF049B-5316-4FFE-9FA4-96AF5CCB74D3}"/>
    <cellStyle name="Comma 2 2 3 2 3 4 4 3 2" xfId="50908" xr:uid="{75CEF6A2-3604-470E-B120-FA8F23A3BC83}"/>
    <cellStyle name="Comma 2 2 3 2 3 4 4 4" xfId="35788" xr:uid="{A1D033B6-08F4-4347-81E8-F7CECB4E0E84}"/>
    <cellStyle name="Comma 2 2 3 2 3 4 5" xfId="7060" xr:uid="{65B0CD4D-72FD-4BFA-9E32-D705B45DBCE9}"/>
    <cellStyle name="Comma 2 2 3 2 3 4 5 2" xfId="22180" xr:uid="{92F7959A-CD5B-4378-A26E-D302E85E4BDC}"/>
    <cellStyle name="Comma 2 2 3 2 3 4 5 2 2" xfId="52420" xr:uid="{23B0D9F4-FF92-4DE9-A47B-04C16E0365D2}"/>
    <cellStyle name="Comma 2 2 3 2 3 4 5 3" xfId="37300" xr:uid="{C41B9438-4D47-4C5D-998E-B72ACE91F2AD}"/>
    <cellStyle name="Comma 2 2 3 2 3 4 6" xfId="8572" xr:uid="{49C9DB8A-0BAA-44C8-864D-6C6F503F9AFA}"/>
    <cellStyle name="Comma 2 2 3 2 3 4 6 2" xfId="23692" xr:uid="{A4D6A6BA-A8BB-40DC-9CA3-4DA606CF4E7B}"/>
    <cellStyle name="Comma 2 2 3 2 3 4 6 2 2" xfId="53932" xr:uid="{801042FE-89AA-46DA-B2BC-359BDD8B90CF}"/>
    <cellStyle name="Comma 2 2 3 2 3 4 6 3" xfId="38812" xr:uid="{6C70FB27-5E92-4243-8DF2-A9A29F842B86}"/>
    <cellStyle name="Comma 2 2 3 2 3 4 7" xfId="10084" xr:uid="{B03D9C37-6B74-4C1D-A44E-E3E026E5D5DB}"/>
    <cellStyle name="Comma 2 2 3 2 3 4 7 2" xfId="25204" xr:uid="{D0DAEAA8-27BF-4B53-80C8-3126CC662C6C}"/>
    <cellStyle name="Comma 2 2 3 2 3 4 7 2 2" xfId="55444" xr:uid="{6E422A2A-7CBD-4FE3-87E4-600A6970C294}"/>
    <cellStyle name="Comma 2 2 3 2 3 4 7 3" xfId="40324" xr:uid="{E659024D-B040-40CE-9D2D-F5083B9A1FD6}"/>
    <cellStyle name="Comma 2 2 3 2 3 4 8" xfId="16132" xr:uid="{859F10FA-FAFD-49BD-A8C1-C296777EE8EC}"/>
    <cellStyle name="Comma 2 2 3 2 3 4 8 2" xfId="46372" xr:uid="{2C30089C-690B-4D6C-ABFB-8F56CDF92983}"/>
    <cellStyle name="Comma 2 2 3 2 3 4 9" xfId="31252" xr:uid="{2AEBC2D0-CD6B-4823-9ECF-7F58E70C4601}"/>
    <cellStyle name="Comma 2 2 3 2 3 5" xfId="1768" xr:uid="{4ED8ACF5-19D3-4A45-B653-3AD392A7B03C}"/>
    <cellStyle name="Comma 2 2 3 2 3 5 2" xfId="10840" xr:uid="{140EABCE-AFF4-4CE6-BF5E-1BF160A1A0B5}"/>
    <cellStyle name="Comma 2 2 3 2 3 5 2 2" xfId="25960" xr:uid="{0C4E56D8-30EA-4F5D-8497-36D1577C83FF}"/>
    <cellStyle name="Comma 2 2 3 2 3 5 2 2 2" xfId="56200" xr:uid="{D55C5B44-6B1A-4436-A925-AC5434BF5532}"/>
    <cellStyle name="Comma 2 2 3 2 3 5 2 3" xfId="41080" xr:uid="{A03A1C14-8153-47FE-8945-7172AB071FB3}"/>
    <cellStyle name="Comma 2 2 3 2 3 5 3" xfId="16888" xr:uid="{C62039CC-03CD-4638-9C94-69B703B35D4B}"/>
    <cellStyle name="Comma 2 2 3 2 3 5 3 2" xfId="47128" xr:uid="{E3CCD8C5-6266-453E-82C8-564277E9DBCF}"/>
    <cellStyle name="Comma 2 2 3 2 3 5 4" xfId="32008" xr:uid="{6DFC3A8C-EB06-411A-808A-E3E4B22B51EF}"/>
    <cellStyle name="Comma 2 2 3 2 3 6" xfId="3280" xr:uid="{4E5632B2-DF5F-4377-AD2B-1184374E5651}"/>
    <cellStyle name="Comma 2 2 3 2 3 6 2" xfId="12352" xr:uid="{F11FB723-9A54-4A0B-8EA6-C6B2F0D5E53E}"/>
    <cellStyle name="Comma 2 2 3 2 3 6 2 2" xfId="27472" xr:uid="{30B8445F-24D6-4BBF-A21F-36D824350D48}"/>
    <cellStyle name="Comma 2 2 3 2 3 6 2 2 2" xfId="57712" xr:uid="{3F2FEE62-D98D-4CDD-AB03-B21F5F408323}"/>
    <cellStyle name="Comma 2 2 3 2 3 6 2 3" xfId="42592" xr:uid="{ACC11ACF-4CF8-4F3A-8325-2F51FB8F6CEC}"/>
    <cellStyle name="Comma 2 2 3 2 3 6 3" xfId="18400" xr:uid="{D642908C-D404-492D-BEAC-337DA7BEF0F4}"/>
    <cellStyle name="Comma 2 2 3 2 3 6 3 2" xfId="48640" xr:uid="{64FD74A2-5EC5-43F9-B87D-9DD8D2F92D73}"/>
    <cellStyle name="Comma 2 2 3 2 3 6 4" xfId="33520" xr:uid="{2035D31B-A3E6-45C1-931E-48DC77DD3C3F}"/>
    <cellStyle name="Comma 2 2 3 2 3 7" xfId="4792" xr:uid="{0CBAFE94-06D5-4661-8081-72943EC0D711}"/>
    <cellStyle name="Comma 2 2 3 2 3 7 2" xfId="13864" xr:uid="{710B5877-B596-4412-AD27-EA8E3C503E6E}"/>
    <cellStyle name="Comma 2 2 3 2 3 7 2 2" xfId="28984" xr:uid="{50020CD4-98FB-4C48-9715-C6EF439197AC}"/>
    <cellStyle name="Comma 2 2 3 2 3 7 2 2 2" xfId="59224" xr:uid="{22348891-CA79-453C-8983-53A50A601CD8}"/>
    <cellStyle name="Comma 2 2 3 2 3 7 2 3" xfId="44104" xr:uid="{925FB34E-3D63-491B-8B7F-6F020380AC71}"/>
    <cellStyle name="Comma 2 2 3 2 3 7 3" xfId="19912" xr:uid="{5BA6EF84-5400-4929-B46A-74938CCD054E}"/>
    <cellStyle name="Comma 2 2 3 2 3 7 3 2" xfId="50152" xr:uid="{A2B86ECA-9038-473B-ABA5-3B945ACC31CF}"/>
    <cellStyle name="Comma 2 2 3 2 3 7 4" xfId="35032" xr:uid="{A3CA778A-11E1-4447-AC7C-76D11A8CFCAC}"/>
    <cellStyle name="Comma 2 2 3 2 3 8" xfId="6304" xr:uid="{A618F075-B124-405B-AA9D-CAA509CE01B9}"/>
    <cellStyle name="Comma 2 2 3 2 3 8 2" xfId="21424" xr:uid="{66AF5EF0-E967-405E-B01C-C2757CE4665B}"/>
    <cellStyle name="Comma 2 2 3 2 3 8 2 2" xfId="51664" xr:uid="{962421EA-ADC7-4B52-A955-6616657C4ABA}"/>
    <cellStyle name="Comma 2 2 3 2 3 8 3" xfId="36544" xr:uid="{9B9B91CB-1FCE-4950-BAD0-C82A78C563AE}"/>
    <cellStyle name="Comma 2 2 3 2 3 9" xfId="7816" xr:uid="{4C68FE54-36B3-4E4B-BF04-10D6E6E479BD}"/>
    <cellStyle name="Comma 2 2 3 2 3 9 2" xfId="22936" xr:uid="{424D26E6-77B3-4B75-8C4F-7C59EA2E1134}"/>
    <cellStyle name="Comma 2 2 3 2 3 9 2 2" xfId="53176" xr:uid="{784B53E2-CD3E-4157-9F05-45BE5378D31C}"/>
    <cellStyle name="Comma 2 2 3 2 3 9 3" xfId="38056" xr:uid="{B1159C0A-BA59-4ECB-A162-C7C2A919633A}"/>
    <cellStyle name="Comma 2 2 3 2 4" xfId="340" xr:uid="{14042D95-369B-472D-8547-060B6CDD9259}"/>
    <cellStyle name="Comma 2 2 3 2 4 10" xfId="30580" xr:uid="{0E97A77C-FE60-4915-A195-B5C6B0251E00}"/>
    <cellStyle name="Comma 2 2 3 2 4 2" xfId="1096" xr:uid="{581BE300-535B-4BC1-BAE0-A3E4C54243D6}"/>
    <cellStyle name="Comma 2 2 3 2 4 2 2" xfId="2608" xr:uid="{7788CC2B-13B6-4C34-8D5A-4C0D6742527D}"/>
    <cellStyle name="Comma 2 2 3 2 4 2 2 2" xfId="11680" xr:uid="{E8A5F747-781B-47A9-9F08-7160032C394D}"/>
    <cellStyle name="Comma 2 2 3 2 4 2 2 2 2" xfId="26800" xr:uid="{A4E0D55D-E6C9-4F42-A554-77046B68430E}"/>
    <cellStyle name="Comma 2 2 3 2 4 2 2 2 2 2" xfId="57040" xr:uid="{8B36B657-397A-4BC3-86E4-F0E2D93B476F}"/>
    <cellStyle name="Comma 2 2 3 2 4 2 2 2 3" xfId="41920" xr:uid="{C1611022-3A5A-465F-BD30-55243DC2E60E}"/>
    <cellStyle name="Comma 2 2 3 2 4 2 2 3" xfId="17728" xr:uid="{2C9E2C75-BC55-4D26-9AF9-1112A6AD3BB7}"/>
    <cellStyle name="Comma 2 2 3 2 4 2 2 3 2" xfId="47968" xr:uid="{E2657A81-CDC6-4CCA-B1C7-BFD174FCF418}"/>
    <cellStyle name="Comma 2 2 3 2 4 2 2 4" xfId="32848" xr:uid="{A665E404-5A00-4817-B915-EEDD205D5A8F}"/>
    <cellStyle name="Comma 2 2 3 2 4 2 3" xfId="4120" xr:uid="{8E604F92-8C06-4257-861C-048910C1D211}"/>
    <cellStyle name="Comma 2 2 3 2 4 2 3 2" xfId="13192" xr:uid="{9E4DC86E-C9B4-4F1B-AC79-A2673B45609B}"/>
    <cellStyle name="Comma 2 2 3 2 4 2 3 2 2" xfId="28312" xr:uid="{33733AB0-FD44-407C-A60A-5F7ED30713E6}"/>
    <cellStyle name="Comma 2 2 3 2 4 2 3 2 2 2" xfId="58552" xr:uid="{9C3DB14B-3E7C-4428-A362-04FD2D9BAFBB}"/>
    <cellStyle name="Comma 2 2 3 2 4 2 3 2 3" xfId="43432" xr:uid="{F1251B96-C97E-4CB9-A127-A8AA00A86EDD}"/>
    <cellStyle name="Comma 2 2 3 2 4 2 3 3" xfId="19240" xr:uid="{23745F65-5305-4BCD-BF5B-2B6F989B35A6}"/>
    <cellStyle name="Comma 2 2 3 2 4 2 3 3 2" xfId="49480" xr:uid="{E413555F-F73C-4DB7-BD5E-CEB84DA9D21B}"/>
    <cellStyle name="Comma 2 2 3 2 4 2 3 4" xfId="34360" xr:uid="{37C1ACC4-78D6-43FA-90CF-CDB19725904A}"/>
    <cellStyle name="Comma 2 2 3 2 4 2 4" xfId="5632" xr:uid="{AD4F2377-B17D-473B-BAC5-C3BD2ABCB407}"/>
    <cellStyle name="Comma 2 2 3 2 4 2 4 2" xfId="14704" xr:uid="{99238006-FF4D-4CA0-AC61-3F4FC487ECF9}"/>
    <cellStyle name="Comma 2 2 3 2 4 2 4 2 2" xfId="29824" xr:uid="{F347FE6D-14DC-469A-8676-A5B430B79B35}"/>
    <cellStyle name="Comma 2 2 3 2 4 2 4 2 2 2" xfId="60064" xr:uid="{D9D1CD72-DB7E-4981-9156-33446A67C75B}"/>
    <cellStyle name="Comma 2 2 3 2 4 2 4 2 3" xfId="44944" xr:uid="{B9C164C8-7245-4F04-8DF5-6DBA7F1910F7}"/>
    <cellStyle name="Comma 2 2 3 2 4 2 4 3" xfId="20752" xr:uid="{7D3BAA9F-D547-4E35-9ED9-EB35DF2BAB94}"/>
    <cellStyle name="Comma 2 2 3 2 4 2 4 3 2" xfId="50992" xr:uid="{2D9FF79A-19DB-4AB3-93DA-6F8ACF59B01E}"/>
    <cellStyle name="Comma 2 2 3 2 4 2 4 4" xfId="35872" xr:uid="{466173E2-2B71-4BB4-944B-5EFC90EC381D}"/>
    <cellStyle name="Comma 2 2 3 2 4 2 5" xfId="7144" xr:uid="{4B61EA9B-4E92-4E5F-ABF1-C8600782AB84}"/>
    <cellStyle name="Comma 2 2 3 2 4 2 5 2" xfId="22264" xr:uid="{E63FB32B-3F79-4645-BDE0-67B2E22C3150}"/>
    <cellStyle name="Comma 2 2 3 2 4 2 5 2 2" xfId="52504" xr:uid="{C7129BD5-0594-4B31-9FE2-75663A36933C}"/>
    <cellStyle name="Comma 2 2 3 2 4 2 5 3" xfId="37384" xr:uid="{1C9BA909-9CA2-42D7-8E71-E0C354B20D7A}"/>
    <cellStyle name="Comma 2 2 3 2 4 2 6" xfId="8656" xr:uid="{1E4E2448-83CC-4411-889B-A98A0E0B380E}"/>
    <cellStyle name="Comma 2 2 3 2 4 2 6 2" xfId="23776" xr:uid="{9ACF0580-C3CB-4600-B899-30AB7055735E}"/>
    <cellStyle name="Comma 2 2 3 2 4 2 6 2 2" xfId="54016" xr:uid="{A3E62D1B-B8CA-4EF5-AF1E-F5DAC71773CF}"/>
    <cellStyle name="Comma 2 2 3 2 4 2 6 3" xfId="38896" xr:uid="{38E73876-017B-48DA-BADD-9191ECE5E30B}"/>
    <cellStyle name="Comma 2 2 3 2 4 2 7" xfId="10168" xr:uid="{5F22F776-2697-4092-8A0C-FFA505516FE1}"/>
    <cellStyle name="Comma 2 2 3 2 4 2 7 2" xfId="25288" xr:uid="{8C58ACAE-CE4F-478E-9A9D-457ACE3FD0EC}"/>
    <cellStyle name="Comma 2 2 3 2 4 2 7 2 2" xfId="55528" xr:uid="{6AB0827E-2C02-41FD-891A-9A9B0F3D6D52}"/>
    <cellStyle name="Comma 2 2 3 2 4 2 7 3" xfId="40408" xr:uid="{0D4EA85D-84B1-435D-8D17-C68F349E3364}"/>
    <cellStyle name="Comma 2 2 3 2 4 2 8" xfId="16216" xr:uid="{0E79BE1D-2E98-446B-98C9-9BBA5C563A61}"/>
    <cellStyle name="Comma 2 2 3 2 4 2 8 2" xfId="46456" xr:uid="{7CACD2EB-B0CF-48BD-9B50-E4A9C1D01AD4}"/>
    <cellStyle name="Comma 2 2 3 2 4 2 9" xfId="31336" xr:uid="{30BF739B-9697-42EC-9CF5-3DD4973CDA8C}"/>
    <cellStyle name="Comma 2 2 3 2 4 3" xfId="1852" xr:uid="{501B2D4F-1F9F-4670-8BA7-7FB817DA5A59}"/>
    <cellStyle name="Comma 2 2 3 2 4 3 2" xfId="10924" xr:uid="{1F7C8E1E-8061-4393-8452-45FC3BA201A1}"/>
    <cellStyle name="Comma 2 2 3 2 4 3 2 2" xfId="26044" xr:uid="{2A2F425E-B9A1-4D27-9FA3-256C2C77DFEC}"/>
    <cellStyle name="Comma 2 2 3 2 4 3 2 2 2" xfId="56284" xr:uid="{F455F916-053E-4247-8EF9-59AAFC344F0D}"/>
    <cellStyle name="Comma 2 2 3 2 4 3 2 3" xfId="41164" xr:uid="{F97BD2C5-BD34-4877-B952-DC291C2A611F}"/>
    <cellStyle name="Comma 2 2 3 2 4 3 3" xfId="16972" xr:uid="{3FE3A05E-9A5D-43A9-B9F2-E07DA160BE8E}"/>
    <cellStyle name="Comma 2 2 3 2 4 3 3 2" xfId="47212" xr:uid="{0D4AC202-F5E6-428A-A1BF-6952BBE36461}"/>
    <cellStyle name="Comma 2 2 3 2 4 3 4" xfId="32092" xr:uid="{ED2DDF3D-728B-4CAA-8D38-684F000E834F}"/>
    <cellStyle name="Comma 2 2 3 2 4 4" xfId="3364" xr:uid="{4D855CDE-5FC3-44B3-9745-D432BE8CD335}"/>
    <cellStyle name="Comma 2 2 3 2 4 4 2" xfId="12436" xr:uid="{9BEC7F46-8DD5-4F88-8DBD-78CC7DBEA828}"/>
    <cellStyle name="Comma 2 2 3 2 4 4 2 2" xfId="27556" xr:uid="{E6D4CD20-351C-4BD4-82AA-599F291E4B79}"/>
    <cellStyle name="Comma 2 2 3 2 4 4 2 2 2" xfId="57796" xr:uid="{EBD3FCF2-7FCC-499C-B1AD-B1EADB3B7BCE}"/>
    <cellStyle name="Comma 2 2 3 2 4 4 2 3" xfId="42676" xr:uid="{1D252425-1ACC-4F46-8EBE-0F07161DF221}"/>
    <cellStyle name="Comma 2 2 3 2 4 4 3" xfId="18484" xr:uid="{A2F0EF80-337E-4530-9664-8E6AEA547D49}"/>
    <cellStyle name="Comma 2 2 3 2 4 4 3 2" xfId="48724" xr:uid="{32B36E4B-0609-4CFF-95F8-6EDB3CC7BFE2}"/>
    <cellStyle name="Comma 2 2 3 2 4 4 4" xfId="33604" xr:uid="{2EF463E9-5F92-4F8E-907D-5FD0DDBCBB65}"/>
    <cellStyle name="Comma 2 2 3 2 4 5" xfId="4876" xr:uid="{3E2106CE-FEFF-406D-BDEC-FE8A5CC69C5C}"/>
    <cellStyle name="Comma 2 2 3 2 4 5 2" xfId="13948" xr:uid="{3FF47437-A5F8-47D8-AAC3-719268E780D4}"/>
    <cellStyle name="Comma 2 2 3 2 4 5 2 2" xfId="29068" xr:uid="{CE6FA529-1E4B-4EF1-A955-792E346D3120}"/>
    <cellStyle name="Comma 2 2 3 2 4 5 2 2 2" xfId="59308" xr:uid="{E7292714-5782-45D4-9CEF-4BD98F905CF5}"/>
    <cellStyle name="Comma 2 2 3 2 4 5 2 3" xfId="44188" xr:uid="{843B77CA-5F78-4889-99BE-146B6422EE35}"/>
    <cellStyle name="Comma 2 2 3 2 4 5 3" xfId="19996" xr:uid="{EAA07AD6-A318-4118-89F1-64DC46895FC5}"/>
    <cellStyle name="Comma 2 2 3 2 4 5 3 2" xfId="50236" xr:uid="{F62EE625-DF44-4B5C-802F-CE03BD83DD98}"/>
    <cellStyle name="Comma 2 2 3 2 4 5 4" xfId="35116" xr:uid="{1470B9D8-B496-495C-AF5A-685D14049DD0}"/>
    <cellStyle name="Comma 2 2 3 2 4 6" xfId="6388" xr:uid="{00D6A2EE-A394-4426-B27B-1316476CE977}"/>
    <cellStyle name="Comma 2 2 3 2 4 6 2" xfId="21508" xr:uid="{F8526866-6B03-4C3F-B90C-606ACEE17819}"/>
    <cellStyle name="Comma 2 2 3 2 4 6 2 2" xfId="51748" xr:uid="{3B48F0B8-3519-4B3B-A55B-09022FF1D10B}"/>
    <cellStyle name="Comma 2 2 3 2 4 6 3" xfId="36628" xr:uid="{4E7860F4-3473-4DDB-B745-73BBDFB636A4}"/>
    <cellStyle name="Comma 2 2 3 2 4 7" xfId="7900" xr:uid="{75F733EB-4050-454C-8283-32DFF0D82C9D}"/>
    <cellStyle name="Comma 2 2 3 2 4 7 2" xfId="23020" xr:uid="{486DD13A-FAC7-4A7B-B188-1C8164B62469}"/>
    <cellStyle name="Comma 2 2 3 2 4 7 2 2" xfId="53260" xr:uid="{07DD7067-726C-4BF4-BE80-9D029B00E5BA}"/>
    <cellStyle name="Comma 2 2 3 2 4 7 3" xfId="38140" xr:uid="{6D44446A-B0B2-482F-BD74-5E759BC95391}"/>
    <cellStyle name="Comma 2 2 3 2 4 8" xfId="9412" xr:uid="{92102823-DE21-4A4D-8394-6E5E16CD2588}"/>
    <cellStyle name="Comma 2 2 3 2 4 8 2" xfId="24532" xr:uid="{1CE61BAB-2F2E-4F36-BB0D-13835384404E}"/>
    <cellStyle name="Comma 2 2 3 2 4 8 2 2" xfId="54772" xr:uid="{E610BE98-D99A-4C29-AD68-B6D117B21367}"/>
    <cellStyle name="Comma 2 2 3 2 4 8 3" xfId="39652" xr:uid="{8C778816-22F0-4EBE-A6CF-B23E53F63F9B}"/>
    <cellStyle name="Comma 2 2 3 2 4 9" xfId="15460" xr:uid="{0D6166BA-1B7D-40CE-94D5-0B560A14FA4E}"/>
    <cellStyle name="Comma 2 2 3 2 4 9 2" xfId="45700" xr:uid="{5E0A4846-C50E-4ECC-B082-14A5A3F7DCA8}"/>
    <cellStyle name="Comma 2 2 3 2 5" xfId="592" xr:uid="{E9E14383-DD41-4DF7-8C75-FDB5BEA159BD}"/>
    <cellStyle name="Comma 2 2 3 2 5 10" xfId="30832" xr:uid="{8047C1C5-092E-4B84-91A0-CE89E0450DD7}"/>
    <cellStyle name="Comma 2 2 3 2 5 2" xfId="1348" xr:uid="{B4156ECC-B5F5-42AD-A787-0A88F07ADA4A}"/>
    <cellStyle name="Comma 2 2 3 2 5 2 2" xfId="2860" xr:uid="{D35C591B-0D0A-46D4-B383-A6EE39195927}"/>
    <cellStyle name="Comma 2 2 3 2 5 2 2 2" xfId="11932" xr:uid="{B37BE717-6539-4703-AF2F-110B67E3905E}"/>
    <cellStyle name="Comma 2 2 3 2 5 2 2 2 2" xfId="27052" xr:uid="{F15CE6DE-EBC3-413E-8972-410BFE3E8741}"/>
    <cellStyle name="Comma 2 2 3 2 5 2 2 2 2 2" xfId="57292" xr:uid="{7CC09F5D-7618-4F18-B4F2-0C6C49FF7C36}"/>
    <cellStyle name="Comma 2 2 3 2 5 2 2 2 3" xfId="42172" xr:uid="{08094157-9EAA-43D8-9826-6272EC0703BD}"/>
    <cellStyle name="Comma 2 2 3 2 5 2 2 3" xfId="17980" xr:uid="{D0BDAB30-7615-4B13-B258-D4C4ABDB97FB}"/>
    <cellStyle name="Comma 2 2 3 2 5 2 2 3 2" xfId="48220" xr:uid="{9005C932-81C2-4E96-AC94-FF7DBE88DD83}"/>
    <cellStyle name="Comma 2 2 3 2 5 2 2 4" xfId="33100" xr:uid="{4050E372-1FBE-4285-AF2B-AD8A18EFE66B}"/>
    <cellStyle name="Comma 2 2 3 2 5 2 3" xfId="4372" xr:uid="{61CC7117-DC6B-4736-AF9E-D9B4B5D92FB1}"/>
    <cellStyle name="Comma 2 2 3 2 5 2 3 2" xfId="13444" xr:uid="{E04444D7-3708-416E-BE82-3457C778BC97}"/>
    <cellStyle name="Comma 2 2 3 2 5 2 3 2 2" xfId="28564" xr:uid="{5106D4DF-9C27-4BE3-A314-C489EF00AAC4}"/>
    <cellStyle name="Comma 2 2 3 2 5 2 3 2 2 2" xfId="58804" xr:uid="{DD0087BC-9915-458B-84F6-581A3D15D572}"/>
    <cellStyle name="Comma 2 2 3 2 5 2 3 2 3" xfId="43684" xr:uid="{8C08AD19-3E6C-4397-A854-EC76AC182625}"/>
    <cellStyle name="Comma 2 2 3 2 5 2 3 3" xfId="19492" xr:uid="{C221B21F-B467-4E7D-9C6E-5646756E0CC2}"/>
    <cellStyle name="Comma 2 2 3 2 5 2 3 3 2" xfId="49732" xr:uid="{750D1205-4DBF-4590-9547-60E5AA2D0DEC}"/>
    <cellStyle name="Comma 2 2 3 2 5 2 3 4" xfId="34612" xr:uid="{3DD8CFFD-05BB-4A2F-B533-0697700C9A16}"/>
    <cellStyle name="Comma 2 2 3 2 5 2 4" xfId="5884" xr:uid="{C8E62847-06C8-4FD8-95CF-DE77BAD81CBE}"/>
    <cellStyle name="Comma 2 2 3 2 5 2 4 2" xfId="14956" xr:uid="{CAB77B00-44B9-4CEB-BDD9-FBD61AA1E8A0}"/>
    <cellStyle name="Comma 2 2 3 2 5 2 4 2 2" xfId="30076" xr:uid="{83D452CC-0495-46A7-BC2A-B3E988CB2788}"/>
    <cellStyle name="Comma 2 2 3 2 5 2 4 2 2 2" xfId="60316" xr:uid="{ECBB97D4-94B9-4691-8648-BB6801BC89B6}"/>
    <cellStyle name="Comma 2 2 3 2 5 2 4 2 3" xfId="45196" xr:uid="{98D6F3DC-FEB2-4241-B1F3-DF579B558499}"/>
    <cellStyle name="Comma 2 2 3 2 5 2 4 3" xfId="21004" xr:uid="{C1318E1E-DAB4-476E-94AF-5E54E46AB22E}"/>
    <cellStyle name="Comma 2 2 3 2 5 2 4 3 2" xfId="51244" xr:uid="{CB1BA253-F415-4B1E-A3BA-66F3F44DE81A}"/>
    <cellStyle name="Comma 2 2 3 2 5 2 4 4" xfId="36124" xr:uid="{28C880DB-59A6-4110-AC33-8ADF73CB2B46}"/>
    <cellStyle name="Comma 2 2 3 2 5 2 5" xfId="7396" xr:uid="{303C9E89-2C0E-45CE-A4E4-A98AC72097AC}"/>
    <cellStyle name="Comma 2 2 3 2 5 2 5 2" xfId="22516" xr:uid="{81ECB9C9-F1DC-4659-B974-B4A66F2D8EF2}"/>
    <cellStyle name="Comma 2 2 3 2 5 2 5 2 2" xfId="52756" xr:uid="{07C5E91A-785C-47F8-A345-2C61214315A7}"/>
    <cellStyle name="Comma 2 2 3 2 5 2 5 3" xfId="37636" xr:uid="{6C95B50A-3B77-4DA5-A548-2FFABFD35680}"/>
    <cellStyle name="Comma 2 2 3 2 5 2 6" xfId="8908" xr:uid="{919001F5-0D99-444C-99BE-385F8C15AE3A}"/>
    <cellStyle name="Comma 2 2 3 2 5 2 6 2" xfId="24028" xr:uid="{F3787A4F-E238-476B-9D9F-9559A8CEBA0E}"/>
    <cellStyle name="Comma 2 2 3 2 5 2 6 2 2" xfId="54268" xr:uid="{4BAD26F5-1E2B-44D9-9803-938260D68268}"/>
    <cellStyle name="Comma 2 2 3 2 5 2 6 3" xfId="39148" xr:uid="{A29C4B4E-5B07-41A1-9773-68EC3CD59C6F}"/>
    <cellStyle name="Comma 2 2 3 2 5 2 7" xfId="10420" xr:uid="{1B56208C-46A6-4217-A689-0D196596ED61}"/>
    <cellStyle name="Comma 2 2 3 2 5 2 7 2" xfId="25540" xr:uid="{F7671EA6-9DB6-4F98-A5FC-579D69469109}"/>
    <cellStyle name="Comma 2 2 3 2 5 2 7 2 2" xfId="55780" xr:uid="{0A0443FA-965C-4602-9BC7-E8EA55CA4270}"/>
    <cellStyle name="Comma 2 2 3 2 5 2 7 3" xfId="40660" xr:uid="{2E69C8BB-F491-49BC-96CA-A5C9A1FF6507}"/>
    <cellStyle name="Comma 2 2 3 2 5 2 8" xfId="16468" xr:uid="{5CA528D7-3C4B-4040-8B34-5A083CF120F2}"/>
    <cellStyle name="Comma 2 2 3 2 5 2 8 2" xfId="46708" xr:uid="{C160AEB4-D4B1-4388-92FD-6FD9DD0FF7D8}"/>
    <cellStyle name="Comma 2 2 3 2 5 2 9" xfId="31588" xr:uid="{3F1C8C3A-5BFF-415E-A78C-423FFC14CDF1}"/>
    <cellStyle name="Comma 2 2 3 2 5 3" xfId="2104" xr:uid="{8989B00F-7A98-419F-A772-66A6442A8FA1}"/>
    <cellStyle name="Comma 2 2 3 2 5 3 2" xfId="11176" xr:uid="{1F9DC57A-2F34-4E45-B988-53DA71545120}"/>
    <cellStyle name="Comma 2 2 3 2 5 3 2 2" xfId="26296" xr:uid="{344E6EA8-001F-4CA8-951C-A98B633FB751}"/>
    <cellStyle name="Comma 2 2 3 2 5 3 2 2 2" xfId="56536" xr:uid="{BA0AB9BD-3729-474F-AB14-1ECDC2581B9D}"/>
    <cellStyle name="Comma 2 2 3 2 5 3 2 3" xfId="41416" xr:uid="{0BA996BF-9116-487A-9B3B-4D66A547E3CA}"/>
    <cellStyle name="Comma 2 2 3 2 5 3 3" xfId="17224" xr:uid="{B18EDDCF-2C9C-4D1A-A244-03AFFCEA71F3}"/>
    <cellStyle name="Comma 2 2 3 2 5 3 3 2" xfId="47464" xr:uid="{FFB41B61-390F-47DB-B4C8-D35434799A9D}"/>
    <cellStyle name="Comma 2 2 3 2 5 3 4" xfId="32344" xr:uid="{CAE31C9E-0B4C-41FF-9B61-78FC89F25908}"/>
    <cellStyle name="Comma 2 2 3 2 5 4" xfId="3616" xr:uid="{464113CE-F43A-47EF-A18A-5547666B19C0}"/>
    <cellStyle name="Comma 2 2 3 2 5 4 2" xfId="12688" xr:uid="{09817C76-D747-4AD7-9D8E-8FA936CE336F}"/>
    <cellStyle name="Comma 2 2 3 2 5 4 2 2" xfId="27808" xr:uid="{CC57E33C-A303-44DE-9754-C8E01C223133}"/>
    <cellStyle name="Comma 2 2 3 2 5 4 2 2 2" xfId="58048" xr:uid="{FA6453EA-D922-4ED8-A725-8797081BB44E}"/>
    <cellStyle name="Comma 2 2 3 2 5 4 2 3" xfId="42928" xr:uid="{7BB0192B-170F-4EBB-8C65-F5F476DC8FDB}"/>
    <cellStyle name="Comma 2 2 3 2 5 4 3" xfId="18736" xr:uid="{C1D52733-E435-4E83-A006-C028D8CBB46C}"/>
    <cellStyle name="Comma 2 2 3 2 5 4 3 2" xfId="48976" xr:uid="{4874320A-1FCF-4523-BA56-D151AB61023D}"/>
    <cellStyle name="Comma 2 2 3 2 5 4 4" xfId="33856" xr:uid="{6E6D26C1-CCC9-45F6-AA08-57D390A29562}"/>
    <cellStyle name="Comma 2 2 3 2 5 5" xfId="5128" xr:uid="{C3D47086-8FFC-45F7-AD9B-F3A1426C7892}"/>
    <cellStyle name="Comma 2 2 3 2 5 5 2" xfId="14200" xr:uid="{E859C20A-2BBB-434F-9A99-E76F95FA882A}"/>
    <cellStyle name="Comma 2 2 3 2 5 5 2 2" xfId="29320" xr:uid="{D53E0EDD-BDDD-4070-B82B-2B5E1546FBFA}"/>
    <cellStyle name="Comma 2 2 3 2 5 5 2 2 2" xfId="59560" xr:uid="{9A24051A-0C96-463A-AC38-CC6514448B8C}"/>
    <cellStyle name="Comma 2 2 3 2 5 5 2 3" xfId="44440" xr:uid="{E928C0EE-CC85-42DD-9F80-B32455A2B3F1}"/>
    <cellStyle name="Comma 2 2 3 2 5 5 3" xfId="20248" xr:uid="{27EABC0F-DF50-45BF-BD38-DC3A7D7A3EEE}"/>
    <cellStyle name="Comma 2 2 3 2 5 5 3 2" xfId="50488" xr:uid="{4CF50F49-7330-4280-BC6D-EE45EDA9934E}"/>
    <cellStyle name="Comma 2 2 3 2 5 5 4" xfId="35368" xr:uid="{0AF1D6A8-62B1-4757-BFF3-70C25ECB1FE7}"/>
    <cellStyle name="Comma 2 2 3 2 5 6" xfId="6640" xr:uid="{DBA26D27-3D31-4B0F-BB6D-36D925A095AE}"/>
    <cellStyle name="Comma 2 2 3 2 5 6 2" xfId="21760" xr:uid="{136716DD-7316-4963-A376-F81A4C577A66}"/>
    <cellStyle name="Comma 2 2 3 2 5 6 2 2" xfId="52000" xr:uid="{0E220B36-8AFB-4F81-9DE9-A7DE4C51D222}"/>
    <cellStyle name="Comma 2 2 3 2 5 6 3" xfId="36880" xr:uid="{8B112776-6882-49BC-A099-EF589F02B596}"/>
    <cellStyle name="Comma 2 2 3 2 5 7" xfId="8152" xr:uid="{FC435E2D-1946-46AB-902C-F2915B8669D5}"/>
    <cellStyle name="Comma 2 2 3 2 5 7 2" xfId="23272" xr:uid="{3264FEC5-F4F6-4AA0-BC1C-26F9C65A2DB5}"/>
    <cellStyle name="Comma 2 2 3 2 5 7 2 2" xfId="53512" xr:uid="{6C6BBAE0-2366-4443-9518-CAE501E0FDC4}"/>
    <cellStyle name="Comma 2 2 3 2 5 7 3" xfId="38392" xr:uid="{108AC042-3952-4860-A66D-0BEBAE665878}"/>
    <cellStyle name="Comma 2 2 3 2 5 8" xfId="9664" xr:uid="{CE197567-6F6A-45CB-ADF8-6474F1E920F4}"/>
    <cellStyle name="Comma 2 2 3 2 5 8 2" xfId="24784" xr:uid="{D3F8EEE3-D7F1-4A60-8549-97EA159D25B0}"/>
    <cellStyle name="Comma 2 2 3 2 5 8 2 2" xfId="55024" xr:uid="{D87CA741-D4A5-46D5-B908-342F43A51195}"/>
    <cellStyle name="Comma 2 2 3 2 5 8 3" xfId="39904" xr:uid="{11B140D9-B3AA-40E0-B04C-47CAF2E63FD2}"/>
    <cellStyle name="Comma 2 2 3 2 5 9" xfId="15712" xr:uid="{FE4D4534-5DB0-433F-99B0-A3A91F66B6C0}"/>
    <cellStyle name="Comma 2 2 3 2 5 9 2" xfId="45952" xr:uid="{FF2EF47A-4345-480B-B9BE-9525F9A1C1F8}"/>
    <cellStyle name="Comma 2 2 3 2 6" xfId="844" xr:uid="{70CDF4B6-D799-4F26-91B1-A117CB85C875}"/>
    <cellStyle name="Comma 2 2 3 2 6 2" xfId="2356" xr:uid="{6451CCAD-873B-4902-86D9-E1F10245D5EC}"/>
    <cellStyle name="Comma 2 2 3 2 6 2 2" xfId="11428" xr:uid="{6921E55A-0384-4B70-80CD-29FF79DB4744}"/>
    <cellStyle name="Comma 2 2 3 2 6 2 2 2" xfId="26548" xr:uid="{53FD9C9E-0439-4532-8670-6E59B80FC80B}"/>
    <cellStyle name="Comma 2 2 3 2 6 2 2 2 2" xfId="56788" xr:uid="{8CBE0D98-C03B-4C00-9379-489B16AE2263}"/>
    <cellStyle name="Comma 2 2 3 2 6 2 2 3" xfId="41668" xr:uid="{CFA3AFD8-CCB5-4BF0-91E1-E743BBBDB7A5}"/>
    <cellStyle name="Comma 2 2 3 2 6 2 3" xfId="17476" xr:uid="{0F1F0956-70EF-4B14-A76A-429C31C6BA7D}"/>
    <cellStyle name="Comma 2 2 3 2 6 2 3 2" xfId="47716" xr:uid="{F6F432DD-B230-4FE6-9C40-245D7F7DE6A7}"/>
    <cellStyle name="Comma 2 2 3 2 6 2 4" xfId="32596" xr:uid="{35F8912C-A708-4B80-8391-BC618E05C4A3}"/>
    <cellStyle name="Comma 2 2 3 2 6 3" xfId="3868" xr:uid="{339BFF40-20F6-43E4-8420-AF4D0C215894}"/>
    <cellStyle name="Comma 2 2 3 2 6 3 2" xfId="12940" xr:uid="{C786BFD0-442F-4C2B-A788-D0751A31F28B}"/>
    <cellStyle name="Comma 2 2 3 2 6 3 2 2" xfId="28060" xr:uid="{A4E16DF7-7443-4C01-B911-1FC568A12C33}"/>
    <cellStyle name="Comma 2 2 3 2 6 3 2 2 2" xfId="58300" xr:uid="{246CEE0D-2011-4D1E-B23C-A8D8FCE4B37E}"/>
    <cellStyle name="Comma 2 2 3 2 6 3 2 3" xfId="43180" xr:uid="{2BAEC3AD-7BB6-4297-B738-80E000EF126E}"/>
    <cellStyle name="Comma 2 2 3 2 6 3 3" xfId="18988" xr:uid="{CDE1280C-B608-472A-B72A-F6BE799836FF}"/>
    <cellStyle name="Comma 2 2 3 2 6 3 3 2" xfId="49228" xr:uid="{1F40C399-5BE7-44D3-B3C2-B4AA8C447242}"/>
    <cellStyle name="Comma 2 2 3 2 6 3 4" xfId="34108" xr:uid="{C7A7177B-3FBE-449E-9FBD-5A73BDC5E850}"/>
    <cellStyle name="Comma 2 2 3 2 6 4" xfId="5380" xr:uid="{C5FFAB5C-811A-49B4-9A52-495D586A3154}"/>
    <cellStyle name="Comma 2 2 3 2 6 4 2" xfId="14452" xr:uid="{5E47A381-1D6B-4C1E-ABAA-6F3DB0610EEB}"/>
    <cellStyle name="Comma 2 2 3 2 6 4 2 2" xfId="29572" xr:uid="{484139B1-4985-4D43-8F57-3D28DE8322A2}"/>
    <cellStyle name="Comma 2 2 3 2 6 4 2 2 2" xfId="59812" xr:uid="{845D5A2D-38A3-48C8-94B6-56C8A02B2FA8}"/>
    <cellStyle name="Comma 2 2 3 2 6 4 2 3" xfId="44692" xr:uid="{0EA96FD5-B84B-4707-A6AA-7D174CCE4DB0}"/>
    <cellStyle name="Comma 2 2 3 2 6 4 3" xfId="20500" xr:uid="{66FEE926-0B90-473B-A44E-CCDF479CA835}"/>
    <cellStyle name="Comma 2 2 3 2 6 4 3 2" xfId="50740" xr:uid="{F0EDF4A3-EF95-4A62-9FDA-4915E63A2DB7}"/>
    <cellStyle name="Comma 2 2 3 2 6 4 4" xfId="35620" xr:uid="{1E21C1FF-9A93-4D0E-97E5-23A378E30C79}"/>
    <cellStyle name="Comma 2 2 3 2 6 5" xfId="6892" xr:uid="{152324D9-B66F-4F2A-8A9F-B096F0DC6EC8}"/>
    <cellStyle name="Comma 2 2 3 2 6 5 2" xfId="22012" xr:uid="{1487C27B-E374-4E87-9DD0-6EDD51C0FE04}"/>
    <cellStyle name="Comma 2 2 3 2 6 5 2 2" xfId="52252" xr:uid="{517DB24F-090A-47A2-99AD-0146A90AE148}"/>
    <cellStyle name="Comma 2 2 3 2 6 5 3" xfId="37132" xr:uid="{E48D2052-678B-4CCD-8EEA-18887474D199}"/>
    <cellStyle name="Comma 2 2 3 2 6 6" xfId="8404" xr:uid="{0102BF43-66EB-4EEA-848C-9296CDA2162F}"/>
    <cellStyle name="Comma 2 2 3 2 6 6 2" xfId="23524" xr:uid="{187232CF-50DD-4A40-B9AE-4BDA62374BFB}"/>
    <cellStyle name="Comma 2 2 3 2 6 6 2 2" xfId="53764" xr:uid="{4CA84B86-1BA5-4EAF-83A4-8BB3166A776E}"/>
    <cellStyle name="Comma 2 2 3 2 6 6 3" xfId="38644" xr:uid="{0D37839C-513D-4C2F-B428-87AB50B3D8A6}"/>
    <cellStyle name="Comma 2 2 3 2 6 7" xfId="9916" xr:uid="{41F74E97-8683-4DE7-BC00-26C0F54AA6AE}"/>
    <cellStyle name="Comma 2 2 3 2 6 7 2" xfId="25036" xr:uid="{43F2D41B-1AFA-481B-B874-3A462B76F89B}"/>
    <cellStyle name="Comma 2 2 3 2 6 7 2 2" xfId="55276" xr:uid="{11629B12-B4F7-4F7C-83E7-B7C5A35A6D6F}"/>
    <cellStyle name="Comma 2 2 3 2 6 7 3" xfId="40156" xr:uid="{CD051978-0C0B-4C8F-BDD2-9FA56E3084AB}"/>
    <cellStyle name="Comma 2 2 3 2 6 8" xfId="15964" xr:uid="{BDE1C98C-5B45-4335-AE85-499482EFE36D}"/>
    <cellStyle name="Comma 2 2 3 2 6 8 2" xfId="46204" xr:uid="{009BFEB2-CDF3-4A28-91A0-2912DE4431DD}"/>
    <cellStyle name="Comma 2 2 3 2 6 9" xfId="31084" xr:uid="{8E17E83F-EAD9-446D-9A12-664BF2B09F46}"/>
    <cellStyle name="Comma 2 2 3 2 7" xfId="1600" xr:uid="{F08785C6-C9E6-47BC-AFF5-C2E6037F58FE}"/>
    <cellStyle name="Comma 2 2 3 2 7 2" xfId="10672" xr:uid="{341E0F4E-F866-4997-9B0B-C1291086B9B3}"/>
    <cellStyle name="Comma 2 2 3 2 7 2 2" xfId="25792" xr:uid="{D5434EF4-4D81-42F4-8EED-133B31135D1F}"/>
    <cellStyle name="Comma 2 2 3 2 7 2 2 2" xfId="56032" xr:uid="{E2E3DB93-77D3-4155-8E0F-3A1288AC2EFF}"/>
    <cellStyle name="Comma 2 2 3 2 7 2 3" xfId="40912" xr:uid="{207F6267-EDDF-4301-A5A2-BFA1F7ED11DB}"/>
    <cellStyle name="Comma 2 2 3 2 7 3" xfId="16720" xr:uid="{DD3C815E-3B04-4750-BDA6-B2CBD138CF49}"/>
    <cellStyle name="Comma 2 2 3 2 7 3 2" xfId="46960" xr:uid="{920F633A-3EE6-43A1-A4F4-B9D05E0D76B4}"/>
    <cellStyle name="Comma 2 2 3 2 7 4" xfId="31840" xr:uid="{F7F40A36-C563-4FA2-87AE-22B91A65F833}"/>
    <cellStyle name="Comma 2 2 3 2 8" xfId="3112" xr:uid="{679896D5-7EB2-4FC9-8A53-8CAC81FC296A}"/>
    <cellStyle name="Comma 2 2 3 2 8 2" xfId="12184" xr:uid="{FEE98A72-965E-4D77-9110-7533D6465E3D}"/>
    <cellStyle name="Comma 2 2 3 2 8 2 2" xfId="27304" xr:uid="{163D9838-A0D0-4521-AC16-5C8AF6E7F013}"/>
    <cellStyle name="Comma 2 2 3 2 8 2 2 2" xfId="57544" xr:uid="{03D471F5-E4D9-4B4E-AB9A-5A62BA6462AF}"/>
    <cellStyle name="Comma 2 2 3 2 8 2 3" xfId="42424" xr:uid="{4B06CFAE-551C-4F71-8DA9-495F402B7D54}"/>
    <cellStyle name="Comma 2 2 3 2 8 3" xfId="18232" xr:uid="{0EAB0D2C-96C7-4DB9-A29B-2E22A5E05306}"/>
    <cellStyle name="Comma 2 2 3 2 8 3 2" xfId="48472" xr:uid="{1CC2CA2D-21A4-44EF-85FC-0C7128AD24FB}"/>
    <cellStyle name="Comma 2 2 3 2 8 4" xfId="33352" xr:uid="{CE988730-DD4C-4CE7-B478-4EB2DCADABE1}"/>
    <cellStyle name="Comma 2 2 3 2 9" xfId="4624" xr:uid="{97AEF996-4C84-41FB-9FAD-73E2CA84B766}"/>
    <cellStyle name="Comma 2 2 3 2 9 2" xfId="13696" xr:uid="{9DB85B68-55CC-455F-8F65-CCFA4AD1F9DE}"/>
    <cellStyle name="Comma 2 2 3 2 9 2 2" xfId="28816" xr:uid="{CC77D32F-C64D-4366-86DA-FDEA3902524A}"/>
    <cellStyle name="Comma 2 2 3 2 9 2 2 2" xfId="59056" xr:uid="{0E1A2BDA-0EF2-4367-AF52-1B0BD1BEC9A0}"/>
    <cellStyle name="Comma 2 2 3 2 9 2 3" xfId="43936" xr:uid="{A5C34A4B-699A-4F93-870B-4DB66BA09CD1}"/>
    <cellStyle name="Comma 2 2 3 2 9 3" xfId="19744" xr:uid="{E41DDA56-A7CD-4EBE-AEBE-7C07EB95C1A9}"/>
    <cellStyle name="Comma 2 2 3 2 9 3 2" xfId="49984" xr:uid="{E84F7826-9E82-4E1E-B4C3-A10DFEAFABFC}"/>
    <cellStyle name="Comma 2 2 3 2 9 4" xfId="34864" xr:uid="{49B7E667-6BB7-4E55-A961-6CA244515CD9}"/>
    <cellStyle name="Comma 2 2 3 3" xfId="130" xr:uid="{8AD3AC7F-1D46-4794-9154-C4263C9BA228}"/>
    <cellStyle name="Comma 2 2 3 3 10" xfId="9202" xr:uid="{30096F12-F0A8-4822-A709-E699A6A653B2}"/>
    <cellStyle name="Comma 2 2 3 3 10 2" xfId="24322" xr:uid="{C1568D0E-0E1E-47D9-BDE5-D994DEA4DD2D}"/>
    <cellStyle name="Comma 2 2 3 3 10 2 2" xfId="54562" xr:uid="{900EF093-F5F8-4A4D-B960-FAA247111C70}"/>
    <cellStyle name="Comma 2 2 3 3 10 3" xfId="39442" xr:uid="{3387BE06-DC37-484D-B3A9-952ABFE19345}"/>
    <cellStyle name="Comma 2 2 3 3 11" xfId="15250" xr:uid="{12E1906B-65F9-4BFF-AB3F-DB3C5D7DB1EA}"/>
    <cellStyle name="Comma 2 2 3 3 11 2" xfId="45490" xr:uid="{194AEC6B-79AA-4BA8-95BA-33DCB4460831}"/>
    <cellStyle name="Comma 2 2 3 3 12" xfId="30370" xr:uid="{15B5DC59-A5EB-4D7D-B7C8-953B294E324E}"/>
    <cellStyle name="Comma 2 2 3 3 2" xfId="382" xr:uid="{84882A2E-A333-492F-8076-ED26C20D5FAF}"/>
    <cellStyle name="Comma 2 2 3 3 2 10" xfId="30622" xr:uid="{91E5AFFB-31B5-4BBB-A94C-73EF714CDD58}"/>
    <cellStyle name="Comma 2 2 3 3 2 2" xfId="1138" xr:uid="{7F0CFBEF-E412-4D5F-8A7F-627AEF2CD5B9}"/>
    <cellStyle name="Comma 2 2 3 3 2 2 2" xfId="2650" xr:uid="{3D46CE23-5012-4033-9114-667161F18AE2}"/>
    <cellStyle name="Comma 2 2 3 3 2 2 2 2" xfId="11722" xr:uid="{A3C93371-777A-4E6A-8785-077EC6F2531B}"/>
    <cellStyle name="Comma 2 2 3 3 2 2 2 2 2" xfId="26842" xr:uid="{AB17E3D5-D5FC-4F76-A6F7-D0D7C48173E8}"/>
    <cellStyle name="Comma 2 2 3 3 2 2 2 2 2 2" xfId="57082" xr:uid="{8972137D-FA1C-47E3-A1CF-7A4C20E1F438}"/>
    <cellStyle name="Comma 2 2 3 3 2 2 2 2 3" xfId="41962" xr:uid="{3449CB73-3B8B-46D4-BEA0-19703A1DA509}"/>
    <cellStyle name="Comma 2 2 3 3 2 2 2 3" xfId="17770" xr:uid="{A37200B2-BC7B-4E01-86B6-3615DE6FE9EF}"/>
    <cellStyle name="Comma 2 2 3 3 2 2 2 3 2" xfId="48010" xr:uid="{2A295A61-897C-4ABF-A5D7-84A6080C28D2}"/>
    <cellStyle name="Comma 2 2 3 3 2 2 2 4" xfId="32890" xr:uid="{E0AB49FE-1F74-48BF-8408-FD174E131CF5}"/>
    <cellStyle name="Comma 2 2 3 3 2 2 3" xfId="4162" xr:uid="{1DF268AC-0A61-4955-A93D-C4560BEDBF00}"/>
    <cellStyle name="Comma 2 2 3 3 2 2 3 2" xfId="13234" xr:uid="{39FC72C0-1273-4F26-9B01-CA00A1D121EF}"/>
    <cellStyle name="Comma 2 2 3 3 2 2 3 2 2" xfId="28354" xr:uid="{0F011A53-A173-40E2-8E0B-AB73D05D44C1}"/>
    <cellStyle name="Comma 2 2 3 3 2 2 3 2 2 2" xfId="58594" xr:uid="{D4BF1B0D-1580-4D34-A807-7E2115B722F9}"/>
    <cellStyle name="Comma 2 2 3 3 2 2 3 2 3" xfId="43474" xr:uid="{C0C741BD-4516-4602-92DF-8160EB7F2FCF}"/>
    <cellStyle name="Comma 2 2 3 3 2 2 3 3" xfId="19282" xr:uid="{5F291A54-D04D-4434-8BD9-D70753D03A3D}"/>
    <cellStyle name="Comma 2 2 3 3 2 2 3 3 2" xfId="49522" xr:uid="{ED61591C-1CC8-498B-8555-69D0EEF1A6AF}"/>
    <cellStyle name="Comma 2 2 3 3 2 2 3 4" xfId="34402" xr:uid="{22306E5C-C3A9-4312-A6F9-9BDC6392B30A}"/>
    <cellStyle name="Comma 2 2 3 3 2 2 4" xfId="5674" xr:uid="{1F99EFBE-8695-408A-BE7B-C8A852A7EF0F}"/>
    <cellStyle name="Comma 2 2 3 3 2 2 4 2" xfId="14746" xr:uid="{0C258B62-D666-4DEC-B314-9440FC31008E}"/>
    <cellStyle name="Comma 2 2 3 3 2 2 4 2 2" xfId="29866" xr:uid="{8839931E-CE13-4D09-A13E-94B2F223D9C6}"/>
    <cellStyle name="Comma 2 2 3 3 2 2 4 2 2 2" xfId="60106" xr:uid="{8C6CBF96-2AED-4CC5-BFC5-ADF1626D82DA}"/>
    <cellStyle name="Comma 2 2 3 3 2 2 4 2 3" xfId="44986" xr:uid="{C47E1917-4E57-49C2-8BA9-2511F1D2FABA}"/>
    <cellStyle name="Comma 2 2 3 3 2 2 4 3" xfId="20794" xr:uid="{8E8314E1-1701-4B8E-8720-91397EF2E9DE}"/>
    <cellStyle name="Comma 2 2 3 3 2 2 4 3 2" xfId="51034" xr:uid="{453436F0-4362-459D-9874-23EFEBD3997E}"/>
    <cellStyle name="Comma 2 2 3 3 2 2 4 4" xfId="35914" xr:uid="{FCBE6DE7-6798-4FF9-9580-981A8718C052}"/>
    <cellStyle name="Comma 2 2 3 3 2 2 5" xfId="7186" xr:uid="{71D40231-FFFC-4178-832C-1C2A419287A1}"/>
    <cellStyle name="Comma 2 2 3 3 2 2 5 2" xfId="22306" xr:uid="{C09FE836-9485-4618-BCAB-1948EDD6F6D0}"/>
    <cellStyle name="Comma 2 2 3 3 2 2 5 2 2" xfId="52546" xr:uid="{564B8F8E-E65E-42DA-A1B9-8173A0AE4087}"/>
    <cellStyle name="Comma 2 2 3 3 2 2 5 3" xfId="37426" xr:uid="{19108DC5-4B82-4216-8081-0019B91F7546}"/>
    <cellStyle name="Comma 2 2 3 3 2 2 6" xfId="8698" xr:uid="{30C4E501-F502-407A-9B42-6466CE9B9D74}"/>
    <cellStyle name="Comma 2 2 3 3 2 2 6 2" xfId="23818" xr:uid="{878E05ED-B43F-4D38-B26F-BEE5D128D3A1}"/>
    <cellStyle name="Comma 2 2 3 3 2 2 6 2 2" xfId="54058" xr:uid="{7392AA53-D4C0-48C4-B48F-7FD0C61461C7}"/>
    <cellStyle name="Comma 2 2 3 3 2 2 6 3" xfId="38938" xr:uid="{2E55928A-A086-4FB8-B6B8-3B4F35CA4D39}"/>
    <cellStyle name="Comma 2 2 3 3 2 2 7" xfId="10210" xr:uid="{DAB72C50-92C7-45E5-B508-A9B921C907B6}"/>
    <cellStyle name="Comma 2 2 3 3 2 2 7 2" xfId="25330" xr:uid="{453E8116-738D-4B1A-8F23-FE8A4DD568BD}"/>
    <cellStyle name="Comma 2 2 3 3 2 2 7 2 2" xfId="55570" xr:uid="{9354927E-1C31-4F43-967F-EB1B37A7611D}"/>
    <cellStyle name="Comma 2 2 3 3 2 2 7 3" xfId="40450" xr:uid="{5EC61F44-FD63-4F13-AE0A-58433CEF62A3}"/>
    <cellStyle name="Comma 2 2 3 3 2 2 8" xfId="16258" xr:uid="{F2A616AA-E3FB-4CCB-8BEC-0C40210E1BC6}"/>
    <cellStyle name="Comma 2 2 3 3 2 2 8 2" xfId="46498" xr:uid="{2E58802D-3AFA-4BEC-8DC3-A766E7D7DCBD}"/>
    <cellStyle name="Comma 2 2 3 3 2 2 9" xfId="31378" xr:uid="{CEF48C2A-64A1-4CD1-A36D-D60CA6618DD1}"/>
    <cellStyle name="Comma 2 2 3 3 2 3" xfId="1894" xr:uid="{F909F7C8-5150-4A9D-A718-E6F1CAA6A2B9}"/>
    <cellStyle name="Comma 2 2 3 3 2 3 2" xfId="10966" xr:uid="{DA0D15C7-FB7A-4FFF-8CA6-0D72F77D94B5}"/>
    <cellStyle name="Comma 2 2 3 3 2 3 2 2" xfId="26086" xr:uid="{F68035CD-B72C-4574-9957-5A3AA4750ECD}"/>
    <cellStyle name="Comma 2 2 3 3 2 3 2 2 2" xfId="56326" xr:uid="{9FA5C7BD-1FB5-4887-B506-E35D416E5CB2}"/>
    <cellStyle name="Comma 2 2 3 3 2 3 2 3" xfId="41206" xr:uid="{E359AA3B-B150-430C-B312-88DBD977C12E}"/>
    <cellStyle name="Comma 2 2 3 3 2 3 3" xfId="17014" xr:uid="{77A4B215-40FC-4FAF-9A4A-D2E0AA3AE69F}"/>
    <cellStyle name="Comma 2 2 3 3 2 3 3 2" xfId="47254" xr:uid="{77546626-13E3-4890-BA6C-6892A61F1F01}"/>
    <cellStyle name="Comma 2 2 3 3 2 3 4" xfId="32134" xr:uid="{78E1D930-02EF-4B61-85EB-35EAA5CC673C}"/>
    <cellStyle name="Comma 2 2 3 3 2 4" xfId="3406" xr:uid="{24258F86-A5DB-459A-958B-8611752D668D}"/>
    <cellStyle name="Comma 2 2 3 3 2 4 2" xfId="12478" xr:uid="{6B45B34E-F44F-4A74-930F-97C6142EC6E3}"/>
    <cellStyle name="Comma 2 2 3 3 2 4 2 2" xfId="27598" xr:uid="{52D7FA09-0004-420B-9CD2-23CF3A9524B1}"/>
    <cellStyle name="Comma 2 2 3 3 2 4 2 2 2" xfId="57838" xr:uid="{9CC463BC-7394-4A9B-AE3A-E017645843D8}"/>
    <cellStyle name="Comma 2 2 3 3 2 4 2 3" xfId="42718" xr:uid="{BD8E060D-DB30-45E4-8139-A5914E3C2C18}"/>
    <cellStyle name="Comma 2 2 3 3 2 4 3" xfId="18526" xr:uid="{CC129A91-6C6B-45AD-9605-FDB6D820336C}"/>
    <cellStyle name="Comma 2 2 3 3 2 4 3 2" xfId="48766" xr:uid="{CD4AA99A-F2FB-4015-818D-5FECC73B789A}"/>
    <cellStyle name="Comma 2 2 3 3 2 4 4" xfId="33646" xr:uid="{6C7B751E-E70E-4E1F-86D8-89BAFECEC77E}"/>
    <cellStyle name="Comma 2 2 3 3 2 5" xfId="4918" xr:uid="{0DDC1E62-6C08-4DAE-B0B3-2CE2B8D9B937}"/>
    <cellStyle name="Comma 2 2 3 3 2 5 2" xfId="13990" xr:uid="{DB3B9A84-BEB5-45FF-9158-3FF56ED6F1CD}"/>
    <cellStyle name="Comma 2 2 3 3 2 5 2 2" xfId="29110" xr:uid="{7F3E95CE-BA46-4DCB-B011-5E15CED5049C}"/>
    <cellStyle name="Comma 2 2 3 3 2 5 2 2 2" xfId="59350" xr:uid="{AE35CE26-A584-4EE8-B4E7-94C2DE23BFC5}"/>
    <cellStyle name="Comma 2 2 3 3 2 5 2 3" xfId="44230" xr:uid="{4B51D390-CE81-483A-95E0-EFB90AB92219}"/>
    <cellStyle name="Comma 2 2 3 3 2 5 3" xfId="20038" xr:uid="{FEBABD8E-55C6-4A50-8488-70632BC1B4AF}"/>
    <cellStyle name="Comma 2 2 3 3 2 5 3 2" xfId="50278" xr:uid="{325B95B0-DCB1-45AA-8350-12F2612A8FD8}"/>
    <cellStyle name="Comma 2 2 3 3 2 5 4" xfId="35158" xr:uid="{856D498A-B020-462A-B5E1-9E7C1751949A}"/>
    <cellStyle name="Comma 2 2 3 3 2 6" xfId="6430" xr:uid="{B66EE0D6-D7C4-48DA-8EBD-DF628A785B70}"/>
    <cellStyle name="Comma 2 2 3 3 2 6 2" xfId="21550" xr:uid="{3EE805FF-FC7D-4A62-A1FA-8B4A715AED4C}"/>
    <cellStyle name="Comma 2 2 3 3 2 6 2 2" xfId="51790" xr:uid="{AE691626-15DE-459A-B99F-41B1DEEB45FB}"/>
    <cellStyle name="Comma 2 2 3 3 2 6 3" xfId="36670" xr:uid="{229CEB4A-E83B-4502-9FFB-3D7869923F04}"/>
    <cellStyle name="Comma 2 2 3 3 2 7" xfId="7942" xr:uid="{879FA0F3-EB49-4569-B666-3289CC1C61B5}"/>
    <cellStyle name="Comma 2 2 3 3 2 7 2" xfId="23062" xr:uid="{60D8F3D1-FC4B-47E9-98C9-6D8B16E06AC5}"/>
    <cellStyle name="Comma 2 2 3 3 2 7 2 2" xfId="53302" xr:uid="{BA1AD0C2-3942-41CB-A7B9-B759DB75852C}"/>
    <cellStyle name="Comma 2 2 3 3 2 7 3" xfId="38182" xr:uid="{7DBEF133-C533-4C37-8F4D-342B38B19383}"/>
    <cellStyle name="Comma 2 2 3 3 2 8" xfId="9454" xr:uid="{6093198E-D9F0-4ACF-A491-A4E24B97CAA8}"/>
    <cellStyle name="Comma 2 2 3 3 2 8 2" xfId="24574" xr:uid="{3046293F-4D8F-40E2-AFB2-473214AC1CF4}"/>
    <cellStyle name="Comma 2 2 3 3 2 8 2 2" xfId="54814" xr:uid="{86AC14C5-16EB-4251-9B04-E179E03AF488}"/>
    <cellStyle name="Comma 2 2 3 3 2 8 3" xfId="39694" xr:uid="{7BB7B82A-9F73-419E-946E-2AA8EA2EA056}"/>
    <cellStyle name="Comma 2 2 3 3 2 9" xfId="15502" xr:uid="{1AFB6440-EC42-4BA7-B2C4-8FC0E07FA952}"/>
    <cellStyle name="Comma 2 2 3 3 2 9 2" xfId="45742" xr:uid="{67A69548-7950-4DE0-B6BC-4E902F0E2AF1}"/>
    <cellStyle name="Comma 2 2 3 3 3" xfId="634" xr:uid="{75B46A3F-A120-436C-ABEA-9FC0F4538EAB}"/>
    <cellStyle name="Comma 2 2 3 3 3 10" xfId="30874" xr:uid="{C696E8E9-3AB2-484A-B9C5-D90C6B1FAD73}"/>
    <cellStyle name="Comma 2 2 3 3 3 2" xfId="1390" xr:uid="{5DE4D143-48D8-4679-A1FE-CC6EAC4868B0}"/>
    <cellStyle name="Comma 2 2 3 3 3 2 2" xfId="2902" xr:uid="{30071468-5BC3-4B74-B139-DF15B157BD6D}"/>
    <cellStyle name="Comma 2 2 3 3 3 2 2 2" xfId="11974" xr:uid="{C75F5DA7-01DD-4DBC-9E02-CBF1A43B0C42}"/>
    <cellStyle name="Comma 2 2 3 3 3 2 2 2 2" xfId="27094" xr:uid="{9FDF5AC1-F159-4B0D-95C7-039C7A57CDF0}"/>
    <cellStyle name="Comma 2 2 3 3 3 2 2 2 2 2" xfId="57334" xr:uid="{5C2F0D78-6AA0-4B95-9137-2E8A2AE8F10A}"/>
    <cellStyle name="Comma 2 2 3 3 3 2 2 2 3" xfId="42214" xr:uid="{5375A4DC-76E2-48D5-A202-D8D594CDFF5F}"/>
    <cellStyle name="Comma 2 2 3 3 3 2 2 3" xfId="18022" xr:uid="{088B2DC5-1B16-485F-9859-AFD9A4128945}"/>
    <cellStyle name="Comma 2 2 3 3 3 2 2 3 2" xfId="48262" xr:uid="{B085D7D4-2538-4ED0-B64A-0B84EDFA3B77}"/>
    <cellStyle name="Comma 2 2 3 3 3 2 2 4" xfId="33142" xr:uid="{400123C1-8C2D-4B10-8EB1-52E33AEDA14A}"/>
    <cellStyle name="Comma 2 2 3 3 3 2 3" xfId="4414" xr:uid="{E06D226D-3726-42F9-9C9E-31E64F2FE831}"/>
    <cellStyle name="Comma 2 2 3 3 3 2 3 2" xfId="13486" xr:uid="{24272CC6-AC79-4763-BBFC-5E56D26C5A4E}"/>
    <cellStyle name="Comma 2 2 3 3 3 2 3 2 2" xfId="28606" xr:uid="{AD3F0178-EF31-460C-B9FE-C1DCC37D74F3}"/>
    <cellStyle name="Comma 2 2 3 3 3 2 3 2 2 2" xfId="58846" xr:uid="{BA92FBF1-D712-4783-B3B0-9479C87E7C44}"/>
    <cellStyle name="Comma 2 2 3 3 3 2 3 2 3" xfId="43726" xr:uid="{054577C1-C930-404E-B276-D6A04B99AAF7}"/>
    <cellStyle name="Comma 2 2 3 3 3 2 3 3" xfId="19534" xr:uid="{6AF4175D-A9D1-4414-93FD-D15AF66CE7DB}"/>
    <cellStyle name="Comma 2 2 3 3 3 2 3 3 2" xfId="49774" xr:uid="{CE2984F1-3199-4EF9-A467-4E25AC738FAB}"/>
    <cellStyle name="Comma 2 2 3 3 3 2 3 4" xfId="34654" xr:uid="{DD8FD67A-2B9F-4B88-847B-544273A21F72}"/>
    <cellStyle name="Comma 2 2 3 3 3 2 4" xfId="5926" xr:uid="{2E451401-E31B-4D28-B859-90F81B8D6572}"/>
    <cellStyle name="Comma 2 2 3 3 3 2 4 2" xfId="14998" xr:uid="{F5A7625B-2022-491F-A4EA-B761FF586A3C}"/>
    <cellStyle name="Comma 2 2 3 3 3 2 4 2 2" xfId="30118" xr:uid="{DFB4F53A-81AB-473A-A874-A7F411B4982F}"/>
    <cellStyle name="Comma 2 2 3 3 3 2 4 2 2 2" xfId="60358" xr:uid="{61018794-3424-487C-B3AE-6D7FBA5CB63C}"/>
    <cellStyle name="Comma 2 2 3 3 3 2 4 2 3" xfId="45238" xr:uid="{F2CF9DF3-151B-4308-BB4C-CFC6D00FC0D7}"/>
    <cellStyle name="Comma 2 2 3 3 3 2 4 3" xfId="21046" xr:uid="{2266053C-0D72-445A-B1DA-48956945EFA9}"/>
    <cellStyle name="Comma 2 2 3 3 3 2 4 3 2" xfId="51286" xr:uid="{D104C4C1-34FC-4016-8A07-A3C357423140}"/>
    <cellStyle name="Comma 2 2 3 3 3 2 4 4" xfId="36166" xr:uid="{9937B229-859E-4208-96C6-FC2079E59A73}"/>
    <cellStyle name="Comma 2 2 3 3 3 2 5" xfId="7438" xr:uid="{E6C18AD2-F98C-4E82-AC3A-A6B8DFC53683}"/>
    <cellStyle name="Comma 2 2 3 3 3 2 5 2" xfId="22558" xr:uid="{C5C79E07-5128-4266-B41A-AF16E9CA7EF5}"/>
    <cellStyle name="Comma 2 2 3 3 3 2 5 2 2" xfId="52798" xr:uid="{C1F81C1C-1586-4DEC-8CA7-7D2B42AC247D}"/>
    <cellStyle name="Comma 2 2 3 3 3 2 5 3" xfId="37678" xr:uid="{9151F4B5-3B84-4910-98AE-3100EB7AE5F1}"/>
    <cellStyle name="Comma 2 2 3 3 3 2 6" xfId="8950" xr:uid="{AA9CF970-B95A-4ED6-8F40-2B42E70B82B5}"/>
    <cellStyle name="Comma 2 2 3 3 3 2 6 2" xfId="24070" xr:uid="{E065825D-1E0D-40AD-A7A6-E4DBE71EF893}"/>
    <cellStyle name="Comma 2 2 3 3 3 2 6 2 2" xfId="54310" xr:uid="{B7B8CE5A-83D2-44D8-AC21-AE0E25F8B399}"/>
    <cellStyle name="Comma 2 2 3 3 3 2 6 3" xfId="39190" xr:uid="{AC5FF1FE-C487-455D-BAE3-F1F36EF6D273}"/>
    <cellStyle name="Comma 2 2 3 3 3 2 7" xfId="10462" xr:uid="{FB4542FD-7A6A-4EF9-8251-DC81B0CB348A}"/>
    <cellStyle name="Comma 2 2 3 3 3 2 7 2" xfId="25582" xr:uid="{F47F3AC5-FF7C-4F95-AB57-9F8C961C3E3C}"/>
    <cellStyle name="Comma 2 2 3 3 3 2 7 2 2" xfId="55822" xr:uid="{090443DE-3B60-4DE0-AD01-56764EB3C523}"/>
    <cellStyle name="Comma 2 2 3 3 3 2 7 3" xfId="40702" xr:uid="{685C5C67-AFB8-47A2-A61B-ACEB55E897F5}"/>
    <cellStyle name="Comma 2 2 3 3 3 2 8" xfId="16510" xr:uid="{CA99CED0-5B12-4FB3-A329-44B9F4722CAA}"/>
    <cellStyle name="Comma 2 2 3 3 3 2 8 2" xfId="46750" xr:uid="{DAD61BDA-BEBD-46F3-B4C2-AD8373A7F3BD}"/>
    <cellStyle name="Comma 2 2 3 3 3 2 9" xfId="31630" xr:uid="{AF7AC8D0-A09A-441F-BBAC-F5A429555852}"/>
    <cellStyle name="Comma 2 2 3 3 3 3" xfId="2146" xr:uid="{CA73B6E2-510A-447D-9CAB-602909E92B05}"/>
    <cellStyle name="Comma 2 2 3 3 3 3 2" xfId="11218" xr:uid="{727F70B5-6786-447E-A38E-97B02FF8EC62}"/>
    <cellStyle name="Comma 2 2 3 3 3 3 2 2" xfId="26338" xr:uid="{ED422BFC-3AB9-495C-AB58-E0B85F380A46}"/>
    <cellStyle name="Comma 2 2 3 3 3 3 2 2 2" xfId="56578" xr:uid="{E5F1430D-6A9B-488F-8BF3-B70AEBA4AE6A}"/>
    <cellStyle name="Comma 2 2 3 3 3 3 2 3" xfId="41458" xr:uid="{708EF086-C317-471F-94D1-A974D2836704}"/>
    <cellStyle name="Comma 2 2 3 3 3 3 3" xfId="17266" xr:uid="{59F3FB36-57B9-4C9C-ADCC-C47EF8DBD347}"/>
    <cellStyle name="Comma 2 2 3 3 3 3 3 2" xfId="47506" xr:uid="{0EB5D453-8420-4646-BAFC-814C1F103212}"/>
    <cellStyle name="Comma 2 2 3 3 3 3 4" xfId="32386" xr:uid="{7D4CE89A-3F1E-46B1-9FED-040DDEA2D3AB}"/>
    <cellStyle name="Comma 2 2 3 3 3 4" xfId="3658" xr:uid="{0B5DD163-607E-497D-B2F8-9249BADB54AC}"/>
    <cellStyle name="Comma 2 2 3 3 3 4 2" xfId="12730" xr:uid="{04E3CA38-EB7A-4A17-B26B-C9CA73C42356}"/>
    <cellStyle name="Comma 2 2 3 3 3 4 2 2" xfId="27850" xr:uid="{ED0E80EE-AD74-4539-A7BE-F0460E78C50E}"/>
    <cellStyle name="Comma 2 2 3 3 3 4 2 2 2" xfId="58090" xr:uid="{797DC387-800A-41E1-A9C2-4B9EBE855C57}"/>
    <cellStyle name="Comma 2 2 3 3 3 4 2 3" xfId="42970" xr:uid="{604A776C-900D-438D-9BF6-86D9A4B102F7}"/>
    <cellStyle name="Comma 2 2 3 3 3 4 3" xfId="18778" xr:uid="{9A83F712-1B02-4D4F-9A90-A7BBC98A593B}"/>
    <cellStyle name="Comma 2 2 3 3 3 4 3 2" xfId="49018" xr:uid="{F1015317-CF67-4602-B667-33F6412A64B3}"/>
    <cellStyle name="Comma 2 2 3 3 3 4 4" xfId="33898" xr:uid="{5E2C3D37-3510-47EE-B2BB-4AE6622E0A16}"/>
    <cellStyle name="Comma 2 2 3 3 3 5" xfId="5170" xr:uid="{D28D219F-496F-4F95-ABD8-8A9EAA30DEF8}"/>
    <cellStyle name="Comma 2 2 3 3 3 5 2" xfId="14242" xr:uid="{6BA24B40-7390-49B8-899E-922779B0EC45}"/>
    <cellStyle name="Comma 2 2 3 3 3 5 2 2" xfId="29362" xr:uid="{38749445-7B1B-4422-A930-7930DC8C7026}"/>
    <cellStyle name="Comma 2 2 3 3 3 5 2 2 2" xfId="59602" xr:uid="{A0A4258A-44A2-42E2-896F-366EF74E25D5}"/>
    <cellStyle name="Comma 2 2 3 3 3 5 2 3" xfId="44482" xr:uid="{3158CD3E-1E9D-49E2-96FB-B02A1BA8092B}"/>
    <cellStyle name="Comma 2 2 3 3 3 5 3" xfId="20290" xr:uid="{FB823A3F-EC0C-4DC7-8E27-9B27E38EB705}"/>
    <cellStyle name="Comma 2 2 3 3 3 5 3 2" xfId="50530" xr:uid="{E93D9DF1-272E-4F10-9817-D084D1B3415C}"/>
    <cellStyle name="Comma 2 2 3 3 3 5 4" xfId="35410" xr:uid="{841DF033-9490-470B-9F07-D90B386DC6C1}"/>
    <cellStyle name="Comma 2 2 3 3 3 6" xfId="6682" xr:uid="{9721BA00-C4DE-4A8E-B4F4-60AB0F720354}"/>
    <cellStyle name="Comma 2 2 3 3 3 6 2" xfId="21802" xr:uid="{96458A25-87CD-4985-A458-29B7CB784E3B}"/>
    <cellStyle name="Comma 2 2 3 3 3 6 2 2" xfId="52042" xr:uid="{788F3221-FE3B-4C4D-A05B-B36D2C833A76}"/>
    <cellStyle name="Comma 2 2 3 3 3 6 3" xfId="36922" xr:uid="{2A3EB641-4CA7-4DC2-840B-769BE844D332}"/>
    <cellStyle name="Comma 2 2 3 3 3 7" xfId="8194" xr:uid="{7DDE0C82-0182-44F8-9870-D1A27E49DFEB}"/>
    <cellStyle name="Comma 2 2 3 3 3 7 2" xfId="23314" xr:uid="{74B62063-9098-44DC-824F-171EA8B8C928}"/>
    <cellStyle name="Comma 2 2 3 3 3 7 2 2" xfId="53554" xr:uid="{481336C1-DC0D-4441-BCF2-96FA4C7A315B}"/>
    <cellStyle name="Comma 2 2 3 3 3 7 3" xfId="38434" xr:uid="{85666687-B31C-48BC-8BF6-CA327B55252B}"/>
    <cellStyle name="Comma 2 2 3 3 3 8" xfId="9706" xr:uid="{9E7043C5-35BD-4F0D-89E9-FB55D1DF6825}"/>
    <cellStyle name="Comma 2 2 3 3 3 8 2" xfId="24826" xr:uid="{0F6D332D-2DA4-4955-9525-CC25047AD23B}"/>
    <cellStyle name="Comma 2 2 3 3 3 8 2 2" xfId="55066" xr:uid="{BF6A9E82-87A1-415D-A6D4-E9C77B0021A6}"/>
    <cellStyle name="Comma 2 2 3 3 3 8 3" xfId="39946" xr:uid="{742EFCB4-8556-4AE0-A693-5C7F6C31057D}"/>
    <cellStyle name="Comma 2 2 3 3 3 9" xfId="15754" xr:uid="{D95B3B39-712C-49B0-BBA4-AF13BCD0A2C2}"/>
    <cellStyle name="Comma 2 2 3 3 3 9 2" xfId="45994" xr:uid="{0BB13201-5A97-4C29-951C-49A09D0CDB62}"/>
    <cellStyle name="Comma 2 2 3 3 4" xfId="886" xr:uid="{B18B54D7-BB93-45C9-BBFE-258827BA1791}"/>
    <cellStyle name="Comma 2 2 3 3 4 2" xfId="2398" xr:uid="{31AB17FF-CC2C-49B0-967A-480B9DA32F6E}"/>
    <cellStyle name="Comma 2 2 3 3 4 2 2" xfId="11470" xr:uid="{320EF1DA-C663-40BF-996B-F80A19917033}"/>
    <cellStyle name="Comma 2 2 3 3 4 2 2 2" xfId="26590" xr:uid="{1AFAE678-95A4-4083-9AA8-DC55586121C0}"/>
    <cellStyle name="Comma 2 2 3 3 4 2 2 2 2" xfId="56830" xr:uid="{9B44E60C-A391-40F5-9047-F2FDE2EA03B9}"/>
    <cellStyle name="Comma 2 2 3 3 4 2 2 3" xfId="41710" xr:uid="{D300AE51-15AC-4062-9579-8F8DF9EFDB47}"/>
    <cellStyle name="Comma 2 2 3 3 4 2 3" xfId="17518" xr:uid="{159341DE-C5D5-43CE-8D94-0AF9228C754C}"/>
    <cellStyle name="Comma 2 2 3 3 4 2 3 2" xfId="47758" xr:uid="{151067F9-F461-4397-8E00-66882F8946B3}"/>
    <cellStyle name="Comma 2 2 3 3 4 2 4" xfId="32638" xr:uid="{84B38CA7-9481-4639-A47F-05FBEBC0FAD5}"/>
    <cellStyle name="Comma 2 2 3 3 4 3" xfId="3910" xr:uid="{3576A4CF-BC8E-41D7-A745-99DDAAFB92A9}"/>
    <cellStyle name="Comma 2 2 3 3 4 3 2" xfId="12982" xr:uid="{720EB943-0107-4B28-B4B9-98818FDBF9BA}"/>
    <cellStyle name="Comma 2 2 3 3 4 3 2 2" xfId="28102" xr:uid="{0FC44350-B96F-4AAE-A9AE-559758BCB801}"/>
    <cellStyle name="Comma 2 2 3 3 4 3 2 2 2" xfId="58342" xr:uid="{58CB7520-10B2-4AE1-9722-9F45CEC39CD2}"/>
    <cellStyle name="Comma 2 2 3 3 4 3 2 3" xfId="43222" xr:uid="{3853688E-84EA-462A-BBE0-6CE042FD59D8}"/>
    <cellStyle name="Comma 2 2 3 3 4 3 3" xfId="19030" xr:uid="{7024BD24-5250-4489-AA8C-37151BBCBBAD}"/>
    <cellStyle name="Comma 2 2 3 3 4 3 3 2" xfId="49270" xr:uid="{6EAC1166-BB45-4856-B1CD-36F89F798081}"/>
    <cellStyle name="Comma 2 2 3 3 4 3 4" xfId="34150" xr:uid="{1F2157DB-1D28-4538-8CB9-D258044EA4EB}"/>
    <cellStyle name="Comma 2 2 3 3 4 4" xfId="5422" xr:uid="{F635B9F7-B987-4FB0-95D9-32AD75ADE3AC}"/>
    <cellStyle name="Comma 2 2 3 3 4 4 2" xfId="14494" xr:uid="{DFCA6FB3-DE2B-4F2F-8576-CE541BDBD2EA}"/>
    <cellStyle name="Comma 2 2 3 3 4 4 2 2" xfId="29614" xr:uid="{72038C5D-79A3-43D2-9C1F-A549EA5B35BE}"/>
    <cellStyle name="Comma 2 2 3 3 4 4 2 2 2" xfId="59854" xr:uid="{EA3FCE7A-03DA-4858-994E-BDF879144379}"/>
    <cellStyle name="Comma 2 2 3 3 4 4 2 3" xfId="44734" xr:uid="{CCA9A62B-DD9B-4F7B-AC74-82A7E9FE319C}"/>
    <cellStyle name="Comma 2 2 3 3 4 4 3" xfId="20542" xr:uid="{3E8155A9-8982-4AD5-B5CD-7649B5927A80}"/>
    <cellStyle name="Comma 2 2 3 3 4 4 3 2" xfId="50782" xr:uid="{75674477-64C3-4CD1-BA04-4DDC678E970A}"/>
    <cellStyle name="Comma 2 2 3 3 4 4 4" xfId="35662" xr:uid="{30CA2C20-5B11-4341-91D0-4EE6DF389DA1}"/>
    <cellStyle name="Comma 2 2 3 3 4 5" xfId="6934" xr:uid="{5D44B35E-EE84-43FB-B0B0-B59C27FD5EBF}"/>
    <cellStyle name="Comma 2 2 3 3 4 5 2" xfId="22054" xr:uid="{CCD2409B-38EE-4B30-9271-E7EAC46FF941}"/>
    <cellStyle name="Comma 2 2 3 3 4 5 2 2" xfId="52294" xr:uid="{902D9496-6F3D-4D38-88E7-936EFF8F503C}"/>
    <cellStyle name="Comma 2 2 3 3 4 5 3" xfId="37174" xr:uid="{9F1DA9EF-5186-4F3D-8A89-88C2FEBEF301}"/>
    <cellStyle name="Comma 2 2 3 3 4 6" xfId="8446" xr:uid="{806E75C8-1C97-48D3-8EFF-FB23BD3FA123}"/>
    <cellStyle name="Comma 2 2 3 3 4 6 2" xfId="23566" xr:uid="{B048AEE3-DADB-4776-B239-3D76F14B609A}"/>
    <cellStyle name="Comma 2 2 3 3 4 6 2 2" xfId="53806" xr:uid="{5F447830-383A-470B-B316-8B6BDD542924}"/>
    <cellStyle name="Comma 2 2 3 3 4 6 3" xfId="38686" xr:uid="{7EC4A8AC-7A2A-49A9-930D-E8BAE00FC526}"/>
    <cellStyle name="Comma 2 2 3 3 4 7" xfId="9958" xr:uid="{6B770CFE-1170-4354-8D01-C8D726890A85}"/>
    <cellStyle name="Comma 2 2 3 3 4 7 2" xfId="25078" xr:uid="{83EB0550-1770-4D6A-81B3-E8B049DD1BD6}"/>
    <cellStyle name="Comma 2 2 3 3 4 7 2 2" xfId="55318" xr:uid="{6D8F085B-201A-41E0-899D-1C35D76E8B40}"/>
    <cellStyle name="Comma 2 2 3 3 4 7 3" xfId="40198" xr:uid="{4167D177-5544-4EBD-8746-9159F2B40F4C}"/>
    <cellStyle name="Comma 2 2 3 3 4 8" xfId="16006" xr:uid="{4EA5146C-A60A-4391-A5A0-55D055593F6F}"/>
    <cellStyle name="Comma 2 2 3 3 4 8 2" xfId="46246" xr:uid="{9C2A249C-48AE-467B-B7AB-6BE449E2008D}"/>
    <cellStyle name="Comma 2 2 3 3 4 9" xfId="31126" xr:uid="{2FC839C2-5388-4B1C-A8C5-F245C2C7B95B}"/>
    <cellStyle name="Comma 2 2 3 3 5" xfId="1642" xr:uid="{B7F11F24-64A5-4CA3-B53A-73FA4ABD0D2D}"/>
    <cellStyle name="Comma 2 2 3 3 5 2" xfId="10714" xr:uid="{ACC4A806-0A00-4F2A-A284-B42F44E24CC2}"/>
    <cellStyle name="Comma 2 2 3 3 5 2 2" xfId="25834" xr:uid="{81E1368E-B5DB-4D9F-BF9B-84455C6FB48A}"/>
    <cellStyle name="Comma 2 2 3 3 5 2 2 2" xfId="56074" xr:uid="{A1BC4549-C80F-429D-B68D-EC4BF3DFCCFC}"/>
    <cellStyle name="Comma 2 2 3 3 5 2 3" xfId="40954" xr:uid="{EFB8AE74-8A00-4F2A-9F7A-BEB2BEA9FEEC}"/>
    <cellStyle name="Comma 2 2 3 3 5 3" xfId="16762" xr:uid="{2C46F859-B5DE-4F51-9AD0-B4F2B3FD06F9}"/>
    <cellStyle name="Comma 2 2 3 3 5 3 2" xfId="47002" xr:uid="{3918ED9C-B1DE-44D6-AB00-E0CF0B50597D}"/>
    <cellStyle name="Comma 2 2 3 3 5 4" xfId="31882" xr:uid="{2E7F1288-ED06-47AC-BB7C-2A75E5E8AC63}"/>
    <cellStyle name="Comma 2 2 3 3 6" xfId="3154" xr:uid="{D5C8C2D3-CAE3-43A2-B403-D5946C311EDE}"/>
    <cellStyle name="Comma 2 2 3 3 6 2" xfId="12226" xr:uid="{D0921ABE-9CAD-4FAD-A664-2CF3BE88FE22}"/>
    <cellStyle name="Comma 2 2 3 3 6 2 2" xfId="27346" xr:uid="{D98A5DD1-5329-472F-A65D-8FC86CD85B96}"/>
    <cellStyle name="Comma 2 2 3 3 6 2 2 2" xfId="57586" xr:uid="{461903C8-B050-4159-B90B-3869EC385DB2}"/>
    <cellStyle name="Comma 2 2 3 3 6 2 3" xfId="42466" xr:uid="{B4AA0896-D130-489A-9DA7-6CA6A39EBAFA}"/>
    <cellStyle name="Comma 2 2 3 3 6 3" xfId="18274" xr:uid="{065D05D4-375D-478C-83A1-143446EEA4DF}"/>
    <cellStyle name="Comma 2 2 3 3 6 3 2" xfId="48514" xr:uid="{5A759957-8D4E-40DD-B55A-A1ECBCBBF64E}"/>
    <cellStyle name="Comma 2 2 3 3 6 4" xfId="33394" xr:uid="{906B17EB-20D9-47E2-81E4-77B302766AB1}"/>
    <cellStyle name="Comma 2 2 3 3 7" xfId="4666" xr:uid="{80405B66-327A-4B5B-82CE-F7E631588922}"/>
    <cellStyle name="Comma 2 2 3 3 7 2" xfId="13738" xr:uid="{1FE9BC66-1F81-4973-BDCA-854F38B0623B}"/>
    <cellStyle name="Comma 2 2 3 3 7 2 2" xfId="28858" xr:uid="{69330D06-3235-4E4F-9E82-CE40CFF1EA36}"/>
    <cellStyle name="Comma 2 2 3 3 7 2 2 2" xfId="59098" xr:uid="{7410B86A-0416-4C4D-911D-77842C4AC247}"/>
    <cellStyle name="Comma 2 2 3 3 7 2 3" xfId="43978" xr:uid="{22AFEA71-80DD-42D6-B8A5-10A39F3EF635}"/>
    <cellStyle name="Comma 2 2 3 3 7 3" xfId="19786" xr:uid="{EABA6176-BCA1-4819-8925-9644BC79A9D3}"/>
    <cellStyle name="Comma 2 2 3 3 7 3 2" xfId="50026" xr:uid="{1A75483F-2068-4DA9-B6B9-E33877C4E2D1}"/>
    <cellStyle name="Comma 2 2 3 3 7 4" xfId="34906" xr:uid="{891DA8BA-F89D-4747-8895-131130A050AC}"/>
    <cellStyle name="Comma 2 2 3 3 8" xfId="6178" xr:uid="{8BB49DF5-F421-4FA4-B25B-DFF0769D8C08}"/>
    <cellStyle name="Comma 2 2 3 3 8 2" xfId="21298" xr:uid="{91409F57-3BBA-4DDB-BA36-38A5F73F0D6A}"/>
    <cellStyle name="Comma 2 2 3 3 8 2 2" xfId="51538" xr:uid="{80A4D214-5A22-4718-827E-05112ACD2784}"/>
    <cellStyle name="Comma 2 2 3 3 8 3" xfId="36418" xr:uid="{80E8744C-0D97-4EDD-884F-EDBD234A4C01}"/>
    <cellStyle name="Comma 2 2 3 3 9" xfId="7690" xr:uid="{DA55C46E-A9A2-4E02-A3F1-CD0EBD229184}"/>
    <cellStyle name="Comma 2 2 3 3 9 2" xfId="22810" xr:uid="{8D28DBB8-5826-434B-A2A8-C8E19FF2310D}"/>
    <cellStyle name="Comma 2 2 3 3 9 2 2" xfId="53050" xr:uid="{CAE74147-3B57-4551-BB10-D383F360EB56}"/>
    <cellStyle name="Comma 2 2 3 3 9 3" xfId="37930" xr:uid="{2A3BA1A8-F687-4A39-B815-AAD6CA48D916}"/>
    <cellStyle name="Comma 2 2 3 4" xfId="214" xr:uid="{B1B616B4-343C-409A-B36D-1162FCC81D82}"/>
    <cellStyle name="Comma 2 2 3 4 10" xfId="9286" xr:uid="{3FBA86FE-7E29-429D-BCAE-944928AC5EB9}"/>
    <cellStyle name="Comma 2 2 3 4 10 2" xfId="24406" xr:uid="{AD6DDD9D-B294-499E-BD38-FD148D4A745A}"/>
    <cellStyle name="Comma 2 2 3 4 10 2 2" xfId="54646" xr:uid="{6365A670-D2F0-4F5B-A286-2CF429F0D49B}"/>
    <cellStyle name="Comma 2 2 3 4 10 3" xfId="39526" xr:uid="{AB593CB1-84B4-4136-B415-64ED1C6750E6}"/>
    <cellStyle name="Comma 2 2 3 4 11" xfId="15334" xr:uid="{D8FC9A85-3F38-49BA-A3F3-59917A03CC21}"/>
    <cellStyle name="Comma 2 2 3 4 11 2" xfId="45574" xr:uid="{7767A8B9-644D-4341-B1D0-2FCE04BC9BC3}"/>
    <cellStyle name="Comma 2 2 3 4 12" xfId="30454" xr:uid="{138D77D7-1614-42D3-97F1-C45AC36D5188}"/>
    <cellStyle name="Comma 2 2 3 4 2" xfId="466" xr:uid="{C944DB6B-4F44-4C8B-A06C-DE533524B7AA}"/>
    <cellStyle name="Comma 2 2 3 4 2 10" xfId="30706" xr:uid="{3AFE5078-FB72-4F48-8E29-3588A03FEEF1}"/>
    <cellStyle name="Comma 2 2 3 4 2 2" xfId="1222" xr:uid="{BEF3F949-8E2A-4148-88D6-F910D2FF1D51}"/>
    <cellStyle name="Comma 2 2 3 4 2 2 2" xfId="2734" xr:uid="{CA30B590-626B-411E-A94C-CE88A511539D}"/>
    <cellStyle name="Comma 2 2 3 4 2 2 2 2" xfId="11806" xr:uid="{DDBB5580-1D6A-4049-A942-FAC6AF1D898B}"/>
    <cellStyle name="Comma 2 2 3 4 2 2 2 2 2" xfId="26926" xr:uid="{5421690E-448A-4EAE-8E98-35E6A3ADE1CE}"/>
    <cellStyle name="Comma 2 2 3 4 2 2 2 2 2 2" xfId="57166" xr:uid="{67EB71CB-37CC-4D8C-A76B-6CBC28F3A9F8}"/>
    <cellStyle name="Comma 2 2 3 4 2 2 2 2 3" xfId="42046" xr:uid="{1269A1DF-8DCA-4E16-BA53-F0C77C04C563}"/>
    <cellStyle name="Comma 2 2 3 4 2 2 2 3" xfId="17854" xr:uid="{79A36D05-0AB5-4567-A194-097A8A70B5ED}"/>
    <cellStyle name="Comma 2 2 3 4 2 2 2 3 2" xfId="48094" xr:uid="{4E2F7AF9-40EF-43F1-9340-8A3D7870BC34}"/>
    <cellStyle name="Comma 2 2 3 4 2 2 2 4" xfId="32974" xr:uid="{AB2D742A-0D9E-4F37-BA1F-49AED8C9D204}"/>
    <cellStyle name="Comma 2 2 3 4 2 2 3" xfId="4246" xr:uid="{1B647E4D-5974-4D81-8037-9634E7B2E4EE}"/>
    <cellStyle name="Comma 2 2 3 4 2 2 3 2" xfId="13318" xr:uid="{08370EA4-CB63-4298-8CBB-894E2A87BB9C}"/>
    <cellStyle name="Comma 2 2 3 4 2 2 3 2 2" xfId="28438" xr:uid="{AA458CA8-E78F-41C6-B387-F912F500E892}"/>
    <cellStyle name="Comma 2 2 3 4 2 2 3 2 2 2" xfId="58678" xr:uid="{367B935E-D851-459D-A057-A8F0DA5AA4A1}"/>
    <cellStyle name="Comma 2 2 3 4 2 2 3 2 3" xfId="43558" xr:uid="{C1764D63-42E0-4952-9C91-E579B4DFD79D}"/>
    <cellStyle name="Comma 2 2 3 4 2 2 3 3" xfId="19366" xr:uid="{EBE3042C-F3FA-4724-BA56-D5C66A1711D7}"/>
    <cellStyle name="Comma 2 2 3 4 2 2 3 3 2" xfId="49606" xr:uid="{F0611CBC-F12F-4E29-AB6C-A51432717738}"/>
    <cellStyle name="Comma 2 2 3 4 2 2 3 4" xfId="34486" xr:uid="{E1347967-6EF9-4B65-AEEA-D70545AC4DA3}"/>
    <cellStyle name="Comma 2 2 3 4 2 2 4" xfId="5758" xr:uid="{EF5DD7A5-F5B9-4898-8159-E863D0F417F2}"/>
    <cellStyle name="Comma 2 2 3 4 2 2 4 2" xfId="14830" xr:uid="{063974DF-444D-4388-9A6C-D96EDD1C92CE}"/>
    <cellStyle name="Comma 2 2 3 4 2 2 4 2 2" xfId="29950" xr:uid="{D0CF21F4-D623-49DD-8F83-CBBB68FE425C}"/>
    <cellStyle name="Comma 2 2 3 4 2 2 4 2 2 2" xfId="60190" xr:uid="{CF8A96A6-2936-484D-A84A-6F1E3D879AC1}"/>
    <cellStyle name="Comma 2 2 3 4 2 2 4 2 3" xfId="45070" xr:uid="{49B0E45C-BEEA-4AD5-BE27-97D9AEB9A657}"/>
    <cellStyle name="Comma 2 2 3 4 2 2 4 3" xfId="20878" xr:uid="{CCC30F2F-FE06-4BC6-9C4A-92D49841CC2B}"/>
    <cellStyle name="Comma 2 2 3 4 2 2 4 3 2" xfId="51118" xr:uid="{3DE6FE89-4E74-43FD-94DC-D8C14CBAC129}"/>
    <cellStyle name="Comma 2 2 3 4 2 2 4 4" xfId="35998" xr:uid="{4E820C91-436B-439A-A924-144FFD3447A8}"/>
    <cellStyle name="Comma 2 2 3 4 2 2 5" xfId="7270" xr:uid="{25EFD82F-B0FB-439F-B097-D45144E31442}"/>
    <cellStyle name="Comma 2 2 3 4 2 2 5 2" xfId="22390" xr:uid="{42D666FA-9D2B-4C93-A41C-FA132D25E4ED}"/>
    <cellStyle name="Comma 2 2 3 4 2 2 5 2 2" xfId="52630" xr:uid="{BF72B543-88FF-4C55-998C-27CA1558EEBA}"/>
    <cellStyle name="Comma 2 2 3 4 2 2 5 3" xfId="37510" xr:uid="{1F7D2A39-B563-46C7-BA2B-546F4E87DE39}"/>
    <cellStyle name="Comma 2 2 3 4 2 2 6" xfId="8782" xr:uid="{4820E9DB-0BEC-4A8A-9C61-D8C86CB382CC}"/>
    <cellStyle name="Comma 2 2 3 4 2 2 6 2" xfId="23902" xr:uid="{36D5EED5-37A2-4531-A185-8042BD6D5E6F}"/>
    <cellStyle name="Comma 2 2 3 4 2 2 6 2 2" xfId="54142" xr:uid="{DF84D36C-5F13-4AAA-9818-6E8B2965938F}"/>
    <cellStyle name="Comma 2 2 3 4 2 2 6 3" xfId="39022" xr:uid="{62F4091D-F187-4F22-A5B0-F7418CCB09EA}"/>
    <cellStyle name="Comma 2 2 3 4 2 2 7" xfId="10294" xr:uid="{3B042563-38D3-4F1E-AA6A-B22D7D5B95CF}"/>
    <cellStyle name="Comma 2 2 3 4 2 2 7 2" xfId="25414" xr:uid="{3C121E18-B974-4850-83C3-CFD88EB76C6B}"/>
    <cellStyle name="Comma 2 2 3 4 2 2 7 2 2" xfId="55654" xr:uid="{513116B9-3A58-4850-AB36-BD1B8DBF5203}"/>
    <cellStyle name="Comma 2 2 3 4 2 2 7 3" xfId="40534" xr:uid="{7BB123D0-975D-4FC7-9207-D32D80294B0E}"/>
    <cellStyle name="Comma 2 2 3 4 2 2 8" xfId="16342" xr:uid="{C7BDAEFF-54A6-463D-884C-3843D4DBC457}"/>
    <cellStyle name="Comma 2 2 3 4 2 2 8 2" xfId="46582" xr:uid="{9D0C1D8B-FB9A-4EC1-98AF-F5568DEE35DA}"/>
    <cellStyle name="Comma 2 2 3 4 2 2 9" xfId="31462" xr:uid="{E84ED443-AC1F-45FF-A087-35D47C3D308A}"/>
    <cellStyle name="Comma 2 2 3 4 2 3" xfId="1978" xr:uid="{C7511A3F-7700-40F0-AA94-7F611FEDDBDF}"/>
    <cellStyle name="Comma 2 2 3 4 2 3 2" xfId="11050" xr:uid="{320281A0-141E-45FA-8FFD-57B9E84824B1}"/>
    <cellStyle name="Comma 2 2 3 4 2 3 2 2" xfId="26170" xr:uid="{EFBF705B-8104-4E5D-B88D-4AD08E8B3EF3}"/>
    <cellStyle name="Comma 2 2 3 4 2 3 2 2 2" xfId="56410" xr:uid="{E4524FCD-EAE4-44F2-B591-40B1463FA25A}"/>
    <cellStyle name="Comma 2 2 3 4 2 3 2 3" xfId="41290" xr:uid="{2DC8412A-0C94-4D37-84AA-CB3C090778D9}"/>
    <cellStyle name="Comma 2 2 3 4 2 3 3" xfId="17098" xr:uid="{854EB13B-44AB-499D-9018-6B23E1A1FE98}"/>
    <cellStyle name="Comma 2 2 3 4 2 3 3 2" xfId="47338" xr:uid="{C8985B15-56B4-48BA-9CF8-02DAE31A08A2}"/>
    <cellStyle name="Comma 2 2 3 4 2 3 4" xfId="32218" xr:uid="{04149019-9D6E-4854-B435-FE172A44A963}"/>
    <cellStyle name="Comma 2 2 3 4 2 4" xfId="3490" xr:uid="{28C397A0-775F-450E-A21E-506FE16CB4EB}"/>
    <cellStyle name="Comma 2 2 3 4 2 4 2" xfId="12562" xr:uid="{0EF83A62-CCF1-4F59-955B-3DA4DC89369D}"/>
    <cellStyle name="Comma 2 2 3 4 2 4 2 2" xfId="27682" xr:uid="{C1D9787A-0180-4BBA-8F66-36960BEB5486}"/>
    <cellStyle name="Comma 2 2 3 4 2 4 2 2 2" xfId="57922" xr:uid="{FCF60BD1-30FB-44A0-B276-78E6C8BB2D81}"/>
    <cellStyle name="Comma 2 2 3 4 2 4 2 3" xfId="42802" xr:uid="{ACDA303D-4830-4A43-8813-7B79E150A9CD}"/>
    <cellStyle name="Comma 2 2 3 4 2 4 3" xfId="18610" xr:uid="{3D622224-6535-4A04-A138-3D78B82B7847}"/>
    <cellStyle name="Comma 2 2 3 4 2 4 3 2" xfId="48850" xr:uid="{2021FD0C-BEAC-4E2D-A856-9B3183A07CCA}"/>
    <cellStyle name="Comma 2 2 3 4 2 4 4" xfId="33730" xr:uid="{4690F2C7-48C7-491F-A80E-2AF76FE70579}"/>
    <cellStyle name="Comma 2 2 3 4 2 5" xfId="5002" xr:uid="{04D4AE40-2B70-4610-A13B-8C6F7BDED293}"/>
    <cellStyle name="Comma 2 2 3 4 2 5 2" xfId="14074" xr:uid="{6B96F127-9261-4778-8C36-3273D149B74A}"/>
    <cellStyle name="Comma 2 2 3 4 2 5 2 2" xfId="29194" xr:uid="{F85F6458-AE35-4833-AC95-4602DAE41D1C}"/>
    <cellStyle name="Comma 2 2 3 4 2 5 2 2 2" xfId="59434" xr:uid="{226210F0-AB02-464C-99D7-E44BCBD18617}"/>
    <cellStyle name="Comma 2 2 3 4 2 5 2 3" xfId="44314" xr:uid="{38EE4A86-FA33-4979-8D5D-7DC143825496}"/>
    <cellStyle name="Comma 2 2 3 4 2 5 3" xfId="20122" xr:uid="{19DA8F12-1357-4217-AEA6-C6770761CFAD}"/>
    <cellStyle name="Comma 2 2 3 4 2 5 3 2" xfId="50362" xr:uid="{EAFFDD1A-7E22-46E4-B55C-DB6D1B3CF2BA}"/>
    <cellStyle name="Comma 2 2 3 4 2 5 4" xfId="35242" xr:uid="{38C74AD3-7864-4DC5-A54F-9D303AA3CF5D}"/>
    <cellStyle name="Comma 2 2 3 4 2 6" xfId="6514" xr:uid="{93B43120-EFB8-476A-B3C5-3EFCBDBE4869}"/>
    <cellStyle name="Comma 2 2 3 4 2 6 2" xfId="21634" xr:uid="{09C35D4B-172E-43D7-8721-05CBE0817E03}"/>
    <cellStyle name="Comma 2 2 3 4 2 6 2 2" xfId="51874" xr:uid="{9C326602-B23A-44E7-B979-1FCB110659F5}"/>
    <cellStyle name="Comma 2 2 3 4 2 6 3" xfId="36754" xr:uid="{E4ADCA9A-4200-4B31-98B7-65B9305731D4}"/>
    <cellStyle name="Comma 2 2 3 4 2 7" xfId="8026" xr:uid="{3EB6BB7B-4426-4456-A28B-34B63DE2D73E}"/>
    <cellStyle name="Comma 2 2 3 4 2 7 2" xfId="23146" xr:uid="{6B2FC218-2072-4AE6-800C-4AF597C6FD3F}"/>
    <cellStyle name="Comma 2 2 3 4 2 7 2 2" xfId="53386" xr:uid="{90B1EC6A-761E-401E-B0D6-E54113EC13AD}"/>
    <cellStyle name="Comma 2 2 3 4 2 7 3" xfId="38266" xr:uid="{C5EFC3E4-D1C0-4CF4-8201-EA26D19DB2E9}"/>
    <cellStyle name="Comma 2 2 3 4 2 8" xfId="9538" xr:uid="{CE5EEB1C-4803-494C-9128-9BB9CC103DB5}"/>
    <cellStyle name="Comma 2 2 3 4 2 8 2" xfId="24658" xr:uid="{FCC22E92-C1FC-4C0F-ADE3-62D23211DAA8}"/>
    <cellStyle name="Comma 2 2 3 4 2 8 2 2" xfId="54898" xr:uid="{FA68038A-1040-4664-A2FB-E50836F7A9C2}"/>
    <cellStyle name="Comma 2 2 3 4 2 8 3" xfId="39778" xr:uid="{3D757322-5B2E-474E-8A96-063ADFFA9EE8}"/>
    <cellStyle name="Comma 2 2 3 4 2 9" xfId="15586" xr:uid="{21FE65D0-BED8-43AD-B168-6A7F78D55DCA}"/>
    <cellStyle name="Comma 2 2 3 4 2 9 2" xfId="45826" xr:uid="{960AFA58-72DD-474E-886A-57287CA97394}"/>
    <cellStyle name="Comma 2 2 3 4 3" xfId="718" xr:uid="{81899AA0-4EB6-402B-A6C9-46E3BEE90C60}"/>
    <cellStyle name="Comma 2 2 3 4 3 10" xfId="30958" xr:uid="{21F46B37-9BC1-4BD7-95E1-3E2B7E86AA2D}"/>
    <cellStyle name="Comma 2 2 3 4 3 2" xfId="1474" xr:uid="{2D3AFAC8-6655-4357-8441-E24E59EDCA13}"/>
    <cellStyle name="Comma 2 2 3 4 3 2 2" xfId="2986" xr:uid="{2097382B-2652-4B36-8CD6-CA4DB3C4A6A0}"/>
    <cellStyle name="Comma 2 2 3 4 3 2 2 2" xfId="12058" xr:uid="{3E3BD1A7-8101-4940-AB20-1183317D5AC9}"/>
    <cellStyle name="Comma 2 2 3 4 3 2 2 2 2" xfId="27178" xr:uid="{B81FD925-2CF5-4A5F-8624-D78780E3D83F}"/>
    <cellStyle name="Comma 2 2 3 4 3 2 2 2 2 2" xfId="57418" xr:uid="{B46F79E6-7EA3-4E2D-BA6A-124A182F8E03}"/>
    <cellStyle name="Comma 2 2 3 4 3 2 2 2 3" xfId="42298" xr:uid="{DDDAAD92-2013-4FAE-BB8D-CCAFD7192275}"/>
    <cellStyle name="Comma 2 2 3 4 3 2 2 3" xfId="18106" xr:uid="{F7E44B7C-28F4-403D-82D7-5517A4993960}"/>
    <cellStyle name="Comma 2 2 3 4 3 2 2 3 2" xfId="48346" xr:uid="{09D10E46-8D52-4AA5-80AC-C15F5025984A}"/>
    <cellStyle name="Comma 2 2 3 4 3 2 2 4" xfId="33226" xr:uid="{5B0E1817-F07D-4E9C-8F7D-3E3DCC326302}"/>
    <cellStyle name="Comma 2 2 3 4 3 2 3" xfId="4498" xr:uid="{C87F2736-9E76-4EE2-9C80-867091620475}"/>
    <cellStyle name="Comma 2 2 3 4 3 2 3 2" xfId="13570" xr:uid="{DB611170-80E6-4A54-94E7-D7B025EF9819}"/>
    <cellStyle name="Comma 2 2 3 4 3 2 3 2 2" xfId="28690" xr:uid="{9B68F9AA-151B-4DA1-9A08-51937235C197}"/>
    <cellStyle name="Comma 2 2 3 4 3 2 3 2 2 2" xfId="58930" xr:uid="{349ACF1C-9A8D-4ADB-B563-5AF08868141E}"/>
    <cellStyle name="Comma 2 2 3 4 3 2 3 2 3" xfId="43810" xr:uid="{AA320702-B63B-4A52-B124-FE4741FF393F}"/>
    <cellStyle name="Comma 2 2 3 4 3 2 3 3" xfId="19618" xr:uid="{4D57C05F-8527-4CDA-AAD2-30B8E27B7E91}"/>
    <cellStyle name="Comma 2 2 3 4 3 2 3 3 2" xfId="49858" xr:uid="{45AC5A85-6C6E-4C0C-9365-838B4E9F7831}"/>
    <cellStyle name="Comma 2 2 3 4 3 2 3 4" xfId="34738" xr:uid="{730BBDD0-BB34-40DA-AA81-A310C0CF4D50}"/>
    <cellStyle name="Comma 2 2 3 4 3 2 4" xfId="6010" xr:uid="{F8AC6C61-2DED-4EFD-95EC-0F778D56C564}"/>
    <cellStyle name="Comma 2 2 3 4 3 2 4 2" xfId="15082" xr:uid="{8160AE8E-2DA3-4504-A990-9A69FAD386D7}"/>
    <cellStyle name="Comma 2 2 3 4 3 2 4 2 2" xfId="30202" xr:uid="{E4404374-5FF3-450C-B49C-98D9E4FA280B}"/>
    <cellStyle name="Comma 2 2 3 4 3 2 4 2 2 2" xfId="60442" xr:uid="{85C35C79-6D7F-4E7D-B874-8F69D9D9D7E2}"/>
    <cellStyle name="Comma 2 2 3 4 3 2 4 2 3" xfId="45322" xr:uid="{F35B75D9-9CC0-4B48-A63D-F60CC8999D72}"/>
    <cellStyle name="Comma 2 2 3 4 3 2 4 3" xfId="21130" xr:uid="{1527FFE8-60A0-4C9D-8949-ADD7C04A3F53}"/>
    <cellStyle name="Comma 2 2 3 4 3 2 4 3 2" xfId="51370" xr:uid="{727476CA-5F62-4A28-8E7E-0E413403434A}"/>
    <cellStyle name="Comma 2 2 3 4 3 2 4 4" xfId="36250" xr:uid="{7F6CC123-A51D-4F42-A812-CA354024B96A}"/>
    <cellStyle name="Comma 2 2 3 4 3 2 5" xfId="7522" xr:uid="{1645E27D-2AE3-4FCB-9DB5-BA0700340697}"/>
    <cellStyle name="Comma 2 2 3 4 3 2 5 2" xfId="22642" xr:uid="{9EEACA9E-E84E-4BF2-963E-6AE7C804507B}"/>
    <cellStyle name="Comma 2 2 3 4 3 2 5 2 2" xfId="52882" xr:uid="{51072CDF-F262-4251-A420-14C4BF53FCF1}"/>
    <cellStyle name="Comma 2 2 3 4 3 2 5 3" xfId="37762" xr:uid="{A59F15C1-092A-4F7E-87A1-72EB2C84360A}"/>
    <cellStyle name="Comma 2 2 3 4 3 2 6" xfId="9034" xr:uid="{68D6B5FC-4E47-44FC-9D8E-85E9391CFE1B}"/>
    <cellStyle name="Comma 2 2 3 4 3 2 6 2" xfId="24154" xr:uid="{968B4F86-DAA9-4E40-80B0-583EBFE99EFE}"/>
    <cellStyle name="Comma 2 2 3 4 3 2 6 2 2" xfId="54394" xr:uid="{F2DEDAAE-F13A-4FB4-B51F-DF530FE4BB0F}"/>
    <cellStyle name="Comma 2 2 3 4 3 2 6 3" xfId="39274" xr:uid="{50AB7538-EA0B-4D52-BC31-EAB410E352D8}"/>
    <cellStyle name="Comma 2 2 3 4 3 2 7" xfId="10546" xr:uid="{B5600386-6F28-4376-99FC-F957C4997022}"/>
    <cellStyle name="Comma 2 2 3 4 3 2 7 2" xfId="25666" xr:uid="{FD216515-F32B-48E8-87F0-0765A423A75D}"/>
    <cellStyle name="Comma 2 2 3 4 3 2 7 2 2" xfId="55906" xr:uid="{47B86192-66B9-476B-BED3-9CC600809E00}"/>
    <cellStyle name="Comma 2 2 3 4 3 2 7 3" xfId="40786" xr:uid="{A24F3C8C-142C-45E1-AC8B-DE4C80AF6B16}"/>
    <cellStyle name="Comma 2 2 3 4 3 2 8" xfId="16594" xr:uid="{1E59E29B-7294-4D01-97CF-4109337EB464}"/>
    <cellStyle name="Comma 2 2 3 4 3 2 8 2" xfId="46834" xr:uid="{0EC2EB1E-1582-47DB-A668-EA54E687ED22}"/>
    <cellStyle name="Comma 2 2 3 4 3 2 9" xfId="31714" xr:uid="{9B28456E-F073-408C-984E-CF2E937289CA}"/>
    <cellStyle name="Comma 2 2 3 4 3 3" xfId="2230" xr:uid="{FE34AC3E-60F1-4330-B65C-5F08E5DF3717}"/>
    <cellStyle name="Comma 2 2 3 4 3 3 2" xfId="11302" xr:uid="{EB4E7E3D-1C2A-4964-9B37-76E9FF97D58E}"/>
    <cellStyle name="Comma 2 2 3 4 3 3 2 2" xfId="26422" xr:uid="{8A8F2014-683C-41BB-82CC-CFD4F322F2C4}"/>
    <cellStyle name="Comma 2 2 3 4 3 3 2 2 2" xfId="56662" xr:uid="{7C96D1B5-B717-42F5-A5D0-A7F5D963826D}"/>
    <cellStyle name="Comma 2 2 3 4 3 3 2 3" xfId="41542" xr:uid="{B5BFDD6B-F019-4A75-BDE6-E847A1E0033D}"/>
    <cellStyle name="Comma 2 2 3 4 3 3 3" xfId="17350" xr:uid="{E7DBCCDD-5C67-4C10-86E1-61E26E552E64}"/>
    <cellStyle name="Comma 2 2 3 4 3 3 3 2" xfId="47590" xr:uid="{FD07BE93-D67D-43D8-8653-396811EAD67D}"/>
    <cellStyle name="Comma 2 2 3 4 3 3 4" xfId="32470" xr:uid="{5B89815E-D87C-4E34-B618-922FB83AF287}"/>
    <cellStyle name="Comma 2 2 3 4 3 4" xfId="3742" xr:uid="{C7F1D653-EFD3-40FA-9042-77ACEEB4A538}"/>
    <cellStyle name="Comma 2 2 3 4 3 4 2" xfId="12814" xr:uid="{46A26DCB-075F-45BF-A7E6-731BAA058999}"/>
    <cellStyle name="Comma 2 2 3 4 3 4 2 2" xfId="27934" xr:uid="{B0E82BA0-D743-4D10-BB57-824478A11E27}"/>
    <cellStyle name="Comma 2 2 3 4 3 4 2 2 2" xfId="58174" xr:uid="{492B4079-4018-4CCF-8C75-673A706AE30D}"/>
    <cellStyle name="Comma 2 2 3 4 3 4 2 3" xfId="43054" xr:uid="{4BFD2788-B1B1-4590-B5C1-A84B5BFBCC14}"/>
    <cellStyle name="Comma 2 2 3 4 3 4 3" xfId="18862" xr:uid="{097CA527-794A-4FC3-9C09-4A33F534CAD2}"/>
    <cellStyle name="Comma 2 2 3 4 3 4 3 2" xfId="49102" xr:uid="{B5880FFD-C4AE-455C-9660-00C926E9EC4E}"/>
    <cellStyle name="Comma 2 2 3 4 3 4 4" xfId="33982" xr:uid="{59B9ECDC-D5DB-4C5F-912F-1965DA58F9AB}"/>
    <cellStyle name="Comma 2 2 3 4 3 5" xfId="5254" xr:uid="{A3CA4070-152A-48C7-A449-5E7A40E1CF55}"/>
    <cellStyle name="Comma 2 2 3 4 3 5 2" xfId="14326" xr:uid="{0151DAEB-13BD-49D2-A6B1-BA161E94149C}"/>
    <cellStyle name="Comma 2 2 3 4 3 5 2 2" xfId="29446" xr:uid="{516E61B8-70F5-425A-9CA2-96ADBAC4A8AC}"/>
    <cellStyle name="Comma 2 2 3 4 3 5 2 2 2" xfId="59686" xr:uid="{86E053B7-76F2-41B6-8715-E57B8145BCCA}"/>
    <cellStyle name="Comma 2 2 3 4 3 5 2 3" xfId="44566" xr:uid="{3E799F85-B12A-48DC-AC1C-6F40216ECF0E}"/>
    <cellStyle name="Comma 2 2 3 4 3 5 3" xfId="20374" xr:uid="{7910AEBA-D5A5-4965-988B-26E575389412}"/>
    <cellStyle name="Comma 2 2 3 4 3 5 3 2" xfId="50614" xr:uid="{32E0F5E8-DF55-465C-96D8-4766A738BA52}"/>
    <cellStyle name="Comma 2 2 3 4 3 5 4" xfId="35494" xr:uid="{46065B55-DB52-4737-8FBC-44CD67740F80}"/>
    <cellStyle name="Comma 2 2 3 4 3 6" xfId="6766" xr:uid="{B9B00B9C-0FCF-4EE7-9A63-59182BB54E00}"/>
    <cellStyle name="Comma 2 2 3 4 3 6 2" xfId="21886" xr:uid="{07355E3A-6F53-4349-AA72-BF1D4F1545A0}"/>
    <cellStyle name="Comma 2 2 3 4 3 6 2 2" xfId="52126" xr:uid="{9D09F79D-BE7A-4F85-AB2E-4CDEB2F77E33}"/>
    <cellStyle name="Comma 2 2 3 4 3 6 3" xfId="37006" xr:uid="{5DFF9639-98A6-40F8-91D5-70C248199013}"/>
    <cellStyle name="Comma 2 2 3 4 3 7" xfId="8278" xr:uid="{99D6D87E-FF95-46C2-A110-EA2B65D65C63}"/>
    <cellStyle name="Comma 2 2 3 4 3 7 2" xfId="23398" xr:uid="{F028E7E5-A395-4F18-B789-A79809EFF370}"/>
    <cellStyle name="Comma 2 2 3 4 3 7 2 2" xfId="53638" xr:uid="{2D4DD947-40A4-445D-B2D9-99F1F177EF87}"/>
    <cellStyle name="Comma 2 2 3 4 3 7 3" xfId="38518" xr:uid="{F28FD43E-51E6-4C1B-9631-66508F9E0C8B}"/>
    <cellStyle name="Comma 2 2 3 4 3 8" xfId="9790" xr:uid="{A34CBD05-2B9D-48B4-8B4D-B4F02D5531F8}"/>
    <cellStyle name="Comma 2 2 3 4 3 8 2" xfId="24910" xr:uid="{5646C568-96DC-487D-855C-0FFF1A6D3408}"/>
    <cellStyle name="Comma 2 2 3 4 3 8 2 2" xfId="55150" xr:uid="{26C6F19A-6E8A-422A-ACD0-494B264EC851}"/>
    <cellStyle name="Comma 2 2 3 4 3 8 3" xfId="40030" xr:uid="{9B1C1AA7-9BC0-4BD8-9344-9D8F85169647}"/>
    <cellStyle name="Comma 2 2 3 4 3 9" xfId="15838" xr:uid="{73120B86-D874-441E-AE6F-BE18020B576E}"/>
    <cellStyle name="Comma 2 2 3 4 3 9 2" xfId="46078" xr:uid="{515FC1F0-718B-4678-8CE3-B9772DB3F5FC}"/>
    <cellStyle name="Comma 2 2 3 4 4" xfId="970" xr:uid="{3FC70231-F662-4131-8B5A-DAC16D33CB9D}"/>
    <cellStyle name="Comma 2 2 3 4 4 2" xfId="2482" xr:uid="{E4640C37-CCDB-42CB-AB6E-B5936868FF86}"/>
    <cellStyle name="Comma 2 2 3 4 4 2 2" xfId="11554" xr:uid="{BECBD68B-5667-4AAE-9575-9C24A0D17DB4}"/>
    <cellStyle name="Comma 2 2 3 4 4 2 2 2" xfId="26674" xr:uid="{F25FFDA9-E3ED-4063-B574-6265E216BF7B}"/>
    <cellStyle name="Comma 2 2 3 4 4 2 2 2 2" xfId="56914" xr:uid="{4FF4BBF2-1F36-43F7-8B77-F0266D3A25F8}"/>
    <cellStyle name="Comma 2 2 3 4 4 2 2 3" xfId="41794" xr:uid="{A3F8BE73-E197-4FC2-B7A3-74F8EB36997F}"/>
    <cellStyle name="Comma 2 2 3 4 4 2 3" xfId="17602" xr:uid="{B6A8C021-26D9-4384-BB57-D9DB2D9E9ABA}"/>
    <cellStyle name="Comma 2 2 3 4 4 2 3 2" xfId="47842" xr:uid="{2BB43AA9-8D49-4100-8F0D-1A667CAA0741}"/>
    <cellStyle name="Comma 2 2 3 4 4 2 4" xfId="32722" xr:uid="{459DC3FA-7BE5-4BB6-853D-307231D55DF7}"/>
    <cellStyle name="Comma 2 2 3 4 4 3" xfId="3994" xr:uid="{219BF14B-53FD-4381-A571-B54FD11F487D}"/>
    <cellStyle name="Comma 2 2 3 4 4 3 2" xfId="13066" xr:uid="{BD436692-B645-4CEF-A3F3-220A9FCE01E0}"/>
    <cellStyle name="Comma 2 2 3 4 4 3 2 2" xfId="28186" xr:uid="{CFA64EA2-59C6-4CBC-A10B-6A7B37D92286}"/>
    <cellStyle name="Comma 2 2 3 4 4 3 2 2 2" xfId="58426" xr:uid="{9BFB2FDB-6F05-4A22-AEE7-6882A87871DD}"/>
    <cellStyle name="Comma 2 2 3 4 4 3 2 3" xfId="43306" xr:uid="{86175A57-3A3F-4D26-B50C-B95919F758BA}"/>
    <cellStyle name="Comma 2 2 3 4 4 3 3" xfId="19114" xr:uid="{82B7B420-80DB-4548-8376-CA922DDFF2B5}"/>
    <cellStyle name="Comma 2 2 3 4 4 3 3 2" xfId="49354" xr:uid="{E3207A24-7949-4E26-AFED-393A77A779D9}"/>
    <cellStyle name="Comma 2 2 3 4 4 3 4" xfId="34234" xr:uid="{18119364-25E6-4B86-AF63-53934D1CFAB5}"/>
    <cellStyle name="Comma 2 2 3 4 4 4" xfId="5506" xr:uid="{BF9C478F-669E-45D8-BB16-91FF63331615}"/>
    <cellStyle name="Comma 2 2 3 4 4 4 2" xfId="14578" xr:uid="{D0E56B73-10B1-45F8-B7BA-B2E229B672F3}"/>
    <cellStyle name="Comma 2 2 3 4 4 4 2 2" xfId="29698" xr:uid="{7B3EF9EF-90F0-41B6-BD9C-BA24CDDDD30A}"/>
    <cellStyle name="Comma 2 2 3 4 4 4 2 2 2" xfId="59938" xr:uid="{F6F1406D-7E52-45A3-B2D9-36CB321E47F1}"/>
    <cellStyle name="Comma 2 2 3 4 4 4 2 3" xfId="44818" xr:uid="{1CE329CD-69C1-409C-870D-26CFCF07B604}"/>
    <cellStyle name="Comma 2 2 3 4 4 4 3" xfId="20626" xr:uid="{916B165B-B128-4649-AF6D-08EE154ED227}"/>
    <cellStyle name="Comma 2 2 3 4 4 4 3 2" xfId="50866" xr:uid="{B065B401-C822-4D83-9E2C-6FA480BBA637}"/>
    <cellStyle name="Comma 2 2 3 4 4 4 4" xfId="35746" xr:uid="{808D44DE-0E08-4C76-9D51-365EDD44A96F}"/>
    <cellStyle name="Comma 2 2 3 4 4 5" xfId="7018" xr:uid="{F66D13C7-5227-41A2-80DD-92B36813D380}"/>
    <cellStyle name="Comma 2 2 3 4 4 5 2" xfId="22138" xr:uid="{2A38D859-7774-4643-93C0-D0FB68C0DD13}"/>
    <cellStyle name="Comma 2 2 3 4 4 5 2 2" xfId="52378" xr:uid="{44E01579-E822-4F79-AB37-DD0673E684A3}"/>
    <cellStyle name="Comma 2 2 3 4 4 5 3" xfId="37258" xr:uid="{27F90163-33B3-4D02-99D5-D6D2DCDBC981}"/>
    <cellStyle name="Comma 2 2 3 4 4 6" xfId="8530" xr:uid="{7B5B2FD7-C778-4AEC-A15D-8B22325816A2}"/>
    <cellStyle name="Comma 2 2 3 4 4 6 2" xfId="23650" xr:uid="{2FED663E-EC5E-49FB-BF45-756773B9069C}"/>
    <cellStyle name="Comma 2 2 3 4 4 6 2 2" xfId="53890" xr:uid="{A00518E1-F761-4849-9CB9-9BB7C3B56B5B}"/>
    <cellStyle name="Comma 2 2 3 4 4 6 3" xfId="38770" xr:uid="{4B3E7AD4-6C87-4A23-B894-0E9859A8FC66}"/>
    <cellStyle name="Comma 2 2 3 4 4 7" xfId="10042" xr:uid="{D2677B53-C50B-407A-995E-2C40278CE0A3}"/>
    <cellStyle name="Comma 2 2 3 4 4 7 2" xfId="25162" xr:uid="{0DBC3D16-1ED9-4343-9CC3-9A52023DC317}"/>
    <cellStyle name="Comma 2 2 3 4 4 7 2 2" xfId="55402" xr:uid="{329ADECA-2AE5-4D4D-AE30-82DCD90C1292}"/>
    <cellStyle name="Comma 2 2 3 4 4 7 3" xfId="40282" xr:uid="{D9E8C45A-2D7C-4C28-B43E-86AFF0FE7811}"/>
    <cellStyle name="Comma 2 2 3 4 4 8" xfId="16090" xr:uid="{D752F214-D37A-4C95-9402-DC04064C3608}"/>
    <cellStyle name="Comma 2 2 3 4 4 8 2" xfId="46330" xr:uid="{2599A9C7-A4DC-4CB0-B453-6E6B3F7C491A}"/>
    <cellStyle name="Comma 2 2 3 4 4 9" xfId="31210" xr:uid="{4AD329EC-43E5-472E-90C0-5269842ADCCC}"/>
    <cellStyle name="Comma 2 2 3 4 5" xfId="1726" xr:uid="{943B51E1-B38D-466B-8E6E-899FD4B7DB35}"/>
    <cellStyle name="Comma 2 2 3 4 5 2" xfId="10798" xr:uid="{5F68C9C6-832C-4AD1-B5DF-7FA5DFD679A0}"/>
    <cellStyle name="Comma 2 2 3 4 5 2 2" xfId="25918" xr:uid="{69B333E2-092E-4FBD-813E-ECF28A097217}"/>
    <cellStyle name="Comma 2 2 3 4 5 2 2 2" xfId="56158" xr:uid="{FBC7CA8F-DE3D-41E0-A39C-9DBFE93D9642}"/>
    <cellStyle name="Comma 2 2 3 4 5 2 3" xfId="41038" xr:uid="{18A4B415-AC7D-4B51-BB6A-109EEFCD2FAE}"/>
    <cellStyle name="Comma 2 2 3 4 5 3" xfId="16846" xr:uid="{DE1F60F0-DB29-43E8-9860-30BC0509062E}"/>
    <cellStyle name="Comma 2 2 3 4 5 3 2" xfId="47086" xr:uid="{4A0A3D2C-ADD5-4D9D-B333-17DFA2E0C0ED}"/>
    <cellStyle name="Comma 2 2 3 4 5 4" xfId="31966" xr:uid="{DDCCEAC3-AC98-413A-91B4-4B949A5B8C92}"/>
    <cellStyle name="Comma 2 2 3 4 6" xfId="3238" xr:uid="{2BF61EBC-DEBA-4B6B-A24D-3BBD069582AA}"/>
    <cellStyle name="Comma 2 2 3 4 6 2" xfId="12310" xr:uid="{8BC912DE-ED69-4D8D-8AA8-8CEA8784A6CA}"/>
    <cellStyle name="Comma 2 2 3 4 6 2 2" xfId="27430" xr:uid="{76F44AB8-3F5D-4438-A153-30F7C8132CF9}"/>
    <cellStyle name="Comma 2 2 3 4 6 2 2 2" xfId="57670" xr:uid="{D98B9619-E259-4503-95E2-01067074EFD6}"/>
    <cellStyle name="Comma 2 2 3 4 6 2 3" xfId="42550" xr:uid="{3776BF06-4AAF-45BD-87B1-E3C373EA3416}"/>
    <cellStyle name="Comma 2 2 3 4 6 3" xfId="18358" xr:uid="{395C392A-984B-4495-B4DD-D37ABCF2CFC4}"/>
    <cellStyle name="Comma 2 2 3 4 6 3 2" xfId="48598" xr:uid="{190482E8-D44D-4EC7-95FE-3FDB853FCA2E}"/>
    <cellStyle name="Comma 2 2 3 4 6 4" xfId="33478" xr:uid="{0791E1F0-1D92-4586-A13E-84DCAB9F5BE4}"/>
    <cellStyle name="Comma 2 2 3 4 7" xfId="4750" xr:uid="{42640C2A-7768-4A21-A5A1-3D1917244904}"/>
    <cellStyle name="Comma 2 2 3 4 7 2" xfId="13822" xr:uid="{16B814D3-6228-4DC3-9BF7-FF380DF8736D}"/>
    <cellStyle name="Comma 2 2 3 4 7 2 2" xfId="28942" xr:uid="{0B50A6D8-9E67-4FE7-A53C-20D5CEE88A1B}"/>
    <cellStyle name="Comma 2 2 3 4 7 2 2 2" xfId="59182" xr:uid="{CB898BF4-AD00-4392-A4FE-3A54AFAFC28C}"/>
    <cellStyle name="Comma 2 2 3 4 7 2 3" xfId="44062" xr:uid="{019EAA3F-DC56-4D42-9F08-25F624B154E5}"/>
    <cellStyle name="Comma 2 2 3 4 7 3" xfId="19870" xr:uid="{E5E97A2A-6911-453B-A6D6-783D372E89E6}"/>
    <cellStyle name="Comma 2 2 3 4 7 3 2" xfId="50110" xr:uid="{EE167756-AC9A-4E42-A368-AB2EB2E3CF99}"/>
    <cellStyle name="Comma 2 2 3 4 7 4" xfId="34990" xr:uid="{594AD9AA-EFCF-4741-80C7-006D5FB408D8}"/>
    <cellStyle name="Comma 2 2 3 4 8" xfId="6262" xr:uid="{217989C2-24D2-47EB-8B6B-9E487572D252}"/>
    <cellStyle name="Comma 2 2 3 4 8 2" xfId="21382" xr:uid="{9666C59C-2C34-4E9C-8959-75D31B8F7955}"/>
    <cellStyle name="Comma 2 2 3 4 8 2 2" xfId="51622" xr:uid="{6AD782AB-C339-46CB-819E-3E7C2625AADE}"/>
    <cellStyle name="Comma 2 2 3 4 8 3" xfId="36502" xr:uid="{82729BAA-DD34-45A0-A910-05751B3D9615}"/>
    <cellStyle name="Comma 2 2 3 4 9" xfId="7774" xr:uid="{FB09E801-EA8D-41AB-8CC7-96FDAFE6E11F}"/>
    <cellStyle name="Comma 2 2 3 4 9 2" xfId="22894" xr:uid="{E8CA57D9-EB9E-45E9-A7F0-76B938203225}"/>
    <cellStyle name="Comma 2 2 3 4 9 2 2" xfId="53134" xr:uid="{37008FE1-1DB9-4BF9-8742-AA6B75840D2D}"/>
    <cellStyle name="Comma 2 2 3 4 9 3" xfId="38014" xr:uid="{40D215BD-1C68-4E6A-97A5-EB8D7F5884E3}"/>
    <cellStyle name="Comma 2 2 3 5" xfId="298" xr:uid="{6F32862D-1691-4678-8E6D-475A5D9E8722}"/>
    <cellStyle name="Comma 2 2 3 5 10" xfId="30538" xr:uid="{24E0B892-0EED-4E70-A094-F2AA9C58AD36}"/>
    <cellStyle name="Comma 2 2 3 5 2" xfId="1054" xr:uid="{A3EF6E10-B197-4F6C-8378-27D1A7FA5C88}"/>
    <cellStyle name="Comma 2 2 3 5 2 2" xfId="2566" xr:uid="{8C2BDD01-76D5-4F2D-97AB-DD8BCBCF507B}"/>
    <cellStyle name="Comma 2 2 3 5 2 2 2" xfId="11638" xr:uid="{7C72511B-913E-4763-BC9F-56A88EE006BA}"/>
    <cellStyle name="Comma 2 2 3 5 2 2 2 2" xfId="26758" xr:uid="{7EDD4925-FF0D-4868-BBA4-EFE0F02ABA23}"/>
    <cellStyle name="Comma 2 2 3 5 2 2 2 2 2" xfId="56998" xr:uid="{F8F7A31E-545E-4787-80FD-9D6B3A50E009}"/>
    <cellStyle name="Comma 2 2 3 5 2 2 2 3" xfId="41878" xr:uid="{E97FC432-66E8-4175-A93C-D35035F45089}"/>
    <cellStyle name="Comma 2 2 3 5 2 2 3" xfId="17686" xr:uid="{5F072B2B-3D26-4C93-A9B0-D289030CAFF5}"/>
    <cellStyle name="Comma 2 2 3 5 2 2 3 2" xfId="47926" xr:uid="{89DE2B35-F082-40D5-9B11-D9632C713D09}"/>
    <cellStyle name="Comma 2 2 3 5 2 2 4" xfId="32806" xr:uid="{33A4B1DD-9BCB-466E-BFFF-738D6509A6FE}"/>
    <cellStyle name="Comma 2 2 3 5 2 3" xfId="4078" xr:uid="{8606D8F3-1C6F-4F76-B38D-D40E55E30C9C}"/>
    <cellStyle name="Comma 2 2 3 5 2 3 2" xfId="13150" xr:uid="{08DA5D9D-506D-4BF9-A33E-C3931DDF1A46}"/>
    <cellStyle name="Comma 2 2 3 5 2 3 2 2" xfId="28270" xr:uid="{B99F59B4-C4DF-4523-AD75-F3C760752518}"/>
    <cellStyle name="Comma 2 2 3 5 2 3 2 2 2" xfId="58510" xr:uid="{DEFEA3A9-32C6-4331-AC52-D6DD5E54F8A4}"/>
    <cellStyle name="Comma 2 2 3 5 2 3 2 3" xfId="43390" xr:uid="{F93E0073-7A14-4850-A02B-9BA680AB21D2}"/>
    <cellStyle name="Comma 2 2 3 5 2 3 3" xfId="19198" xr:uid="{7436698C-11A7-43FF-9228-CEF1AB352396}"/>
    <cellStyle name="Comma 2 2 3 5 2 3 3 2" xfId="49438" xr:uid="{7494034C-F856-41B6-8605-4128CF5CEC68}"/>
    <cellStyle name="Comma 2 2 3 5 2 3 4" xfId="34318" xr:uid="{D5D7F5C4-2865-4EC4-9B01-4E4A51F5545E}"/>
    <cellStyle name="Comma 2 2 3 5 2 4" xfId="5590" xr:uid="{39D1AE1A-1791-418C-A80E-4EFD4EDFF8E3}"/>
    <cellStyle name="Comma 2 2 3 5 2 4 2" xfId="14662" xr:uid="{F922058C-68F2-44B2-8876-648D4A9ECA1E}"/>
    <cellStyle name="Comma 2 2 3 5 2 4 2 2" xfId="29782" xr:uid="{13934D0D-E6FB-4870-A50E-51651F2C8B4C}"/>
    <cellStyle name="Comma 2 2 3 5 2 4 2 2 2" xfId="60022" xr:uid="{6B6D8E1F-E067-4215-B7CC-26FE7D0218A4}"/>
    <cellStyle name="Comma 2 2 3 5 2 4 2 3" xfId="44902" xr:uid="{E0351850-B1A8-4A35-B3EC-A340C68A851E}"/>
    <cellStyle name="Comma 2 2 3 5 2 4 3" xfId="20710" xr:uid="{358DE1CF-982B-45AE-85AF-60F59CC4A436}"/>
    <cellStyle name="Comma 2 2 3 5 2 4 3 2" xfId="50950" xr:uid="{3549B2A6-571C-47E1-9A4C-65D96C7FFD27}"/>
    <cellStyle name="Comma 2 2 3 5 2 4 4" xfId="35830" xr:uid="{4CD35C0E-DA1C-4109-A800-026EBF411E75}"/>
    <cellStyle name="Comma 2 2 3 5 2 5" xfId="7102" xr:uid="{F28A3EDB-3237-4DF7-AD31-26332B7B54ED}"/>
    <cellStyle name="Comma 2 2 3 5 2 5 2" xfId="22222" xr:uid="{CFE94005-4534-4534-9986-E7BE2EE19F05}"/>
    <cellStyle name="Comma 2 2 3 5 2 5 2 2" xfId="52462" xr:uid="{008DFCA7-177A-4F1E-B056-78FF0D4C4588}"/>
    <cellStyle name="Comma 2 2 3 5 2 5 3" xfId="37342" xr:uid="{1F090893-7803-4FC8-857B-48BC6F61236B}"/>
    <cellStyle name="Comma 2 2 3 5 2 6" xfId="8614" xr:uid="{998F836A-B061-47BC-9CC5-4ED76EC38A7A}"/>
    <cellStyle name="Comma 2 2 3 5 2 6 2" xfId="23734" xr:uid="{73D966AD-FCFA-4370-95EC-3327964BBB62}"/>
    <cellStyle name="Comma 2 2 3 5 2 6 2 2" xfId="53974" xr:uid="{A0568461-C5B0-41FC-9FF3-5BA43438F276}"/>
    <cellStyle name="Comma 2 2 3 5 2 6 3" xfId="38854" xr:uid="{E548877A-C542-40C6-B99E-3D07CD0BA3A4}"/>
    <cellStyle name="Comma 2 2 3 5 2 7" xfId="10126" xr:uid="{F8CD89CA-D8FA-4514-859F-A735D653D0CC}"/>
    <cellStyle name="Comma 2 2 3 5 2 7 2" xfId="25246" xr:uid="{99357973-C11A-4D63-9D65-CFC9237AFE21}"/>
    <cellStyle name="Comma 2 2 3 5 2 7 2 2" xfId="55486" xr:uid="{E7615F51-1221-4001-8456-8073E41D9D36}"/>
    <cellStyle name="Comma 2 2 3 5 2 7 3" xfId="40366" xr:uid="{22A16D85-67B7-46CA-B5B0-214F9A95B476}"/>
    <cellStyle name="Comma 2 2 3 5 2 8" xfId="16174" xr:uid="{DB553C38-7C70-45CA-9F54-BCF3ABDA1EA7}"/>
    <cellStyle name="Comma 2 2 3 5 2 8 2" xfId="46414" xr:uid="{3CDC5A1A-0760-4802-8348-7BF7C519D167}"/>
    <cellStyle name="Comma 2 2 3 5 2 9" xfId="31294" xr:uid="{07583364-87EE-42C8-87B4-8C55EA1E246D}"/>
    <cellStyle name="Comma 2 2 3 5 3" xfId="1810" xr:uid="{DC79D7FC-A009-4C31-AF59-E87F1DBEBC7A}"/>
    <cellStyle name="Comma 2 2 3 5 3 2" xfId="10882" xr:uid="{FB89A16A-7171-4110-8A56-8B764B40610B}"/>
    <cellStyle name="Comma 2 2 3 5 3 2 2" xfId="26002" xr:uid="{39274C83-61B3-4BB5-88E1-5375CF5FBB60}"/>
    <cellStyle name="Comma 2 2 3 5 3 2 2 2" xfId="56242" xr:uid="{31ED66E5-DD9F-49F2-8C09-40D1182EA42C}"/>
    <cellStyle name="Comma 2 2 3 5 3 2 3" xfId="41122" xr:uid="{25510E17-1B63-4A48-A5CB-8051067A58F2}"/>
    <cellStyle name="Comma 2 2 3 5 3 3" xfId="16930" xr:uid="{73CCD58F-F165-44F3-8073-728569B86F61}"/>
    <cellStyle name="Comma 2 2 3 5 3 3 2" xfId="47170" xr:uid="{D88BD422-D9C7-418F-A39F-BB0FE7454888}"/>
    <cellStyle name="Comma 2 2 3 5 3 4" xfId="32050" xr:uid="{94FB1B84-5685-43A4-B79A-DE85EF33EA86}"/>
    <cellStyle name="Comma 2 2 3 5 4" xfId="3322" xr:uid="{C3B83564-7987-4210-BF19-F5599874A865}"/>
    <cellStyle name="Comma 2 2 3 5 4 2" xfId="12394" xr:uid="{60484592-4DBD-4CB8-9F3A-416864DCDD44}"/>
    <cellStyle name="Comma 2 2 3 5 4 2 2" xfId="27514" xr:uid="{B75B2A8C-A62B-4CB4-A1F7-14BBEB53E345}"/>
    <cellStyle name="Comma 2 2 3 5 4 2 2 2" xfId="57754" xr:uid="{271862D4-77FB-41B0-8E4E-6A9F18275A9B}"/>
    <cellStyle name="Comma 2 2 3 5 4 2 3" xfId="42634" xr:uid="{0E9E778C-541F-4438-888C-4AC07621A6DB}"/>
    <cellStyle name="Comma 2 2 3 5 4 3" xfId="18442" xr:uid="{7A09B2F6-3190-460C-A931-4C78272382E2}"/>
    <cellStyle name="Comma 2 2 3 5 4 3 2" xfId="48682" xr:uid="{1DFE2839-B5A3-4FAB-A62B-BC6ACAE98E30}"/>
    <cellStyle name="Comma 2 2 3 5 4 4" xfId="33562" xr:uid="{3D4F2F37-978F-45C3-AA13-1685FEE8BE2C}"/>
    <cellStyle name="Comma 2 2 3 5 5" xfId="4834" xr:uid="{2CA29919-37A9-4088-9538-4C7A00AB2939}"/>
    <cellStyle name="Comma 2 2 3 5 5 2" xfId="13906" xr:uid="{9949968B-B7FD-4475-A6FA-8F8FFED61187}"/>
    <cellStyle name="Comma 2 2 3 5 5 2 2" xfId="29026" xr:uid="{90D876AE-EB22-48F9-B5E4-9363F8EEF3C4}"/>
    <cellStyle name="Comma 2 2 3 5 5 2 2 2" xfId="59266" xr:uid="{0FE98817-B39F-4F6F-A072-59E549D373DB}"/>
    <cellStyle name="Comma 2 2 3 5 5 2 3" xfId="44146" xr:uid="{030967DA-0854-4DE4-8549-07EE4C1BD0E2}"/>
    <cellStyle name="Comma 2 2 3 5 5 3" xfId="19954" xr:uid="{24694CBE-B06F-4050-BC0E-139209312E3D}"/>
    <cellStyle name="Comma 2 2 3 5 5 3 2" xfId="50194" xr:uid="{F9315A6C-2370-4655-811A-B079E7B79A64}"/>
    <cellStyle name="Comma 2 2 3 5 5 4" xfId="35074" xr:uid="{E87213A4-91DE-40D1-A8CE-F796CD9028F8}"/>
    <cellStyle name="Comma 2 2 3 5 6" xfId="6346" xr:uid="{353A0E27-0FB4-4973-A569-4545FEC41911}"/>
    <cellStyle name="Comma 2 2 3 5 6 2" xfId="21466" xr:uid="{22D78635-452C-439B-B1E0-DB3E8E2FAB6B}"/>
    <cellStyle name="Comma 2 2 3 5 6 2 2" xfId="51706" xr:uid="{8F89ED6E-3B31-4403-B682-2EFC22D70168}"/>
    <cellStyle name="Comma 2 2 3 5 6 3" xfId="36586" xr:uid="{8BEC3818-B62A-4456-A82B-C24B1C90A1EB}"/>
    <cellStyle name="Comma 2 2 3 5 7" xfId="7858" xr:uid="{0DB586E2-D633-4362-93C8-001D5AE1CAE0}"/>
    <cellStyle name="Comma 2 2 3 5 7 2" xfId="22978" xr:uid="{D4F48D29-B225-44CF-8C57-2F3F2ACA04B7}"/>
    <cellStyle name="Comma 2 2 3 5 7 2 2" xfId="53218" xr:uid="{98E68B11-4F5C-4990-9D16-14445D9AA203}"/>
    <cellStyle name="Comma 2 2 3 5 7 3" xfId="38098" xr:uid="{FE72D19A-3153-433C-AFD8-FCFB8CC18056}"/>
    <cellStyle name="Comma 2 2 3 5 8" xfId="9370" xr:uid="{6386C10E-C0BF-4BCA-BF68-EF8E324C2397}"/>
    <cellStyle name="Comma 2 2 3 5 8 2" xfId="24490" xr:uid="{64B4F539-EBBF-4860-BA81-8D1303032BF6}"/>
    <cellStyle name="Comma 2 2 3 5 8 2 2" xfId="54730" xr:uid="{36477B96-D5F6-40D9-B6BE-2C6615B2474C}"/>
    <cellStyle name="Comma 2 2 3 5 8 3" xfId="39610" xr:uid="{A2D17202-450C-46B9-B634-6CD019345BA7}"/>
    <cellStyle name="Comma 2 2 3 5 9" xfId="15418" xr:uid="{F1386737-36AA-4CA3-90F2-B2B718EF4848}"/>
    <cellStyle name="Comma 2 2 3 5 9 2" xfId="45658" xr:uid="{98A8CDA5-4B42-4333-A025-3C0945F7C85D}"/>
    <cellStyle name="Comma 2 2 3 6" xfId="550" xr:uid="{0024681A-DA9A-48E3-A362-F0377E3CB7A1}"/>
    <cellStyle name="Comma 2 2 3 6 10" xfId="30790" xr:uid="{2E99CAFD-D915-4586-AB5A-3738828520E1}"/>
    <cellStyle name="Comma 2 2 3 6 2" xfId="1306" xr:uid="{FB6F901E-B4A2-4B91-B10D-675E2F2FB736}"/>
    <cellStyle name="Comma 2 2 3 6 2 2" xfId="2818" xr:uid="{1D988105-76B5-43CD-BC66-755DA17478B4}"/>
    <cellStyle name="Comma 2 2 3 6 2 2 2" xfId="11890" xr:uid="{8811E46C-542E-4353-9D45-246CAC74CC75}"/>
    <cellStyle name="Comma 2 2 3 6 2 2 2 2" xfId="27010" xr:uid="{E3F03F79-439C-4D4D-B298-8D01A58E9B57}"/>
    <cellStyle name="Comma 2 2 3 6 2 2 2 2 2" xfId="57250" xr:uid="{9057B169-1A7E-4292-BFAC-66AEF8BFDED1}"/>
    <cellStyle name="Comma 2 2 3 6 2 2 2 3" xfId="42130" xr:uid="{3FD71174-8A85-4B75-B8D3-24A912FE93AC}"/>
    <cellStyle name="Comma 2 2 3 6 2 2 3" xfId="17938" xr:uid="{E9F4D0D9-AB60-429C-9167-EA859076CCEE}"/>
    <cellStyle name="Comma 2 2 3 6 2 2 3 2" xfId="48178" xr:uid="{F7B6E528-0966-4025-8C07-80B88B4FFCA1}"/>
    <cellStyle name="Comma 2 2 3 6 2 2 4" xfId="33058" xr:uid="{D6CF8C15-845E-4E9E-B893-A19DDD63171F}"/>
    <cellStyle name="Comma 2 2 3 6 2 3" xfId="4330" xr:uid="{7FF72B9A-6C8A-4A91-94E6-633C70C95FFB}"/>
    <cellStyle name="Comma 2 2 3 6 2 3 2" xfId="13402" xr:uid="{DB315976-C266-4F24-92EC-59C7C7AE538D}"/>
    <cellStyle name="Comma 2 2 3 6 2 3 2 2" xfId="28522" xr:uid="{B674EB69-3421-4BB0-B277-AF841F13EA0A}"/>
    <cellStyle name="Comma 2 2 3 6 2 3 2 2 2" xfId="58762" xr:uid="{9D0B858B-6973-46E3-936C-C386EBAA93DA}"/>
    <cellStyle name="Comma 2 2 3 6 2 3 2 3" xfId="43642" xr:uid="{6C92345E-D1D0-4EFB-8703-BEBC7A1A3A09}"/>
    <cellStyle name="Comma 2 2 3 6 2 3 3" xfId="19450" xr:uid="{F54B1866-89FB-40B2-83BB-009CBEF105C1}"/>
    <cellStyle name="Comma 2 2 3 6 2 3 3 2" xfId="49690" xr:uid="{C938E10C-3D0E-43CA-8EFB-FC2CD5F2AAAC}"/>
    <cellStyle name="Comma 2 2 3 6 2 3 4" xfId="34570" xr:uid="{8BAC73E0-9F6A-440D-836A-2133F4C81F7C}"/>
    <cellStyle name="Comma 2 2 3 6 2 4" xfId="5842" xr:uid="{48909C87-FCDD-401B-BE3A-C3BBAE6AAB30}"/>
    <cellStyle name="Comma 2 2 3 6 2 4 2" xfId="14914" xr:uid="{91AAEBDC-71D7-404E-8505-BD81AEA3BC02}"/>
    <cellStyle name="Comma 2 2 3 6 2 4 2 2" xfId="30034" xr:uid="{92AB0053-C279-4A7D-AAEF-0F6E8AFBD7CA}"/>
    <cellStyle name="Comma 2 2 3 6 2 4 2 2 2" xfId="60274" xr:uid="{3854F7C3-F982-4269-AA87-4AE8B3633156}"/>
    <cellStyle name="Comma 2 2 3 6 2 4 2 3" xfId="45154" xr:uid="{CC191824-9A1A-4675-A3E5-4365B626E8B3}"/>
    <cellStyle name="Comma 2 2 3 6 2 4 3" xfId="20962" xr:uid="{FC6EB1E2-E326-4B85-AA3A-B5303E38E641}"/>
    <cellStyle name="Comma 2 2 3 6 2 4 3 2" xfId="51202" xr:uid="{FC758F38-A9EF-4DDB-9F6D-605DCBA09E0E}"/>
    <cellStyle name="Comma 2 2 3 6 2 4 4" xfId="36082" xr:uid="{1E7F20F4-65D9-4B4C-98D9-7A2F075085BA}"/>
    <cellStyle name="Comma 2 2 3 6 2 5" xfId="7354" xr:uid="{BEA3CD60-6193-414F-9F24-73D04EDBE7EC}"/>
    <cellStyle name="Comma 2 2 3 6 2 5 2" xfId="22474" xr:uid="{C4936A9F-2FE8-4CEE-9E4B-487A10598707}"/>
    <cellStyle name="Comma 2 2 3 6 2 5 2 2" xfId="52714" xr:uid="{0DD3B752-F9AF-4C5D-9F5B-D203D4AED6B4}"/>
    <cellStyle name="Comma 2 2 3 6 2 5 3" xfId="37594" xr:uid="{0BDE2050-F99D-41C4-889C-234DF2E7BE8B}"/>
    <cellStyle name="Comma 2 2 3 6 2 6" xfId="8866" xr:uid="{F6CC4AB0-4625-454F-871B-327211970774}"/>
    <cellStyle name="Comma 2 2 3 6 2 6 2" xfId="23986" xr:uid="{E0CE3C36-ADA5-4B66-A518-3E8A6D4F7076}"/>
    <cellStyle name="Comma 2 2 3 6 2 6 2 2" xfId="54226" xr:uid="{E81F2C22-037C-45E5-BE8F-F34996058660}"/>
    <cellStyle name="Comma 2 2 3 6 2 6 3" xfId="39106" xr:uid="{C7EC0D1C-926F-430E-9978-7C3A858E6022}"/>
    <cellStyle name="Comma 2 2 3 6 2 7" xfId="10378" xr:uid="{F4B14B54-9974-4F6A-88A7-83F0A1ABC256}"/>
    <cellStyle name="Comma 2 2 3 6 2 7 2" xfId="25498" xr:uid="{EB99E3B1-9D65-4FC7-9617-35B0AAC24BD9}"/>
    <cellStyle name="Comma 2 2 3 6 2 7 2 2" xfId="55738" xr:uid="{BB516D80-44C1-4394-A6B6-F11882350B59}"/>
    <cellStyle name="Comma 2 2 3 6 2 7 3" xfId="40618" xr:uid="{AEE6AB8F-66B5-40F8-A804-24AD0037CDDD}"/>
    <cellStyle name="Comma 2 2 3 6 2 8" xfId="16426" xr:uid="{ADBBF34A-EC07-4285-8DC4-689D0C18E14F}"/>
    <cellStyle name="Comma 2 2 3 6 2 8 2" xfId="46666" xr:uid="{7CE9DEFB-6874-4073-8AEA-A018DD70D627}"/>
    <cellStyle name="Comma 2 2 3 6 2 9" xfId="31546" xr:uid="{F86BA54D-F609-45B6-9C5A-8D4937622DFB}"/>
    <cellStyle name="Comma 2 2 3 6 3" xfId="2062" xr:uid="{6A619DCC-05B0-4650-97BA-81ED842B15E9}"/>
    <cellStyle name="Comma 2 2 3 6 3 2" xfId="11134" xr:uid="{CC936FBF-4308-4130-8308-4AF565874ADA}"/>
    <cellStyle name="Comma 2 2 3 6 3 2 2" xfId="26254" xr:uid="{86CEBA71-BE7C-450E-BA6C-00621833269E}"/>
    <cellStyle name="Comma 2 2 3 6 3 2 2 2" xfId="56494" xr:uid="{CEC9BB5A-1019-49D5-873C-46CED9D8FAE6}"/>
    <cellStyle name="Comma 2 2 3 6 3 2 3" xfId="41374" xr:uid="{FE79C9C4-8440-4A2A-B279-A214139E679D}"/>
    <cellStyle name="Comma 2 2 3 6 3 3" xfId="17182" xr:uid="{FB5C52D5-125A-4AAD-A698-19EE8501F562}"/>
    <cellStyle name="Comma 2 2 3 6 3 3 2" xfId="47422" xr:uid="{C0E2AD2F-B97D-4D0B-9B0E-C8BF005EDFEB}"/>
    <cellStyle name="Comma 2 2 3 6 3 4" xfId="32302" xr:uid="{8AE2477B-297D-4D64-BF78-CC021BE0D19F}"/>
    <cellStyle name="Comma 2 2 3 6 4" xfId="3574" xr:uid="{FB647522-687B-423B-8FB0-D88CBDE0D005}"/>
    <cellStyle name="Comma 2 2 3 6 4 2" xfId="12646" xr:uid="{87DC0BB1-B133-4008-AB35-3549B0CF9A4F}"/>
    <cellStyle name="Comma 2 2 3 6 4 2 2" xfId="27766" xr:uid="{6C5EF637-5063-4ACD-B6FA-6C74DFEEC337}"/>
    <cellStyle name="Comma 2 2 3 6 4 2 2 2" xfId="58006" xr:uid="{B7C825AD-8A7E-49EF-BA88-7D93AFA697D8}"/>
    <cellStyle name="Comma 2 2 3 6 4 2 3" xfId="42886" xr:uid="{4CD5B2EC-9D42-450E-994E-39ADC450974F}"/>
    <cellStyle name="Comma 2 2 3 6 4 3" xfId="18694" xr:uid="{320175FA-CEC7-4F70-B985-5DEBB37EBC51}"/>
    <cellStyle name="Comma 2 2 3 6 4 3 2" xfId="48934" xr:uid="{71C4F256-E3EC-48A6-A262-19E517A6BF89}"/>
    <cellStyle name="Comma 2 2 3 6 4 4" xfId="33814" xr:uid="{9E7CC1E1-C43C-4749-A12D-5D66D855B0CA}"/>
    <cellStyle name="Comma 2 2 3 6 5" xfId="5086" xr:uid="{D911F2E3-41BD-4391-BE9D-91879D9A8DBC}"/>
    <cellStyle name="Comma 2 2 3 6 5 2" xfId="14158" xr:uid="{2CF58196-8892-412A-A7FA-BB0D4255AA21}"/>
    <cellStyle name="Comma 2 2 3 6 5 2 2" xfId="29278" xr:uid="{8DE882EB-FE73-44AF-A5F5-A644DB9B1AFB}"/>
    <cellStyle name="Comma 2 2 3 6 5 2 2 2" xfId="59518" xr:uid="{E06199EF-DFA6-4794-BE20-476C477018DA}"/>
    <cellStyle name="Comma 2 2 3 6 5 2 3" xfId="44398" xr:uid="{FEBE600A-FA03-4EFF-AFBE-7C87AA4BD743}"/>
    <cellStyle name="Comma 2 2 3 6 5 3" xfId="20206" xr:uid="{C60F8EAA-43C4-47E5-A099-D68F0D54ABCC}"/>
    <cellStyle name="Comma 2 2 3 6 5 3 2" xfId="50446" xr:uid="{A78EBA57-AF51-42C9-A792-377A8118615B}"/>
    <cellStyle name="Comma 2 2 3 6 5 4" xfId="35326" xr:uid="{E6B38722-9CBA-44E9-8846-B8BD46D6A354}"/>
    <cellStyle name="Comma 2 2 3 6 6" xfId="6598" xr:uid="{50E99AE5-E137-4810-806C-1D3988DF9EDD}"/>
    <cellStyle name="Comma 2 2 3 6 6 2" xfId="21718" xr:uid="{C4D4E9FE-A64D-4A5A-BB11-DF9F2BFB5045}"/>
    <cellStyle name="Comma 2 2 3 6 6 2 2" xfId="51958" xr:uid="{54AB1B1F-AD7B-4239-B8D8-126654B7AC07}"/>
    <cellStyle name="Comma 2 2 3 6 6 3" xfId="36838" xr:uid="{2BE6A275-0476-450C-8DBC-8D4016AAD569}"/>
    <cellStyle name="Comma 2 2 3 6 7" xfId="8110" xr:uid="{CDA6C01E-0451-42C4-8845-385BD3CA8EE3}"/>
    <cellStyle name="Comma 2 2 3 6 7 2" xfId="23230" xr:uid="{6DC256DB-9FC7-476C-892A-830474D7E7A8}"/>
    <cellStyle name="Comma 2 2 3 6 7 2 2" xfId="53470" xr:uid="{8692D4BD-FB6B-40F1-B0B3-E51D7829E4D8}"/>
    <cellStyle name="Comma 2 2 3 6 7 3" xfId="38350" xr:uid="{91529AB5-53C3-479A-A97E-12340C73149D}"/>
    <cellStyle name="Comma 2 2 3 6 8" xfId="9622" xr:uid="{EF8FD22F-3C48-471D-A179-BDA2F450571E}"/>
    <cellStyle name="Comma 2 2 3 6 8 2" xfId="24742" xr:uid="{0AC8A388-C753-4684-B706-BA07B5321145}"/>
    <cellStyle name="Comma 2 2 3 6 8 2 2" xfId="54982" xr:uid="{4BA41A23-878F-4A05-AE69-2B5C1139657E}"/>
    <cellStyle name="Comma 2 2 3 6 8 3" xfId="39862" xr:uid="{6F4AB77A-2ACB-41CF-AD7D-B549EB74F506}"/>
    <cellStyle name="Comma 2 2 3 6 9" xfId="15670" xr:uid="{432ADCCD-3D5D-41F4-B354-D7D97E506222}"/>
    <cellStyle name="Comma 2 2 3 6 9 2" xfId="45910" xr:uid="{18808AF6-272C-49FA-922A-CA1352C7B578}"/>
    <cellStyle name="Comma 2 2 3 7" xfId="802" xr:uid="{D8B2B734-1C3B-4B95-AABD-2787DFF82757}"/>
    <cellStyle name="Comma 2 2 3 7 2" xfId="2314" xr:uid="{37D5929B-DE86-4448-AF96-1FDC494C459F}"/>
    <cellStyle name="Comma 2 2 3 7 2 2" xfId="11386" xr:uid="{ECBAF1EC-73D8-45B5-AE1A-D504E5680995}"/>
    <cellStyle name="Comma 2 2 3 7 2 2 2" xfId="26506" xr:uid="{7C19A13E-CEBE-45C0-BA84-7CE23F1907D4}"/>
    <cellStyle name="Comma 2 2 3 7 2 2 2 2" xfId="56746" xr:uid="{B6CB0665-699A-49CA-8A1F-6AA392E808BE}"/>
    <cellStyle name="Comma 2 2 3 7 2 2 3" xfId="41626" xr:uid="{AD445927-BE9E-47A3-BF0B-CFF6A523F4AB}"/>
    <cellStyle name="Comma 2 2 3 7 2 3" xfId="17434" xr:uid="{E34A0D20-C8E5-4684-8666-C97188CCCC44}"/>
    <cellStyle name="Comma 2 2 3 7 2 3 2" xfId="47674" xr:uid="{227FCEB4-D475-4FD2-9467-1582EBA8E565}"/>
    <cellStyle name="Comma 2 2 3 7 2 4" xfId="32554" xr:uid="{A11E4C2C-0E7B-4A12-8782-8E3DBF3EC7CC}"/>
    <cellStyle name="Comma 2 2 3 7 3" xfId="3826" xr:uid="{8868F7CC-61BC-491D-909D-16847E87C393}"/>
    <cellStyle name="Comma 2 2 3 7 3 2" xfId="12898" xr:uid="{9DDC4653-76CE-4D17-8774-B2C553B2B92C}"/>
    <cellStyle name="Comma 2 2 3 7 3 2 2" xfId="28018" xr:uid="{36FF41DB-A33A-49AF-8767-E2880FFBF72E}"/>
    <cellStyle name="Comma 2 2 3 7 3 2 2 2" xfId="58258" xr:uid="{8141A874-2C12-4FEF-9F6B-ED0BA08B4BAD}"/>
    <cellStyle name="Comma 2 2 3 7 3 2 3" xfId="43138" xr:uid="{64E1059C-DFEA-4776-8010-48AD282CB70F}"/>
    <cellStyle name="Comma 2 2 3 7 3 3" xfId="18946" xr:uid="{C0EEA8B9-4FD9-481B-8217-DFDE5A940AE1}"/>
    <cellStyle name="Comma 2 2 3 7 3 3 2" xfId="49186" xr:uid="{FCE3E744-C68D-4914-8349-FC24D43EA992}"/>
    <cellStyle name="Comma 2 2 3 7 3 4" xfId="34066" xr:uid="{B120DC7B-7628-439F-A353-D5BA6EF3ABE0}"/>
    <cellStyle name="Comma 2 2 3 7 4" xfId="5338" xr:uid="{B39299B2-BAA8-4B81-9761-67669D7492D5}"/>
    <cellStyle name="Comma 2 2 3 7 4 2" xfId="14410" xr:uid="{F431D4AB-AEF6-4C27-9B62-44AC543575B9}"/>
    <cellStyle name="Comma 2 2 3 7 4 2 2" xfId="29530" xr:uid="{245030AD-B148-4C74-90CE-C2628E5903E8}"/>
    <cellStyle name="Comma 2 2 3 7 4 2 2 2" xfId="59770" xr:uid="{1AF62A80-5991-4EEE-8336-6BD036149090}"/>
    <cellStyle name="Comma 2 2 3 7 4 2 3" xfId="44650" xr:uid="{99605E4B-C714-467B-9D5B-47EFF5CF9265}"/>
    <cellStyle name="Comma 2 2 3 7 4 3" xfId="20458" xr:uid="{BE8A29FC-B310-44EC-B458-A2ABACC779F0}"/>
    <cellStyle name="Comma 2 2 3 7 4 3 2" xfId="50698" xr:uid="{91E1FEE8-1053-4ADF-9D82-681CB29B4E74}"/>
    <cellStyle name="Comma 2 2 3 7 4 4" xfId="35578" xr:uid="{7C054872-F262-43B9-A1C5-0A5C9FC9DE73}"/>
    <cellStyle name="Comma 2 2 3 7 5" xfId="6850" xr:uid="{916B9AA5-1C17-4159-B363-66D562274750}"/>
    <cellStyle name="Comma 2 2 3 7 5 2" xfId="21970" xr:uid="{058B4C9C-C07F-4B11-878E-E753981E6DCD}"/>
    <cellStyle name="Comma 2 2 3 7 5 2 2" xfId="52210" xr:uid="{73F4D842-F0D5-48E5-BA4B-C1067CCF41AF}"/>
    <cellStyle name="Comma 2 2 3 7 5 3" xfId="37090" xr:uid="{F9ECC666-DD0F-41A5-952B-01B3D3004F85}"/>
    <cellStyle name="Comma 2 2 3 7 6" xfId="8362" xr:uid="{DFA92A56-F58B-47EA-B098-6799997D829C}"/>
    <cellStyle name="Comma 2 2 3 7 6 2" xfId="23482" xr:uid="{8031E1AA-932C-44D9-8F1A-A61CFED10999}"/>
    <cellStyle name="Comma 2 2 3 7 6 2 2" xfId="53722" xr:uid="{AC5A5DAD-AA58-4913-BA88-834801ED9ACC}"/>
    <cellStyle name="Comma 2 2 3 7 6 3" xfId="38602" xr:uid="{4A2E9272-58E1-4F48-8456-6BDDD05AE20D}"/>
    <cellStyle name="Comma 2 2 3 7 7" xfId="9874" xr:uid="{F70DCF92-2CA2-472D-BFB7-4C9EAFD076F4}"/>
    <cellStyle name="Comma 2 2 3 7 7 2" xfId="24994" xr:uid="{40E3F4AD-2D2B-4927-B42C-1D5EA6402A9E}"/>
    <cellStyle name="Comma 2 2 3 7 7 2 2" xfId="55234" xr:uid="{DDF13FE5-4262-4DEB-846D-435C4C8B2BDB}"/>
    <cellStyle name="Comma 2 2 3 7 7 3" xfId="40114" xr:uid="{98EBFC21-E391-4B77-8C5F-6FD237FB864F}"/>
    <cellStyle name="Comma 2 2 3 7 8" xfId="15922" xr:uid="{A275ED24-2DE7-4B82-9A80-109B45395298}"/>
    <cellStyle name="Comma 2 2 3 7 8 2" xfId="46162" xr:uid="{267C7F73-90B6-493B-80A6-452CE2DE0F04}"/>
    <cellStyle name="Comma 2 2 3 7 9" xfId="31042" xr:uid="{95F20977-2740-4102-9691-1DF7F8B4718D}"/>
    <cellStyle name="Comma 2 2 3 8" xfId="1558" xr:uid="{D15FB577-5DF2-4E5C-85D0-6D1BDAC7298A}"/>
    <cellStyle name="Comma 2 2 3 8 2" xfId="10630" xr:uid="{D645FD09-7FDE-4967-B38F-99E18466112C}"/>
    <cellStyle name="Comma 2 2 3 8 2 2" xfId="25750" xr:uid="{5860BA52-D033-4309-9677-43598E243AD1}"/>
    <cellStyle name="Comma 2 2 3 8 2 2 2" xfId="55990" xr:uid="{B79E79A3-4D37-41E5-88A2-42FFA1AF774A}"/>
    <cellStyle name="Comma 2 2 3 8 2 3" xfId="40870" xr:uid="{20951B32-775D-47F2-9208-C7E931573D1E}"/>
    <cellStyle name="Comma 2 2 3 8 3" xfId="16678" xr:uid="{16F11B08-2D62-41F6-AC85-CC1633B37177}"/>
    <cellStyle name="Comma 2 2 3 8 3 2" xfId="46918" xr:uid="{24D3C005-3850-4547-8EDD-4AD58078116E}"/>
    <cellStyle name="Comma 2 2 3 8 4" xfId="31798" xr:uid="{E51848DA-6DAA-4C1B-80EC-EC9734C63058}"/>
    <cellStyle name="Comma 2 2 3 9" xfId="3070" xr:uid="{EF8C7E19-0C07-4D6E-98FE-635BA5859949}"/>
    <cellStyle name="Comma 2 2 3 9 2" xfId="12142" xr:uid="{8388544F-040C-455F-9406-6DF8090027D0}"/>
    <cellStyle name="Comma 2 2 3 9 2 2" xfId="27262" xr:uid="{B4A6B2CD-89E5-4B9A-90A5-710CFEB2FDF6}"/>
    <cellStyle name="Comma 2 2 3 9 2 2 2" xfId="57502" xr:uid="{2B12C5AB-296A-4CFB-ADBC-BB1D9F8F5D5A}"/>
    <cellStyle name="Comma 2 2 3 9 2 3" xfId="42382" xr:uid="{F638C3E0-F5AF-49B8-BDEF-A05AC542FF23}"/>
    <cellStyle name="Comma 2 2 3 9 3" xfId="18190" xr:uid="{C17B4579-1079-419F-BF40-DFB6DDCBF693}"/>
    <cellStyle name="Comma 2 2 3 9 3 2" xfId="48430" xr:uid="{BCE8D9FA-BE04-448B-B0C1-39844717BBA5}"/>
    <cellStyle name="Comma 2 2 3 9 4" xfId="33310" xr:uid="{049CA37F-9669-4B3E-9F16-B956073282AB}"/>
    <cellStyle name="Comma 2 2 4" xfId="60" xr:uid="{C81DDD78-ED7A-4640-8421-CA6F44E23678}"/>
    <cellStyle name="Comma 2 2 4 10" xfId="6108" xr:uid="{A384F0E1-0A7E-4B57-B211-71C378FBE67F}"/>
    <cellStyle name="Comma 2 2 4 10 2" xfId="21228" xr:uid="{BC76D1A7-63EC-404A-A672-E57624CAAB2A}"/>
    <cellStyle name="Comma 2 2 4 10 2 2" xfId="51468" xr:uid="{113B3345-636E-4158-B2D6-BDEC6629EDE1}"/>
    <cellStyle name="Comma 2 2 4 10 3" xfId="36348" xr:uid="{2517EF38-3210-4CDA-BA92-2DAF4CA268D4}"/>
    <cellStyle name="Comma 2 2 4 11" xfId="7620" xr:uid="{0BA0123D-6D28-4970-832F-919F6DF83769}"/>
    <cellStyle name="Comma 2 2 4 11 2" xfId="22740" xr:uid="{BEE7571E-45CE-4C8E-BB91-FAD4F07D90F1}"/>
    <cellStyle name="Comma 2 2 4 11 2 2" xfId="52980" xr:uid="{77BB39FA-CD8D-4CA3-BC10-8BB4FE0A66D6}"/>
    <cellStyle name="Comma 2 2 4 11 3" xfId="37860" xr:uid="{F3D759C4-569C-4598-85A0-013CA558381F}"/>
    <cellStyle name="Comma 2 2 4 12" xfId="9132" xr:uid="{FB1549D0-3AD6-40D2-A72E-902649375757}"/>
    <cellStyle name="Comma 2 2 4 12 2" xfId="24252" xr:uid="{F9B86F17-A7FC-4FEF-BC74-580C7956DAAC}"/>
    <cellStyle name="Comma 2 2 4 12 2 2" xfId="54492" xr:uid="{70CC40BA-D342-4A74-B77D-5EB385366353}"/>
    <cellStyle name="Comma 2 2 4 12 3" xfId="39372" xr:uid="{CBE1BAF3-3B37-42C8-8AE8-0FACBDF09BC3}"/>
    <cellStyle name="Comma 2 2 4 13" xfId="15180" xr:uid="{91DD9E1A-A77C-4443-8C65-D5CC61066EB8}"/>
    <cellStyle name="Comma 2 2 4 13 2" xfId="45420" xr:uid="{521CC40C-2896-42F8-93EB-86293F2AD62B}"/>
    <cellStyle name="Comma 2 2 4 14" xfId="30300" xr:uid="{7C1D5323-ACE4-4683-AA31-9F9C6AD39177}"/>
    <cellStyle name="Comma 2 2 4 2" xfId="144" xr:uid="{C19E0D37-73CC-4816-8EDF-9A48D7D62FF1}"/>
    <cellStyle name="Comma 2 2 4 2 10" xfId="9216" xr:uid="{5C6F2F07-3A1A-41E7-A3F5-66359DFDD76D}"/>
    <cellStyle name="Comma 2 2 4 2 10 2" xfId="24336" xr:uid="{B7D457EC-9C67-47F2-AFA7-A799F000D05E}"/>
    <cellStyle name="Comma 2 2 4 2 10 2 2" xfId="54576" xr:uid="{5B6F4C13-30DB-4B04-9D67-A03EAB85AA3F}"/>
    <cellStyle name="Comma 2 2 4 2 10 3" xfId="39456" xr:uid="{D88A6A5E-C016-429D-8FE1-06B4CDF06B51}"/>
    <cellStyle name="Comma 2 2 4 2 11" xfId="15264" xr:uid="{7F01E5C3-A96A-4B4C-9E43-6AB6A33CEC8B}"/>
    <cellStyle name="Comma 2 2 4 2 11 2" xfId="45504" xr:uid="{ED56823E-8BA0-43B8-B619-26CF633571E9}"/>
    <cellStyle name="Comma 2 2 4 2 12" xfId="30384" xr:uid="{1296452C-A416-4A0A-8E70-304731A7DF59}"/>
    <cellStyle name="Comma 2 2 4 2 2" xfId="396" xr:uid="{2F92017B-B627-4456-9A4A-54D491AEE823}"/>
    <cellStyle name="Comma 2 2 4 2 2 10" xfId="30636" xr:uid="{0CC7927D-5B95-4823-8B00-7025F1484530}"/>
    <cellStyle name="Comma 2 2 4 2 2 2" xfId="1152" xr:uid="{4F5413FB-60C7-44B8-BBA7-E362C8F6172D}"/>
    <cellStyle name="Comma 2 2 4 2 2 2 2" xfId="2664" xr:uid="{FA756B62-E742-495F-A4E0-CA8033BA4E86}"/>
    <cellStyle name="Comma 2 2 4 2 2 2 2 2" xfId="11736" xr:uid="{8215896F-2E51-4615-A6DB-3E07331D7124}"/>
    <cellStyle name="Comma 2 2 4 2 2 2 2 2 2" xfId="26856" xr:uid="{6F84D0A8-F247-4516-AF72-14F2F9701413}"/>
    <cellStyle name="Comma 2 2 4 2 2 2 2 2 2 2" xfId="57096" xr:uid="{FF76DCD1-B602-426B-BE18-6A249D6F1849}"/>
    <cellStyle name="Comma 2 2 4 2 2 2 2 2 3" xfId="41976" xr:uid="{E9955A92-A3AE-404C-99F3-618EFE5FE99A}"/>
    <cellStyle name="Comma 2 2 4 2 2 2 2 3" xfId="17784" xr:uid="{9AB0D27F-C960-4E71-B3AA-204622BA6095}"/>
    <cellStyle name="Comma 2 2 4 2 2 2 2 3 2" xfId="48024" xr:uid="{045C28D8-4A18-482B-ADBF-DC2CEA30CC8C}"/>
    <cellStyle name="Comma 2 2 4 2 2 2 2 4" xfId="32904" xr:uid="{15421138-EE8F-4B64-98E3-5C9001A766A6}"/>
    <cellStyle name="Comma 2 2 4 2 2 2 3" xfId="4176" xr:uid="{E4C2DA34-6EC8-482D-A168-393513A79F3B}"/>
    <cellStyle name="Comma 2 2 4 2 2 2 3 2" xfId="13248" xr:uid="{373987DB-E46C-44E2-A2A8-A3D1571BB75F}"/>
    <cellStyle name="Comma 2 2 4 2 2 2 3 2 2" xfId="28368" xr:uid="{0DC1C908-1AA3-49D4-9082-C6CCE6CCA7E8}"/>
    <cellStyle name="Comma 2 2 4 2 2 2 3 2 2 2" xfId="58608" xr:uid="{FA90337C-B946-48C9-A89D-2ED527EF9527}"/>
    <cellStyle name="Comma 2 2 4 2 2 2 3 2 3" xfId="43488" xr:uid="{73BDB711-3385-4E01-8DDA-B1C09F22A1CA}"/>
    <cellStyle name="Comma 2 2 4 2 2 2 3 3" xfId="19296" xr:uid="{02F9D461-FDD8-47BE-9FF0-1074504CB911}"/>
    <cellStyle name="Comma 2 2 4 2 2 2 3 3 2" xfId="49536" xr:uid="{56CDFB27-73A2-4489-A5CA-274A1FE09895}"/>
    <cellStyle name="Comma 2 2 4 2 2 2 3 4" xfId="34416" xr:uid="{83ECD656-6277-4275-8301-3DB939D83ED0}"/>
    <cellStyle name="Comma 2 2 4 2 2 2 4" xfId="5688" xr:uid="{4671C31D-5A36-4179-87F8-FE5820BB93FD}"/>
    <cellStyle name="Comma 2 2 4 2 2 2 4 2" xfId="14760" xr:uid="{ECF39483-D6F8-4871-98F5-100D403F05E4}"/>
    <cellStyle name="Comma 2 2 4 2 2 2 4 2 2" xfId="29880" xr:uid="{CF0C01E6-E04B-4557-89E7-BB1FE7FE7F1B}"/>
    <cellStyle name="Comma 2 2 4 2 2 2 4 2 2 2" xfId="60120" xr:uid="{7DA76EE9-8FA5-4A7F-ACB9-747B4E206A15}"/>
    <cellStyle name="Comma 2 2 4 2 2 2 4 2 3" xfId="45000" xr:uid="{74467E37-69DA-4AAA-B296-EEB28AB095E1}"/>
    <cellStyle name="Comma 2 2 4 2 2 2 4 3" xfId="20808" xr:uid="{3164B92D-FE1A-4159-916C-1540D20684C8}"/>
    <cellStyle name="Comma 2 2 4 2 2 2 4 3 2" xfId="51048" xr:uid="{5115C69E-55D6-4FC4-8BF1-0340EC7630E4}"/>
    <cellStyle name="Comma 2 2 4 2 2 2 4 4" xfId="35928" xr:uid="{B1553430-79A8-4231-BC01-48B5AE0F156B}"/>
    <cellStyle name="Comma 2 2 4 2 2 2 5" xfId="7200" xr:uid="{1DBA0BAB-1958-4222-9C0F-EAE68C26A147}"/>
    <cellStyle name="Comma 2 2 4 2 2 2 5 2" xfId="22320" xr:uid="{81917E2E-C38E-483D-9506-BFB25D311C07}"/>
    <cellStyle name="Comma 2 2 4 2 2 2 5 2 2" xfId="52560" xr:uid="{499038B9-AE5D-45FC-86A5-A5217A698CEA}"/>
    <cellStyle name="Comma 2 2 4 2 2 2 5 3" xfId="37440" xr:uid="{5732DEFF-8BC5-4A19-88CD-02EB763975FB}"/>
    <cellStyle name="Comma 2 2 4 2 2 2 6" xfId="8712" xr:uid="{5917F725-2A91-443C-A87A-ED2360D5D420}"/>
    <cellStyle name="Comma 2 2 4 2 2 2 6 2" xfId="23832" xr:uid="{F8A446EC-48E0-4C5E-ADCD-2914E019F4C9}"/>
    <cellStyle name="Comma 2 2 4 2 2 2 6 2 2" xfId="54072" xr:uid="{A4067945-9D42-47B4-BE94-D5D9E09F57C8}"/>
    <cellStyle name="Comma 2 2 4 2 2 2 6 3" xfId="38952" xr:uid="{A171BA12-9EFC-4B0F-96C5-CC781C96AB2B}"/>
    <cellStyle name="Comma 2 2 4 2 2 2 7" xfId="10224" xr:uid="{86AEA3A1-4A7E-473F-B999-8C2F259522FC}"/>
    <cellStyle name="Comma 2 2 4 2 2 2 7 2" xfId="25344" xr:uid="{C2C289F5-BB5D-4F8C-8F4C-B1331B875C12}"/>
    <cellStyle name="Comma 2 2 4 2 2 2 7 2 2" xfId="55584" xr:uid="{361F1EBA-E976-47D7-A7F2-8837052ED1F3}"/>
    <cellStyle name="Comma 2 2 4 2 2 2 7 3" xfId="40464" xr:uid="{7BF87457-9D0B-4F8D-9B8D-76C36A4B7080}"/>
    <cellStyle name="Comma 2 2 4 2 2 2 8" xfId="16272" xr:uid="{7D8C31B2-20D2-4C32-9039-BEABF276A4CB}"/>
    <cellStyle name="Comma 2 2 4 2 2 2 8 2" xfId="46512" xr:uid="{F30AF9AE-6DAD-477E-AFD3-5207EADC84D9}"/>
    <cellStyle name="Comma 2 2 4 2 2 2 9" xfId="31392" xr:uid="{8932AD1C-9AE8-4EFA-9159-9D93F65CDC31}"/>
    <cellStyle name="Comma 2 2 4 2 2 3" xfId="1908" xr:uid="{FA5BE2F0-5AED-435A-8191-494102352B61}"/>
    <cellStyle name="Comma 2 2 4 2 2 3 2" xfId="10980" xr:uid="{CDC53B79-BC7E-4E21-8616-D694DC6526A8}"/>
    <cellStyle name="Comma 2 2 4 2 2 3 2 2" xfId="26100" xr:uid="{246A057E-CFCE-4CFD-9FA4-754A5CDF33FC}"/>
    <cellStyle name="Comma 2 2 4 2 2 3 2 2 2" xfId="56340" xr:uid="{E22CAD79-ED74-4AA3-AAD2-3FACBC1116B7}"/>
    <cellStyle name="Comma 2 2 4 2 2 3 2 3" xfId="41220" xr:uid="{CE0DA423-6C47-47EC-9059-F37C16DEA196}"/>
    <cellStyle name="Comma 2 2 4 2 2 3 3" xfId="17028" xr:uid="{59B4AC61-F11B-4E73-A762-EE024E7CF6EB}"/>
    <cellStyle name="Comma 2 2 4 2 2 3 3 2" xfId="47268" xr:uid="{FCA43E7E-C8ED-430A-9C45-E0D672A1244C}"/>
    <cellStyle name="Comma 2 2 4 2 2 3 4" xfId="32148" xr:uid="{2BC85160-4427-48A2-96FA-11D604A648B0}"/>
    <cellStyle name="Comma 2 2 4 2 2 4" xfId="3420" xr:uid="{A6E67EF0-4C14-4DE3-B5D5-7858B1FEA980}"/>
    <cellStyle name="Comma 2 2 4 2 2 4 2" xfId="12492" xr:uid="{A1EE3722-0B9E-4EEF-B0B8-791A2E045C9D}"/>
    <cellStyle name="Comma 2 2 4 2 2 4 2 2" xfId="27612" xr:uid="{EE783250-22E5-4242-9536-F99AE9FAADAE}"/>
    <cellStyle name="Comma 2 2 4 2 2 4 2 2 2" xfId="57852" xr:uid="{A538D755-333E-4D5B-A36D-4FF935D22F17}"/>
    <cellStyle name="Comma 2 2 4 2 2 4 2 3" xfId="42732" xr:uid="{5E3F89B1-2707-4928-8BAA-BE62AF51E9FA}"/>
    <cellStyle name="Comma 2 2 4 2 2 4 3" xfId="18540" xr:uid="{CDEA9581-3FFA-4AB7-9363-1FE3CA633AA6}"/>
    <cellStyle name="Comma 2 2 4 2 2 4 3 2" xfId="48780" xr:uid="{C49E6D80-7C1C-4A4C-9528-C575A69321DB}"/>
    <cellStyle name="Comma 2 2 4 2 2 4 4" xfId="33660" xr:uid="{4E4ACDB1-65B2-40C4-A6EB-76B0B99995BA}"/>
    <cellStyle name="Comma 2 2 4 2 2 5" xfId="4932" xr:uid="{F554740C-3521-4454-877C-0A04B609D85F}"/>
    <cellStyle name="Comma 2 2 4 2 2 5 2" xfId="14004" xr:uid="{E496FE23-B3CD-4841-A12E-A300F950B873}"/>
    <cellStyle name="Comma 2 2 4 2 2 5 2 2" xfId="29124" xr:uid="{18C75A3C-0C95-4A06-AC0F-3AA28FE8CF8C}"/>
    <cellStyle name="Comma 2 2 4 2 2 5 2 2 2" xfId="59364" xr:uid="{69BD850B-00E5-49D2-86F8-EC8B000ED0AE}"/>
    <cellStyle name="Comma 2 2 4 2 2 5 2 3" xfId="44244" xr:uid="{E00C2960-6F7D-44E0-A981-D326C9352E43}"/>
    <cellStyle name="Comma 2 2 4 2 2 5 3" xfId="20052" xr:uid="{6F497F04-3484-4BA9-A822-62213CE1306A}"/>
    <cellStyle name="Comma 2 2 4 2 2 5 3 2" xfId="50292" xr:uid="{9C8FFB15-748D-4D7D-B364-35173D2F56EE}"/>
    <cellStyle name="Comma 2 2 4 2 2 5 4" xfId="35172" xr:uid="{AB17B1D0-6F4B-4D35-A1CA-BF8C77F019A1}"/>
    <cellStyle name="Comma 2 2 4 2 2 6" xfId="6444" xr:uid="{0F33CEE0-1B11-4B6E-8A70-A56B42DB6796}"/>
    <cellStyle name="Comma 2 2 4 2 2 6 2" xfId="21564" xr:uid="{1C2266C1-4579-4522-9C92-CBE4255DFB7D}"/>
    <cellStyle name="Comma 2 2 4 2 2 6 2 2" xfId="51804" xr:uid="{C8A15D5D-D216-4B5C-BAD8-54ADC6D658AF}"/>
    <cellStyle name="Comma 2 2 4 2 2 6 3" xfId="36684" xr:uid="{2E3FB102-A350-458E-969E-420BF5AD67AC}"/>
    <cellStyle name="Comma 2 2 4 2 2 7" xfId="7956" xr:uid="{C11A4D1C-341D-4E79-849A-93B518DCD6FE}"/>
    <cellStyle name="Comma 2 2 4 2 2 7 2" xfId="23076" xr:uid="{64301275-8A95-4C88-AC97-8AE90A6D6101}"/>
    <cellStyle name="Comma 2 2 4 2 2 7 2 2" xfId="53316" xr:uid="{A9420F93-973F-4725-97E3-04CCF3432DCA}"/>
    <cellStyle name="Comma 2 2 4 2 2 7 3" xfId="38196" xr:uid="{0DD43DA0-430D-4113-9416-A421E6EE0A9A}"/>
    <cellStyle name="Comma 2 2 4 2 2 8" xfId="9468" xr:uid="{73BCC713-4FB1-4ED8-98CB-AC6C3E1E2559}"/>
    <cellStyle name="Comma 2 2 4 2 2 8 2" xfId="24588" xr:uid="{905F66B6-BAE8-4129-9A5B-2E1E94953EE2}"/>
    <cellStyle name="Comma 2 2 4 2 2 8 2 2" xfId="54828" xr:uid="{7DE9E5B8-77D9-43FC-9DCC-76A339534442}"/>
    <cellStyle name="Comma 2 2 4 2 2 8 3" xfId="39708" xr:uid="{98566275-C44E-4A83-9F8D-3B2073220071}"/>
    <cellStyle name="Comma 2 2 4 2 2 9" xfId="15516" xr:uid="{5C2DB0AE-69FF-45C1-AFAF-6E1F9E20319F}"/>
    <cellStyle name="Comma 2 2 4 2 2 9 2" xfId="45756" xr:uid="{A09D0250-ED82-433B-8741-9731C0E85C9D}"/>
    <cellStyle name="Comma 2 2 4 2 3" xfId="648" xr:uid="{4B57B31C-C775-40B0-9CCD-C706FD56ABC6}"/>
    <cellStyle name="Comma 2 2 4 2 3 10" xfId="30888" xr:uid="{1465D385-22D4-4EE4-A30B-D11A58AC45B6}"/>
    <cellStyle name="Comma 2 2 4 2 3 2" xfId="1404" xr:uid="{E096353A-83F7-4014-8CDE-94BF40462ED7}"/>
    <cellStyle name="Comma 2 2 4 2 3 2 2" xfId="2916" xr:uid="{0D64BC15-4388-49AB-8D5A-BF14B622EF53}"/>
    <cellStyle name="Comma 2 2 4 2 3 2 2 2" xfId="11988" xr:uid="{94AD919A-EFE6-4841-A8FD-2DEAE8D308EA}"/>
    <cellStyle name="Comma 2 2 4 2 3 2 2 2 2" xfId="27108" xr:uid="{381EC8AF-58C5-4993-993D-2802C90F0F61}"/>
    <cellStyle name="Comma 2 2 4 2 3 2 2 2 2 2" xfId="57348" xr:uid="{ABDA29C5-90E8-448C-84D1-0C0BDA60FFDD}"/>
    <cellStyle name="Comma 2 2 4 2 3 2 2 2 3" xfId="42228" xr:uid="{D42031DD-ABDA-4ECB-B8CF-55728DB6F019}"/>
    <cellStyle name="Comma 2 2 4 2 3 2 2 3" xfId="18036" xr:uid="{1EB12389-A794-4E2C-BBE7-528F5B39C515}"/>
    <cellStyle name="Comma 2 2 4 2 3 2 2 3 2" xfId="48276" xr:uid="{CC4467C5-7F53-4370-AB08-2E43763FC241}"/>
    <cellStyle name="Comma 2 2 4 2 3 2 2 4" xfId="33156" xr:uid="{A6370E7B-3F8B-47B4-AAC3-86029CD3D883}"/>
    <cellStyle name="Comma 2 2 4 2 3 2 3" xfId="4428" xr:uid="{74A34DF4-1E98-4885-88A9-51424C1FB5F1}"/>
    <cellStyle name="Comma 2 2 4 2 3 2 3 2" xfId="13500" xr:uid="{DAB117F4-71DC-43AC-8F9E-E1596DF3C663}"/>
    <cellStyle name="Comma 2 2 4 2 3 2 3 2 2" xfId="28620" xr:uid="{C245BC43-8B1D-4823-A1AD-5D2E618773D4}"/>
    <cellStyle name="Comma 2 2 4 2 3 2 3 2 2 2" xfId="58860" xr:uid="{AB919B73-D348-41A1-9766-CF651C11B050}"/>
    <cellStyle name="Comma 2 2 4 2 3 2 3 2 3" xfId="43740" xr:uid="{2A1CA402-D88D-44E0-B7CA-FEDEF1BCE096}"/>
    <cellStyle name="Comma 2 2 4 2 3 2 3 3" xfId="19548" xr:uid="{8A4D4D6C-E2A8-44A5-B169-01CC6DE150F7}"/>
    <cellStyle name="Comma 2 2 4 2 3 2 3 3 2" xfId="49788" xr:uid="{97BFD07C-B881-4D71-8708-C8A2D89B0014}"/>
    <cellStyle name="Comma 2 2 4 2 3 2 3 4" xfId="34668" xr:uid="{075245A1-DA73-4B1A-BAE8-BB88C38AE022}"/>
    <cellStyle name="Comma 2 2 4 2 3 2 4" xfId="5940" xr:uid="{3980F89C-61DF-4854-A48C-11BF45CA0BA3}"/>
    <cellStyle name="Comma 2 2 4 2 3 2 4 2" xfId="15012" xr:uid="{FAF34CAF-E81F-48B9-81FC-39B0F7611F5C}"/>
    <cellStyle name="Comma 2 2 4 2 3 2 4 2 2" xfId="30132" xr:uid="{7D8F2FC3-AB4F-453B-B47E-E971632FD3E7}"/>
    <cellStyle name="Comma 2 2 4 2 3 2 4 2 2 2" xfId="60372" xr:uid="{572DEF00-1782-4106-A610-559A42D8874F}"/>
    <cellStyle name="Comma 2 2 4 2 3 2 4 2 3" xfId="45252" xr:uid="{669FCD75-6008-4620-A2A3-3EA5745EB601}"/>
    <cellStyle name="Comma 2 2 4 2 3 2 4 3" xfId="21060" xr:uid="{C6BE1CE9-7C2E-46A9-9C40-B1902967BA6B}"/>
    <cellStyle name="Comma 2 2 4 2 3 2 4 3 2" xfId="51300" xr:uid="{CC0B8A59-4475-4EB2-AD05-3D1D17FC2F83}"/>
    <cellStyle name="Comma 2 2 4 2 3 2 4 4" xfId="36180" xr:uid="{43AF94C9-FE02-4B72-AD88-D47707406E38}"/>
    <cellStyle name="Comma 2 2 4 2 3 2 5" xfId="7452" xr:uid="{A699390F-9264-48FA-B848-81B5D78DC163}"/>
    <cellStyle name="Comma 2 2 4 2 3 2 5 2" xfId="22572" xr:uid="{BEF98A8E-D460-459B-AD51-5E64671F2F76}"/>
    <cellStyle name="Comma 2 2 4 2 3 2 5 2 2" xfId="52812" xr:uid="{E5A6BB61-047D-47D7-B528-ED51DAFD4552}"/>
    <cellStyle name="Comma 2 2 4 2 3 2 5 3" xfId="37692" xr:uid="{71D1644A-86C0-4FCA-A123-DBBF2586827B}"/>
    <cellStyle name="Comma 2 2 4 2 3 2 6" xfId="8964" xr:uid="{038E0C74-2387-4C9B-B8C4-50EE128A0DE7}"/>
    <cellStyle name="Comma 2 2 4 2 3 2 6 2" xfId="24084" xr:uid="{D0107790-39C0-4BC6-995B-A36A3909ED45}"/>
    <cellStyle name="Comma 2 2 4 2 3 2 6 2 2" xfId="54324" xr:uid="{7BBAAC0B-2398-4A32-BCB2-B456ED51169D}"/>
    <cellStyle name="Comma 2 2 4 2 3 2 6 3" xfId="39204" xr:uid="{D25F288B-156E-4B07-862C-870964D1D58C}"/>
    <cellStyle name="Comma 2 2 4 2 3 2 7" xfId="10476" xr:uid="{A24608C3-3AA9-4BBC-88F4-B183DDCAA039}"/>
    <cellStyle name="Comma 2 2 4 2 3 2 7 2" xfId="25596" xr:uid="{38FC071A-FA8D-4704-B7B6-B39839C54367}"/>
    <cellStyle name="Comma 2 2 4 2 3 2 7 2 2" xfId="55836" xr:uid="{E5C40D71-E997-4BB6-9C7E-8471CD592E80}"/>
    <cellStyle name="Comma 2 2 4 2 3 2 7 3" xfId="40716" xr:uid="{EEAB3230-7FAA-4D23-8723-8F51F3CA06EF}"/>
    <cellStyle name="Comma 2 2 4 2 3 2 8" xfId="16524" xr:uid="{EBA3D8EF-A176-44FD-8ED5-635E1E1EA39D}"/>
    <cellStyle name="Comma 2 2 4 2 3 2 8 2" xfId="46764" xr:uid="{91CD2F46-B44A-4C62-BA05-9EEC5665EF7A}"/>
    <cellStyle name="Comma 2 2 4 2 3 2 9" xfId="31644" xr:uid="{2A049039-5DA7-4B4F-AD78-E9BC7467C56E}"/>
    <cellStyle name="Comma 2 2 4 2 3 3" xfId="2160" xr:uid="{CD581765-6616-423B-ABC4-FD8AF017CBC4}"/>
    <cellStyle name="Comma 2 2 4 2 3 3 2" xfId="11232" xr:uid="{649C5BAE-DD62-4FBC-A7C2-8D0167241F66}"/>
    <cellStyle name="Comma 2 2 4 2 3 3 2 2" xfId="26352" xr:uid="{74D134ED-C0B7-48D9-A0BE-49DBDA38CF44}"/>
    <cellStyle name="Comma 2 2 4 2 3 3 2 2 2" xfId="56592" xr:uid="{3F983012-F34B-404D-A88F-3140AF381A90}"/>
    <cellStyle name="Comma 2 2 4 2 3 3 2 3" xfId="41472" xr:uid="{71750BEF-DB1E-4A3A-83B6-79995E73004A}"/>
    <cellStyle name="Comma 2 2 4 2 3 3 3" xfId="17280" xr:uid="{5429713A-0E90-41FE-A6F8-E78A85697EEB}"/>
    <cellStyle name="Comma 2 2 4 2 3 3 3 2" xfId="47520" xr:uid="{B2A209B4-D906-416C-B0A6-143DC007EC62}"/>
    <cellStyle name="Comma 2 2 4 2 3 3 4" xfId="32400" xr:uid="{83D449C5-9695-4B1B-9B6E-060135CCE7A6}"/>
    <cellStyle name="Comma 2 2 4 2 3 4" xfId="3672" xr:uid="{BA8A0132-5008-49F4-AA49-90E48B3FAB92}"/>
    <cellStyle name="Comma 2 2 4 2 3 4 2" xfId="12744" xr:uid="{2CC0110B-7B5A-4D9B-B224-B6209DFE9FC3}"/>
    <cellStyle name="Comma 2 2 4 2 3 4 2 2" xfId="27864" xr:uid="{DE708AC4-4FC8-4E19-B01A-3B5A8E53FE84}"/>
    <cellStyle name="Comma 2 2 4 2 3 4 2 2 2" xfId="58104" xr:uid="{49E7A062-AA64-4231-AC83-C12352EB9491}"/>
    <cellStyle name="Comma 2 2 4 2 3 4 2 3" xfId="42984" xr:uid="{63BB7EB1-B92B-436E-8252-2EFBE1F93F30}"/>
    <cellStyle name="Comma 2 2 4 2 3 4 3" xfId="18792" xr:uid="{7C1BE3B7-09B5-442A-9A78-A767607BADBC}"/>
    <cellStyle name="Comma 2 2 4 2 3 4 3 2" xfId="49032" xr:uid="{DBD4F30F-E291-4FF5-834E-3D460582CD56}"/>
    <cellStyle name="Comma 2 2 4 2 3 4 4" xfId="33912" xr:uid="{968A73F9-1BF0-4C13-A179-88E466222023}"/>
    <cellStyle name="Comma 2 2 4 2 3 5" xfId="5184" xr:uid="{F56155EA-8944-4456-B4B4-1671C61B64ED}"/>
    <cellStyle name="Comma 2 2 4 2 3 5 2" xfId="14256" xr:uid="{BAA2C727-8685-4397-922C-C58D3348905D}"/>
    <cellStyle name="Comma 2 2 4 2 3 5 2 2" xfId="29376" xr:uid="{B3FC81AF-ADE1-45CE-8871-EB170708D186}"/>
    <cellStyle name="Comma 2 2 4 2 3 5 2 2 2" xfId="59616" xr:uid="{8C117E6F-1A72-425C-976D-9DAF39C87661}"/>
    <cellStyle name="Comma 2 2 4 2 3 5 2 3" xfId="44496" xr:uid="{309FE0ED-4B74-4269-9496-39D01CE12BF6}"/>
    <cellStyle name="Comma 2 2 4 2 3 5 3" xfId="20304" xr:uid="{FF9823BD-0453-4C82-A0DA-48B30D0708EA}"/>
    <cellStyle name="Comma 2 2 4 2 3 5 3 2" xfId="50544" xr:uid="{A0355B32-4F57-4A24-BB6D-B1610D31CFBB}"/>
    <cellStyle name="Comma 2 2 4 2 3 5 4" xfId="35424" xr:uid="{581DE814-365B-465B-BDBD-E6E2C90B4E24}"/>
    <cellStyle name="Comma 2 2 4 2 3 6" xfId="6696" xr:uid="{127FC190-E180-4FF3-9289-F7543FC1E652}"/>
    <cellStyle name="Comma 2 2 4 2 3 6 2" xfId="21816" xr:uid="{AB3DB757-C14B-47E1-B4F7-5B9B1E8A78B3}"/>
    <cellStyle name="Comma 2 2 4 2 3 6 2 2" xfId="52056" xr:uid="{FEA17FAF-7374-4F7E-8B5A-98AF07C392A5}"/>
    <cellStyle name="Comma 2 2 4 2 3 6 3" xfId="36936" xr:uid="{0478BF13-42F4-4616-99FF-E2E1728524C6}"/>
    <cellStyle name="Comma 2 2 4 2 3 7" xfId="8208" xr:uid="{431B2046-CBBA-4D39-ADAC-723E3C92455A}"/>
    <cellStyle name="Comma 2 2 4 2 3 7 2" xfId="23328" xr:uid="{5FE9DF56-B975-47D8-909F-D70283A1E07A}"/>
    <cellStyle name="Comma 2 2 4 2 3 7 2 2" xfId="53568" xr:uid="{32F34163-195D-4B18-95F5-8F96F358192F}"/>
    <cellStyle name="Comma 2 2 4 2 3 7 3" xfId="38448" xr:uid="{97A9B911-0288-4FDF-B8D0-F7FB170DF32A}"/>
    <cellStyle name="Comma 2 2 4 2 3 8" xfId="9720" xr:uid="{8247FE13-D10F-46F4-B251-6668112C799B}"/>
    <cellStyle name="Comma 2 2 4 2 3 8 2" xfId="24840" xr:uid="{FD4B34BE-4BAC-4E0B-B540-F05AA687CC32}"/>
    <cellStyle name="Comma 2 2 4 2 3 8 2 2" xfId="55080" xr:uid="{1C1F17A6-81BE-42AE-91F0-FEF652CA2432}"/>
    <cellStyle name="Comma 2 2 4 2 3 8 3" xfId="39960" xr:uid="{ABF8C76F-7A26-4A8D-A23E-B4CF09475E8F}"/>
    <cellStyle name="Comma 2 2 4 2 3 9" xfId="15768" xr:uid="{7AC63F55-BF1A-4985-8DFB-713471F85BDB}"/>
    <cellStyle name="Comma 2 2 4 2 3 9 2" xfId="46008" xr:uid="{797CB513-54C5-4353-9846-FB42F2A0B8F5}"/>
    <cellStyle name="Comma 2 2 4 2 4" xfId="900" xr:uid="{224EA52F-1328-4931-BB94-B1629A90EF32}"/>
    <cellStyle name="Comma 2 2 4 2 4 2" xfId="2412" xr:uid="{D93C35FB-2285-48E3-9FB4-41BF8095B27F}"/>
    <cellStyle name="Comma 2 2 4 2 4 2 2" xfId="11484" xr:uid="{0EB3E530-1C46-45C1-BE62-E17C49AB653C}"/>
    <cellStyle name="Comma 2 2 4 2 4 2 2 2" xfId="26604" xr:uid="{DE836702-73FD-4694-96E7-A425B4CF1D39}"/>
    <cellStyle name="Comma 2 2 4 2 4 2 2 2 2" xfId="56844" xr:uid="{E9DEB403-83DC-4357-B566-078F924DDE47}"/>
    <cellStyle name="Comma 2 2 4 2 4 2 2 3" xfId="41724" xr:uid="{236829E7-EC92-406B-B0F8-47B14494468E}"/>
    <cellStyle name="Comma 2 2 4 2 4 2 3" xfId="17532" xr:uid="{8A582010-5EF1-4954-9A0F-A0737C5EFC62}"/>
    <cellStyle name="Comma 2 2 4 2 4 2 3 2" xfId="47772" xr:uid="{7DC43A17-AC35-4648-A288-F5A936B4F46C}"/>
    <cellStyle name="Comma 2 2 4 2 4 2 4" xfId="32652" xr:uid="{D087DF66-0E10-496C-956C-AAE059FB6B9A}"/>
    <cellStyle name="Comma 2 2 4 2 4 3" xfId="3924" xr:uid="{2C41E231-A8DA-4AD0-9B90-FE41A3F13AA3}"/>
    <cellStyle name="Comma 2 2 4 2 4 3 2" xfId="12996" xr:uid="{C988550A-1944-4B1B-9AAB-3A1A08FC87C5}"/>
    <cellStyle name="Comma 2 2 4 2 4 3 2 2" xfId="28116" xr:uid="{61DB7708-E3BB-436A-BDAA-292145C3705B}"/>
    <cellStyle name="Comma 2 2 4 2 4 3 2 2 2" xfId="58356" xr:uid="{C1C5B025-8286-48B5-BD9C-3BDD6FC76407}"/>
    <cellStyle name="Comma 2 2 4 2 4 3 2 3" xfId="43236" xr:uid="{35560DF8-A46D-45B6-880B-63605498F105}"/>
    <cellStyle name="Comma 2 2 4 2 4 3 3" xfId="19044" xr:uid="{4B074B22-0A97-4DF8-860A-FFE714A4033B}"/>
    <cellStyle name="Comma 2 2 4 2 4 3 3 2" xfId="49284" xr:uid="{039219B3-7F0D-4E2C-981D-95B6BD183AD3}"/>
    <cellStyle name="Comma 2 2 4 2 4 3 4" xfId="34164" xr:uid="{E5273289-2427-41F0-BAEF-7986D8FF83C8}"/>
    <cellStyle name="Comma 2 2 4 2 4 4" xfId="5436" xr:uid="{A48BB3D8-8618-465D-8A0B-0DF8EE4FA6F1}"/>
    <cellStyle name="Comma 2 2 4 2 4 4 2" xfId="14508" xr:uid="{4749F087-1CCE-41C4-95D3-7FF56B743275}"/>
    <cellStyle name="Comma 2 2 4 2 4 4 2 2" xfId="29628" xr:uid="{253850E7-E5BE-4E2F-907F-DA1B978E43A1}"/>
    <cellStyle name="Comma 2 2 4 2 4 4 2 2 2" xfId="59868" xr:uid="{6532E3F9-61E8-4274-9CFD-CFA72D29AA8D}"/>
    <cellStyle name="Comma 2 2 4 2 4 4 2 3" xfId="44748" xr:uid="{74E41A9B-C548-432E-9E50-13C4AEFCEF25}"/>
    <cellStyle name="Comma 2 2 4 2 4 4 3" xfId="20556" xr:uid="{06E4B9BF-699B-42F3-8D50-992FEBADA7AC}"/>
    <cellStyle name="Comma 2 2 4 2 4 4 3 2" xfId="50796" xr:uid="{45CC4359-7306-4A71-91C6-F004958CE6DE}"/>
    <cellStyle name="Comma 2 2 4 2 4 4 4" xfId="35676" xr:uid="{44A31997-7F7A-4203-8334-D506E7B65FCC}"/>
    <cellStyle name="Comma 2 2 4 2 4 5" xfId="6948" xr:uid="{9DA9FC3E-9A1F-42F0-B66B-0D3BB15355F9}"/>
    <cellStyle name="Comma 2 2 4 2 4 5 2" xfId="22068" xr:uid="{69102210-8737-4DDC-9053-F5269190127F}"/>
    <cellStyle name="Comma 2 2 4 2 4 5 2 2" xfId="52308" xr:uid="{4E258606-EE51-4502-BECC-B793E308CCE9}"/>
    <cellStyle name="Comma 2 2 4 2 4 5 3" xfId="37188" xr:uid="{8B8D4DDF-C2AF-4379-A9E8-BF0D99C30EDA}"/>
    <cellStyle name="Comma 2 2 4 2 4 6" xfId="8460" xr:uid="{66DE5163-FE9B-4389-81E5-D302145E24E7}"/>
    <cellStyle name="Comma 2 2 4 2 4 6 2" xfId="23580" xr:uid="{D31F66F0-B78D-417D-BD83-DF1DCBA2FFDF}"/>
    <cellStyle name="Comma 2 2 4 2 4 6 2 2" xfId="53820" xr:uid="{41F88CFC-2A06-4C50-A7BD-6BE4E560AB9E}"/>
    <cellStyle name="Comma 2 2 4 2 4 6 3" xfId="38700" xr:uid="{9CF49544-1E6C-414B-9DC5-6AF176A73903}"/>
    <cellStyle name="Comma 2 2 4 2 4 7" xfId="9972" xr:uid="{4C87B7D9-CE75-4CA8-907D-22B1DB4E2B84}"/>
    <cellStyle name="Comma 2 2 4 2 4 7 2" xfId="25092" xr:uid="{2CBEFED4-D540-4B74-9E19-EED872A338FD}"/>
    <cellStyle name="Comma 2 2 4 2 4 7 2 2" xfId="55332" xr:uid="{8EA28B12-63E1-4D7E-B2B7-4ACD035BEB42}"/>
    <cellStyle name="Comma 2 2 4 2 4 7 3" xfId="40212" xr:uid="{951788DA-7BA5-4DBF-8D0D-BE88631AEFDC}"/>
    <cellStyle name="Comma 2 2 4 2 4 8" xfId="16020" xr:uid="{3A1AA839-A879-498C-AC52-FA877FB29479}"/>
    <cellStyle name="Comma 2 2 4 2 4 8 2" xfId="46260" xr:uid="{A788F77E-0B68-49BE-B773-8B193A6D90A7}"/>
    <cellStyle name="Comma 2 2 4 2 4 9" xfId="31140" xr:uid="{B70AE6D7-915A-4932-89D5-F06EA90E71F8}"/>
    <cellStyle name="Comma 2 2 4 2 5" xfId="1656" xr:uid="{D62D477A-E5EF-4661-B6E6-C6FDC01D057A}"/>
    <cellStyle name="Comma 2 2 4 2 5 2" xfId="10728" xr:uid="{2A702636-D82C-4157-B5AA-5ED68A33BFDD}"/>
    <cellStyle name="Comma 2 2 4 2 5 2 2" xfId="25848" xr:uid="{6F1133CE-582F-4AC5-A0F8-460B7B1CD849}"/>
    <cellStyle name="Comma 2 2 4 2 5 2 2 2" xfId="56088" xr:uid="{E11442B6-F7E3-4427-8B64-0CACDEBC8E56}"/>
    <cellStyle name="Comma 2 2 4 2 5 2 3" xfId="40968" xr:uid="{328D1354-01C1-47E0-A06A-B4C58F2F617A}"/>
    <cellStyle name="Comma 2 2 4 2 5 3" xfId="16776" xr:uid="{5E5C80ED-7D35-46E9-B773-7D4A2E7A8C31}"/>
    <cellStyle name="Comma 2 2 4 2 5 3 2" xfId="47016" xr:uid="{20393A8F-58AD-4FA1-9BCC-E08659B8AB84}"/>
    <cellStyle name="Comma 2 2 4 2 5 4" xfId="31896" xr:uid="{45E3A01C-ECA2-48E5-A327-C174B578F762}"/>
    <cellStyle name="Comma 2 2 4 2 6" xfId="3168" xr:uid="{FA49285A-E262-41EA-8ABE-5DB449CB5428}"/>
    <cellStyle name="Comma 2 2 4 2 6 2" xfId="12240" xr:uid="{2A18C3E5-C47E-41DE-A348-FC3902620A7F}"/>
    <cellStyle name="Comma 2 2 4 2 6 2 2" xfId="27360" xr:uid="{63433AE9-04BD-421A-9875-C03A20E3C592}"/>
    <cellStyle name="Comma 2 2 4 2 6 2 2 2" xfId="57600" xr:uid="{B0FEFF4D-0FB0-456A-967E-799D1FB4C607}"/>
    <cellStyle name="Comma 2 2 4 2 6 2 3" xfId="42480" xr:uid="{08087DB4-00FC-4AA7-8907-977A3CD30DE0}"/>
    <cellStyle name="Comma 2 2 4 2 6 3" xfId="18288" xr:uid="{3602279A-2E28-4089-9245-DAA13C0396A0}"/>
    <cellStyle name="Comma 2 2 4 2 6 3 2" xfId="48528" xr:uid="{86D387F9-E16C-4FFD-82D7-DA5E09763692}"/>
    <cellStyle name="Comma 2 2 4 2 6 4" xfId="33408" xr:uid="{1D964EC1-5261-4154-A562-865F7E2F78CA}"/>
    <cellStyle name="Comma 2 2 4 2 7" xfId="4680" xr:uid="{821BBB71-CB97-48F0-B679-68B22EE83B5D}"/>
    <cellStyle name="Comma 2 2 4 2 7 2" xfId="13752" xr:uid="{099C5135-3BA7-4FB0-B23A-3452C69B2CAC}"/>
    <cellStyle name="Comma 2 2 4 2 7 2 2" xfId="28872" xr:uid="{FFE7622E-112C-4E98-8D40-AE36E6CC1624}"/>
    <cellStyle name="Comma 2 2 4 2 7 2 2 2" xfId="59112" xr:uid="{CD2F3565-98CB-408B-A48F-BF69C250AD9C}"/>
    <cellStyle name="Comma 2 2 4 2 7 2 3" xfId="43992" xr:uid="{F6AB4AFE-EB2E-44B9-B823-FA53C615EBB2}"/>
    <cellStyle name="Comma 2 2 4 2 7 3" xfId="19800" xr:uid="{696A3B7A-664D-4845-A47A-ADA6DC45C795}"/>
    <cellStyle name="Comma 2 2 4 2 7 3 2" xfId="50040" xr:uid="{F32F76CF-CB4C-4A4E-A784-A9E2B2F5C2D6}"/>
    <cellStyle name="Comma 2 2 4 2 7 4" xfId="34920" xr:uid="{5571F307-E237-4291-AB38-1A60FC896239}"/>
    <cellStyle name="Comma 2 2 4 2 8" xfId="6192" xr:uid="{6C588CA2-0A5A-40CB-BC95-14009C510CEA}"/>
    <cellStyle name="Comma 2 2 4 2 8 2" xfId="21312" xr:uid="{44B0F646-0AC7-4960-AB54-C6CD7BF45158}"/>
    <cellStyle name="Comma 2 2 4 2 8 2 2" xfId="51552" xr:uid="{D27E8257-E6B9-49B5-9300-44010FD2D4D7}"/>
    <cellStyle name="Comma 2 2 4 2 8 3" xfId="36432" xr:uid="{0F638C49-332E-4A7F-B5D7-BB33817B0CB4}"/>
    <cellStyle name="Comma 2 2 4 2 9" xfId="7704" xr:uid="{D2FC269A-23B3-4D45-AAD5-5536F00C5E7E}"/>
    <cellStyle name="Comma 2 2 4 2 9 2" xfId="22824" xr:uid="{420B64B5-5A97-4510-B48E-D67FFCB4E3C5}"/>
    <cellStyle name="Comma 2 2 4 2 9 2 2" xfId="53064" xr:uid="{641916AA-0225-492B-9B45-E035A6ACB284}"/>
    <cellStyle name="Comma 2 2 4 2 9 3" xfId="37944" xr:uid="{3F73A635-3358-4209-A328-9E6DE7333F79}"/>
    <cellStyle name="Comma 2 2 4 3" xfId="228" xr:uid="{284C1CB5-A857-4280-AD11-F00CC2266B55}"/>
    <cellStyle name="Comma 2 2 4 3 10" xfId="9300" xr:uid="{7936E6BC-3277-4444-82AB-201B12E57E8C}"/>
    <cellStyle name="Comma 2 2 4 3 10 2" xfId="24420" xr:uid="{10FB92F6-0261-429A-B9BC-4247D47AC6F8}"/>
    <cellStyle name="Comma 2 2 4 3 10 2 2" xfId="54660" xr:uid="{781A8816-DFA0-4689-B5E7-B3C3AF3B4D8F}"/>
    <cellStyle name="Comma 2 2 4 3 10 3" xfId="39540" xr:uid="{A117C804-91C3-47BE-8156-E485E807AB3E}"/>
    <cellStyle name="Comma 2 2 4 3 11" xfId="15348" xr:uid="{0A09570C-080D-4C7B-8920-A30B2BC405F1}"/>
    <cellStyle name="Comma 2 2 4 3 11 2" xfId="45588" xr:uid="{D7DE4342-23A4-45BE-A050-F7EDE1779A37}"/>
    <cellStyle name="Comma 2 2 4 3 12" xfId="30468" xr:uid="{FCAC8AD2-3367-4ED8-A846-BEDC843BC878}"/>
    <cellStyle name="Comma 2 2 4 3 2" xfId="480" xr:uid="{D366E5BF-FB2D-4C25-9A35-5BACBBEF1FD8}"/>
    <cellStyle name="Comma 2 2 4 3 2 10" xfId="30720" xr:uid="{1BB624F9-3995-4F7D-B511-A216F59A7630}"/>
    <cellStyle name="Comma 2 2 4 3 2 2" xfId="1236" xr:uid="{4116DC54-81A5-41FB-B927-6499DD46E442}"/>
    <cellStyle name="Comma 2 2 4 3 2 2 2" xfId="2748" xr:uid="{04628D28-ABE5-416A-91FD-41494187DF29}"/>
    <cellStyle name="Comma 2 2 4 3 2 2 2 2" xfId="11820" xr:uid="{672CFFA6-5D6C-43B1-B3C8-591AAD6A20C5}"/>
    <cellStyle name="Comma 2 2 4 3 2 2 2 2 2" xfId="26940" xr:uid="{E3CB187B-34FF-487D-B5C9-1275806A6725}"/>
    <cellStyle name="Comma 2 2 4 3 2 2 2 2 2 2" xfId="57180" xr:uid="{0A9EB637-3A52-4797-A83E-83D203122552}"/>
    <cellStyle name="Comma 2 2 4 3 2 2 2 2 3" xfId="42060" xr:uid="{EF65A4BE-EEE4-4BBF-AE08-A9AF39D8042A}"/>
    <cellStyle name="Comma 2 2 4 3 2 2 2 3" xfId="17868" xr:uid="{BDDF839C-5FA0-4F59-9989-BECC821C37E9}"/>
    <cellStyle name="Comma 2 2 4 3 2 2 2 3 2" xfId="48108" xr:uid="{0C9E3D79-7ED9-4B6F-A58D-61D0D5B0297D}"/>
    <cellStyle name="Comma 2 2 4 3 2 2 2 4" xfId="32988" xr:uid="{242EBB5D-ED7F-4D82-878F-C6E6E10F28DE}"/>
    <cellStyle name="Comma 2 2 4 3 2 2 3" xfId="4260" xr:uid="{B60E04F8-7FD9-4DC4-9168-940853ACCA9B}"/>
    <cellStyle name="Comma 2 2 4 3 2 2 3 2" xfId="13332" xr:uid="{80F263C6-F6BA-47D1-BF42-C5BACA6AD260}"/>
    <cellStyle name="Comma 2 2 4 3 2 2 3 2 2" xfId="28452" xr:uid="{AB047067-453B-4A53-982E-40354261FA1D}"/>
    <cellStyle name="Comma 2 2 4 3 2 2 3 2 2 2" xfId="58692" xr:uid="{186AE19F-C017-436E-B565-88E8A92DCEAD}"/>
    <cellStyle name="Comma 2 2 4 3 2 2 3 2 3" xfId="43572" xr:uid="{20DFD2B5-2FC0-40D8-ADD6-F123BFCA8746}"/>
    <cellStyle name="Comma 2 2 4 3 2 2 3 3" xfId="19380" xr:uid="{157213CA-EB02-4DED-A271-F298656A54B8}"/>
    <cellStyle name="Comma 2 2 4 3 2 2 3 3 2" xfId="49620" xr:uid="{381F46DA-693A-4303-871D-F084603BBF04}"/>
    <cellStyle name="Comma 2 2 4 3 2 2 3 4" xfId="34500" xr:uid="{FFD80B4A-B510-4FC0-9A68-06EF2D9F06FB}"/>
    <cellStyle name="Comma 2 2 4 3 2 2 4" xfId="5772" xr:uid="{8A4E36C3-B974-46D9-A301-80C463523CF5}"/>
    <cellStyle name="Comma 2 2 4 3 2 2 4 2" xfId="14844" xr:uid="{2C22B302-67BF-441C-970B-A9A4647DB071}"/>
    <cellStyle name="Comma 2 2 4 3 2 2 4 2 2" xfId="29964" xr:uid="{75E22997-AAA6-4F1D-A120-47D686FABAA8}"/>
    <cellStyle name="Comma 2 2 4 3 2 2 4 2 2 2" xfId="60204" xr:uid="{6103074E-8778-45C0-B969-89C4004AF659}"/>
    <cellStyle name="Comma 2 2 4 3 2 2 4 2 3" xfId="45084" xr:uid="{85A5C872-8D0E-4F94-A80C-A5F1A756A57B}"/>
    <cellStyle name="Comma 2 2 4 3 2 2 4 3" xfId="20892" xr:uid="{4A4BFC1B-A928-4F82-AE49-5402207EDA3D}"/>
    <cellStyle name="Comma 2 2 4 3 2 2 4 3 2" xfId="51132" xr:uid="{C9A5A11F-BB39-4A22-8C79-6EB7DFAC4565}"/>
    <cellStyle name="Comma 2 2 4 3 2 2 4 4" xfId="36012" xr:uid="{34B82DBA-E703-4694-87D5-8B67D0BC8FE7}"/>
    <cellStyle name="Comma 2 2 4 3 2 2 5" xfId="7284" xr:uid="{26E01141-C0F8-4302-8752-F8CB9AB8620D}"/>
    <cellStyle name="Comma 2 2 4 3 2 2 5 2" xfId="22404" xr:uid="{6D8FE42E-3D3C-449B-B1EE-D09D0AF4981C}"/>
    <cellStyle name="Comma 2 2 4 3 2 2 5 2 2" xfId="52644" xr:uid="{8387AC14-F597-4F97-8393-A651C5E3DDDB}"/>
    <cellStyle name="Comma 2 2 4 3 2 2 5 3" xfId="37524" xr:uid="{02700A4A-BE16-4812-889E-A49CA42E915A}"/>
    <cellStyle name="Comma 2 2 4 3 2 2 6" xfId="8796" xr:uid="{BFB2E864-C29D-40EF-A7B2-9D720B4C30AF}"/>
    <cellStyle name="Comma 2 2 4 3 2 2 6 2" xfId="23916" xr:uid="{07D7DE00-115D-4FE2-8B1E-B34BD6F53DB9}"/>
    <cellStyle name="Comma 2 2 4 3 2 2 6 2 2" xfId="54156" xr:uid="{CCD79355-C7B7-4838-93EA-1D75E72FCB5C}"/>
    <cellStyle name="Comma 2 2 4 3 2 2 6 3" xfId="39036" xr:uid="{B1A32077-09C7-4E8B-A659-58EBD4A22C09}"/>
    <cellStyle name="Comma 2 2 4 3 2 2 7" xfId="10308" xr:uid="{66ED3324-4446-4AB6-8910-27F66C9D0A02}"/>
    <cellStyle name="Comma 2 2 4 3 2 2 7 2" xfId="25428" xr:uid="{A5C62975-CD6D-4F10-A9E2-8ECF23A529F1}"/>
    <cellStyle name="Comma 2 2 4 3 2 2 7 2 2" xfId="55668" xr:uid="{B264E861-37F0-4AD1-87E7-3EED0675A5B7}"/>
    <cellStyle name="Comma 2 2 4 3 2 2 7 3" xfId="40548" xr:uid="{9D9B3D1E-FB5B-4C3E-8234-F170AA52E988}"/>
    <cellStyle name="Comma 2 2 4 3 2 2 8" xfId="16356" xr:uid="{FF0AC4F9-552A-43B7-81EC-5BBB70FBCCEC}"/>
    <cellStyle name="Comma 2 2 4 3 2 2 8 2" xfId="46596" xr:uid="{588F21CA-418F-466C-97A8-D3AACFB3F9B7}"/>
    <cellStyle name="Comma 2 2 4 3 2 2 9" xfId="31476" xr:uid="{C96F5C4D-DCA9-4EF7-9B21-65A2B9726B3E}"/>
    <cellStyle name="Comma 2 2 4 3 2 3" xfId="1992" xr:uid="{9EC260CA-6F99-449A-A0BB-1E8425E6AAFC}"/>
    <cellStyle name="Comma 2 2 4 3 2 3 2" xfId="11064" xr:uid="{AB844E7A-4BDD-4883-AFC0-4448EFCEC0AF}"/>
    <cellStyle name="Comma 2 2 4 3 2 3 2 2" xfId="26184" xr:uid="{F36CBEFB-5C52-4D81-8A67-4277F2EA76C2}"/>
    <cellStyle name="Comma 2 2 4 3 2 3 2 2 2" xfId="56424" xr:uid="{BEC3F5B5-4D47-4FBF-80BB-4EFA9784F824}"/>
    <cellStyle name="Comma 2 2 4 3 2 3 2 3" xfId="41304" xr:uid="{0955945B-F80C-4AB8-A0CE-2AF9195D8A76}"/>
    <cellStyle name="Comma 2 2 4 3 2 3 3" xfId="17112" xr:uid="{7B842A66-1E4F-4E81-9C9B-83C103A2AA73}"/>
    <cellStyle name="Comma 2 2 4 3 2 3 3 2" xfId="47352" xr:uid="{A9F5D93F-7C47-4A49-ACEB-865C9D3D50D9}"/>
    <cellStyle name="Comma 2 2 4 3 2 3 4" xfId="32232" xr:uid="{046CE8EA-B419-4CAF-8013-1BFE23A8FE77}"/>
    <cellStyle name="Comma 2 2 4 3 2 4" xfId="3504" xr:uid="{639BCFF1-A841-4A05-BAC8-A960A2BA255C}"/>
    <cellStyle name="Comma 2 2 4 3 2 4 2" xfId="12576" xr:uid="{8B7CC2FA-B02D-4A18-9EAB-71B7E1F300CA}"/>
    <cellStyle name="Comma 2 2 4 3 2 4 2 2" xfId="27696" xr:uid="{5D283EC0-5305-4E80-A7A6-AD42083B4001}"/>
    <cellStyle name="Comma 2 2 4 3 2 4 2 2 2" xfId="57936" xr:uid="{9A9B56C7-FE5F-4AC4-8652-AD5E96B222C5}"/>
    <cellStyle name="Comma 2 2 4 3 2 4 2 3" xfId="42816" xr:uid="{B9844657-CEC2-4CDD-9946-D87D0930EB00}"/>
    <cellStyle name="Comma 2 2 4 3 2 4 3" xfId="18624" xr:uid="{71C26044-8D02-4D43-8730-D60D78C098D5}"/>
    <cellStyle name="Comma 2 2 4 3 2 4 3 2" xfId="48864" xr:uid="{A96FC9D8-8D7C-4EC3-96B7-DF627F201550}"/>
    <cellStyle name="Comma 2 2 4 3 2 4 4" xfId="33744" xr:uid="{A83BD7C9-AE65-42EE-84CB-408B1B8866F1}"/>
    <cellStyle name="Comma 2 2 4 3 2 5" xfId="5016" xr:uid="{7E590DE0-F9AD-4181-83BF-3AE0B5119B18}"/>
    <cellStyle name="Comma 2 2 4 3 2 5 2" xfId="14088" xr:uid="{3DFC6C61-5135-4BE2-83CC-339D4ED171CD}"/>
    <cellStyle name="Comma 2 2 4 3 2 5 2 2" xfId="29208" xr:uid="{91BB9842-DF49-4BA7-8983-9C96EAB17C40}"/>
    <cellStyle name="Comma 2 2 4 3 2 5 2 2 2" xfId="59448" xr:uid="{B84EFA30-6965-4610-92C1-D556383A8AA0}"/>
    <cellStyle name="Comma 2 2 4 3 2 5 2 3" xfId="44328" xr:uid="{CD5020F9-A339-42A7-8089-04D1F3D27076}"/>
    <cellStyle name="Comma 2 2 4 3 2 5 3" xfId="20136" xr:uid="{2E043DD4-00F2-4DE1-8B7B-BDE47F609724}"/>
    <cellStyle name="Comma 2 2 4 3 2 5 3 2" xfId="50376" xr:uid="{43F1D2CF-2B95-4EDC-84C7-35707969AB7E}"/>
    <cellStyle name="Comma 2 2 4 3 2 5 4" xfId="35256" xr:uid="{BFD22DB1-3EE8-48BB-B717-29F0C5F39B2C}"/>
    <cellStyle name="Comma 2 2 4 3 2 6" xfId="6528" xr:uid="{7ADCBF2F-53F3-448B-BCB2-947E20BB024B}"/>
    <cellStyle name="Comma 2 2 4 3 2 6 2" xfId="21648" xr:uid="{837493EC-9421-470B-9251-0902E31D1CAD}"/>
    <cellStyle name="Comma 2 2 4 3 2 6 2 2" xfId="51888" xr:uid="{37CA810A-5F2E-41F8-9090-B5B8F04AFA27}"/>
    <cellStyle name="Comma 2 2 4 3 2 6 3" xfId="36768" xr:uid="{690860C0-7E23-4919-BFE4-EC62E605C043}"/>
    <cellStyle name="Comma 2 2 4 3 2 7" xfId="8040" xr:uid="{9E8351B9-0AA8-4E83-9E75-2F361DC55C30}"/>
    <cellStyle name="Comma 2 2 4 3 2 7 2" xfId="23160" xr:uid="{8D88F314-4031-4ADD-965C-835B47FD2252}"/>
    <cellStyle name="Comma 2 2 4 3 2 7 2 2" xfId="53400" xr:uid="{C9D14A7D-EDFC-4A2A-A82A-2566D0DECE78}"/>
    <cellStyle name="Comma 2 2 4 3 2 7 3" xfId="38280" xr:uid="{293527E1-982F-40B3-9C50-8AFB9C61AA7D}"/>
    <cellStyle name="Comma 2 2 4 3 2 8" xfId="9552" xr:uid="{85CF5128-5564-4B60-909B-251AF2560EB3}"/>
    <cellStyle name="Comma 2 2 4 3 2 8 2" xfId="24672" xr:uid="{33FEEC58-4B1B-4B7B-80E9-A0DE0D748567}"/>
    <cellStyle name="Comma 2 2 4 3 2 8 2 2" xfId="54912" xr:uid="{13CE91D1-01D6-4E23-BF7E-09A4B4C3DF95}"/>
    <cellStyle name="Comma 2 2 4 3 2 8 3" xfId="39792" xr:uid="{CAB0BC6C-E6DC-4BCA-96F1-91BD754F2338}"/>
    <cellStyle name="Comma 2 2 4 3 2 9" xfId="15600" xr:uid="{38E86891-ADB6-4F96-9924-9B7309272806}"/>
    <cellStyle name="Comma 2 2 4 3 2 9 2" xfId="45840" xr:uid="{AF7979C6-FEE6-4FA0-9B4E-099528FA141C}"/>
    <cellStyle name="Comma 2 2 4 3 3" xfId="732" xr:uid="{36A93972-76F3-438D-AA23-E26716B6E337}"/>
    <cellStyle name="Comma 2 2 4 3 3 10" xfId="30972" xr:uid="{277FF903-F1E2-4C91-9350-AC45150F8E5F}"/>
    <cellStyle name="Comma 2 2 4 3 3 2" xfId="1488" xr:uid="{D649D062-4870-4412-AC22-4F76C907A1F0}"/>
    <cellStyle name="Comma 2 2 4 3 3 2 2" xfId="3000" xr:uid="{2E59FE96-25D4-4450-944B-13B63CDCE35C}"/>
    <cellStyle name="Comma 2 2 4 3 3 2 2 2" xfId="12072" xr:uid="{60F8E1FE-27DF-4BC3-A54A-C8030E07D2E1}"/>
    <cellStyle name="Comma 2 2 4 3 3 2 2 2 2" xfId="27192" xr:uid="{F6E7E610-01F9-4213-B9B3-4B09C6CA7002}"/>
    <cellStyle name="Comma 2 2 4 3 3 2 2 2 2 2" xfId="57432" xr:uid="{099FAB24-0FA2-4230-AB91-315895ED3B03}"/>
    <cellStyle name="Comma 2 2 4 3 3 2 2 2 3" xfId="42312" xr:uid="{62FCBF3F-31BB-4389-85C8-47FB8B3855F1}"/>
    <cellStyle name="Comma 2 2 4 3 3 2 2 3" xfId="18120" xr:uid="{B76BE493-CC0C-40F2-8C3F-0CB3A29902BE}"/>
    <cellStyle name="Comma 2 2 4 3 3 2 2 3 2" xfId="48360" xr:uid="{43FC9ADA-D716-4298-B337-1646C898BFB2}"/>
    <cellStyle name="Comma 2 2 4 3 3 2 2 4" xfId="33240" xr:uid="{1E96A4D0-2A8A-44EB-88CB-0C0EF7DDF3D1}"/>
    <cellStyle name="Comma 2 2 4 3 3 2 3" xfId="4512" xr:uid="{91128F82-0DC1-4253-B4FC-B023676DE976}"/>
    <cellStyle name="Comma 2 2 4 3 3 2 3 2" xfId="13584" xr:uid="{D7A9EF20-DA89-4D93-BDEE-A39B73222AFC}"/>
    <cellStyle name="Comma 2 2 4 3 3 2 3 2 2" xfId="28704" xr:uid="{523C6E84-434B-4CAA-9E76-B300C74E1157}"/>
    <cellStyle name="Comma 2 2 4 3 3 2 3 2 2 2" xfId="58944" xr:uid="{C8322EFC-7552-46BA-8BE0-E1D107F4626E}"/>
    <cellStyle name="Comma 2 2 4 3 3 2 3 2 3" xfId="43824" xr:uid="{CAEC92F6-34EF-4A1B-9FE2-30CCA782F9AA}"/>
    <cellStyle name="Comma 2 2 4 3 3 2 3 3" xfId="19632" xr:uid="{D67704EF-D90B-40C6-813B-9197D647DCF7}"/>
    <cellStyle name="Comma 2 2 4 3 3 2 3 3 2" xfId="49872" xr:uid="{2E6DC12C-BB42-4971-ADD1-F095D3339D72}"/>
    <cellStyle name="Comma 2 2 4 3 3 2 3 4" xfId="34752" xr:uid="{0D5F0842-19A6-40AC-B3EC-9A5B44DFBC89}"/>
    <cellStyle name="Comma 2 2 4 3 3 2 4" xfId="6024" xr:uid="{0BE9CDAD-69D5-48C2-A18C-2E7F71A97D03}"/>
    <cellStyle name="Comma 2 2 4 3 3 2 4 2" xfId="15096" xr:uid="{D1EF3675-BADA-40FB-9EA3-7BC138E8203A}"/>
    <cellStyle name="Comma 2 2 4 3 3 2 4 2 2" xfId="30216" xr:uid="{1507855F-CF47-46E4-BB7D-51CA1AFC81D7}"/>
    <cellStyle name="Comma 2 2 4 3 3 2 4 2 2 2" xfId="60456" xr:uid="{7F069328-6731-404E-9935-BE9F83836979}"/>
    <cellStyle name="Comma 2 2 4 3 3 2 4 2 3" xfId="45336" xr:uid="{2FC2E60F-2DA0-462C-B294-3B7024EA5251}"/>
    <cellStyle name="Comma 2 2 4 3 3 2 4 3" xfId="21144" xr:uid="{141ADC03-B393-492C-89B6-CF5B7A0C9CCF}"/>
    <cellStyle name="Comma 2 2 4 3 3 2 4 3 2" xfId="51384" xr:uid="{814AE3AE-BF27-4AA8-851E-2C27E9AFC023}"/>
    <cellStyle name="Comma 2 2 4 3 3 2 4 4" xfId="36264" xr:uid="{7E8E2A52-67AC-4058-918D-144C8FB9D206}"/>
    <cellStyle name="Comma 2 2 4 3 3 2 5" xfId="7536" xr:uid="{AC0D073C-607E-48F9-9B65-B5A14C2779E8}"/>
    <cellStyle name="Comma 2 2 4 3 3 2 5 2" xfId="22656" xr:uid="{B7131CC9-A9C9-40E3-8C75-134EC9F37F65}"/>
    <cellStyle name="Comma 2 2 4 3 3 2 5 2 2" xfId="52896" xr:uid="{624F4028-60A3-466E-9011-C0A7709EB887}"/>
    <cellStyle name="Comma 2 2 4 3 3 2 5 3" xfId="37776" xr:uid="{8C53999E-1562-470F-A72B-2EC2DC3C2D49}"/>
    <cellStyle name="Comma 2 2 4 3 3 2 6" xfId="9048" xr:uid="{2DEF20D0-D360-433C-9C2E-4F82594F0409}"/>
    <cellStyle name="Comma 2 2 4 3 3 2 6 2" xfId="24168" xr:uid="{F9C5DAAD-C8A2-4F2E-AA60-AA1D77A9C1BB}"/>
    <cellStyle name="Comma 2 2 4 3 3 2 6 2 2" xfId="54408" xr:uid="{EB807440-3AA6-4C7D-8172-475016747717}"/>
    <cellStyle name="Comma 2 2 4 3 3 2 6 3" xfId="39288" xr:uid="{86FB2BEB-2804-427F-AEA0-31E7ADD5DFF6}"/>
    <cellStyle name="Comma 2 2 4 3 3 2 7" xfId="10560" xr:uid="{A2DD5FF3-578E-4CFE-A25A-BC91B875FEF4}"/>
    <cellStyle name="Comma 2 2 4 3 3 2 7 2" xfId="25680" xr:uid="{5B3C9BD8-61F1-4125-8F20-C97CB512EA6C}"/>
    <cellStyle name="Comma 2 2 4 3 3 2 7 2 2" xfId="55920" xr:uid="{4B690463-561D-4547-8443-CC2D3AA00E42}"/>
    <cellStyle name="Comma 2 2 4 3 3 2 7 3" xfId="40800" xr:uid="{85EAD15A-4B81-48A7-BEDB-99E95EA7021D}"/>
    <cellStyle name="Comma 2 2 4 3 3 2 8" xfId="16608" xr:uid="{7C657159-0B8B-4C4D-9F39-46D048F62B78}"/>
    <cellStyle name="Comma 2 2 4 3 3 2 8 2" xfId="46848" xr:uid="{C5B0F57A-22EE-42C5-A495-9FA9C9F8BAE5}"/>
    <cellStyle name="Comma 2 2 4 3 3 2 9" xfId="31728" xr:uid="{EAC3E398-60E1-47EC-885E-85B237845F73}"/>
    <cellStyle name="Comma 2 2 4 3 3 3" xfId="2244" xr:uid="{F39568A8-7F87-42D8-B1FA-2119CAE20BEB}"/>
    <cellStyle name="Comma 2 2 4 3 3 3 2" xfId="11316" xr:uid="{EBC3B6B8-34D3-4D47-BFA1-4585206DEC6F}"/>
    <cellStyle name="Comma 2 2 4 3 3 3 2 2" xfId="26436" xr:uid="{B6C60AAD-C0C1-48BC-B90E-17D0A35B0834}"/>
    <cellStyle name="Comma 2 2 4 3 3 3 2 2 2" xfId="56676" xr:uid="{A72C72FF-33CE-451F-85F6-C280995DD2EB}"/>
    <cellStyle name="Comma 2 2 4 3 3 3 2 3" xfId="41556" xr:uid="{40FF3A68-3954-462E-896A-9352C1A9C327}"/>
    <cellStyle name="Comma 2 2 4 3 3 3 3" xfId="17364" xr:uid="{83C2A045-8FE1-4765-AFFE-62CB078DDD50}"/>
    <cellStyle name="Comma 2 2 4 3 3 3 3 2" xfId="47604" xr:uid="{A8527686-D305-4A4E-886C-F676F20C546F}"/>
    <cellStyle name="Comma 2 2 4 3 3 3 4" xfId="32484" xr:uid="{5240BBF0-F5F1-416D-9623-F038F498E81F}"/>
    <cellStyle name="Comma 2 2 4 3 3 4" xfId="3756" xr:uid="{3D1E6AE2-F452-4C5B-89B2-1766EEB3F4D5}"/>
    <cellStyle name="Comma 2 2 4 3 3 4 2" xfId="12828" xr:uid="{46FC1FFB-0CF3-4DDD-A9F9-B06765477828}"/>
    <cellStyle name="Comma 2 2 4 3 3 4 2 2" xfId="27948" xr:uid="{230CFD65-3BC7-48EA-9BA0-93775188CE68}"/>
    <cellStyle name="Comma 2 2 4 3 3 4 2 2 2" xfId="58188" xr:uid="{3D62297C-C4C3-4ECE-B5D4-355EB4C13272}"/>
    <cellStyle name="Comma 2 2 4 3 3 4 2 3" xfId="43068" xr:uid="{C4255985-CFFC-4B7C-AFA7-BC1A95A95D86}"/>
    <cellStyle name="Comma 2 2 4 3 3 4 3" xfId="18876" xr:uid="{A04F4872-3941-4A9B-84B3-4144D0080EB6}"/>
    <cellStyle name="Comma 2 2 4 3 3 4 3 2" xfId="49116" xr:uid="{9B43EDC8-1773-4918-BBAC-EE9B77BB15BE}"/>
    <cellStyle name="Comma 2 2 4 3 3 4 4" xfId="33996" xr:uid="{CD9662E6-98B3-4C28-AF88-DA6D315E55DD}"/>
    <cellStyle name="Comma 2 2 4 3 3 5" xfId="5268" xr:uid="{6C9685D7-3AAC-4794-9D1E-BA0AC71ACDDA}"/>
    <cellStyle name="Comma 2 2 4 3 3 5 2" xfId="14340" xr:uid="{2C63CE71-5F83-4770-ABFE-D12B2639F112}"/>
    <cellStyle name="Comma 2 2 4 3 3 5 2 2" xfId="29460" xr:uid="{5F374961-1106-488D-A648-123E71AEADD3}"/>
    <cellStyle name="Comma 2 2 4 3 3 5 2 2 2" xfId="59700" xr:uid="{0C9470E2-3E14-4C57-B83D-D2CA77CF0CF8}"/>
    <cellStyle name="Comma 2 2 4 3 3 5 2 3" xfId="44580" xr:uid="{E6814D12-C7B8-43F6-A90E-000E5D067D34}"/>
    <cellStyle name="Comma 2 2 4 3 3 5 3" xfId="20388" xr:uid="{8049BB6C-247B-4A78-8B7A-57A8FEAE4A27}"/>
    <cellStyle name="Comma 2 2 4 3 3 5 3 2" xfId="50628" xr:uid="{558CBAB3-C934-4442-A8A1-E3953F11FD0E}"/>
    <cellStyle name="Comma 2 2 4 3 3 5 4" xfId="35508" xr:uid="{7CF26C99-0F77-4F09-A1E0-3A8440F7F696}"/>
    <cellStyle name="Comma 2 2 4 3 3 6" xfId="6780" xr:uid="{04EB1B3D-F27C-4063-BC42-6DFD799167B9}"/>
    <cellStyle name="Comma 2 2 4 3 3 6 2" xfId="21900" xr:uid="{856C0EEB-8623-4CDF-A670-5BA0644B8ADA}"/>
    <cellStyle name="Comma 2 2 4 3 3 6 2 2" xfId="52140" xr:uid="{2F7B3146-6EE9-4F94-8FA1-FEBEB0D8DBA5}"/>
    <cellStyle name="Comma 2 2 4 3 3 6 3" xfId="37020" xr:uid="{67438F4B-D10F-4BEB-AC54-2142DCF8D765}"/>
    <cellStyle name="Comma 2 2 4 3 3 7" xfId="8292" xr:uid="{B9A321DE-656F-404B-A55A-8FDC6D8BA579}"/>
    <cellStyle name="Comma 2 2 4 3 3 7 2" xfId="23412" xr:uid="{DD1E247A-8E61-425F-A11D-A941A1DC9343}"/>
    <cellStyle name="Comma 2 2 4 3 3 7 2 2" xfId="53652" xr:uid="{A47131DC-6307-4F6C-84F5-1AF14DC7E4DA}"/>
    <cellStyle name="Comma 2 2 4 3 3 7 3" xfId="38532" xr:uid="{C5D2BC75-CD47-409D-B259-56E304085596}"/>
    <cellStyle name="Comma 2 2 4 3 3 8" xfId="9804" xr:uid="{E7B2AF0A-7ECC-4044-B80D-4310BF852FA1}"/>
    <cellStyle name="Comma 2 2 4 3 3 8 2" xfId="24924" xr:uid="{2B6885E0-7A45-4EEA-9F68-4FD742425AE9}"/>
    <cellStyle name="Comma 2 2 4 3 3 8 2 2" xfId="55164" xr:uid="{88BD9061-B691-4EE6-9069-6560BF27AC10}"/>
    <cellStyle name="Comma 2 2 4 3 3 8 3" xfId="40044" xr:uid="{74C5687F-D07B-4CDD-A9E9-35413A4DE404}"/>
    <cellStyle name="Comma 2 2 4 3 3 9" xfId="15852" xr:uid="{9CF01D31-BB8C-4514-AAB1-A583909AC8D9}"/>
    <cellStyle name="Comma 2 2 4 3 3 9 2" xfId="46092" xr:uid="{786BC2B5-5837-48F1-BFC4-76053D36CFA7}"/>
    <cellStyle name="Comma 2 2 4 3 4" xfId="984" xr:uid="{523E9769-D71C-49D8-8B14-AC6DC843483E}"/>
    <cellStyle name="Comma 2 2 4 3 4 2" xfId="2496" xr:uid="{1A00B2F2-77A5-4B5D-9A99-7E7B1E56BC69}"/>
    <cellStyle name="Comma 2 2 4 3 4 2 2" xfId="11568" xr:uid="{F920E41C-5046-4FEF-8772-0BD598704752}"/>
    <cellStyle name="Comma 2 2 4 3 4 2 2 2" xfId="26688" xr:uid="{1AA08C55-0A71-4096-92CC-3D7BF081BA49}"/>
    <cellStyle name="Comma 2 2 4 3 4 2 2 2 2" xfId="56928" xr:uid="{98A33649-0C3C-4649-98EF-F914B2CCED67}"/>
    <cellStyle name="Comma 2 2 4 3 4 2 2 3" xfId="41808" xr:uid="{2227CE59-0AB5-4B06-AB7D-A6B8623666F6}"/>
    <cellStyle name="Comma 2 2 4 3 4 2 3" xfId="17616" xr:uid="{7E39B12A-065D-4179-B65E-0D713E81B6D0}"/>
    <cellStyle name="Comma 2 2 4 3 4 2 3 2" xfId="47856" xr:uid="{A01840DC-643C-4A54-8A02-5C13E29A2DEB}"/>
    <cellStyle name="Comma 2 2 4 3 4 2 4" xfId="32736" xr:uid="{A12329C4-EB69-4AF4-BA6A-B6546EF30E9A}"/>
    <cellStyle name="Comma 2 2 4 3 4 3" xfId="4008" xr:uid="{1FD4C8A6-C4EF-46EB-8DF0-7B6C07A79DB0}"/>
    <cellStyle name="Comma 2 2 4 3 4 3 2" xfId="13080" xr:uid="{31627031-B18E-41F0-96D0-EAC81CB7E413}"/>
    <cellStyle name="Comma 2 2 4 3 4 3 2 2" xfId="28200" xr:uid="{8D4CC9E7-151F-490F-8FC0-FE6EE25BEEE4}"/>
    <cellStyle name="Comma 2 2 4 3 4 3 2 2 2" xfId="58440" xr:uid="{84624652-7CFD-4D2E-9B6C-5498DB8F0F4A}"/>
    <cellStyle name="Comma 2 2 4 3 4 3 2 3" xfId="43320" xr:uid="{F6297479-D7CE-4EFE-8770-A1DF385AAD40}"/>
    <cellStyle name="Comma 2 2 4 3 4 3 3" xfId="19128" xr:uid="{45CA911D-7322-4FC3-B159-EFDCD87E0565}"/>
    <cellStyle name="Comma 2 2 4 3 4 3 3 2" xfId="49368" xr:uid="{FB98309D-1A75-4B59-A754-429435C08B66}"/>
    <cellStyle name="Comma 2 2 4 3 4 3 4" xfId="34248" xr:uid="{29D80D65-92D8-4032-A077-C5207BDD37D8}"/>
    <cellStyle name="Comma 2 2 4 3 4 4" xfId="5520" xr:uid="{17549D66-DDE6-40AA-AF9B-CF8100A22124}"/>
    <cellStyle name="Comma 2 2 4 3 4 4 2" xfId="14592" xr:uid="{64DB7A70-B82C-4336-894F-A4B4569F9521}"/>
    <cellStyle name="Comma 2 2 4 3 4 4 2 2" xfId="29712" xr:uid="{879E5252-E668-4A93-BEDE-A7B25342E67F}"/>
    <cellStyle name="Comma 2 2 4 3 4 4 2 2 2" xfId="59952" xr:uid="{0CEF76CF-483E-4E1E-93D2-7DC2F37EDC35}"/>
    <cellStyle name="Comma 2 2 4 3 4 4 2 3" xfId="44832" xr:uid="{95F0F52C-1B89-4FD7-9F14-E5924F40BBED}"/>
    <cellStyle name="Comma 2 2 4 3 4 4 3" xfId="20640" xr:uid="{29B5188F-BD8F-4D8E-904C-95399E6B1209}"/>
    <cellStyle name="Comma 2 2 4 3 4 4 3 2" xfId="50880" xr:uid="{53853CB8-AAE2-482C-8A63-C9E82C594040}"/>
    <cellStyle name="Comma 2 2 4 3 4 4 4" xfId="35760" xr:uid="{CA83A564-116A-4FC7-8C90-C5EB4E6B384E}"/>
    <cellStyle name="Comma 2 2 4 3 4 5" xfId="7032" xr:uid="{5F1F5091-7C07-4352-B67B-B77AB3622FF9}"/>
    <cellStyle name="Comma 2 2 4 3 4 5 2" xfId="22152" xr:uid="{F9FB1F38-4585-48B6-8E64-7F0139306A13}"/>
    <cellStyle name="Comma 2 2 4 3 4 5 2 2" xfId="52392" xr:uid="{0C3D9ACB-B55A-4E0E-ACED-9BC8CA58BADE}"/>
    <cellStyle name="Comma 2 2 4 3 4 5 3" xfId="37272" xr:uid="{5155AA39-1B73-4A25-B49F-534E02B4F529}"/>
    <cellStyle name="Comma 2 2 4 3 4 6" xfId="8544" xr:uid="{53736BBA-1E53-4552-8028-9AA8EFDA9462}"/>
    <cellStyle name="Comma 2 2 4 3 4 6 2" xfId="23664" xr:uid="{E0B843BA-B084-40E7-8858-1387A055ACDC}"/>
    <cellStyle name="Comma 2 2 4 3 4 6 2 2" xfId="53904" xr:uid="{889EF22E-1EE9-460D-9C38-051C35215C7B}"/>
    <cellStyle name="Comma 2 2 4 3 4 6 3" xfId="38784" xr:uid="{45DF42EE-3831-407A-B407-F66C54C554BB}"/>
    <cellStyle name="Comma 2 2 4 3 4 7" xfId="10056" xr:uid="{038721FD-D413-4B62-9CFE-1BC816B7311E}"/>
    <cellStyle name="Comma 2 2 4 3 4 7 2" xfId="25176" xr:uid="{D93D525A-2FF9-44DF-B229-63C52FE85054}"/>
    <cellStyle name="Comma 2 2 4 3 4 7 2 2" xfId="55416" xr:uid="{E189B91C-0ABB-4BF7-97D1-BB7E7B72941B}"/>
    <cellStyle name="Comma 2 2 4 3 4 7 3" xfId="40296" xr:uid="{7DA4A5BA-2713-47BE-964C-0AAD7B62AA3B}"/>
    <cellStyle name="Comma 2 2 4 3 4 8" xfId="16104" xr:uid="{50B0C4F4-67B4-4BFB-8122-10B7A7A326E5}"/>
    <cellStyle name="Comma 2 2 4 3 4 8 2" xfId="46344" xr:uid="{A82D75CC-1CF3-4343-8A02-A92503CEB310}"/>
    <cellStyle name="Comma 2 2 4 3 4 9" xfId="31224" xr:uid="{D09B3B18-86C5-464C-BAF6-63F2999E4080}"/>
    <cellStyle name="Comma 2 2 4 3 5" xfId="1740" xr:uid="{86C78A98-ADCF-49C5-AEFC-9272CA571718}"/>
    <cellStyle name="Comma 2 2 4 3 5 2" xfId="10812" xr:uid="{B4746376-6F6E-410A-BCEC-DE0299F1490B}"/>
    <cellStyle name="Comma 2 2 4 3 5 2 2" xfId="25932" xr:uid="{DE16D594-28FA-42A0-B0E3-2313C170C3C2}"/>
    <cellStyle name="Comma 2 2 4 3 5 2 2 2" xfId="56172" xr:uid="{F8108602-74F2-4BCE-A069-25761727C28A}"/>
    <cellStyle name="Comma 2 2 4 3 5 2 3" xfId="41052" xr:uid="{54A2B584-3599-4255-8FA3-D137BC06EAC6}"/>
    <cellStyle name="Comma 2 2 4 3 5 3" xfId="16860" xr:uid="{D22274C6-1188-4A4A-894A-518ED9153883}"/>
    <cellStyle name="Comma 2 2 4 3 5 3 2" xfId="47100" xr:uid="{EB63E7BF-58C7-4D6F-98E2-2E339021521F}"/>
    <cellStyle name="Comma 2 2 4 3 5 4" xfId="31980" xr:uid="{F101826D-1B00-4C47-9B66-D8AFC534BB93}"/>
    <cellStyle name="Comma 2 2 4 3 6" xfId="3252" xr:uid="{088353A2-DC75-4566-87E4-98F3F7049E53}"/>
    <cellStyle name="Comma 2 2 4 3 6 2" xfId="12324" xr:uid="{407A9693-F70E-47D3-BB91-64B32CE5858F}"/>
    <cellStyle name="Comma 2 2 4 3 6 2 2" xfId="27444" xr:uid="{D16A787F-1354-44BA-954E-FF8D700C0252}"/>
    <cellStyle name="Comma 2 2 4 3 6 2 2 2" xfId="57684" xr:uid="{3E6D5A00-54B7-4C5F-9851-33339A95B26F}"/>
    <cellStyle name="Comma 2 2 4 3 6 2 3" xfId="42564" xr:uid="{475833DD-3C5F-4EB9-9E13-D9467E3940A6}"/>
    <cellStyle name="Comma 2 2 4 3 6 3" xfId="18372" xr:uid="{940993D0-ACB0-4FEC-84D8-92690965F417}"/>
    <cellStyle name="Comma 2 2 4 3 6 3 2" xfId="48612" xr:uid="{ABF8B72E-F8C5-4A28-9E8B-0498F1914845}"/>
    <cellStyle name="Comma 2 2 4 3 6 4" xfId="33492" xr:uid="{6B406B61-D900-4542-B620-F443375BA10D}"/>
    <cellStyle name="Comma 2 2 4 3 7" xfId="4764" xr:uid="{5BC55A26-73F6-4CEB-AA9E-DB2AFCF98ACE}"/>
    <cellStyle name="Comma 2 2 4 3 7 2" xfId="13836" xr:uid="{2FCA948E-4E89-4BE7-90F1-1F2E83335DEC}"/>
    <cellStyle name="Comma 2 2 4 3 7 2 2" xfId="28956" xr:uid="{E80495D2-9312-49A2-967C-46C38C136F16}"/>
    <cellStyle name="Comma 2 2 4 3 7 2 2 2" xfId="59196" xr:uid="{3C4B7E9F-DBB6-4859-8D49-ED0A2A1F6AAD}"/>
    <cellStyle name="Comma 2 2 4 3 7 2 3" xfId="44076" xr:uid="{0FA18E0F-7B04-4199-AD2C-0479EB9ECEF9}"/>
    <cellStyle name="Comma 2 2 4 3 7 3" xfId="19884" xr:uid="{56D0C1C0-D661-4907-9751-C1CA2AAF3B5D}"/>
    <cellStyle name="Comma 2 2 4 3 7 3 2" xfId="50124" xr:uid="{1A760236-7B6B-4525-A4AB-34050032B6FC}"/>
    <cellStyle name="Comma 2 2 4 3 7 4" xfId="35004" xr:uid="{07E88EA4-21BF-4E6A-861D-CC0CFF2208DB}"/>
    <cellStyle name="Comma 2 2 4 3 8" xfId="6276" xr:uid="{0D3AB986-6088-4D9A-AD5A-28517B8B6D3E}"/>
    <cellStyle name="Comma 2 2 4 3 8 2" xfId="21396" xr:uid="{E17AC2B1-7910-4B12-ADF7-B7FCEFCC8E72}"/>
    <cellStyle name="Comma 2 2 4 3 8 2 2" xfId="51636" xr:uid="{6F478D73-3201-47A4-9B2F-A3A8B9577EBF}"/>
    <cellStyle name="Comma 2 2 4 3 8 3" xfId="36516" xr:uid="{15CD12CE-F1DE-48DB-A515-D212D311A12C}"/>
    <cellStyle name="Comma 2 2 4 3 9" xfId="7788" xr:uid="{FBA08FF6-9FAE-4F3F-82D7-DB62771D3902}"/>
    <cellStyle name="Comma 2 2 4 3 9 2" xfId="22908" xr:uid="{686D07FC-54DE-4CB5-AA67-BC09E8D6E5EB}"/>
    <cellStyle name="Comma 2 2 4 3 9 2 2" xfId="53148" xr:uid="{09928F70-B1F8-4075-9BBB-2FBF8181CBEA}"/>
    <cellStyle name="Comma 2 2 4 3 9 3" xfId="38028" xr:uid="{2AB1F582-E4F8-4B2E-806D-FADA34ED8C7C}"/>
    <cellStyle name="Comma 2 2 4 4" xfId="312" xr:uid="{11ED54F4-98C8-4F49-A21C-645570E15588}"/>
    <cellStyle name="Comma 2 2 4 4 10" xfId="30552" xr:uid="{CF7DD9E6-E8AD-4236-ACA2-515CF2ADC008}"/>
    <cellStyle name="Comma 2 2 4 4 2" xfId="1068" xr:uid="{5DCD0BA5-6C90-4BEF-B420-5C639BC4A1A4}"/>
    <cellStyle name="Comma 2 2 4 4 2 2" xfId="2580" xr:uid="{1AA32E70-C397-43D5-B6EA-C216F1747F51}"/>
    <cellStyle name="Comma 2 2 4 4 2 2 2" xfId="11652" xr:uid="{C7D2FCA5-A64D-4647-98D0-ACAA5420E035}"/>
    <cellStyle name="Comma 2 2 4 4 2 2 2 2" xfId="26772" xr:uid="{6B042FDE-39CF-4330-A94B-E93FD2221E08}"/>
    <cellStyle name="Comma 2 2 4 4 2 2 2 2 2" xfId="57012" xr:uid="{95F0C312-5EEE-4243-8C5F-EEF026DC81DA}"/>
    <cellStyle name="Comma 2 2 4 4 2 2 2 3" xfId="41892" xr:uid="{7771E3EE-63DA-40D0-A87C-AEB881BB947F}"/>
    <cellStyle name="Comma 2 2 4 4 2 2 3" xfId="17700" xr:uid="{E35B76D6-5911-43A5-A9B3-0B0F33D4AF47}"/>
    <cellStyle name="Comma 2 2 4 4 2 2 3 2" xfId="47940" xr:uid="{DE20F0CA-FB80-4819-9A0F-E1AAE9371331}"/>
    <cellStyle name="Comma 2 2 4 4 2 2 4" xfId="32820" xr:uid="{9650C0DF-90E5-4A8A-A69C-D72205C43592}"/>
    <cellStyle name="Comma 2 2 4 4 2 3" xfId="4092" xr:uid="{55294602-9B52-4A0C-A797-A3FD38616703}"/>
    <cellStyle name="Comma 2 2 4 4 2 3 2" xfId="13164" xr:uid="{D3DEF7F2-244F-4C30-906E-D8F0BD0738BE}"/>
    <cellStyle name="Comma 2 2 4 4 2 3 2 2" xfId="28284" xr:uid="{6BE5E5C0-8001-4646-A91C-E42158AB92F8}"/>
    <cellStyle name="Comma 2 2 4 4 2 3 2 2 2" xfId="58524" xr:uid="{83C42D0F-5A0B-4245-B26D-FB0D0C0BA34F}"/>
    <cellStyle name="Comma 2 2 4 4 2 3 2 3" xfId="43404" xr:uid="{BE4156AE-AF70-4BA1-87FB-3CD2C27C6F3B}"/>
    <cellStyle name="Comma 2 2 4 4 2 3 3" xfId="19212" xr:uid="{0AD249A3-CF33-4FAF-B94A-C4FF66B630B4}"/>
    <cellStyle name="Comma 2 2 4 4 2 3 3 2" xfId="49452" xr:uid="{AAFDD551-65DF-48CB-94C4-944E56F84DED}"/>
    <cellStyle name="Comma 2 2 4 4 2 3 4" xfId="34332" xr:uid="{D2CE8998-6BAE-4072-A57F-1679B9A5B808}"/>
    <cellStyle name="Comma 2 2 4 4 2 4" xfId="5604" xr:uid="{704B65EB-A6DF-4FAF-A5B3-BE967CB34FDF}"/>
    <cellStyle name="Comma 2 2 4 4 2 4 2" xfId="14676" xr:uid="{DED337D7-60E5-4D81-89D6-F5187E007522}"/>
    <cellStyle name="Comma 2 2 4 4 2 4 2 2" xfId="29796" xr:uid="{C5876D2B-8873-43CF-82C3-5441B764412B}"/>
    <cellStyle name="Comma 2 2 4 4 2 4 2 2 2" xfId="60036" xr:uid="{BFCFDFCF-50D9-4FE1-9D0E-C3982CA98D85}"/>
    <cellStyle name="Comma 2 2 4 4 2 4 2 3" xfId="44916" xr:uid="{5821B483-E9BE-45D4-AF88-23380DDDCA93}"/>
    <cellStyle name="Comma 2 2 4 4 2 4 3" xfId="20724" xr:uid="{2C16D3AF-29F2-4EF1-9E4D-5BA908B95B7F}"/>
    <cellStyle name="Comma 2 2 4 4 2 4 3 2" xfId="50964" xr:uid="{73ADBAB0-BEE4-4B2B-BF11-52758809D2A2}"/>
    <cellStyle name="Comma 2 2 4 4 2 4 4" xfId="35844" xr:uid="{50C6F033-18EC-4B1D-B890-11ED03380E5B}"/>
    <cellStyle name="Comma 2 2 4 4 2 5" xfId="7116" xr:uid="{0434B7BC-9E3E-4ABD-98CB-35D1EB4A6D4F}"/>
    <cellStyle name="Comma 2 2 4 4 2 5 2" xfId="22236" xr:uid="{C85EF708-BAE6-49B2-9473-943EB3965B9D}"/>
    <cellStyle name="Comma 2 2 4 4 2 5 2 2" xfId="52476" xr:uid="{8111AEF1-7FD3-4F3B-AA4A-223698AC6838}"/>
    <cellStyle name="Comma 2 2 4 4 2 5 3" xfId="37356" xr:uid="{9085B50F-9837-47CE-8F56-D938FC949D3C}"/>
    <cellStyle name="Comma 2 2 4 4 2 6" xfId="8628" xr:uid="{EA79CDF5-0E96-4B30-A9DF-BE579705A1D0}"/>
    <cellStyle name="Comma 2 2 4 4 2 6 2" xfId="23748" xr:uid="{012AB74D-9B6E-445E-8209-87FD3BC9ED81}"/>
    <cellStyle name="Comma 2 2 4 4 2 6 2 2" xfId="53988" xr:uid="{7F975D49-6DC5-43E8-B6FE-7C9CA75AE790}"/>
    <cellStyle name="Comma 2 2 4 4 2 6 3" xfId="38868" xr:uid="{C71C3EFA-4024-4F52-98FD-5AD3AA3593AD}"/>
    <cellStyle name="Comma 2 2 4 4 2 7" xfId="10140" xr:uid="{12741814-811F-4D6B-AFD4-F611A0E18E25}"/>
    <cellStyle name="Comma 2 2 4 4 2 7 2" xfId="25260" xr:uid="{200CD8C4-B4CA-4183-AE99-6A4A01FE23C0}"/>
    <cellStyle name="Comma 2 2 4 4 2 7 2 2" xfId="55500" xr:uid="{D03AB230-3416-4AEA-AC0E-8671FEEF260C}"/>
    <cellStyle name="Comma 2 2 4 4 2 7 3" xfId="40380" xr:uid="{AA2207E4-62E6-498B-8530-518DFCA1FA1F}"/>
    <cellStyle name="Comma 2 2 4 4 2 8" xfId="16188" xr:uid="{815C4A6E-E60A-4135-85E5-2B2E5DDEAF00}"/>
    <cellStyle name="Comma 2 2 4 4 2 8 2" xfId="46428" xr:uid="{9AC65168-66B5-4E42-9F99-80E2CA67D05B}"/>
    <cellStyle name="Comma 2 2 4 4 2 9" xfId="31308" xr:uid="{A4BB9DB0-5296-4544-AE90-43176C35D095}"/>
    <cellStyle name="Comma 2 2 4 4 3" xfId="1824" xr:uid="{619E1B94-1951-4149-A67E-092B6506D4A1}"/>
    <cellStyle name="Comma 2 2 4 4 3 2" xfId="10896" xr:uid="{378A999F-68C2-4247-90BC-B2004C4566F6}"/>
    <cellStyle name="Comma 2 2 4 4 3 2 2" xfId="26016" xr:uid="{ACF8542E-F939-4349-A1E5-1A4EEEE029DF}"/>
    <cellStyle name="Comma 2 2 4 4 3 2 2 2" xfId="56256" xr:uid="{320E82AD-490A-4B96-B33A-FEB58913C2AA}"/>
    <cellStyle name="Comma 2 2 4 4 3 2 3" xfId="41136" xr:uid="{2CEEB993-EDD5-47AF-B8FF-ADAE13D4FC6D}"/>
    <cellStyle name="Comma 2 2 4 4 3 3" xfId="16944" xr:uid="{E8DD9D0E-D3C2-4773-9281-6DFF996497A0}"/>
    <cellStyle name="Comma 2 2 4 4 3 3 2" xfId="47184" xr:uid="{3FB140AC-D53D-4E8C-8D39-FBD83164DF8F}"/>
    <cellStyle name="Comma 2 2 4 4 3 4" xfId="32064" xr:uid="{C8D31C89-A737-4922-9BA3-FEACA5A39AF5}"/>
    <cellStyle name="Comma 2 2 4 4 4" xfId="3336" xr:uid="{C2681E99-A2D1-49C6-B38E-4A6306A988EA}"/>
    <cellStyle name="Comma 2 2 4 4 4 2" xfId="12408" xr:uid="{81B07DAC-C7B1-4337-A983-C74657568959}"/>
    <cellStyle name="Comma 2 2 4 4 4 2 2" xfId="27528" xr:uid="{7C68C868-B606-46DD-9B05-04EDDD8232FF}"/>
    <cellStyle name="Comma 2 2 4 4 4 2 2 2" xfId="57768" xr:uid="{3D78C217-8338-450A-8D3A-F01ACD6D7E2E}"/>
    <cellStyle name="Comma 2 2 4 4 4 2 3" xfId="42648" xr:uid="{3C9AF46F-BBB9-41F8-B92A-7AFF90F55886}"/>
    <cellStyle name="Comma 2 2 4 4 4 3" xfId="18456" xr:uid="{7F5DF9FB-6807-4BB2-AC42-67040207FC10}"/>
    <cellStyle name="Comma 2 2 4 4 4 3 2" xfId="48696" xr:uid="{5D0B39F7-2B83-4F23-A3CB-B3E06EB60C4A}"/>
    <cellStyle name="Comma 2 2 4 4 4 4" xfId="33576" xr:uid="{DAA147A5-D686-44DE-A9FE-83E4E169CA13}"/>
    <cellStyle name="Comma 2 2 4 4 5" xfId="4848" xr:uid="{4B514A48-3911-4183-B405-1C77AE48CAEE}"/>
    <cellStyle name="Comma 2 2 4 4 5 2" xfId="13920" xr:uid="{40C391B0-9AEC-4B5D-8D95-B6984178F9B7}"/>
    <cellStyle name="Comma 2 2 4 4 5 2 2" xfId="29040" xr:uid="{183BBAA1-FC25-4518-8210-0D4BB7B370D0}"/>
    <cellStyle name="Comma 2 2 4 4 5 2 2 2" xfId="59280" xr:uid="{89EA827A-5AC3-40AD-AA85-BE95D5FD457C}"/>
    <cellStyle name="Comma 2 2 4 4 5 2 3" xfId="44160" xr:uid="{BE9D72AC-71E1-462C-A153-BE3469AD57DD}"/>
    <cellStyle name="Comma 2 2 4 4 5 3" xfId="19968" xr:uid="{73D9177D-87FE-40B3-B1D4-A81397E32AFC}"/>
    <cellStyle name="Comma 2 2 4 4 5 3 2" xfId="50208" xr:uid="{AF75FB01-E627-4B78-BBAA-362CD0721213}"/>
    <cellStyle name="Comma 2 2 4 4 5 4" xfId="35088" xr:uid="{0C9F61C6-2828-4557-B45B-4577581F7D8D}"/>
    <cellStyle name="Comma 2 2 4 4 6" xfId="6360" xr:uid="{33882698-BCE4-4C9B-9211-86A567EE8771}"/>
    <cellStyle name="Comma 2 2 4 4 6 2" xfId="21480" xr:uid="{331840DC-CC2F-4A60-A1B3-C44CE75D9356}"/>
    <cellStyle name="Comma 2 2 4 4 6 2 2" xfId="51720" xr:uid="{EB4B2508-83C4-4191-901F-B0A4363254B1}"/>
    <cellStyle name="Comma 2 2 4 4 6 3" xfId="36600" xr:uid="{098C55BE-4907-41BD-BE8B-8AC9FA19B018}"/>
    <cellStyle name="Comma 2 2 4 4 7" xfId="7872" xr:uid="{5FD69DE1-520D-4FEF-BB5F-657EB877A889}"/>
    <cellStyle name="Comma 2 2 4 4 7 2" xfId="22992" xr:uid="{E4507498-843E-4347-9072-8E43C2276BC6}"/>
    <cellStyle name="Comma 2 2 4 4 7 2 2" xfId="53232" xr:uid="{8CE6DF12-1DF5-4DBE-AFAF-D2073EB2FC83}"/>
    <cellStyle name="Comma 2 2 4 4 7 3" xfId="38112" xr:uid="{28824A11-3E44-4C4F-966A-90E692E4C815}"/>
    <cellStyle name="Comma 2 2 4 4 8" xfId="9384" xr:uid="{5C95E773-3158-4777-B8E6-F76B0F0F5CD2}"/>
    <cellStyle name="Comma 2 2 4 4 8 2" xfId="24504" xr:uid="{5E6B318B-4A35-4F64-8CFE-4920516DD039}"/>
    <cellStyle name="Comma 2 2 4 4 8 2 2" xfId="54744" xr:uid="{BB2C5359-4E79-4BA6-9486-81DA889F9333}"/>
    <cellStyle name="Comma 2 2 4 4 8 3" xfId="39624" xr:uid="{1F1DBEDB-8AA6-423B-9E3A-D36310BC1B47}"/>
    <cellStyle name="Comma 2 2 4 4 9" xfId="15432" xr:uid="{6F55B5F0-96E9-48AB-ABAB-FC425660B9FD}"/>
    <cellStyle name="Comma 2 2 4 4 9 2" xfId="45672" xr:uid="{EEEE44E8-E4D8-433C-89BF-7990036232E6}"/>
    <cellStyle name="Comma 2 2 4 5" xfId="564" xr:uid="{103808EB-587C-45CF-AA6E-57D882AC2245}"/>
    <cellStyle name="Comma 2 2 4 5 10" xfId="30804" xr:uid="{04AAE35C-9028-429B-AC53-ED86F61113A3}"/>
    <cellStyle name="Comma 2 2 4 5 2" xfId="1320" xr:uid="{B357BB23-BF91-499A-95A8-8EE6F4354401}"/>
    <cellStyle name="Comma 2 2 4 5 2 2" xfId="2832" xr:uid="{489C8F5B-6DAB-4290-A37E-0567A5AD089B}"/>
    <cellStyle name="Comma 2 2 4 5 2 2 2" xfId="11904" xr:uid="{C59B18B0-C050-44CD-AEC1-49603953E63E}"/>
    <cellStyle name="Comma 2 2 4 5 2 2 2 2" xfId="27024" xr:uid="{C6D51852-44FE-41BE-A7E8-FEF2A3BEEDC4}"/>
    <cellStyle name="Comma 2 2 4 5 2 2 2 2 2" xfId="57264" xr:uid="{4E39315E-6728-4770-9912-BA39AC175758}"/>
    <cellStyle name="Comma 2 2 4 5 2 2 2 3" xfId="42144" xr:uid="{E7BB6FD3-6CAB-4225-8B10-320432B38894}"/>
    <cellStyle name="Comma 2 2 4 5 2 2 3" xfId="17952" xr:uid="{A35D0E90-1178-4B6A-B8E1-A7B108918EBD}"/>
    <cellStyle name="Comma 2 2 4 5 2 2 3 2" xfId="48192" xr:uid="{692C501F-54AF-4507-90EB-9206DBC965F3}"/>
    <cellStyle name="Comma 2 2 4 5 2 2 4" xfId="33072" xr:uid="{AB3A0B5A-3449-4B20-9A7B-56BB395FE304}"/>
    <cellStyle name="Comma 2 2 4 5 2 3" xfId="4344" xr:uid="{09788289-39C8-4E64-A4A3-C4C37CF33A07}"/>
    <cellStyle name="Comma 2 2 4 5 2 3 2" xfId="13416" xr:uid="{56D73558-4669-4F12-9C74-A3ADE77AA6CE}"/>
    <cellStyle name="Comma 2 2 4 5 2 3 2 2" xfId="28536" xr:uid="{77079C45-2D62-45F8-B6C1-356D95EF0F5E}"/>
    <cellStyle name="Comma 2 2 4 5 2 3 2 2 2" xfId="58776" xr:uid="{86CBA939-703A-4904-9241-7F86AE4C4118}"/>
    <cellStyle name="Comma 2 2 4 5 2 3 2 3" xfId="43656" xr:uid="{2FDF9B61-8421-42D1-8AFA-88E0CB042153}"/>
    <cellStyle name="Comma 2 2 4 5 2 3 3" xfId="19464" xr:uid="{3DDC5B4B-3AB0-47EE-A4B9-252C7BA2E6B4}"/>
    <cellStyle name="Comma 2 2 4 5 2 3 3 2" xfId="49704" xr:uid="{0F1C977C-3DB9-40D4-A638-152C9E8374F6}"/>
    <cellStyle name="Comma 2 2 4 5 2 3 4" xfId="34584" xr:uid="{FD023AB5-E1BE-4793-8433-97D1C6325025}"/>
    <cellStyle name="Comma 2 2 4 5 2 4" xfId="5856" xr:uid="{C0DC4885-1917-4511-8A81-769DE7E506BF}"/>
    <cellStyle name="Comma 2 2 4 5 2 4 2" xfId="14928" xr:uid="{709C2728-6865-4294-918D-C3D3DDAEF670}"/>
    <cellStyle name="Comma 2 2 4 5 2 4 2 2" xfId="30048" xr:uid="{7B872CC2-44F9-4A98-92E4-7A44DBC617D2}"/>
    <cellStyle name="Comma 2 2 4 5 2 4 2 2 2" xfId="60288" xr:uid="{716B6DF7-4BD1-48E5-8018-FE86D7E12427}"/>
    <cellStyle name="Comma 2 2 4 5 2 4 2 3" xfId="45168" xr:uid="{F20A5067-34EE-465F-AB0A-EE6C36BF5E77}"/>
    <cellStyle name="Comma 2 2 4 5 2 4 3" xfId="20976" xr:uid="{4EE22F1E-AAC2-4144-BB95-316898D7DFFE}"/>
    <cellStyle name="Comma 2 2 4 5 2 4 3 2" xfId="51216" xr:uid="{55BEE2C7-DD7B-408A-A74F-E19BD8B8CE09}"/>
    <cellStyle name="Comma 2 2 4 5 2 4 4" xfId="36096" xr:uid="{E3D5C6D1-B9D0-4FF2-9E76-1A5F1CF1D761}"/>
    <cellStyle name="Comma 2 2 4 5 2 5" xfId="7368" xr:uid="{26837167-ADD5-4D37-8672-B91DA2F6A8D7}"/>
    <cellStyle name="Comma 2 2 4 5 2 5 2" xfId="22488" xr:uid="{9104CB89-AF94-4CB5-BC2A-D8E3FE7CDF88}"/>
    <cellStyle name="Comma 2 2 4 5 2 5 2 2" xfId="52728" xr:uid="{FEC9D032-7C39-493B-911F-0275A64ADDD9}"/>
    <cellStyle name="Comma 2 2 4 5 2 5 3" xfId="37608" xr:uid="{188AD5F6-26B6-405A-9725-A5AC2DC8E886}"/>
    <cellStyle name="Comma 2 2 4 5 2 6" xfId="8880" xr:uid="{99A2BD5C-FFA7-43FC-B1BB-FE8C3B56215E}"/>
    <cellStyle name="Comma 2 2 4 5 2 6 2" xfId="24000" xr:uid="{8BAB1546-FC7B-49BF-BA94-761DB36388C7}"/>
    <cellStyle name="Comma 2 2 4 5 2 6 2 2" xfId="54240" xr:uid="{44716909-FDBE-4E2D-8F7A-04C43D94E5EE}"/>
    <cellStyle name="Comma 2 2 4 5 2 6 3" xfId="39120" xr:uid="{B2428B82-FA1C-461A-84FA-32CA601A8DF8}"/>
    <cellStyle name="Comma 2 2 4 5 2 7" xfId="10392" xr:uid="{E07C61B6-1409-40E4-A07B-3089E20BDEC7}"/>
    <cellStyle name="Comma 2 2 4 5 2 7 2" xfId="25512" xr:uid="{222167C9-726F-4407-A807-3315E6ECB7FC}"/>
    <cellStyle name="Comma 2 2 4 5 2 7 2 2" xfId="55752" xr:uid="{6FB9C1E9-3C87-4950-836B-1C62B5E5781B}"/>
    <cellStyle name="Comma 2 2 4 5 2 7 3" xfId="40632" xr:uid="{182F5EED-A6E9-4D0C-B502-6377E5685A5A}"/>
    <cellStyle name="Comma 2 2 4 5 2 8" xfId="16440" xr:uid="{9A3D596A-3664-40DB-A3E2-642CB613A9F0}"/>
    <cellStyle name="Comma 2 2 4 5 2 8 2" xfId="46680" xr:uid="{EA8E2B45-46CC-4180-8D95-6AE8BDC986FD}"/>
    <cellStyle name="Comma 2 2 4 5 2 9" xfId="31560" xr:uid="{30A03081-093D-4710-B0FC-0EAD107A8D0D}"/>
    <cellStyle name="Comma 2 2 4 5 3" xfId="2076" xr:uid="{26F4DA9C-FFA3-4E93-B467-1EC8FC9F92EE}"/>
    <cellStyle name="Comma 2 2 4 5 3 2" xfId="11148" xr:uid="{258846B6-5F1E-436D-B37B-D44376FD99B8}"/>
    <cellStyle name="Comma 2 2 4 5 3 2 2" xfId="26268" xr:uid="{16A1FF0D-719F-4EFE-8A7A-AC1227841835}"/>
    <cellStyle name="Comma 2 2 4 5 3 2 2 2" xfId="56508" xr:uid="{8FBDDC89-C750-4825-9059-CBCEF37B05AF}"/>
    <cellStyle name="Comma 2 2 4 5 3 2 3" xfId="41388" xr:uid="{0A4917A4-F8F9-44DE-AB26-B24F3204A11E}"/>
    <cellStyle name="Comma 2 2 4 5 3 3" xfId="17196" xr:uid="{CFC3856E-2425-4712-BC79-50226DDD617B}"/>
    <cellStyle name="Comma 2 2 4 5 3 3 2" xfId="47436" xr:uid="{F1FAE73D-7FBB-42B2-98D0-16A45527603B}"/>
    <cellStyle name="Comma 2 2 4 5 3 4" xfId="32316" xr:uid="{0BF32D79-B9B4-4525-8EF5-BA27FE7CA0FC}"/>
    <cellStyle name="Comma 2 2 4 5 4" xfId="3588" xr:uid="{72273584-7075-4C37-8BB7-DB6279E12638}"/>
    <cellStyle name="Comma 2 2 4 5 4 2" xfId="12660" xr:uid="{575D9AD5-E5AC-42D2-AD42-63720EC36BD3}"/>
    <cellStyle name="Comma 2 2 4 5 4 2 2" xfId="27780" xr:uid="{CEA10A33-A69C-40A4-A7EB-293F17222BD4}"/>
    <cellStyle name="Comma 2 2 4 5 4 2 2 2" xfId="58020" xr:uid="{4FF1E075-69C8-48F5-9935-AA2BDAC66DE8}"/>
    <cellStyle name="Comma 2 2 4 5 4 2 3" xfId="42900" xr:uid="{6D909903-DD89-4075-ADD4-1D791308E8B6}"/>
    <cellStyle name="Comma 2 2 4 5 4 3" xfId="18708" xr:uid="{0F375C23-7768-479D-A42C-DC94A1CFFFE8}"/>
    <cellStyle name="Comma 2 2 4 5 4 3 2" xfId="48948" xr:uid="{30F51E40-1EB2-4830-8162-46435C6453DE}"/>
    <cellStyle name="Comma 2 2 4 5 4 4" xfId="33828" xr:uid="{EDF7F56F-7DBC-4FB7-AD89-8FF5007D395C}"/>
    <cellStyle name="Comma 2 2 4 5 5" xfId="5100" xr:uid="{4B4B4B91-5BB3-4ED0-8C2C-89E4F1C0DAB2}"/>
    <cellStyle name="Comma 2 2 4 5 5 2" xfId="14172" xr:uid="{1EB11CAB-876D-4F89-BD49-32F41A402674}"/>
    <cellStyle name="Comma 2 2 4 5 5 2 2" xfId="29292" xr:uid="{23ED8358-0CC0-4CDF-B4F4-59023B45AFE6}"/>
    <cellStyle name="Comma 2 2 4 5 5 2 2 2" xfId="59532" xr:uid="{26CE2FEB-91C6-483C-BC1F-5112E0551850}"/>
    <cellStyle name="Comma 2 2 4 5 5 2 3" xfId="44412" xr:uid="{F11B562C-5411-44AB-837E-22F6B983C89E}"/>
    <cellStyle name="Comma 2 2 4 5 5 3" xfId="20220" xr:uid="{04AC6759-FE07-4D5E-9ADA-6EEFAFA43317}"/>
    <cellStyle name="Comma 2 2 4 5 5 3 2" xfId="50460" xr:uid="{E3558A79-D110-4D5E-955E-729EC14EFFEA}"/>
    <cellStyle name="Comma 2 2 4 5 5 4" xfId="35340" xr:uid="{4E5DF3CE-C52F-431C-80E5-F2F1037B444E}"/>
    <cellStyle name="Comma 2 2 4 5 6" xfId="6612" xr:uid="{FD29E698-A450-4CE7-8ECC-00DFAAF84FE3}"/>
    <cellStyle name="Comma 2 2 4 5 6 2" xfId="21732" xr:uid="{D8DA875E-600C-46B4-B519-A9C315B2B41B}"/>
    <cellStyle name="Comma 2 2 4 5 6 2 2" xfId="51972" xr:uid="{D76C674B-54E0-40A7-A911-EF7D4DA64D1F}"/>
    <cellStyle name="Comma 2 2 4 5 6 3" xfId="36852" xr:uid="{0A479E9E-F01F-4BE8-B545-F2FA5BDA76C2}"/>
    <cellStyle name="Comma 2 2 4 5 7" xfId="8124" xr:uid="{C482A979-56F4-4084-A51D-029FBBA032E6}"/>
    <cellStyle name="Comma 2 2 4 5 7 2" xfId="23244" xr:uid="{57505476-9564-4C53-98B6-3BAC0F26AD61}"/>
    <cellStyle name="Comma 2 2 4 5 7 2 2" xfId="53484" xr:uid="{EDB489BB-7C10-4A1A-9D6F-164ECCB079D7}"/>
    <cellStyle name="Comma 2 2 4 5 7 3" xfId="38364" xr:uid="{915475AE-8AA3-437E-93CD-EC99A107F5EA}"/>
    <cellStyle name="Comma 2 2 4 5 8" xfId="9636" xr:uid="{720109CB-499D-4FDA-926A-5608C8299B0B}"/>
    <cellStyle name="Comma 2 2 4 5 8 2" xfId="24756" xr:uid="{C2BFAF52-99B8-43B4-B4AA-6C5296EC2C2E}"/>
    <cellStyle name="Comma 2 2 4 5 8 2 2" xfId="54996" xr:uid="{FAFAE71B-523C-4FF3-BAA1-E784A859EC73}"/>
    <cellStyle name="Comma 2 2 4 5 8 3" xfId="39876" xr:uid="{E18D6F1C-D1F5-44A6-B9B5-089E6AE883FA}"/>
    <cellStyle name="Comma 2 2 4 5 9" xfId="15684" xr:uid="{9890D000-5856-4A54-B9F3-B4B9D7B68F5C}"/>
    <cellStyle name="Comma 2 2 4 5 9 2" xfId="45924" xr:uid="{1B07E6A5-C50D-403C-838C-24C4160B6A7F}"/>
    <cellStyle name="Comma 2 2 4 6" xfId="816" xr:uid="{610A8907-281F-4E1B-A83A-7BCEC78DCD96}"/>
    <cellStyle name="Comma 2 2 4 6 2" xfId="2328" xr:uid="{43BA0AD0-A6FD-45ED-97C8-32653C33BA89}"/>
    <cellStyle name="Comma 2 2 4 6 2 2" xfId="11400" xr:uid="{9AE24B9A-752A-4AF9-92C6-2F283AD8A262}"/>
    <cellStyle name="Comma 2 2 4 6 2 2 2" xfId="26520" xr:uid="{E3BB16F3-81AD-4B58-814B-F6B0111FEB4E}"/>
    <cellStyle name="Comma 2 2 4 6 2 2 2 2" xfId="56760" xr:uid="{34A8A837-C260-40A2-8AE1-7F32E19EA91D}"/>
    <cellStyle name="Comma 2 2 4 6 2 2 3" xfId="41640" xr:uid="{B7EFE97B-81E5-4120-85DB-BD18830E7C87}"/>
    <cellStyle name="Comma 2 2 4 6 2 3" xfId="17448" xr:uid="{EB7CE497-389F-4DB3-A4BF-59B52E9BE3DB}"/>
    <cellStyle name="Comma 2 2 4 6 2 3 2" xfId="47688" xr:uid="{9564FC7E-A4C5-4E5E-A294-7E705275F2DB}"/>
    <cellStyle name="Comma 2 2 4 6 2 4" xfId="32568" xr:uid="{A4F1F84C-D2EE-44E4-9D6A-F77CCDA55C97}"/>
    <cellStyle name="Comma 2 2 4 6 3" xfId="3840" xr:uid="{AB1AED42-8D9D-4330-8A32-1B0DC01E1C77}"/>
    <cellStyle name="Comma 2 2 4 6 3 2" xfId="12912" xr:uid="{A953B422-2D26-4A99-85A9-BB429FE0D22F}"/>
    <cellStyle name="Comma 2 2 4 6 3 2 2" xfId="28032" xr:uid="{78DCEB62-8CCC-4D80-B3B3-189DBE5CB40F}"/>
    <cellStyle name="Comma 2 2 4 6 3 2 2 2" xfId="58272" xr:uid="{56CA36DE-E2D0-42F6-AE1B-0E534A162D7B}"/>
    <cellStyle name="Comma 2 2 4 6 3 2 3" xfId="43152" xr:uid="{A5244A73-439A-485C-B906-CB2387219D46}"/>
    <cellStyle name="Comma 2 2 4 6 3 3" xfId="18960" xr:uid="{C197C71D-2DD0-486E-A7AC-873CB81CB6A0}"/>
    <cellStyle name="Comma 2 2 4 6 3 3 2" xfId="49200" xr:uid="{02881D2B-6B60-40AD-9530-2B36E81A77A0}"/>
    <cellStyle name="Comma 2 2 4 6 3 4" xfId="34080" xr:uid="{652A8A72-7FB2-479C-B924-59DEE4DE99E2}"/>
    <cellStyle name="Comma 2 2 4 6 4" xfId="5352" xr:uid="{96CE8B97-B753-4A88-9E17-6BAFCD4E7D11}"/>
    <cellStyle name="Comma 2 2 4 6 4 2" xfId="14424" xr:uid="{9D84718F-6F04-4A6E-929A-22F6F7288ADD}"/>
    <cellStyle name="Comma 2 2 4 6 4 2 2" xfId="29544" xr:uid="{841603E6-3576-4CD2-8612-801756E3DCCC}"/>
    <cellStyle name="Comma 2 2 4 6 4 2 2 2" xfId="59784" xr:uid="{8D2C4239-AF3D-4772-B80C-3973F916D456}"/>
    <cellStyle name="Comma 2 2 4 6 4 2 3" xfId="44664" xr:uid="{4F1BF249-B0C7-4129-B5CE-A6E479E58F7E}"/>
    <cellStyle name="Comma 2 2 4 6 4 3" xfId="20472" xr:uid="{CD9CAE6F-3C16-4DC2-B877-65D4E16EB4A6}"/>
    <cellStyle name="Comma 2 2 4 6 4 3 2" xfId="50712" xr:uid="{E5B07A97-76D6-4690-AB72-2330C3C485D7}"/>
    <cellStyle name="Comma 2 2 4 6 4 4" xfId="35592" xr:uid="{B25C3DBA-E959-4373-AEEA-C78C2854F0DD}"/>
    <cellStyle name="Comma 2 2 4 6 5" xfId="6864" xr:uid="{A7FC41AB-3ACD-4419-B69B-FB74A75B774D}"/>
    <cellStyle name="Comma 2 2 4 6 5 2" xfId="21984" xr:uid="{FE8D9925-155F-4444-B148-FF7EB7E363FB}"/>
    <cellStyle name="Comma 2 2 4 6 5 2 2" xfId="52224" xr:uid="{61A8E08D-3AC6-4593-974B-6450E5E0843E}"/>
    <cellStyle name="Comma 2 2 4 6 5 3" xfId="37104" xr:uid="{1ACD4645-382C-4857-AED1-B97F917A15F1}"/>
    <cellStyle name="Comma 2 2 4 6 6" xfId="8376" xr:uid="{F8C44F03-16AE-480F-AF93-2C320004DECE}"/>
    <cellStyle name="Comma 2 2 4 6 6 2" xfId="23496" xr:uid="{9C576C4F-6EFE-4363-9F62-2C578CC3B80F}"/>
    <cellStyle name="Comma 2 2 4 6 6 2 2" xfId="53736" xr:uid="{EDDF10AC-ABEF-484A-869C-8B15A3697B10}"/>
    <cellStyle name="Comma 2 2 4 6 6 3" xfId="38616" xr:uid="{7851C2C1-CF86-475D-AD06-C737F3A356BF}"/>
    <cellStyle name="Comma 2 2 4 6 7" xfId="9888" xr:uid="{CA07C5E7-7D03-40EC-9009-CE1EF161079B}"/>
    <cellStyle name="Comma 2 2 4 6 7 2" xfId="25008" xr:uid="{803DE6F7-8510-4EF7-A77F-CB6B2DBF8559}"/>
    <cellStyle name="Comma 2 2 4 6 7 2 2" xfId="55248" xr:uid="{B6D470E8-6BE6-4BC0-8D73-BC053768D59A}"/>
    <cellStyle name="Comma 2 2 4 6 7 3" xfId="40128" xr:uid="{DB3F2969-5718-4621-A493-2717A1BB8FC9}"/>
    <cellStyle name="Comma 2 2 4 6 8" xfId="15936" xr:uid="{AB12F225-9619-44F4-9FAA-F3FA52EE5789}"/>
    <cellStyle name="Comma 2 2 4 6 8 2" xfId="46176" xr:uid="{55CEB00A-FB82-41A7-AECA-EA4771B00DF0}"/>
    <cellStyle name="Comma 2 2 4 6 9" xfId="31056" xr:uid="{41FA67BD-F09C-46BD-B41C-41D8E53A91D2}"/>
    <cellStyle name="Comma 2 2 4 7" xfId="1572" xr:uid="{B3475056-5209-42C2-87EF-BD6F9E0C9C24}"/>
    <cellStyle name="Comma 2 2 4 7 2" xfId="10644" xr:uid="{7F0090AF-0E6B-4E3A-9EA7-57504D467BD8}"/>
    <cellStyle name="Comma 2 2 4 7 2 2" xfId="25764" xr:uid="{7D48E218-BD26-45F6-8383-A3E9EBCC9D1D}"/>
    <cellStyle name="Comma 2 2 4 7 2 2 2" xfId="56004" xr:uid="{C95A2821-C346-446F-BB2F-D6E2F6CCC329}"/>
    <cellStyle name="Comma 2 2 4 7 2 3" xfId="40884" xr:uid="{A157CF0F-B8DD-472B-81C8-F68D8EC66956}"/>
    <cellStyle name="Comma 2 2 4 7 3" xfId="16692" xr:uid="{8209CBA3-6123-423E-867B-25E11B2563AB}"/>
    <cellStyle name="Comma 2 2 4 7 3 2" xfId="46932" xr:uid="{8CACFF40-7BBC-4C52-9961-FC46A60B4790}"/>
    <cellStyle name="Comma 2 2 4 7 4" xfId="31812" xr:uid="{40AE6AD0-DCFD-48FD-B97B-8D5A4CA9F1E8}"/>
    <cellStyle name="Comma 2 2 4 8" xfId="3084" xr:uid="{76B60E40-400F-4614-8BA1-F754B5468C0A}"/>
    <cellStyle name="Comma 2 2 4 8 2" xfId="12156" xr:uid="{6CBEB12B-B70C-4887-82A0-C04B704A5872}"/>
    <cellStyle name="Comma 2 2 4 8 2 2" xfId="27276" xr:uid="{E426E08E-7697-43A6-A1F5-02D6F5E7686C}"/>
    <cellStyle name="Comma 2 2 4 8 2 2 2" xfId="57516" xr:uid="{E1B12C3C-64D4-4274-BCCD-A8A857762568}"/>
    <cellStyle name="Comma 2 2 4 8 2 3" xfId="42396" xr:uid="{BEBCB658-C369-4B31-A51B-2B0D56088F79}"/>
    <cellStyle name="Comma 2 2 4 8 3" xfId="18204" xr:uid="{50B28AFE-E0B6-410C-9301-913BA7CD5F6E}"/>
    <cellStyle name="Comma 2 2 4 8 3 2" xfId="48444" xr:uid="{2F124114-0528-42D0-BC6D-8BA26A2CCAD6}"/>
    <cellStyle name="Comma 2 2 4 8 4" xfId="33324" xr:uid="{4E1B75C6-41D6-48F8-893D-A930E76B21D4}"/>
    <cellStyle name="Comma 2 2 4 9" xfId="4596" xr:uid="{E8B0F400-A65B-4334-97E3-9E36154F7D9A}"/>
    <cellStyle name="Comma 2 2 4 9 2" xfId="13668" xr:uid="{837D14F1-CEDC-4028-9C32-0AC8FD87B54E}"/>
    <cellStyle name="Comma 2 2 4 9 2 2" xfId="28788" xr:uid="{BA80AAFB-37D5-497F-A38C-3B8154E6C63E}"/>
    <cellStyle name="Comma 2 2 4 9 2 2 2" xfId="59028" xr:uid="{622FD69D-32F6-4C5D-8C9E-648306745FC3}"/>
    <cellStyle name="Comma 2 2 4 9 2 3" xfId="43908" xr:uid="{4920F83E-DF23-4F1C-BB06-217595948843}"/>
    <cellStyle name="Comma 2 2 4 9 3" xfId="19716" xr:uid="{174FF37C-8257-43A8-96B1-50EC84F62DB5}"/>
    <cellStyle name="Comma 2 2 4 9 3 2" xfId="49956" xr:uid="{BA5FA3E1-18FB-47EB-97F2-5E1C463B59FF}"/>
    <cellStyle name="Comma 2 2 4 9 4" xfId="34836" xr:uid="{4261E785-DE15-49AD-8AF1-715971396926}"/>
    <cellStyle name="Comma 2 2 5" xfId="102" xr:uid="{636E3749-3ACD-4697-93BF-2E3EB8A2A43A}"/>
    <cellStyle name="Comma 2 2 5 10" xfId="9174" xr:uid="{82295827-3D26-4528-AA20-8DB51B4DA460}"/>
    <cellStyle name="Comma 2 2 5 10 2" xfId="24294" xr:uid="{F1D1E1B9-AC43-4109-B225-1848EC534DD8}"/>
    <cellStyle name="Comma 2 2 5 10 2 2" xfId="54534" xr:uid="{9C46167A-6C24-44A4-81E9-20EBBB6144F6}"/>
    <cellStyle name="Comma 2 2 5 10 3" xfId="39414" xr:uid="{057A7FFA-8CF3-42C3-A757-D2A2A15B1422}"/>
    <cellStyle name="Comma 2 2 5 11" xfId="15222" xr:uid="{931863C7-E642-402D-B4A9-4A6C68FF651B}"/>
    <cellStyle name="Comma 2 2 5 11 2" xfId="45462" xr:uid="{C2A18A68-D4B6-4E87-A0D0-32E42FBE4214}"/>
    <cellStyle name="Comma 2 2 5 12" xfId="30342" xr:uid="{5155A808-8869-4DF3-97BF-3EDA9F1D1B75}"/>
    <cellStyle name="Comma 2 2 5 2" xfId="354" xr:uid="{953A9262-E732-4B8F-A99C-BFDF92856698}"/>
    <cellStyle name="Comma 2 2 5 2 10" xfId="30594" xr:uid="{2BEACE6E-5517-45B3-9AC3-3F05C362FE17}"/>
    <cellStyle name="Comma 2 2 5 2 2" xfId="1110" xr:uid="{2A2EF99B-98E7-4D27-A649-503C8F7D688C}"/>
    <cellStyle name="Comma 2 2 5 2 2 2" xfId="2622" xr:uid="{971D8696-F1EE-4A50-9350-3CD1C6B60924}"/>
    <cellStyle name="Comma 2 2 5 2 2 2 2" xfId="11694" xr:uid="{A8489D97-977F-4AB1-9D0F-052CCF4943DD}"/>
    <cellStyle name="Comma 2 2 5 2 2 2 2 2" xfId="26814" xr:uid="{2337F4E0-971C-4881-85D6-5C3FC04BC482}"/>
    <cellStyle name="Comma 2 2 5 2 2 2 2 2 2" xfId="57054" xr:uid="{9875B1A0-7370-461A-BD2D-77F86116AB00}"/>
    <cellStyle name="Comma 2 2 5 2 2 2 2 3" xfId="41934" xr:uid="{023C3728-28A9-4454-915B-EECF7878BBFE}"/>
    <cellStyle name="Comma 2 2 5 2 2 2 3" xfId="17742" xr:uid="{883EA20D-B7D5-46FE-8539-29FB18FC02CB}"/>
    <cellStyle name="Comma 2 2 5 2 2 2 3 2" xfId="47982" xr:uid="{5E059325-835D-4B79-8EA0-6C9ECAE776AC}"/>
    <cellStyle name="Comma 2 2 5 2 2 2 4" xfId="32862" xr:uid="{8D770C54-D4DD-4951-BE19-DAD6DC988BEE}"/>
    <cellStyle name="Comma 2 2 5 2 2 3" xfId="4134" xr:uid="{05F159C3-F87A-4899-9801-D82558FA743D}"/>
    <cellStyle name="Comma 2 2 5 2 2 3 2" xfId="13206" xr:uid="{40374C57-317A-4671-9031-1F6DD9F24303}"/>
    <cellStyle name="Comma 2 2 5 2 2 3 2 2" xfId="28326" xr:uid="{B1E3F202-48C2-495E-BD46-F82B82D695E4}"/>
    <cellStyle name="Comma 2 2 5 2 2 3 2 2 2" xfId="58566" xr:uid="{B7080B65-3773-4A77-AFAC-286E0FC36576}"/>
    <cellStyle name="Comma 2 2 5 2 2 3 2 3" xfId="43446" xr:uid="{D2AA0E74-65D6-4330-ABE0-DDDCE8188853}"/>
    <cellStyle name="Comma 2 2 5 2 2 3 3" xfId="19254" xr:uid="{B09709A3-946E-4863-B490-D239C14C92AC}"/>
    <cellStyle name="Comma 2 2 5 2 2 3 3 2" xfId="49494" xr:uid="{85E599BE-3945-4626-9EFF-CB6620C61849}"/>
    <cellStyle name="Comma 2 2 5 2 2 3 4" xfId="34374" xr:uid="{4986E16E-DD7F-482C-A39A-8B6D1D0B9690}"/>
    <cellStyle name="Comma 2 2 5 2 2 4" xfId="5646" xr:uid="{0CBE5969-6D61-4ADD-98E0-92F7C6AC02CA}"/>
    <cellStyle name="Comma 2 2 5 2 2 4 2" xfId="14718" xr:uid="{6A2DF257-B41D-4AEF-9111-D13AF8ACF052}"/>
    <cellStyle name="Comma 2 2 5 2 2 4 2 2" xfId="29838" xr:uid="{03705849-6AE2-4944-B811-DE384969D2B8}"/>
    <cellStyle name="Comma 2 2 5 2 2 4 2 2 2" xfId="60078" xr:uid="{C77D2F8A-7F46-4637-9CFB-B39BDF2ED92F}"/>
    <cellStyle name="Comma 2 2 5 2 2 4 2 3" xfId="44958" xr:uid="{D2A5EA15-CF48-4799-8936-5E9901A700E3}"/>
    <cellStyle name="Comma 2 2 5 2 2 4 3" xfId="20766" xr:uid="{94D33C26-D0D5-4F62-8185-910B25752148}"/>
    <cellStyle name="Comma 2 2 5 2 2 4 3 2" xfId="51006" xr:uid="{615C3482-1E93-4A55-BB69-ED590D2AFE3D}"/>
    <cellStyle name="Comma 2 2 5 2 2 4 4" xfId="35886" xr:uid="{6D1FBB77-52F9-4CAE-A754-30133932CD4D}"/>
    <cellStyle name="Comma 2 2 5 2 2 5" xfId="7158" xr:uid="{38587BBC-B0DA-4EC0-90AF-9A628AB188DC}"/>
    <cellStyle name="Comma 2 2 5 2 2 5 2" xfId="22278" xr:uid="{F0FF8172-CF2F-4555-B4B5-A1A017DDFC95}"/>
    <cellStyle name="Comma 2 2 5 2 2 5 2 2" xfId="52518" xr:uid="{6B3CC200-BA92-4DB1-85AE-A88D6080C7C0}"/>
    <cellStyle name="Comma 2 2 5 2 2 5 3" xfId="37398" xr:uid="{8E1B4DD7-AF85-4BF2-815C-C1E577B5BE1A}"/>
    <cellStyle name="Comma 2 2 5 2 2 6" xfId="8670" xr:uid="{AFD749EE-0DCD-4AB7-8F26-EBC94D7D6C3D}"/>
    <cellStyle name="Comma 2 2 5 2 2 6 2" xfId="23790" xr:uid="{06534F1A-CA63-4C44-B4C8-2D790E5E3ECC}"/>
    <cellStyle name="Comma 2 2 5 2 2 6 2 2" xfId="54030" xr:uid="{C9A53220-31A4-412E-A2CF-14B30493825F}"/>
    <cellStyle name="Comma 2 2 5 2 2 6 3" xfId="38910" xr:uid="{6C9FC7F9-C7C5-4DEC-800E-7587C25FE694}"/>
    <cellStyle name="Comma 2 2 5 2 2 7" xfId="10182" xr:uid="{1899285D-1DBF-4C88-A304-4E09E6266FE5}"/>
    <cellStyle name="Comma 2 2 5 2 2 7 2" xfId="25302" xr:uid="{25FA2D40-D3B1-44AB-B447-A2B36951DF78}"/>
    <cellStyle name="Comma 2 2 5 2 2 7 2 2" xfId="55542" xr:uid="{8C8A34EB-D4FD-47FE-A48D-D9C8A7B4399E}"/>
    <cellStyle name="Comma 2 2 5 2 2 7 3" xfId="40422" xr:uid="{D7BCC6F8-DA24-4E16-B205-2C8A743007BF}"/>
    <cellStyle name="Comma 2 2 5 2 2 8" xfId="16230" xr:uid="{9C1B9B52-3EBD-4404-AB0C-F5C9E141DC98}"/>
    <cellStyle name="Comma 2 2 5 2 2 8 2" xfId="46470" xr:uid="{BFD59CB7-889E-4192-B1C3-28E4C899A651}"/>
    <cellStyle name="Comma 2 2 5 2 2 9" xfId="31350" xr:uid="{A6EA9589-7D97-44B2-BF4E-64B115AE33BB}"/>
    <cellStyle name="Comma 2 2 5 2 3" xfId="1866" xr:uid="{0385B3ED-D36C-41FC-89DE-F2492A6A8F78}"/>
    <cellStyle name="Comma 2 2 5 2 3 2" xfId="10938" xr:uid="{F58AABDF-4ACD-4869-821D-4D62F3E275AC}"/>
    <cellStyle name="Comma 2 2 5 2 3 2 2" xfId="26058" xr:uid="{C5D30F56-1E45-4F27-9785-287B4AE098C2}"/>
    <cellStyle name="Comma 2 2 5 2 3 2 2 2" xfId="56298" xr:uid="{7E32EF90-5C36-4AEA-A846-7599E0BABA42}"/>
    <cellStyle name="Comma 2 2 5 2 3 2 3" xfId="41178" xr:uid="{2CA6E139-BC33-43E0-B411-13F674615C22}"/>
    <cellStyle name="Comma 2 2 5 2 3 3" xfId="16986" xr:uid="{8CE177D2-EE7F-4B6E-B100-CAEA5DAD28A9}"/>
    <cellStyle name="Comma 2 2 5 2 3 3 2" xfId="47226" xr:uid="{FF1811B3-A8BD-4D5E-A5E4-DACD38B46646}"/>
    <cellStyle name="Comma 2 2 5 2 3 4" xfId="32106" xr:uid="{93AB5449-A647-4F01-8D70-BABABEB7CD6F}"/>
    <cellStyle name="Comma 2 2 5 2 4" xfId="3378" xr:uid="{791FF46C-F8B7-495B-985F-39D0A080ECD5}"/>
    <cellStyle name="Comma 2 2 5 2 4 2" xfId="12450" xr:uid="{DD095CE1-FDD7-438F-BDA4-D018D2FDC81B}"/>
    <cellStyle name="Comma 2 2 5 2 4 2 2" xfId="27570" xr:uid="{61167D6D-CC69-44B3-8619-24CDB7075949}"/>
    <cellStyle name="Comma 2 2 5 2 4 2 2 2" xfId="57810" xr:uid="{48650609-488B-4870-A22D-FC3E1D7603A6}"/>
    <cellStyle name="Comma 2 2 5 2 4 2 3" xfId="42690" xr:uid="{DF0E343C-5B3D-492C-9260-DF83938FC4BE}"/>
    <cellStyle name="Comma 2 2 5 2 4 3" xfId="18498" xr:uid="{01533791-79C9-4EE6-A532-D35BCAAA4D6A}"/>
    <cellStyle name="Comma 2 2 5 2 4 3 2" xfId="48738" xr:uid="{06AE4671-62B4-4DAF-BD4E-22A2D205823A}"/>
    <cellStyle name="Comma 2 2 5 2 4 4" xfId="33618" xr:uid="{EF506B29-27DE-4935-8407-15280C2351E0}"/>
    <cellStyle name="Comma 2 2 5 2 5" xfId="4890" xr:uid="{C8868E78-58DD-45B4-BEA2-F5D1E93DF20A}"/>
    <cellStyle name="Comma 2 2 5 2 5 2" xfId="13962" xr:uid="{186885C5-359F-4243-8C73-6ABE9AB24F00}"/>
    <cellStyle name="Comma 2 2 5 2 5 2 2" xfId="29082" xr:uid="{76172B10-283D-4F32-B623-B985AB46A6AD}"/>
    <cellStyle name="Comma 2 2 5 2 5 2 2 2" xfId="59322" xr:uid="{6CB2BB6A-B63B-42BD-A228-7649DF8470C3}"/>
    <cellStyle name="Comma 2 2 5 2 5 2 3" xfId="44202" xr:uid="{1AFF9DA5-6BAF-4B01-BC50-D2D88ABBA738}"/>
    <cellStyle name="Comma 2 2 5 2 5 3" xfId="20010" xr:uid="{FB7C8210-A082-4621-BA17-D865F6593303}"/>
    <cellStyle name="Comma 2 2 5 2 5 3 2" xfId="50250" xr:uid="{90E66F8C-CBA7-4037-9F5F-4F9BA4EEE2E9}"/>
    <cellStyle name="Comma 2 2 5 2 5 4" xfId="35130" xr:uid="{EC06465F-4466-4D77-87A0-8F733B6B7D24}"/>
    <cellStyle name="Comma 2 2 5 2 6" xfId="6402" xr:uid="{63F44FAF-5D03-4A2A-8DF7-5173779378EB}"/>
    <cellStyle name="Comma 2 2 5 2 6 2" xfId="21522" xr:uid="{DAAF8347-EF80-4135-92CF-82CE8E177BC6}"/>
    <cellStyle name="Comma 2 2 5 2 6 2 2" xfId="51762" xr:uid="{2ABF4B2B-6922-42E2-BF48-CA9A986EE766}"/>
    <cellStyle name="Comma 2 2 5 2 6 3" xfId="36642" xr:uid="{F835A4B2-BE7C-4D15-AEA0-A0475A705B41}"/>
    <cellStyle name="Comma 2 2 5 2 7" xfId="7914" xr:uid="{A38762E5-0802-46B8-A89D-019F1B66E849}"/>
    <cellStyle name="Comma 2 2 5 2 7 2" xfId="23034" xr:uid="{BB8AF662-DC55-44FD-AEFF-0AECEAEE701E}"/>
    <cellStyle name="Comma 2 2 5 2 7 2 2" xfId="53274" xr:uid="{6D1A9905-F9B2-466A-A78D-D69DBA9A7F95}"/>
    <cellStyle name="Comma 2 2 5 2 7 3" xfId="38154" xr:uid="{230DC58C-EC2B-42E5-8D44-2A154AD4E10F}"/>
    <cellStyle name="Comma 2 2 5 2 8" xfId="9426" xr:uid="{13420D1C-8631-4D65-AE39-CEA510EAAD85}"/>
    <cellStyle name="Comma 2 2 5 2 8 2" xfId="24546" xr:uid="{E2E96DB1-17CE-4CDE-B69F-815DC60D30B5}"/>
    <cellStyle name="Comma 2 2 5 2 8 2 2" xfId="54786" xr:uid="{8B85CBC1-991B-48DC-9896-C95B4711AFD1}"/>
    <cellStyle name="Comma 2 2 5 2 8 3" xfId="39666" xr:uid="{5F2EEC52-3B96-4C76-B380-D182E83CD224}"/>
    <cellStyle name="Comma 2 2 5 2 9" xfId="15474" xr:uid="{881A339A-2E85-4264-87DF-57DB16B55DAB}"/>
    <cellStyle name="Comma 2 2 5 2 9 2" xfId="45714" xr:uid="{AC2E1E2E-16D4-4046-97C7-4241B8F68275}"/>
    <cellStyle name="Comma 2 2 5 3" xfId="606" xr:uid="{7C3D0A8B-6349-4BC1-813A-0C178E9EA6EC}"/>
    <cellStyle name="Comma 2 2 5 3 10" xfId="30846" xr:uid="{AE808C79-71AB-47C3-BE69-706811B10A1A}"/>
    <cellStyle name="Comma 2 2 5 3 2" xfId="1362" xr:uid="{23111853-8B8D-4D3C-9B80-F7D78324B09F}"/>
    <cellStyle name="Comma 2 2 5 3 2 2" xfId="2874" xr:uid="{B45E9E6F-2F44-4F82-9AB9-CE543F4EBE05}"/>
    <cellStyle name="Comma 2 2 5 3 2 2 2" xfId="11946" xr:uid="{E851883F-84B2-4A8C-BEA1-E5A2DED2282B}"/>
    <cellStyle name="Comma 2 2 5 3 2 2 2 2" xfId="27066" xr:uid="{D17A03FA-7B68-41AC-B1EA-8A00BBDB8F3E}"/>
    <cellStyle name="Comma 2 2 5 3 2 2 2 2 2" xfId="57306" xr:uid="{CE09F1CA-E435-4269-890C-6888089955F1}"/>
    <cellStyle name="Comma 2 2 5 3 2 2 2 3" xfId="42186" xr:uid="{1D54F6F7-FA8C-49F9-B467-379020344687}"/>
    <cellStyle name="Comma 2 2 5 3 2 2 3" xfId="17994" xr:uid="{9157AD8E-5B3D-47E1-9D90-0E9B4DD21FCD}"/>
    <cellStyle name="Comma 2 2 5 3 2 2 3 2" xfId="48234" xr:uid="{CF24875E-626A-48A8-8691-268BAD67C265}"/>
    <cellStyle name="Comma 2 2 5 3 2 2 4" xfId="33114" xr:uid="{059A8E21-11CF-4A75-B5DA-B878B4CD51BB}"/>
    <cellStyle name="Comma 2 2 5 3 2 3" xfId="4386" xr:uid="{2AF89073-1E0A-4939-A39E-CF6B7C603247}"/>
    <cellStyle name="Comma 2 2 5 3 2 3 2" xfId="13458" xr:uid="{FC1009D6-A6EB-4FAB-A94A-A558F3F055D3}"/>
    <cellStyle name="Comma 2 2 5 3 2 3 2 2" xfId="28578" xr:uid="{375E357F-AC63-436B-9676-A51E051BAB78}"/>
    <cellStyle name="Comma 2 2 5 3 2 3 2 2 2" xfId="58818" xr:uid="{26D2EF36-9451-4CBD-8E69-4268342DB01E}"/>
    <cellStyle name="Comma 2 2 5 3 2 3 2 3" xfId="43698" xr:uid="{E5BB984A-D8EA-47FF-A1B5-58129C5F2FCE}"/>
    <cellStyle name="Comma 2 2 5 3 2 3 3" xfId="19506" xr:uid="{611B7D00-71A2-4BF3-B0D2-D241B315F14F}"/>
    <cellStyle name="Comma 2 2 5 3 2 3 3 2" xfId="49746" xr:uid="{3FAB13F6-157A-4BB9-9A4B-CA012F29C102}"/>
    <cellStyle name="Comma 2 2 5 3 2 3 4" xfId="34626" xr:uid="{3509E1F0-D78D-488C-A3EE-A2505145806E}"/>
    <cellStyle name="Comma 2 2 5 3 2 4" xfId="5898" xr:uid="{3E6FD916-6E5D-42F2-B204-0213ACE371C1}"/>
    <cellStyle name="Comma 2 2 5 3 2 4 2" xfId="14970" xr:uid="{8F3F9DB3-0D82-4A51-9EE2-4CDA35B25FE3}"/>
    <cellStyle name="Comma 2 2 5 3 2 4 2 2" xfId="30090" xr:uid="{54BDE864-84D5-4763-8D20-3A9DE967FE10}"/>
    <cellStyle name="Comma 2 2 5 3 2 4 2 2 2" xfId="60330" xr:uid="{A5255414-3935-4082-8564-EDF6EBE15610}"/>
    <cellStyle name="Comma 2 2 5 3 2 4 2 3" xfId="45210" xr:uid="{03E9AC39-04AF-4CE9-9A7F-78123A66E343}"/>
    <cellStyle name="Comma 2 2 5 3 2 4 3" xfId="21018" xr:uid="{E424222B-8006-492F-8452-3030EE53E337}"/>
    <cellStyle name="Comma 2 2 5 3 2 4 3 2" xfId="51258" xr:uid="{4E06E602-BFEA-47AB-A605-819B38072F52}"/>
    <cellStyle name="Comma 2 2 5 3 2 4 4" xfId="36138" xr:uid="{5C2F33B5-1C07-41E3-9EC9-C37480C53A2E}"/>
    <cellStyle name="Comma 2 2 5 3 2 5" xfId="7410" xr:uid="{45686F96-2E69-40F0-9C3E-233DADC5C0F6}"/>
    <cellStyle name="Comma 2 2 5 3 2 5 2" xfId="22530" xr:uid="{366C836F-4F60-47EE-A739-F077CCD74CFF}"/>
    <cellStyle name="Comma 2 2 5 3 2 5 2 2" xfId="52770" xr:uid="{98AF725A-D016-4CF3-9F41-E598B6411387}"/>
    <cellStyle name="Comma 2 2 5 3 2 5 3" xfId="37650" xr:uid="{39266AC8-D196-4657-BE8C-2099974A739C}"/>
    <cellStyle name="Comma 2 2 5 3 2 6" xfId="8922" xr:uid="{42314A7E-A75B-434A-9AFF-AD4A23D6EE19}"/>
    <cellStyle name="Comma 2 2 5 3 2 6 2" xfId="24042" xr:uid="{1E569B73-4E1D-4229-BFE0-01838D043E42}"/>
    <cellStyle name="Comma 2 2 5 3 2 6 2 2" xfId="54282" xr:uid="{B1077F0A-9FF0-44D3-9F33-76B780028E02}"/>
    <cellStyle name="Comma 2 2 5 3 2 6 3" xfId="39162" xr:uid="{2A9F6911-CCE5-4696-B085-145176B41046}"/>
    <cellStyle name="Comma 2 2 5 3 2 7" xfId="10434" xr:uid="{F809B11C-A0A1-4E09-A6AE-5E7876C61764}"/>
    <cellStyle name="Comma 2 2 5 3 2 7 2" xfId="25554" xr:uid="{E40CFEA2-B507-4E2D-ADB0-266D50B02707}"/>
    <cellStyle name="Comma 2 2 5 3 2 7 2 2" xfId="55794" xr:uid="{E67E42C9-34E2-4D02-A7A5-8A9B5D070143}"/>
    <cellStyle name="Comma 2 2 5 3 2 7 3" xfId="40674" xr:uid="{D3C46EBC-1E03-412A-AB01-13AB586ACBB7}"/>
    <cellStyle name="Comma 2 2 5 3 2 8" xfId="16482" xr:uid="{626E5887-E0CE-4357-BF54-8F888D45275B}"/>
    <cellStyle name="Comma 2 2 5 3 2 8 2" xfId="46722" xr:uid="{1F2A2F94-F9E3-4FE2-B1F8-DD027119268B}"/>
    <cellStyle name="Comma 2 2 5 3 2 9" xfId="31602" xr:uid="{C5C6A4BC-D1CE-46A9-982C-93F4EE36BE06}"/>
    <cellStyle name="Comma 2 2 5 3 3" xfId="2118" xr:uid="{6A9347E1-9051-4E04-8075-EC5F4F9BC07F}"/>
    <cellStyle name="Comma 2 2 5 3 3 2" xfId="11190" xr:uid="{8FAB9715-D287-4337-9835-B91EC83D305D}"/>
    <cellStyle name="Comma 2 2 5 3 3 2 2" xfId="26310" xr:uid="{5041451F-6F3E-42CC-9678-1421C2F2FD20}"/>
    <cellStyle name="Comma 2 2 5 3 3 2 2 2" xfId="56550" xr:uid="{664FED16-10C1-4B31-B85F-28DFCF215D34}"/>
    <cellStyle name="Comma 2 2 5 3 3 2 3" xfId="41430" xr:uid="{6CBBA93A-399B-4744-B3E7-1749C99538BB}"/>
    <cellStyle name="Comma 2 2 5 3 3 3" xfId="17238" xr:uid="{85237318-CD7C-4EF0-AF88-8555000B0638}"/>
    <cellStyle name="Comma 2 2 5 3 3 3 2" xfId="47478" xr:uid="{6B1432C9-B2AF-4213-A088-196836955E1B}"/>
    <cellStyle name="Comma 2 2 5 3 3 4" xfId="32358" xr:uid="{97D656F9-B2DE-45AE-893D-90D6F96069A9}"/>
    <cellStyle name="Comma 2 2 5 3 4" xfId="3630" xr:uid="{D085546A-7FFD-4062-B91E-C07CB492B3DC}"/>
    <cellStyle name="Comma 2 2 5 3 4 2" xfId="12702" xr:uid="{762C6849-18D6-4B2C-893D-3B3512B9EC0A}"/>
    <cellStyle name="Comma 2 2 5 3 4 2 2" xfId="27822" xr:uid="{7C71A519-5939-4C38-9805-29101E3A1166}"/>
    <cellStyle name="Comma 2 2 5 3 4 2 2 2" xfId="58062" xr:uid="{93EEBFC1-E2C4-40A0-A378-949ABD2EA029}"/>
    <cellStyle name="Comma 2 2 5 3 4 2 3" xfId="42942" xr:uid="{0D79CA45-2161-4D9A-B8FA-D7A57FA08922}"/>
    <cellStyle name="Comma 2 2 5 3 4 3" xfId="18750" xr:uid="{8D7766F4-DCDA-48CC-8910-FF938E321519}"/>
    <cellStyle name="Comma 2 2 5 3 4 3 2" xfId="48990" xr:uid="{68FC89B2-9A8F-473B-A18F-A6FACF62CD12}"/>
    <cellStyle name="Comma 2 2 5 3 4 4" xfId="33870" xr:uid="{D7C289D5-EA75-495C-B040-1E6A61CD9854}"/>
    <cellStyle name="Comma 2 2 5 3 5" xfId="5142" xr:uid="{EA52D86F-746D-4943-BE45-BC3DD60DE268}"/>
    <cellStyle name="Comma 2 2 5 3 5 2" xfId="14214" xr:uid="{C649F6E4-4E4A-4F88-AAC1-3CF466EEBBCA}"/>
    <cellStyle name="Comma 2 2 5 3 5 2 2" xfId="29334" xr:uid="{3FFB1892-2B67-4959-91CA-58BAFCAB7C8B}"/>
    <cellStyle name="Comma 2 2 5 3 5 2 2 2" xfId="59574" xr:uid="{B4E233C1-5EAA-45AE-AD79-5F5F705C63E0}"/>
    <cellStyle name="Comma 2 2 5 3 5 2 3" xfId="44454" xr:uid="{130976F3-0DF5-4007-8B74-9EE1803B6123}"/>
    <cellStyle name="Comma 2 2 5 3 5 3" xfId="20262" xr:uid="{E6A9572A-36C8-40A0-A0B4-8C8FADD57A58}"/>
    <cellStyle name="Comma 2 2 5 3 5 3 2" xfId="50502" xr:uid="{8EE745E4-0DB8-4091-9189-C75A9E105F5D}"/>
    <cellStyle name="Comma 2 2 5 3 5 4" xfId="35382" xr:uid="{FD508B73-23A3-4227-BEE9-6659C4EDED72}"/>
    <cellStyle name="Comma 2 2 5 3 6" xfId="6654" xr:uid="{8531E649-35CB-4FC8-A6EC-33E0353AF286}"/>
    <cellStyle name="Comma 2 2 5 3 6 2" xfId="21774" xr:uid="{585D0CB5-90DA-4664-9234-576566F54D9F}"/>
    <cellStyle name="Comma 2 2 5 3 6 2 2" xfId="52014" xr:uid="{A41D2A01-1DA0-4DB7-BBF7-A074B5F8D468}"/>
    <cellStyle name="Comma 2 2 5 3 6 3" xfId="36894" xr:uid="{03ACC29A-97EB-4E61-B3C8-052D66D583E4}"/>
    <cellStyle name="Comma 2 2 5 3 7" xfId="8166" xr:uid="{F92E552F-4918-403A-8083-F4FF56C52C52}"/>
    <cellStyle name="Comma 2 2 5 3 7 2" xfId="23286" xr:uid="{FB4C00BE-6B00-405D-875F-4D4C5BE9EF3A}"/>
    <cellStyle name="Comma 2 2 5 3 7 2 2" xfId="53526" xr:uid="{DD882AD7-76F1-4525-A787-3C59DC2ABA72}"/>
    <cellStyle name="Comma 2 2 5 3 7 3" xfId="38406" xr:uid="{DB9F899C-FB29-4D1C-87F9-66F2BB6537BE}"/>
    <cellStyle name="Comma 2 2 5 3 8" xfId="9678" xr:uid="{431DE1DB-3F1C-46DD-9D01-01CCF2EAB14D}"/>
    <cellStyle name="Comma 2 2 5 3 8 2" xfId="24798" xr:uid="{C35A54ED-57B1-48F2-958B-B9CAF5F1655E}"/>
    <cellStyle name="Comma 2 2 5 3 8 2 2" xfId="55038" xr:uid="{BFE0AA4D-9A30-45FE-985E-E1F822BDCD3D}"/>
    <cellStyle name="Comma 2 2 5 3 8 3" xfId="39918" xr:uid="{A016D46C-7DE3-4FC2-85FB-06BC3714DC35}"/>
    <cellStyle name="Comma 2 2 5 3 9" xfId="15726" xr:uid="{6A421EF5-D03C-4676-A31A-C2F72E7EBE90}"/>
    <cellStyle name="Comma 2 2 5 3 9 2" xfId="45966" xr:uid="{436057B3-4E9E-4493-8261-1D8231EB8C93}"/>
    <cellStyle name="Comma 2 2 5 4" xfId="858" xr:uid="{8B115FD0-0963-459E-A416-E55385B4A788}"/>
    <cellStyle name="Comma 2 2 5 4 2" xfId="2370" xr:uid="{5887DA26-B574-41B1-8B37-C45CB0FE44B3}"/>
    <cellStyle name="Comma 2 2 5 4 2 2" xfId="11442" xr:uid="{0B04994F-1852-448F-95ED-98A2CEF8691F}"/>
    <cellStyle name="Comma 2 2 5 4 2 2 2" xfId="26562" xr:uid="{7B9EBF63-16B4-4DB5-B54B-932A16E234BE}"/>
    <cellStyle name="Comma 2 2 5 4 2 2 2 2" xfId="56802" xr:uid="{8F82D8D7-D103-4A84-AC17-70ED9EEB2DCE}"/>
    <cellStyle name="Comma 2 2 5 4 2 2 3" xfId="41682" xr:uid="{23A1711D-A9D5-4A1B-8C0D-0F55522E9957}"/>
    <cellStyle name="Comma 2 2 5 4 2 3" xfId="17490" xr:uid="{B15C172B-95C2-4F9D-91CD-000861820994}"/>
    <cellStyle name="Comma 2 2 5 4 2 3 2" xfId="47730" xr:uid="{B25BE897-174D-4E5E-B464-ABA03E9C0409}"/>
    <cellStyle name="Comma 2 2 5 4 2 4" xfId="32610" xr:uid="{1C296148-A696-4020-A382-1E79D92C6B67}"/>
    <cellStyle name="Comma 2 2 5 4 3" xfId="3882" xr:uid="{8A2D89DA-8C9E-4AD2-9C09-DF23080A5345}"/>
    <cellStyle name="Comma 2 2 5 4 3 2" xfId="12954" xr:uid="{709509E7-4163-4343-8141-4533903F52D5}"/>
    <cellStyle name="Comma 2 2 5 4 3 2 2" xfId="28074" xr:uid="{2950050D-A092-421F-A598-3B2D9460FA06}"/>
    <cellStyle name="Comma 2 2 5 4 3 2 2 2" xfId="58314" xr:uid="{536969BB-1EFC-4A09-861D-8CEDF3FD1E87}"/>
    <cellStyle name="Comma 2 2 5 4 3 2 3" xfId="43194" xr:uid="{0FCE8F8D-FA43-4B41-A35B-4A7165912672}"/>
    <cellStyle name="Comma 2 2 5 4 3 3" xfId="19002" xr:uid="{4FE6E9EC-DE37-405A-B448-872221C2A9AA}"/>
    <cellStyle name="Comma 2 2 5 4 3 3 2" xfId="49242" xr:uid="{338380CC-C569-4FEF-98A9-92BCA0340377}"/>
    <cellStyle name="Comma 2 2 5 4 3 4" xfId="34122" xr:uid="{2EDFA50F-3948-442E-909A-1E56AB399B45}"/>
    <cellStyle name="Comma 2 2 5 4 4" xfId="5394" xr:uid="{89503B58-1497-4C98-87F5-2C296CED9509}"/>
    <cellStyle name="Comma 2 2 5 4 4 2" xfId="14466" xr:uid="{83B7BC1B-6A13-4D4B-ACE7-79CB1E145A3C}"/>
    <cellStyle name="Comma 2 2 5 4 4 2 2" xfId="29586" xr:uid="{CFEB5437-FF47-4E05-91C4-67686DA0A2BA}"/>
    <cellStyle name="Comma 2 2 5 4 4 2 2 2" xfId="59826" xr:uid="{61F56B52-3411-4FC5-A9EA-F6FC41C8CDC4}"/>
    <cellStyle name="Comma 2 2 5 4 4 2 3" xfId="44706" xr:uid="{C117CDDC-4DCF-4C6B-8A0C-AA803DE905E1}"/>
    <cellStyle name="Comma 2 2 5 4 4 3" xfId="20514" xr:uid="{74F308BB-575E-4E0F-B717-0FC94BD5C127}"/>
    <cellStyle name="Comma 2 2 5 4 4 3 2" xfId="50754" xr:uid="{BF5C1F39-1298-4B76-944D-5E58CAF22F9B}"/>
    <cellStyle name="Comma 2 2 5 4 4 4" xfId="35634" xr:uid="{8BCF0A4B-A6CC-453D-A481-8131956CDDF7}"/>
    <cellStyle name="Comma 2 2 5 4 5" xfId="6906" xr:uid="{46D931A1-A4E7-40FD-8B2A-FB68E2A7CC68}"/>
    <cellStyle name="Comma 2 2 5 4 5 2" xfId="22026" xr:uid="{84CE8BE7-DF8B-4323-90B4-6225F7C368B8}"/>
    <cellStyle name="Comma 2 2 5 4 5 2 2" xfId="52266" xr:uid="{E96199FF-297C-4EB4-AD2F-17810C016394}"/>
    <cellStyle name="Comma 2 2 5 4 5 3" xfId="37146" xr:uid="{06BB99DC-65C7-48A4-BE56-78933B666E33}"/>
    <cellStyle name="Comma 2 2 5 4 6" xfId="8418" xr:uid="{871A814E-D394-4ECB-A130-9A5DBDB43225}"/>
    <cellStyle name="Comma 2 2 5 4 6 2" xfId="23538" xr:uid="{4A154FDB-CAE9-4344-9A40-5CE551C767A5}"/>
    <cellStyle name="Comma 2 2 5 4 6 2 2" xfId="53778" xr:uid="{CCBA12FD-B8FD-49ED-95FC-7F9D444EEE07}"/>
    <cellStyle name="Comma 2 2 5 4 6 3" xfId="38658" xr:uid="{B708AAB9-A5B3-4543-94E6-D5B097B2DB4E}"/>
    <cellStyle name="Comma 2 2 5 4 7" xfId="9930" xr:uid="{8F9B90E3-5872-481E-8172-D07EBE91240D}"/>
    <cellStyle name="Comma 2 2 5 4 7 2" xfId="25050" xr:uid="{7E0E4348-0031-440E-B681-73A353C62180}"/>
    <cellStyle name="Comma 2 2 5 4 7 2 2" xfId="55290" xr:uid="{3B08A2C1-DA0C-49AE-8063-9FCEB7D4B994}"/>
    <cellStyle name="Comma 2 2 5 4 7 3" xfId="40170" xr:uid="{F00F8CFB-03F4-4C44-9DC8-62761127BAB4}"/>
    <cellStyle name="Comma 2 2 5 4 8" xfId="15978" xr:uid="{E00D4DD8-E2DD-43FB-9B8D-CB73A78FBDF8}"/>
    <cellStyle name="Comma 2 2 5 4 8 2" xfId="46218" xr:uid="{8A6D5554-5C76-415D-85A5-83DE4F425C4D}"/>
    <cellStyle name="Comma 2 2 5 4 9" xfId="31098" xr:uid="{51CD0AE6-EB4C-440E-9E47-77A762065385}"/>
    <cellStyle name="Comma 2 2 5 5" xfId="1614" xr:uid="{31F35497-8DDD-4BA0-81B8-3B40024C5FD3}"/>
    <cellStyle name="Comma 2 2 5 5 2" xfId="10686" xr:uid="{E752F575-4067-4834-B5BD-68084001D518}"/>
    <cellStyle name="Comma 2 2 5 5 2 2" xfId="25806" xr:uid="{21A9A0A3-1505-4577-B34C-EDD1ECEAFCE5}"/>
    <cellStyle name="Comma 2 2 5 5 2 2 2" xfId="56046" xr:uid="{73283CDB-CFE8-4058-91CF-BF96AB26465E}"/>
    <cellStyle name="Comma 2 2 5 5 2 3" xfId="40926" xr:uid="{4CBF6D8E-F79A-4612-B454-3BF33D8DE676}"/>
    <cellStyle name="Comma 2 2 5 5 3" xfId="16734" xr:uid="{B4BC9BA3-1733-4394-90A4-9C66F435F0BC}"/>
    <cellStyle name="Comma 2 2 5 5 3 2" xfId="46974" xr:uid="{BB3100C6-03CF-4975-9DCD-F4503EBBCBA9}"/>
    <cellStyle name="Comma 2 2 5 5 4" xfId="31854" xr:uid="{6AF6F243-A72B-40E0-A008-797ADF39F409}"/>
    <cellStyle name="Comma 2 2 5 6" xfId="3126" xr:uid="{9059939C-9043-42E7-889E-A06044EB7360}"/>
    <cellStyle name="Comma 2 2 5 6 2" xfId="12198" xr:uid="{2B31BB22-3BD8-41C1-BD0B-1DB95B3FA07B}"/>
    <cellStyle name="Comma 2 2 5 6 2 2" xfId="27318" xr:uid="{22383862-1EA4-4E54-89C9-F29285D25E2C}"/>
    <cellStyle name="Comma 2 2 5 6 2 2 2" xfId="57558" xr:uid="{B2D21107-0FF5-43B4-84C1-577F96C7F65D}"/>
    <cellStyle name="Comma 2 2 5 6 2 3" xfId="42438" xr:uid="{9B7E1F80-4474-46D3-85CF-743DF6187D57}"/>
    <cellStyle name="Comma 2 2 5 6 3" xfId="18246" xr:uid="{AEDBDD8E-727B-4CC7-8DF9-AF2113F3300B}"/>
    <cellStyle name="Comma 2 2 5 6 3 2" xfId="48486" xr:uid="{F3F7BA16-A482-4BC9-9075-556ED2313387}"/>
    <cellStyle name="Comma 2 2 5 6 4" xfId="33366" xr:uid="{2FDF4B1D-625F-49E1-9333-CC5916F7FF4C}"/>
    <cellStyle name="Comma 2 2 5 7" xfId="4638" xr:uid="{4A10A969-A11C-4875-9290-772A141F68E3}"/>
    <cellStyle name="Comma 2 2 5 7 2" xfId="13710" xr:uid="{E653F2C3-A90F-4F7D-A375-4EA1B22594E7}"/>
    <cellStyle name="Comma 2 2 5 7 2 2" xfId="28830" xr:uid="{7CB2329F-D59D-46B0-81D1-29C20072C4F4}"/>
    <cellStyle name="Comma 2 2 5 7 2 2 2" xfId="59070" xr:uid="{E2183502-0165-4338-B702-8415B4ECCEBB}"/>
    <cellStyle name="Comma 2 2 5 7 2 3" xfId="43950" xr:uid="{27C90A24-F8AF-497D-9B67-AC3044A42C5C}"/>
    <cellStyle name="Comma 2 2 5 7 3" xfId="19758" xr:uid="{B5EFA6EE-85C4-47FB-BB9C-E9B9431AE7B1}"/>
    <cellStyle name="Comma 2 2 5 7 3 2" xfId="49998" xr:uid="{9122A08A-C5AE-475A-838C-9E165AD1CD25}"/>
    <cellStyle name="Comma 2 2 5 7 4" xfId="34878" xr:uid="{A4E6966A-6F4F-4BF5-BACE-F2B23F2C40C6}"/>
    <cellStyle name="Comma 2 2 5 8" xfId="6150" xr:uid="{302333F9-D056-4E46-B4A6-12FD6B7A486B}"/>
    <cellStyle name="Comma 2 2 5 8 2" xfId="21270" xr:uid="{AF4DF22E-6A44-4B89-8567-0035C6530E02}"/>
    <cellStyle name="Comma 2 2 5 8 2 2" xfId="51510" xr:uid="{47D2E979-8CE4-494D-ADDC-79D1577520CF}"/>
    <cellStyle name="Comma 2 2 5 8 3" xfId="36390" xr:uid="{53451CAD-3A12-48C3-A9B0-635EFED20A9D}"/>
    <cellStyle name="Comma 2 2 5 9" xfId="7662" xr:uid="{6DDEA6A2-2A5D-43E1-AD1C-B134F7B12907}"/>
    <cellStyle name="Comma 2 2 5 9 2" xfId="22782" xr:uid="{C5521522-C6AC-4018-8327-08C9FC0E8AC5}"/>
    <cellStyle name="Comma 2 2 5 9 2 2" xfId="53022" xr:uid="{6FAFE15F-9E55-4721-B51E-B5181EF91DAB}"/>
    <cellStyle name="Comma 2 2 5 9 3" xfId="37902" xr:uid="{8D4714B9-3C41-4B7E-A2D2-E0C4CCEC4DF3}"/>
    <cellStyle name="Comma 2 2 6" xfId="186" xr:uid="{AD641D2C-1AC1-4F77-BAC1-FE8FF8879593}"/>
    <cellStyle name="Comma 2 2 6 10" xfId="9258" xr:uid="{4E8A425F-DE6A-4ECC-9808-F0F8AE596BF1}"/>
    <cellStyle name="Comma 2 2 6 10 2" xfId="24378" xr:uid="{AE23B24B-A221-4CEF-B24D-E409A89732CF}"/>
    <cellStyle name="Comma 2 2 6 10 2 2" xfId="54618" xr:uid="{59D901E3-FA14-4A0A-ACB6-59B5DC073785}"/>
    <cellStyle name="Comma 2 2 6 10 3" xfId="39498" xr:uid="{8639A7C5-6BF1-40CF-8CCE-8997844132A0}"/>
    <cellStyle name="Comma 2 2 6 11" xfId="15306" xr:uid="{05179621-CB25-44BC-A9E8-4874BE3D5A59}"/>
    <cellStyle name="Comma 2 2 6 11 2" xfId="45546" xr:uid="{5AE88133-A2F9-4A7F-B860-901D4CA3C07F}"/>
    <cellStyle name="Comma 2 2 6 12" xfId="30426" xr:uid="{70517D9E-5AC2-4C99-A3EA-A91ADA7CB14C}"/>
    <cellStyle name="Comma 2 2 6 2" xfId="438" xr:uid="{F682DBE4-2306-44F8-BCA0-11EFC0B2617C}"/>
    <cellStyle name="Comma 2 2 6 2 10" xfId="30678" xr:uid="{3BA13619-A990-4604-81AA-ACE60576BD7B}"/>
    <cellStyle name="Comma 2 2 6 2 2" xfId="1194" xr:uid="{F669E1D5-0E48-45F0-8E4F-109B6A739D6C}"/>
    <cellStyle name="Comma 2 2 6 2 2 2" xfId="2706" xr:uid="{5B85816B-46AF-45D4-B5B0-E5732E525209}"/>
    <cellStyle name="Comma 2 2 6 2 2 2 2" xfId="11778" xr:uid="{AA975B7E-B3F9-4301-A115-18BC2242FD10}"/>
    <cellStyle name="Comma 2 2 6 2 2 2 2 2" xfId="26898" xr:uid="{99716A42-292E-4C96-BF09-5F14BC8F0568}"/>
    <cellStyle name="Comma 2 2 6 2 2 2 2 2 2" xfId="57138" xr:uid="{6ECCD3A6-ED08-4C8D-9016-422985AF1907}"/>
    <cellStyle name="Comma 2 2 6 2 2 2 2 3" xfId="42018" xr:uid="{AA241CE4-A69D-4CDA-9A0D-220BE8B8D089}"/>
    <cellStyle name="Comma 2 2 6 2 2 2 3" xfId="17826" xr:uid="{68467072-EB5E-46E3-8E27-4150A2644163}"/>
    <cellStyle name="Comma 2 2 6 2 2 2 3 2" xfId="48066" xr:uid="{853752C0-5244-40B8-921B-B4E86CAAA3E7}"/>
    <cellStyle name="Comma 2 2 6 2 2 2 4" xfId="32946" xr:uid="{679FFDCA-BFAF-467D-9F5D-DA61B55AC5ED}"/>
    <cellStyle name="Comma 2 2 6 2 2 3" xfId="4218" xr:uid="{5DF181A1-5B84-426F-BA6C-0E46094B893D}"/>
    <cellStyle name="Comma 2 2 6 2 2 3 2" xfId="13290" xr:uid="{1452883C-5CDC-48EB-90CE-50C5424C41B7}"/>
    <cellStyle name="Comma 2 2 6 2 2 3 2 2" xfId="28410" xr:uid="{1D6E7AB3-228C-4C77-B2E2-5CFEC98FC792}"/>
    <cellStyle name="Comma 2 2 6 2 2 3 2 2 2" xfId="58650" xr:uid="{A1278894-C752-4250-8508-90F00C657C24}"/>
    <cellStyle name="Comma 2 2 6 2 2 3 2 3" xfId="43530" xr:uid="{739E573E-C8F2-4964-9F86-E80CF1167F6F}"/>
    <cellStyle name="Comma 2 2 6 2 2 3 3" xfId="19338" xr:uid="{F1CB0ABC-D5C2-40B0-82EE-B66078E84538}"/>
    <cellStyle name="Comma 2 2 6 2 2 3 3 2" xfId="49578" xr:uid="{E99E0A63-9527-4F3C-8FC9-F2933881AAB7}"/>
    <cellStyle name="Comma 2 2 6 2 2 3 4" xfId="34458" xr:uid="{965BD391-6C52-4BC2-BAC1-658700F012FC}"/>
    <cellStyle name="Comma 2 2 6 2 2 4" xfId="5730" xr:uid="{E1524E89-23C8-4167-854B-E621B29337BB}"/>
    <cellStyle name="Comma 2 2 6 2 2 4 2" xfId="14802" xr:uid="{6B2DFE08-4C0D-449A-A485-51D38FF69EC6}"/>
    <cellStyle name="Comma 2 2 6 2 2 4 2 2" xfId="29922" xr:uid="{696E56F9-E7EA-4858-9EF8-A10D155F80CF}"/>
    <cellStyle name="Comma 2 2 6 2 2 4 2 2 2" xfId="60162" xr:uid="{BDD36374-BCF5-476A-BC3B-6FE30F29B593}"/>
    <cellStyle name="Comma 2 2 6 2 2 4 2 3" xfId="45042" xr:uid="{02FB6313-12F1-4291-ABA3-39E3938368A6}"/>
    <cellStyle name="Comma 2 2 6 2 2 4 3" xfId="20850" xr:uid="{6542AB49-FFF6-4FEC-B20D-1045A8532167}"/>
    <cellStyle name="Comma 2 2 6 2 2 4 3 2" xfId="51090" xr:uid="{EEA24326-CA24-4D0D-8576-7A3AB4E4610D}"/>
    <cellStyle name="Comma 2 2 6 2 2 4 4" xfId="35970" xr:uid="{BD332455-EF56-42AC-B0F0-1D38D92971BF}"/>
    <cellStyle name="Comma 2 2 6 2 2 5" xfId="7242" xr:uid="{D5C7CFD3-0A3B-4029-91BB-BB03B6F5B83F}"/>
    <cellStyle name="Comma 2 2 6 2 2 5 2" xfId="22362" xr:uid="{8D639330-C262-4300-8EA6-799D265F0ADB}"/>
    <cellStyle name="Comma 2 2 6 2 2 5 2 2" xfId="52602" xr:uid="{3B7C941B-E1AA-455C-A914-CACECC74C043}"/>
    <cellStyle name="Comma 2 2 6 2 2 5 3" xfId="37482" xr:uid="{8A9EBD42-E2E5-4577-A36A-2909A383D726}"/>
    <cellStyle name="Comma 2 2 6 2 2 6" xfId="8754" xr:uid="{08284E50-A26F-44F6-880C-FCC4F48489B0}"/>
    <cellStyle name="Comma 2 2 6 2 2 6 2" xfId="23874" xr:uid="{F0A12A38-C564-4DB1-BE80-4280C27615CB}"/>
    <cellStyle name="Comma 2 2 6 2 2 6 2 2" xfId="54114" xr:uid="{F4087E07-5163-4DA8-A5F9-C2DC62500FAD}"/>
    <cellStyle name="Comma 2 2 6 2 2 6 3" xfId="38994" xr:uid="{327DE627-775E-4933-9DAB-4BDFD96705C0}"/>
    <cellStyle name="Comma 2 2 6 2 2 7" xfId="10266" xr:uid="{69220BAB-227F-4930-8E41-BB163E5A3453}"/>
    <cellStyle name="Comma 2 2 6 2 2 7 2" xfId="25386" xr:uid="{DFD399F4-EEC2-43C0-9200-4BD746C7DA7C}"/>
    <cellStyle name="Comma 2 2 6 2 2 7 2 2" xfId="55626" xr:uid="{6777B3FC-FC5A-4649-862B-788EAB0BA7AD}"/>
    <cellStyle name="Comma 2 2 6 2 2 7 3" xfId="40506" xr:uid="{EE15B35A-4A34-4CA3-BE98-F901CAB10EBA}"/>
    <cellStyle name="Comma 2 2 6 2 2 8" xfId="16314" xr:uid="{C080C80F-8F88-4BD7-BEE2-C1F8B850A130}"/>
    <cellStyle name="Comma 2 2 6 2 2 8 2" xfId="46554" xr:uid="{33014DF6-848B-4CA6-B7E2-D27E4B248633}"/>
    <cellStyle name="Comma 2 2 6 2 2 9" xfId="31434" xr:uid="{7206CE69-1F43-409A-B595-50C831FF2800}"/>
    <cellStyle name="Comma 2 2 6 2 3" xfId="1950" xr:uid="{86533FBE-0FD1-4A42-AA5E-1730083FFAA6}"/>
    <cellStyle name="Comma 2 2 6 2 3 2" xfId="11022" xr:uid="{1F30D031-9226-4AD6-AD3F-45BCEE485FB5}"/>
    <cellStyle name="Comma 2 2 6 2 3 2 2" xfId="26142" xr:uid="{8245DC01-850F-4D6D-9282-D6E95430F053}"/>
    <cellStyle name="Comma 2 2 6 2 3 2 2 2" xfId="56382" xr:uid="{D49CE55D-F54E-476A-9409-A1290C95740B}"/>
    <cellStyle name="Comma 2 2 6 2 3 2 3" xfId="41262" xr:uid="{7BE70CA7-AB12-4C46-8847-4B46F888EFF5}"/>
    <cellStyle name="Comma 2 2 6 2 3 3" xfId="17070" xr:uid="{128771D3-18E2-450C-B72E-343298F608C4}"/>
    <cellStyle name="Comma 2 2 6 2 3 3 2" xfId="47310" xr:uid="{69CBECD9-BB9A-4FF4-A3CB-708C7EB7BB1A}"/>
    <cellStyle name="Comma 2 2 6 2 3 4" xfId="32190" xr:uid="{FBFC96B2-0267-4912-AD30-A615F578FBA6}"/>
    <cellStyle name="Comma 2 2 6 2 4" xfId="3462" xr:uid="{AFDA3CB2-3BA5-4F96-AE56-F1A75E369B95}"/>
    <cellStyle name="Comma 2 2 6 2 4 2" xfId="12534" xr:uid="{0B57947C-ED78-4556-8115-3847B5A8886B}"/>
    <cellStyle name="Comma 2 2 6 2 4 2 2" xfId="27654" xr:uid="{449DEEC8-D895-4A4F-903A-94E6096BB4A9}"/>
    <cellStyle name="Comma 2 2 6 2 4 2 2 2" xfId="57894" xr:uid="{A447BB5C-9957-4836-ADA2-6B1E083C4EE5}"/>
    <cellStyle name="Comma 2 2 6 2 4 2 3" xfId="42774" xr:uid="{0C3E0892-C967-46C0-9945-90BF61FA1C4D}"/>
    <cellStyle name="Comma 2 2 6 2 4 3" xfId="18582" xr:uid="{C876D6D6-44F0-46AC-B210-4F75D8FFD42E}"/>
    <cellStyle name="Comma 2 2 6 2 4 3 2" xfId="48822" xr:uid="{0FB98519-C9E0-4F36-92D2-CB70FC8263A3}"/>
    <cellStyle name="Comma 2 2 6 2 4 4" xfId="33702" xr:uid="{D874A55E-65CA-4AA0-9CA4-13E5D78A8AE6}"/>
    <cellStyle name="Comma 2 2 6 2 5" xfId="4974" xr:uid="{0B823635-4128-45A1-8BA3-5AA438B68515}"/>
    <cellStyle name="Comma 2 2 6 2 5 2" xfId="14046" xr:uid="{D57DCBB8-9748-4FF5-A8AA-7D93B5D0839B}"/>
    <cellStyle name="Comma 2 2 6 2 5 2 2" xfId="29166" xr:uid="{D0C3F77B-2AA1-4F1C-838A-B038C81CF6A6}"/>
    <cellStyle name="Comma 2 2 6 2 5 2 2 2" xfId="59406" xr:uid="{17AF4989-044A-4F1A-9CD6-FD335F4589D5}"/>
    <cellStyle name="Comma 2 2 6 2 5 2 3" xfId="44286" xr:uid="{0C7B6E3D-4563-4585-A27D-9B406CFC14B2}"/>
    <cellStyle name="Comma 2 2 6 2 5 3" xfId="20094" xr:uid="{060A5BA5-F879-4BA6-A225-829D28B6DBD3}"/>
    <cellStyle name="Comma 2 2 6 2 5 3 2" xfId="50334" xr:uid="{0CC44726-510F-4F0E-B6FA-59864761F9BB}"/>
    <cellStyle name="Comma 2 2 6 2 5 4" xfId="35214" xr:uid="{62EB8A01-A01E-4742-BA59-48B044CF08F4}"/>
    <cellStyle name="Comma 2 2 6 2 6" xfId="6486" xr:uid="{B47839A0-5FAD-497D-8EAF-0093C0BCDA38}"/>
    <cellStyle name="Comma 2 2 6 2 6 2" xfId="21606" xr:uid="{2D212B6B-EEE9-43B4-96D2-B0C35281E13B}"/>
    <cellStyle name="Comma 2 2 6 2 6 2 2" xfId="51846" xr:uid="{AF5B5B1F-C8CD-42C4-A5BD-C49E079E35B5}"/>
    <cellStyle name="Comma 2 2 6 2 6 3" xfId="36726" xr:uid="{685A6A83-6CC7-4830-B0DC-1230AFA3B716}"/>
    <cellStyle name="Comma 2 2 6 2 7" xfId="7998" xr:uid="{45A8F841-0D96-4BBA-89C3-E8B7E5C95B60}"/>
    <cellStyle name="Comma 2 2 6 2 7 2" xfId="23118" xr:uid="{A9AA362F-CBF3-40B9-8922-6A8C3536E7D0}"/>
    <cellStyle name="Comma 2 2 6 2 7 2 2" xfId="53358" xr:uid="{97A1C9DD-E67E-484A-9898-E18A89DFCA30}"/>
    <cellStyle name="Comma 2 2 6 2 7 3" xfId="38238" xr:uid="{2C987057-BCE4-4D2C-A00B-DBA65082C224}"/>
    <cellStyle name="Comma 2 2 6 2 8" xfId="9510" xr:uid="{1AB366EC-FF50-42AC-A34A-4A1F94642480}"/>
    <cellStyle name="Comma 2 2 6 2 8 2" xfId="24630" xr:uid="{090EE8C8-49D1-4DD2-9C68-60F51848E4C8}"/>
    <cellStyle name="Comma 2 2 6 2 8 2 2" xfId="54870" xr:uid="{84033CBD-3928-45F9-AA06-C9DC4C5534E5}"/>
    <cellStyle name="Comma 2 2 6 2 8 3" xfId="39750" xr:uid="{C61031A5-2D1C-48A9-85B8-B894015D3F12}"/>
    <cellStyle name="Comma 2 2 6 2 9" xfId="15558" xr:uid="{3A9C247F-83E9-4D43-A9CC-1ED92D7F4B18}"/>
    <cellStyle name="Comma 2 2 6 2 9 2" xfId="45798" xr:uid="{CE2D23CD-D071-48F3-85BC-B927D935798D}"/>
    <cellStyle name="Comma 2 2 6 3" xfId="690" xr:uid="{215225CB-FCDC-4C49-ACAC-51FB2055C46D}"/>
    <cellStyle name="Comma 2 2 6 3 10" xfId="30930" xr:uid="{A32B1D30-BB44-4CBA-B3A4-385BD0E6AEC2}"/>
    <cellStyle name="Comma 2 2 6 3 2" xfId="1446" xr:uid="{55A478EB-C95E-424D-AE85-D7B384EED90D}"/>
    <cellStyle name="Comma 2 2 6 3 2 2" xfId="2958" xr:uid="{95719794-644B-4DF0-8876-41747A4FB70E}"/>
    <cellStyle name="Comma 2 2 6 3 2 2 2" xfId="12030" xr:uid="{58FAFE24-0290-4EA1-A895-3DB4552C7AEE}"/>
    <cellStyle name="Comma 2 2 6 3 2 2 2 2" xfId="27150" xr:uid="{83A346E2-F445-41E7-97B2-552310254E4E}"/>
    <cellStyle name="Comma 2 2 6 3 2 2 2 2 2" xfId="57390" xr:uid="{785D4830-4DD7-4323-8616-E3CB1417A791}"/>
    <cellStyle name="Comma 2 2 6 3 2 2 2 3" xfId="42270" xr:uid="{C7B36367-A2D1-41C4-A9A6-79D9ECF4822B}"/>
    <cellStyle name="Comma 2 2 6 3 2 2 3" xfId="18078" xr:uid="{1D654E2E-CD37-4C3E-B5D5-F4F6835E9B75}"/>
    <cellStyle name="Comma 2 2 6 3 2 2 3 2" xfId="48318" xr:uid="{E8366243-C71E-4795-8C92-A6D11F1164BD}"/>
    <cellStyle name="Comma 2 2 6 3 2 2 4" xfId="33198" xr:uid="{FCB7B6B7-4377-4BE3-8088-68A55B00FF26}"/>
    <cellStyle name="Comma 2 2 6 3 2 3" xfId="4470" xr:uid="{B304BAB6-D166-476F-9D1F-81DC5F52F461}"/>
    <cellStyle name="Comma 2 2 6 3 2 3 2" xfId="13542" xr:uid="{A411D925-9BFF-456A-B6A6-F87DC436B8A3}"/>
    <cellStyle name="Comma 2 2 6 3 2 3 2 2" xfId="28662" xr:uid="{31C442D7-6F46-4F47-AEF5-F198A4B34C2A}"/>
    <cellStyle name="Comma 2 2 6 3 2 3 2 2 2" xfId="58902" xr:uid="{2645EB3F-508F-4DCF-AC6B-418127F518B1}"/>
    <cellStyle name="Comma 2 2 6 3 2 3 2 3" xfId="43782" xr:uid="{AFA0267E-22DB-42A2-91AC-8E4D66C975C6}"/>
    <cellStyle name="Comma 2 2 6 3 2 3 3" xfId="19590" xr:uid="{953CE870-8ADD-437F-9537-6ECD4ED6C6E8}"/>
    <cellStyle name="Comma 2 2 6 3 2 3 3 2" xfId="49830" xr:uid="{11C95C6E-F4D5-4E69-AD98-D563064C00E1}"/>
    <cellStyle name="Comma 2 2 6 3 2 3 4" xfId="34710" xr:uid="{D7C04EC5-0DC6-4196-875A-E6762222DFEB}"/>
    <cellStyle name="Comma 2 2 6 3 2 4" xfId="5982" xr:uid="{DCD9EB9F-B073-405D-AACE-FE186CB30EC8}"/>
    <cellStyle name="Comma 2 2 6 3 2 4 2" xfId="15054" xr:uid="{ED49D3BF-CC62-4D26-A5EB-128E73D150B9}"/>
    <cellStyle name="Comma 2 2 6 3 2 4 2 2" xfId="30174" xr:uid="{BE2B421F-B9DD-42E7-905E-3C357ABDF7CF}"/>
    <cellStyle name="Comma 2 2 6 3 2 4 2 2 2" xfId="60414" xr:uid="{4318C12F-E7FE-4435-884D-9EF3BFEEDF50}"/>
    <cellStyle name="Comma 2 2 6 3 2 4 2 3" xfId="45294" xr:uid="{4DA5643F-78BA-4517-ADC9-8339F2A2B095}"/>
    <cellStyle name="Comma 2 2 6 3 2 4 3" xfId="21102" xr:uid="{D28E08E5-EC49-486E-B8EC-924A8696FEEF}"/>
    <cellStyle name="Comma 2 2 6 3 2 4 3 2" xfId="51342" xr:uid="{082A33C2-4BA8-4F4B-BF9E-9474A96CE598}"/>
    <cellStyle name="Comma 2 2 6 3 2 4 4" xfId="36222" xr:uid="{539609C7-8B99-462F-AFD4-4299E6418B02}"/>
    <cellStyle name="Comma 2 2 6 3 2 5" xfId="7494" xr:uid="{437E446E-553B-4F73-9E0A-DE0B6D321F00}"/>
    <cellStyle name="Comma 2 2 6 3 2 5 2" xfId="22614" xr:uid="{532C1E2D-2796-4AF0-9965-46BCB550DEEE}"/>
    <cellStyle name="Comma 2 2 6 3 2 5 2 2" xfId="52854" xr:uid="{696F3183-1350-4E9A-97A7-E71A35D480A8}"/>
    <cellStyle name="Comma 2 2 6 3 2 5 3" xfId="37734" xr:uid="{8C10B2F8-B4AC-4BCC-8923-C4490F49F52F}"/>
    <cellStyle name="Comma 2 2 6 3 2 6" xfId="9006" xr:uid="{AE41254D-0EC1-4589-874D-E6ACEA5DF295}"/>
    <cellStyle name="Comma 2 2 6 3 2 6 2" xfId="24126" xr:uid="{799FE40B-7808-4539-B121-129566FACFD2}"/>
    <cellStyle name="Comma 2 2 6 3 2 6 2 2" xfId="54366" xr:uid="{F543B3E8-51F3-4751-9EF5-34A38CCF71E0}"/>
    <cellStyle name="Comma 2 2 6 3 2 6 3" xfId="39246" xr:uid="{F08ADFA8-A9BA-46FD-A717-B73243D69E0C}"/>
    <cellStyle name="Comma 2 2 6 3 2 7" xfId="10518" xr:uid="{3FE7C958-36A7-4D39-A183-9082178B04A3}"/>
    <cellStyle name="Comma 2 2 6 3 2 7 2" xfId="25638" xr:uid="{C78E4CFC-9E8C-4053-8A24-6F1885E2E99F}"/>
    <cellStyle name="Comma 2 2 6 3 2 7 2 2" xfId="55878" xr:uid="{3D302083-433A-4756-BA9A-1AB90C50B915}"/>
    <cellStyle name="Comma 2 2 6 3 2 7 3" xfId="40758" xr:uid="{77FF6DD1-7754-4841-BEC7-7D9CE211EDC1}"/>
    <cellStyle name="Comma 2 2 6 3 2 8" xfId="16566" xr:uid="{970F83EA-E540-4B1F-89C1-EA40975AE549}"/>
    <cellStyle name="Comma 2 2 6 3 2 8 2" xfId="46806" xr:uid="{81917AA7-5131-4A81-BC0D-F11C865102CD}"/>
    <cellStyle name="Comma 2 2 6 3 2 9" xfId="31686" xr:uid="{BC04EA38-C44B-48D5-90FB-6A09667B6114}"/>
    <cellStyle name="Comma 2 2 6 3 3" xfId="2202" xr:uid="{FBE5B1D3-9956-4D9A-8D87-A0F359B0137D}"/>
    <cellStyle name="Comma 2 2 6 3 3 2" xfId="11274" xr:uid="{3777A2A9-E354-442E-82F6-E7F5561B5F6B}"/>
    <cellStyle name="Comma 2 2 6 3 3 2 2" xfId="26394" xr:uid="{87825F36-81A4-4605-B1A5-880DA55AB90D}"/>
    <cellStyle name="Comma 2 2 6 3 3 2 2 2" xfId="56634" xr:uid="{015EB00A-C01A-46BC-861C-61443620F42E}"/>
    <cellStyle name="Comma 2 2 6 3 3 2 3" xfId="41514" xr:uid="{54E72497-1FBA-40FA-BEC5-7D5FCB620425}"/>
    <cellStyle name="Comma 2 2 6 3 3 3" xfId="17322" xr:uid="{B2C35887-AF65-42FE-A7AC-E61B4D5AD2AB}"/>
    <cellStyle name="Comma 2 2 6 3 3 3 2" xfId="47562" xr:uid="{4983C221-1106-4766-93C9-6139E9F9A625}"/>
    <cellStyle name="Comma 2 2 6 3 3 4" xfId="32442" xr:uid="{F130E866-7ECB-43CA-BAE5-74DF7377BA6B}"/>
    <cellStyle name="Comma 2 2 6 3 4" xfId="3714" xr:uid="{0BE1C0C1-847A-43AB-AD9E-8D4B353CEC18}"/>
    <cellStyle name="Comma 2 2 6 3 4 2" xfId="12786" xr:uid="{0587C36D-81B6-44B1-BE9A-C408F89657AA}"/>
    <cellStyle name="Comma 2 2 6 3 4 2 2" xfId="27906" xr:uid="{25E24C0A-5DA7-4C28-98A4-D402CCE1475A}"/>
    <cellStyle name="Comma 2 2 6 3 4 2 2 2" xfId="58146" xr:uid="{0827C171-F439-4837-8BC2-33B9320968AE}"/>
    <cellStyle name="Comma 2 2 6 3 4 2 3" xfId="43026" xr:uid="{DD377370-B9D1-4C03-AA14-E3E588339E21}"/>
    <cellStyle name="Comma 2 2 6 3 4 3" xfId="18834" xr:uid="{B5F10CC5-2616-4496-A79E-17C44E88E7A2}"/>
    <cellStyle name="Comma 2 2 6 3 4 3 2" xfId="49074" xr:uid="{2D41916A-6525-4697-A618-46DD620C9876}"/>
    <cellStyle name="Comma 2 2 6 3 4 4" xfId="33954" xr:uid="{7EA0FA51-FC58-4A9C-A887-9CE7A14D72C6}"/>
    <cellStyle name="Comma 2 2 6 3 5" xfId="5226" xr:uid="{97616CD4-6DD8-4F62-9A81-E42A742B9D95}"/>
    <cellStyle name="Comma 2 2 6 3 5 2" xfId="14298" xr:uid="{331CC397-DC97-4A60-99CE-EC22CE29A967}"/>
    <cellStyle name="Comma 2 2 6 3 5 2 2" xfId="29418" xr:uid="{DB943A70-B2B1-45B8-B196-F60ECDCF0BCD}"/>
    <cellStyle name="Comma 2 2 6 3 5 2 2 2" xfId="59658" xr:uid="{BE9032DE-137E-40F3-8B54-48A69144801E}"/>
    <cellStyle name="Comma 2 2 6 3 5 2 3" xfId="44538" xr:uid="{1B48F05B-0AD3-432E-9D6F-2F607266B894}"/>
    <cellStyle name="Comma 2 2 6 3 5 3" xfId="20346" xr:uid="{94F89C11-3318-4D96-B128-E2E23256FC61}"/>
    <cellStyle name="Comma 2 2 6 3 5 3 2" xfId="50586" xr:uid="{E7FA8C8C-C510-4FD7-9162-3B3A81014A72}"/>
    <cellStyle name="Comma 2 2 6 3 5 4" xfId="35466" xr:uid="{9896DF4D-F496-429D-A04E-DE5061E24994}"/>
    <cellStyle name="Comma 2 2 6 3 6" xfId="6738" xr:uid="{EA0E6113-C51D-4E20-ADB5-A2721FA9EA53}"/>
    <cellStyle name="Comma 2 2 6 3 6 2" xfId="21858" xr:uid="{7C448CA4-C5D5-4A1B-B488-13B5D1DF3A2E}"/>
    <cellStyle name="Comma 2 2 6 3 6 2 2" xfId="52098" xr:uid="{5D5D9034-491F-41FF-99B7-9A2E4FB27235}"/>
    <cellStyle name="Comma 2 2 6 3 6 3" xfId="36978" xr:uid="{11D434B5-801F-4755-9AE6-07FF828C17A5}"/>
    <cellStyle name="Comma 2 2 6 3 7" xfId="8250" xr:uid="{207F7DBE-7392-424E-A308-FEDF7512C767}"/>
    <cellStyle name="Comma 2 2 6 3 7 2" xfId="23370" xr:uid="{442CBF7D-D335-445F-9FE0-30A80D76710B}"/>
    <cellStyle name="Comma 2 2 6 3 7 2 2" xfId="53610" xr:uid="{114F5071-AA99-4B1F-AA7B-951371AD7C01}"/>
    <cellStyle name="Comma 2 2 6 3 7 3" xfId="38490" xr:uid="{43C71910-2832-4B12-B3FE-3A13B9BFF712}"/>
    <cellStyle name="Comma 2 2 6 3 8" xfId="9762" xr:uid="{9746619C-022F-4FBD-A225-CB283DF0FCDB}"/>
    <cellStyle name="Comma 2 2 6 3 8 2" xfId="24882" xr:uid="{1AB3690A-1364-412D-A8DB-9F1A5DF29495}"/>
    <cellStyle name="Comma 2 2 6 3 8 2 2" xfId="55122" xr:uid="{0D8B4CBC-1675-4D1D-8B63-96ECB62F63A7}"/>
    <cellStyle name="Comma 2 2 6 3 8 3" xfId="40002" xr:uid="{33F8AD87-6C2B-41DB-8D52-68D16E7194D8}"/>
    <cellStyle name="Comma 2 2 6 3 9" xfId="15810" xr:uid="{AC005E19-E048-46D2-B44B-D30E7D5AA8B9}"/>
    <cellStyle name="Comma 2 2 6 3 9 2" xfId="46050" xr:uid="{81CB3C3E-3EE4-4604-8F43-CCE175ACBC8E}"/>
    <cellStyle name="Comma 2 2 6 4" xfId="942" xr:uid="{5743B888-751A-4B6B-A0C6-18BD3057275E}"/>
    <cellStyle name="Comma 2 2 6 4 2" xfId="2454" xr:uid="{D4D9BE77-5A02-45B0-B030-82F3AD6618E2}"/>
    <cellStyle name="Comma 2 2 6 4 2 2" xfId="11526" xr:uid="{540E2266-B313-4632-948A-2C0F503AA401}"/>
    <cellStyle name="Comma 2 2 6 4 2 2 2" xfId="26646" xr:uid="{2E757A60-5DC5-4C1D-95F3-F1E6506BCD38}"/>
    <cellStyle name="Comma 2 2 6 4 2 2 2 2" xfId="56886" xr:uid="{41292865-68E7-4AB6-9F48-579FA5683E7B}"/>
    <cellStyle name="Comma 2 2 6 4 2 2 3" xfId="41766" xr:uid="{670FEB0A-78AF-49FF-A8A9-2DDAF17C0562}"/>
    <cellStyle name="Comma 2 2 6 4 2 3" xfId="17574" xr:uid="{C7FC38C3-AED0-4E2E-BA19-82CAF41FE6AA}"/>
    <cellStyle name="Comma 2 2 6 4 2 3 2" xfId="47814" xr:uid="{BA427BA8-5AB0-464C-A0BC-4DFDE903C352}"/>
    <cellStyle name="Comma 2 2 6 4 2 4" xfId="32694" xr:uid="{7230C4D0-E43D-4AB6-A594-5BBA3C340A6B}"/>
    <cellStyle name="Comma 2 2 6 4 3" xfId="3966" xr:uid="{321DAF27-6CC1-47B1-BCE6-93CD6812846F}"/>
    <cellStyle name="Comma 2 2 6 4 3 2" xfId="13038" xr:uid="{12A76217-7C94-4F58-84B1-F474FC8D8061}"/>
    <cellStyle name="Comma 2 2 6 4 3 2 2" xfId="28158" xr:uid="{A2EFCA0A-50A3-48A5-AF6F-4DAE721E6434}"/>
    <cellStyle name="Comma 2 2 6 4 3 2 2 2" xfId="58398" xr:uid="{EB7024F9-85B9-44EF-8A94-B43102B2C119}"/>
    <cellStyle name="Comma 2 2 6 4 3 2 3" xfId="43278" xr:uid="{00EC1576-4A8C-4C17-8EEC-C7C476202D58}"/>
    <cellStyle name="Comma 2 2 6 4 3 3" xfId="19086" xr:uid="{35F13BA6-5016-4902-A950-E3CCB213E3D4}"/>
    <cellStyle name="Comma 2 2 6 4 3 3 2" xfId="49326" xr:uid="{70C262B8-0662-4950-8D71-3653876BBBD9}"/>
    <cellStyle name="Comma 2 2 6 4 3 4" xfId="34206" xr:uid="{FBA317CE-1CF8-477E-9236-B1F145F67812}"/>
    <cellStyle name="Comma 2 2 6 4 4" xfId="5478" xr:uid="{CBBDA1DF-EC80-4342-B33C-71043A19264E}"/>
    <cellStyle name="Comma 2 2 6 4 4 2" xfId="14550" xr:uid="{E8B8255C-5FE6-4BD6-B21F-3F36ABBE757D}"/>
    <cellStyle name="Comma 2 2 6 4 4 2 2" xfId="29670" xr:uid="{DCE9D66C-B6B9-4C9B-A477-7D9DB29E0991}"/>
    <cellStyle name="Comma 2 2 6 4 4 2 2 2" xfId="59910" xr:uid="{D749064E-5C29-481F-BA97-BD8F78653F8C}"/>
    <cellStyle name="Comma 2 2 6 4 4 2 3" xfId="44790" xr:uid="{9B19F866-D852-4D16-A14F-223DFD2CF9F3}"/>
    <cellStyle name="Comma 2 2 6 4 4 3" xfId="20598" xr:uid="{673B15B5-8F52-400B-A721-8EDAC844D99E}"/>
    <cellStyle name="Comma 2 2 6 4 4 3 2" xfId="50838" xr:uid="{56BEFF9E-ABDF-4CFB-AF69-1A2411FC6525}"/>
    <cellStyle name="Comma 2 2 6 4 4 4" xfId="35718" xr:uid="{E031461D-20E7-49F7-8E70-A845A637CDA7}"/>
    <cellStyle name="Comma 2 2 6 4 5" xfId="6990" xr:uid="{79DFCEA7-9FB4-471F-9B61-CF8F51E85AFE}"/>
    <cellStyle name="Comma 2 2 6 4 5 2" xfId="22110" xr:uid="{43A52E18-5407-41E2-ABB0-7485457485AD}"/>
    <cellStyle name="Comma 2 2 6 4 5 2 2" xfId="52350" xr:uid="{3334B2D0-F07F-457D-9E7D-C1CE2B3368F1}"/>
    <cellStyle name="Comma 2 2 6 4 5 3" xfId="37230" xr:uid="{007D291E-E924-412D-9108-F1F9A7598BF6}"/>
    <cellStyle name="Comma 2 2 6 4 6" xfId="8502" xr:uid="{3C35E27F-2169-4B75-8BAE-8B3E80DB7DDE}"/>
    <cellStyle name="Comma 2 2 6 4 6 2" xfId="23622" xr:uid="{E4DA3C2E-009B-49E4-9D21-07A3FDB42B0E}"/>
    <cellStyle name="Comma 2 2 6 4 6 2 2" xfId="53862" xr:uid="{D27F808D-FB23-4677-9288-FECDA399D0D3}"/>
    <cellStyle name="Comma 2 2 6 4 6 3" xfId="38742" xr:uid="{8D14E2E8-BEF3-4BAF-B520-7ABEE0C29E96}"/>
    <cellStyle name="Comma 2 2 6 4 7" xfId="10014" xr:uid="{A4BA34F2-43B9-4682-A524-E9A89DE7FFA8}"/>
    <cellStyle name="Comma 2 2 6 4 7 2" xfId="25134" xr:uid="{E47F38A8-B5A9-47F6-8FF5-111315751D26}"/>
    <cellStyle name="Comma 2 2 6 4 7 2 2" xfId="55374" xr:uid="{4D8C01CA-1A73-43E9-9005-18FAEB347E7C}"/>
    <cellStyle name="Comma 2 2 6 4 7 3" xfId="40254" xr:uid="{E92064D7-BB98-4F60-84CA-1B62228DCCF5}"/>
    <cellStyle name="Comma 2 2 6 4 8" xfId="16062" xr:uid="{19C1DEDA-5525-4A92-AA4D-1B4682B6A0B7}"/>
    <cellStyle name="Comma 2 2 6 4 8 2" xfId="46302" xr:uid="{7B7AF6F0-369A-443F-AD1E-BBFED60FD582}"/>
    <cellStyle name="Comma 2 2 6 4 9" xfId="31182" xr:uid="{10FBB223-78DB-4B10-A23D-94B3CC84C472}"/>
    <cellStyle name="Comma 2 2 6 5" xfId="1698" xr:uid="{5AF9F9BF-59B5-40BB-A42B-7D93DFDC0FBC}"/>
    <cellStyle name="Comma 2 2 6 5 2" xfId="10770" xr:uid="{4C99F0F3-1880-488A-A944-7715DD91DE33}"/>
    <cellStyle name="Comma 2 2 6 5 2 2" xfId="25890" xr:uid="{BF3406ED-1114-477E-8A27-349DB384C594}"/>
    <cellStyle name="Comma 2 2 6 5 2 2 2" xfId="56130" xr:uid="{61188AFA-0CF7-4476-9B6A-59C184935E52}"/>
    <cellStyle name="Comma 2 2 6 5 2 3" xfId="41010" xr:uid="{9482F0A1-5290-44EA-9631-B8AA40D49D7C}"/>
    <cellStyle name="Comma 2 2 6 5 3" xfId="16818" xr:uid="{6122AA8E-FBD7-43FC-AA97-D5878354357E}"/>
    <cellStyle name="Comma 2 2 6 5 3 2" xfId="47058" xr:uid="{18BF6D9A-FF7E-483C-A00A-0582F2879FA9}"/>
    <cellStyle name="Comma 2 2 6 5 4" xfId="31938" xr:uid="{21B99DCE-869E-445B-89D1-4465CF8DF1DA}"/>
    <cellStyle name="Comma 2 2 6 6" xfId="3210" xr:uid="{90A2B306-CF95-40AA-971D-DC7C947123E3}"/>
    <cellStyle name="Comma 2 2 6 6 2" xfId="12282" xr:uid="{9967E7CD-A117-4FD5-BCEF-80E692E7219D}"/>
    <cellStyle name="Comma 2 2 6 6 2 2" xfId="27402" xr:uid="{8B8F9EAC-91C5-4421-80B3-AB52C168220D}"/>
    <cellStyle name="Comma 2 2 6 6 2 2 2" xfId="57642" xr:uid="{EFFD0706-B84B-41E1-AA2D-A161C0D79B16}"/>
    <cellStyle name="Comma 2 2 6 6 2 3" xfId="42522" xr:uid="{BE721058-7D27-4F9E-AC21-9B12B676B506}"/>
    <cellStyle name="Comma 2 2 6 6 3" xfId="18330" xr:uid="{15E1F3B8-4286-46B0-BC40-2614DD064847}"/>
    <cellStyle name="Comma 2 2 6 6 3 2" xfId="48570" xr:uid="{9A8A934E-35EA-491C-B1CB-F80E03CBB111}"/>
    <cellStyle name="Comma 2 2 6 6 4" xfId="33450" xr:uid="{8039EE94-B357-4B0A-A54B-C766A9B6B705}"/>
    <cellStyle name="Comma 2 2 6 7" xfId="4722" xr:uid="{01C4D306-DA75-4A3C-9B87-A31AB9F5A3DD}"/>
    <cellStyle name="Comma 2 2 6 7 2" xfId="13794" xr:uid="{F1E447EA-9323-44DB-99CB-86F1DE70444C}"/>
    <cellStyle name="Comma 2 2 6 7 2 2" xfId="28914" xr:uid="{BB3C0D9C-2DF0-487C-864C-CB3DDB1F2766}"/>
    <cellStyle name="Comma 2 2 6 7 2 2 2" xfId="59154" xr:uid="{4100C650-5B69-49D0-B586-C49AAC6FCAF0}"/>
    <cellStyle name="Comma 2 2 6 7 2 3" xfId="44034" xr:uid="{6EF8C391-7B9D-4490-9FC9-B6F9C9B2EFFE}"/>
    <cellStyle name="Comma 2 2 6 7 3" xfId="19842" xr:uid="{4BF41A59-FF09-4439-8351-706114C0CEBD}"/>
    <cellStyle name="Comma 2 2 6 7 3 2" xfId="50082" xr:uid="{D71D77ED-C93E-45FD-BEA8-931DD0F4ACDF}"/>
    <cellStyle name="Comma 2 2 6 7 4" xfId="34962" xr:uid="{A2D373A8-C32F-4620-8403-46A107CECE95}"/>
    <cellStyle name="Comma 2 2 6 8" xfId="6234" xr:uid="{0BEB1960-694D-4429-9258-0D0A8BAA732D}"/>
    <cellStyle name="Comma 2 2 6 8 2" xfId="21354" xr:uid="{68E5AE5D-0DEB-49CF-8F67-388491A0A0FF}"/>
    <cellStyle name="Comma 2 2 6 8 2 2" xfId="51594" xr:uid="{978650FE-7F48-4BD1-8BA9-B0BFC77FD368}"/>
    <cellStyle name="Comma 2 2 6 8 3" xfId="36474" xr:uid="{90A4866F-30F1-481A-AD27-4E5ADAB0A4D2}"/>
    <cellStyle name="Comma 2 2 6 9" xfId="7746" xr:uid="{83F34D38-227E-4C09-9D15-3A3B498DD6CA}"/>
    <cellStyle name="Comma 2 2 6 9 2" xfId="22866" xr:uid="{3804516B-0FB2-4C10-ACCD-48FF7E1AD301}"/>
    <cellStyle name="Comma 2 2 6 9 2 2" xfId="53106" xr:uid="{2BDEDF57-DC32-4ED3-8E3F-D59288A6111B}"/>
    <cellStyle name="Comma 2 2 6 9 3" xfId="37986" xr:uid="{F055E081-C5E0-49DB-82C2-86227B305991}"/>
    <cellStyle name="Comma 2 2 7" xfId="270" xr:uid="{4A1D19A8-A63B-456B-A64F-F370BA6D42DD}"/>
    <cellStyle name="Comma 2 2 7 10" xfId="30510" xr:uid="{1B84E995-D915-4443-B157-F0BED5C145A5}"/>
    <cellStyle name="Comma 2 2 7 2" xfId="1026" xr:uid="{1EB761D5-7626-46CF-A437-A49483622294}"/>
    <cellStyle name="Comma 2 2 7 2 2" xfId="2538" xr:uid="{017BAD9E-A35B-4D8B-96C9-39ABAF3A712E}"/>
    <cellStyle name="Comma 2 2 7 2 2 2" xfId="11610" xr:uid="{35B7E36F-B58D-4AAA-A714-6CF6DA3371FF}"/>
    <cellStyle name="Comma 2 2 7 2 2 2 2" xfId="26730" xr:uid="{A194FD80-42F9-44C7-874D-A9253787B13C}"/>
    <cellStyle name="Comma 2 2 7 2 2 2 2 2" xfId="56970" xr:uid="{C34F8BC1-4B7D-4555-A65C-6077A25EDC3D}"/>
    <cellStyle name="Comma 2 2 7 2 2 2 3" xfId="41850" xr:uid="{1FA77084-C805-46CA-B3DE-0964C9A7382C}"/>
    <cellStyle name="Comma 2 2 7 2 2 3" xfId="17658" xr:uid="{01878BDC-AB82-474A-9D3F-358DCB48EF29}"/>
    <cellStyle name="Comma 2 2 7 2 2 3 2" xfId="47898" xr:uid="{035AC2A9-131B-4D5E-9480-217888980D16}"/>
    <cellStyle name="Comma 2 2 7 2 2 4" xfId="32778" xr:uid="{7D40720A-B75D-4FA7-90B5-EB4BC13F2736}"/>
    <cellStyle name="Comma 2 2 7 2 3" xfId="4050" xr:uid="{B110C475-A510-40BA-AC2D-2286BABEA343}"/>
    <cellStyle name="Comma 2 2 7 2 3 2" xfId="13122" xr:uid="{208D3E5E-1553-41D9-80C1-29BC40738D70}"/>
    <cellStyle name="Comma 2 2 7 2 3 2 2" xfId="28242" xr:uid="{EB9AE815-68F5-4116-B3F7-5DC86E8C2434}"/>
    <cellStyle name="Comma 2 2 7 2 3 2 2 2" xfId="58482" xr:uid="{9D47F055-4072-42CE-B381-FA25F0D07AF5}"/>
    <cellStyle name="Comma 2 2 7 2 3 2 3" xfId="43362" xr:uid="{83F54E4D-E88A-440B-B5BC-046CAEDEF162}"/>
    <cellStyle name="Comma 2 2 7 2 3 3" xfId="19170" xr:uid="{2F5CB162-3C62-4DF8-9A3A-95FA1AAC51F2}"/>
    <cellStyle name="Comma 2 2 7 2 3 3 2" xfId="49410" xr:uid="{1B0E129B-C431-40B8-95AF-1BB1615739F7}"/>
    <cellStyle name="Comma 2 2 7 2 3 4" xfId="34290" xr:uid="{57ACC021-1508-45FA-A044-9E02BC56F2EB}"/>
    <cellStyle name="Comma 2 2 7 2 4" xfId="5562" xr:uid="{A107335B-9946-4697-A840-85B5A0AF6257}"/>
    <cellStyle name="Comma 2 2 7 2 4 2" xfId="14634" xr:uid="{C113CE51-2BE1-41D5-8D1A-9736377A67C7}"/>
    <cellStyle name="Comma 2 2 7 2 4 2 2" xfId="29754" xr:uid="{E197FF47-91D0-42FA-9FF3-11D7ED3D29DA}"/>
    <cellStyle name="Comma 2 2 7 2 4 2 2 2" xfId="59994" xr:uid="{424EB905-66DB-4AA9-9984-1C6D457E03DC}"/>
    <cellStyle name="Comma 2 2 7 2 4 2 3" xfId="44874" xr:uid="{ABB8A21D-60A7-4129-9583-9A38D2AAB88D}"/>
    <cellStyle name="Comma 2 2 7 2 4 3" xfId="20682" xr:uid="{EBA27D66-E9CE-496E-80E3-18D60853434A}"/>
    <cellStyle name="Comma 2 2 7 2 4 3 2" xfId="50922" xr:uid="{473F704F-A63C-4C76-9C8E-09D6D06DA196}"/>
    <cellStyle name="Comma 2 2 7 2 4 4" xfId="35802" xr:uid="{214DFB94-14C9-4F10-8FAF-B9B283E963D9}"/>
    <cellStyle name="Comma 2 2 7 2 5" xfId="7074" xr:uid="{DFB32ED3-6F95-469B-AAEE-3EB88A0C82D0}"/>
    <cellStyle name="Comma 2 2 7 2 5 2" xfId="22194" xr:uid="{7FEC34AB-AB58-43CD-883D-9E86884A693B}"/>
    <cellStyle name="Comma 2 2 7 2 5 2 2" xfId="52434" xr:uid="{443FC187-17FC-4944-8AAA-A4F86133E3CE}"/>
    <cellStyle name="Comma 2 2 7 2 5 3" xfId="37314" xr:uid="{804EB186-2289-4068-9331-D6EF86977F1E}"/>
    <cellStyle name="Comma 2 2 7 2 6" xfId="8586" xr:uid="{5C4F7300-5305-40C1-9972-AE17EE492461}"/>
    <cellStyle name="Comma 2 2 7 2 6 2" xfId="23706" xr:uid="{45953DB6-9BDB-4063-8AB6-57D79BDC5BC3}"/>
    <cellStyle name="Comma 2 2 7 2 6 2 2" xfId="53946" xr:uid="{3E37F131-31E4-4816-9C27-D314509E23C5}"/>
    <cellStyle name="Comma 2 2 7 2 6 3" xfId="38826" xr:uid="{BADEC83E-E0B3-4509-B4A3-D9FD236C9132}"/>
    <cellStyle name="Comma 2 2 7 2 7" xfId="10098" xr:uid="{94DA1D0F-80EB-4B4F-B00A-1AA7FE9FBF4D}"/>
    <cellStyle name="Comma 2 2 7 2 7 2" xfId="25218" xr:uid="{FB1FB219-FC0D-42DC-8B2F-E0B5BA9684BB}"/>
    <cellStyle name="Comma 2 2 7 2 7 2 2" xfId="55458" xr:uid="{BA49A8DC-E0C2-497D-9C93-7B48795DD3C3}"/>
    <cellStyle name="Comma 2 2 7 2 7 3" xfId="40338" xr:uid="{918F81D0-4E62-4214-98C2-11C5B374797B}"/>
    <cellStyle name="Comma 2 2 7 2 8" xfId="16146" xr:uid="{09D38E00-FF03-4783-8556-3600A6EC155D}"/>
    <cellStyle name="Comma 2 2 7 2 8 2" xfId="46386" xr:uid="{CCE4F4AB-AD9B-4878-B6BB-33728CF26C6B}"/>
    <cellStyle name="Comma 2 2 7 2 9" xfId="31266" xr:uid="{2D0ED349-70B6-4EA4-80C7-8129BEDD2899}"/>
    <cellStyle name="Comma 2 2 7 3" xfId="1782" xr:uid="{6F532FC6-25C8-4E6C-BB1F-B3FB81AB1FB1}"/>
    <cellStyle name="Comma 2 2 7 3 2" xfId="10854" xr:uid="{FA169C9D-9D66-47A0-84DB-D6A81AB4C09E}"/>
    <cellStyle name="Comma 2 2 7 3 2 2" xfId="25974" xr:uid="{B098B273-5FA3-4C1A-8CA2-CE89D5BB0022}"/>
    <cellStyle name="Comma 2 2 7 3 2 2 2" xfId="56214" xr:uid="{B4945D71-77BE-4A0E-B411-37A1A4A1DFE2}"/>
    <cellStyle name="Comma 2 2 7 3 2 3" xfId="41094" xr:uid="{812D60E5-0990-4610-B94A-42A4D47F2507}"/>
    <cellStyle name="Comma 2 2 7 3 3" xfId="16902" xr:uid="{865D9863-DD77-4523-9A95-9DF0EDEEC4C9}"/>
    <cellStyle name="Comma 2 2 7 3 3 2" xfId="47142" xr:uid="{084EEBA7-058C-45BC-9491-6F2DAC7B1456}"/>
    <cellStyle name="Comma 2 2 7 3 4" xfId="32022" xr:uid="{D647C4E6-B2A7-4A47-880C-3804EC72F161}"/>
    <cellStyle name="Comma 2 2 7 4" xfId="3294" xr:uid="{BCAB9A12-8C5F-404D-9992-DF70ED003C18}"/>
    <cellStyle name="Comma 2 2 7 4 2" xfId="12366" xr:uid="{7B15DBC8-14D9-4D7C-B76F-022BFE7E0BDA}"/>
    <cellStyle name="Comma 2 2 7 4 2 2" xfId="27486" xr:uid="{4A634030-199D-4CB0-BD93-CF7CDF177842}"/>
    <cellStyle name="Comma 2 2 7 4 2 2 2" xfId="57726" xr:uid="{834ED910-8F90-4808-9231-38F3DC650DCC}"/>
    <cellStyle name="Comma 2 2 7 4 2 3" xfId="42606" xr:uid="{F1949746-F4BB-4721-9534-99C103C8C754}"/>
    <cellStyle name="Comma 2 2 7 4 3" xfId="18414" xr:uid="{AB14BB00-9C0A-47B1-AB99-3F3CA816584E}"/>
    <cellStyle name="Comma 2 2 7 4 3 2" xfId="48654" xr:uid="{377FAC75-A107-4E84-AE49-4459BCCF7B20}"/>
    <cellStyle name="Comma 2 2 7 4 4" xfId="33534" xr:uid="{A08AB0BF-08A9-4EA8-AB2E-DF4A657A8E39}"/>
    <cellStyle name="Comma 2 2 7 5" xfId="4806" xr:uid="{B89B44BB-8DD4-486D-A737-1E21E25E5B61}"/>
    <cellStyle name="Comma 2 2 7 5 2" xfId="13878" xr:uid="{E85CDC6E-643B-4F64-BF92-02D8576E98F3}"/>
    <cellStyle name="Comma 2 2 7 5 2 2" xfId="28998" xr:uid="{8DA3AAB0-5525-4D45-B247-546A3BDAD8B4}"/>
    <cellStyle name="Comma 2 2 7 5 2 2 2" xfId="59238" xr:uid="{221D5DC3-858E-4588-9DF7-212DCFE1E086}"/>
    <cellStyle name="Comma 2 2 7 5 2 3" xfId="44118" xr:uid="{72D40B23-75C5-4FCE-BAC7-802C07DF81E5}"/>
    <cellStyle name="Comma 2 2 7 5 3" xfId="19926" xr:uid="{F62133E6-3EEB-4824-A329-AD5C35615D10}"/>
    <cellStyle name="Comma 2 2 7 5 3 2" xfId="50166" xr:uid="{999907AA-141F-48E2-9187-02EB66403F41}"/>
    <cellStyle name="Comma 2 2 7 5 4" xfId="35046" xr:uid="{B7D3CE8E-D809-41C7-A839-15B8ACCE3F26}"/>
    <cellStyle name="Comma 2 2 7 6" xfId="6318" xr:uid="{3FF44EB6-DAD7-4A93-93A2-AC6A7109F7EC}"/>
    <cellStyle name="Comma 2 2 7 6 2" xfId="21438" xr:uid="{2280E068-2C85-4EBE-8CAF-1EC998ED7E7B}"/>
    <cellStyle name="Comma 2 2 7 6 2 2" xfId="51678" xr:uid="{55C6387A-EF34-4DAE-AABE-EC9092D9E261}"/>
    <cellStyle name="Comma 2 2 7 6 3" xfId="36558" xr:uid="{CF2F5FF5-7EB9-46D1-8FE5-C27F4E8F483D}"/>
    <cellStyle name="Comma 2 2 7 7" xfId="7830" xr:uid="{3A98B574-42B3-43BE-B7AE-8080FBAB28FC}"/>
    <cellStyle name="Comma 2 2 7 7 2" xfId="22950" xr:uid="{46F429C3-9F1E-40D4-A6EE-1676719DE296}"/>
    <cellStyle name="Comma 2 2 7 7 2 2" xfId="53190" xr:uid="{0FCE2020-0E78-436D-9C81-8C20A342A534}"/>
    <cellStyle name="Comma 2 2 7 7 3" xfId="38070" xr:uid="{8E318237-77DD-429E-88CD-813711ED6F5D}"/>
    <cellStyle name="Comma 2 2 7 8" xfId="9342" xr:uid="{E39BE946-66FF-4EDD-8579-2C17F0FB7AC9}"/>
    <cellStyle name="Comma 2 2 7 8 2" xfId="24462" xr:uid="{6414C9BA-0B52-4CAF-BFD3-28D9D9EDE900}"/>
    <cellStyle name="Comma 2 2 7 8 2 2" xfId="54702" xr:uid="{513AB9AF-F3D7-46F4-91FA-0508FD44694B}"/>
    <cellStyle name="Comma 2 2 7 8 3" xfId="39582" xr:uid="{ACA8D0E1-38ED-41DE-997B-0F7A29E942EC}"/>
    <cellStyle name="Comma 2 2 7 9" xfId="15390" xr:uid="{C5AAE53B-AE2D-446C-98BE-F4DA17959CF3}"/>
    <cellStyle name="Comma 2 2 7 9 2" xfId="45630" xr:uid="{763FB5FC-28C9-4DBD-8090-BB275EDCCFD2}"/>
    <cellStyle name="Comma 2 2 8" xfId="522" xr:uid="{1BE250B9-5ABD-4918-B25C-C3D4CA8D8458}"/>
    <cellStyle name="Comma 2 2 8 10" xfId="30762" xr:uid="{CD91B043-E69B-4FEC-B658-93EBE9C14AD5}"/>
    <cellStyle name="Comma 2 2 8 2" xfId="1278" xr:uid="{E1E636B8-96E2-466D-99AB-342E96D29C6B}"/>
    <cellStyle name="Comma 2 2 8 2 2" xfId="2790" xr:uid="{9652F596-02AB-465D-8717-BB60611022F7}"/>
    <cellStyle name="Comma 2 2 8 2 2 2" xfId="11862" xr:uid="{B7B186D9-2C0F-43D3-8271-620357A0869A}"/>
    <cellStyle name="Comma 2 2 8 2 2 2 2" xfId="26982" xr:uid="{E50789CA-FA0C-4C70-9B49-7B5FB584E449}"/>
    <cellStyle name="Comma 2 2 8 2 2 2 2 2" xfId="57222" xr:uid="{F03DD2A9-9513-4308-88EA-95F7446642B3}"/>
    <cellStyle name="Comma 2 2 8 2 2 2 3" xfId="42102" xr:uid="{A40E7523-645A-47AA-8968-155BCF030201}"/>
    <cellStyle name="Comma 2 2 8 2 2 3" xfId="17910" xr:uid="{B288D716-4E4D-49AA-A91F-F6F04D7300D2}"/>
    <cellStyle name="Comma 2 2 8 2 2 3 2" xfId="48150" xr:uid="{29EDAE59-1F09-4E9C-88B1-1D691B80DB4D}"/>
    <cellStyle name="Comma 2 2 8 2 2 4" xfId="33030" xr:uid="{17A9C6E2-05C2-48BA-BE5A-68E6038EC65F}"/>
    <cellStyle name="Comma 2 2 8 2 3" xfId="4302" xr:uid="{CB93CFE6-A85B-4AD8-BCF3-E02EDAB4A894}"/>
    <cellStyle name="Comma 2 2 8 2 3 2" xfId="13374" xr:uid="{EFABD6BF-BFE7-49E4-B870-C95C807C9F68}"/>
    <cellStyle name="Comma 2 2 8 2 3 2 2" xfId="28494" xr:uid="{49AF1A84-6E09-41A5-9E2C-FFB75A221D25}"/>
    <cellStyle name="Comma 2 2 8 2 3 2 2 2" xfId="58734" xr:uid="{AEC83591-A144-4743-9A0C-6AC3AEF33E91}"/>
    <cellStyle name="Comma 2 2 8 2 3 2 3" xfId="43614" xr:uid="{5644056F-1351-45ED-ADF2-4B84722C93A0}"/>
    <cellStyle name="Comma 2 2 8 2 3 3" xfId="19422" xr:uid="{66FC7CDE-C165-459E-B851-E990AD8C69BB}"/>
    <cellStyle name="Comma 2 2 8 2 3 3 2" xfId="49662" xr:uid="{886F1FA6-41FD-4919-A01A-CB3D4A50C5BF}"/>
    <cellStyle name="Comma 2 2 8 2 3 4" xfId="34542" xr:uid="{943487AA-9FF3-4360-B777-4A917D315AD3}"/>
    <cellStyle name="Comma 2 2 8 2 4" xfId="5814" xr:uid="{1218350C-F3BB-4B9C-8B32-CF4E94A93BF9}"/>
    <cellStyle name="Comma 2 2 8 2 4 2" xfId="14886" xr:uid="{51A53A7E-BBB5-459B-8EC1-A95BF5A710D2}"/>
    <cellStyle name="Comma 2 2 8 2 4 2 2" xfId="30006" xr:uid="{ADD8237B-50A8-4EBA-95C0-517092536601}"/>
    <cellStyle name="Comma 2 2 8 2 4 2 2 2" xfId="60246" xr:uid="{D7E1D3B1-D8E9-4A18-A4D8-4D497DA59ACE}"/>
    <cellStyle name="Comma 2 2 8 2 4 2 3" xfId="45126" xr:uid="{76D18A44-17A5-41CF-9A0E-0E7948CB7ACD}"/>
    <cellStyle name="Comma 2 2 8 2 4 3" xfId="20934" xr:uid="{E22E8B91-4017-4EB9-97D9-EEE99C5A4B28}"/>
    <cellStyle name="Comma 2 2 8 2 4 3 2" xfId="51174" xr:uid="{2E155123-5F31-47AE-AD0C-4B91D60ADBFA}"/>
    <cellStyle name="Comma 2 2 8 2 4 4" xfId="36054" xr:uid="{0BC5CB42-49E4-4C7B-97CB-8CAF8D77A787}"/>
    <cellStyle name="Comma 2 2 8 2 5" xfId="7326" xr:uid="{4FBDF1FA-0031-4B5B-AEA5-B8A3CF842CEF}"/>
    <cellStyle name="Comma 2 2 8 2 5 2" xfId="22446" xr:uid="{CFE653B5-0CAA-43D7-B5B0-51AE6D2E6D63}"/>
    <cellStyle name="Comma 2 2 8 2 5 2 2" xfId="52686" xr:uid="{A0BD9C99-8960-4C9C-8D08-EF015AD15535}"/>
    <cellStyle name="Comma 2 2 8 2 5 3" xfId="37566" xr:uid="{B85E1318-FEDD-4845-9294-269499705D4F}"/>
    <cellStyle name="Comma 2 2 8 2 6" xfId="8838" xr:uid="{2AA4E026-CE4B-4B3D-B0CD-BE622BCBEBB7}"/>
    <cellStyle name="Comma 2 2 8 2 6 2" xfId="23958" xr:uid="{790D9033-C35F-4F1C-B748-D8C13169046C}"/>
    <cellStyle name="Comma 2 2 8 2 6 2 2" xfId="54198" xr:uid="{56F4C742-D7A0-4B1F-95A0-CDDAE2A24256}"/>
    <cellStyle name="Comma 2 2 8 2 6 3" xfId="39078" xr:uid="{39A741B6-BB64-4D7A-B99E-364B9FCE72D3}"/>
    <cellStyle name="Comma 2 2 8 2 7" xfId="10350" xr:uid="{121C3127-BBD9-4950-A12C-4D2CE6F976E5}"/>
    <cellStyle name="Comma 2 2 8 2 7 2" xfId="25470" xr:uid="{CEDF1A3E-21F4-477C-B062-14D9DDDEA99A}"/>
    <cellStyle name="Comma 2 2 8 2 7 2 2" xfId="55710" xr:uid="{8777D555-C11B-4BE0-8445-BF0860C89FDF}"/>
    <cellStyle name="Comma 2 2 8 2 7 3" xfId="40590" xr:uid="{BA3DCB48-5407-44E9-BA68-2F487A185F1A}"/>
    <cellStyle name="Comma 2 2 8 2 8" xfId="16398" xr:uid="{7D3A8BA1-E779-4B41-8030-C369F9BA7B18}"/>
    <cellStyle name="Comma 2 2 8 2 8 2" xfId="46638" xr:uid="{0C0D2AF5-4006-4646-A204-005000B6625F}"/>
    <cellStyle name="Comma 2 2 8 2 9" xfId="31518" xr:uid="{BE0AC78B-831E-41E7-8B0F-95A67F9D1314}"/>
    <cellStyle name="Comma 2 2 8 3" xfId="2034" xr:uid="{895928C9-309F-483D-A2AE-B75E86A24AF3}"/>
    <cellStyle name="Comma 2 2 8 3 2" xfId="11106" xr:uid="{544EDBBD-9E06-41E6-9EF2-8205689DB619}"/>
    <cellStyle name="Comma 2 2 8 3 2 2" xfId="26226" xr:uid="{9E80EC85-521E-4D2B-A07D-90BAE5FA22EA}"/>
    <cellStyle name="Comma 2 2 8 3 2 2 2" xfId="56466" xr:uid="{3FCF3111-50AF-47F9-A4D4-BA5D95D5FB53}"/>
    <cellStyle name="Comma 2 2 8 3 2 3" xfId="41346" xr:uid="{F3E76348-E21C-439C-8D3B-C4B81C32BB9E}"/>
    <cellStyle name="Comma 2 2 8 3 3" xfId="17154" xr:uid="{B7B2781B-432D-4622-A516-9FE0D54DB644}"/>
    <cellStyle name="Comma 2 2 8 3 3 2" xfId="47394" xr:uid="{CEA0E395-B48D-4C01-9312-77D972ED54DB}"/>
    <cellStyle name="Comma 2 2 8 3 4" xfId="32274" xr:uid="{5908AFD4-125E-4246-B959-5AAAAFFF765C}"/>
    <cellStyle name="Comma 2 2 8 4" xfId="3546" xr:uid="{573D0467-03A4-437A-B1A8-66F387C44327}"/>
    <cellStyle name="Comma 2 2 8 4 2" xfId="12618" xr:uid="{4A2C1802-B55D-4AB7-AD2D-750CC946B367}"/>
    <cellStyle name="Comma 2 2 8 4 2 2" xfId="27738" xr:uid="{4B2A44E4-4942-4774-BBF1-D4F592B3FC6A}"/>
    <cellStyle name="Comma 2 2 8 4 2 2 2" xfId="57978" xr:uid="{E45DD3C5-B271-435F-B3F4-739AA4255E79}"/>
    <cellStyle name="Comma 2 2 8 4 2 3" xfId="42858" xr:uid="{45BCF21A-4342-4415-B564-D147FBCB4021}"/>
    <cellStyle name="Comma 2 2 8 4 3" xfId="18666" xr:uid="{DEEEE258-E6C9-4EE2-90C4-E7A95264845B}"/>
    <cellStyle name="Comma 2 2 8 4 3 2" xfId="48906" xr:uid="{5795242C-446D-4310-8AFA-9E01E71DC9F0}"/>
    <cellStyle name="Comma 2 2 8 4 4" xfId="33786" xr:uid="{1A2652DE-4CEA-4D00-A8C9-FF069FA62F62}"/>
    <cellStyle name="Comma 2 2 8 5" xfId="5058" xr:uid="{B1B82B25-4901-4125-94D0-85B471480B17}"/>
    <cellStyle name="Comma 2 2 8 5 2" xfId="14130" xr:uid="{783E4DCF-0EBD-4C32-BDE7-68295E9570D1}"/>
    <cellStyle name="Comma 2 2 8 5 2 2" xfId="29250" xr:uid="{2389C8F7-2BEA-4D41-BFEA-76E468674618}"/>
    <cellStyle name="Comma 2 2 8 5 2 2 2" xfId="59490" xr:uid="{3798D5B4-C73E-4828-AE9F-3F33E7E7ABCB}"/>
    <cellStyle name="Comma 2 2 8 5 2 3" xfId="44370" xr:uid="{04F4731D-8202-4480-9AA0-92DDC8649A30}"/>
    <cellStyle name="Comma 2 2 8 5 3" xfId="20178" xr:uid="{7A8C104B-DCE9-4C03-B389-9F6174467AB8}"/>
    <cellStyle name="Comma 2 2 8 5 3 2" xfId="50418" xr:uid="{ADE994E1-6C35-42BF-A317-2F9709C3B9FE}"/>
    <cellStyle name="Comma 2 2 8 5 4" xfId="35298" xr:uid="{DB29BE3D-2D33-496A-8AD7-260ACDBF7F05}"/>
    <cellStyle name="Comma 2 2 8 6" xfId="6570" xr:uid="{B68E72C2-8CCD-4204-A42C-05AB78032238}"/>
    <cellStyle name="Comma 2 2 8 6 2" xfId="21690" xr:uid="{7CCE9E5D-23AB-447F-A29E-5612E1220ED8}"/>
    <cellStyle name="Comma 2 2 8 6 2 2" xfId="51930" xr:uid="{E23FA05E-4ACD-4A6A-BF51-4C57A6FDA634}"/>
    <cellStyle name="Comma 2 2 8 6 3" xfId="36810" xr:uid="{74AB74D6-7B9B-4FB8-8C54-D6DD95264EF9}"/>
    <cellStyle name="Comma 2 2 8 7" xfId="8082" xr:uid="{A78DE8A4-FFEA-426A-9E06-825F70720DFA}"/>
    <cellStyle name="Comma 2 2 8 7 2" xfId="23202" xr:uid="{698E998B-0D28-46CC-B6DA-CE3178AA8B0B}"/>
    <cellStyle name="Comma 2 2 8 7 2 2" xfId="53442" xr:uid="{F0ABBB4D-CB73-4CE8-9AEA-D85F36DD88CA}"/>
    <cellStyle name="Comma 2 2 8 7 3" xfId="38322" xr:uid="{633ACA99-C74E-4AFC-B912-FA2CBA197718}"/>
    <cellStyle name="Comma 2 2 8 8" xfId="9594" xr:uid="{18248F46-5DD4-4ABC-BFEE-AFDED3D0C782}"/>
    <cellStyle name="Comma 2 2 8 8 2" xfId="24714" xr:uid="{D10DD126-18C4-4AFB-A040-EFE063134C93}"/>
    <cellStyle name="Comma 2 2 8 8 2 2" xfId="54954" xr:uid="{CA0B9450-5E68-473C-8199-084B06E1D43C}"/>
    <cellStyle name="Comma 2 2 8 8 3" xfId="39834" xr:uid="{A700668E-5EEA-4046-B75E-9F9B729BDFFC}"/>
    <cellStyle name="Comma 2 2 8 9" xfId="15642" xr:uid="{67481E3E-8305-4B7F-8D4A-6EFBBB4813DB}"/>
    <cellStyle name="Comma 2 2 8 9 2" xfId="45882" xr:uid="{9A3C186D-2840-40D0-BA8B-34559389A173}"/>
    <cellStyle name="Comma 2 2 9" xfId="774" xr:uid="{C58D47B0-C686-4FE6-BCA9-9B2802750AD8}"/>
    <cellStyle name="Comma 2 2 9 2" xfId="2286" xr:uid="{6D2FFE64-7A0F-4CBC-A0A1-5DE93FE0ED14}"/>
    <cellStyle name="Comma 2 2 9 2 2" xfId="11358" xr:uid="{2F3819C5-24B2-4A48-9FF2-BE2F61872B5D}"/>
    <cellStyle name="Comma 2 2 9 2 2 2" xfId="26478" xr:uid="{820BF318-C8B3-4A8C-AB18-8DB17219C920}"/>
    <cellStyle name="Comma 2 2 9 2 2 2 2" xfId="56718" xr:uid="{C2DE89D4-319B-438F-8334-14FE57626710}"/>
    <cellStyle name="Comma 2 2 9 2 2 3" xfId="41598" xr:uid="{D36E3C2E-2C33-4125-A8CC-343BAD8DA089}"/>
    <cellStyle name="Comma 2 2 9 2 3" xfId="17406" xr:uid="{AF9AFA3E-00BE-44AD-99F5-031BAD74A924}"/>
    <cellStyle name="Comma 2 2 9 2 3 2" xfId="47646" xr:uid="{7BDC414B-DADD-4B24-9E6F-C1B39148EA0D}"/>
    <cellStyle name="Comma 2 2 9 2 4" xfId="32526" xr:uid="{968F44B9-CF58-4833-AB03-6D9355F9A29A}"/>
    <cellStyle name="Comma 2 2 9 3" xfId="3798" xr:uid="{BA9790D9-D2C1-40DF-84D6-73C2C8F374D7}"/>
    <cellStyle name="Comma 2 2 9 3 2" xfId="12870" xr:uid="{13FB07B0-B666-4A22-8614-CBB3DC3D8C5A}"/>
    <cellStyle name="Comma 2 2 9 3 2 2" xfId="27990" xr:uid="{BC3F0644-599F-4C3C-8C26-D2B96B212896}"/>
    <cellStyle name="Comma 2 2 9 3 2 2 2" xfId="58230" xr:uid="{7A24F913-A612-4A4C-AE1D-E1F02A415272}"/>
    <cellStyle name="Comma 2 2 9 3 2 3" xfId="43110" xr:uid="{9607CF1C-B5B0-4BF2-9CF7-7082F3D464BD}"/>
    <cellStyle name="Comma 2 2 9 3 3" xfId="18918" xr:uid="{E87605D7-B99B-41B0-B6D1-4BE7D7E55C0C}"/>
    <cellStyle name="Comma 2 2 9 3 3 2" xfId="49158" xr:uid="{0EF4905B-A750-4418-9206-49D4208B9988}"/>
    <cellStyle name="Comma 2 2 9 3 4" xfId="34038" xr:uid="{B168FD41-0A13-4DBC-9E51-26B72E048B6F}"/>
    <cellStyle name="Comma 2 2 9 4" xfId="5310" xr:uid="{D504ED9E-147A-4409-A491-76C0F1ED40CD}"/>
    <cellStyle name="Comma 2 2 9 4 2" xfId="14382" xr:uid="{6B608C39-F064-40DC-B1CD-331514287FE8}"/>
    <cellStyle name="Comma 2 2 9 4 2 2" xfId="29502" xr:uid="{687E0CFB-56A7-48BC-8AC1-19D954065CC7}"/>
    <cellStyle name="Comma 2 2 9 4 2 2 2" xfId="59742" xr:uid="{C1E8CFE2-3FD8-4B66-951B-BC8C6C495A20}"/>
    <cellStyle name="Comma 2 2 9 4 2 3" xfId="44622" xr:uid="{E3238648-8CC1-4106-A63F-D5E468FD8CD4}"/>
    <cellStyle name="Comma 2 2 9 4 3" xfId="20430" xr:uid="{119D2E1B-0517-441E-8C32-3BE68B4CDF8D}"/>
    <cellStyle name="Comma 2 2 9 4 3 2" xfId="50670" xr:uid="{79AE1159-3301-4FFA-8F8F-3E25B6640EC5}"/>
    <cellStyle name="Comma 2 2 9 4 4" xfId="35550" xr:uid="{5D1DF001-B1D4-4EA0-B65A-C1312A75374C}"/>
    <cellStyle name="Comma 2 2 9 5" xfId="6822" xr:uid="{940B0192-C52E-49BA-AB5B-BE3A833D86D1}"/>
    <cellStyle name="Comma 2 2 9 5 2" xfId="21942" xr:uid="{F52D80BE-6860-4FF1-893B-E5FFC4939615}"/>
    <cellStyle name="Comma 2 2 9 5 2 2" xfId="52182" xr:uid="{93762781-C007-4997-9655-328488553FF6}"/>
    <cellStyle name="Comma 2 2 9 5 3" xfId="37062" xr:uid="{67A5F0E6-2DF1-4355-9BD6-A3F158E1BA06}"/>
    <cellStyle name="Comma 2 2 9 6" xfId="8334" xr:uid="{5928A574-3813-4368-82A8-762916F333E0}"/>
    <cellStyle name="Comma 2 2 9 6 2" xfId="23454" xr:uid="{018A644B-6C0B-4118-A292-151E24069A9F}"/>
    <cellStyle name="Comma 2 2 9 6 2 2" xfId="53694" xr:uid="{3FA23133-1F4A-4C6B-A5F3-B654DDDE03FE}"/>
    <cellStyle name="Comma 2 2 9 6 3" xfId="38574" xr:uid="{76C97675-6AD3-44C9-A3B1-40D26DC11914}"/>
    <cellStyle name="Comma 2 2 9 7" xfId="9846" xr:uid="{FD37D53F-38A5-4BCA-9E7C-DA447D923648}"/>
    <cellStyle name="Comma 2 2 9 7 2" xfId="24966" xr:uid="{E13B586C-A882-4843-A56B-85CD439B896B}"/>
    <cellStyle name="Comma 2 2 9 7 2 2" xfId="55206" xr:uid="{FE43861D-85A1-43CE-A758-A62690800E9F}"/>
    <cellStyle name="Comma 2 2 9 7 3" xfId="40086" xr:uid="{2DEB47BB-A5BF-4768-9017-1C1B8612ABBA}"/>
    <cellStyle name="Comma 2 2 9 8" xfId="15894" xr:uid="{3D18C39D-92CA-4EE2-A0D3-6CFDD7E34998}"/>
    <cellStyle name="Comma 2 2 9 8 2" xfId="46134" xr:uid="{D7A3B2C1-D8CF-499F-999E-0809B440FF43}"/>
    <cellStyle name="Comma 2 2 9 9" xfId="31014" xr:uid="{BC811B50-C21E-4939-A9E8-2F09219DCCED}"/>
    <cellStyle name="Comma 2 20" xfId="60495" xr:uid="{F186D2B3-AED6-41AE-B128-19A626D73974}"/>
    <cellStyle name="Comma 2 21" xfId="60501" xr:uid="{7C04542C-91B6-4B83-8661-5B4E630B2BE2}"/>
    <cellStyle name="Comma 2 22" xfId="60505" xr:uid="{8FCF17C7-AD31-430C-8C72-3B10061B2994}"/>
    <cellStyle name="Comma 2 23" xfId="7" xr:uid="{57A7A4B6-A6C7-415D-B297-B398A2152414}"/>
    <cellStyle name="Comma 2 3" xfId="29" xr:uid="{D4D619A7-0354-4F7F-B5EE-BE20BED1558C}"/>
    <cellStyle name="Comma 2 3 10" xfId="4565" xr:uid="{235F7812-BCF2-4DBF-BF9B-5E180AFC4243}"/>
    <cellStyle name="Comma 2 3 10 2" xfId="13637" xr:uid="{DAFCD797-501C-4389-872E-488731AE44A9}"/>
    <cellStyle name="Comma 2 3 10 2 2" xfId="28757" xr:uid="{E20CD1BF-97C5-4FAD-8934-F924E7EAFBBA}"/>
    <cellStyle name="Comma 2 3 10 2 2 2" xfId="58997" xr:uid="{854F622B-7901-412D-9DBF-017D49247DD8}"/>
    <cellStyle name="Comma 2 3 10 2 3" xfId="43877" xr:uid="{5ECAC383-8CF0-490C-AB91-AA82C07F94FF}"/>
    <cellStyle name="Comma 2 3 10 3" xfId="19685" xr:uid="{A1EBDC83-6130-4CF6-B0BE-48195DCDC93B}"/>
    <cellStyle name="Comma 2 3 10 3 2" xfId="49925" xr:uid="{A52EF6BE-EEE0-464C-B8C9-54B067ADD917}"/>
    <cellStyle name="Comma 2 3 10 4" xfId="34805" xr:uid="{23A5FF72-ABDB-401D-A761-F54FDB8AFC10}"/>
    <cellStyle name="Comma 2 3 11" xfId="6077" xr:uid="{0B1D01DF-9B09-4CDE-A95B-AACB93AFB7F2}"/>
    <cellStyle name="Comma 2 3 11 2" xfId="21197" xr:uid="{13E0B65A-8E9E-4F12-B43A-9B99F5142548}"/>
    <cellStyle name="Comma 2 3 11 2 2" xfId="51437" xr:uid="{D431003E-714C-4B81-99A3-F67C1A62EDAF}"/>
    <cellStyle name="Comma 2 3 11 3" xfId="36317" xr:uid="{D564F6CA-B03C-4718-B766-9C427F0BEF77}"/>
    <cellStyle name="Comma 2 3 12" xfId="7589" xr:uid="{EE07C244-DC40-4123-92E1-1B8680F2DC35}"/>
    <cellStyle name="Comma 2 3 12 2" xfId="22709" xr:uid="{7EC4B451-48BC-4E4F-B156-3A13F2AF39A1}"/>
    <cellStyle name="Comma 2 3 12 2 2" xfId="52949" xr:uid="{E84B8BA6-1311-4C88-81E8-AA493C39B96F}"/>
    <cellStyle name="Comma 2 3 12 3" xfId="37829" xr:uid="{BCB56297-4DE5-43F0-A939-96ACC6DCC35F}"/>
    <cellStyle name="Comma 2 3 13" xfId="9101" xr:uid="{E40C2107-03AA-4015-A79F-7A65138F2790}"/>
    <cellStyle name="Comma 2 3 13 2" xfId="24221" xr:uid="{5C9B9202-48F8-4BF2-82C5-24C10F85139C}"/>
    <cellStyle name="Comma 2 3 13 2 2" xfId="54461" xr:uid="{C98D38F7-4D31-422A-9E83-B25AE00CF295}"/>
    <cellStyle name="Comma 2 3 13 3" xfId="39341" xr:uid="{88FA383A-23AA-4E18-867D-7A04F41C0D1D}"/>
    <cellStyle name="Comma 2 3 14" xfId="15149" xr:uid="{558A8F89-8559-44FE-A508-98AEE755F29B}"/>
    <cellStyle name="Comma 2 3 14 2" xfId="45389" xr:uid="{61D7F479-6114-4C21-BE88-861C9BDE3930}"/>
    <cellStyle name="Comma 2 3 15" xfId="30269" xr:uid="{7559DD5F-BF71-446A-B4D6-9D3228A9C2EC}"/>
    <cellStyle name="Comma 2 3 2" xfId="71" xr:uid="{59F602B4-9D2F-48B7-B21B-9FA5E6A997D1}"/>
    <cellStyle name="Comma 2 3 2 10" xfId="6119" xr:uid="{3475A02D-9B70-4C10-80C8-D4868BF864A2}"/>
    <cellStyle name="Comma 2 3 2 10 2" xfId="21239" xr:uid="{2FAC4D4A-EA33-4138-B128-B60F56CA9EC4}"/>
    <cellStyle name="Comma 2 3 2 10 2 2" xfId="51479" xr:uid="{F43CB789-39D7-45D3-8E12-5863F4B53C7C}"/>
    <cellStyle name="Comma 2 3 2 10 3" xfId="36359" xr:uid="{1DDEE133-F582-4504-9133-1BA34C1EAFC8}"/>
    <cellStyle name="Comma 2 3 2 11" xfId="7631" xr:uid="{085BA654-922D-4340-A024-30CAADD8C8BA}"/>
    <cellStyle name="Comma 2 3 2 11 2" xfId="22751" xr:uid="{9110F259-4400-4004-9DF1-46547BB56727}"/>
    <cellStyle name="Comma 2 3 2 11 2 2" xfId="52991" xr:uid="{3F505FAB-7143-4868-98FB-791F3316B55B}"/>
    <cellStyle name="Comma 2 3 2 11 3" xfId="37871" xr:uid="{AE8470E6-2B80-4AB3-B1C3-75158EBC69AC}"/>
    <cellStyle name="Comma 2 3 2 12" xfId="9143" xr:uid="{785FDC24-89DD-481D-A84C-29B1E9B6C570}"/>
    <cellStyle name="Comma 2 3 2 12 2" xfId="24263" xr:uid="{9CE03C56-9F9E-4506-B1C8-8538AFBD8D56}"/>
    <cellStyle name="Comma 2 3 2 12 2 2" xfId="54503" xr:uid="{76457956-E62E-4CDA-8B09-C74EDE979FE0}"/>
    <cellStyle name="Comma 2 3 2 12 3" xfId="39383" xr:uid="{56B60813-B4DD-4820-B645-BDD72987D471}"/>
    <cellStyle name="Comma 2 3 2 13" xfId="15191" xr:uid="{7E5EBFC6-2C67-4EA0-ABE5-8C355BF6716A}"/>
    <cellStyle name="Comma 2 3 2 13 2" xfId="45431" xr:uid="{17E87C10-0053-491B-8A6A-BAAD0B6E7A59}"/>
    <cellStyle name="Comma 2 3 2 14" xfId="30311" xr:uid="{F1DF9CA7-4570-4B54-B08E-56A7ABDC3015}"/>
    <cellStyle name="Comma 2 3 2 2" xfId="155" xr:uid="{85D8D162-13B5-4731-AD4E-8175144A4059}"/>
    <cellStyle name="Comma 2 3 2 2 10" xfId="9227" xr:uid="{080A3933-8AA4-4F86-90F0-064F8D6F6CE7}"/>
    <cellStyle name="Comma 2 3 2 2 10 2" xfId="24347" xr:uid="{A4C6C91C-3F3B-413C-A28C-5384338E5DB3}"/>
    <cellStyle name="Comma 2 3 2 2 10 2 2" xfId="54587" xr:uid="{CDD9B97A-3F4E-444F-A61C-FBE174E3AFD2}"/>
    <cellStyle name="Comma 2 3 2 2 10 3" xfId="39467" xr:uid="{5EEB373D-DD8D-4948-B9F4-75B3F75F08A3}"/>
    <cellStyle name="Comma 2 3 2 2 11" xfId="15275" xr:uid="{75DBF3A2-A916-4881-9EC5-86A98143C1FA}"/>
    <cellStyle name="Comma 2 3 2 2 11 2" xfId="45515" xr:uid="{DCA2F4F1-C8C1-4845-BB8A-9419C6507BCE}"/>
    <cellStyle name="Comma 2 3 2 2 12" xfId="30395" xr:uid="{0102B66E-2A05-4907-AC8D-EF1B6A8FF1E4}"/>
    <cellStyle name="Comma 2 3 2 2 2" xfId="407" xr:uid="{088DCE0C-4890-41EA-ADE8-718347AC73CC}"/>
    <cellStyle name="Comma 2 3 2 2 2 10" xfId="30647" xr:uid="{D1E7DBA7-88F3-4B4E-825A-4E28B052B2C5}"/>
    <cellStyle name="Comma 2 3 2 2 2 2" xfId="1163" xr:uid="{983B210A-4125-4A7F-BD0D-32071E53FDD3}"/>
    <cellStyle name="Comma 2 3 2 2 2 2 2" xfId="2675" xr:uid="{46D37233-6449-45A5-8F5F-8D90F5F21ADA}"/>
    <cellStyle name="Comma 2 3 2 2 2 2 2 2" xfId="11747" xr:uid="{31151A57-521A-4BA6-9371-22D9B33376E8}"/>
    <cellStyle name="Comma 2 3 2 2 2 2 2 2 2" xfId="26867" xr:uid="{A6CF629F-6031-48E9-972A-D5535FC689AD}"/>
    <cellStyle name="Comma 2 3 2 2 2 2 2 2 2 2" xfId="57107" xr:uid="{5ED23B93-E3C7-4B7F-A197-2BF88E208C63}"/>
    <cellStyle name="Comma 2 3 2 2 2 2 2 2 3" xfId="41987" xr:uid="{D3B5B56F-4CB6-4E62-9896-A4B7CC18BD30}"/>
    <cellStyle name="Comma 2 3 2 2 2 2 2 3" xfId="17795" xr:uid="{56382EEA-F99E-4696-92F6-DFDE53AF3885}"/>
    <cellStyle name="Comma 2 3 2 2 2 2 2 3 2" xfId="48035" xr:uid="{CCEE6AE1-9497-4F45-A51D-F9B8A5857778}"/>
    <cellStyle name="Comma 2 3 2 2 2 2 2 4" xfId="32915" xr:uid="{F4196169-49DE-4D8C-83CD-F3CAFE107518}"/>
    <cellStyle name="Comma 2 3 2 2 2 2 3" xfId="4187" xr:uid="{604772BE-6A36-4624-BA46-CC7452242B16}"/>
    <cellStyle name="Comma 2 3 2 2 2 2 3 2" xfId="13259" xr:uid="{512EDB2C-03AA-4EEF-9AF5-0387E5D07D78}"/>
    <cellStyle name="Comma 2 3 2 2 2 2 3 2 2" xfId="28379" xr:uid="{B78073CD-00A4-4592-8F37-A9B4B0318D71}"/>
    <cellStyle name="Comma 2 3 2 2 2 2 3 2 2 2" xfId="58619" xr:uid="{44F265C6-C681-4645-9395-F8DAD7A65AD7}"/>
    <cellStyle name="Comma 2 3 2 2 2 2 3 2 3" xfId="43499" xr:uid="{788B5DB5-B868-4299-ADD5-599D58F204FB}"/>
    <cellStyle name="Comma 2 3 2 2 2 2 3 3" xfId="19307" xr:uid="{89377EFE-2336-460F-9EA1-643048C7A886}"/>
    <cellStyle name="Comma 2 3 2 2 2 2 3 3 2" xfId="49547" xr:uid="{FFFBC9D4-75B2-4616-B948-C0696AF76067}"/>
    <cellStyle name="Comma 2 3 2 2 2 2 3 4" xfId="34427" xr:uid="{1C2D20E8-E471-4A23-9794-ED172CC74C38}"/>
    <cellStyle name="Comma 2 3 2 2 2 2 4" xfId="5699" xr:uid="{02DAB065-2A75-4028-B3B6-4438B42EF35D}"/>
    <cellStyle name="Comma 2 3 2 2 2 2 4 2" xfId="14771" xr:uid="{4AF4F4C8-8604-4010-8C2B-616640A9F30A}"/>
    <cellStyle name="Comma 2 3 2 2 2 2 4 2 2" xfId="29891" xr:uid="{E8FE360F-D492-499A-9076-F1EB2B051C84}"/>
    <cellStyle name="Comma 2 3 2 2 2 2 4 2 2 2" xfId="60131" xr:uid="{F2D64A4D-BBF6-48E3-9788-ADAEFF07C127}"/>
    <cellStyle name="Comma 2 3 2 2 2 2 4 2 3" xfId="45011" xr:uid="{70131DB9-F23A-41D7-876A-AAB041B6A754}"/>
    <cellStyle name="Comma 2 3 2 2 2 2 4 3" xfId="20819" xr:uid="{D8B50C22-3682-4A37-8042-EE5BB25F32D7}"/>
    <cellStyle name="Comma 2 3 2 2 2 2 4 3 2" xfId="51059" xr:uid="{6F2CA0C6-FEA6-4941-AC4E-153C5939D30B}"/>
    <cellStyle name="Comma 2 3 2 2 2 2 4 4" xfId="35939" xr:uid="{9D43F8C7-8501-4FD6-A5D0-6F3E66ED662D}"/>
    <cellStyle name="Comma 2 3 2 2 2 2 5" xfId="7211" xr:uid="{B9B3CC8B-1533-4AD7-93AE-2856D8A60F57}"/>
    <cellStyle name="Comma 2 3 2 2 2 2 5 2" xfId="22331" xr:uid="{802A3515-257F-410E-99CC-55D259C501C7}"/>
    <cellStyle name="Comma 2 3 2 2 2 2 5 2 2" xfId="52571" xr:uid="{DD851719-FA69-4682-A8A9-B38A05529142}"/>
    <cellStyle name="Comma 2 3 2 2 2 2 5 3" xfId="37451" xr:uid="{3210A1AD-CB13-4595-8B3E-A87575EAE5C9}"/>
    <cellStyle name="Comma 2 3 2 2 2 2 6" xfId="8723" xr:uid="{5D52563A-23E4-4018-891E-D22523CA784F}"/>
    <cellStyle name="Comma 2 3 2 2 2 2 6 2" xfId="23843" xr:uid="{8D61D38D-19E6-476B-9BA5-8844BDD2FAE3}"/>
    <cellStyle name="Comma 2 3 2 2 2 2 6 2 2" xfId="54083" xr:uid="{60B5A4AB-75C7-463F-9704-70FF77D33CF6}"/>
    <cellStyle name="Comma 2 3 2 2 2 2 6 3" xfId="38963" xr:uid="{309E8ACB-E5E7-45B2-9F02-72C28A95F4A8}"/>
    <cellStyle name="Comma 2 3 2 2 2 2 7" xfId="10235" xr:uid="{6039B1B3-4222-448B-8098-2C9539CF9CF3}"/>
    <cellStyle name="Comma 2 3 2 2 2 2 7 2" xfId="25355" xr:uid="{4A5E0F28-2832-4528-8064-46210395B749}"/>
    <cellStyle name="Comma 2 3 2 2 2 2 7 2 2" xfId="55595" xr:uid="{79F6B23E-81CF-4E41-AA3E-32558D4AEC74}"/>
    <cellStyle name="Comma 2 3 2 2 2 2 7 3" xfId="40475" xr:uid="{F1DF299F-2BD3-4053-B3BF-152E6B6BC0FA}"/>
    <cellStyle name="Comma 2 3 2 2 2 2 8" xfId="16283" xr:uid="{DA08FF30-DFF2-4E86-A40A-136822305BE7}"/>
    <cellStyle name="Comma 2 3 2 2 2 2 8 2" xfId="46523" xr:uid="{91C7AA91-1BAA-4E98-995E-CEBAA8701126}"/>
    <cellStyle name="Comma 2 3 2 2 2 2 9" xfId="31403" xr:uid="{AF058B40-0D71-4EED-8EE1-7A19C0CEEB03}"/>
    <cellStyle name="Comma 2 3 2 2 2 3" xfId="1919" xr:uid="{EA3C5B85-8D68-420C-8AE5-3873791BC87B}"/>
    <cellStyle name="Comma 2 3 2 2 2 3 2" xfId="10991" xr:uid="{FF325EF0-2849-4653-A652-26959FFF8F5A}"/>
    <cellStyle name="Comma 2 3 2 2 2 3 2 2" xfId="26111" xr:uid="{F3E01D6B-917F-4D84-8B73-DB34DBD5CB24}"/>
    <cellStyle name="Comma 2 3 2 2 2 3 2 2 2" xfId="56351" xr:uid="{5CB0691C-4FFA-45CC-A4EC-EFE031D6C98A}"/>
    <cellStyle name="Comma 2 3 2 2 2 3 2 3" xfId="41231" xr:uid="{D65B8DC0-8667-40F0-9FC2-D15CC6733864}"/>
    <cellStyle name="Comma 2 3 2 2 2 3 3" xfId="17039" xr:uid="{F9CEABE0-A319-49DA-B236-CF766256B776}"/>
    <cellStyle name="Comma 2 3 2 2 2 3 3 2" xfId="47279" xr:uid="{EE3BC4A9-49B5-40BC-912A-F162BF4EB9D8}"/>
    <cellStyle name="Comma 2 3 2 2 2 3 4" xfId="32159" xr:uid="{0E0E1A15-A296-4472-970D-57E49A703D7F}"/>
    <cellStyle name="Comma 2 3 2 2 2 4" xfId="3431" xr:uid="{95CEEA5C-D477-4DB3-BB15-09D782D2061F}"/>
    <cellStyle name="Comma 2 3 2 2 2 4 2" xfId="12503" xr:uid="{7143746A-3204-46B6-98A0-D7FE5B1D5212}"/>
    <cellStyle name="Comma 2 3 2 2 2 4 2 2" xfId="27623" xr:uid="{4667481F-3CD2-412B-97AE-9B3BFA6BD578}"/>
    <cellStyle name="Comma 2 3 2 2 2 4 2 2 2" xfId="57863" xr:uid="{EBD73BEA-9C01-4AC4-89D0-E5925D6BA872}"/>
    <cellStyle name="Comma 2 3 2 2 2 4 2 3" xfId="42743" xr:uid="{26115C8C-4450-47F7-A39F-8193558962D2}"/>
    <cellStyle name="Comma 2 3 2 2 2 4 3" xfId="18551" xr:uid="{80DA1AC1-3EBE-436C-B38E-3DC8D25F6887}"/>
    <cellStyle name="Comma 2 3 2 2 2 4 3 2" xfId="48791" xr:uid="{0E401AB6-18E9-45E8-B353-3F3B1C9DEC70}"/>
    <cellStyle name="Comma 2 3 2 2 2 4 4" xfId="33671" xr:uid="{05D319D8-7D57-4DF6-B272-AB5250F9EEB2}"/>
    <cellStyle name="Comma 2 3 2 2 2 5" xfId="4943" xr:uid="{B12779C1-7AA9-483B-AC22-2DDC8C55358C}"/>
    <cellStyle name="Comma 2 3 2 2 2 5 2" xfId="14015" xr:uid="{35803679-E3CE-440C-9965-20655548CA21}"/>
    <cellStyle name="Comma 2 3 2 2 2 5 2 2" xfId="29135" xr:uid="{76E0F894-721B-46E9-B21A-778579CEEFF0}"/>
    <cellStyle name="Comma 2 3 2 2 2 5 2 2 2" xfId="59375" xr:uid="{C934E02F-9BDC-41C8-AE58-F97ACC41214C}"/>
    <cellStyle name="Comma 2 3 2 2 2 5 2 3" xfId="44255" xr:uid="{5C24E9C7-6701-4BDB-B91B-6F25839237F4}"/>
    <cellStyle name="Comma 2 3 2 2 2 5 3" xfId="20063" xr:uid="{139F6FCB-F3B0-43D9-A0F4-EB9BB094280B}"/>
    <cellStyle name="Comma 2 3 2 2 2 5 3 2" xfId="50303" xr:uid="{354E84F7-57D2-4DBD-B504-07AE6934C1BC}"/>
    <cellStyle name="Comma 2 3 2 2 2 5 4" xfId="35183" xr:uid="{9AC924B6-912F-47A2-BF71-3389B7AE5C65}"/>
    <cellStyle name="Comma 2 3 2 2 2 6" xfId="6455" xr:uid="{617BCC93-7AC9-4894-AAF6-00DBDDAAF0B4}"/>
    <cellStyle name="Comma 2 3 2 2 2 6 2" xfId="21575" xr:uid="{610FBC85-E0BF-403B-9CD5-B19074B2127B}"/>
    <cellStyle name="Comma 2 3 2 2 2 6 2 2" xfId="51815" xr:uid="{85FD8BCA-AE1C-4105-9054-BE824F5267D6}"/>
    <cellStyle name="Comma 2 3 2 2 2 6 3" xfId="36695" xr:uid="{8CAC43D3-36C5-4DA0-8334-8C72C0E09642}"/>
    <cellStyle name="Comma 2 3 2 2 2 7" xfId="7967" xr:uid="{6F67556D-CBF0-42F0-AE24-401E4B7FB0BB}"/>
    <cellStyle name="Comma 2 3 2 2 2 7 2" xfId="23087" xr:uid="{51975B15-3E6C-44E1-BF29-9B606C1DB7D9}"/>
    <cellStyle name="Comma 2 3 2 2 2 7 2 2" xfId="53327" xr:uid="{DAD3C9BB-8354-4334-8BA5-88A6E4DF075E}"/>
    <cellStyle name="Comma 2 3 2 2 2 7 3" xfId="38207" xr:uid="{DFF52B08-951B-44DB-8F23-A49228716CAD}"/>
    <cellStyle name="Comma 2 3 2 2 2 8" xfId="9479" xr:uid="{7077506A-8B77-4719-904F-6D8EB9D63E01}"/>
    <cellStyle name="Comma 2 3 2 2 2 8 2" xfId="24599" xr:uid="{3A4059F1-BB3E-43EB-9F49-83A2BB58E899}"/>
    <cellStyle name="Comma 2 3 2 2 2 8 2 2" xfId="54839" xr:uid="{762B96AE-4408-4255-AB46-C41CEE3E0D6E}"/>
    <cellStyle name="Comma 2 3 2 2 2 8 3" xfId="39719" xr:uid="{8016F3AD-3DB5-4DD3-AD31-872ED8C7E62C}"/>
    <cellStyle name="Comma 2 3 2 2 2 9" xfId="15527" xr:uid="{A27FAD0C-8365-44FD-82FE-31324CB87D61}"/>
    <cellStyle name="Comma 2 3 2 2 2 9 2" xfId="45767" xr:uid="{0E24A307-8FB4-4FFA-A53B-5A0E5649B41A}"/>
    <cellStyle name="Comma 2 3 2 2 3" xfId="659" xr:uid="{B288AC8B-7FA6-48AC-B226-A931E5A6602F}"/>
    <cellStyle name="Comma 2 3 2 2 3 10" xfId="30899" xr:uid="{0686EF0F-2D51-4AE5-A47C-72CD701DE1D6}"/>
    <cellStyle name="Comma 2 3 2 2 3 2" xfId="1415" xr:uid="{70D7C36B-D574-4E63-9F30-FC17DFBD5F4A}"/>
    <cellStyle name="Comma 2 3 2 2 3 2 2" xfId="2927" xr:uid="{683C35C3-0C06-49D9-AC0D-E1EB644DE623}"/>
    <cellStyle name="Comma 2 3 2 2 3 2 2 2" xfId="11999" xr:uid="{1829E932-030F-4B5C-A845-CDCA4EBB3AA0}"/>
    <cellStyle name="Comma 2 3 2 2 3 2 2 2 2" xfId="27119" xr:uid="{656119D8-CB9D-4EE3-83A3-4DB80176D8C6}"/>
    <cellStyle name="Comma 2 3 2 2 3 2 2 2 2 2" xfId="57359" xr:uid="{765C88FE-A0B1-4351-BD8B-DCCDC3583EE2}"/>
    <cellStyle name="Comma 2 3 2 2 3 2 2 2 3" xfId="42239" xr:uid="{601F0D20-4713-4C97-A961-D14999C54A55}"/>
    <cellStyle name="Comma 2 3 2 2 3 2 2 3" xfId="18047" xr:uid="{205FC732-8216-44CB-BF21-16157183FA80}"/>
    <cellStyle name="Comma 2 3 2 2 3 2 2 3 2" xfId="48287" xr:uid="{FA512A74-89C2-4A5D-AD97-A753551BA64F}"/>
    <cellStyle name="Comma 2 3 2 2 3 2 2 4" xfId="33167" xr:uid="{5921EA02-B66D-4032-8A1B-F82C3DCAEBE3}"/>
    <cellStyle name="Comma 2 3 2 2 3 2 3" xfId="4439" xr:uid="{59868549-55CB-4B64-A394-EA39D3B1CFA5}"/>
    <cellStyle name="Comma 2 3 2 2 3 2 3 2" xfId="13511" xr:uid="{CCC7C732-B06D-49A6-897E-980FC055D115}"/>
    <cellStyle name="Comma 2 3 2 2 3 2 3 2 2" xfId="28631" xr:uid="{AD6F4040-0328-4A47-8D67-2F138D4EAE79}"/>
    <cellStyle name="Comma 2 3 2 2 3 2 3 2 2 2" xfId="58871" xr:uid="{416FD016-4A97-4993-9ED7-77C4C8BD3533}"/>
    <cellStyle name="Comma 2 3 2 2 3 2 3 2 3" xfId="43751" xr:uid="{0BAFB1A1-BFC9-400C-B2DB-C5CF5A098A07}"/>
    <cellStyle name="Comma 2 3 2 2 3 2 3 3" xfId="19559" xr:uid="{0551F0A0-DF6B-4B92-B300-2C65DBA78EED}"/>
    <cellStyle name="Comma 2 3 2 2 3 2 3 3 2" xfId="49799" xr:uid="{E6E7F454-85F5-4701-9846-AC947C5C3488}"/>
    <cellStyle name="Comma 2 3 2 2 3 2 3 4" xfId="34679" xr:uid="{049917ED-5B69-435F-9025-C6ED0E2CDF95}"/>
    <cellStyle name="Comma 2 3 2 2 3 2 4" xfId="5951" xr:uid="{67A8D9FC-8003-4411-8A36-83BD051E9B07}"/>
    <cellStyle name="Comma 2 3 2 2 3 2 4 2" xfId="15023" xr:uid="{F22D98F6-6384-4BC4-902C-075CA94EB961}"/>
    <cellStyle name="Comma 2 3 2 2 3 2 4 2 2" xfId="30143" xr:uid="{E9B51AEC-4ACC-487D-93A9-E232E2C029CE}"/>
    <cellStyle name="Comma 2 3 2 2 3 2 4 2 2 2" xfId="60383" xr:uid="{24DE2296-1D74-4269-9476-1D4EA4556897}"/>
    <cellStyle name="Comma 2 3 2 2 3 2 4 2 3" xfId="45263" xr:uid="{4289B573-4B97-48CC-8CBF-8730DD1E0486}"/>
    <cellStyle name="Comma 2 3 2 2 3 2 4 3" xfId="21071" xr:uid="{BA7E5821-F7A9-4661-9E3F-1155B97CCDC5}"/>
    <cellStyle name="Comma 2 3 2 2 3 2 4 3 2" xfId="51311" xr:uid="{5EABB7FC-F9FF-4F45-B217-868F90706FD7}"/>
    <cellStyle name="Comma 2 3 2 2 3 2 4 4" xfId="36191" xr:uid="{4CCF14B6-999B-47E1-8F2A-6E5970EA3608}"/>
    <cellStyle name="Comma 2 3 2 2 3 2 5" xfId="7463" xr:uid="{10F8EA29-A4D8-49F8-BF26-19E017C7A9E0}"/>
    <cellStyle name="Comma 2 3 2 2 3 2 5 2" xfId="22583" xr:uid="{9F703EDB-EC2C-4E51-AD21-EE4286223619}"/>
    <cellStyle name="Comma 2 3 2 2 3 2 5 2 2" xfId="52823" xr:uid="{3B9781E0-C0AA-4C09-B6D1-1DAF7544A460}"/>
    <cellStyle name="Comma 2 3 2 2 3 2 5 3" xfId="37703" xr:uid="{D5E7FB5B-C125-4DF2-9AC0-FCAB51C49401}"/>
    <cellStyle name="Comma 2 3 2 2 3 2 6" xfId="8975" xr:uid="{1E1DD14C-4CB5-4DBC-800C-A8ACCCC22C8E}"/>
    <cellStyle name="Comma 2 3 2 2 3 2 6 2" xfId="24095" xr:uid="{22B68247-AB08-4764-9F55-FDC2998FE3C2}"/>
    <cellStyle name="Comma 2 3 2 2 3 2 6 2 2" xfId="54335" xr:uid="{05522B7E-19BC-481F-8315-50A532D87476}"/>
    <cellStyle name="Comma 2 3 2 2 3 2 6 3" xfId="39215" xr:uid="{9FC9F7B5-8045-4A55-B9E1-558682433385}"/>
    <cellStyle name="Comma 2 3 2 2 3 2 7" xfId="10487" xr:uid="{65641EDF-7206-4146-BF67-B263E445D3D5}"/>
    <cellStyle name="Comma 2 3 2 2 3 2 7 2" xfId="25607" xr:uid="{0C498F5D-C7EC-49EE-B641-A1D96E665A1D}"/>
    <cellStyle name="Comma 2 3 2 2 3 2 7 2 2" xfId="55847" xr:uid="{FBB15E23-4C72-4EE8-8D02-17CEEBC6EAF4}"/>
    <cellStyle name="Comma 2 3 2 2 3 2 7 3" xfId="40727" xr:uid="{71A1BA42-0937-4F66-B0FF-29AFA03EBC19}"/>
    <cellStyle name="Comma 2 3 2 2 3 2 8" xfId="16535" xr:uid="{7A2F1BD6-DC44-4C72-B4DB-838CDA489615}"/>
    <cellStyle name="Comma 2 3 2 2 3 2 8 2" xfId="46775" xr:uid="{300DE2B6-F21E-4738-9D53-60A8CE272EAA}"/>
    <cellStyle name="Comma 2 3 2 2 3 2 9" xfId="31655" xr:uid="{B2024E39-C806-4DC9-B85B-9A9837E35DAF}"/>
    <cellStyle name="Comma 2 3 2 2 3 3" xfId="2171" xr:uid="{069E9BE5-2D82-4477-8B98-6CAA5674ABFF}"/>
    <cellStyle name="Comma 2 3 2 2 3 3 2" xfId="11243" xr:uid="{08CEAE15-2E46-4B57-8B36-D18746BA0930}"/>
    <cellStyle name="Comma 2 3 2 2 3 3 2 2" xfId="26363" xr:uid="{D6AA19BC-62A4-482F-A62A-09C99C4D8490}"/>
    <cellStyle name="Comma 2 3 2 2 3 3 2 2 2" xfId="56603" xr:uid="{CECE87CA-50CA-4A35-85D1-8D12169F40A5}"/>
    <cellStyle name="Comma 2 3 2 2 3 3 2 3" xfId="41483" xr:uid="{5ED371E4-3DA2-4E69-A73F-EB6487D79177}"/>
    <cellStyle name="Comma 2 3 2 2 3 3 3" xfId="17291" xr:uid="{B5BB2DCB-A57A-4030-BF22-748F4872A6A4}"/>
    <cellStyle name="Comma 2 3 2 2 3 3 3 2" xfId="47531" xr:uid="{6C020476-C756-4567-AAED-D98AE0B55CCB}"/>
    <cellStyle name="Comma 2 3 2 2 3 3 4" xfId="32411" xr:uid="{B84C5454-3958-4C78-9C71-B06DE42E3A46}"/>
    <cellStyle name="Comma 2 3 2 2 3 4" xfId="3683" xr:uid="{6597E4A0-7DF1-4170-9E9D-0DC34B839F41}"/>
    <cellStyle name="Comma 2 3 2 2 3 4 2" xfId="12755" xr:uid="{3D6B88F3-A30C-4214-AA86-D47C0083A4B0}"/>
    <cellStyle name="Comma 2 3 2 2 3 4 2 2" xfId="27875" xr:uid="{CED0BAE7-4A68-46C6-8DAD-8C9EE636388F}"/>
    <cellStyle name="Comma 2 3 2 2 3 4 2 2 2" xfId="58115" xr:uid="{BE730996-72C8-42E0-9BD5-EAFFC0947129}"/>
    <cellStyle name="Comma 2 3 2 2 3 4 2 3" xfId="42995" xr:uid="{2036899D-BDE9-4DAE-960F-F9339CA44479}"/>
    <cellStyle name="Comma 2 3 2 2 3 4 3" xfId="18803" xr:uid="{4BE6EAEB-1790-415E-A04B-4445B375EF0E}"/>
    <cellStyle name="Comma 2 3 2 2 3 4 3 2" xfId="49043" xr:uid="{D4EF57B6-3E46-4A01-96D8-0DBBA157A482}"/>
    <cellStyle name="Comma 2 3 2 2 3 4 4" xfId="33923" xr:uid="{E0C7C33C-C49D-495F-8631-197A10867060}"/>
    <cellStyle name="Comma 2 3 2 2 3 5" xfId="5195" xr:uid="{F80BFD14-A86E-4FEA-B525-D08B34AA9625}"/>
    <cellStyle name="Comma 2 3 2 2 3 5 2" xfId="14267" xr:uid="{3BBB14D2-FA94-40CC-90F3-3373EE0EF17D}"/>
    <cellStyle name="Comma 2 3 2 2 3 5 2 2" xfId="29387" xr:uid="{78A8C514-A0A5-448D-80C5-ABCF5A492774}"/>
    <cellStyle name="Comma 2 3 2 2 3 5 2 2 2" xfId="59627" xr:uid="{936180FE-2D19-4E1D-AA11-F33117A3E637}"/>
    <cellStyle name="Comma 2 3 2 2 3 5 2 3" xfId="44507" xr:uid="{2FE6533F-9132-46F7-A386-32E9D6238EC2}"/>
    <cellStyle name="Comma 2 3 2 2 3 5 3" xfId="20315" xr:uid="{E839D83C-20BA-447C-9622-8C5CAA7A2932}"/>
    <cellStyle name="Comma 2 3 2 2 3 5 3 2" xfId="50555" xr:uid="{EF466D7E-F323-4D48-A732-A46F56C89A4F}"/>
    <cellStyle name="Comma 2 3 2 2 3 5 4" xfId="35435" xr:uid="{00B1A25C-4391-45FF-B185-130014B03D39}"/>
    <cellStyle name="Comma 2 3 2 2 3 6" xfId="6707" xr:uid="{5BB5A87D-3918-4E18-B359-FBC6D6536CC8}"/>
    <cellStyle name="Comma 2 3 2 2 3 6 2" xfId="21827" xr:uid="{6AF3DE29-1357-4CE4-9E2D-7268C4784F50}"/>
    <cellStyle name="Comma 2 3 2 2 3 6 2 2" xfId="52067" xr:uid="{A22D69DE-45B0-4B6B-BBDE-708567D2CA5C}"/>
    <cellStyle name="Comma 2 3 2 2 3 6 3" xfId="36947" xr:uid="{54BE29BF-AEBC-47EE-AA96-0FD5F19C1C8D}"/>
    <cellStyle name="Comma 2 3 2 2 3 7" xfId="8219" xr:uid="{3E8BB543-2A6F-49FC-ABFA-0B0F1CEA45EB}"/>
    <cellStyle name="Comma 2 3 2 2 3 7 2" xfId="23339" xr:uid="{EA75F53C-DD89-4381-ACED-7969181E6413}"/>
    <cellStyle name="Comma 2 3 2 2 3 7 2 2" xfId="53579" xr:uid="{0B5C4650-2F91-4AB0-A78A-B8D447EBEF99}"/>
    <cellStyle name="Comma 2 3 2 2 3 7 3" xfId="38459" xr:uid="{098C0FD5-E506-47C9-A0C5-D1326A23421A}"/>
    <cellStyle name="Comma 2 3 2 2 3 8" xfId="9731" xr:uid="{BF17FEFB-F44D-422B-BD2E-A5C4EDCEBC2D}"/>
    <cellStyle name="Comma 2 3 2 2 3 8 2" xfId="24851" xr:uid="{477BD52A-F2CC-4325-AD69-7D0BA5CB1E77}"/>
    <cellStyle name="Comma 2 3 2 2 3 8 2 2" xfId="55091" xr:uid="{31FED82F-0725-4020-A337-235A45F4988D}"/>
    <cellStyle name="Comma 2 3 2 2 3 8 3" xfId="39971" xr:uid="{08D0F8A6-D189-43AC-88FF-1B1B9A43F129}"/>
    <cellStyle name="Comma 2 3 2 2 3 9" xfId="15779" xr:uid="{9DD7D293-A4C4-4C6C-96BF-C2209DF1C403}"/>
    <cellStyle name="Comma 2 3 2 2 3 9 2" xfId="46019" xr:uid="{457BE526-BB8C-4F30-B59E-AE322E3E42D3}"/>
    <cellStyle name="Comma 2 3 2 2 4" xfId="911" xr:uid="{E3873356-A0CB-4A5F-9452-8FCEE6BBF1E2}"/>
    <cellStyle name="Comma 2 3 2 2 4 2" xfId="2423" xr:uid="{ED9CEAAD-DE4B-4D36-AE54-CA9963682871}"/>
    <cellStyle name="Comma 2 3 2 2 4 2 2" xfId="11495" xr:uid="{5454873B-D02A-4D72-8CC9-FC641E5D6A09}"/>
    <cellStyle name="Comma 2 3 2 2 4 2 2 2" xfId="26615" xr:uid="{9969A99A-0BFE-4207-AF65-A6ABAC875D00}"/>
    <cellStyle name="Comma 2 3 2 2 4 2 2 2 2" xfId="56855" xr:uid="{C9358402-2A28-4295-AACE-153678292860}"/>
    <cellStyle name="Comma 2 3 2 2 4 2 2 3" xfId="41735" xr:uid="{D58A715E-CB4D-4CB2-9CE4-95AD0ABF9E94}"/>
    <cellStyle name="Comma 2 3 2 2 4 2 3" xfId="17543" xr:uid="{21D9918A-769B-453A-BA61-FAB5398277BC}"/>
    <cellStyle name="Comma 2 3 2 2 4 2 3 2" xfId="47783" xr:uid="{934FF24C-C9E0-433F-AB1C-BD9FDF57D4D9}"/>
    <cellStyle name="Comma 2 3 2 2 4 2 4" xfId="32663" xr:uid="{0F6E945A-11EE-4984-A571-031AA552CA52}"/>
    <cellStyle name="Comma 2 3 2 2 4 3" xfId="3935" xr:uid="{5E51172B-C4CA-4673-85D9-7A69E8F40D9E}"/>
    <cellStyle name="Comma 2 3 2 2 4 3 2" xfId="13007" xr:uid="{334FFA80-E458-497A-809D-70277B92575E}"/>
    <cellStyle name="Comma 2 3 2 2 4 3 2 2" xfId="28127" xr:uid="{002520B5-2790-4189-A771-D04C9156D13B}"/>
    <cellStyle name="Comma 2 3 2 2 4 3 2 2 2" xfId="58367" xr:uid="{3DD2BFDF-AABC-4F34-81E9-1F5DEFFE3950}"/>
    <cellStyle name="Comma 2 3 2 2 4 3 2 3" xfId="43247" xr:uid="{DA8147A4-CB18-4864-B6F6-B4748996F482}"/>
    <cellStyle name="Comma 2 3 2 2 4 3 3" xfId="19055" xr:uid="{17B57832-C2F9-4254-A352-CFBADAFA622B}"/>
    <cellStyle name="Comma 2 3 2 2 4 3 3 2" xfId="49295" xr:uid="{D9111C2F-F821-485B-A750-67B08EA3785A}"/>
    <cellStyle name="Comma 2 3 2 2 4 3 4" xfId="34175" xr:uid="{3019C32F-B649-4109-8A58-219BF15A89E6}"/>
    <cellStyle name="Comma 2 3 2 2 4 4" xfId="5447" xr:uid="{30C44568-C7A2-40AA-A9B0-D3A71B8157EC}"/>
    <cellStyle name="Comma 2 3 2 2 4 4 2" xfId="14519" xr:uid="{75B52AB2-DD16-4D1F-91EC-98E9786338A3}"/>
    <cellStyle name="Comma 2 3 2 2 4 4 2 2" xfId="29639" xr:uid="{D066431E-E3B3-43ED-85A7-58DA57E7E79E}"/>
    <cellStyle name="Comma 2 3 2 2 4 4 2 2 2" xfId="59879" xr:uid="{F017E2FF-6D79-4528-B641-0A0A7E376976}"/>
    <cellStyle name="Comma 2 3 2 2 4 4 2 3" xfId="44759" xr:uid="{C7DD0473-20A7-46BA-B8D0-042E2C522094}"/>
    <cellStyle name="Comma 2 3 2 2 4 4 3" xfId="20567" xr:uid="{3A2AC01D-CB8B-4B98-A16D-75FD0B5563B6}"/>
    <cellStyle name="Comma 2 3 2 2 4 4 3 2" xfId="50807" xr:uid="{1F66379E-6C51-4225-9392-BAE1BDA84BF5}"/>
    <cellStyle name="Comma 2 3 2 2 4 4 4" xfId="35687" xr:uid="{98446666-E67F-49CE-A056-7C7DEC7CAC0B}"/>
    <cellStyle name="Comma 2 3 2 2 4 5" xfId="6959" xr:uid="{A3BA3CFB-D269-43D3-AA1E-B4EE38EFC025}"/>
    <cellStyle name="Comma 2 3 2 2 4 5 2" xfId="22079" xr:uid="{8EB2C5A9-F250-40D0-BD96-4EC8B618C4B8}"/>
    <cellStyle name="Comma 2 3 2 2 4 5 2 2" xfId="52319" xr:uid="{29210420-E379-4EAA-9343-7489B2698E46}"/>
    <cellStyle name="Comma 2 3 2 2 4 5 3" xfId="37199" xr:uid="{61AEFF5C-9C4A-4721-A41B-A2F31812968B}"/>
    <cellStyle name="Comma 2 3 2 2 4 6" xfId="8471" xr:uid="{D95B5D71-9A89-4D07-9444-10A74A202107}"/>
    <cellStyle name="Comma 2 3 2 2 4 6 2" xfId="23591" xr:uid="{0A6DA9EF-BD2B-4C54-AB46-462C35867FD7}"/>
    <cellStyle name="Comma 2 3 2 2 4 6 2 2" xfId="53831" xr:uid="{4A1D5AA9-02A2-4359-8118-1A77A66D1ECC}"/>
    <cellStyle name="Comma 2 3 2 2 4 6 3" xfId="38711" xr:uid="{7C246BE7-1AEA-4DCC-B6DD-6C479E590F89}"/>
    <cellStyle name="Comma 2 3 2 2 4 7" xfId="9983" xr:uid="{61A83AEC-CEC7-447A-906A-A6DEBF6583AA}"/>
    <cellStyle name="Comma 2 3 2 2 4 7 2" xfId="25103" xr:uid="{259D0050-16E6-4D63-989F-81C504061812}"/>
    <cellStyle name="Comma 2 3 2 2 4 7 2 2" xfId="55343" xr:uid="{CD02D829-318E-4A2A-84F6-D14B6D244E04}"/>
    <cellStyle name="Comma 2 3 2 2 4 7 3" xfId="40223" xr:uid="{231509CC-3614-40AA-A1BC-414E3B6FA97F}"/>
    <cellStyle name="Comma 2 3 2 2 4 8" xfId="16031" xr:uid="{B75CC617-F465-4B7C-98AD-1E394670E663}"/>
    <cellStyle name="Comma 2 3 2 2 4 8 2" xfId="46271" xr:uid="{A7B56E90-8617-4EBB-809E-F2B25D53B532}"/>
    <cellStyle name="Comma 2 3 2 2 4 9" xfId="31151" xr:uid="{33E0EB0A-F81A-4DB8-8C13-AF888537F055}"/>
    <cellStyle name="Comma 2 3 2 2 5" xfId="1667" xr:uid="{C80C8E8C-02AF-4765-BFD6-4C72055A03A3}"/>
    <cellStyle name="Comma 2 3 2 2 5 2" xfId="10739" xr:uid="{49E8A859-85CE-4039-A677-15509A22F829}"/>
    <cellStyle name="Comma 2 3 2 2 5 2 2" xfId="25859" xr:uid="{CBDBD213-8D6F-4435-9CA1-DEF4839ED28E}"/>
    <cellStyle name="Comma 2 3 2 2 5 2 2 2" xfId="56099" xr:uid="{1D91AAB8-5841-4296-B0D2-7D94589781D4}"/>
    <cellStyle name="Comma 2 3 2 2 5 2 3" xfId="40979" xr:uid="{ED3603E4-6FC8-4009-A8EE-1EE6B1152E35}"/>
    <cellStyle name="Comma 2 3 2 2 5 3" xfId="16787" xr:uid="{2C2CDD6F-DDD9-4EA5-916A-6284B76C0FA0}"/>
    <cellStyle name="Comma 2 3 2 2 5 3 2" xfId="47027" xr:uid="{7CBDCB57-FA75-4303-BD30-566E7D5A5C4D}"/>
    <cellStyle name="Comma 2 3 2 2 5 4" xfId="31907" xr:uid="{11955FB4-D8B5-428C-AD56-5FF8E7F5FADB}"/>
    <cellStyle name="Comma 2 3 2 2 6" xfId="3179" xr:uid="{551BC8E5-9AD8-4333-8BBE-C7DB4A488C31}"/>
    <cellStyle name="Comma 2 3 2 2 6 2" xfId="12251" xr:uid="{90ED80A2-7B2C-471D-8869-A36B677E1A0D}"/>
    <cellStyle name="Comma 2 3 2 2 6 2 2" xfId="27371" xr:uid="{82AD1C9D-D5A6-4237-8842-B101F1DE8763}"/>
    <cellStyle name="Comma 2 3 2 2 6 2 2 2" xfId="57611" xr:uid="{F7E76CF9-F473-43F8-A60C-51984173716D}"/>
    <cellStyle name="Comma 2 3 2 2 6 2 3" xfId="42491" xr:uid="{A429D6F4-4980-4ABA-AB80-C2F8D0B55B34}"/>
    <cellStyle name="Comma 2 3 2 2 6 3" xfId="18299" xr:uid="{C239F4C0-5A4F-4DEC-A3DD-674E1C0B1B91}"/>
    <cellStyle name="Comma 2 3 2 2 6 3 2" xfId="48539" xr:uid="{5BCE3718-088D-4AE1-B760-6974439BC482}"/>
    <cellStyle name="Comma 2 3 2 2 6 4" xfId="33419" xr:uid="{A9448224-5C18-46D4-B911-320BA13DD31D}"/>
    <cellStyle name="Comma 2 3 2 2 7" xfId="4691" xr:uid="{F06BDCF6-4150-4B15-BD51-032490259D5C}"/>
    <cellStyle name="Comma 2 3 2 2 7 2" xfId="13763" xr:uid="{4B7F9629-2E43-429F-B4F5-3D153492A982}"/>
    <cellStyle name="Comma 2 3 2 2 7 2 2" xfId="28883" xr:uid="{8E2A3CBF-8ADD-49A9-B477-BEC15D8A2A65}"/>
    <cellStyle name="Comma 2 3 2 2 7 2 2 2" xfId="59123" xr:uid="{E4E64BFD-3A1C-4529-8415-AA45FADC6D35}"/>
    <cellStyle name="Comma 2 3 2 2 7 2 3" xfId="44003" xr:uid="{18492687-4B25-469F-A608-6D82D025CF21}"/>
    <cellStyle name="Comma 2 3 2 2 7 3" xfId="19811" xr:uid="{3939788B-A1CF-4D93-B6A8-560CCCB51A9B}"/>
    <cellStyle name="Comma 2 3 2 2 7 3 2" xfId="50051" xr:uid="{5A8B7C70-C321-40BB-8904-4DE425F58A0E}"/>
    <cellStyle name="Comma 2 3 2 2 7 4" xfId="34931" xr:uid="{A910798C-2739-45DA-8686-90877B9D0241}"/>
    <cellStyle name="Comma 2 3 2 2 8" xfId="6203" xr:uid="{E45FBA79-9F82-4CC1-8C3F-1DE7E06F8565}"/>
    <cellStyle name="Comma 2 3 2 2 8 2" xfId="21323" xr:uid="{0C4590C7-13EF-4575-B94C-55710772D8DC}"/>
    <cellStyle name="Comma 2 3 2 2 8 2 2" xfId="51563" xr:uid="{9BED26E7-0B37-4B57-BE63-E0361997A381}"/>
    <cellStyle name="Comma 2 3 2 2 8 3" xfId="36443" xr:uid="{3D985EAE-1B38-4524-8B44-E84F801AF69E}"/>
    <cellStyle name="Comma 2 3 2 2 9" xfId="7715" xr:uid="{E6A81FC6-4E89-4754-B38E-498059A0A73F}"/>
    <cellStyle name="Comma 2 3 2 2 9 2" xfId="22835" xr:uid="{DC367662-D50A-47D3-A009-3BBF2A096C26}"/>
    <cellStyle name="Comma 2 3 2 2 9 2 2" xfId="53075" xr:uid="{08CC27B5-43CA-4EB1-8EF6-58180411D9CC}"/>
    <cellStyle name="Comma 2 3 2 2 9 3" xfId="37955" xr:uid="{8D6B9184-0A91-4E2A-974E-1C98023E03F8}"/>
    <cellStyle name="Comma 2 3 2 3" xfId="239" xr:uid="{0EEA2C27-5653-426B-9592-1BCDF5DE799E}"/>
    <cellStyle name="Comma 2 3 2 3 10" xfId="9311" xr:uid="{407D0D46-699C-44A9-9A25-73FDF900893B}"/>
    <cellStyle name="Comma 2 3 2 3 10 2" xfId="24431" xr:uid="{5D6EA1C5-3A8B-4F1C-93E5-3B3449CEB1FE}"/>
    <cellStyle name="Comma 2 3 2 3 10 2 2" xfId="54671" xr:uid="{A77AE07E-3B63-4F51-98B6-D5DF21845162}"/>
    <cellStyle name="Comma 2 3 2 3 10 3" xfId="39551" xr:uid="{858AA562-C3FB-4338-8F7C-B4AA00331259}"/>
    <cellStyle name="Comma 2 3 2 3 11" xfId="15359" xr:uid="{55E28412-2B35-49A5-9684-F377380D6393}"/>
    <cellStyle name="Comma 2 3 2 3 11 2" xfId="45599" xr:uid="{C67FD65A-B349-48F9-BD6F-A73761066D2E}"/>
    <cellStyle name="Comma 2 3 2 3 12" xfId="30479" xr:uid="{A801608F-1421-4E4A-9A48-2D0F0B2F7810}"/>
    <cellStyle name="Comma 2 3 2 3 2" xfId="491" xr:uid="{A1EA6B0A-D141-458D-98B8-5ACD7BF58384}"/>
    <cellStyle name="Comma 2 3 2 3 2 10" xfId="30731" xr:uid="{C26433D8-FFF3-41BC-8C15-CB5808597954}"/>
    <cellStyle name="Comma 2 3 2 3 2 2" xfId="1247" xr:uid="{080AA7CD-D5F1-4CBC-A731-D82BF0C03801}"/>
    <cellStyle name="Comma 2 3 2 3 2 2 2" xfId="2759" xr:uid="{1606F98C-5DC3-4F60-977A-F986ED18D68F}"/>
    <cellStyle name="Comma 2 3 2 3 2 2 2 2" xfId="11831" xr:uid="{13FF5D9C-4BC5-4F2A-8251-B3A126C8A649}"/>
    <cellStyle name="Comma 2 3 2 3 2 2 2 2 2" xfId="26951" xr:uid="{CFE5BC51-3FA8-4FEB-804B-E8AB1EFCAFE6}"/>
    <cellStyle name="Comma 2 3 2 3 2 2 2 2 2 2" xfId="57191" xr:uid="{418EF2DF-E5E9-4B08-998E-404FB6124D05}"/>
    <cellStyle name="Comma 2 3 2 3 2 2 2 2 3" xfId="42071" xr:uid="{7B723CDF-0987-478B-85A3-E02C694D66C5}"/>
    <cellStyle name="Comma 2 3 2 3 2 2 2 3" xfId="17879" xr:uid="{3C908F23-10F4-413C-B7AD-64CEC5FA79AA}"/>
    <cellStyle name="Comma 2 3 2 3 2 2 2 3 2" xfId="48119" xr:uid="{17DC9180-3FDC-4380-812A-86D366CF7CA2}"/>
    <cellStyle name="Comma 2 3 2 3 2 2 2 4" xfId="32999" xr:uid="{B3860D8B-A3C5-4A45-8E5B-2C77A7EA0F37}"/>
    <cellStyle name="Comma 2 3 2 3 2 2 3" xfId="4271" xr:uid="{A32A3D0C-DFC1-4D42-9B6C-19B05BF3A343}"/>
    <cellStyle name="Comma 2 3 2 3 2 2 3 2" xfId="13343" xr:uid="{2C03DD5C-616B-451E-9085-BCAD2B7255D1}"/>
    <cellStyle name="Comma 2 3 2 3 2 2 3 2 2" xfId="28463" xr:uid="{413A58F5-C74D-4050-837E-4D01031C1468}"/>
    <cellStyle name="Comma 2 3 2 3 2 2 3 2 2 2" xfId="58703" xr:uid="{8D030624-0552-413E-9817-650623C86115}"/>
    <cellStyle name="Comma 2 3 2 3 2 2 3 2 3" xfId="43583" xr:uid="{F7DCCBE5-24D6-4E07-AF1D-F3FF78D06FED}"/>
    <cellStyle name="Comma 2 3 2 3 2 2 3 3" xfId="19391" xr:uid="{334AA17E-A94E-4EFD-8724-492DE2DCC83B}"/>
    <cellStyle name="Comma 2 3 2 3 2 2 3 3 2" xfId="49631" xr:uid="{C5815A61-E80C-44D6-BF81-79F2724EE827}"/>
    <cellStyle name="Comma 2 3 2 3 2 2 3 4" xfId="34511" xr:uid="{2CDCAC99-9904-4E0C-832B-F3AC5213EA06}"/>
    <cellStyle name="Comma 2 3 2 3 2 2 4" xfId="5783" xr:uid="{E7315227-1D0E-4AD8-8378-CFBAD03197BA}"/>
    <cellStyle name="Comma 2 3 2 3 2 2 4 2" xfId="14855" xr:uid="{32761672-5F19-4470-B38E-8FFCDC5C3260}"/>
    <cellStyle name="Comma 2 3 2 3 2 2 4 2 2" xfId="29975" xr:uid="{D708D4A7-0E1B-48A6-ACF6-66CE87D6DBCF}"/>
    <cellStyle name="Comma 2 3 2 3 2 2 4 2 2 2" xfId="60215" xr:uid="{55B2C114-1EDB-4CF7-B6E5-78C78C671F99}"/>
    <cellStyle name="Comma 2 3 2 3 2 2 4 2 3" xfId="45095" xr:uid="{634FC254-755D-4DB7-8C88-10AB1A9419D2}"/>
    <cellStyle name="Comma 2 3 2 3 2 2 4 3" xfId="20903" xr:uid="{9F8CE3F9-4E7F-4087-A1EE-269AE8894DAD}"/>
    <cellStyle name="Comma 2 3 2 3 2 2 4 3 2" xfId="51143" xr:uid="{3B275433-A3D8-4FA9-95FD-AD5E514863FB}"/>
    <cellStyle name="Comma 2 3 2 3 2 2 4 4" xfId="36023" xr:uid="{AEC7ACCE-C2D5-4007-BF7B-D65EF5D2AE34}"/>
    <cellStyle name="Comma 2 3 2 3 2 2 5" xfId="7295" xr:uid="{41F8DC9B-CB85-4864-849D-43166F48F54C}"/>
    <cellStyle name="Comma 2 3 2 3 2 2 5 2" xfId="22415" xr:uid="{C74FF620-60C1-47DA-A87F-334D6020D856}"/>
    <cellStyle name="Comma 2 3 2 3 2 2 5 2 2" xfId="52655" xr:uid="{EE7B4150-06C1-43ED-87AD-B864E9F83CC8}"/>
    <cellStyle name="Comma 2 3 2 3 2 2 5 3" xfId="37535" xr:uid="{66DD5D17-037B-495A-ABE6-AA2E1B99388B}"/>
    <cellStyle name="Comma 2 3 2 3 2 2 6" xfId="8807" xr:uid="{78E66B7D-AC44-488A-A39B-F0B7B262309C}"/>
    <cellStyle name="Comma 2 3 2 3 2 2 6 2" xfId="23927" xr:uid="{BA5DD419-9C7A-4B8C-B48A-83A1F3600399}"/>
    <cellStyle name="Comma 2 3 2 3 2 2 6 2 2" xfId="54167" xr:uid="{F83F32A7-BD2E-4D84-97BA-B487D8D2FAB8}"/>
    <cellStyle name="Comma 2 3 2 3 2 2 6 3" xfId="39047" xr:uid="{1EAB3F20-6E65-4E5E-A0F9-F6C5CF0CD970}"/>
    <cellStyle name="Comma 2 3 2 3 2 2 7" xfId="10319" xr:uid="{86335427-4E28-4264-B8BC-0B5EA2688DDC}"/>
    <cellStyle name="Comma 2 3 2 3 2 2 7 2" xfId="25439" xr:uid="{1CA914F9-2B00-4AAE-8100-A9805BA149EF}"/>
    <cellStyle name="Comma 2 3 2 3 2 2 7 2 2" xfId="55679" xr:uid="{67E6FBD3-A58D-4CAE-B1B4-5B5A0DA59C5B}"/>
    <cellStyle name="Comma 2 3 2 3 2 2 7 3" xfId="40559" xr:uid="{20AE16C8-E956-41FA-9012-1C972694EB9A}"/>
    <cellStyle name="Comma 2 3 2 3 2 2 8" xfId="16367" xr:uid="{672F2D77-AE6C-4578-8BB0-B5FF64CB209E}"/>
    <cellStyle name="Comma 2 3 2 3 2 2 8 2" xfId="46607" xr:uid="{1AF93DD4-793C-42F1-A68E-579AA4B0B6FC}"/>
    <cellStyle name="Comma 2 3 2 3 2 2 9" xfId="31487" xr:uid="{DDF335F2-A063-44C3-8C50-E0F414A39A73}"/>
    <cellStyle name="Comma 2 3 2 3 2 3" xfId="2003" xr:uid="{A338E5B1-FB06-41B7-A949-CD71AC6677AB}"/>
    <cellStyle name="Comma 2 3 2 3 2 3 2" xfId="11075" xr:uid="{2CEB45C4-7D77-420B-A824-6CD95526F7AC}"/>
    <cellStyle name="Comma 2 3 2 3 2 3 2 2" xfId="26195" xr:uid="{F2AC420F-5B5A-4AE1-BB1B-AB1947E6DB21}"/>
    <cellStyle name="Comma 2 3 2 3 2 3 2 2 2" xfId="56435" xr:uid="{41A4CCF5-ED21-4318-8663-8CF516080A9F}"/>
    <cellStyle name="Comma 2 3 2 3 2 3 2 3" xfId="41315" xr:uid="{7D62453A-80D1-4C3D-8852-E9579F70C3D7}"/>
    <cellStyle name="Comma 2 3 2 3 2 3 3" xfId="17123" xr:uid="{B23429DC-625B-4372-82B0-D699A656E08C}"/>
    <cellStyle name="Comma 2 3 2 3 2 3 3 2" xfId="47363" xr:uid="{3159A584-F274-42D3-AC9B-4FA9F55DC7D7}"/>
    <cellStyle name="Comma 2 3 2 3 2 3 4" xfId="32243" xr:uid="{66BBDD15-1080-422A-9DA2-61DFBFEED175}"/>
    <cellStyle name="Comma 2 3 2 3 2 4" xfId="3515" xr:uid="{2EA64755-7725-4AE8-91B0-21F4879A20F7}"/>
    <cellStyle name="Comma 2 3 2 3 2 4 2" xfId="12587" xr:uid="{E1BC9AA7-0278-4D9A-8E37-127C6355F19F}"/>
    <cellStyle name="Comma 2 3 2 3 2 4 2 2" xfId="27707" xr:uid="{28BFD29D-8273-4087-8033-BF8A992B7133}"/>
    <cellStyle name="Comma 2 3 2 3 2 4 2 2 2" xfId="57947" xr:uid="{5DE873FD-4B43-42C3-B02C-72DEE2AD8EF8}"/>
    <cellStyle name="Comma 2 3 2 3 2 4 2 3" xfId="42827" xr:uid="{2BB6F62E-A6EC-4CC2-80CC-9170F938B001}"/>
    <cellStyle name="Comma 2 3 2 3 2 4 3" xfId="18635" xr:uid="{CDAA20A6-8865-43B1-93CE-2A9EB423AC5A}"/>
    <cellStyle name="Comma 2 3 2 3 2 4 3 2" xfId="48875" xr:uid="{0970AA50-8234-48FF-BA30-5BBF6EE2CBF6}"/>
    <cellStyle name="Comma 2 3 2 3 2 4 4" xfId="33755" xr:uid="{D47F0051-B71F-42F0-B92C-3D00C8E07094}"/>
    <cellStyle name="Comma 2 3 2 3 2 5" xfId="5027" xr:uid="{B78B5FA9-EE46-4968-9FDA-4F57469A17DA}"/>
    <cellStyle name="Comma 2 3 2 3 2 5 2" xfId="14099" xr:uid="{E46447EE-5FBC-459A-933A-5D175ECA1979}"/>
    <cellStyle name="Comma 2 3 2 3 2 5 2 2" xfId="29219" xr:uid="{317758A5-91B1-4D6F-9E5F-5E8E47D51384}"/>
    <cellStyle name="Comma 2 3 2 3 2 5 2 2 2" xfId="59459" xr:uid="{AAC060C9-E058-43B2-8945-6AB20F9E9DD3}"/>
    <cellStyle name="Comma 2 3 2 3 2 5 2 3" xfId="44339" xr:uid="{6588DD15-42D5-4BB6-9CA7-9DCF735564B6}"/>
    <cellStyle name="Comma 2 3 2 3 2 5 3" xfId="20147" xr:uid="{3D43E019-C8CE-43D5-9610-C60FAFA39DD4}"/>
    <cellStyle name="Comma 2 3 2 3 2 5 3 2" xfId="50387" xr:uid="{0A108890-C4E3-42F0-8777-5C6779E51E63}"/>
    <cellStyle name="Comma 2 3 2 3 2 5 4" xfId="35267" xr:uid="{3DAF74BC-D3A6-4BCB-8D44-77E6820CF867}"/>
    <cellStyle name="Comma 2 3 2 3 2 6" xfId="6539" xr:uid="{0E2F7897-7DB6-4347-AB0A-042D41595447}"/>
    <cellStyle name="Comma 2 3 2 3 2 6 2" xfId="21659" xr:uid="{142F945D-C964-420F-AEB1-34EF60074036}"/>
    <cellStyle name="Comma 2 3 2 3 2 6 2 2" xfId="51899" xr:uid="{A9310C1B-1415-4EA0-87A0-B19AF0B8F5F1}"/>
    <cellStyle name="Comma 2 3 2 3 2 6 3" xfId="36779" xr:uid="{B45F15CB-9FDF-4CB0-B96F-F57DD573CCCA}"/>
    <cellStyle name="Comma 2 3 2 3 2 7" xfId="8051" xr:uid="{B84E1EFB-337E-420F-AE4B-47096480889C}"/>
    <cellStyle name="Comma 2 3 2 3 2 7 2" xfId="23171" xr:uid="{900FD665-295F-4FF6-9EE5-E18B123E5635}"/>
    <cellStyle name="Comma 2 3 2 3 2 7 2 2" xfId="53411" xr:uid="{D34F0078-0F16-4B8A-8223-6BBD7DFB061F}"/>
    <cellStyle name="Comma 2 3 2 3 2 7 3" xfId="38291" xr:uid="{8ED0B09B-73B2-4917-A47D-6CBD0A7CB480}"/>
    <cellStyle name="Comma 2 3 2 3 2 8" xfId="9563" xr:uid="{750E007A-1C98-4BCC-968A-480B85809A73}"/>
    <cellStyle name="Comma 2 3 2 3 2 8 2" xfId="24683" xr:uid="{5219B899-7B2B-438A-AECA-2DF2E81CDC3D}"/>
    <cellStyle name="Comma 2 3 2 3 2 8 2 2" xfId="54923" xr:uid="{ED59A66A-1E28-4FBA-A65E-927F39D0EA7E}"/>
    <cellStyle name="Comma 2 3 2 3 2 8 3" xfId="39803" xr:uid="{EEC9A798-D419-40BB-8763-B96D05AA3B86}"/>
    <cellStyle name="Comma 2 3 2 3 2 9" xfId="15611" xr:uid="{C1459FCF-D1B8-479E-A9EC-851FB7F6F32D}"/>
    <cellStyle name="Comma 2 3 2 3 2 9 2" xfId="45851" xr:uid="{8B4DFDC5-B752-4830-AE45-E21BD4173826}"/>
    <cellStyle name="Comma 2 3 2 3 3" xfId="743" xr:uid="{78864F90-BAE7-4B58-85BF-2972AEC97CB7}"/>
    <cellStyle name="Comma 2 3 2 3 3 10" xfId="30983" xr:uid="{59341B09-4E49-4C6B-9905-4795727D83A2}"/>
    <cellStyle name="Comma 2 3 2 3 3 2" xfId="1499" xr:uid="{3645D879-737E-46E3-B294-F384B4F20D77}"/>
    <cellStyle name="Comma 2 3 2 3 3 2 2" xfId="3011" xr:uid="{60933A81-38E2-4621-86B1-80AA7A1A8299}"/>
    <cellStyle name="Comma 2 3 2 3 3 2 2 2" xfId="12083" xr:uid="{C2BAAB20-3D1D-467E-9ABF-BFDB8144AC94}"/>
    <cellStyle name="Comma 2 3 2 3 3 2 2 2 2" xfId="27203" xr:uid="{8B46C1A0-A0EB-4DE1-9C8D-0449B7B4F452}"/>
    <cellStyle name="Comma 2 3 2 3 3 2 2 2 2 2" xfId="57443" xr:uid="{71ED6E45-09AB-4C79-BCD5-59913407BEC6}"/>
    <cellStyle name="Comma 2 3 2 3 3 2 2 2 3" xfId="42323" xr:uid="{A1DC28C1-F8EF-491A-8D21-61384B4AEA96}"/>
    <cellStyle name="Comma 2 3 2 3 3 2 2 3" xfId="18131" xr:uid="{6156187F-7BE0-4637-A899-2DF30D15A8E9}"/>
    <cellStyle name="Comma 2 3 2 3 3 2 2 3 2" xfId="48371" xr:uid="{EB496139-3428-4ECF-A285-CFEB0587DE8B}"/>
    <cellStyle name="Comma 2 3 2 3 3 2 2 4" xfId="33251" xr:uid="{64F32589-BEFF-4105-A363-4E8A135CCA34}"/>
    <cellStyle name="Comma 2 3 2 3 3 2 3" xfId="4523" xr:uid="{C0FE6E75-57DF-47CB-8D1C-265A52713BC2}"/>
    <cellStyle name="Comma 2 3 2 3 3 2 3 2" xfId="13595" xr:uid="{C3B70742-3E8B-47ED-A0F7-21E7600460CB}"/>
    <cellStyle name="Comma 2 3 2 3 3 2 3 2 2" xfId="28715" xr:uid="{BD589748-EC07-4B53-874B-517ABD0CFA1C}"/>
    <cellStyle name="Comma 2 3 2 3 3 2 3 2 2 2" xfId="58955" xr:uid="{84092E5A-D334-4926-B81A-4E51422B8536}"/>
    <cellStyle name="Comma 2 3 2 3 3 2 3 2 3" xfId="43835" xr:uid="{58ABF41C-600E-4B5F-95BA-F93AD6BA4C70}"/>
    <cellStyle name="Comma 2 3 2 3 3 2 3 3" xfId="19643" xr:uid="{B96851F7-D738-44A3-9ABE-0AC77FF03916}"/>
    <cellStyle name="Comma 2 3 2 3 3 2 3 3 2" xfId="49883" xr:uid="{07A5A7AC-4052-4045-83AE-B10F61FD67D9}"/>
    <cellStyle name="Comma 2 3 2 3 3 2 3 4" xfId="34763" xr:uid="{2A7CAD79-E1D9-4A3C-AB75-123B646255BD}"/>
    <cellStyle name="Comma 2 3 2 3 3 2 4" xfId="6035" xr:uid="{5274297B-4A96-46F4-AC93-85904BDA2842}"/>
    <cellStyle name="Comma 2 3 2 3 3 2 4 2" xfId="15107" xr:uid="{DF474495-9FCB-49C5-8970-65D99ADA9273}"/>
    <cellStyle name="Comma 2 3 2 3 3 2 4 2 2" xfId="30227" xr:uid="{AD9282A4-B2C8-4168-982D-5B4EE80A8607}"/>
    <cellStyle name="Comma 2 3 2 3 3 2 4 2 2 2" xfId="60467" xr:uid="{C9E9ED8A-D865-4613-B675-FF302920FEBB}"/>
    <cellStyle name="Comma 2 3 2 3 3 2 4 2 3" xfId="45347" xr:uid="{573A0D63-750F-4521-9C1E-DEA522AD9A80}"/>
    <cellStyle name="Comma 2 3 2 3 3 2 4 3" xfId="21155" xr:uid="{D713F1B0-7A07-4FF3-9A8E-04AED9393BFE}"/>
    <cellStyle name="Comma 2 3 2 3 3 2 4 3 2" xfId="51395" xr:uid="{EA08068F-E463-4034-9389-6AB5BBCD5440}"/>
    <cellStyle name="Comma 2 3 2 3 3 2 4 4" xfId="36275" xr:uid="{8F06EFE1-3361-4B87-B0E7-4BFC99D8205E}"/>
    <cellStyle name="Comma 2 3 2 3 3 2 5" xfId="7547" xr:uid="{FDE4EC4F-11C1-461B-AF9E-55951808CBAE}"/>
    <cellStyle name="Comma 2 3 2 3 3 2 5 2" xfId="22667" xr:uid="{F2C8B48B-6DA4-4535-9D26-82F03E8E08BA}"/>
    <cellStyle name="Comma 2 3 2 3 3 2 5 2 2" xfId="52907" xr:uid="{5578F5DB-82E8-4C05-96E2-D83E4522FA97}"/>
    <cellStyle name="Comma 2 3 2 3 3 2 5 3" xfId="37787" xr:uid="{5D8773B2-E219-48F3-9196-404516732D62}"/>
    <cellStyle name="Comma 2 3 2 3 3 2 6" xfId="9059" xr:uid="{21A2D8B7-C762-4247-B668-0FCA468E20BB}"/>
    <cellStyle name="Comma 2 3 2 3 3 2 6 2" xfId="24179" xr:uid="{2E391BDD-DD03-4FA1-AA3A-45A7666AD858}"/>
    <cellStyle name="Comma 2 3 2 3 3 2 6 2 2" xfId="54419" xr:uid="{CAB64C3A-F97D-42D3-AA4D-0237BD36C4E6}"/>
    <cellStyle name="Comma 2 3 2 3 3 2 6 3" xfId="39299" xr:uid="{3F9D496E-DAF9-41C5-A958-21761DEB7200}"/>
    <cellStyle name="Comma 2 3 2 3 3 2 7" xfId="10571" xr:uid="{68C4C780-D261-458C-8AF4-811936DD9296}"/>
    <cellStyle name="Comma 2 3 2 3 3 2 7 2" xfId="25691" xr:uid="{1D47AB3F-635B-46FC-BF8F-CFE36F09129A}"/>
    <cellStyle name="Comma 2 3 2 3 3 2 7 2 2" xfId="55931" xr:uid="{87D687BB-2F82-48AB-9335-054A36C1FFB4}"/>
    <cellStyle name="Comma 2 3 2 3 3 2 7 3" xfId="40811" xr:uid="{E4E5B257-3CC0-48D6-AE35-EBA10B2FB414}"/>
    <cellStyle name="Comma 2 3 2 3 3 2 8" xfId="16619" xr:uid="{3EFA49B2-1CD4-4F99-B78D-035BAF418229}"/>
    <cellStyle name="Comma 2 3 2 3 3 2 8 2" xfId="46859" xr:uid="{B7BCE71D-3C90-4CFD-B32D-37D594ADEBB8}"/>
    <cellStyle name="Comma 2 3 2 3 3 2 9" xfId="31739" xr:uid="{8A7CC1BC-56A0-4CBE-9E39-A2EDA41469D5}"/>
    <cellStyle name="Comma 2 3 2 3 3 3" xfId="2255" xr:uid="{63019BEF-2793-46DA-9820-DC0777FCA4F5}"/>
    <cellStyle name="Comma 2 3 2 3 3 3 2" xfId="11327" xr:uid="{80FF1D70-5668-4D18-B8D0-C13DD4D91277}"/>
    <cellStyle name="Comma 2 3 2 3 3 3 2 2" xfId="26447" xr:uid="{3DC23351-1A8B-4262-9CD9-BD1B57533C69}"/>
    <cellStyle name="Comma 2 3 2 3 3 3 2 2 2" xfId="56687" xr:uid="{82CCD0E1-920F-4DA8-946B-BD27D47E6D9A}"/>
    <cellStyle name="Comma 2 3 2 3 3 3 2 3" xfId="41567" xr:uid="{CF7EACC2-097A-46BB-80D5-AF3F41A9BCE9}"/>
    <cellStyle name="Comma 2 3 2 3 3 3 3" xfId="17375" xr:uid="{F2B24A61-EBE9-493A-8DD6-FDA4611D4C2E}"/>
    <cellStyle name="Comma 2 3 2 3 3 3 3 2" xfId="47615" xr:uid="{53E6B9DE-32EA-48D9-9DB1-CCB96DDFA014}"/>
    <cellStyle name="Comma 2 3 2 3 3 3 4" xfId="32495" xr:uid="{5659113E-5CA0-4A68-8C18-05C82D724E18}"/>
    <cellStyle name="Comma 2 3 2 3 3 4" xfId="3767" xr:uid="{ABF139CF-AB26-4B25-B465-F16D5E0D9BCF}"/>
    <cellStyle name="Comma 2 3 2 3 3 4 2" xfId="12839" xr:uid="{48271AE4-37CC-40F1-B7E5-F436689A400D}"/>
    <cellStyle name="Comma 2 3 2 3 3 4 2 2" xfId="27959" xr:uid="{FB63551B-624F-453C-A369-256170263C2C}"/>
    <cellStyle name="Comma 2 3 2 3 3 4 2 2 2" xfId="58199" xr:uid="{DB0EA7E7-4DFA-4432-928D-DAB46DAD6980}"/>
    <cellStyle name="Comma 2 3 2 3 3 4 2 3" xfId="43079" xr:uid="{B7BDC4E2-CBFC-41FC-922F-CB9102A72C3B}"/>
    <cellStyle name="Comma 2 3 2 3 3 4 3" xfId="18887" xr:uid="{9F97D718-8FAA-4D3D-B9D3-5C5C4001987B}"/>
    <cellStyle name="Comma 2 3 2 3 3 4 3 2" xfId="49127" xr:uid="{D4BE562C-8BC8-45FC-9307-DB9051D4AC87}"/>
    <cellStyle name="Comma 2 3 2 3 3 4 4" xfId="34007" xr:uid="{97FCD177-A393-4D55-AC40-E5473A04D515}"/>
    <cellStyle name="Comma 2 3 2 3 3 5" xfId="5279" xr:uid="{0048E749-4E16-4226-874E-14ABBC8FE0FA}"/>
    <cellStyle name="Comma 2 3 2 3 3 5 2" xfId="14351" xr:uid="{975F4824-68BE-47B3-A10D-330DE883D8C8}"/>
    <cellStyle name="Comma 2 3 2 3 3 5 2 2" xfId="29471" xr:uid="{8F7E9908-DAC2-4609-9BA7-A0AA33DCEAE5}"/>
    <cellStyle name="Comma 2 3 2 3 3 5 2 2 2" xfId="59711" xr:uid="{C13B136A-BFDE-45B9-9B09-AF21822154BB}"/>
    <cellStyle name="Comma 2 3 2 3 3 5 2 3" xfId="44591" xr:uid="{823D271A-72BB-46AF-9B66-06737A5F20DA}"/>
    <cellStyle name="Comma 2 3 2 3 3 5 3" xfId="20399" xr:uid="{B1042943-8740-4398-9C9A-D9C6E84CADAD}"/>
    <cellStyle name="Comma 2 3 2 3 3 5 3 2" xfId="50639" xr:uid="{CB93C856-8C58-4CDF-B148-04961CCDAC7E}"/>
    <cellStyle name="Comma 2 3 2 3 3 5 4" xfId="35519" xr:uid="{0366EDB2-F09F-4C9A-8377-AB3EFA0C757A}"/>
    <cellStyle name="Comma 2 3 2 3 3 6" xfId="6791" xr:uid="{DF1EAC14-7B15-4BD3-9099-CC9C3D6D097A}"/>
    <cellStyle name="Comma 2 3 2 3 3 6 2" xfId="21911" xr:uid="{8298C2FB-B729-42A1-B52D-83C1021EC4D6}"/>
    <cellStyle name="Comma 2 3 2 3 3 6 2 2" xfId="52151" xr:uid="{71F92446-244F-490E-900F-7C5C51545E0F}"/>
    <cellStyle name="Comma 2 3 2 3 3 6 3" xfId="37031" xr:uid="{B82B35D0-5171-40E1-BBB8-4EA6074D169C}"/>
    <cellStyle name="Comma 2 3 2 3 3 7" xfId="8303" xr:uid="{736695FD-0666-44C4-99B5-70E079B8A30C}"/>
    <cellStyle name="Comma 2 3 2 3 3 7 2" xfId="23423" xr:uid="{CA4AB9CB-D8BD-4466-AB55-6805B9011208}"/>
    <cellStyle name="Comma 2 3 2 3 3 7 2 2" xfId="53663" xr:uid="{51F47BFD-FDD8-433B-ABAA-E6DC7CE71678}"/>
    <cellStyle name="Comma 2 3 2 3 3 7 3" xfId="38543" xr:uid="{298D7873-46A6-43D3-99D1-305DF3B3DCA8}"/>
    <cellStyle name="Comma 2 3 2 3 3 8" xfId="9815" xr:uid="{935BEA10-C4C7-4602-866B-93262D985740}"/>
    <cellStyle name="Comma 2 3 2 3 3 8 2" xfId="24935" xr:uid="{358D89D5-34E1-4636-9644-442C33A647A1}"/>
    <cellStyle name="Comma 2 3 2 3 3 8 2 2" xfId="55175" xr:uid="{8D39918F-A442-401F-B35E-D89B8305C406}"/>
    <cellStyle name="Comma 2 3 2 3 3 8 3" xfId="40055" xr:uid="{FBF951C5-47F1-49EA-8756-B007B830D11C}"/>
    <cellStyle name="Comma 2 3 2 3 3 9" xfId="15863" xr:uid="{DD2CCFD9-342A-446E-9193-D59691ADE0BA}"/>
    <cellStyle name="Comma 2 3 2 3 3 9 2" xfId="46103" xr:uid="{A8DA0F03-C63F-4BBC-A926-DA8289434A07}"/>
    <cellStyle name="Comma 2 3 2 3 4" xfId="995" xr:uid="{430EA91E-B5A9-4F56-B53C-DDDC76123B9D}"/>
    <cellStyle name="Comma 2 3 2 3 4 2" xfId="2507" xr:uid="{EB39B9F7-CA09-4335-8BE7-D65E1DF16F4D}"/>
    <cellStyle name="Comma 2 3 2 3 4 2 2" xfId="11579" xr:uid="{799C9169-5629-4DCB-A201-7C913D977798}"/>
    <cellStyle name="Comma 2 3 2 3 4 2 2 2" xfId="26699" xr:uid="{483F5577-55E0-47F6-A20D-EBA7F8F53657}"/>
    <cellStyle name="Comma 2 3 2 3 4 2 2 2 2" xfId="56939" xr:uid="{BE6E14E4-7FF5-434F-AE9D-CF5678D260C5}"/>
    <cellStyle name="Comma 2 3 2 3 4 2 2 3" xfId="41819" xr:uid="{83E1A813-85DF-42B6-B474-50AE78D7EF46}"/>
    <cellStyle name="Comma 2 3 2 3 4 2 3" xfId="17627" xr:uid="{655F02EB-DEC1-4B99-A5E6-8F634AA2EC4E}"/>
    <cellStyle name="Comma 2 3 2 3 4 2 3 2" xfId="47867" xr:uid="{B61B97DE-5766-4B65-90F3-B8FDBE3AD264}"/>
    <cellStyle name="Comma 2 3 2 3 4 2 4" xfId="32747" xr:uid="{F7887882-E23A-4C81-B4E9-110C8808D969}"/>
    <cellStyle name="Comma 2 3 2 3 4 3" xfId="4019" xr:uid="{2EC5E587-772F-4988-A5FE-E44C50180C34}"/>
    <cellStyle name="Comma 2 3 2 3 4 3 2" xfId="13091" xr:uid="{34D417F2-443F-462F-9783-F550CEE47357}"/>
    <cellStyle name="Comma 2 3 2 3 4 3 2 2" xfId="28211" xr:uid="{9D726397-615C-4472-A3D4-B5DDEDA46154}"/>
    <cellStyle name="Comma 2 3 2 3 4 3 2 2 2" xfId="58451" xr:uid="{C26FBC50-F706-4D92-ADDF-43422AF64AD9}"/>
    <cellStyle name="Comma 2 3 2 3 4 3 2 3" xfId="43331" xr:uid="{3182FF7F-1C80-4F6D-B314-77CDECF3B750}"/>
    <cellStyle name="Comma 2 3 2 3 4 3 3" xfId="19139" xr:uid="{AC66F3D7-95DE-4409-9431-F6B005EF9150}"/>
    <cellStyle name="Comma 2 3 2 3 4 3 3 2" xfId="49379" xr:uid="{E47C7B92-5BFA-4AFF-8BA3-9E66C4113B92}"/>
    <cellStyle name="Comma 2 3 2 3 4 3 4" xfId="34259" xr:uid="{CC374A67-5C97-4233-853E-13CD41C78BC4}"/>
    <cellStyle name="Comma 2 3 2 3 4 4" xfId="5531" xr:uid="{E7C34CBC-2E53-49D0-B854-AC89ADCE5997}"/>
    <cellStyle name="Comma 2 3 2 3 4 4 2" xfId="14603" xr:uid="{3DF78D75-E5B5-4FCF-A4F5-47D12B791B25}"/>
    <cellStyle name="Comma 2 3 2 3 4 4 2 2" xfId="29723" xr:uid="{5C068F28-A41E-435E-9E75-A70BA89BF66C}"/>
    <cellStyle name="Comma 2 3 2 3 4 4 2 2 2" xfId="59963" xr:uid="{BB2B5C00-44D9-43D4-9656-230CD6A8F74D}"/>
    <cellStyle name="Comma 2 3 2 3 4 4 2 3" xfId="44843" xr:uid="{90712DDE-D529-46BB-AC06-267ED35A70D6}"/>
    <cellStyle name="Comma 2 3 2 3 4 4 3" xfId="20651" xr:uid="{DD64AEEE-F0E3-40BB-83B0-17482EEDA163}"/>
    <cellStyle name="Comma 2 3 2 3 4 4 3 2" xfId="50891" xr:uid="{2127AD42-6BF0-4874-AA52-66014D6F5E8D}"/>
    <cellStyle name="Comma 2 3 2 3 4 4 4" xfId="35771" xr:uid="{94F9E89E-1A11-41FE-9518-BDD3D0F799FD}"/>
    <cellStyle name="Comma 2 3 2 3 4 5" xfId="7043" xr:uid="{E6CF4181-0D13-4FE0-B315-D0736574C98E}"/>
    <cellStyle name="Comma 2 3 2 3 4 5 2" xfId="22163" xr:uid="{F6D0CA2E-6D38-4A61-9777-7C4B84262BF0}"/>
    <cellStyle name="Comma 2 3 2 3 4 5 2 2" xfId="52403" xr:uid="{45A68E64-AEDB-4206-A639-DF299E1B438D}"/>
    <cellStyle name="Comma 2 3 2 3 4 5 3" xfId="37283" xr:uid="{C58CCE76-488C-4A43-99C5-2B1F7F356B52}"/>
    <cellStyle name="Comma 2 3 2 3 4 6" xfId="8555" xr:uid="{1317636F-EAB0-4B21-8798-162CB51014F5}"/>
    <cellStyle name="Comma 2 3 2 3 4 6 2" xfId="23675" xr:uid="{0B95DBF3-D1F5-45EA-A87B-7672E8866D41}"/>
    <cellStyle name="Comma 2 3 2 3 4 6 2 2" xfId="53915" xr:uid="{11F57A69-1E5E-4101-84C5-4ADDEE7768D0}"/>
    <cellStyle name="Comma 2 3 2 3 4 6 3" xfId="38795" xr:uid="{E7E02EC0-A102-4867-9661-FC612A147876}"/>
    <cellStyle name="Comma 2 3 2 3 4 7" xfId="10067" xr:uid="{2D6F7284-5908-4604-92AD-CF45A566E925}"/>
    <cellStyle name="Comma 2 3 2 3 4 7 2" xfId="25187" xr:uid="{CF131EED-38F2-4243-A470-C98BB0B1F3E8}"/>
    <cellStyle name="Comma 2 3 2 3 4 7 2 2" xfId="55427" xr:uid="{EFEFEC5E-21B9-4D60-8816-808DAB65EE13}"/>
    <cellStyle name="Comma 2 3 2 3 4 7 3" xfId="40307" xr:uid="{CA04FA08-05C3-49ED-ACE1-DD83F32EA940}"/>
    <cellStyle name="Comma 2 3 2 3 4 8" xfId="16115" xr:uid="{5CFD3015-49D0-4E7E-BDF6-962EE6842386}"/>
    <cellStyle name="Comma 2 3 2 3 4 8 2" xfId="46355" xr:uid="{DE509165-6CC3-407E-8613-3EAF63F1A490}"/>
    <cellStyle name="Comma 2 3 2 3 4 9" xfId="31235" xr:uid="{FD00CF8D-F6EB-4074-B333-E3751464ADE8}"/>
    <cellStyle name="Comma 2 3 2 3 5" xfId="1751" xr:uid="{1E64C47A-802C-4C41-B292-594EA8889C17}"/>
    <cellStyle name="Comma 2 3 2 3 5 2" xfId="10823" xr:uid="{CBB4C21B-B8D8-42B7-8C21-D633036A7736}"/>
    <cellStyle name="Comma 2 3 2 3 5 2 2" xfId="25943" xr:uid="{F132D131-9DBF-4F72-8F12-6A507EC0C4D8}"/>
    <cellStyle name="Comma 2 3 2 3 5 2 2 2" xfId="56183" xr:uid="{229B085A-931F-4C96-92C6-0C3D8A69FA20}"/>
    <cellStyle name="Comma 2 3 2 3 5 2 3" xfId="41063" xr:uid="{4657736B-08AC-4E07-A221-63F7C0553677}"/>
    <cellStyle name="Comma 2 3 2 3 5 3" xfId="16871" xr:uid="{6777752E-24D0-427A-B04F-AB2CDD86A9D2}"/>
    <cellStyle name="Comma 2 3 2 3 5 3 2" xfId="47111" xr:uid="{23056784-B79B-4B66-9221-1AF4BAC6BD36}"/>
    <cellStyle name="Comma 2 3 2 3 5 4" xfId="31991" xr:uid="{775E3E2E-9366-4DCC-9EAC-43E3F6A7B8F7}"/>
    <cellStyle name="Comma 2 3 2 3 6" xfId="3263" xr:uid="{1D51978C-A27D-4E7A-81F6-DDE3B84518FC}"/>
    <cellStyle name="Comma 2 3 2 3 6 2" xfId="12335" xr:uid="{574BB04E-CB5A-4BA3-B34E-DD468CAA00E2}"/>
    <cellStyle name="Comma 2 3 2 3 6 2 2" xfId="27455" xr:uid="{EFDF198E-C824-48E8-A595-3683DDB15603}"/>
    <cellStyle name="Comma 2 3 2 3 6 2 2 2" xfId="57695" xr:uid="{9D30C3E3-C3AF-4D28-A9BA-C2014990F9A3}"/>
    <cellStyle name="Comma 2 3 2 3 6 2 3" xfId="42575" xr:uid="{961FECA8-BF7A-4FA7-9D61-5F21B307F370}"/>
    <cellStyle name="Comma 2 3 2 3 6 3" xfId="18383" xr:uid="{0321E5B1-941C-4C86-B3E0-17661E1CB376}"/>
    <cellStyle name="Comma 2 3 2 3 6 3 2" xfId="48623" xr:uid="{76817CAE-168A-4DF5-BB2F-C6BF7E9E4440}"/>
    <cellStyle name="Comma 2 3 2 3 6 4" xfId="33503" xr:uid="{71438C9E-4E80-418A-9E89-1DA8B8C5CC39}"/>
    <cellStyle name="Comma 2 3 2 3 7" xfId="4775" xr:uid="{DF7DB84C-930C-4966-B45B-7C8C6DFB90A5}"/>
    <cellStyle name="Comma 2 3 2 3 7 2" xfId="13847" xr:uid="{79CA9D9F-3878-4413-B749-4DD982B67AA3}"/>
    <cellStyle name="Comma 2 3 2 3 7 2 2" xfId="28967" xr:uid="{2ACF0E40-D0CA-42A5-84F5-F91BE3BB65D2}"/>
    <cellStyle name="Comma 2 3 2 3 7 2 2 2" xfId="59207" xr:uid="{140E10B7-2520-4A47-827E-5689C82130D5}"/>
    <cellStyle name="Comma 2 3 2 3 7 2 3" xfId="44087" xr:uid="{9D9938EC-56B3-49F7-A32E-349E85987556}"/>
    <cellStyle name="Comma 2 3 2 3 7 3" xfId="19895" xr:uid="{044EF185-6D89-42A4-B9C7-FC0F9B36A764}"/>
    <cellStyle name="Comma 2 3 2 3 7 3 2" xfId="50135" xr:uid="{D5B0FDFD-C6AC-4B96-AD40-EDC2439A8C12}"/>
    <cellStyle name="Comma 2 3 2 3 7 4" xfId="35015" xr:uid="{DB281321-D776-497E-BCDA-2E8017532382}"/>
    <cellStyle name="Comma 2 3 2 3 8" xfId="6287" xr:uid="{57C1EA2E-37F9-401F-8312-71F82A4E1059}"/>
    <cellStyle name="Comma 2 3 2 3 8 2" xfId="21407" xr:uid="{C8370987-76F4-4F60-ACAD-C53BBAFA7E9F}"/>
    <cellStyle name="Comma 2 3 2 3 8 2 2" xfId="51647" xr:uid="{1076EB82-4ABE-4946-BBBC-1F9A63BF6AA1}"/>
    <cellStyle name="Comma 2 3 2 3 8 3" xfId="36527" xr:uid="{88FD98FE-36A8-421A-985B-8C6FE49CB767}"/>
    <cellStyle name="Comma 2 3 2 3 9" xfId="7799" xr:uid="{2DDEC6C3-DA30-43B9-9065-785B7FAFDF45}"/>
    <cellStyle name="Comma 2 3 2 3 9 2" xfId="22919" xr:uid="{9BE170DA-CAE0-4394-868E-35DC97CD648D}"/>
    <cellStyle name="Comma 2 3 2 3 9 2 2" xfId="53159" xr:uid="{1235CE75-ECAD-46DB-B8EE-9CD0179E66B9}"/>
    <cellStyle name="Comma 2 3 2 3 9 3" xfId="38039" xr:uid="{832D1955-96C9-4F88-B4FC-2053277022C4}"/>
    <cellStyle name="Comma 2 3 2 4" xfId="323" xr:uid="{C72F5B45-03C6-4B70-AEE1-735E36547E6F}"/>
    <cellStyle name="Comma 2 3 2 4 10" xfId="30563" xr:uid="{AC101CE7-ACE8-4083-9398-43C2F38634ED}"/>
    <cellStyle name="Comma 2 3 2 4 2" xfId="1079" xr:uid="{EA72F385-7846-48B1-8511-DD25457A3A7F}"/>
    <cellStyle name="Comma 2 3 2 4 2 2" xfId="2591" xr:uid="{986BB3B9-2ECD-4D42-AF5D-4517E7D7DB88}"/>
    <cellStyle name="Comma 2 3 2 4 2 2 2" xfId="11663" xr:uid="{8643308D-29F3-4416-AD82-A3A62F25723B}"/>
    <cellStyle name="Comma 2 3 2 4 2 2 2 2" xfId="26783" xr:uid="{1E847487-D57F-4AF3-A42F-1D10536C12F5}"/>
    <cellStyle name="Comma 2 3 2 4 2 2 2 2 2" xfId="57023" xr:uid="{602E9DB2-8A28-4FB5-B3BB-5C0C921C7553}"/>
    <cellStyle name="Comma 2 3 2 4 2 2 2 3" xfId="41903" xr:uid="{D4CBB015-A371-4240-845A-113793A01BB8}"/>
    <cellStyle name="Comma 2 3 2 4 2 2 3" xfId="17711" xr:uid="{CD6B7F77-221D-4E09-8551-31855CB5BE8F}"/>
    <cellStyle name="Comma 2 3 2 4 2 2 3 2" xfId="47951" xr:uid="{2745EB5A-58A1-4747-B2CF-294B8C014F01}"/>
    <cellStyle name="Comma 2 3 2 4 2 2 4" xfId="32831" xr:uid="{AEBC1EB9-208D-4AF5-BC10-238DE5E16EFE}"/>
    <cellStyle name="Comma 2 3 2 4 2 3" xfId="4103" xr:uid="{0D56D58F-3B90-413E-ACC5-7847C302A776}"/>
    <cellStyle name="Comma 2 3 2 4 2 3 2" xfId="13175" xr:uid="{82BFC56A-FBF1-4566-B7E3-8EA9434B01B6}"/>
    <cellStyle name="Comma 2 3 2 4 2 3 2 2" xfId="28295" xr:uid="{8AFEBD4A-413F-4D04-A08A-B39D129A42C2}"/>
    <cellStyle name="Comma 2 3 2 4 2 3 2 2 2" xfId="58535" xr:uid="{0985F689-0566-4CEA-8276-C02D8A0E4EEF}"/>
    <cellStyle name="Comma 2 3 2 4 2 3 2 3" xfId="43415" xr:uid="{206153F4-739B-4B5D-BEF5-FB58C66B5FB8}"/>
    <cellStyle name="Comma 2 3 2 4 2 3 3" xfId="19223" xr:uid="{74915A91-98CC-4F2E-A97A-C401D855A872}"/>
    <cellStyle name="Comma 2 3 2 4 2 3 3 2" xfId="49463" xr:uid="{11E01CAF-D6F5-4170-A9CD-1E1703697968}"/>
    <cellStyle name="Comma 2 3 2 4 2 3 4" xfId="34343" xr:uid="{4E3FF528-2624-49C7-8CCA-600B06D727FF}"/>
    <cellStyle name="Comma 2 3 2 4 2 4" xfId="5615" xr:uid="{D7CDC792-D907-42DD-B70F-2C23EFFC6B87}"/>
    <cellStyle name="Comma 2 3 2 4 2 4 2" xfId="14687" xr:uid="{1370FFC0-0ED7-4DA7-BE2B-185EC7A8F7B0}"/>
    <cellStyle name="Comma 2 3 2 4 2 4 2 2" xfId="29807" xr:uid="{1612FC6D-4181-41EA-B72A-55FB7EC6A0A7}"/>
    <cellStyle name="Comma 2 3 2 4 2 4 2 2 2" xfId="60047" xr:uid="{D82DE286-0D73-4303-8223-8EF033BAE286}"/>
    <cellStyle name="Comma 2 3 2 4 2 4 2 3" xfId="44927" xr:uid="{22DEC7C3-39FE-4638-A5AC-7BA999B19318}"/>
    <cellStyle name="Comma 2 3 2 4 2 4 3" xfId="20735" xr:uid="{D84F873F-43ED-4673-B02A-3FC845708E3D}"/>
    <cellStyle name="Comma 2 3 2 4 2 4 3 2" xfId="50975" xr:uid="{0B53F59B-DBA6-4E47-9CD4-E5278F018CCE}"/>
    <cellStyle name="Comma 2 3 2 4 2 4 4" xfId="35855" xr:uid="{16141A96-0BBE-41DD-BB15-72C62B829E8E}"/>
    <cellStyle name="Comma 2 3 2 4 2 5" xfId="7127" xr:uid="{DE960D22-2EBA-418A-8836-F37F62A0C4BF}"/>
    <cellStyle name="Comma 2 3 2 4 2 5 2" xfId="22247" xr:uid="{0C550F15-8C34-4761-8B6A-4BDE27D675D1}"/>
    <cellStyle name="Comma 2 3 2 4 2 5 2 2" xfId="52487" xr:uid="{2DCA8D77-2967-45AD-ABDE-E1E092A81333}"/>
    <cellStyle name="Comma 2 3 2 4 2 5 3" xfId="37367" xr:uid="{640B9E47-FAC8-45F7-9795-3AD05518CBAF}"/>
    <cellStyle name="Comma 2 3 2 4 2 6" xfId="8639" xr:uid="{477F7CA7-ED32-459D-8481-3EB04BE9692F}"/>
    <cellStyle name="Comma 2 3 2 4 2 6 2" xfId="23759" xr:uid="{7660C4F0-7E5D-48B5-BA7D-68A752713F23}"/>
    <cellStyle name="Comma 2 3 2 4 2 6 2 2" xfId="53999" xr:uid="{C35E0302-8B56-4A3F-B589-0B6EDC5ED68C}"/>
    <cellStyle name="Comma 2 3 2 4 2 6 3" xfId="38879" xr:uid="{421D15CF-234A-4A50-8205-15413925189B}"/>
    <cellStyle name="Comma 2 3 2 4 2 7" xfId="10151" xr:uid="{518B2808-D220-4A00-AF30-C4AD1CC9EB18}"/>
    <cellStyle name="Comma 2 3 2 4 2 7 2" xfId="25271" xr:uid="{A3FE07E2-D6CF-40DD-BB09-12134EB8DECB}"/>
    <cellStyle name="Comma 2 3 2 4 2 7 2 2" xfId="55511" xr:uid="{93939B73-EC22-4978-A560-B2ACF6FAE52F}"/>
    <cellStyle name="Comma 2 3 2 4 2 7 3" xfId="40391" xr:uid="{4F2476DF-366C-4956-A27B-5A6C984B06B3}"/>
    <cellStyle name="Comma 2 3 2 4 2 8" xfId="16199" xr:uid="{DB85492D-0E61-4919-A886-567ACC329018}"/>
    <cellStyle name="Comma 2 3 2 4 2 8 2" xfId="46439" xr:uid="{BDAE83F0-F2BC-40B1-8E97-C0C73B417A43}"/>
    <cellStyle name="Comma 2 3 2 4 2 9" xfId="31319" xr:uid="{D6844FB4-413C-497A-9ADF-EF5C510DF675}"/>
    <cellStyle name="Comma 2 3 2 4 3" xfId="1835" xr:uid="{8F4A00CB-876D-4EB6-B20B-1159C2D68488}"/>
    <cellStyle name="Comma 2 3 2 4 3 2" xfId="10907" xr:uid="{85AF0C4A-0CDC-4C8C-B486-0275C817D829}"/>
    <cellStyle name="Comma 2 3 2 4 3 2 2" xfId="26027" xr:uid="{ACD2FF31-3ECF-4370-8E5B-78C8066DACFB}"/>
    <cellStyle name="Comma 2 3 2 4 3 2 2 2" xfId="56267" xr:uid="{F7576279-97D1-4A69-8999-68A235578B06}"/>
    <cellStyle name="Comma 2 3 2 4 3 2 3" xfId="41147" xr:uid="{298B9F65-562B-499B-9B6A-04FF99EB10F2}"/>
    <cellStyle name="Comma 2 3 2 4 3 3" xfId="16955" xr:uid="{6C4C8386-39AB-44F4-A9D7-51E0BB97DE39}"/>
    <cellStyle name="Comma 2 3 2 4 3 3 2" xfId="47195" xr:uid="{DEEE5A4A-3A39-400A-96F0-8FB74AEF1A3B}"/>
    <cellStyle name="Comma 2 3 2 4 3 4" xfId="32075" xr:uid="{97D20576-ED86-4832-BF21-F578284B7B09}"/>
    <cellStyle name="Comma 2 3 2 4 4" xfId="3347" xr:uid="{F581E511-C2F0-4DE2-ACA4-FE855364FA8D}"/>
    <cellStyle name="Comma 2 3 2 4 4 2" xfId="12419" xr:uid="{72EEBD79-7F1B-4380-B1F7-2978E689EAE9}"/>
    <cellStyle name="Comma 2 3 2 4 4 2 2" xfId="27539" xr:uid="{3C6728FC-5BB9-40E2-8EE3-98D9FA12B21F}"/>
    <cellStyle name="Comma 2 3 2 4 4 2 2 2" xfId="57779" xr:uid="{F4151C47-4081-48C9-AF2E-0FDB6672BB21}"/>
    <cellStyle name="Comma 2 3 2 4 4 2 3" xfId="42659" xr:uid="{11FBBCDA-E501-4425-8FB6-05F4221386EE}"/>
    <cellStyle name="Comma 2 3 2 4 4 3" xfId="18467" xr:uid="{769B4BDA-EEF5-477A-92DC-56F1522EA84F}"/>
    <cellStyle name="Comma 2 3 2 4 4 3 2" xfId="48707" xr:uid="{B72B7819-23EF-4439-BBFA-3544D75CE485}"/>
    <cellStyle name="Comma 2 3 2 4 4 4" xfId="33587" xr:uid="{9CD96D09-266A-4BBA-AE94-13F6380A60A6}"/>
    <cellStyle name="Comma 2 3 2 4 5" xfId="4859" xr:uid="{824FC446-1D6E-4BF5-8AB0-5ABB6BE421ED}"/>
    <cellStyle name="Comma 2 3 2 4 5 2" xfId="13931" xr:uid="{B3FDCCAF-C5E1-4018-BD1D-5E246A6FFCAE}"/>
    <cellStyle name="Comma 2 3 2 4 5 2 2" xfId="29051" xr:uid="{2B81416E-11DE-438C-BC0A-97D13D805025}"/>
    <cellStyle name="Comma 2 3 2 4 5 2 2 2" xfId="59291" xr:uid="{190D6F06-E204-4299-80BD-E9C1C375CE11}"/>
    <cellStyle name="Comma 2 3 2 4 5 2 3" xfId="44171" xr:uid="{4C88A4A2-8F9E-4FC0-8536-1901A60058E5}"/>
    <cellStyle name="Comma 2 3 2 4 5 3" xfId="19979" xr:uid="{6C13CCCE-04B0-4907-9830-4B81C36418E2}"/>
    <cellStyle name="Comma 2 3 2 4 5 3 2" xfId="50219" xr:uid="{904D22AC-35D5-4FA2-BA9D-4FDB790ECE3A}"/>
    <cellStyle name="Comma 2 3 2 4 5 4" xfId="35099" xr:uid="{C439FAF5-C995-447D-8DE9-A4FB8EC3B8FA}"/>
    <cellStyle name="Comma 2 3 2 4 6" xfId="6371" xr:uid="{606FD0AF-D450-4E2D-A172-0A36CA6BB8D4}"/>
    <cellStyle name="Comma 2 3 2 4 6 2" xfId="21491" xr:uid="{30228AB1-F415-4880-B2B6-5054C028C528}"/>
    <cellStyle name="Comma 2 3 2 4 6 2 2" xfId="51731" xr:uid="{D7FBF97D-A077-4205-8DC0-485522847037}"/>
    <cellStyle name="Comma 2 3 2 4 6 3" xfId="36611" xr:uid="{09FA755A-6D8D-42BF-8367-979A5A427036}"/>
    <cellStyle name="Comma 2 3 2 4 7" xfId="7883" xr:uid="{19117ACC-853B-471C-BAE4-ECDFF5173E48}"/>
    <cellStyle name="Comma 2 3 2 4 7 2" xfId="23003" xr:uid="{BE9F7E89-10B7-42A2-8678-436520D24BE3}"/>
    <cellStyle name="Comma 2 3 2 4 7 2 2" xfId="53243" xr:uid="{791B4D8D-50F4-4655-AEEF-9F0B645B38A1}"/>
    <cellStyle name="Comma 2 3 2 4 7 3" xfId="38123" xr:uid="{6DF3EA7D-DEA5-4A8A-93D0-01B16956D79D}"/>
    <cellStyle name="Comma 2 3 2 4 8" xfId="9395" xr:uid="{1CC69AB0-A7E5-4DB7-B90C-C803591F1FDF}"/>
    <cellStyle name="Comma 2 3 2 4 8 2" xfId="24515" xr:uid="{E143E2F3-D902-416B-AFB7-D7A4E15DE0B4}"/>
    <cellStyle name="Comma 2 3 2 4 8 2 2" xfId="54755" xr:uid="{FFAC55D9-192A-43C8-9B76-7B2239701C25}"/>
    <cellStyle name="Comma 2 3 2 4 8 3" xfId="39635" xr:uid="{30FF6F53-FE53-4D7C-BB9A-F0D4FB40E5A9}"/>
    <cellStyle name="Comma 2 3 2 4 9" xfId="15443" xr:uid="{448E2B06-A2F3-45DC-A39B-5DF22114D3EB}"/>
    <cellStyle name="Comma 2 3 2 4 9 2" xfId="45683" xr:uid="{7575D991-C629-4CE1-A050-F8C31A7DE2C5}"/>
    <cellStyle name="Comma 2 3 2 5" xfId="575" xr:uid="{F33CF287-CF2A-4F15-A016-8510F509C112}"/>
    <cellStyle name="Comma 2 3 2 5 10" xfId="30815" xr:uid="{C98041C4-07A3-4CE3-971B-0861631DDB9E}"/>
    <cellStyle name="Comma 2 3 2 5 2" xfId="1331" xr:uid="{A338468B-7A7A-49F6-B55D-4D76ADC4141A}"/>
    <cellStyle name="Comma 2 3 2 5 2 2" xfId="2843" xr:uid="{EFF4064C-008E-4A26-A67F-2EE933E68734}"/>
    <cellStyle name="Comma 2 3 2 5 2 2 2" xfId="11915" xr:uid="{D4004005-B504-45F6-BA0D-7E7FCB0A02A2}"/>
    <cellStyle name="Comma 2 3 2 5 2 2 2 2" xfId="27035" xr:uid="{1FEAD7C2-73BF-4273-A0C3-0905329C577E}"/>
    <cellStyle name="Comma 2 3 2 5 2 2 2 2 2" xfId="57275" xr:uid="{A918E37C-8D77-437D-ACCD-EC764BB31BA8}"/>
    <cellStyle name="Comma 2 3 2 5 2 2 2 3" xfId="42155" xr:uid="{E8D70EDB-3182-4427-9BD6-0D6A21DBAE82}"/>
    <cellStyle name="Comma 2 3 2 5 2 2 3" xfId="17963" xr:uid="{60EED4D1-2713-4A6A-9B3C-E37D4A4114FB}"/>
    <cellStyle name="Comma 2 3 2 5 2 2 3 2" xfId="48203" xr:uid="{B260D048-485F-40F6-A51C-DEBECEC0CCE1}"/>
    <cellStyle name="Comma 2 3 2 5 2 2 4" xfId="33083" xr:uid="{49E16C27-548A-4985-B6CC-A7BCDE7D14AA}"/>
    <cellStyle name="Comma 2 3 2 5 2 3" xfId="4355" xr:uid="{E7CFB823-1ED6-4331-AD74-3AC0CB7C4720}"/>
    <cellStyle name="Comma 2 3 2 5 2 3 2" xfId="13427" xr:uid="{738D3930-FD94-4198-B74E-C19E03EACDA7}"/>
    <cellStyle name="Comma 2 3 2 5 2 3 2 2" xfId="28547" xr:uid="{52892864-8545-47AD-A6D2-1CAFB573A13F}"/>
    <cellStyle name="Comma 2 3 2 5 2 3 2 2 2" xfId="58787" xr:uid="{4461FD1F-8A82-4A17-A441-99BFED3766EE}"/>
    <cellStyle name="Comma 2 3 2 5 2 3 2 3" xfId="43667" xr:uid="{3864AB8B-3BAF-45AC-BFC6-D9DFD85E3133}"/>
    <cellStyle name="Comma 2 3 2 5 2 3 3" xfId="19475" xr:uid="{355C59C2-0D18-48AF-A088-4AF98848C278}"/>
    <cellStyle name="Comma 2 3 2 5 2 3 3 2" xfId="49715" xr:uid="{2C34C70F-5194-40F3-835B-936F426033EC}"/>
    <cellStyle name="Comma 2 3 2 5 2 3 4" xfId="34595" xr:uid="{2FC30BAD-FBBD-46F8-8F59-CF11996D7710}"/>
    <cellStyle name="Comma 2 3 2 5 2 4" xfId="5867" xr:uid="{EE14B330-EF07-44E8-A9C1-75E132A6E583}"/>
    <cellStyle name="Comma 2 3 2 5 2 4 2" xfId="14939" xr:uid="{0DDC36C4-5A22-4750-81BB-E6D1559FB3B0}"/>
    <cellStyle name="Comma 2 3 2 5 2 4 2 2" xfId="30059" xr:uid="{AB1F7F6F-2705-4805-A6EC-4306C754E147}"/>
    <cellStyle name="Comma 2 3 2 5 2 4 2 2 2" xfId="60299" xr:uid="{1B25E927-4CFD-4ED1-BD55-AEB33E7B3FCB}"/>
    <cellStyle name="Comma 2 3 2 5 2 4 2 3" xfId="45179" xr:uid="{9F68FB4F-3FC8-48DC-A5C1-E067B6511B0D}"/>
    <cellStyle name="Comma 2 3 2 5 2 4 3" xfId="20987" xr:uid="{3CA99207-2637-4F6D-AD3E-35C28E286B0E}"/>
    <cellStyle name="Comma 2 3 2 5 2 4 3 2" xfId="51227" xr:uid="{A0200573-7836-43F4-840A-721CC0EEE7B4}"/>
    <cellStyle name="Comma 2 3 2 5 2 4 4" xfId="36107" xr:uid="{2CCD028E-AC10-4BF3-ACC4-8F533B3D8525}"/>
    <cellStyle name="Comma 2 3 2 5 2 5" xfId="7379" xr:uid="{C1743334-776D-4723-8D6A-127FF703C425}"/>
    <cellStyle name="Comma 2 3 2 5 2 5 2" xfId="22499" xr:uid="{DB913B53-112B-4DAC-A51C-50F8AC78ECE1}"/>
    <cellStyle name="Comma 2 3 2 5 2 5 2 2" xfId="52739" xr:uid="{D6F644AF-28B4-4E99-9913-B073478D7564}"/>
    <cellStyle name="Comma 2 3 2 5 2 5 3" xfId="37619" xr:uid="{70CE5E21-D182-48D3-AF24-9C13361090E3}"/>
    <cellStyle name="Comma 2 3 2 5 2 6" xfId="8891" xr:uid="{8D1CFBCE-D47B-4A5E-BABA-FEEAD02462C7}"/>
    <cellStyle name="Comma 2 3 2 5 2 6 2" xfId="24011" xr:uid="{CD27D4E7-1C9A-40C5-802E-822B3D9845DF}"/>
    <cellStyle name="Comma 2 3 2 5 2 6 2 2" xfId="54251" xr:uid="{4A2A3F47-D1FD-4C4C-9138-488722A3630D}"/>
    <cellStyle name="Comma 2 3 2 5 2 6 3" xfId="39131" xr:uid="{0AD7C6B2-5226-4678-B123-82F329589468}"/>
    <cellStyle name="Comma 2 3 2 5 2 7" xfId="10403" xr:uid="{1FFED022-7846-4F69-809F-63D6B00CB64B}"/>
    <cellStyle name="Comma 2 3 2 5 2 7 2" xfId="25523" xr:uid="{5CB62EA6-E138-4F48-B138-BA96AFFAA084}"/>
    <cellStyle name="Comma 2 3 2 5 2 7 2 2" xfId="55763" xr:uid="{84327565-5CB3-4F3D-8CAB-4BFDB26318BC}"/>
    <cellStyle name="Comma 2 3 2 5 2 7 3" xfId="40643" xr:uid="{BE65F8BA-C837-471B-B364-FD8F9A23315D}"/>
    <cellStyle name="Comma 2 3 2 5 2 8" xfId="16451" xr:uid="{42B2F8B8-B1DC-4B72-9C5C-CD0D2A1CE358}"/>
    <cellStyle name="Comma 2 3 2 5 2 8 2" xfId="46691" xr:uid="{E8040A2E-F1FA-40E6-A3E5-1F3DBB5CCBC6}"/>
    <cellStyle name="Comma 2 3 2 5 2 9" xfId="31571" xr:uid="{AA3287E3-8141-4D19-8A34-4831C97968D1}"/>
    <cellStyle name="Comma 2 3 2 5 3" xfId="2087" xr:uid="{9808F972-A4EE-46E3-B6E5-55AE7B31682E}"/>
    <cellStyle name="Comma 2 3 2 5 3 2" xfId="11159" xr:uid="{70C864D7-CFBC-4521-A9C2-AE3F7FC235A4}"/>
    <cellStyle name="Comma 2 3 2 5 3 2 2" xfId="26279" xr:uid="{6D82BC77-3514-470F-BBA2-A8096AE87BD8}"/>
    <cellStyle name="Comma 2 3 2 5 3 2 2 2" xfId="56519" xr:uid="{0F2B1D17-45F8-4321-9511-03BF37BBC81A}"/>
    <cellStyle name="Comma 2 3 2 5 3 2 3" xfId="41399" xr:uid="{720FDCAB-2105-489C-9BAB-9B9A90A11FBB}"/>
    <cellStyle name="Comma 2 3 2 5 3 3" xfId="17207" xr:uid="{EAFBA308-B828-4F1A-9B5A-B02BEC98E3C7}"/>
    <cellStyle name="Comma 2 3 2 5 3 3 2" xfId="47447" xr:uid="{F3AE12A4-1588-4AB7-B533-008E4C5AE143}"/>
    <cellStyle name="Comma 2 3 2 5 3 4" xfId="32327" xr:uid="{612C92B1-41FB-4E7C-A1F3-35E62FE36CE1}"/>
    <cellStyle name="Comma 2 3 2 5 4" xfId="3599" xr:uid="{57E4C8C7-4189-4E9E-A73D-BC6CE737DA87}"/>
    <cellStyle name="Comma 2 3 2 5 4 2" xfId="12671" xr:uid="{89A4E291-2C0E-4F2B-B822-34B468DDAC4B}"/>
    <cellStyle name="Comma 2 3 2 5 4 2 2" xfId="27791" xr:uid="{41AE66E7-C068-4983-9449-7D551A44F369}"/>
    <cellStyle name="Comma 2 3 2 5 4 2 2 2" xfId="58031" xr:uid="{84B3F3CE-F8AD-4395-A756-CC67FCC6E647}"/>
    <cellStyle name="Comma 2 3 2 5 4 2 3" xfId="42911" xr:uid="{D13BC481-FB33-404A-A25F-65842815AC24}"/>
    <cellStyle name="Comma 2 3 2 5 4 3" xfId="18719" xr:uid="{51C8A99E-FAB4-4D45-9B3C-356F626FD27B}"/>
    <cellStyle name="Comma 2 3 2 5 4 3 2" xfId="48959" xr:uid="{B82FA246-8153-448E-AF85-6596773283C3}"/>
    <cellStyle name="Comma 2 3 2 5 4 4" xfId="33839" xr:uid="{D07E2FF8-CF40-447C-9D8F-0A9485F99129}"/>
    <cellStyle name="Comma 2 3 2 5 5" xfId="5111" xr:uid="{F57D904A-CCD3-4365-BA56-87825EE853B9}"/>
    <cellStyle name="Comma 2 3 2 5 5 2" xfId="14183" xr:uid="{DA386FB1-4EE1-4827-88C6-6DC4B3084FCC}"/>
    <cellStyle name="Comma 2 3 2 5 5 2 2" xfId="29303" xr:uid="{9716AA71-DA34-4801-BD81-0E10EF77B4B2}"/>
    <cellStyle name="Comma 2 3 2 5 5 2 2 2" xfId="59543" xr:uid="{3AEE829D-132C-43F2-A14F-E7292F85E686}"/>
    <cellStyle name="Comma 2 3 2 5 5 2 3" xfId="44423" xr:uid="{31256D88-1A0C-4539-875E-FA8B394C09B4}"/>
    <cellStyle name="Comma 2 3 2 5 5 3" xfId="20231" xr:uid="{6B6604FA-11DB-4C05-B839-E379A8AAE32E}"/>
    <cellStyle name="Comma 2 3 2 5 5 3 2" xfId="50471" xr:uid="{AED35888-0E27-4088-95D3-D6C1997B2C55}"/>
    <cellStyle name="Comma 2 3 2 5 5 4" xfId="35351" xr:uid="{492FFD07-8B06-4C2A-8481-4F532EF5D07A}"/>
    <cellStyle name="Comma 2 3 2 5 6" xfId="6623" xr:uid="{2981D742-A56D-433D-B90D-C4EB62056A43}"/>
    <cellStyle name="Comma 2 3 2 5 6 2" xfId="21743" xr:uid="{3D994E57-6EE0-438E-B5CB-1D2F0666951F}"/>
    <cellStyle name="Comma 2 3 2 5 6 2 2" xfId="51983" xr:uid="{7AB94AE5-A002-4E84-B8E0-01761339DF9F}"/>
    <cellStyle name="Comma 2 3 2 5 6 3" xfId="36863" xr:uid="{03CA4005-1424-462A-8896-209C61406323}"/>
    <cellStyle name="Comma 2 3 2 5 7" xfId="8135" xr:uid="{83EFC285-8574-4EB0-B88D-AECE0549E259}"/>
    <cellStyle name="Comma 2 3 2 5 7 2" xfId="23255" xr:uid="{A00F6E67-5A6A-4E4E-BCDD-A188AD0583EF}"/>
    <cellStyle name="Comma 2 3 2 5 7 2 2" xfId="53495" xr:uid="{9A55719A-3EE6-459C-AFA7-0650A6C14202}"/>
    <cellStyle name="Comma 2 3 2 5 7 3" xfId="38375" xr:uid="{92630E99-3E5A-4A49-BD03-FB09D870359C}"/>
    <cellStyle name="Comma 2 3 2 5 8" xfId="9647" xr:uid="{7B370B22-B141-44E1-9DE1-0260C932A174}"/>
    <cellStyle name="Comma 2 3 2 5 8 2" xfId="24767" xr:uid="{D43DA2DF-4D6B-454D-B942-B90F55F0A77D}"/>
    <cellStyle name="Comma 2 3 2 5 8 2 2" xfId="55007" xr:uid="{5348A0E0-3AED-4FEA-A714-E33BBA0B1390}"/>
    <cellStyle name="Comma 2 3 2 5 8 3" xfId="39887" xr:uid="{DF5F0824-9331-4BEF-BFA4-F95F32506E02}"/>
    <cellStyle name="Comma 2 3 2 5 9" xfId="15695" xr:uid="{E3A3709D-CE02-4725-9F99-629470AF8F1A}"/>
    <cellStyle name="Comma 2 3 2 5 9 2" xfId="45935" xr:uid="{CD3A3046-1FEF-4507-BB07-75C5F4AA09C7}"/>
    <cellStyle name="Comma 2 3 2 6" xfId="827" xr:uid="{483F135E-7320-4BCC-8A64-66D0A4CB9D46}"/>
    <cellStyle name="Comma 2 3 2 6 2" xfId="2339" xr:uid="{28BBD989-ADF1-465E-98FF-1BEDA07E7018}"/>
    <cellStyle name="Comma 2 3 2 6 2 2" xfId="11411" xr:uid="{677992B8-BA7F-4F53-8D8F-B3C2D0F1BBED}"/>
    <cellStyle name="Comma 2 3 2 6 2 2 2" xfId="26531" xr:uid="{E0C672CF-4268-497F-AE4E-381FFD96D6D1}"/>
    <cellStyle name="Comma 2 3 2 6 2 2 2 2" xfId="56771" xr:uid="{7CDF72B0-A543-41E5-888A-3680DF84C9E4}"/>
    <cellStyle name="Comma 2 3 2 6 2 2 3" xfId="41651" xr:uid="{A024C65E-67C7-42F9-A006-80B9796BC554}"/>
    <cellStyle name="Comma 2 3 2 6 2 3" xfId="17459" xr:uid="{F5A04B16-A2A8-46A8-84A0-51F7406BC7C5}"/>
    <cellStyle name="Comma 2 3 2 6 2 3 2" xfId="47699" xr:uid="{22503512-28F6-4E13-82F6-F0A08A4A4CB3}"/>
    <cellStyle name="Comma 2 3 2 6 2 4" xfId="32579" xr:uid="{AB369C88-985A-43C8-B598-7079D3D65FAC}"/>
    <cellStyle name="Comma 2 3 2 6 3" xfId="3851" xr:uid="{844FF91C-F5EF-4573-9B2A-F9A5B0450F3E}"/>
    <cellStyle name="Comma 2 3 2 6 3 2" xfId="12923" xr:uid="{5DA4EAE4-D051-47E0-B420-7DB2EFF2063B}"/>
    <cellStyle name="Comma 2 3 2 6 3 2 2" xfId="28043" xr:uid="{FAA033AB-3746-454F-AA91-D32EDC4E08F4}"/>
    <cellStyle name="Comma 2 3 2 6 3 2 2 2" xfId="58283" xr:uid="{058E7550-7E5D-41A0-9E66-C669203BA30E}"/>
    <cellStyle name="Comma 2 3 2 6 3 2 3" xfId="43163" xr:uid="{E948D627-37FF-4DB0-9DD1-D3E25A13C0D1}"/>
    <cellStyle name="Comma 2 3 2 6 3 3" xfId="18971" xr:uid="{23D42715-982C-400A-BB1D-F5F27C9CD41E}"/>
    <cellStyle name="Comma 2 3 2 6 3 3 2" xfId="49211" xr:uid="{78200C51-24A4-4509-9DCF-FB3C7671C021}"/>
    <cellStyle name="Comma 2 3 2 6 3 4" xfId="34091" xr:uid="{6AFDFF44-2C90-4CB9-B753-C9D28AC3A4CC}"/>
    <cellStyle name="Comma 2 3 2 6 4" xfId="5363" xr:uid="{C44B4EF8-31B0-4E47-9E2F-18006157146C}"/>
    <cellStyle name="Comma 2 3 2 6 4 2" xfId="14435" xr:uid="{FF7699E4-6665-412D-90AD-D01220022DC8}"/>
    <cellStyle name="Comma 2 3 2 6 4 2 2" xfId="29555" xr:uid="{CEBE6C4E-5BF7-41E2-90D0-56F4A676FBE4}"/>
    <cellStyle name="Comma 2 3 2 6 4 2 2 2" xfId="59795" xr:uid="{7B8FA14F-BDC6-47A0-A411-673DE4CA1148}"/>
    <cellStyle name="Comma 2 3 2 6 4 2 3" xfId="44675" xr:uid="{FDC89EF8-E0C8-4DF0-92D0-21A9B064AA93}"/>
    <cellStyle name="Comma 2 3 2 6 4 3" xfId="20483" xr:uid="{F9563664-2B4B-490D-9000-930B39BC701D}"/>
    <cellStyle name="Comma 2 3 2 6 4 3 2" xfId="50723" xr:uid="{FF327D2D-9EBE-44A4-BBD6-122F55116F9E}"/>
    <cellStyle name="Comma 2 3 2 6 4 4" xfId="35603" xr:uid="{5521A388-8188-467E-82C8-B928E3C0EE40}"/>
    <cellStyle name="Comma 2 3 2 6 5" xfId="6875" xr:uid="{50170E79-9AE6-4D58-9039-67E9995DDE51}"/>
    <cellStyle name="Comma 2 3 2 6 5 2" xfId="21995" xr:uid="{E83F53AD-3E98-4B07-B615-5290DDDB3177}"/>
    <cellStyle name="Comma 2 3 2 6 5 2 2" xfId="52235" xr:uid="{A1D89FC6-D910-4BAD-836C-34632F38039A}"/>
    <cellStyle name="Comma 2 3 2 6 5 3" xfId="37115" xr:uid="{CCB5D88A-2A2E-4AC8-B215-E298ADA00ED9}"/>
    <cellStyle name="Comma 2 3 2 6 6" xfId="8387" xr:uid="{0CE9D6AD-0736-4851-AF6C-64721F9FD248}"/>
    <cellStyle name="Comma 2 3 2 6 6 2" xfId="23507" xr:uid="{4D302C1F-0B17-470E-AFB0-BC117A5F987E}"/>
    <cellStyle name="Comma 2 3 2 6 6 2 2" xfId="53747" xr:uid="{13802AFE-2008-4586-B0E3-38049BD9002C}"/>
    <cellStyle name="Comma 2 3 2 6 6 3" xfId="38627" xr:uid="{0881EA80-82DF-47D4-B382-DE44D731E5F5}"/>
    <cellStyle name="Comma 2 3 2 6 7" xfId="9899" xr:uid="{04E7131D-70A1-4F0E-8DAB-E3CEDABAB131}"/>
    <cellStyle name="Comma 2 3 2 6 7 2" xfId="25019" xr:uid="{DD7D61CA-EE95-4F78-9EA6-E24583C50B6C}"/>
    <cellStyle name="Comma 2 3 2 6 7 2 2" xfId="55259" xr:uid="{4194B305-0EED-4711-88BB-7145002C05FF}"/>
    <cellStyle name="Comma 2 3 2 6 7 3" xfId="40139" xr:uid="{AF5DFD12-F7D3-49C5-AC9E-82D898CDA9E0}"/>
    <cellStyle name="Comma 2 3 2 6 8" xfId="15947" xr:uid="{143F809F-D469-44F4-9341-2491EFC7352F}"/>
    <cellStyle name="Comma 2 3 2 6 8 2" xfId="46187" xr:uid="{DAB4B481-7512-43C6-A544-F0508C1FA6EE}"/>
    <cellStyle name="Comma 2 3 2 6 9" xfId="31067" xr:uid="{D5538D0D-6F24-4079-BBEC-350EA9B56557}"/>
    <cellStyle name="Comma 2 3 2 7" xfId="1583" xr:uid="{67E1AE97-C0EA-4B0E-BBD9-3E50CA008C4D}"/>
    <cellStyle name="Comma 2 3 2 7 2" xfId="10655" xr:uid="{8BCB58A5-9E00-422E-983A-AE793ABF435E}"/>
    <cellStyle name="Comma 2 3 2 7 2 2" xfId="25775" xr:uid="{91E61B34-8A20-4AEE-8D4B-FEC41FAE6C7A}"/>
    <cellStyle name="Comma 2 3 2 7 2 2 2" xfId="56015" xr:uid="{9D431BE5-FB14-4ADE-BBF4-408791C7BD80}"/>
    <cellStyle name="Comma 2 3 2 7 2 3" xfId="40895" xr:uid="{99FB66D4-2EE6-4A08-8261-46654B67D5CD}"/>
    <cellStyle name="Comma 2 3 2 7 3" xfId="16703" xr:uid="{AD0C39C8-0F9B-4A42-AF27-B300616BBDE4}"/>
    <cellStyle name="Comma 2 3 2 7 3 2" xfId="46943" xr:uid="{02F7FFBE-34BC-4F53-8C2F-8502CC6F08E4}"/>
    <cellStyle name="Comma 2 3 2 7 4" xfId="31823" xr:uid="{9A967E9C-827B-4453-886F-39543897F881}"/>
    <cellStyle name="Comma 2 3 2 8" xfId="3095" xr:uid="{260CDB6C-D1E7-4C53-8534-E614DDE4F41F}"/>
    <cellStyle name="Comma 2 3 2 8 2" xfId="12167" xr:uid="{1346245B-CC8F-430B-8EF5-2D6A07D82A0B}"/>
    <cellStyle name="Comma 2 3 2 8 2 2" xfId="27287" xr:uid="{79A0D1F5-7A41-4B90-BA54-4F42487E9B00}"/>
    <cellStyle name="Comma 2 3 2 8 2 2 2" xfId="57527" xr:uid="{63A41C16-F5C6-4C01-8F78-B40176C02DB0}"/>
    <cellStyle name="Comma 2 3 2 8 2 3" xfId="42407" xr:uid="{2648A112-E684-46FA-9EB4-FE60AA18BBC8}"/>
    <cellStyle name="Comma 2 3 2 8 3" xfId="18215" xr:uid="{1A27FE75-26E0-416D-A576-2C682AE25D1D}"/>
    <cellStyle name="Comma 2 3 2 8 3 2" xfId="48455" xr:uid="{2C5FEE87-7D80-498A-B116-78E934AB184C}"/>
    <cellStyle name="Comma 2 3 2 8 4" xfId="33335" xr:uid="{EAFBAD81-5CDF-4D58-852A-D0915ADA6278}"/>
    <cellStyle name="Comma 2 3 2 9" xfId="4607" xr:uid="{288FFD12-AA75-43E7-AC34-28EB73ADB36B}"/>
    <cellStyle name="Comma 2 3 2 9 2" xfId="13679" xr:uid="{19D61FE4-C917-490A-9BD0-40285C5D8DE3}"/>
    <cellStyle name="Comma 2 3 2 9 2 2" xfId="28799" xr:uid="{A8C40D48-23C5-467B-AFE6-71F7D04200C4}"/>
    <cellStyle name="Comma 2 3 2 9 2 2 2" xfId="59039" xr:uid="{F0AE731A-F21E-4DCD-B5D0-0F496EFFFC61}"/>
    <cellStyle name="Comma 2 3 2 9 2 3" xfId="43919" xr:uid="{19EC6342-9A2D-4FB9-995E-D1939EA63617}"/>
    <cellStyle name="Comma 2 3 2 9 3" xfId="19727" xr:uid="{B14DF261-2204-4BB9-A004-6706FBD4800E}"/>
    <cellStyle name="Comma 2 3 2 9 3 2" xfId="49967" xr:uid="{E1A0925B-AC21-444C-9CEB-5AB918A8CCFB}"/>
    <cellStyle name="Comma 2 3 2 9 4" xfId="34847" xr:uid="{92752343-9F9F-46DE-92D0-53127F784706}"/>
    <cellStyle name="Comma 2 3 3" xfId="113" xr:uid="{47FCE305-FECE-4AEC-BCC7-17A4516379B5}"/>
    <cellStyle name="Comma 2 3 3 10" xfId="9185" xr:uid="{6001E85C-ED90-4A8F-8BBB-F49480CE0311}"/>
    <cellStyle name="Comma 2 3 3 10 2" xfId="24305" xr:uid="{33546639-F3F4-421B-B47E-49E2C3D129EF}"/>
    <cellStyle name="Comma 2 3 3 10 2 2" xfId="54545" xr:uid="{38230342-CCA5-4430-B39F-EA8840E76731}"/>
    <cellStyle name="Comma 2 3 3 10 3" xfId="39425" xr:uid="{231293D2-6C80-4B58-99D6-9B312BA880A6}"/>
    <cellStyle name="Comma 2 3 3 11" xfId="15233" xr:uid="{9EBE2E1F-E18B-406A-93EF-E20BE3EA1F87}"/>
    <cellStyle name="Comma 2 3 3 11 2" xfId="45473" xr:uid="{C1377FE3-731F-4EBE-924D-2F0E70179413}"/>
    <cellStyle name="Comma 2 3 3 12" xfId="30353" xr:uid="{CCDBAB2D-1CAE-4C01-865D-FE8DB4E2CF26}"/>
    <cellStyle name="Comma 2 3 3 2" xfId="365" xr:uid="{D2721D8A-F6B2-48B9-9B34-A11859664DE4}"/>
    <cellStyle name="Comma 2 3 3 2 10" xfId="30605" xr:uid="{277802FC-322A-4DF6-B41F-35B945265568}"/>
    <cellStyle name="Comma 2 3 3 2 2" xfId="1121" xr:uid="{BE0C2D46-2365-47D1-AB91-085C2CEB8CD2}"/>
    <cellStyle name="Comma 2 3 3 2 2 2" xfId="2633" xr:uid="{31848CB0-D3CD-4CE4-96BD-5FA91D45469B}"/>
    <cellStyle name="Comma 2 3 3 2 2 2 2" xfId="11705" xr:uid="{71E901CB-FD0B-404C-B098-7BCE306E1F8D}"/>
    <cellStyle name="Comma 2 3 3 2 2 2 2 2" xfId="26825" xr:uid="{2A9B30E4-5BDD-483B-8BD7-31BB2A12F919}"/>
    <cellStyle name="Comma 2 3 3 2 2 2 2 2 2" xfId="57065" xr:uid="{D736341B-3F51-45F8-BC21-005F0BE9F575}"/>
    <cellStyle name="Comma 2 3 3 2 2 2 2 3" xfId="41945" xr:uid="{D22FB7DB-B9F6-43A7-9796-FBCFCAEF686F}"/>
    <cellStyle name="Comma 2 3 3 2 2 2 3" xfId="17753" xr:uid="{89084E83-CD01-49B2-8564-A7921BE4CDCE}"/>
    <cellStyle name="Comma 2 3 3 2 2 2 3 2" xfId="47993" xr:uid="{E5CB9835-A524-41AF-8FA0-0E1BAA6DE19A}"/>
    <cellStyle name="Comma 2 3 3 2 2 2 4" xfId="32873" xr:uid="{BED46A2E-7207-4E66-988B-27BC3A7D2509}"/>
    <cellStyle name="Comma 2 3 3 2 2 3" xfId="4145" xr:uid="{EBD0BABA-4100-46B5-A84C-368EE17FA59A}"/>
    <cellStyle name="Comma 2 3 3 2 2 3 2" xfId="13217" xr:uid="{6067A4BB-DFBF-4CE3-9908-7C74FD6E8173}"/>
    <cellStyle name="Comma 2 3 3 2 2 3 2 2" xfId="28337" xr:uid="{8E30DD54-286E-4844-B481-FD9BA3510C14}"/>
    <cellStyle name="Comma 2 3 3 2 2 3 2 2 2" xfId="58577" xr:uid="{A8E3E35A-7B02-4454-8D64-33AA2A06FC47}"/>
    <cellStyle name="Comma 2 3 3 2 2 3 2 3" xfId="43457" xr:uid="{C84A8368-AE49-4513-9135-5A766DE088F6}"/>
    <cellStyle name="Comma 2 3 3 2 2 3 3" xfId="19265" xr:uid="{AD3904C1-BD3D-47D6-B3AF-0990D448A12B}"/>
    <cellStyle name="Comma 2 3 3 2 2 3 3 2" xfId="49505" xr:uid="{6CE75AF6-AE24-490A-BAE9-A3E042014AD5}"/>
    <cellStyle name="Comma 2 3 3 2 2 3 4" xfId="34385" xr:uid="{A2FC3C7E-A526-47ED-B0EF-51BEEAF1B106}"/>
    <cellStyle name="Comma 2 3 3 2 2 4" xfId="5657" xr:uid="{C3725147-8AF0-4DBD-8A8C-F5DA5ED08823}"/>
    <cellStyle name="Comma 2 3 3 2 2 4 2" xfId="14729" xr:uid="{426CB390-F14C-4891-901D-1039F591E78A}"/>
    <cellStyle name="Comma 2 3 3 2 2 4 2 2" xfId="29849" xr:uid="{0CBF3A90-D6A5-4DE3-8D3B-977D06323E3D}"/>
    <cellStyle name="Comma 2 3 3 2 2 4 2 2 2" xfId="60089" xr:uid="{A5D48C2D-ECF8-4560-B7ED-9FC014B979B3}"/>
    <cellStyle name="Comma 2 3 3 2 2 4 2 3" xfId="44969" xr:uid="{85DE49FB-B363-43D4-AF4E-48AC53B995FC}"/>
    <cellStyle name="Comma 2 3 3 2 2 4 3" xfId="20777" xr:uid="{7FEE4829-1D80-4251-A1EC-4AFEB94A89BC}"/>
    <cellStyle name="Comma 2 3 3 2 2 4 3 2" xfId="51017" xr:uid="{A5DA72EB-F625-4867-841D-45EDA47D8427}"/>
    <cellStyle name="Comma 2 3 3 2 2 4 4" xfId="35897" xr:uid="{D7F1807A-DB98-417C-90F4-B4203912F605}"/>
    <cellStyle name="Comma 2 3 3 2 2 5" xfId="7169" xr:uid="{6E64B8E0-0D1C-458B-BCCD-A491110FAA38}"/>
    <cellStyle name="Comma 2 3 3 2 2 5 2" xfId="22289" xr:uid="{B8C3CCD9-9017-4A00-85D9-F71F835A2752}"/>
    <cellStyle name="Comma 2 3 3 2 2 5 2 2" xfId="52529" xr:uid="{7F149853-15D4-4B35-98F6-2048A0407390}"/>
    <cellStyle name="Comma 2 3 3 2 2 5 3" xfId="37409" xr:uid="{F27D1977-54CC-497B-89D9-1EE4D4000EDB}"/>
    <cellStyle name="Comma 2 3 3 2 2 6" xfId="8681" xr:uid="{46521AF3-D4A9-4199-AFAF-8155F79D8602}"/>
    <cellStyle name="Comma 2 3 3 2 2 6 2" xfId="23801" xr:uid="{5A57456E-1A8D-413D-AF93-AEA0EF146EEB}"/>
    <cellStyle name="Comma 2 3 3 2 2 6 2 2" xfId="54041" xr:uid="{5A2139BD-15A8-4B8B-92CE-E53703543D30}"/>
    <cellStyle name="Comma 2 3 3 2 2 6 3" xfId="38921" xr:uid="{34678708-D9A7-49BF-8EE9-D8298FAED75C}"/>
    <cellStyle name="Comma 2 3 3 2 2 7" xfId="10193" xr:uid="{51DDA1FE-2C37-4057-ACDB-FA6C169A8A94}"/>
    <cellStyle name="Comma 2 3 3 2 2 7 2" xfId="25313" xr:uid="{4D246049-A7DC-4C2D-8F7A-A22E2BC9C7EA}"/>
    <cellStyle name="Comma 2 3 3 2 2 7 2 2" xfId="55553" xr:uid="{22EFF3BD-CDD0-44EA-A465-D00E419D5940}"/>
    <cellStyle name="Comma 2 3 3 2 2 7 3" xfId="40433" xr:uid="{96802F6C-4DFD-4141-92E1-C4FA023E0AEA}"/>
    <cellStyle name="Comma 2 3 3 2 2 8" xfId="16241" xr:uid="{1D882A04-F846-4267-8DB0-C56FD37A5DDF}"/>
    <cellStyle name="Comma 2 3 3 2 2 8 2" xfId="46481" xr:uid="{461A756C-8BE0-4F9B-B080-3DABCC981C94}"/>
    <cellStyle name="Comma 2 3 3 2 2 9" xfId="31361" xr:uid="{86B8893A-BB12-48E9-AAED-6537AE180CB4}"/>
    <cellStyle name="Comma 2 3 3 2 3" xfId="1877" xr:uid="{075D5D09-8550-46E4-BCD4-7EDB72520385}"/>
    <cellStyle name="Comma 2 3 3 2 3 2" xfId="10949" xr:uid="{C29A1A91-3C5D-420A-A084-1A81515B55B2}"/>
    <cellStyle name="Comma 2 3 3 2 3 2 2" xfId="26069" xr:uid="{51B715D4-ED08-4D13-9B78-3EA76617A95E}"/>
    <cellStyle name="Comma 2 3 3 2 3 2 2 2" xfId="56309" xr:uid="{55DA5AC0-CEEF-444B-ACA6-476ADDF762BF}"/>
    <cellStyle name="Comma 2 3 3 2 3 2 3" xfId="41189" xr:uid="{EEDBC7CC-A2CC-4DBA-99F6-7E2E6973F5AC}"/>
    <cellStyle name="Comma 2 3 3 2 3 3" xfId="16997" xr:uid="{E1C77FCE-8EBD-4D11-843A-CDE01280662D}"/>
    <cellStyle name="Comma 2 3 3 2 3 3 2" xfId="47237" xr:uid="{0868F232-5999-49BC-B955-6A6B50D0AF61}"/>
    <cellStyle name="Comma 2 3 3 2 3 4" xfId="32117" xr:uid="{59308684-EA72-4BCB-8AD4-9F0EEB0B0BAB}"/>
    <cellStyle name="Comma 2 3 3 2 4" xfId="3389" xr:uid="{314CAB56-AE69-4FE3-8CDD-5F9699888A65}"/>
    <cellStyle name="Comma 2 3 3 2 4 2" xfId="12461" xr:uid="{242527B4-A58E-460E-88E8-4D5E867EC858}"/>
    <cellStyle name="Comma 2 3 3 2 4 2 2" xfId="27581" xr:uid="{08C14FE8-AEAC-4F21-BF52-840998B9E3D3}"/>
    <cellStyle name="Comma 2 3 3 2 4 2 2 2" xfId="57821" xr:uid="{41594BB0-5527-4363-97F0-A076FC254FDF}"/>
    <cellStyle name="Comma 2 3 3 2 4 2 3" xfId="42701" xr:uid="{54DD81C9-2D07-45E5-8E73-C67AED83ABD9}"/>
    <cellStyle name="Comma 2 3 3 2 4 3" xfId="18509" xr:uid="{9A6F55DE-3D42-4B81-BA0E-175B5AEE040C}"/>
    <cellStyle name="Comma 2 3 3 2 4 3 2" xfId="48749" xr:uid="{531674C0-96D1-43D5-BE0A-56C179D2BC89}"/>
    <cellStyle name="Comma 2 3 3 2 4 4" xfId="33629" xr:uid="{19713456-EFFE-4A51-80B6-D2D691DFF29A}"/>
    <cellStyle name="Comma 2 3 3 2 5" xfId="4901" xr:uid="{63E2DDA4-558B-4455-912F-E5325E81D1A0}"/>
    <cellStyle name="Comma 2 3 3 2 5 2" xfId="13973" xr:uid="{96D9FB36-7FEB-4DD5-8E43-D28EC442EFFB}"/>
    <cellStyle name="Comma 2 3 3 2 5 2 2" xfId="29093" xr:uid="{0BBC325B-7170-41DC-BAF6-6D89B81FC6F9}"/>
    <cellStyle name="Comma 2 3 3 2 5 2 2 2" xfId="59333" xr:uid="{9365E4EF-B491-48B0-953A-CCFFA64AF4BE}"/>
    <cellStyle name="Comma 2 3 3 2 5 2 3" xfId="44213" xr:uid="{E0610372-1A68-4326-8FD2-1842C272E210}"/>
    <cellStyle name="Comma 2 3 3 2 5 3" xfId="20021" xr:uid="{35C42BCD-760A-419A-9A93-CAD4B90EB0F1}"/>
    <cellStyle name="Comma 2 3 3 2 5 3 2" xfId="50261" xr:uid="{E8BFB207-5677-4FAC-AD6C-6A105C39497E}"/>
    <cellStyle name="Comma 2 3 3 2 5 4" xfId="35141" xr:uid="{0782E8C6-254C-4752-BDA9-062272A50FEC}"/>
    <cellStyle name="Comma 2 3 3 2 6" xfId="6413" xr:uid="{6B6DD4C9-3B4B-4B5C-9005-685DB1F805C2}"/>
    <cellStyle name="Comma 2 3 3 2 6 2" xfId="21533" xr:uid="{CBAAA121-9E3E-4227-9808-D500617053AA}"/>
    <cellStyle name="Comma 2 3 3 2 6 2 2" xfId="51773" xr:uid="{87A928CE-7A1F-47BB-BCAF-2A4D518DB90B}"/>
    <cellStyle name="Comma 2 3 3 2 6 3" xfId="36653" xr:uid="{690AFF5E-BCBC-4856-A811-64FAA922C9D4}"/>
    <cellStyle name="Comma 2 3 3 2 7" xfId="7925" xr:uid="{27B7660D-29F7-40CA-B0D0-023E9AB1DA1E}"/>
    <cellStyle name="Comma 2 3 3 2 7 2" xfId="23045" xr:uid="{A1B999CF-BB93-4823-B37C-E0891A44AEB0}"/>
    <cellStyle name="Comma 2 3 3 2 7 2 2" xfId="53285" xr:uid="{36EC2255-1525-4194-A03C-BC8D0FE9DE2F}"/>
    <cellStyle name="Comma 2 3 3 2 7 3" xfId="38165" xr:uid="{C12D7110-5CBD-47B7-B53F-F85B979BCB01}"/>
    <cellStyle name="Comma 2 3 3 2 8" xfId="9437" xr:uid="{FDEB4D61-FC33-4825-AC5D-32B267D40454}"/>
    <cellStyle name="Comma 2 3 3 2 8 2" xfId="24557" xr:uid="{6C1514FD-EE6A-43C2-926E-1C57640BD81C}"/>
    <cellStyle name="Comma 2 3 3 2 8 2 2" xfId="54797" xr:uid="{9469C4B6-7130-435B-9EBD-D1E3861BDABB}"/>
    <cellStyle name="Comma 2 3 3 2 8 3" xfId="39677" xr:uid="{7FBBDD39-3235-43C2-905C-159AC3C6345F}"/>
    <cellStyle name="Comma 2 3 3 2 9" xfId="15485" xr:uid="{6E128E0B-E2C4-4225-8A8D-62F508DEB292}"/>
    <cellStyle name="Comma 2 3 3 2 9 2" xfId="45725" xr:uid="{CF22CDA6-4213-452A-BB14-F59732262E8F}"/>
    <cellStyle name="Comma 2 3 3 3" xfId="617" xr:uid="{0907A8BF-286D-4423-9F65-726414CDD5D5}"/>
    <cellStyle name="Comma 2 3 3 3 10" xfId="30857" xr:uid="{B370DB5F-FDF6-436A-8F9F-5EAC4B3E8359}"/>
    <cellStyle name="Comma 2 3 3 3 2" xfId="1373" xr:uid="{EE2EB396-C8F5-4D68-AF3C-ABD40A03F607}"/>
    <cellStyle name="Comma 2 3 3 3 2 2" xfId="2885" xr:uid="{1304E52F-A3B1-47B4-80B4-9CA933993145}"/>
    <cellStyle name="Comma 2 3 3 3 2 2 2" xfId="11957" xr:uid="{3C2A67BD-FABC-4C6F-8D26-12B0498D6F1E}"/>
    <cellStyle name="Comma 2 3 3 3 2 2 2 2" xfId="27077" xr:uid="{91159751-8455-499E-8A53-6C6D350E1233}"/>
    <cellStyle name="Comma 2 3 3 3 2 2 2 2 2" xfId="57317" xr:uid="{9E894FA6-F5F6-416F-9EBF-0F34EFAF78E4}"/>
    <cellStyle name="Comma 2 3 3 3 2 2 2 3" xfId="42197" xr:uid="{CFA1DB4D-ED31-4216-9F82-67E649C1825C}"/>
    <cellStyle name="Comma 2 3 3 3 2 2 3" xfId="18005" xr:uid="{E8F186BE-5FE5-445F-A384-EB66ED305B23}"/>
    <cellStyle name="Comma 2 3 3 3 2 2 3 2" xfId="48245" xr:uid="{27F030D3-B1DB-4122-881F-D308197BA80F}"/>
    <cellStyle name="Comma 2 3 3 3 2 2 4" xfId="33125" xr:uid="{8A7C5064-63AF-4268-A6D1-BA47A7756ADD}"/>
    <cellStyle name="Comma 2 3 3 3 2 3" xfId="4397" xr:uid="{CDF5663C-2ABC-4C55-AE92-CD3753DF5A1E}"/>
    <cellStyle name="Comma 2 3 3 3 2 3 2" xfId="13469" xr:uid="{A9AE1C53-E779-4D30-92B3-78CDBB6B00C5}"/>
    <cellStyle name="Comma 2 3 3 3 2 3 2 2" xfId="28589" xr:uid="{FF5BB706-9078-49D6-AA40-B9A71DC72443}"/>
    <cellStyle name="Comma 2 3 3 3 2 3 2 2 2" xfId="58829" xr:uid="{58A2FB3E-673B-469B-92F1-ED61990AAB84}"/>
    <cellStyle name="Comma 2 3 3 3 2 3 2 3" xfId="43709" xr:uid="{1B6222F9-C7B0-4C3B-BA31-20DC646101D8}"/>
    <cellStyle name="Comma 2 3 3 3 2 3 3" xfId="19517" xr:uid="{FBA4C67A-182C-4F4E-ABA2-F3F19977F014}"/>
    <cellStyle name="Comma 2 3 3 3 2 3 3 2" xfId="49757" xr:uid="{346B77E3-628D-4B7F-9B05-8FC9473EEB5B}"/>
    <cellStyle name="Comma 2 3 3 3 2 3 4" xfId="34637" xr:uid="{E22CA782-1B99-44C9-BF76-59CE587ADD39}"/>
    <cellStyle name="Comma 2 3 3 3 2 4" xfId="5909" xr:uid="{EDDFB4DA-1943-48BB-B99C-394F3AC1CFAD}"/>
    <cellStyle name="Comma 2 3 3 3 2 4 2" xfId="14981" xr:uid="{CB1CF2F3-10F9-4B2C-9CDC-B0175F084BF4}"/>
    <cellStyle name="Comma 2 3 3 3 2 4 2 2" xfId="30101" xr:uid="{06FD91BE-0A46-4863-91AB-EBFB5D63A365}"/>
    <cellStyle name="Comma 2 3 3 3 2 4 2 2 2" xfId="60341" xr:uid="{8D94B456-635C-45D2-B09B-725227215810}"/>
    <cellStyle name="Comma 2 3 3 3 2 4 2 3" xfId="45221" xr:uid="{24CD9A90-FA15-4EE5-85CF-45A5AA6D7871}"/>
    <cellStyle name="Comma 2 3 3 3 2 4 3" xfId="21029" xr:uid="{4BBE6F49-6FF3-45D8-B107-DEDEE2FC0ADC}"/>
    <cellStyle name="Comma 2 3 3 3 2 4 3 2" xfId="51269" xr:uid="{69BB9723-C46D-4FE0-9B1E-33207FB9C1E7}"/>
    <cellStyle name="Comma 2 3 3 3 2 4 4" xfId="36149" xr:uid="{17348747-38DF-4AB6-A74F-14125E445CF9}"/>
    <cellStyle name="Comma 2 3 3 3 2 5" xfId="7421" xr:uid="{F3FFC764-48C2-4AB0-A499-828F865E0C9E}"/>
    <cellStyle name="Comma 2 3 3 3 2 5 2" xfId="22541" xr:uid="{CC86B6E5-7FF4-4412-8210-6EAB4CDCD058}"/>
    <cellStyle name="Comma 2 3 3 3 2 5 2 2" xfId="52781" xr:uid="{34933CA4-316C-45BE-8E08-67BA53DEB482}"/>
    <cellStyle name="Comma 2 3 3 3 2 5 3" xfId="37661" xr:uid="{0360546F-F93D-40E5-A703-8E1202BD51AC}"/>
    <cellStyle name="Comma 2 3 3 3 2 6" xfId="8933" xr:uid="{0883A6FA-3A6C-46DE-8271-A52E7E9F00A9}"/>
    <cellStyle name="Comma 2 3 3 3 2 6 2" xfId="24053" xr:uid="{D7C1E8BF-07C8-4FC4-A75A-99FDF20B4C70}"/>
    <cellStyle name="Comma 2 3 3 3 2 6 2 2" xfId="54293" xr:uid="{DE694882-5D82-456F-AF3B-45E3A07EBF7C}"/>
    <cellStyle name="Comma 2 3 3 3 2 6 3" xfId="39173" xr:uid="{1735FA40-39F2-41AC-8FB1-477E39E62FAE}"/>
    <cellStyle name="Comma 2 3 3 3 2 7" xfId="10445" xr:uid="{A3DDFB7A-95FD-4D25-9AE7-17ADB5007DCB}"/>
    <cellStyle name="Comma 2 3 3 3 2 7 2" xfId="25565" xr:uid="{2B9BFF78-D0A0-4065-A04B-C67A9F104501}"/>
    <cellStyle name="Comma 2 3 3 3 2 7 2 2" xfId="55805" xr:uid="{30C79545-312D-4E20-BC03-E16B333B7534}"/>
    <cellStyle name="Comma 2 3 3 3 2 7 3" xfId="40685" xr:uid="{644B0D16-27FE-4CED-BABF-E655A39E56C0}"/>
    <cellStyle name="Comma 2 3 3 3 2 8" xfId="16493" xr:uid="{64D7DE86-B292-44D8-AC0E-A52B55EA9E39}"/>
    <cellStyle name="Comma 2 3 3 3 2 8 2" xfId="46733" xr:uid="{8B80E13A-14D0-4A47-BD17-C6051ED8816F}"/>
    <cellStyle name="Comma 2 3 3 3 2 9" xfId="31613" xr:uid="{8B5EEFB8-4118-415B-A4DE-778B836CCECC}"/>
    <cellStyle name="Comma 2 3 3 3 3" xfId="2129" xr:uid="{A13354B9-561C-4BDC-9B0C-E8BEBD5033DE}"/>
    <cellStyle name="Comma 2 3 3 3 3 2" xfId="11201" xr:uid="{C054B263-4170-4317-9FEA-0D9F999B32E3}"/>
    <cellStyle name="Comma 2 3 3 3 3 2 2" xfId="26321" xr:uid="{A4F1899E-FD90-4572-AB4D-5DB274456E77}"/>
    <cellStyle name="Comma 2 3 3 3 3 2 2 2" xfId="56561" xr:uid="{E86DB592-2013-4AAE-8CF5-CB74EEA74F93}"/>
    <cellStyle name="Comma 2 3 3 3 3 2 3" xfId="41441" xr:uid="{2C6CD187-44AF-40D6-B029-49DEBD92C5BD}"/>
    <cellStyle name="Comma 2 3 3 3 3 3" xfId="17249" xr:uid="{B00DDD2F-5C8F-463B-A7BF-4855F0A9397B}"/>
    <cellStyle name="Comma 2 3 3 3 3 3 2" xfId="47489" xr:uid="{99471CBE-7682-491D-BFF3-A0DC67FDF68D}"/>
    <cellStyle name="Comma 2 3 3 3 3 4" xfId="32369" xr:uid="{F2F9DD2C-F0B2-4D95-9E56-ABC4E5FDB62B}"/>
    <cellStyle name="Comma 2 3 3 3 4" xfId="3641" xr:uid="{F0827103-874F-48D0-A324-F74B2BD51A46}"/>
    <cellStyle name="Comma 2 3 3 3 4 2" xfId="12713" xr:uid="{B44EFEB1-1DDB-4787-8534-27EA2F887D13}"/>
    <cellStyle name="Comma 2 3 3 3 4 2 2" xfId="27833" xr:uid="{84DA759C-DEEF-4F63-B641-EB65784966DC}"/>
    <cellStyle name="Comma 2 3 3 3 4 2 2 2" xfId="58073" xr:uid="{8947D5AE-A6A5-4706-B240-94B42A74F32B}"/>
    <cellStyle name="Comma 2 3 3 3 4 2 3" xfId="42953" xr:uid="{44B24E4F-022C-40FD-BE86-EF08DAD64EDE}"/>
    <cellStyle name="Comma 2 3 3 3 4 3" xfId="18761" xr:uid="{50FBD627-1CEF-4C11-BF85-937C55AD9725}"/>
    <cellStyle name="Comma 2 3 3 3 4 3 2" xfId="49001" xr:uid="{E1FF6C04-D61E-43FA-B1D8-9FD9F398E263}"/>
    <cellStyle name="Comma 2 3 3 3 4 4" xfId="33881" xr:uid="{0852C712-32ED-4AC3-87D6-B9F0E393DA22}"/>
    <cellStyle name="Comma 2 3 3 3 5" xfId="5153" xr:uid="{04588A66-7A80-4E22-B4FB-0F4B7EA06A1B}"/>
    <cellStyle name="Comma 2 3 3 3 5 2" xfId="14225" xr:uid="{2A2648DF-68BF-4997-A617-3AF05E45C2A6}"/>
    <cellStyle name="Comma 2 3 3 3 5 2 2" xfId="29345" xr:uid="{F0B4EAE7-E5BA-4AE6-A0E5-F39A7DC6E87C}"/>
    <cellStyle name="Comma 2 3 3 3 5 2 2 2" xfId="59585" xr:uid="{F16CB6C5-12D8-4849-8BC6-03E037514D43}"/>
    <cellStyle name="Comma 2 3 3 3 5 2 3" xfId="44465" xr:uid="{1D6B5791-8856-44AE-9A88-829B5D399D85}"/>
    <cellStyle name="Comma 2 3 3 3 5 3" xfId="20273" xr:uid="{EB003A27-DE34-406C-8DB9-9C1640D60A7F}"/>
    <cellStyle name="Comma 2 3 3 3 5 3 2" xfId="50513" xr:uid="{88F99A0A-CCC4-4ADA-B5F7-3426E4556CFA}"/>
    <cellStyle name="Comma 2 3 3 3 5 4" xfId="35393" xr:uid="{F30EC1F6-E05B-42B9-81B1-19F8A1D19147}"/>
    <cellStyle name="Comma 2 3 3 3 6" xfId="6665" xr:uid="{50F12E35-E5E2-4981-9B69-E60AA17238A1}"/>
    <cellStyle name="Comma 2 3 3 3 6 2" xfId="21785" xr:uid="{49191D11-5FD4-439D-A0F3-BE552F1C084B}"/>
    <cellStyle name="Comma 2 3 3 3 6 2 2" xfId="52025" xr:uid="{BDD7570C-B778-41AE-9161-4F4B303E7768}"/>
    <cellStyle name="Comma 2 3 3 3 6 3" xfId="36905" xr:uid="{7C9AA9D4-B48F-401A-BEA2-FB99D6D7F51E}"/>
    <cellStyle name="Comma 2 3 3 3 7" xfId="8177" xr:uid="{30DACC22-98C5-42AF-91D5-223E5658B46E}"/>
    <cellStyle name="Comma 2 3 3 3 7 2" xfId="23297" xr:uid="{303C3299-7269-40E2-A7E2-0BA8698B2A72}"/>
    <cellStyle name="Comma 2 3 3 3 7 2 2" xfId="53537" xr:uid="{90C6F5C1-1290-4DA8-BC1D-8591F8BAD11E}"/>
    <cellStyle name="Comma 2 3 3 3 7 3" xfId="38417" xr:uid="{EE8B30FA-51DD-4F60-ABD5-692723372D85}"/>
    <cellStyle name="Comma 2 3 3 3 8" xfId="9689" xr:uid="{D30145CE-9FFF-4F2D-BEE4-7E1749941FE8}"/>
    <cellStyle name="Comma 2 3 3 3 8 2" xfId="24809" xr:uid="{4C3C508D-4A1E-40C6-9E35-53B03E603BF4}"/>
    <cellStyle name="Comma 2 3 3 3 8 2 2" xfId="55049" xr:uid="{550AA263-9CC6-4AB0-B61F-93C66BB64709}"/>
    <cellStyle name="Comma 2 3 3 3 8 3" xfId="39929" xr:uid="{031BC56F-F767-49DF-A5BB-2997BCD1BC49}"/>
    <cellStyle name="Comma 2 3 3 3 9" xfId="15737" xr:uid="{B31DA164-5386-4699-9BF4-B3DC63B9F866}"/>
    <cellStyle name="Comma 2 3 3 3 9 2" xfId="45977" xr:uid="{991FD35D-54F9-4514-AB93-43C7BBA042A7}"/>
    <cellStyle name="Comma 2 3 3 4" xfId="869" xr:uid="{BF54D867-EB32-48DF-906C-C72018315382}"/>
    <cellStyle name="Comma 2 3 3 4 2" xfId="2381" xr:uid="{76389331-5A8A-4F66-A4DD-CC1CA96D9251}"/>
    <cellStyle name="Comma 2 3 3 4 2 2" xfId="11453" xr:uid="{CC14E421-8206-469B-9B47-0A7AB75F5D9F}"/>
    <cellStyle name="Comma 2 3 3 4 2 2 2" xfId="26573" xr:uid="{EB451471-A491-45AC-88D3-81C36CFBDED9}"/>
    <cellStyle name="Comma 2 3 3 4 2 2 2 2" xfId="56813" xr:uid="{8BBAACF9-D202-4D5F-A5DF-6D06A8EE0014}"/>
    <cellStyle name="Comma 2 3 3 4 2 2 3" xfId="41693" xr:uid="{583D1867-1E64-4411-898E-B4D67DB159F9}"/>
    <cellStyle name="Comma 2 3 3 4 2 3" xfId="17501" xr:uid="{E891CB13-65A1-4C37-BBCC-4D76252A775D}"/>
    <cellStyle name="Comma 2 3 3 4 2 3 2" xfId="47741" xr:uid="{2C87D908-ADC2-4617-9B3A-4ED1BEE9F6AC}"/>
    <cellStyle name="Comma 2 3 3 4 2 4" xfId="32621" xr:uid="{A15FE1CA-D797-4859-8715-03F7CBDEF957}"/>
    <cellStyle name="Comma 2 3 3 4 3" xfId="3893" xr:uid="{754367BE-4482-4A14-A5EE-DD632F87E93E}"/>
    <cellStyle name="Comma 2 3 3 4 3 2" xfId="12965" xr:uid="{BC91F17A-9E22-4D74-B7B4-C0EE398C9162}"/>
    <cellStyle name="Comma 2 3 3 4 3 2 2" xfId="28085" xr:uid="{418C0C7B-AD84-482D-BF3B-5E668F3586AF}"/>
    <cellStyle name="Comma 2 3 3 4 3 2 2 2" xfId="58325" xr:uid="{D5F657BE-9372-4E13-A55C-4999160B62CC}"/>
    <cellStyle name="Comma 2 3 3 4 3 2 3" xfId="43205" xr:uid="{062DFC53-AABB-4A43-B058-B24B9F8BB354}"/>
    <cellStyle name="Comma 2 3 3 4 3 3" xfId="19013" xr:uid="{94362D5C-9A51-4B14-9943-159002AA527E}"/>
    <cellStyle name="Comma 2 3 3 4 3 3 2" xfId="49253" xr:uid="{E42D0F37-7F29-4725-BA0D-F00400BF4C45}"/>
    <cellStyle name="Comma 2 3 3 4 3 4" xfId="34133" xr:uid="{86040221-4579-4AD1-AC27-5B78814B598B}"/>
    <cellStyle name="Comma 2 3 3 4 4" xfId="5405" xr:uid="{F8A04D4D-B9E0-4024-8143-8BE3721BB7C8}"/>
    <cellStyle name="Comma 2 3 3 4 4 2" xfId="14477" xr:uid="{518817B3-1604-4FCB-83DE-6F69BB07548D}"/>
    <cellStyle name="Comma 2 3 3 4 4 2 2" xfId="29597" xr:uid="{0E26DD8C-6CF9-410C-AD6B-72BD339724FF}"/>
    <cellStyle name="Comma 2 3 3 4 4 2 2 2" xfId="59837" xr:uid="{6EABF58B-100B-4923-9089-C160315E3A3B}"/>
    <cellStyle name="Comma 2 3 3 4 4 2 3" xfId="44717" xr:uid="{12CB48D0-6EC7-442C-93E4-DB91BF59146B}"/>
    <cellStyle name="Comma 2 3 3 4 4 3" xfId="20525" xr:uid="{F265B5C3-0F86-4E02-B55B-3A51710305EC}"/>
    <cellStyle name="Comma 2 3 3 4 4 3 2" xfId="50765" xr:uid="{93A80474-CB55-40EB-B15B-6EA7FE3EFB93}"/>
    <cellStyle name="Comma 2 3 3 4 4 4" xfId="35645" xr:uid="{F77AE55D-1458-4097-8027-C7435DC35A6E}"/>
    <cellStyle name="Comma 2 3 3 4 5" xfId="6917" xr:uid="{9D111DC4-54F2-45FD-8899-DBA4605DB681}"/>
    <cellStyle name="Comma 2 3 3 4 5 2" xfId="22037" xr:uid="{4454D181-4F7F-40E6-B12A-34E64D7A66FC}"/>
    <cellStyle name="Comma 2 3 3 4 5 2 2" xfId="52277" xr:uid="{227FD5EC-6FF1-4F72-A5C4-7E63AD744093}"/>
    <cellStyle name="Comma 2 3 3 4 5 3" xfId="37157" xr:uid="{1CAD36F6-8B53-4344-90B8-4CF2E7552544}"/>
    <cellStyle name="Comma 2 3 3 4 6" xfId="8429" xr:uid="{9C0E7A12-EAB1-4A14-9793-B342DAAA72AA}"/>
    <cellStyle name="Comma 2 3 3 4 6 2" xfId="23549" xr:uid="{C86E4AB6-34B1-4678-B650-5C19961D67F5}"/>
    <cellStyle name="Comma 2 3 3 4 6 2 2" xfId="53789" xr:uid="{D338B6B4-E090-424F-842B-68B87C09F197}"/>
    <cellStyle name="Comma 2 3 3 4 6 3" xfId="38669" xr:uid="{C828D684-B269-4574-9274-82A8CE71E6D3}"/>
    <cellStyle name="Comma 2 3 3 4 7" xfId="9941" xr:uid="{5F678D82-A8A7-4ED4-BA6E-42F866552B9A}"/>
    <cellStyle name="Comma 2 3 3 4 7 2" xfId="25061" xr:uid="{F911496F-48C7-4F6F-941C-75029A694E4B}"/>
    <cellStyle name="Comma 2 3 3 4 7 2 2" xfId="55301" xr:uid="{003642D1-3799-48F0-A845-85F9828B9DFA}"/>
    <cellStyle name="Comma 2 3 3 4 7 3" xfId="40181" xr:uid="{510BFE86-9A09-4168-BCF0-A6AAE57680B0}"/>
    <cellStyle name="Comma 2 3 3 4 8" xfId="15989" xr:uid="{7E0F84EB-88A7-4AB7-9E9A-F5C829971667}"/>
    <cellStyle name="Comma 2 3 3 4 8 2" xfId="46229" xr:uid="{A8325225-D7A8-4945-8CBC-85BBAE8EEAE7}"/>
    <cellStyle name="Comma 2 3 3 4 9" xfId="31109" xr:uid="{3AF7DC03-4BAD-4666-BB8D-4567C431340A}"/>
    <cellStyle name="Comma 2 3 3 5" xfId="1625" xr:uid="{36DBE94B-8CBE-4205-9B82-F4C1CA16FA6F}"/>
    <cellStyle name="Comma 2 3 3 5 2" xfId="10697" xr:uid="{4C0F7039-4A0F-41C5-A5C8-9CC407ACBCAE}"/>
    <cellStyle name="Comma 2 3 3 5 2 2" xfId="25817" xr:uid="{F6993016-EA14-489B-A63E-782D87A5FE91}"/>
    <cellStyle name="Comma 2 3 3 5 2 2 2" xfId="56057" xr:uid="{771F4CB5-86DE-4478-B483-3DD08D01BF0E}"/>
    <cellStyle name="Comma 2 3 3 5 2 3" xfId="40937" xr:uid="{41BCCE77-8334-4766-BF88-355893655E06}"/>
    <cellStyle name="Comma 2 3 3 5 3" xfId="16745" xr:uid="{1FC88C37-5147-4557-AEC6-0E0E26827722}"/>
    <cellStyle name="Comma 2 3 3 5 3 2" xfId="46985" xr:uid="{00D7E786-CD2E-49BC-91C7-6195E3E6B95B}"/>
    <cellStyle name="Comma 2 3 3 5 4" xfId="31865" xr:uid="{B0032B6D-8C0C-48C0-BD53-918F817DCE71}"/>
    <cellStyle name="Comma 2 3 3 6" xfId="3137" xr:uid="{CB6135AB-38FD-4979-9656-DA8ADF6B5910}"/>
    <cellStyle name="Comma 2 3 3 6 2" xfId="12209" xr:uid="{2EB8AA89-DCA8-417B-AA91-50FB57C866F3}"/>
    <cellStyle name="Comma 2 3 3 6 2 2" xfId="27329" xr:uid="{B8725978-E019-480C-9D10-F2AB869E3C29}"/>
    <cellStyle name="Comma 2 3 3 6 2 2 2" xfId="57569" xr:uid="{967C370F-6676-42AA-A68C-030688A70FF6}"/>
    <cellStyle name="Comma 2 3 3 6 2 3" xfId="42449" xr:uid="{12D3C4E9-6BF4-47CE-AD99-5D70837DDF18}"/>
    <cellStyle name="Comma 2 3 3 6 3" xfId="18257" xr:uid="{9893F829-CF40-4820-9FCD-73ECFA381D5A}"/>
    <cellStyle name="Comma 2 3 3 6 3 2" xfId="48497" xr:uid="{A3CD90E2-D62A-4575-8280-CA17524991F4}"/>
    <cellStyle name="Comma 2 3 3 6 4" xfId="33377" xr:uid="{9583A6C8-F74D-4CC1-B4DA-62C788079136}"/>
    <cellStyle name="Comma 2 3 3 7" xfId="4649" xr:uid="{49C7155E-E87F-4DC2-BC73-805AC2FAB212}"/>
    <cellStyle name="Comma 2 3 3 7 2" xfId="13721" xr:uid="{27D0F05C-8090-4D92-921F-8E4D1CF6881C}"/>
    <cellStyle name="Comma 2 3 3 7 2 2" xfId="28841" xr:uid="{36286E25-37B6-41A5-B538-BB5757FD2F9E}"/>
    <cellStyle name="Comma 2 3 3 7 2 2 2" xfId="59081" xr:uid="{2D7F20A7-940D-47A1-A873-7FDEB08B87A4}"/>
    <cellStyle name="Comma 2 3 3 7 2 3" xfId="43961" xr:uid="{F8A05ABC-F812-4DF6-84F7-19241AFE32B5}"/>
    <cellStyle name="Comma 2 3 3 7 3" xfId="19769" xr:uid="{DED7D606-810B-4180-BDB3-EEB3340A1F43}"/>
    <cellStyle name="Comma 2 3 3 7 3 2" xfId="50009" xr:uid="{50A5C5F0-706E-4D9F-ADD8-F0A83C0B5892}"/>
    <cellStyle name="Comma 2 3 3 7 4" xfId="34889" xr:uid="{8B94B298-121C-485A-AD60-54BA4503374D}"/>
    <cellStyle name="Comma 2 3 3 8" xfId="6161" xr:uid="{32A29AB9-7864-48EE-95C7-7EC0CC1839E7}"/>
    <cellStyle name="Comma 2 3 3 8 2" xfId="21281" xr:uid="{A3AEAD4C-6D94-42D7-A99D-135DC911CB61}"/>
    <cellStyle name="Comma 2 3 3 8 2 2" xfId="51521" xr:uid="{362E1F9E-6CB2-4A96-9397-F144C8756910}"/>
    <cellStyle name="Comma 2 3 3 8 3" xfId="36401" xr:uid="{2150F1B2-27CB-47F0-B9B4-94A681926CE6}"/>
    <cellStyle name="Comma 2 3 3 9" xfId="7673" xr:uid="{01B1704B-FAE4-45B6-8E16-8E39740C8BDD}"/>
    <cellStyle name="Comma 2 3 3 9 2" xfId="22793" xr:uid="{3FDC5385-56FF-43B7-B658-1880F2DA4498}"/>
    <cellStyle name="Comma 2 3 3 9 2 2" xfId="53033" xr:uid="{5561ABC3-91DD-44CC-8D44-1160F04D08DE}"/>
    <cellStyle name="Comma 2 3 3 9 3" xfId="37913" xr:uid="{C2AA9DFF-FAD8-478A-89F5-21330E925A41}"/>
    <cellStyle name="Comma 2 3 4" xfId="197" xr:uid="{8CE28632-42D0-4C18-A282-1B3B74906FC1}"/>
    <cellStyle name="Comma 2 3 4 10" xfId="9269" xr:uid="{5F71C1D6-F144-4A53-8720-F488D7DD3DEA}"/>
    <cellStyle name="Comma 2 3 4 10 2" xfId="24389" xr:uid="{B34EFB48-63CB-4898-9E90-010A9049C41A}"/>
    <cellStyle name="Comma 2 3 4 10 2 2" xfId="54629" xr:uid="{8AB47A58-D4F3-4BC7-91E3-CB70A8FC9B42}"/>
    <cellStyle name="Comma 2 3 4 10 3" xfId="39509" xr:uid="{43DA2B2D-AC72-4286-8AA1-CBD1ECE4C2AC}"/>
    <cellStyle name="Comma 2 3 4 11" xfId="15317" xr:uid="{BB0E752E-8EC3-4670-B3F7-85D2BE6EDDBC}"/>
    <cellStyle name="Comma 2 3 4 11 2" xfId="45557" xr:uid="{6CACEDB3-699B-4D09-B1E5-38B2BB9EAADC}"/>
    <cellStyle name="Comma 2 3 4 12" xfId="30437" xr:uid="{2ACB3738-DCDF-4D97-A016-CB79AB87F6C1}"/>
    <cellStyle name="Comma 2 3 4 2" xfId="449" xr:uid="{0996F1BE-E702-4DEE-9AE6-3712DD50907E}"/>
    <cellStyle name="Comma 2 3 4 2 10" xfId="30689" xr:uid="{96BC9568-CAA9-4F39-A54C-21915B302BCA}"/>
    <cellStyle name="Comma 2 3 4 2 2" xfId="1205" xr:uid="{09CEEEF5-6893-476F-994B-AB61866E50CD}"/>
    <cellStyle name="Comma 2 3 4 2 2 2" xfId="2717" xr:uid="{9D5EA062-F586-42D1-9215-AEACF1D2F952}"/>
    <cellStyle name="Comma 2 3 4 2 2 2 2" xfId="11789" xr:uid="{38C70E06-BE63-496A-BAAC-3D968984D3AB}"/>
    <cellStyle name="Comma 2 3 4 2 2 2 2 2" xfId="26909" xr:uid="{DEB4AE6B-26CD-44C5-8BE1-D077FAAC0819}"/>
    <cellStyle name="Comma 2 3 4 2 2 2 2 2 2" xfId="57149" xr:uid="{FF215046-4915-4BC1-9C59-9688DDE5FA88}"/>
    <cellStyle name="Comma 2 3 4 2 2 2 2 3" xfId="42029" xr:uid="{D87BE0FC-EB6A-488B-AF85-11107B6F8C40}"/>
    <cellStyle name="Comma 2 3 4 2 2 2 3" xfId="17837" xr:uid="{32A11118-F748-47C2-A57A-7FB9DB7B10FF}"/>
    <cellStyle name="Comma 2 3 4 2 2 2 3 2" xfId="48077" xr:uid="{B96A6A37-7D19-4F91-A1E9-DFAA71FDD316}"/>
    <cellStyle name="Comma 2 3 4 2 2 2 4" xfId="32957" xr:uid="{ABD9E67D-5803-4DB1-97F5-017481C856DB}"/>
    <cellStyle name="Comma 2 3 4 2 2 3" xfId="4229" xr:uid="{9180C29C-985F-4680-A00B-0964F880E90F}"/>
    <cellStyle name="Comma 2 3 4 2 2 3 2" xfId="13301" xr:uid="{66877A6F-91FF-451D-BA78-A5E385ED5E88}"/>
    <cellStyle name="Comma 2 3 4 2 2 3 2 2" xfId="28421" xr:uid="{C66FEF39-B18E-4C00-9F9A-3A1293CD6902}"/>
    <cellStyle name="Comma 2 3 4 2 2 3 2 2 2" xfId="58661" xr:uid="{78EA7961-3742-41B8-9C42-D9E4949A46C5}"/>
    <cellStyle name="Comma 2 3 4 2 2 3 2 3" xfId="43541" xr:uid="{957AA387-36CB-468B-80BE-B8CEDCCBA876}"/>
    <cellStyle name="Comma 2 3 4 2 2 3 3" xfId="19349" xr:uid="{A4589780-9B10-4FF4-876A-B29B5AC7CFCB}"/>
    <cellStyle name="Comma 2 3 4 2 2 3 3 2" xfId="49589" xr:uid="{FF1F74FC-AA43-4910-B01A-957D23BCF88C}"/>
    <cellStyle name="Comma 2 3 4 2 2 3 4" xfId="34469" xr:uid="{DC027D04-1084-400D-88B1-7B74D8A1E136}"/>
    <cellStyle name="Comma 2 3 4 2 2 4" xfId="5741" xr:uid="{14250E2F-E97A-49A7-90A1-DAE9CCECEC90}"/>
    <cellStyle name="Comma 2 3 4 2 2 4 2" xfId="14813" xr:uid="{27E2379E-A5F2-4EC7-82DC-18E47B2816AB}"/>
    <cellStyle name="Comma 2 3 4 2 2 4 2 2" xfId="29933" xr:uid="{DB0B39C2-23D1-479F-8EDF-85DE6E17C665}"/>
    <cellStyle name="Comma 2 3 4 2 2 4 2 2 2" xfId="60173" xr:uid="{537F3410-18C5-4E98-AFF0-26B22EA3A663}"/>
    <cellStyle name="Comma 2 3 4 2 2 4 2 3" xfId="45053" xr:uid="{7A4923C4-755D-4ADD-94E3-846F5C89A6B8}"/>
    <cellStyle name="Comma 2 3 4 2 2 4 3" xfId="20861" xr:uid="{30893F65-92AD-4979-AE0F-932D08A18E62}"/>
    <cellStyle name="Comma 2 3 4 2 2 4 3 2" xfId="51101" xr:uid="{8102CA29-EC07-4537-AEBD-41BAC44C14EC}"/>
    <cellStyle name="Comma 2 3 4 2 2 4 4" xfId="35981" xr:uid="{33AD41F4-DCEC-4953-ADAD-3E8BC96D5699}"/>
    <cellStyle name="Comma 2 3 4 2 2 5" xfId="7253" xr:uid="{7D57A037-8470-4D5F-BBD1-E0DB1FC3E5A3}"/>
    <cellStyle name="Comma 2 3 4 2 2 5 2" xfId="22373" xr:uid="{A682A332-8E9D-4120-9DDB-988077DED0CE}"/>
    <cellStyle name="Comma 2 3 4 2 2 5 2 2" xfId="52613" xr:uid="{C4692458-6064-46C3-9FA1-72FF327E9316}"/>
    <cellStyle name="Comma 2 3 4 2 2 5 3" xfId="37493" xr:uid="{8EF5F58B-27F6-43F5-BE43-BE4BDC702088}"/>
    <cellStyle name="Comma 2 3 4 2 2 6" xfId="8765" xr:uid="{56F0F54B-13E9-4424-89FB-FDA76A7F4574}"/>
    <cellStyle name="Comma 2 3 4 2 2 6 2" xfId="23885" xr:uid="{74EFA0AD-EB7E-4B47-B9F3-2A3F6BB31A22}"/>
    <cellStyle name="Comma 2 3 4 2 2 6 2 2" xfId="54125" xr:uid="{A78353C7-870E-4EF6-88AB-D7C10DFACF86}"/>
    <cellStyle name="Comma 2 3 4 2 2 6 3" xfId="39005" xr:uid="{319BB59D-20CA-460A-9CFF-6A16AE453B57}"/>
    <cellStyle name="Comma 2 3 4 2 2 7" xfId="10277" xr:uid="{7CA016A5-E012-4AA3-AB35-CF38E3DC79DD}"/>
    <cellStyle name="Comma 2 3 4 2 2 7 2" xfId="25397" xr:uid="{FEBBF5FC-8120-4576-A6D8-F31C7B78E93F}"/>
    <cellStyle name="Comma 2 3 4 2 2 7 2 2" xfId="55637" xr:uid="{AF851296-6CAB-431F-B4D6-3D40F799FB43}"/>
    <cellStyle name="Comma 2 3 4 2 2 7 3" xfId="40517" xr:uid="{4D3E554B-C948-449E-AED8-50F40A56DEB5}"/>
    <cellStyle name="Comma 2 3 4 2 2 8" xfId="16325" xr:uid="{F495DFDA-C313-4A00-BD0E-CC4627080F49}"/>
    <cellStyle name="Comma 2 3 4 2 2 8 2" xfId="46565" xr:uid="{F0AA323F-CEB9-4CB2-BB5A-73CD4C2AE4B4}"/>
    <cellStyle name="Comma 2 3 4 2 2 9" xfId="31445" xr:uid="{3A0CE8A3-E202-4238-845C-526B01F1AD2B}"/>
    <cellStyle name="Comma 2 3 4 2 3" xfId="1961" xr:uid="{2A9762A8-2E8B-4613-A46B-3A3E38AB9C95}"/>
    <cellStyle name="Comma 2 3 4 2 3 2" xfId="11033" xr:uid="{7903B9CB-2BAC-4784-9CD0-5E3B994F90CB}"/>
    <cellStyle name="Comma 2 3 4 2 3 2 2" xfId="26153" xr:uid="{637A8450-4E13-4F3A-B9A9-9CD2F9267C82}"/>
    <cellStyle name="Comma 2 3 4 2 3 2 2 2" xfId="56393" xr:uid="{E0048704-3416-44A3-815D-0E04165060FD}"/>
    <cellStyle name="Comma 2 3 4 2 3 2 3" xfId="41273" xr:uid="{3965F43D-E2AB-4335-8317-1B30E0BE674C}"/>
    <cellStyle name="Comma 2 3 4 2 3 3" xfId="17081" xr:uid="{A979595B-8E43-4BF8-87ED-C3805E6EEE08}"/>
    <cellStyle name="Comma 2 3 4 2 3 3 2" xfId="47321" xr:uid="{72667368-168F-42AF-AEE0-50DF734849F8}"/>
    <cellStyle name="Comma 2 3 4 2 3 4" xfId="32201" xr:uid="{E571FA72-F47E-412A-AE75-3A7854E78DD8}"/>
    <cellStyle name="Comma 2 3 4 2 4" xfId="3473" xr:uid="{04216AEF-4A4E-4BE0-9BA5-FE98F339B2E3}"/>
    <cellStyle name="Comma 2 3 4 2 4 2" xfId="12545" xr:uid="{83F8D69C-BCEC-4598-89CE-F9A16BD9A9F7}"/>
    <cellStyle name="Comma 2 3 4 2 4 2 2" xfId="27665" xr:uid="{CAF76AD4-300A-4CAB-91D4-8BA7678B4851}"/>
    <cellStyle name="Comma 2 3 4 2 4 2 2 2" xfId="57905" xr:uid="{6D292446-164F-4E70-9127-E478F441FC5B}"/>
    <cellStyle name="Comma 2 3 4 2 4 2 3" xfId="42785" xr:uid="{0DBF63AE-8582-461F-BDC5-B31BAEA6C816}"/>
    <cellStyle name="Comma 2 3 4 2 4 3" xfId="18593" xr:uid="{86E8340B-B4E2-474D-9918-362ADCA32F39}"/>
    <cellStyle name="Comma 2 3 4 2 4 3 2" xfId="48833" xr:uid="{AAB07F48-11D5-4D74-A502-6A424D371210}"/>
    <cellStyle name="Comma 2 3 4 2 4 4" xfId="33713" xr:uid="{598CF548-A07F-41B3-B6D7-EC3C56049381}"/>
    <cellStyle name="Comma 2 3 4 2 5" xfId="4985" xr:uid="{6CEB9EEB-5E10-4D9B-BC58-4F7177F3BC52}"/>
    <cellStyle name="Comma 2 3 4 2 5 2" xfId="14057" xr:uid="{E4889416-6121-49D7-AC1A-FF2E15E99F7E}"/>
    <cellStyle name="Comma 2 3 4 2 5 2 2" xfId="29177" xr:uid="{43F08224-8FD4-4802-9813-C1C11BABE357}"/>
    <cellStyle name="Comma 2 3 4 2 5 2 2 2" xfId="59417" xr:uid="{8BBCDEA9-AE67-4A72-957D-6A26D3D755FA}"/>
    <cellStyle name="Comma 2 3 4 2 5 2 3" xfId="44297" xr:uid="{A425474E-53DF-45BB-AD19-34D08387C186}"/>
    <cellStyle name="Comma 2 3 4 2 5 3" xfId="20105" xr:uid="{4556F4A6-B38C-4856-B7D4-710FAC840F3D}"/>
    <cellStyle name="Comma 2 3 4 2 5 3 2" xfId="50345" xr:uid="{760569BF-2B96-43C8-A527-2368A57A843C}"/>
    <cellStyle name="Comma 2 3 4 2 5 4" xfId="35225" xr:uid="{97017034-BC24-44CF-9C33-5A7BCDE0D98A}"/>
    <cellStyle name="Comma 2 3 4 2 6" xfId="6497" xr:uid="{115D8A43-4105-44E3-8CBF-64B3998BFE26}"/>
    <cellStyle name="Comma 2 3 4 2 6 2" xfId="21617" xr:uid="{82975EB7-8694-42E4-947A-D1DB22124367}"/>
    <cellStyle name="Comma 2 3 4 2 6 2 2" xfId="51857" xr:uid="{C7F25D08-379B-47E5-8D7D-69C4FE001263}"/>
    <cellStyle name="Comma 2 3 4 2 6 3" xfId="36737" xr:uid="{39560BBE-5578-4A90-B029-D233BA4B6244}"/>
    <cellStyle name="Comma 2 3 4 2 7" xfId="8009" xr:uid="{EFFA3E4A-B1F1-4FB1-9078-816488EA10D5}"/>
    <cellStyle name="Comma 2 3 4 2 7 2" xfId="23129" xr:uid="{12A3B756-69AC-4CA7-A991-838AEDA9F4C7}"/>
    <cellStyle name="Comma 2 3 4 2 7 2 2" xfId="53369" xr:uid="{2710A977-D676-4FCD-96F0-DF2BBE7360E7}"/>
    <cellStyle name="Comma 2 3 4 2 7 3" xfId="38249" xr:uid="{B7FC0883-4467-4381-8BFE-B325E5763950}"/>
    <cellStyle name="Comma 2 3 4 2 8" xfId="9521" xr:uid="{00AFD2DE-DB99-40A4-B83C-4EFBF13E4746}"/>
    <cellStyle name="Comma 2 3 4 2 8 2" xfId="24641" xr:uid="{644526AA-1596-4B6C-98E4-D4E7F9D7E31A}"/>
    <cellStyle name="Comma 2 3 4 2 8 2 2" xfId="54881" xr:uid="{B3F67646-61A1-455D-998C-C3FDDA572D30}"/>
    <cellStyle name="Comma 2 3 4 2 8 3" xfId="39761" xr:uid="{9D47273E-EF0B-48A9-B4B9-49CA1088A538}"/>
    <cellStyle name="Comma 2 3 4 2 9" xfId="15569" xr:uid="{841C21DA-377F-4EC9-8D08-B70C3501CA50}"/>
    <cellStyle name="Comma 2 3 4 2 9 2" xfId="45809" xr:uid="{30B10A30-A2C8-4CA7-A90D-9FF6CA0303CA}"/>
    <cellStyle name="Comma 2 3 4 3" xfId="701" xr:uid="{A65E07CE-BA92-4B14-BC41-BD21D019589B}"/>
    <cellStyle name="Comma 2 3 4 3 10" xfId="30941" xr:uid="{C9FF7D7C-6976-43FE-854F-47EA55313A18}"/>
    <cellStyle name="Comma 2 3 4 3 2" xfId="1457" xr:uid="{D06E0A07-C61A-4EF2-9FFF-25B859166E1D}"/>
    <cellStyle name="Comma 2 3 4 3 2 2" xfId="2969" xr:uid="{B0B2E154-986D-4AF4-A901-6750A3C48C3F}"/>
    <cellStyle name="Comma 2 3 4 3 2 2 2" xfId="12041" xr:uid="{FCB7DA36-59AE-4F93-94ED-67ABADF9E13F}"/>
    <cellStyle name="Comma 2 3 4 3 2 2 2 2" xfId="27161" xr:uid="{76F30A89-FAF9-48C8-B9E9-4C1D19D83A45}"/>
    <cellStyle name="Comma 2 3 4 3 2 2 2 2 2" xfId="57401" xr:uid="{799562E6-5714-4D25-AD74-D4F9B8553DDB}"/>
    <cellStyle name="Comma 2 3 4 3 2 2 2 3" xfId="42281" xr:uid="{0D3F37AB-0E0A-4CB6-8175-D536F5C8697F}"/>
    <cellStyle name="Comma 2 3 4 3 2 2 3" xfId="18089" xr:uid="{78A3E79A-A281-4B26-BAB4-CCABD0DE8265}"/>
    <cellStyle name="Comma 2 3 4 3 2 2 3 2" xfId="48329" xr:uid="{97BBF4F8-2B53-43F3-B958-7DCA1510A003}"/>
    <cellStyle name="Comma 2 3 4 3 2 2 4" xfId="33209" xr:uid="{9E899396-2A28-485A-BE0A-BB7A12BC5287}"/>
    <cellStyle name="Comma 2 3 4 3 2 3" xfId="4481" xr:uid="{05DDF67B-2E1E-429D-9F60-E5371BA2C063}"/>
    <cellStyle name="Comma 2 3 4 3 2 3 2" xfId="13553" xr:uid="{46B2FF2E-F2AF-4E1D-969E-617C2E89013F}"/>
    <cellStyle name="Comma 2 3 4 3 2 3 2 2" xfId="28673" xr:uid="{C1B25374-E763-4409-8A43-E3F7DCB126A2}"/>
    <cellStyle name="Comma 2 3 4 3 2 3 2 2 2" xfId="58913" xr:uid="{1E698223-7849-49CE-AAF1-669EFCB147E5}"/>
    <cellStyle name="Comma 2 3 4 3 2 3 2 3" xfId="43793" xr:uid="{1437680E-389E-4DB7-B17D-5E1924C03949}"/>
    <cellStyle name="Comma 2 3 4 3 2 3 3" xfId="19601" xr:uid="{BF46A837-CFE9-44C0-A2D2-89C29FBCEA02}"/>
    <cellStyle name="Comma 2 3 4 3 2 3 3 2" xfId="49841" xr:uid="{2F080E02-C7B2-485D-862D-0D85FC9B8DED}"/>
    <cellStyle name="Comma 2 3 4 3 2 3 4" xfId="34721" xr:uid="{33257133-3471-4C41-875D-D4225A153736}"/>
    <cellStyle name="Comma 2 3 4 3 2 4" xfId="5993" xr:uid="{E879F9FB-ED64-451F-A1A7-A8A03B1D4F3D}"/>
    <cellStyle name="Comma 2 3 4 3 2 4 2" xfId="15065" xr:uid="{5E1A075C-88BC-44B9-9C57-DBE88CFC3C80}"/>
    <cellStyle name="Comma 2 3 4 3 2 4 2 2" xfId="30185" xr:uid="{CE873E68-201C-479F-8E2A-CD757AE93E37}"/>
    <cellStyle name="Comma 2 3 4 3 2 4 2 2 2" xfId="60425" xr:uid="{361A42FA-D32E-4066-B24D-35F7796D5340}"/>
    <cellStyle name="Comma 2 3 4 3 2 4 2 3" xfId="45305" xr:uid="{903857BC-300B-489E-9522-6C901315C63E}"/>
    <cellStyle name="Comma 2 3 4 3 2 4 3" xfId="21113" xr:uid="{D5FF2EA2-DF8B-4F86-8BD3-18B4AC50E49D}"/>
    <cellStyle name="Comma 2 3 4 3 2 4 3 2" xfId="51353" xr:uid="{95453B73-705D-428A-9675-2A4442975D1F}"/>
    <cellStyle name="Comma 2 3 4 3 2 4 4" xfId="36233" xr:uid="{0DC68770-126E-495D-BB77-88DA95B73990}"/>
    <cellStyle name="Comma 2 3 4 3 2 5" xfId="7505" xr:uid="{67C05748-9F5B-4E82-B79C-13C38A2A8C22}"/>
    <cellStyle name="Comma 2 3 4 3 2 5 2" xfId="22625" xr:uid="{5ABAD2D4-A8C9-4A0F-B7CF-96DC3D931C83}"/>
    <cellStyle name="Comma 2 3 4 3 2 5 2 2" xfId="52865" xr:uid="{4D44C590-FDE6-4BD0-BB12-8C01873915A3}"/>
    <cellStyle name="Comma 2 3 4 3 2 5 3" xfId="37745" xr:uid="{FF1A7E7A-6A91-4FAD-ABCF-C273B08F6B21}"/>
    <cellStyle name="Comma 2 3 4 3 2 6" xfId="9017" xr:uid="{AFA2FC3F-9337-4CF3-BA70-CE4F18030B94}"/>
    <cellStyle name="Comma 2 3 4 3 2 6 2" xfId="24137" xr:uid="{CBEB71A7-C6C9-4BB7-8466-3DDA99C23C39}"/>
    <cellStyle name="Comma 2 3 4 3 2 6 2 2" xfId="54377" xr:uid="{2961ACCE-6B0D-4033-AA49-9AB62C3BAAE3}"/>
    <cellStyle name="Comma 2 3 4 3 2 6 3" xfId="39257" xr:uid="{DF2F172E-DA8E-41FE-AAD6-412D33EB0032}"/>
    <cellStyle name="Comma 2 3 4 3 2 7" xfId="10529" xr:uid="{C216E8B1-1A11-4CC1-A4BB-2809BA77E4C8}"/>
    <cellStyle name="Comma 2 3 4 3 2 7 2" xfId="25649" xr:uid="{D4630E23-AC95-4AA4-A053-D7437E8D233D}"/>
    <cellStyle name="Comma 2 3 4 3 2 7 2 2" xfId="55889" xr:uid="{8D8B4B6D-56FC-4FCC-A82D-CB8B61528556}"/>
    <cellStyle name="Comma 2 3 4 3 2 7 3" xfId="40769" xr:uid="{EA03055F-6F4E-461A-BE6D-90137C9B94E9}"/>
    <cellStyle name="Comma 2 3 4 3 2 8" xfId="16577" xr:uid="{D3CCEEE7-1DF9-404E-874C-955727320734}"/>
    <cellStyle name="Comma 2 3 4 3 2 8 2" xfId="46817" xr:uid="{005398C5-CED7-4321-9F81-7B0A0C95BD68}"/>
    <cellStyle name="Comma 2 3 4 3 2 9" xfId="31697" xr:uid="{7616A5D3-9F4C-43D9-A4E6-19AE37F6C168}"/>
    <cellStyle name="Comma 2 3 4 3 3" xfId="2213" xr:uid="{6C3997D8-AF2B-46F1-9073-8368F8148A9B}"/>
    <cellStyle name="Comma 2 3 4 3 3 2" xfId="11285" xr:uid="{4AAFC171-ECF5-4121-84C6-EA7E029E06FF}"/>
    <cellStyle name="Comma 2 3 4 3 3 2 2" xfId="26405" xr:uid="{DF33A183-EAED-43DE-8B23-F01E03AACAAC}"/>
    <cellStyle name="Comma 2 3 4 3 3 2 2 2" xfId="56645" xr:uid="{FC095DDC-2FEE-4703-A6C2-E540E71FC437}"/>
    <cellStyle name="Comma 2 3 4 3 3 2 3" xfId="41525" xr:uid="{94E6B6AB-1370-47BC-9FC7-138D9B6C1524}"/>
    <cellStyle name="Comma 2 3 4 3 3 3" xfId="17333" xr:uid="{5ED0D3CA-95CD-45E4-B162-949BDCF350FE}"/>
    <cellStyle name="Comma 2 3 4 3 3 3 2" xfId="47573" xr:uid="{B847F63C-328C-425A-969C-7F09D1083B3B}"/>
    <cellStyle name="Comma 2 3 4 3 3 4" xfId="32453" xr:uid="{667AB8B0-C2D0-4BC9-B58E-1F2F801CBEB1}"/>
    <cellStyle name="Comma 2 3 4 3 4" xfId="3725" xr:uid="{496AB056-E13A-48FB-8672-7E3434911813}"/>
    <cellStyle name="Comma 2 3 4 3 4 2" xfId="12797" xr:uid="{5EEA0A42-3407-4463-8CB4-7794861BA19B}"/>
    <cellStyle name="Comma 2 3 4 3 4 2 2" xfId="27917" xr:uid="{FF741697-6342-4BFD-AF63-8C0801BD08CA}"/>
    <cellStyle name="Comma 2 3 4 3 4 2 2 2" xfId="58157" xr:uid="{6D9F5BC6-0AF2-4767-8A3C-E984B3C8C8F2}"/>
    <cellStyle name="Comma 2 3 4 3 4 2 3" xfId="43037" xr:uid="{50FA1470-E106-4723-B536-8718CFDAACCC}"/>
    <cellStyle name="Comma 2 3 4 3 4 3" xfId="18845" xr:uid="{5223CAB3-606D-4B2C-8167-CDD2A26D961A}"/>
    <cellStyle name="Comma 2 3 4 3 4 3 2" xfId="49085" xr:uid="{27D14226-47D8-421A-9387-568AB0B41EB6}"/>
    <cellStyle name="Comma 2 3 4 3 4 4" xfId="33965" xr:uid="{B4FEFB17-A547-4596-8693-17691E185920}"/>
    <cellStyle name="Comma 2 3 4 3 5" xfId="5237" xr:uid="{E1E372C5-7124-47E8-917D-5FDD410F9651}"/>
    <cellStyle name="Comma 2 3 4 3 5 2" xfId="14309" xr:uid="{A62C11BC-1169-4250-8C92-4A84ABDAE2B7}"/>
    <cellStyle name="Comma 2 3 4 3 5 2 2" xfId="29429" xr:uid="{10E59EF8-B8C6-49F2-ABC7-CA47842D4EB2}"/>
    <cellStyle name="Comma 2 3 4 3 5 2 2 2" xfId="59669" xr:uid="{8D8D6B55-AE67-4DF1-AB43-C55F714761C1}"/>
    <cellStyle name="Comma 2 3 4 3 5 2 3" xfId="44549" xr:uid="{F36060F1-725D-4C8C-9E10-E178C7AFB950}"/>
    <cellStyle name="Comma 2 3 4 3 5 3" xfId="20357" xr:uid="{8081A2EA-A125-45C3-9FCA-4B78569FF039}"/>
    <cellStyle name="Comma 2 3 4 3 5 3 2" xfId="50597" xr:uid="{EA0D1484-B6FE-404C-9251-95D9A7054401}"/>
    <cellStyle name="Comma 2 3 4 3 5 4" xfId="35477" xr:uid="{0D35F229-ACBF-4B05-90BC-90452CAFA19B}"/>
    <cellStyle name="Comma 2 3 4 3 6" xfId="6749" xr:uid="{0736DC9A-5CCF-4E95-B10D-6F82FAA8E40C}"/>
    <cellStyle name="Comma 2 3 4 3 6 2" xfId="21869" xr:uid="{FF3EB64A-CDE8-4B58-BE2C-B2EE4C411C7E}"/>
    <cellStyle name="Comma 2 3 4 3 6 2 2" xfId="52109" xr:uid="{8DC91E26-8042-464F-AEAD-BEA87B03B24D}"/>
    <cellStyle name="Comma 2 3 4 3 6 3" xfId="36989" xr:uid="{73C0207F-BFDA-499A-887C-219F865C7022}"/>
    <cellStyle name="Comma 2 3 4 3 7" xfId="8261" xr:uid="{2822D79D-731B-476F-B654-B24C0F5C33DE}"/>
    <cellStyle name="Comma 2 3 4 3 7 2" xfId="23381" xr:uid="{29FF706B-167F-42B8-A06E-B154F6F9FE39}"/>
    <cellStyle name="Comma 2 3 4 3 7 2 2" xfId="53621" xr:uid="{58E779E4-FC66-49EA-B15A-BC8B04D11C7E}"/>
    <cellStyle name="Comma 2 3 4 3 7 3" xfId="38501" xr:uid="{C5A25D23-99EC-4D65-90B1-17C8A81BDDDC}"/>
    <cellStyle name="Comma 2 3 4 3 8" xfId="9773" xr:uid="{9AD2A756-4063-4872-A15F-216ECEBDA0D5}"/>
    <cellStyle name="Comma 2 3 4 3 8 2" xfId="24893" xr:uid="{C90896C5-6BC5-4B09-958A-8440A2E5F3BB}"/>
    <cellStyle name="Comma 2 3 4 3 8 2 2" xfId="55133" xr:uid="{46F3840A-05DE-47F3-9F36-83C6DF600326}"/>
    <cellStyle name="Comma 2 3 4 3 8 3" xfId="40013" xr:uid="{69650B25-D844-4A42-898F-9D7E16D9776C}"/>
    <cellStyle name="Comma 2 3 4 3 9" xfId="15821" xr:uid="{4A38D42F-6B48-497D-9CC7-FEE4493CF2E7}"/>
    <cellStyle name="Comma 2 3 4 3 9 2" xfId="46061" xr:uid="{81DF331B-6AD5-4FD1-90EF-D52D20934A91}"/>
    <cellStyle name="Comma 2 3 4 4" xfId="953" xr:uid="{FF789F74-EEA8-48A5-8E79-FF7A954DF14E}"/>
    <cellStyle name="Comma 2 3 4 4 2" xfId="2465" xr:uid="{6B60B667-FF78-4B25-A342-B4B88598700E}"/>
    <cellStyle name="Comma 2 3 4 4 2 2" xfId="11537" xr:uid="{581FCD16-C014-409C-83C7-07ABF148CDF4}"/>
    <cellStyle name="Comma 2 3 4 4 2 2 2" xfId="26657" xr:uid="{106D5E13-E9A3-4182-BE96-CA1FCE27F8DF}"/>
    <cellStyle name="Comma 2 3 4 4 2 2 2 2" xfId="56897" xr:uid="{A856B7CB-4A8C-456B-8126-769FFDC66CD6}"/>
    <cellStyle name="Comma 2 3 4 4 2 2 3" xfId="41777" xr:uid="{3B3CE137-BD8A-4D9D-89E9-F89D48477778}"/>
    <cellStyle name="Comma 2 3 4 4 2 3" xfId="17585" xr:uid="{518C4EEE-58A4-4410-9B73-C72D1CB40A78}"/>
    <cellStyle name="Comma 2 3 4 4 2 3 2" xfId="47825" xr:uid="{5D2E8FF6-2F4D-4E9F-9AF6-2F4ACEF299E6}"/>
    <cellStyle name="Comma 2 3 4 4 2 4" xfId="32705" xr:uid="{469D5087-CE66-455E-BFA4-1F81EBB42AD9}"/>
    <cellStyle name="Comma 2 3 4 4 3" xfId="3977" xr:uid="{8A112893-5A72-4C75-BB43-028A20AE71E8}"/>
    <cellStyle name="Comma 2 3 4 4 3 2" xfId="13049" xr:uid="{F1954351-151E-4A9C-9D66-DFF5270161D8}"/>
    <cellStyle name="Comma 2 3 4 4 3 2 2" xfId="28169" xr:uid="{EE012C0C-D005-44CE-BB35-C47353938258}"/>
    <cellStyle name="Comma 2 3 4 4 3 2 2 2" xfId="58409" xr:uid="{C3617F8A-5700-4433-8A34-9DC3ED7F6F74}"/>
    <cellStyle name="Comma 2 3 4 4 3 2 3" xfId="43289" xr:uid="{F9DEBE96-230E-41C6-9DA7-300A416FF14C}"/>
    <cellStyle name="Comma 2 3 4 4 3 3" xfId="19097" xr:uid="{529C5707-700C-4A04-8F3B-2D9272925FA0}"/>
    <cellStyle name="Comma 2 3 4 4 3 3 2" xfId="49337" xr:uid="{856F2865-9A7D-4552-96A7-471F9033604E}"/>
    <cellStyle name="Comma 2 3 4 4 3 4" xfId="34217" xr:uid="{608D2299-6B59-4546-83D8-6453AFB9D0C6}"/>
    <cellStyle name="Comma 2 3 4 4 4" xfId="5489" xr:uid="{82A2BEF4-7A34-4B67-BF10-8AB48A5AEB84}"/>
    <cellStyle name="Comma 2 3 4 4 4 2" xfId="14561" xr:uid="{8C1F5FE4-E098-4ADF-9DC3-AC726F5A850A}"/>
    <cellStyle name="Comma 2 3 4 4 4 2 2" xfId="29681" xr:uid="{3954C1A9-AA4D-42E7-8872-EE546E39F469}"/>
    <cellStyle name="Comma 2 3 4 4 4 2 2 2" xfId="59921" xr:uid="{3BECA00B-9826-40F6-B977-49D60FCD007F}"/>
    <cellStyle name="Comma 2 3 4 4 4 2 3" xfId="44801" xr:uid="{990A5216-F157-485F-9816-BEA615A99FED}"/>
    <cellStyle name="Comma 2 3 4 4 4 3" xfId="20609" xr:uid="{175A3435-D420-4698-BC7B-EE2DC7C9B978}"/>
    <cellStyle name="Comma 2 3 4 4 4 3 2" xfId="50849" xr:uid="{4C28622A-7DB7-4BF6-89C2-3A6AA4FA535C}"/>
    <cellStyle name="Comma 2 3 4 4 4 4" xfId="35729" xr:uid="{69216362-0F54-49CA-BD3E-60B193D4363A}"/>
    <cellStyle name="Comma 2 3 4 4 5" xfId="7001" xr:uid="{95B8E86F-E935-4CDC-8701-C254225AC4B2}"/>
    <cellStyle name="Comma 2 3 4 4 5 2" xfId="22121" xr:uid="{28A2EA6B-1CDB-407B-8B3C-EF94E678852E}"/>
    <cellStyle name="Comma 2 3 4 4 5 2 2" xfId="52361" xr:uid="{81336AC5-BB7F-48CA-997B-665FA70B03DC}"/>
    <cellStyle name="Comma 2 3 4 4 5 3" xfId="37241" xr:uid="{9A8B8DF6-751E-4546-83BB-B3D1C04AEED8}"/>
    <cellStyle name="Comma 2 3 4 4 6" xfId="8513" xr:uid="{F5FB65C2-30FD-4F02-BB41-35B0C13FA65F}"/>
    <cellStyle name="Comma 2 3 4 4 6 2" xfId="23633" xr:uid="{FE3DF4BE-12A2-4DBA-A0A1-245ADF2CF177}"/>
    <cellStyle name="Comma 2 3 4 4 6 2 2" xfId="53873" xr:uid="{2E20EA49-B8AB-4054-9D78-9D171E8F52AF}"/>
    <cellStyle name="Comma 2 3 4 4 6 3" xfId="38753" xr:uid="{2B38E017-2981-4B6E-BC44-C382AB5D09AE}"/>
    <cellStyle name="Comma 2 3 4 4 7" xfId="10025" xr:uid="{662ABBBF-ACF4-4451-8358-6D676B44D05F}"/>
    <cellStyle name="Comma 2 3 4 4 7 2" xfId="25145" xr:uid="{86B95BDA-1029-4E44-A7AC-EA91B3A327FA}"/>
    <cellStyle name="Comma 2 3 4 4 7 2 2" xfId="55385" xr:uid="{44201CDC-9777-475F-BE4F-AE14EF5BFA27}"/>
    <cellStyle name="Comma 2 3 4 4 7 3" xfId="40265" xr:uid="{1EED01EC-E816-4F46-BE56-355059830929}"/>
    <cellStyle name="Comma 2 3 4 4 8" xfId="16073" xr:uid="{9666F69C-5585-4698-A316-5E6DDDCB34FE}"/>
    <cellStyle name="Comma 2 3 4 4 8 2" xfId="46313" xr:uid="{D4C71F3D-003B-46A7-BD6F-D4C29585FD62}"/>
    <cellStyle name="Comma 2 3 4 4 9" xfId="31193" xr:uid="{751EEA8D-4378-400C-B2A7-19AD31A5D0DC}"/>
    <cellStyle name="Comma 2 3 4 5" xfId="1709" xr:uid="{3DE8037D-8381-41BA-A253-637CA4E8D512}"/>
    <cellStyle name="Comma 2 3 4 5 2" xfId="10781" xr:uid="{3A07DE41-DAE9-485B-8C76-ECA79D5ED7E5}"/>
    <cellStyle name="Comma 2 3 4 5 2 2" xfId="25901" xr:uid="{F4B28AEE-CEC5-47BC-BDE8-41F386DCB7D8}"/>
    <cellStyle name="Comma 2 3 4 5 2 2 2" xfId="56141" xr:uid="{6542D055-85C2-4272-BB10-879CA0C78A99}"/>
    <cellStyle name="Comma 2 3 4 5 2 3" xfId="41021" xr:uid="{EBF306EC-621F-4026-9227-03BF4DFC01DE}"/>
    <cellStyle name="Comma 2 3 4 5 3" xfId="16829" xr:uid="{915E6059-7755-4DA6-BC52-E7778B5AA917}"/>
    <cellStyle name="Comma 2 3 4 5 3 2" xfId="47069" xr:uid="{9B2DA4B6-C6CA-4F2C-AEB0-B1D24524775E}"/>
    <cellStyle name="Comma 2 3 4 5 4" xfId="31949" xr:uid="{478ED4E9-6F79-4EDF-A2E3-A62E859F0EDE}"/>
    <cellStyle name="Comma 2 3 4 6" xfId="3221" xr:uid="{814C2D37-1337-48AA-B981-D0AA279DA5D8}"/>
    <cellStyle name="Comma 2 3 4 6 2" xfId="12293" xr:uid="{077C19CD-3E94-462B-9B93-E6F5CBA7CB34}"/>
    <cellStyle name="Comma 2 3 4 6 2 2" xfId="27413" xr:uid="{A09DF531-5D9A-4D10-93C8-155CD20580EA}"/>
    <cellStyle name="Comma 2 3 4 6 2 2 2" xfId="57653" xr:uid="{5084BF37-EDD4-43DC-A8BB-B1B2819030F5}"/>
    <cellStyle name="Comma 2 3 4 6 2 3" xfId="42533" xr:uid="{C0E4E275-F741-4E6C-9130-CC60CB6EF6F3}"/>
    <cellStyle name="Comma 2 3 4 6 3" xfId="18341" xr:uid="{861214F9-8373-4061-A7AD-B469BA89DF10}"/>
    <cellStyle name="Comma 2 3 4 6 3 2" xfId="48581" xr:uid="{364BC9BA-CF01-4FBC-9BEB-4ED99E362D87}"/>
    <cellStyle name="Comma 2 3 4 6 4" xfId="33461" xr:uid="{5AC35B9A-C5B0-41B4-B0AC-1B796DA18331}"/>
    <cellStyle name="Comma 2 3 4 7" xfId="4733" xr:uid="{8D58531E-9AE4-4524-A16C-078DEA479788}"/>
    <cellStyle name="Comma 2 3 4 7 2" xfId="13805" xr:uid="{73F67A3B-9AA5-4E57-AF27-3C12106BCA81}"/>
    <cellStyle name="Comma 2 3 4 7 2 2" xfId="28925" xr:uid="{3F60AEF8-12F1-4B74-A494-6567C816CE58}"/>
    <cellStyle name="Comma 2 3 4 7 2 2 2" xfId="59165" xr:uid="{5F24CA0C-92AB-45B9-A181-01A1C72F8692}"/>
    <cellStyle name="Comma 2 3 4 7 2 3" xfId="44045" xr:uid="{CD020AA9-60A6-4EFE-B2D3-887CF14D89C8}"/>
    <cellStyle name="Comma 2 3 4 7 3" xfId="19853" xr:uid="{8319F368-F7F6-4154-B11C-2402C0EE3E70}"/>
    <cellStyle name="Comma 2 3 4 7 3 2" xfId="50093" xr:uid="{C29C44A0-9F92-4FEF-A863-394CF3C38862}"/>
    <cellStyle name="Comma 2 3 4 7 4" xfId="34973" xr:uid="{EC150E6D-3029-4BD5-BC6D-E613592C6294}"/>
    <cellStyle name="Comma 2 3 4 8" xfId="6245" xr:uid="{FFBCE2A3-3278-469B-A99B-F5EDE2B9CA50}"/>
    <cellStyle name="Comma 2 3 4 8 2" xfId="21365" xr:uid="{C5B9D2EE-761D-4B2D-AC31-ED3B5BD7D1CD}"/>
    <cellStyle name="Comma 2 3 4 8 2 2" xfId="51605" xr:uid="{8ACD5B8E-9F7B-4716-B85B-3F8CBA0852A4}"/>
    <cellStyle name="Comma 2 3 4 8 3" xfId="36485" xr:uid="{F52FA59C-52C5-4726-9F85-C4B4A79E4E34}"/>
    <cellStyle name="Comma 2 3 4 9" xfId="7757" xr:uid="{DD724ACD-923F-4C20-BC45-CC480F12BF59}"/>
    <cellStyle name="Comma 2 3 4 9 2" xfId="22877" xr:uid="{C32C1BD0-F7C4-4A7E-A516-5BA328E69E38}"/>
    <cellStyle name="Comma 2 3 4 9 2 2" xfId="53117" xr:uid="{CF56E72B-BE8C-4120-8B92-5EEC689CCBB0}"/>
    <cellStyle name="Comma 2 3 4 9 3" xfId="37997" xr:uid="{43817F51-DA81-4EBC-B5D4-2B325A8CE816}"/>
    <cellStyle name="Comma 2 3 5" xfId="281" xr:uid="{67273B10-5D96-4DB1-9FC2-C9B101C5BC98}"/>
    <cellStyle name="Comma 2 3 5 10" xfId="30521" xr:uid="{19AFDA17-EA95-43B4-9280-E0B0582E02A4}"/>
    <cellStyle name="Comma 2 3 5 2" xfId="1037" xr:uid="{5C2E7C6C-545F-4024-B62E-00BDA29122B9}"/>
    <cellStyle name="Comma 2 3 5 2 2" xfId="2549" xr:uid="{64F7027A-0D02-4AAC-A8AF-DB5AA45A7F81}"/>
    <cellStyle name="Comma 2 3 5 2 2 2" xfId="11621" xr:uid="{26AAD69F-8D49-4DD8-A64E-D815618DE1F0}"/>
    <cellStyle name="Comma 2 3 5 2 2 2 2" xfId="26741" xr:uid="{0E98FD95-C85F-402C-B391-F92A992565C4}"/>
    <cellStyle name="Comma 2 3 5 2 2 2 2 2" xfId="56981" xr:uid="{46936FA5-7F3E-4A2C-806F-DA87B225F25D}"/>
    <cellStyle name="Comma 2 3 5 2 2 2 3" xfId="41861" xr:uid="{0A372BF7-A157-4B20-A43A-BF10385C85E6}"/>
    <cellStyle name="Comma 2 3 5 2 2 3" xfId="17669" xr:uid="{AAC3479B-F4C9-44E8-96CF-BB332E02E9AD}"/>
    <cellStyle name="Comma 2 3 5 2 2 3 2" xfId="47909" xr:uid="{1DB80EBE-E778-430F-AFF0-1D7F0350E45E}"/>
    <cellStyle name="Comma 2 3 5 2 2 4" xfId="32789" xr:uid="{9624E626-0A20-4795-BFC8-9A9BA5D11F59}"/>
    <cellStyle name="Comma 2 3 5 2 3" xfId="4061" xr:uid="{84965027-1311-43FC-A19A-6668E247A06C}"/>
    <cellStyle name="Comma 2 3 5 2 3 2" xfId="13133" xr:uid="{D02D2799-1747-44F7-98BB-D50DE2033261}"/>
    <cellStyle name="Comma 2 3 5 2 3 2 2" xfId="28253" xr:uid="{4DEF7021-CF61-4283-999C-C65B06105F76}"/>
    <cellStyle name="Comma 2 3 5 2 3 2 2 2" xfId="58493" xr:uid="{459F8D9E-7BEA-4E3E-B524-58EEE918844E}"/>
    <cellStyle name="Comma 2 3 5 2 3 2 3" xfId="43373" xr:uid="{D09CE3D9-DB64-4316-8ECC-9285A5E2689C}"/>
    <cellStyle name="Comma 2 3 5 2 3 3" xfId="19181" xr:uid="{19DE56C5-414D-480C-93FF-C0A29F636CDD}"/>
    <cellStyle name="Comma 2 3 5 2 3 3 2" xfId="49421" xr:uid="{6484A8D3-5E13-49E3-AD07-1312307C38D4}"/>
    <cellStyle name="Comma 2 3 5 2 3 4" xfId="34301" xr:uid="{F1F30CC4-7940-4ECE-8186-266DE2B02A2A}"/>
    <cellStyle name="Comma 2 3 5 2 4" xfId="5573" xr:uid="{4E2C5E79-FBC1-43F1-AFB6-406AC0D3C321}"/>
    <cellStyle name="Comma 2 3 5 2 4 2" xfId="14645" xr:uid="{4104D83A-3877-41D8-BE30-01F0076E6B25}"/>
    <cellStyle name="Comma 2 3 5 2 4 2 2" xfId="29765" xr:uid="{18CA157D-DB23-405A-B78C-F778A01BD706}"/>
    <cellStyle name="Comma 2 3 5 2 4 2 2 2" xfId="60005" xr:uid="{D8023B88-A82E-40A2-AC4F-F67A3DFE4F70}"/>
    <cellStyle name="Comma 2 3 5 2 4 2 3" xfId="44885" xr:uid="{5F7D1D21-CB67-42BA-B815-99CC04794880}"/>
    <cellStyle name="Comma 2 3 5 2 4 3" xfId="20693" xr:uid="{6A8C7756-B089-47AC-A183-2467DC5B4C7C}"/>
    <cellStyle name="Comma 2 3 5 2 4 3 2" xfId="50933" xr:uid="{61A3A87E-AF76-4BC5-A3BA-413E9C4C2B2E}"/>
    <cellStyle name="Comma 2 3 5 2 4 4" xfId="35813" xr:uid="{5B2F0325-3FC0-478B-A718-85E05665C5EF}"/>
    <cellStyle name="Comma 2 3 5 2 5" xfId="7085" xr:uid="{B76320DD-397C-40F8-A40C-7F37A9FA16B5}"/>
    <cellStyle name="Comma 2 3 5 2 5 2" xfId="22205" xr:uid="{7B2B1521-2E51-4E03-9073-6C97EE5A5C03}"/>
    <cellStyle name="Comma 2 3 5 2 5 2 2" xfId="52445" xr:uid="{6B1312F5-5724-4F3D-B33A-5968F6DEEB95}"/>
    <cellStyle name="Comma 2 3 5 2 5 3" xfId="37325" xr:uid="{7BFAB80F-23DC-43E9-A7DA-E7AC61E6DC33}"/>
    <cellStyle name="Comma 2 3 5 2 6" xfId="8597" xr:uid="{440AF37D-ECBB-452A-8ADE-92538EE8D8E6}"/>
    <cellStyle name="Comma 2 3 5 2 6 2" xfId="23717" xr:uid="{623D3521-E27F-43F1-9803-DC76D43BE500}"/>
    <cellStyle name="Comma 2 3 5 2 6 2 2" xfId="53957" xr:uid="{A61B6D7A-ADCD-4524-A281-6C4474425507}"/>
    <cellStyle name="Comma 2 3 5 2 6 3" xfId="38837" xr:uid="{CD926A15-387F-4D6A-9BAE-FA48818C4AE5}"/>
    <cellStyle name="Comma 2 3 5 2 7" xfId="10109" xr:uid="{C4211BF1-750C-4225-9106-542DD7C3A4F7}"/>
    <cellStyle name="Comma 2 3 5 2 7 2" xfId="25229" xr:uid="{FA782FE6-9580-4F21-9AFC-EE18EE68181C}"/>
    <cellStyle name="Comma 2 3 5 2 7 2 2" xfId="55469" xr:uid="{F3354928-F767-467A-AE5E-92138342F240}"/>
    <cellStyle name="Comma 2 3 5 2 7 3" xfId="40349" xr:uid="{C520274A-F2AF-43B0-BBFA-0E57C4BB1B99}"/>
    <cellStyle name="Comma 2 3 5 2 8" xfId="16157" xr:uid="{E50938AB-F4F0-4CD3-9113-0A1EAB121D33}"/>
    <cellStyle name="Comma 2 3 5 2 8 2" xfId="46397" xr:uid="{E49B5191-4D95-4540-8574-58E81CABECCB}"/>
    <cellStyle name="Comma 2 3 5 2 9" xfId="31277" xr:uid="{D5AE9425-CF2B-44B5-B0DE-BB422FAD916F}"/>
    <cellStyle name="Comma 2 3 5 3" xfId="1793" xr:uid="{47C981F7-9977-400F-8A31-2BD2D137A304}"/>
    <cellStyle name="Comma 2 3 5 3 2" xfId="10865" xr:uid="{30C58A93-68D1-4D08-98E7-495456F7A6FA}"/>
    <cellStyle name="Comma 2 3 5 3 2 2" xfId="25985" xr:uid="{49D0B397-A09E-4492-A649-7B927E831DC2}"/>
    <cellStyle name="Comma 2 3 5 3 2 2 2" xfId="56225" xr:uid="{0097DF9E-D49C-48B4-8FFD-57A1099E0615}"/>
    <cellStyle name="Comma 2 3 5 3 2 3" xfId="41105" xr:uid="{FBF75A5D-1A00-4BA5-A032-CEAABE88EA7D}"/>
    <cellStyle name="Comma 2 3 5 3 3" xfId="16913" xr:uid="{827C7F98-12C8-4AA5-9ED0-F2FB30D272FA}"/>
    <cellStyle name="Comma 2 3 5 3 3 2" xfId="47153" xr:uid="{756B53E2-83B4-418A-A8FD-675A349944D5}"/>
    <cellStyle name="Comma 2 3 5 3 4" xfId="32033" xr:uid="{68533C91-4F5E-4792-B344-496721297674}"/>
    <cellStyle name="Comma 2 3 5 4" xfId="3305" xr:uid="{2BD1E89E-3EFF-4CB3-86E5-9736B0CB8A6D}"/>
    <cellStyle name="Comma 2 3 5 4 2" xfId="12377" xr:uid="{3405E3FD-73B3-4864-AE1F-DF1B73DE0B58}"/>
    <cellStyle name="Comma 2 3 5 4 2 2" xfId="27497" xr:uid="{70E6BC4C-49F6-44C2-AE5F-D72DDF1702F3}"/>
    <cellStyle name="Comma 2 3 5 4 2 2 2" xfId="57737" xr:uid="{DC264B58-BCB6-4A6E-8D7D-E7AADECB7E06}"/>
    <cellStyle name="Comma 2 3 5 4 2 3" xfId="42617" xr:uid="{451011CC-C6AF-43C9-A824-A781397A730A}"/>
    <cellStyle name="Comma 2 3 5 4 3" xfId="18425" xr:uid="{AEE5C7C4-3B25-4C78-9480-6ADE56E584D6}"/>
    <cellStyle name="Comma 2 3 5 4 3 2" xfId="48665" xr:uid="{2EEF2461-94E6-43EC-98F9-A484ADB2ACF6}"/>
    <cellStyle name="Comma 2 3 5 4 4" xfId="33545" xr:uid="{058942FC-6C70-4899-BB73-329F8E16CAED}"/>
    <cellStyle name="Comma 2 3 5 5" xfId="4817" xr:uid="{8AB5B733-FB0E-4C9C-A769-1D9152A484D1}"/>
    <cellStyle name="Comma 2 3 5 5 2" xfId="13889" xr:uid="{A5323B18-200B-4035-A60E-16E6B8C7C58C}"/>
    <cellStyle name="Comma 2 3 5 5 2 2" xfId="29009" xr:uid="{2C8C7DBA-611B-40BE-85E8-1BBFCFC83BC6}"/>
    <cellStyle name="Comma 2 3 5 5 2 2 2" xfId="59249" xr:uid="{BDF46C35-898E-4BAA-9186-B001B42EC60A}"/>
    <cellStyle name="Comma 2 3 5 5 2 3" xfId="44129" xr:uid="{62828ACD-C85E-4963-A0E7-FD42783F4179}"/>
    <cellStyle name="Comma 2 3 5 5 3" xfId="19937" xr:uid="{871495FD-8AA1-4EAE-9127-BC3F8C2B59C7}"/>
    <cellStyle name="Comma 2 3 5 5 3 2" xfId="50177" xr:uid="{7E56CEF7-D3F6-459C-92B7-32E159C276AE}"/>
    <cellStyle name="Comma 2 3 5 5 4" xfId="35057" xr:uid="{547839E8-D4C0-4D62-8E60-7289A1F34EDA}"/>
    <cellStyle name="Comma 2 3 5 6" xfId="6329" xr:uid="{FD013DDD-5E63-438A-B612-A53A2403F1B6}"/>
    <cellStyle name="Comma 2 3 5 6 2" xfId="21449" xr:uid="{464799A5-1932-4CDC-8C54-004D3395A7A0}"/>
    <cellStyle name="Comma 2 3 5 6 2 2" xfId="51689" xr:uid="{3246C4AF-FC63-4A71-AB13-22291458AD1B}"/>
    <cellStyle name="Comma 2 3 5 6 3" xfId="36569" xr:uid="{46C7C69A-F864-4D86-B2D8-842CFF4B2C68}"/>
    <cellStyle name="Comma 2 3 5 7" xfId="7841" xr:uid="{E536B38C-7FBA-4175-A519-90AB0DE5221A}"/>
    <cellStyle name="Comma 2 3 5 7 2" xfId="22961" xr:uid="{00372B83-41C8-4DCD-8F9B-B31E2138AF86}"/>
    <cellStyle name="Comma 2 3 5 7 2 2" xfId="53201" xr:uid="{D1A28471-D938-4E79-8F57-826038D3929E}"/>
    <cellStyle name="Comma 2 3 5 7 3" xfId="38081" xr:uid="{2C42A09F-37E7-41DC-B7A4-61E8B9BA0F02}"/>
    <cellStyle name="Comma 2 3 5 8" xfId="9353" xr:uid="{34C2D01F-8B58-44EA-9785-A47E412FBBA2}"/>
    <cellStyle name="Comma 2 3 5 8 2" xfId="24473" xr:uid="{0B48D7BA-FAAF-46B9-94AF-A17039F2A96F}"/>
    <cellStyle name="Comma 2 3 5 8 2 2" xfId="54713" xr:uid="{172C35EF-2C13-4A92-AA4E-55FB62A2C243}"/>
    <cellStyle name="Comma 2 3 5 8 3" xfId="39593" xr:uid="{32ECE60B-BAC3-4849-BD1C-D46C950E704D}"/>
    <cellStyle name="Comma 2 3 5 9" xfId="15401" xr:uid="{3DD97D88-697E-4E00-9810-12BD1E439F84}"/>
    <cellStyle name="Comma 2 3 5 9 2" xfId="45641" xr:uid="{E627580F-EB3B-4B6F-8336-D569F7290E82}"/>
    <cellStyle name="Comma 2 3 6" xfId="533" xr:uid="{52A1F552-F89B-4AE3-B8A6-CC3DFDD3C167}"/>
    <cellStyle name="Comma 2 3 6 10" xfId="30773" xr:uid="{FC0C436C-AD93-475D-9BFB-56C3F0DADBE9}"/>
    <cellStyle name="Comma 2 3 6 2" xfId="1289" xr:uid="{E5CA5873-EFD8-462C-B25C-C8D8A1444FE2}"/>
    <cellStyle name="Comma 2 3 6 2 2" xfId="2801" xr:uid="{946D37C2-8A6F-4139-AE30-A531CCAB7FA6}"/>
    <cellStyle name="Comma 2 3 6 2 2 2" xfId="11873" xr:uid="{03698DA4-CF2F-435B-9127-2DABE90880FE}"/>
    <cellStyle name="Comma 2 3 6 2 2 2 2" xfId="26993" xr:uid="{F0B56731-A7B7-4768-861D-532B09282F26}"/>
    <cellStyle name="Comma 2 3 6 2 2 2 2 2" xfId="57233" xr:uid="{E64F0E68-C6D6-468C-B493-07D71E82C347}"/>
    <cellStyle name="Comma 2 3 6 2 2 2 3" xfId="42113" xr:uid="{0F3DE7B3-E9DE-4055-8805-B569A5AEAFAE}"/>
    <cellStyle name="Comma 2 3 6 2 2 3" xfId="17921" xr:uid="{D7DE7954-01C3-4B56-9BC8-BE8885E98FB7}"/>
    <cellStyle name="Comma 2 3 6 2 2 3 2" xfId="48161" xr:uid="{FEF5A2F5-C716-40DB-B09F-9768765647BD}"/>
    <cellStyle name="Comma 2 3 6 2 2 4" xfId="33041" xr:uid="{1AA89237-E175-4895-8F1E-B92C4895DFBE}"/>
    <cellStyle name="Comma 2 3 6 2 3" xfId="4313" xr:uid="{52A61BF9-11B9-402A-8F8D-D2DDB8CDDEDE}"/>
    <cellStyle name="Comma 2 3 6 2 3 2" xfId="13385" xr:uid="{622E053B-EF7B-4753-9418-7ED1D55E7238}"/>
    <cellStyle name="Comma 2 3 6 2 3 2 2" xfId="28505" xr:uid="{365623C9-72C1-4B24-A393-5176A6EE93A8}"/>
    <cellStyle name="Comma 2 3 6 2 3 2 2 2" xfId="58745" xr:uid="{DB4E68EF-94C5-4F72-99E8-85E86F105D11}"/>
    <cellStyle name="Comma 2 3 6 2 3 2 3" xfId="43625" xr:uid="{CA413E81-1A3A-4240-887C-EB4E1975745C}"/>
    <cellStyle name="Comma 2 3 6 2 3 3" xfId="19433" xr:uid="{D74D495C-A8BC-45A4-A078-CB16EAE637A3}"/>
    <cellStyle name="Comma 2 3 6 2 3 3 2" xfId="49673" xr:uid="{B4D41A49-FF02-4064-AC28-EBAFBEE614DA}"/>
    <cellStyle name="Comma 2 3 6 2 3 4" xfId="34553" xr:uid="{B655AFA0-E036-4CEC-95EF-CF24341709C8}"/>
    <cellStyle name="Comma 2 3 6 2 4" xfId="5825" xr:uid="{E0083723-5C0B-415C-998B-703648D52AD4}"/>
    <cellStyle name="Comma 2 3 6 2 4 2" xfId="14897" xr:uid="{80BA91F2-28E0-4523-9C2A-EA8ACFBE491B}"/>
    <cellStyle name="Comma 2 3 6 2 4 2 2" xfId="30017" xr:uid="{FD05DC5B-E268-4A0E-B95D-A8BFA7D28AAA}"/>
    <cellStyle name="Comma 2 3 6 2 4 2 2 2" xfId="60257" xr:uid="{ADF2F6FE-BB96-4AA6-8871-030B8F604A3F}"/>
    <cellStyle name="Comma 2 3 6 2 4 2 3" xfId="45137" xr:uid="{C43581F4-4DD6-469D-838A-6C45A8E1F9EA}"/>
    <cellStyle name="Comma 2 3 6 2 4 3" xfId="20945" xr:uid="{D16E01DC-D486-4DBE-8816-87EFD8E0901D}"/>
    <cellStyle name="Comma 2 3 6 2 4 3 2" xfId="51185" xr:uid="{444D01B6-3818-4463-A44F-B5BB08CD29A4}"/>
    <cellStyle name="Comma 2 3 6 2 4 4" xfId="36065" xr:uid="{93902E50-7A99-48B8-B4C1-41E49E729300}"/>
    <cellStyle name="Comma 2 3 6 2 5" xfId="7337" xr:uid="{1C3A42CE-1FD9-4EEF-B403-A89657267E61}"/>
    <cellStyle name="Comma 2 3 6 2 5 2" xfId="22457" xr:uid="{2153DE53-4322-423A-A4BB-6AD29341CCBD}"/>
    <cellStyle name="Comma 2 3 6 2 5 2 2" xfId="52697" xr:uid="{B482F8A4-508B-4C24-A515-06180D23DA70}"/>
    <cellStyle name="Comma 2 3 6 2 5 3" xfId="37577" xr:uid="{06354067-A20F-4747-8979-F7C39E36FFA5}"/>
    <cellStyle name="Comma 2 3 6 2 6" xfId="8849" xr:uid="{B08E4F43-C82A-42D0-B300-7A51638154D2}"/>
    <cellStyle name="Comma 2 3 6 2 6 2" xfId="23969" xr:uid="{FCA76D65-2399-46F9-81CB-B65BD6652BC9}"/>
    <cellStyle name="Comma 2 3 6 2 6 2 2" xfId="54209" xr:uid="{D6EB6C80-AF62-476F-9CCC-9F605A0DA068}"/>
    <cellStyle name="Comma 2 3 6 2 6 3" xfId="39089" xr:uid="{66387D09-8D07-4B15-A8A4-C5DD28C8BDC1}"/>
    <cellStyle name="Comma 2 3 6 2 7" xfId="10361" xr:uid="{3BE953EA-ABC3-4B74-A831-162C921F544C}"/>
    <cellStyle name="Comma 2 3 6 2 7 2" xfId="25481" xr:uid="{0FD1D6CB-284E-44A4-AFA6-489277E012CD}"/>
    <cellStyle name="Comma 2 3 6 2 7 2 2" xfId="55721" xr:uid="{9E201134-B0E5-41DD-B1F6-7848EACB7628}"/>
    <cellStyle name="Comma 2 3 6 2 7 3" xfId="40601" xr:uid="{CA4645D9-5D3B-4635-8367-7A79727F976A}"/>
    <cellStyle name="Comma 2 3 6 2 8" xfId="16409" xr:uid="{9B8D1863-1DBE-4646-9202-4DEFC5722D5F}"/>
    <cellStyle name="Comma 2 3 6 2 8 2" xfId="46649" xr:uid="{1A974ADF-FB7F-40E9-84FF-2C763A7EC417}"/>
    <cellStyle name="Comma 2 3 6 2 9" xfId="31529" xr:uid="{49DADA1F-D5BF-4136-A1EC-AD6B46CA98E0}"/>
    <cellStyle name="Comma 2 3 6 3" xfId="2045" xr:uid="{6DC5667C-F7E8-43F3-8212-A6F6039E156F}"/>
    <cellStyle name="Comma 2 3 6 3 2" xfId="11117" xr:uid="{B1E37356-0141-412D-BAA3-5411B9B349CC}"/>
    <cellStyle name="Comma 2 3 6 3 2 2" xfId="26237" xr:uid="{E9F730BD-FDC1-42DF-B4B5-9AD5FB73260D}"/>
    <cellStyle name="Comma 2 3 6 3 2 2 2" xfId="56477" xr:uid="{845B477C-5C2E-4FE5-BD3D-9DBD0571A9D3}"/>
    <cellStyle name="Comma 2 3 6 3 2 3" xfId="41357" xr:uid="{3F9CF1B8-F341-4931-8CFB-3E8D2AC1E07E}"/>
    <cellStyle name="Comma 2 3 6 3 3" xfId="17165" xr:uid="{4AB19DCA-A25A-46E3-9573-145BE93E6DC7}"/>
    <cellStyle name="Comma 2 3 6 3 3 2" xfId="47405" xr:uid="{17DDC72B-B0D4-464A-8EC6-6F42D36CC45F}"/>
    <cellStyle name="Comma 2 3 6 3 4" xfId="32285" xr:uid="{75ABDCC9-7E4A-46BC-9EF1-3610A96FFC55}"/>
    <cellStyle name="Comma 2 3 6 4" xfId="3557" xr:uid="{4A5B68F4-538E-4670-BBBF-848ECB9B16D8}"/>
    <cellStyle name="Comma 2 3 6 4 2" xfId="12629" xr:uid="{FF070309-82E6-42F3-8770-F23EAE3EE8CA}"/>
    <cellStyle name="Comma 2 3 6 4 2 2" xfId="27749" xr:uid="{8E7E22B7-7AC9-4776-823F-79BBED43A6A5}"/>
    <cellStyle name="Comma 2 3 6 4 2 2 2" xfId="57989" xr:uid="{1821BA6F-F31C-4DB5-96AC-910B428BD724}"/>
    <cellStyle name="Comma 2 3 6 4 2 3" xfId="42869" xr:uid="{07F05DD6-4944-42CD-A8C9-4B21F190D410}"/>
    <cellStyle name="Comma 2 3 6 4 3" xfId="18677" xr:uid="{1FCD5854-5312-483F-ABB2-FA2811091A4A}"/>
    <cellStyle name="Comma 2 3 6 4 3 2" xfId="48917" xr:uid="{4DB2C472-00A1-4D05-A86F-1B6DCF4844E5}"/>
    <cellStyle name="Comma 2 3 6 4 4" xfId="33797" xr:uid="{9CF67C06-354B-4F17-BB9B-66D45784731F}"/>
    <cellStyle name="Comma 2 3 6 5" xfId="5069" xr:uid="{31E5D30D-4276-48C0-A624-AE4B30433431}"/>
    <cellStyle name="Comma 2 3 6 5 2" xfId="14141" xr:uid="{156F7E0B-6EF8-4DBA-8928-3CAE0C67623D}"/>
    <cellStyle name="Comma 2 3 6 5 2 2" xfId="29261" xr:uid="{825F950B-9E13-4874-B21C-5CBE6D6F4340}"/>
    <cellStyle name="Comma 2 3 6 5 2 2 2" xfId="59501" xr:uid="{752A0E81-CA2F-4451-9CBF-D0B540802A1D}"/>
    <cellStyle name="Comma 2 3 6 5 2 3" xfId="44381" xr:uid="{6EE57D8E-AAED-478C-A6D5-2416A5EE01B3}"/>
    <cellStyle name="Comma 2 3 6 5 3" xfId="20189" xr:uid="{412874FA-90AD-40D8-9D44-24729176ED54}"/>
    <cellStyle name="Comma 2 3 6 5 3 2" xfId="50429" xr:uid="{DE50418F-6411-4595-BF4F-0EB11CDBBF47}"/>
    <cellStyle name="Comma 2 3 6 5 4" xfId="35309" xr:uid="{69B5AE20-04FC-4D7F-9241-C19C4484DF06}"/>
    <cellStyle name="Comma 2 3 6 6" xfId="6581" xr:uid="{4E2C58CD-C10C-4C15-BBCD-EDD241821036}"/>
    <cellStyle name="Comma 2 3 6 6 2" xfId="21701" xr:uid="{77863522-2FCB-47C2-A258-19368AB7B298}"/>
    <cellStyle name="Comma 2 3 6 6 2 2" xfId="51941" xr:uid="{EADF3071-A0D9-4AAC-97A9-035CF2FD0AE9}"/>
    <cellStyle name="Comma 2 3 6 6 3" xfId="36821" xr:uid="{42386FDA-921F-48FF-AB17-91990C41F31C}"/>
    <cellStyle name="Comma 2 3 6 7" xfId="8093" xr:uid="{7EA0DC87-E09C-4CFD-BD70-A825D951CC7C}"/>
    <cellStyle name="Comma 2 3 6 7 2" xfId="23213" xr:uid="{4CFFC0B6-0B9A-4F7F-B911-E271BEAD0C0E}"/>
    <cellStyle name="Comma 2 3 6 7 2 2" xfId="53453" xr:uid="{D5C7AD4C-7063-468A-A050-51414E76EA3E}"/>
    <cellStyle name="Comma 2 3 6 7 3" xfId="38333" xr:uid="{F4B34B2A-5A9E-4C3C-9017-BA7434DDD5BA}"/>
    <cellStyle name="Comma 2 3 6 8" xfId="9605" xr:uid="{70A79442-BA15-46B3-A3E7-CFF2BADD544A}"/>
    <cellStyle name="Comma 2 3 6 8 2" xfId="24725" xr:uid="{2CA633C6-EA37-4383-AA6C-4F0E4BBFCEFC}"/>
    <cellStyle name="Comma 2 3 6 8 2 2" xfId="54965" xr:uid="{17412907-981A-4C87-A989-77C4F88BC1CD}"/>
    <cellStyle name="Comma 2 3 6 8 3" xfId="39845" xr:uid="{53E789EA-42CD-462D-A258-2CA1E328C127}"/>
    <cellStyle name="Comma 2 3 6 9" xfId="15653" xr:uid="{C44AB9C2-5E70-4FDD-B5DD-00AF20FEB54D}"/>
    <cellStyle name="Comma 2 3 6 9 2" xfId="45893" xr:uid="{03AA1186-57D2-4E0B-8FD7-6E5AFF5A323E}"/>
    <cellStyle name="Comma 2 3 7" xfId="785" xr:uid="{406AF287-5B36-4C7B-BABA-62832F142DA7}"/>
    <cellStyle name="Comma 2 3 7 2" xfId="2297" xr:uid="{1BD15F88-D8D8-45B9-997E-26459F953317}"/>
    <cellStyle name="Comma 2 3 7 2 2" xfId="11369" xr:uid="{E97EA8B8-4BC4-40BB-B5B5-71D356FD808B}"/>
    <cellStyle name="Comma 2 3 7 2 2 2" xfId="26489" xr:uid="{C530805D-3DD5-47A6-9136-AF4B375DA2F2}"/>
    <cellStyle name="Comma 2 3 7 2 2 2 2" xfId="56729" xr:uid="{433BD194-D682-4802-B744-C07FC2D6A7CE}"/>
    <cellStyle name="Comma 2 3 7 2 2 3" xfId="41609" xr:uid="{678950AC-74C7-4D17-BB3A-34C5049AE96C}"/>
    <cellStyle name="Comma 2 3 7 2 3" xfId="17417" xr:uid="{5BA0A979-7DCF-46AA-8605-5BECD2951E4D}"/>
    <cellStyle name="Comma 2 3 7 2 3 2" xfId="47657" xr:uid="{0B41C661-75D7-44FB-8C63-5225DEA8689A}"/>
    <cellStyle name="Comma 2 3 7 2 4" xfId="32537" xr:uid="{52921656-A6A7-4570-9277-0A707FCEFD60}"/>
    <cellStyle name="Comma 2 3 7 3" xfId="3809" xr:uid="{E07CE432-66A5-4EC7-A433-04EE58058EC9}"/>
    <cellStyle name="Comma 2 3 7 3 2" xfId="12881" xr:uid="{FDF56268-EA60-4D64-97A8-DAFA39D74AE6}"/>
    <cellStyle name="Comma 2 3 7 3 2 2" xfId="28001" xr:uid="{A01452E4-4C30-42C1-90FB-89EB72202B1D}"/>
    <cellStyle name="Comma 2 3 7 3 2 2 2" xfId="58241" xr:uid="{233F041C-A89D-41DD-A75C-C2AFCA257968}"/>
    <cellStyle name="Comma 2 3 7 3 2 3" xfId="43121" xr:uid="{E4F7EE55-11A5-4095-B8C4-BAB733648383}"/>
    <cellStyle name="Comma 2 3 7 3 3" xfId="18929" xr:uid="{935A1127-E3DF-4FCF-981A-F7FF6CE7A97B}"/>
    <cellStyle name="Comma 2 3 7 3 3 2" xfId="49169" xr:uid="{BB8F3E98-B4BC-40FF-9849-A3399D8576D8}"/>
    <cellStyle name="Comma 2 3 7 3 4" xfId="34049" xr:uid="{706D90C5-C930-4BBE-B019-F7D01AE719FC}"/>
    <cellStyle name="Comma 2 3 7 4" xfId="5321" xr:uid="{3D3D13A1-5C21-48FB-B44F-A11882079FF5}"/>
    <cellStyle name="Comma 2 3 7 4 2" xfId="14393" xr:uid="{260D9F15-71A0-4C43-B270-842A0AAEC9BC}"/>
    <cellStyle name="Comma 2 3 7 4 2 2" xfId="29513" xr:uid="{F3C2B132-4A78-4710-A534-33F81F5C4408}"/>
    <cellStyle name="Comma 2 3 7 4 2 2 2" xfId="59753" xr:uid="{BC637606-0231-4EE3-A494-7E38A3812A79}"/>
    <cellStyle name="Comma 2 3 7 4 2 3" xfId="44633" xr:uid="{F517882C-B595-4B32-8644-73B8913D46E1}"/>
    <cellStyle name="Comma 2 3 7 4 3" xfId="20441" xr:uid="{CCAFDDC3-D22D-49AB-847A-9FC91F67539F}"/>
    <cellStyle name="Comma 2 3 7 4 3 2" xfId="50681" xr:uid="{19F44753-FD9E-47F7-A192-1AD8FBB64BC3}"/>
    <cellStyle name="Comma 2 3 7 4 4" xfId="35561" xr:uid="{9B5B1B5E-22BF-477B-894F-6DE1B571875C}"/>
    <cellStyle name="Comma 2 3 7 5" xfId="6833" xr:uid="{AC1EF301-1028-4AF5-BF65-05ADDE6211BC}"/>
    <cellStyle name="Comma 2 3 7 5 2" xfId="21953" xr:uid="{4321617B-70FE-4504-B291-0B02C00AC4A4}"/>
    <cellStyle name="Comma 2 3 7 5 2 2" xfId="52193" xr:uid="{F4397CEB-B2CD-4465-93DE-2B5263E325FB}"/>
    <cellStyle name="Comma 2 3 7 5 3" xfId="37073" xr:uid="{1B7019DE-5A45-4F13-8731-42F01E623619}"/>
    <cellStyle name="Comma 2 3 7 6" xfId="8345" xr:uid="{742ADE3E-36D8-46A0-B925-45433665BA8D}"/>
    <cellStyle name="Comma 2 3 7 6 2" xfId="23465" xr:uid="{ACE76124-3553-4131-B35E-00259921B965}"/>
    <cellStyle name="Comma 2 3 7 6 2 2" xfId="53705" xr:uid="{365A09DC-63A2-40C2-8EE7-F0BC92A6558F}"/>
    <cellStyle name="Comma 2 3 7 6 3" xfId="38585" xr:uid="{A5FA9821-C229-4561-90DB-B1DC23F4FEE5}"/>
    <cellStyle name="Comma 2 3 7 7" xfId="9857" xr:uid="{D9F6B9A5-A6CC-4925-B3A5-3D928621A2B8}"/>
    <cellStyle name="Comma 2 3 7 7 2" xfId="24977" xr:uid="{10129E26-74E2-4F1B-8A6E-D4FD38C9FFC7}"/>
    <cellStyle name="Comma 2 3 7 7 2 2" xfId="55217" xr:uid="{AAA741CF-48A7-414C-BD58-D214B3936C01}"/>
    <cellStyle name="Comma 2 3 7 7 3" xfId="40097" xr:uid="{247C2620-5912-4EE4-A140-70535D1D58CD}"/>
    <cellStyle name="Comma 2 3 7 8" xfId="15905" xr:uid="{5A34EC95-9C03-491D-A295-EF829C1AE815}"/>
    <cellStyle name="Comma 2 3 7 8 2" xfId="46145" xr:uid="{C24CFB88-64B7-4104-9A06-6113EEF2028A}"/>
    <cellStyle name="Comma 2 3 7 9" xfId="31025" xr:uid="{49FE88C5-E967-43C9-9D95-804D24EB64E2}"/>
    <cellStyle name="Comma 2 3 8" xfId="1541" xr:uid="{1AD84388-F1E9-4679-AD2E-EDECEF143623}"/>
    <cellStyle name="Comma 2 3 8 2" xfId="10613" xr:uid="{6069300C-0E44-46C4-B2F4-72254147A241}"/>
    <cellStyle name="Comma 2 3 8 2 2" xfId="25733" xr:uid="{E9BE3ED9-9DEA-4064-B825-2739B3EC8882}"/>
    <cellStyle name="Comma 2 3 8 2 2 2" xfId="55973" xr:uid="{BB74AF44-2F22-4EF2-A4D3-A26CE207845D}"/>
    <cellStyle name="Comma 2 3 8 2 3" xfId="40853" xr:uid="{FE52F552-C348-420C-B7F7-4A510AAB4968}"/>
    <cellStyle name="Comma 2 3 8 3" xfId="16661" xr:uid="{92ECB95D-D7A9-4F26-B7B9-6834CA47263E}"/>
    <cellStyle name="Comma 2 3 8 3 2" xfId="46901" xr:uid="{DCD51E4E-7E77-4ACF-916D-C8B06F35AE68}"/>
    <cellStyle name="Comma 2 3 8 4" xfId="31781" xr:uid="{F03B37E6-9628-4B4E-AAF6-2DB26527A8FD}"/>
    <cellStyle name="Comma 2 3 9" xfId="3053" xr:uid="{72119783-75CE-4E3F-967D-6FCFD68F8C11}"/>
    <cellStyle name="Comma 2 3 9 2" xfId="12125" xr:uid="{4C85B175-3B5F-4F27-8A17-B56F4B013E79}"/>
    <cellStyle name="Comma 2 3 9 2 2" xfId="27245" xr:uid="{640D874D-6F3D-4718-AC3D-0FED7E48F46C}"/>
    <cellStyle name="Comma 2 3 9 2 2 2" xfId="57485" xr:uid="{D30168D4-B1BD-4FE3-927C-7F5F255CB7FD}"/>
    <cellStyle name="Comma 2 3 9 2 3" xfId="42365" xr:uid="{241A3C59-0D3F-4527-998E-C262B97DE37A}"/>
    <cellStyle name="Comma 2 3 9 3" xfId="18173" xr:uid="{8E6F8A67-2589-4B10-B80C-8D77EE01281A}"/>
    <cellStyle name="Comma 2 3 9 3 2" xfId="48413" xr:uid="{5F9B9A79-A740-4938-AA7C-A68F77175C9C}"/>
    <cellStyle name="Comma 2 3 9 4" xfId="33293" xr:uid="{C23087F9-412E-4F1A-9F2C-EFDEDDBB8948}"/>
    <cellStyle name="Comma 2 4" xfId="43" xr:uid="{8AD7F354-68F3-4BD8-AE6F-7930C43135E1}"/>
    <cellStyle name="Comma 2 4 10" xfId="4579" xr:uid="{2E0F0DD9-C8DA-4EC3-829F-EB719CB091BB}"/>
    <cellStyle name="Comma 2 4 10 2" xfId="13651" xr:uid="{8BECF1CE-2AA2-4C7B-BAFF-061ECD4D227E}"/>
    <cellStyle name="Comma 2 4 10 2 2" xfId="28771" xr:uid="{780F5D94-00E1-43CA-B805-609526E8261E}"/>
    <cellStyle name="Comma 2 4 10 2 2 2" xfId="59011" xr:uid="{4BFBBE02-C380-40BA-A4F5-E84A08D6A4B9}"/>
    <cellStyle name="Comma 2 4 10 2 3" xfId="43891" xr:uid="{F5B26E26-31AA-4991-B18D-896E2457DB77}"/>
    <cellStyle name="Comma 2 4 10 3" xfId="19699" xr:uid="{079423BD-9743-4C9E-B2F2-A87BC01289B6}"/>
    <cellStyle name="Comma 2 4 10 3 2" xfId="49939" xr:uid="{E2C25F39-AB20-40DA-B23C-ADC342C6DEF7}"/>
    <cellStyle name="Comma 2 4 10 4" xfId="34819" xr:uid="{0CE27FDC-4F1E-4BD1-9D8F-4BD922EAAD9C}"/>
    <cellStyle name="Comma 2 4 11" xfId="6091" xr:uid="{083ECBEF-118A-4C2C-A041-E7212F1F2908}"/>
    <cellStyle name="Comma 2 4 11 2" xfId="21211" xr:uid="{2D47C6D2-F46D-44EA-B303-59C0C7ACF767}"/>
    <cellStyle name="Comma 2 4 11 2 2" xfId="51451" xr:uid="{E2A7E4A5-98AB-4703-8C32-E719B8D7555F}"/>
    <cellStyle name="Comma 2 4 11 3" xfId="36331" xr:uid="{54118A5D-F96D-4056-8424-3BF465A53CF0}"/>
    <cellStyle name="Comma 2 4 12" xfId="7603" xr:uid="{C2BE875A-A37A-4685-8183-4DD528E30AC4}"/>
    <cellStyle name="Comma 2 4 12 2" xfId="22723" xr:uid="{65320038-66A3-4815-8ADB-35CC54B6AF04}"/>
    <cellStyle name="Comma 2 4 12 2 2" xfId="52963" xr:uid="{90B7F2A3-2B88-4519-8FC3-DDC1AD2B1873}"/>
    <cellStyle name="Comma 2 4 12 3" xfId="37843" xr:uid="{DF4CE069-5095-48EC-9215-A837E9C08D6B}"/>
    <cellStyle name="Comma 2 4 13" xfId="9115" xr:uid="{58DD8005-B6D5-4CD1-8FD3-F532D3F2ABCB}"/>
    <cellStyle name="Comma 2 4 13 2" xfId="24235" xr:uid="{8F1A9918-8BE7-4AC9-922A-9FDF55847AAA}"/>
    <cellStyle name="Comma 2 4 13 2 2" xfId="54475" xr:uid="{133DB860-B1CD-4C05-A847-6BB46ABA8153}"/>
    <cellStyle name="Comma 2 4 13 3" xfId="39355" xr:uid="{8F5C3E4A-EA30-49C9-BE37-FFC7473CFFDD}"/>
    <cellStyle name="Comma 2 4 14" xfId="15163" xr:uid="{0DFC074F-B0A6-4A68-85D4-56B8A9F1105E}"/>
    <cellStyle name="Comma 2 4 14 2" xfId="45403" xr:uid="{011E96CF-A598-4DE3-BECE-11094890F710}"/>
    <cellStyle name="Comma 2 4 15" xfId="30283" xr:uid="{C62C68D9-E4BB-469A-8BBF-91EA1F38A9BE}"/>
    <cellStyle name="Comma 2 4 2" xfId="85" xr:uid="{883881EA-6660-4BCC-AD23-1CB7E156123F}"/>
    <cellStyle name="Comma 2 4 2 10" xfId="6133" xr:uid="{680EAE55-3EED-4E9B-9C8E-3FE11C93F2D5}"/>
    <cellStyle name="Comma 2 4 2 10 2" xfId="21253" xr:uid="{747C2FA8-D182-4751-89A9-805DA00CA15B}"/>
    <cellStyle name="Comma 2 4 2 10 2 2" xfId="51493" xr:uid="{614694BA-60A1-4F2D-9941-8A470D5E5416}"/>
    <cellStyle name="Comma 2 4 2 10 3" xfId="36373" xr:uid="{6C899944-770A-4114-B5DB-26954CA44D01}"/>
    <cellStyle name="Comma 2 4 2 11" xfId="7645" xr:uid="{904A1893-199D-4365-85BE-DADFE1D30E5C}"/>
    <cellStyle name="Comma 2 4 2 11 2" xfId="22765" xr:uid="{B7171061-CAFD-4C2D-B14F-6BBC4318C730}"/>
    <cellStyle name="Comma 2 4 2 11 2 2" xfId="53005" xr:uid="{AF2FC5EE-095C-4E74-89DD-686FB59C23BA}"/>
    <cellStyle name="Comma 2 4 2 11 3" xfId="37885" xr:uid="{434E4FB3-63CD-43C2-8589-11BBE7D58BF8}"/>
    <cellStyle name="Comma 2 4 2 12" xfId="9157" xr:uid="{8D20534B-A9E9-475E-9029-578E14C9813C}"/>
    <cellStyle name="Comma 2 4 2 12 2" xfId="24277" xr:uid="{786CBA0B-494B-4F60-AE0C-035060780B12}"/>
    <cellStyle name="Comma 2 4 2 12 2 2" xfId="54517" xr:uid="{C0948A98-62F3-4554-8ACA-6CE3EA7392A8}"/>
    <cellStyle name="Comma 2 4 2 12 3" xfId="39397" xr:uid="{702701AE-6DED-423C-84AD-DFEB69AF1B80}"/>
    <cellStyle name="Comma 2 4 2 13" xfId="15205" xr:uid="{C500D376-A7F6-4DE1-867B-D5DF92A163F3}"/>
    <cellStyle name="Comma 2 4 2 13 2" xfId="45445" xr:uid="{74C82BE4-989F-452E-92A3-62DED995082F}"/>
    <cellStyle name="Comma 2 4 2 14" xfId="30325" xr:uid="{949185F1-DAC4-46DD-8A5F-0EB3EAA5A3B9}"/>
    <cellStyle name="Comma 2 4 2 2" xfId="169" xr:uid="{2C98374F-50FF-4A1E-8198-8A9364F6A10C}"/>
    <cellStyle name="Comma 2 4 2 2 10" xfId="9241" xr:uid="{A8E0F1F3-65C3-4E7F-B739-58544F233248}"/>
    <cellStyle name="Comma 2 4 2 2 10 2" xfId="24361" xr:uid="{8DB9B51B-7EA5-41AA-BD7A-6EC3203FD11F}"/>
    <cellStyle name="Comma 2 4 2 2 10 2 2" xfId="54601" xr:uid="{8655B462-F8DF-4681-9423-149AD6D0ED8D}"/>
    <cellStyle name="Comma 2 4 2 2 10 3" xfId="39481" xr:uid="{6C0FE916-E7E3-4B15-9762-458CF0080747}"/>
    <cellStyle name="Comma 2 4 2 2 11" xfId="15289" xr:uid="{65AC9ADF-D343-4D80-BD02-2C7D2D8512CC}"/>
    <cellStyle name="Comma 2 4 2 2 11 2" xfId="45529" xr:uid="{510F0E35-8A80-4949-B118-A07CED3C7740}"/>
    <cellStyle name="Comma 2 4 2 2 12" xfId="30409" xr:uid="{CA0090F7-629D-4C79-8D13-AE817583D398}"/>
    <cellStyle name="Comma 2 4 2 2 2" xfId="421" xr:uid="{F7D5E739-E44F-4A04-9ABA-C3EB4A485764}"/>
    <cellStyle name="Comma 2 4 2 2 2 10" xfId="30661" xr:uid="{5D3D5951-0D83-456D-9D1D-E5E61ED65839}"/>
    <cellStyle name="Comma 2 4 2 2 2 2" xfId="1177" xr:uid="{55A2D032-3A0A-441A-9828-41AC725CB1B4}"/>
    <cellStyle name="Comma 2 4 2 2 2 2 2" xfId="2689" xr:uid="{1F615820-EBBC-4F3F-8035-54498A171480}"/>
    <cellStyle name="Comma 2 4 2 2 2 2 2 2" xfId="11761" xr:uid="{B4BF800C-7CAA-45D4-A9B8-CEA1AB4870D7}"/>
    <cellStyle name="Comma 2 4 2 2 2 2 2 2 2" xfId="26881" xr:uid="{813751AF-524F-4BDC-893E-1F3315668ABC}"/>
    <cellStyle name="Comma 2 4 2 2 2 2 2 2 2 2" xfId="57121" xr:uid="{83566FCC-8D60-4550-845B-45408C384B58}"/>
    <cellStyle name="Comma 2 4 2 2 2 2 2 2 3" xfId="42001" xr:uid="{1B0E89C6-4BEA-4BF3-990A-8B67E2BA015E}"/>
    <cellStyle name="Comma 2 4 2 2 2 2 2 3" xfId="17809" xr:uid="{00B54607-6B33-4DA5-86AC-8EF63DF1AE58}"/>
    <cellStyle name="Comma 2 4 2 2 2 2 2 3 2" xfId="48049" xr:uid="{59DF5B9F-4192-4D55-B3BA-93056FB2B39C}"/>
    <cellStyle name="Comma 2 4 2 2 2 2 2 4" xfId="32929" xr:uid="{D3CB09B2-8C56-4B57-9DD0-8C09FACC10C0}"/>
    <cellStyle name="Comma 2 4 2 2 2 2 3" xfId="4201" xr:uid="{975ABAB3-BAA2-49C5-B848-D9D0FDD77538}"/>
    <cellStyle name="Comma 2 4 2 2 2 2 3 2" xfId="13273" xr:uid="{56D3CEA6-DEAD-4731-80BA-292B0D90022E}"/>
    <cellStyle name="Comma 2 4 2 2 2 2 3 2 2" xfId="28393" xr:uid="{6908C23F-042B-486A-9AA2-64C9D466F0B8}"/>
    <cellStyle name="Comma 2 4 2 2 2 2 3 2 2 2" xfId="58633" xr:uid="{CDFC3D6C-2CA3-4052-8117-E2A009BE6547}"/>
    <cellStyle name="Comma 2 4 2 2 2 2 3 2 3" xfId="43513" xr:uid="{DBBBA2B6-E5AB-474D-882C-ADC31817DC6E}"/>
    <cellStyle name="Comma 2 4 2 2 2 2 3 3" xfId="19321" xr:uid="{3852F543-B1E5-4067-99C1-535E07134C5D}"/>
    <cellStyle name="Comma 2 4 2 2 2 2 3 3 2" xfId="49561" xr:uid="{BEBC22A3-56B5-4022-8EB8-84135F381A97}"/>
    <cellStyle name="Comma 2 4 2 2 2 2 3 4" xfId="34441" xr:uid="{5686804F-EE4C-4B75-99A7-DA0F718FC081}"/>
    <cellStyle name="Comma 2 4 2 2 2 2 4" xfId="5713" xr:uid="{82312F51-9615-47B4-881F-E557603CB535}"/>
    <cellStyle name="Comma 2 4 2 2 2 2 4 2" xfId="14785" xr:uid="{D0471792-692A-4186-A8FF-F4D781821832}"/>
    <cellStyle name="Comma 2 4 2 2 2 2 4 2 2" xfId="29905" xr:uid="{48D6BB15-4626-40BF-9467-9039CB87AB52}"/>
    <cellStyle name="Comma 2 4 2 2 2 2 4 2 2 2" xfId="60145" xr:uid="{13DC983B-DA80-4C4C-ACA4-8DC63B339D03}"/>
    <cellStyle name="Comma 2 4 2 2 2 2 4 2 3" xfId="45025" xr:uid="{6FFC19C0-A730-4F3E-856E-F78F849EFBB5}"/>
    <cellStyle name="Comma 2 4 2 2 2 2 4 3" xfId="20833" xr:uid="{CE420F2A-AE66-42AB-BA49-8AC44C1225B3}"/>
    <cellStyle name="Comma 2 4 2 2 2 2 4 3 2" xfId="51073" xr:uid="{FF44CB6C-1FA9-4239-9FC9-9428D4897A3D}"/>
    <cellStyle name="Comma 2 4 2 2 2 2 4 4" xfId="35953" xr:uid="{C32A18EF-7B80-44EF-97FC-85B574BB1ED7}"/>
    <cellStyle name="Comma 2 4 2 2 2 2 5" xfId="7225" xr:uid="{2F166AD1-69B3-4D2F-9019-AF3A7D1AA967}"/>
    <cellStyle name="Comma 2 4 2 2 2 2 5 2" xfId="22345" xr:uid="{84957BF6-AFA6-4DAE-9DBE-1AEF648F4F78}"/>
    <cellStyle name="Comma 2 4 2 2 2 2 5 2 2" xfId="52585" xr:uid="{AD832176-6CFB-4C49-A5A1-353E84A6E61C}"/>
    <cellStyle name="Comma 2 4 2 2 2 2 5 3" xfId="37465" xr:uid="{53D9075A-3AE8-45D4-BBD5-A7B8832535FF}"/>
    <cellStyle name="Comma 2 4 2 2 2 2 6" xfId="8737" xr:uid="{4F22CC5E-D8E3-499C-8A5F-8D4FC9D7C3F1}"/>
    <cellStyle name="Comma 2 4 2 2 2 2 6 2" xfId="23857" xr:uid="{31247FF3-7A67-437B-A78F-981F89DB5ED1}"/>
    <cellStyle name="Comma 2 4 2 2 2 2 6 2 2" xfId="54097" xr:uid="{8922EC27-B102-4E4B-ACC5-F41A58B70FDC}"/>
    <cellStyle name="Comma 2 4 2 2 2 2 6 3" xfId="38977" xr:uid="{75D73ED4-621B-45B2-B3AF-BBC4F85EED62}"/>
    <cellStyle name="Comma 2 4 2 2 2 2 7" xfId="10249" xr:uid="{5FAB0FAC-C0FF-4840-A139-B146873FFEAC}"/>
    <cellStyle name="Comma 2 4 2 2 2 2 7 2" xfId="25369" xr:uid="{767920CA-DA08-400C-8DCD-356F84F9334A}"/>
    <cellStyle name="Comma 2 4 2 2 2 2 7 2 2" xfId="55609" xr:uid="{487E82C9-03D3-42C9-AFE6-2ADF280F9363}"/>
    <cellStyle name="Comma 2 4 2 2 2 2 7 3" xfId="40489" xr:uid="{984BC86D-1909-45D4-A73C-C47021765A2F}"/>
    <cellStyle name="Comma 2 4 2 2 2 2 8" xfId="16297" xr:uid="{45379C84-99FD-4EA2-A571-D6E1E69C9652}"/>
    <cellStyle name="Comma 2 4 2 2 2 2 8 2" xfId="46537" xr:uid="{01A88F75-294C-4A16-956E-82E220AE1323}"/>
    <cellStyle name="Comma 2 4 2 2 2 2 9" xfId="31417" xr:uid="{E6A4950A-49D4-4366-8DE6-64CD87CD2502}"/>
    <cellStyle name="Comma 2 4 2 2 2 3" xfId="1933" xr:uid="{387FA9A0-6C2E-4AA0-B857-039C780022AD}"/>
    <cellStyle name="Comma 2 4 2 2 2 3 2" xfId="11005" xr:uid="{A69B61D2-6C31-48B5-86DF-7DF6AEFCBEA5}"/>
    <cellStyle name="Comma 2 4 2 2 2 3 2 2" xfId="26125" xr:uid="{BA402E58-E15F-41E8-A0ED-09D6C675CCFD}"/>
    <cellStyle name="Comma 2 4 2 2 2 3 2 2 2" xfId="56365" xr:uid="{604B532F-E160-419E-8A36-1089994A6B69}"/>
    <cellStyle name="Comma 2 4 2 2 2 3 2 3" xfId="41245" xr:uid="{F22F542A-55B0-449B-8E29-72B09F03BF8B}"/>
    <cellStyle name="Comma 2 4 2 2 2 3 3" xfId="17053" xr:uid="{9A1A8210-BFC3-40B6-A901-2C534E862425}"/>
    <cellStyle name="Comma 2 4 2 2 2 3 3 2" xfId="47293" xr:uid="{5F2D6DDE-3702-4F0B-A5ED-0923403F4299}"/>
    <cellStyle name="Comma 2 4 2 2 2 3 4" xfId="32173" xr:uid="{A006C63B-8973-43CA-A838-33F28822A6C5}"/>
    <cellStyle name="Comma 2 4 2 2 2 4" xfId="3445" xr:uid="{227DA4E0-9134-42D9-9EED-036C2CC4D9EF}"/>
    <cellStyle name="Comma 2 4 2 2 2 4 2" xfId="12517" xr:uid="{B509DF03-E0A6-4189-9C76-33C17DD66F3E}"/>
    <cellStyle name="Comma 2 4 2 2 2 4 2 2" xfId="27637" xr:uid="{06DDFCEF-5EF0-4788-A582-791A54A63DD9}"/>
    <cellStyle name="Comma 2 4 2 2 2 4 2 2 2" xfId="57877" xr:uid="{CEA30DB9-ED1D-4676-9E3E-DC61B2569D6E}"/>
    <cellStyle name="Comma 2 4 2 2 2 4 2 3" xfId="42757" xr:uid="{E7A8A035-A053-4307-84FA-1D14E6F252F3}"/>
    <cellStyle name="Comma 2 4 2 2 2 4 3" xfId="18565" xr:uid="{64B8043C-DD65-4048-950D-B0059D038A40}"/>
    <cellStyle name="Comma 2 4 2 2 2 4 3 2" xfId="48805" xr:uid="{5A10C690-F3F6-418A-A730-38AD728A2E41}"/>
    <cellStyle name="Comma 2 4 2 2 2 4 4" xfId="33685" xr:uid="{4E72BF3A-030C-47E2-90A0-047004203447}"/>
    <cellStyle name="Comma 2 4 2 2 2 5" xfId="4957" xr:uid="{75E34EA0-8006-4B5A-BAB6-6B21500420D6}"/>
    <cellStyle name="Comma 2 4 2 2 2 5 2" xfId="14029" xr:uid="{814632EE-C05F-4628-9088-10CA303DE52E}"/>
    <cellStyle name="Comma 2 4 2 2 2 5 2 2" xfId="29149" xr:uid="{C348FC8C-0005-41DC-ABDF-77649F1E7BF8}"/>
    <cellStyle name="Comma 2 4 2 2 2 5 2 2 2" xfId="59389" xr:uid="{4A168806-57D4-4BA9-9E74-320358D9E4E4}"/>
    <cellStyle name="Comma 2 4 2 2 2 5 2 3" xfId="44269" xr:uid="{ACB46B3C-CC3F-476D-8B1E-202B6B6F1C59}"/>
    <cellStyle name="Comma 2 4 2 2 2 5 3" xfId="20077" xr:uid="{F7C225EF-E5DD-496F-AFFA-1CB5502FE030}"/>
    <cellStyle name="Comma 2 4 2 2 2 5 3 2" xfId="50317" xr:uid="{D1DC1539-798D-44BA-B5EE-66E5283BA44F}"/>
    <cellStyle name="Comma 2 4 2 2 2 5 4" xfId="35197" xr:uid="{0C6D17FD-2D75-4508-9AFA-79C3651578C7}"/>
    <cellStyle name="Comma 2 4 2 2 2 6" xfId="6469" xr:uid="{13B2C94D-7BCE-46B5-A2F1-0632DAB05D81}"/>
    <cellStyle name="Comma 2 4 2 2 2 6 2" xfId="21589" xr:uid="{B24F8CA5-CB53-411F-BD96-0D9372898950}"/>
    <cellStyle name="Comma 2 4 2 2 2 6 2 2" xfId="51829" xr:uid="{5D058E87-9C9C-4707-864C-34003F35D024}"/>
    <cellStyle name="Comma 2 4 2 2 2 6 3" xfId="36709" xr:uid="{49AEBC34-2013-454E-9625-18098DE13F41}"/>
    <cellStyle name="Comma 2 4 2 2 2 7" xfId="7981" xr:uid="{50280DA1-3ABC-4564-BDB4-F6A629620BA6}"/>
    <cellStyle name="Comma 2 4 2 2 2 7 2" xfId="23101" xr:uid="{CA0BDCAF-1C4B-47B4-83E6-C3EA9554FBE6}"/>
    <cellStyle name="Comma 2 4 2 2 2 7 2 2" xfId="53341" xr:uid="{EC23C162-61F1-4957-A617-FE74F1FD7316}"/>
    <cellStyle name="Comma 2 4 2 2 2 7 3" xfId="38221" xr:uid="{4A281832-D7A9-4542-BA48-F0561B1039B8}"/>
    <cellStyle name="Comma 2 4 2 2 2 8" xfId="9493" xr:uid="{4043E0E9-B98F-4301-9AAD-BAE726FCDE44}"/>
    <cellStyle name="Comma 2 4 2 2 2 8 2" xfId="24613" xr:uid="{29A3AAD9-82B7-4182-8E12-11C3CE546CE9}"/>
    <cellStyle name="Comma 2 4 2 2 2 8 2 2" xfId="54853" xr:uid="{0A35C89C-D645-4DD1-987D-24CEFBC1F053}"/>
    <cellStyle name="Comma 2 4 2 2 2 8 3" xfId="39733" xr:uid="{4A4DC7AF-9F83-48B9-868C-822D5AC58554}"/>
    <cellStyle name="Comma 2 4 2 2 2 9" xfId="15541" xr:uid="{81B26DD8-129A-47A1-BE5B-EBEBC98F0759}"/>
    <cellStyle name="Comma 2 4 2 2 2 9 2" xfId="45781" xr:uid="{44B6EF1C-3F3F-4561-976E-0B2A5E166287}"/>
    <cellStyle name="Comma 2 4 2 2 3" xfId="673" xr:uid="{657463BA-5B00-4809-BCDC-95987B3800AB}"/>
    <cellStyle name="Comma 2 4 2 2 3 10" xfId="30913" xr:uid="{6EAA9F5E-7A8F-4A09-BE7C-81A0912CD087}"/>
    <cellStyle name="Comma 2 4 2 2 3 2" xfId="1429" xr:uid="{288A6CAC-5C6B-4237-B017-BBB1D6435E58}"/>
    <cellStyle name="Comma 2 4 2 2 3 2 2" xfId="2941" xr:uid="{3967CC82-1550-4143-8E16-EF256DA3903D}"/>
    <cellStyle name="Comma 2 4 2 2 3 2 2 2" xfId="12013" xr:uid="{0CBF7106-D3E6-4A7B-A2B3-E821549C31BE}"/>
    <cellStyle name="Comma 2 4 2 2 3 2 2 2 2" xfId="27133" xr:uid="{9F1DF335-79E5-4730-A05C-79F1C08FEC48}"/>
    <cellStyle name="Comma 2 4 2 2 3 2 2 2 2 2" xfId="57373" xr:uid="{E9B46C43-9F2F-44AB-A99C-024D90CF83F3}"/>
    <cellStyle name="Comma 2 4 2 2 3 2 2 2 3" xfId="42253" xr:uid="{360D3142-EE05-4D1B-B62F-6AE0153CB5ED}"/>
    <cellStyle name="Comma 2 4 2 2 3 2 2 3" xfId="18061" xr:uid="{9D949999-15FD-4B94-8860-C3DE4712A9D8}"/>
    <cellStyle name="Comma 2 4 2 2 3 2 2 3 2" xfId="48301" xr:uid="{25FD2FE5-17E0-446F-8CD0-A7547AB383E5}"/>
    <cellStyle name="Comma 2 4 2 2 3 2 2 4" xfId="33181" xr:uid="{DB6CC2B8-2328-4B9B-AFF2-8E665A44FAC8}"/>
    <cellStyle name="Comma 2 4 2 2 3 2 3" xfId="4453" xr:uid="{FAF8741D-986E-4AE4-BF83-E03A85414937}"/>
    <cellStyle name="Comma 2 4 2 2 3 2 3 2" xfId="13525" xr:uid="{8C6DC694-3CD9-4524-BCBE-3F878A8B5595}"/>
    <cellStyle name="Comma 2 4 2 2 3 2 3 2 2" xfId="28645" xr:uid="{568E5EFA-D893-473E-8504-17FDF4CDFD77}"/>
    <cellStyle name="Comma 2 4 2 2 3 2 3 2 2 2" xfId="58885" xr:uid="{E7E70801-41EC-44A2-91DF-E4F6D73192FC}"/>
    <cellStyle name="Comma 2 4 2 2 3 2 3 2 3" xfId="43765" xr:uid="{B202245F-7466-4B40-8A5E-8F3E8AA6066B}"/>
    <cellStyle name="Comma 2 4 2 2 3 2 3 3" xfId="19573" xr:uid="{2297B31F-E082-4E8B-BE6B-79CBEDF779A0}"/>
    <cellStyle name="Comma 2 4 2 2 3 2 3 3 2" xfId="49813" xr:uid="{A63AA17B-CB94-403A-B051-4A6F2EE81D8A}"/>
    <cellStyle name="Comma 2 4 2 2 3 2 3 4" xfId="34693" xr:uid="{0E1A9129-79FA-4710-98FE-A7BE5D31AF34}"/>
    <cellStyle name="Comma 2 4 2 2 3 2 4" xfId="5965" xr:uid="{8F811DE8-9C39-4DCB-8587-1424824E496B}"/>
    <cellStyle name="Comma 2 4 2 2 3 2 4 2" xfId="15037" xr:uid="{8EB57E61-0F3C-47F0-831D-306929685A08}"/>
    <cellStyle name="Comma 2 4 2 2 3 2 4 2 2" xfId="30157" xr:uid="{C7A8757A-7F4D-4564-A5F1-A74EF7E27332}"/>
    <cellStyle name="Comma 2 4 2 2 3 2 4 2 2 2" xfId="60397" xr:uid="{52E4937B-3546-41AE-BAF4-DE07CEA73C8A}"/>
    <cellStyle name="Comma 2 4 2 2 3 2 4 2 3" xfId="45277" xr:uid="{04975AFE-DC7E-4460-BB3D-E67D4A8077B4}"/>
    <cellStyle name="Comma 2 4 2 2 3 2 4 3" xfId="21085" xr:uid="{57E2F446-2213-4AC8-8F23-913305CC611C}"/>
    <cellStyle name="Comma 2 4 2 2 3 2 4 3 2" xfId="51325" xr:uid="{D7093C29-7C77-4492-BBB5-84903CA33CF8}"/>
    <cellStyle name="Comma 2 4 2 2 3 2 4 4" xfId="36205" xr:uid="{63CED2DE-2865-49A4-9DF1-6ACDD95D0D48}"/>
    <cellStyle name="Comma 2 4 2 2 3 2 5" xfId="7477" xr:uid="{6EB38B70-CDF3-4C65-B3AF-C9B13C0A9C71}"/>
    <cellStyle name="Comma 2 4 2 2 3 2 5 2" xfId="22597" xr:uid="{7CBE58A5-F3E4-42ED-B0C5-EAC820388057}"/>
    <cellStyle name="Comma 2 4 2 2 3 2 5 2 2" xfId="52837" xr:uid="{9FD1D828-997B-4DA1-8B83-46C8C66835F8}"/>
    <cellStyle name="Comma 2 4 2 2 3 2 5 3" xfId="37717" xr:uid="{60BAE0B3-D42D-4405-BF52-E1B2D37EF05F}"/>
    <cellStyle name="Comma 2 4 2 2 3 2 6" xfId="8989" xr:uid="{B8173294-3297-466A-8C57-C901DA5ED6AF}"/>
    <cellStyle name="Comma 2 4 2 2 3 2 6 2" xfId="24109" xr:uid="{D3B1E3E4-3696-4443-927B-A4D7A0B1BF8C}"/>
    <cellStyle name="Comma 2 4 2 2 3 2 6 2 2" xfId="54349" xr:uid="{607FCE54-2979-4F19-A12D-6AD2F43243FA}"/>
    <cellStyle name="Comma 2 4 2 2 3 2 6 3" xfId="39229" xr:uid="{6C73B8D9-9A08-4C80-97D4-4C9FF9F36F88}"/>
    <cellStyle name="Comma 2 4 2 2 3 2 7" xfId="10501" xr:uid="{392B8B11-69D0-4472-AC44-CD9364DC47A5}"/>
    <cellStyle name="Comma 2 4 2 2 3 2 7 2" xfId="25621" xr:uid="{50F26C01-72AA-4032-AFDE-F667D54AD86F}"/>
    <cellStyle name="Comma 2 4 2 2 3 2 7 2 2" xfId="55861" xr:uid="{7245D204-6AF2-4F21-8CF2-A7EAAC1C4F59}"/>
    <cellStyle name="Comma 2 4 2 2 3 2 7 3" xfId="40741" xr:uid="{92F8FB3B-7CDB-4932-8C25-8B5C837CF7D3}"/>
    <cellStyle name="Comma 2 4 2 2 3 2 8" xfId="16549" xr:uid="{7FC29C91-3791-41D8-9A3C-515750637F27}"/>
    <cellStyle name="Comma 2 4 2 2 3 2 8 2" xfId="46789" xr:uid="{659DA41E-423A-49BC-95C8-C315F7B4AA73}"/>
    <cellStyle name="Comma 2 4 2 2 3 2 9" xfId="31669" xr:uid="{0B916BE4-EDA4-41EA-A1AE-B25F2608D5CB}"/>
    <cellStyle name="Comma 2 4 2 2 3 3" xfId="2185" xr:uid="{555BD9A4-3437-4BC7-9313-AAF9F21B7D04}"/>
    <cellStyle name="Comma 2 4 2 2 3 3 2" xfId="11257" xr:uid="{AA1146ED-0EE0-4F85-99FA-AF7735332540}"/>
    <cellStyle name="Comma 2 4 2 2 3 3 2 2" xfId="26377" xr:uid="{8D3D11EB-7E9C-4F21-A0D9-47D0A8BDF416}"/>
    <cellStyle name="Comma 2 4 2 2 3 3 2 2 2" xfId="56617" xr:uid="{7A7EEADF-59B7-4F9A-9933-95DCE9006437}"/>
    <cellStyle name="Comma 2 4 2 2 3 3 2 3" xfId="41497" xr:uid="{AB4E5CED-CF22-4EFD-9C14-19721649F291}"/>
    <cellStyle name="Comma 2 4 2 2 3 3 3" xfId="17305" xr:uid="{4917C879-E3DF-4580-824A-FE3323CAB4FE}"/>
    <cellStyle name="Comma 2 4 2 2 3 3 3 2" xfId="47545" xr:uid="{68F3E270-80A0-4544-B3A6-BA2CD6C22D6E}"/>
    <cellStyle name="Comma 2 4 2 2 3 3 4" xfId="32425" xr:uid="{BAFE29C7-3DB4-46F1-83B7-AC1B633D58E5}"/>
    <cellStyle name="Comma 2 4 2 2 3 4" xfId="3697" xr:uid="{F81333B8-AAA5-453D-8E34-78D48484B8F3}"/>
    <cellStyle name="Comma 2 4 2 2 3 4 2" xfId="12769" xr:uid="{7534F905-02C8-4A50-8CF1-8C375998E0A4}"/>
    <cellStyle name="Comma 2 4 2 2 3 4 2 2" xfId="27889" xr:uid="{CF613071-D760-4D45-BAB2-2BFD95BA90D9}"/>
    <cellStyle name="Comma 2 4 2 2 3 4 2 2 2" xfId="58129" xr:uid="{B570807D-1D79-4559-8F8B-76A2A3E0FF3C}"/>
    <cellStyle name="Comma 2 4 2 2 3 4 2 3" xfId="43009" xr:uid="{A50F72DD-5261-4C25-B950-94619F169078}"/>
    <cellStyle name="Comma 2 4 2 2 3 4 3" xfId="18817" xr:uid="{DF44C4F9-D8B5-4B97-94CE-F0F57086888B}"/>
    <cellStyle name="Comma 2 4 2 2 3 4 3 2" xfId="49057" xr:uid="{CC853051-7106-4458-9023-0D2302F453E7}"/>
    <cellStyle name="Comma 2 4 2 2 3 4 4" xfId="33937" xr:uid="{FD3F1A73-25B5-4368-9461-BB820042AC85}"/>
    <cellStyle name="Comma 2 4 2 2 3 5" xfId="5209" xr:uid="{16550B35-096C-4E03-808F-EE9C90371520}"/>
    <cellStyle name="Comma 2 4 2 2 3 5 2" xfId="14281" xr:uid="{09A8D3C0-B6E5-436B-97DF-6E511F778C7A}"/>
    <cellStyle name="Comma 2 4 2 2 3 5 2 2" xfId="29401" xr:uid="{958FB188-EDBA-4DC3-A1DE-D9A334D163A3}"/>
    <cellStyle name="Comma 2 4 2 2 3 5 2 2 2" xfId="59641" xr:uid="{02A1CDF1-EBC3-4637-8E6F-D7302E087A54}"/>
    <cellStyle name="Comma 2 4 2 2 3 5 2 3" xfId="44521" xr:uid="{E8011495-FEA2-403E-BAA0-854C531352F8}"/>
    <cellStyle name="Comma 2 4 2 2 3 5 3" xfId="20329" xr:uid="{ABEC9AE6-1FA3-42F3-AD5C-570E9A31DE45}"/>
    <cellStyle name="Comma 2 4 2 2 3 5 3 2" xfId="50569" xr:uid="{0B468BC5-A751-4CF9-8ED1-84A0D32B8C41}"/>
    <cellStyle name="Comma 2 4 2 2 3 5 4" xfId="35449" xr:uid="{B0E656DD-FC85-4C8F-96D9-EE11FB44E305}"/>
    <cellStyle name="Comma 2 4 2 2 3 6" xfId="6721" xr:uid="{AABF4E07-437B-4D5B-AC87-4C5D55B2BB68}"/>
    <cellStyle name="Comma 2 4 2 2 3 6 2" xfId="21841" xr:uid="{28BB6EE7-12A0-4AD0-A863-FA32B5E65F50}"/>
    <cellStyle name="Comma 2 4 2 2 3 6 2 2" xfId="52081" xr:uid="{A1F0CE8C-237E-4B93-8A27-24B025040905}"/>
    <cellStyle name="Comma 2 4 2 2 3 6 3" xfId="36961" xr:uid="{B4AE7237-1807-4376-8C59-4A21924E620B}"/>
    <cellStyle name="Comma 2 4 2 2 3 7" xfId="8233" xr:uid="{4494C6DE-79B4-4DBD-A8A3-87570049F658}"/>
    <cellStyle name="Comma 2 4 2 2 3 7 2" xfId="23353" xr:uid="{120D2787-B2D0-44F7-A639-F0871F6F9503}"/>
    <cellStyle name="Comma 2 4 2 2 3 7 2 2" xfId="53593" xr:uid="{02C5481C-3939-4E33-962B-7AF07FACFAD2}"/>
    <cellStyle name="Comma 2 4 2 2 3 7 3" xfId="38473" xr:uid="{8648A13C-7530-41A9-AC36-5EEB7CEA6177}"/>
    <cellStyle name="Comma 2 4 2 2 3 8" xfId="9745" xr:uid="{6E48BDB7-B700-452C-A2B4-8B1FCC0F023E}"/>
    <cellStyle name="Comma 2 4 2 2 3 8 2" xfId="24865" xr:uid="{6C0329DB-E840-417A-866E-4BB4FD3B4990}"/>
    <cellStyle name="Comma 2 4 2 2 3 8 2 2" xfId="55105" xr:uid="{7E599647-B0A1-482E-A401-F34ECBD8B287}"/>
    <cellStyle name="Comma 2 4 2 2 3 8 3" xfId="39985" xr:uid="{E594F59F-29AA-4449-B312-54E469A9F426}"/>
    <cellStyle name="Comma 2 4 2 2 3 9" xfId="15793" xr:uid="{148F1AC2-DF56-4A5E-A382-36927CBF94CE}"/>
    <cellStyle name="Comma 2 4 2 2 3 9 2" xfId="46033" xr:uid="{939768CC-A2CC-4E3F-9644-F28813C97760}"/>
    <cellStyle name="Comma 2 4 2 2 4" xfId="925" xr:uid="{C607CD23-0201-4688-8187-767EFA271985}"/>
    <cellStyle name="Comma 2 4 2 2 4 2" xfId="2437" xr:uid="{D0571E67-4E2B-40A8-9802-32B4359A65D4}"/>
    <cellStyle name="Comma 2 4 2 2 4 2 2" xfId="11509" xr:uid="{63F26C33-8B35-4569-AFCC-54A99E7271C2}"/>
    <cellStyle name="Comma 2 4 2 2 4 2 2 2" xfId="26629" xr:uid="{CD7DB31A-2062-4B91-8652-0C4F3AA8642E}"/>
    <cellStyle name="Comma 2 4 2 2 4 2 2 2 2" xfId="56869" xr:uid="{673A826E-A661-4B57-BB14-C79F73689335}"/>
    <cellStyle name="Comma 2 4 2 2 4 2 2 3" xfId="41749" xr:uid="{B3469013-4337-4A5C-9956-92E444228223}"/>
    <cellStyle name="Comma 2 4 2 2 4 2 3" xfId="17557" xr:uid="{6BF98DB5-5461-4074-A84D-1D2E4A57F477}"/>
    <cellStyle name="Comma 2 4 2 2 4 2 3 2" xfId="47797" xr:uid="{D77F3608-BA26-4799-9D4B-BEFF49A109CA}"/>
    <cellStyle name="Comma 2 4 2 2 4 2 4" xfId="32677" xr:uid="{F72C85E9-0B89-4CDC-9CB9-672C9932E361}"/>
    <cellStyle name="Comma 2 4 2 2 4 3" xfId="3949" xr:uid="{3ED49DDD-BED3-4B71-8479-5D66ABAD375A}"/>
    <cellStyle name="Comma 2 4 2 2 4 3 2" xfId="13021" xr:uid="{43695230-B245-428B-907C-63A01B67C739}"/>
    <cellStyle name="Comma 2 4 2 2 4 3 2 2" xfId="28141" xr:uid="{9B7406C7-B662-47B3-B331-03C440F561FD}"/>
    <cellStyle name="Comma 2 4 2 2 4 3 2 2 2" xfId="58381" xr:uid="{A7DEDE21-0764-496A-BA8D-8D27A000D8EF}"/>
    <cellStyle name="Comma 2 4 2 2 4 3 2 3" xfId="43261" xr:uid="{25DE042D-9FAF-4524-8490-2241F943F200}"/>
    <cellStyle name="Comma 2 4 2 2 4 3 3" xfId="19069" xr:uid="{EDEFE8F5-55CA-4B6F-90B7-3BF5F0B28D41}"/>
    <cellStyle name="Comma 2 4 2 2 4 3 3 2" xfId="49309" xr:uid="{610BDC67-18D9-4575-80D9-E95165F02CBC}"/>
    <cellStyle name="Comma 2 4 2 2 4 3 4" xfId="34189" xr:uid="{C844C765-FDE0-445F-9164-C5A1C9ABBFE6}"/>
    <cellStyle name="Comma 2 4 2 2 4 4" xfId="5461" xr:uid="{D2DF5A8F-1EAF-401B-9184-C0AEDEB81F20}"/>
    <cellStyle name="Comma 2 4 2 2 4 4 2" xfId="14533" xr:uid="{D7598DFD-1CFA-4C9E-B522-7B097EE5E093}"/>
    <cellStyle name="Comma 2 4 2 2 4 4 2 2" xfId="29653" xr:uid="{88087B09-45FE-4E5A-9EC6-650FF32BFFB0}"/>
    <cellStyle name="Comma 2 4 2 2 4 4 2 2 2" xfId="59893" xr:uid="{3ACCDD86-C165-4F44-8B28-6047C85F0EC1}"/>
    <cellStyle name="Comma 2 4 2 2 4 4 2 3" xfId="44773" xr:uid="{A8CC1AE3-07C1-476B-B1EC-0B34B14D678C}"/>
    <cellStyle name="Comma 2 4 2 2 4 4 3" xfId="20581" xr:uid="{28C0C00D-1138-446A-9DA9-E0D4479C29BB}"/>
    <cellStyle name="Comma 2 4 2 2 4 4 3 2" xfId="50821" xr:uid="{A59283D1-B2FE-40D1-AE41-B39463CCCBB9}"/>
    <cellStyle name="Comma 2 4 2 2 4 4 4" xfId="35701" xr:uid="{31EF7BF7-09DB-459C-9243-01ADB60F5E22}"/>
    <cellStyle name="Comma 2 4 2 2 4 5" xfId="6973" xr:uid="{B40884F0-A97E-4615-A524-619C78D9EDCF}"/>
    <cellStyle name="Comma 2 4 2 2 4 5 2" xfId="22093" xr:uid="{F52467CA-F3AC-4E8D-A06D-7AAB06A7E685}"/>
    <cellStyle name="Comma 2 4 2 2 4 5 2 2" xfId="52333" xr:uid="{83E9376A-8FC8-40D5-9AA0-771901E075BC}"/>
    <cellStyle name="Comma 2 4 2 2 4 5 3" xfId="37213" xr:uid="{EED45949-1198-4FAD-9A36-18F012B227B8}"/>
    <cellStyle name="Comma 2 4 2 2 4 6" xfId="8485" xr:uid="{165FA2FB-2D18-479C-86C0-BD1A2E337820}"/>
    <cellStyle name="Comma 2 4 2 2 4 6 2" xfId="23605" xr:uid="{62C1FCA5-F1E1-4176-8BC7-E858ECBADB3E}"/>
    <cellStyle name="Comma 2 4 2 2 4 6 2 2" xfId="53845" xr:uid="{C0B99E9F-5EE1-4B41-9815-29B9C15BF796}"/>
    <cellStyle name="Comma 2 4 2 2 4 6 3" xfId="38725" xr:uid="{5C2C6B27-6E7F-49C1-BFFC-7164F363D41F}"/>
    <cellStyle name="Comma 2 4 2 2 4 7" xfId="9997" xr:uid="{D4426C3A-DF94-49F7-8DB9-B6EF937E2B09}"/>
    <cellStyle name="Comma 2 4 2 2 4 7 2" xfId="25117" xr:uid="{A0B47356-E66E-4798-BDFA-AD570987DEB7}"/>
    <cellStyle name="Comma 2 4 2 2 4 7 2 2" xfId="55357" xr:uid="{970CAAE0-9116-4E0B-B405-0B4C01DDC249}"/>
    <cellStyle name="Comma 2 4 2 2 4 7 3" xfId="40237" xr:uid="{34C4FC01-BA4A-4B6D-AD3D-B2F807F2DD26}"/>
    <cellStyle name="Comma 2 4 2 2 4 8" xfId="16045" xr:uid="{719A5E86-135C-4E7E-8D15-2FA78B40A6C2}"/>
    <cellStyle name="Comma 2 4 2 2 4 8 2" xfId="46285" xr:uid="{C13B05C4-25AC-4031-A5AA-A53FFF14B56D}"/>
    <cellStyle name="Comma 2 4 2 2 4 9" xfId="31165" xr:uid="{B1B0DDBD-744A-4D8D-8650-F062989A8567}"/>
    <cellStyle name="Comma 2 4 2 2 5" xfId="1681" xr:uid="{881EA5E1-3AC9-452B-82C1-C502A63F0A50}"/>
    <cellStyle name="Comma 2 4 2 2 5 2" xfId="10753" xr:uid="{665319AB-92F2-48FA-9322-F6C803C7981D}"/>
    <cellStyle name="Comma 2 4 2 2 5 2 2" xfId="25873" xr:uid="{091B1347-A37C-4C71-9CF1-C0974D27CA5D}"/>
    <cellStyle name="Comma 2 4 2 2 5 2 2 2" xfId="56113" xr:uid="{D2047D87-DAC0-4E73-A3E3-1D233DA1CCB0}"/>
    <cellStyle name="Comma 2 4 2 2 5 2 3" xfId="40993" xr:uid="{C4146A65-4EDF-4661-9FD0-BD166C5BFDB0}"/>
    <cellStyle name="Comma 2 4 2 2 5 3" xfId="16801" xr:uid="{A2E93956-2453-467A-8295-23A1B17DA902}"/>
    <cellStyle name="Comma 2 4 2 2 5 3 2" xfId="47041" xr:uid="{F9A8ED08-72D7-4AD9-B862-35EFC2267A7A}"/>
    <cellStyle name="Comma 2 4 2 2 5 4" xfId="31921" xr:uid="{6F3E99CB-68C9-4C3F-B3E8-825DCECC5B22}"/>
    <cellStyle name="Comma 2 4 2 2 6" xfId="3193" xr:uid="{715F3EEC-AAAD-40FC-9FA2-D317BCA83A0C}"/>
    <cellStyle name="Comma 2 4 2 2 6 2" xfId="12265" xr:uid="{D968B693-E352-403F-8975-9E29FA0A581A}"/>
    <cellStyle name="Comma 2 4 2 2 6 2 2" xfId="27385" xr:uid="{3751D079-22E5-4731-A624-5E897608A996}"/>
    <cellStyle name="Comma 2 4 2 2 6 2 2 2" xfId="57625" xr:uid="{A7F06E9B-7F4C-4656-AC58-0C257737D177}"/>
    <cellStyle name="Comma 2 4 2 2 6 2 3" xfId="42505" xr:uid="{CBDCB40F-400A-445B-B361-E05C8312D8CC}"/>
    <cellStyle name="Comma 2 4 2 2 6 3" xfId="18313" xr:uid="{A05B0403-58E0-4B3A-B317-6F5136B1B5B5}"/>
    <cellStyle name="Comma 2 4 2 2 6 3 2" xfId="48553" xr:uid="{A2AD8191-5546-4A4C-A8FA-A31CC2DA8F4F}"/>
    <cellStyle name="Comma 2 4 2 2 6 4" xfId="33433" xr:uid="{33E5CC50-F2F8-4914-B917-7E44820FDCF4}"/>
    <cellStyle name="Comma 2 4 2 2 7" xfId="4705" xr:uid="{56A39ECF-7184-4D8F-9BEF-DCE421FB79BB}"/>
    <cellStyle name="Comma 2 4 2 2 7 2" xfId="13777" xr:uid="{0DA809CA-7FB7-48E0-8597-CF91ADC64585}"/>
    <cellStyle name="Comma 2 4 2 2 7 2 2" xfId="28897" xr:uid="{DCAC1FAD-51FE-4929-B584-E1B4C86426F8}"/>
    <cellStyle name="Comma 2 4 2 2 7 2 2 2" xfId="59137" xr:uid="{AE6B76D8-6C62-4470-AA4D-EC91FD19C9DE}"/>
    <cellStyle name="Comma 2 4 2 2 7 2 3" xfId="44017" xr:uid="{4873C4C1-6FF0-48BF-9980-2468245B3F99}"/>
    <cellStyle name="Comma 2 4 2 2 7 3" xfId="19825" xr:uid="{CA413385-2BB9-4894-A0A0-71B252F33010}"/>
    <cellStyle name="Comma 2 4 2 2 7 3 2" xfId="50065" xr:uid="{4F544AD4-2928-4E0C-8C2C-8E6829CE9284}"/>
    <cellStyle name="Comma 2 4 2 2 7 4" xfId="34945" xr:uid="{000527B1-4BE1-4358-8C07-020BC0AC2EA1}"/>
    <cellStyle name="Comma 2 4 2 2 8" xfId="6217" xr:uid="{4AF3C9F9-4A25-4A1F-B2DE-69E38D8113FD}"/>
    <cellStyle name="Comma 2 4 2 2 8 2" xfId="21337" xr:uid="{2EDC37D0-C504-4258-85AE-CB8EA60742D6}"/>
    <cellStyle name="Comma 2 4 2 2 8 2 2" xfId="51577" xr:uid="{FA241A64-9E62-433A-8CA3-AE1E401A2F02}"/>
    <cellStyle name="Comma 2 4 2 2 8 3" xfId="36457" xr:uid="{F600EA7D-F526-4353-8F30-3628654EB4BB}"/>
    <cellStyle name="Comma 2 4 2 2 9" xfId="7729" xr:uid="{711E3CF4-75F1-4EBD-B323-8C3DB4EDDAB8}"/>
    <cellStyle name="Comma 2 4 2 2 9 2" xfId="22849" xr:uid="{B411A0AE-86DE-4C9A-8EF4-407CC77D89C2}"/>
    <cellStyle name="Comma 2 4 2 2 9 2 2" xfId="53089" xr:uid="{BB394517-B541-44BA-82C5-553D643D56AE}"/>
    <cellStyle name="Comma 2 4 2 2 9 3" xfId="37969" xr:uid="{82AEF951-08FB-41F4-8107-C5E7CCB921D0}"/>
    <cellStyle name="Comma 2 4 2 3" xfId="253" xr:uid="{F04ADF93-4662-4524-8463-BC4544F2BA92}"/>
    <cellStyle name="Comma 2 4 2 3 10" xfId="9325" xr:uid="{192E248D-6E5D-4DDF-9800-CDF09F37EAA6}"/>
    <cellStyle name="Comma 2 4 2 3 10 2" xfId="24445" xr:uid="{295C2E29-493F-4F3E-AD59-7F4E772336AE}"/>
    <cellStyle name="Comma 2 4 2 3 10 2 2" xfId="54685" xr:uid="{807642BF-0AD2-4C0D-A3E0-9ECEDBA24593}"/>
    <cellStyle name="Comma 2 4 2 3 10 3" xfId="39565" xr:uid="{EC8269A3-4196-4FA0-AAB0-B60E41E229AD}"/>
    <cellStyle name="Comma 2 4 2 3 11" xfId="15373" xr:uid="{A18624BF-C205-4EA4-90A5-9DB4977AE5C5}"/>
    <cellStyle name="Comma 2 4 2 3 11 2" xfId="45613" xr:uid="{7389DB61-54E7-4D08-8D65-9CA34267DD46}"/>
    <cellStyle name="Comma 2 4 2 3 12" xfId="30493" xr:uid="{A0C0CE44-42F0-4836-B56D-15621D2531B1}"/>
    <cellStyle name="Comma 2 4 2 3 2" xfId="505" xr:uid="{CCDB78F2-3C9D-4470-8718-29BB4B6BFF0F}"/>
    <cellStyle name="Comma 2 4 2 3 2 10" xfId="30745" xr:uid="{9D33FD0F-E4F6-4828-BF72-D287BCE55189}"/>
    <cellStyle name="Comma 2 4 2 3 2 2" xfId="1261" xr:uid="{05CE1A1C-E828-4616-A1C8-7ABA302A8D4D}"/>
    <cellStyle name="Comma 2 4 2 3 2 2 2" xfId="2773" xr:uid="{E7F83531-6458-4AA6-84BE-694A36EEDB7E}"/>
    <cellStyle name="Comma 2 4 2 3 2 2 2 2" xfId="11845" xr:uid="{FDB5B085-F0B4-4D19-BCC2-FFFF460E1C47}"/>
    <cellStyle name="Comma 2 4 2 3 2 2 2 2 2" xfId="26965" xr:uid="{A17FB41A-F97E-486F-B5FD-F2BA81BF2A16}"/>
    <cellStyle name="Comma 2 4 2 3 2 2 2 2 2 2" xfId="57205" xr:uid="{F78CFA9D-BD99-4536-AB6C-E3BDC602B949}"/>
    <cellStyle name="Comma 2 4 2 3 2 2 2 2 3" xfId="42085" xr:uid="{B4ED128E-C153-4128-AD0D-A3008AE33365}"/>
    <cellStyle name="Comma 2 4 2 3 2 2 2 3" xfId="17893" xr:uid="{FDD8C1AE-040D-41D0-B939-82A7B1EC7D36}"/>
    <cellStyle name="Comma 2 4 2 3 2 2 2 3 2" xfId="48133" xr:uid="{DF581980-48B8-4D00-B417-DAC26A56FDAF}"/>
    <cellStyle name="Comma 2 4 2 3 2 2 2 4" xfId="33013" xr:uid="{0C374302-71C3-47B8-B2E4-5F33D8DF7127}"/>
    <cellStyle name="Comma 2 4 2 3 2 2 3" xfId="4285" xr:uid="{BA51F7AA-8894-459C-90C7-CF6CE03CB6D3}"/>
    <cellStyle name="Comma 2 4 2 3 2 2 3 2" xfId="13357" xr:uid="{35CF0B86-6EDD-4A6D-B6DF-9BF59AB717FB}"/>
    <cellStyle name="Comma 2 4 2 3 2 2 3 2 2" xfId="28477" xr:uid="{FB97FCD8-91B0-4B2C-92E4-BE2386ED11D4}"/>
    <cellStyle name="Comma 2 4 2 3 2 2 3 2 2 2" xfId="58717" xr:uid="{C2FAEA69-6BCB-4D26-B0A7-7144CD172806}"/>
    <cellStyle name="Comma 2 4 2 3 2 2 3 2 3" xfId="43597" xr:uid="{60D27A1C-2FFD-4249-AB72-79C3D9122440}"/>
    <cellStyle name="Comma 2 4 2 3 2 2 3 3" xfId="19405" xr:uid="{7DF093CC-C6CC-4FDD-AFD0-6E846409DCB1}"/>
    <cellStyle name="Comma 2 4 2 3 2 2 3 3 2" xfId="49645" xr:uid="{DE2D60DF-9EC2-402D-823E-1D3A38F1DCB0}"/>
    <cellStyle name="Comma 2 4 2 3 2 2 3 4" xfId="34525" xr:uid="{6A64B8F1-C33F-4DAA-A6A8-86B0C52CB29D}"/>
    <cellStyle name="Comma 2 4 2 3 2 2 4" xfId="5797" xr:uid="{6A206BA1-59D5-417F-B859-AB7196D77518}"/>
    <cellStyle name="Comma 2 4 2 3 2 2 4 2" xfId="14869" xr:uid="{4083EF0C-CDBE-4687-9378-D57B350752E5}"/>
    <cellStyle name="Comma 2 4 2 3 2 2 4 2 2" xfId="29989" xr:uid="{1D0358B8-368C-401D-B828-4F64D4157F7D}"/>
    <cellStyle name="Comma 2 4 2 3 2 2 4 2 2 2" xfId="60229" xr:uid="{AC57C474-3EFF-4A23-8431-561F9CA49393}"/>
    <cellStyle name="Comma 2 4 2 3 2 2 4 2 3" xfId="45109" xr:uid="{405F712D-6B94-4296-AC72-F14CBA8A8EB3}"/>
    <cellStyle name="Comma 2 4 2 3 2 2 4 3" xfId="20917" xr:uid="{A0C3865C-CF93-445D-9941-F10663305AA6}"/>
    <cellStyle name="Comma 2 4 2 3 2 2 4 3 2" xfId="51157" xr:uid="{CC85BB87-D7B1-4995-AC2B-BB7E6C44329E}"/>
    <cellStyle name="Comma 2 4 2 3 2 2 4 4" xfId="36037" xr:uid="{9F01BF50-48A0-4617-AB34-B72ED198DAA2}"/>
    <cellStyle name="Comma 2 4 2 3 2 2 5" xfId="7309" xr:uid="{15BE64F6-DE4F-4FCD-B1C9-0D872DEBF65B}"/>
    <cellStyle name="Comma 2 4 2 3 2 2 5 2" xfId="22429" xr:uid="{7795CA7D-20A4-46AF-8313-919CECF15F24}"/>
    <cellStyle name="Comma 2 4 2 3 2 2 5 2 2" xfId="52669" xr:uid="{14B349FA-55BD-48AD-8A2D-0C907F7387CE}"/>
    <cellStyle name="Comma 2 4 2 3 2 2 5 3" xfId="37549" xr:uid="{D00172E7-D2D7-4666-90EE-B24BB305ACF2}"/>
    <cellStyle name="Comma 2 4 2 3 2 2 6" xfId="8821" xr:uid="{E78FD959-05E6-49BB-9777-5C2CA6AEDE6A}"/>
    <cellStyle name="Comma 2 4 2 3 2 2 6 2" xfId="23941" xr:uid="{8EC18E6C-E0FC-41DE-B008-383A92146C52}"/>
    <cellStyle name="Comma 2 4 2 3 2 2 6 2 2" xfId="54181" xr:uid="{154F7809-C702-4340-935A-D10B0BFD5FEA}"/>
    <cellStyle name="Comma 2 4 2 3 2 2 6 3" xfId="39061" xr:uid="{33BC1875-71CB-4078-93A8-8879D9870195}"/>
    <cellStyle name="Comma 2 4 2 3 2 2 7" xfId="10333" xr:uid="{5C39AA26-0683-4124-8AA6-3833FD17A39C}"/>
    <cellStyle name="Comma 2 4 2 3 2 2 7 2" xfId="25453" xr:uid="{988184DF-04BE-44FD-8925-61083B29CADA}"/>
    <cellStyle name="Comma 2 4 2 3 2 2 7 2 2" xfId="55693" xr:uid="{F0C278A3-00B9-42B4-AA5D-EA4036BD9607}"/>
    <cellStyle name="Comma 2 4 2 3 2 2 7 3" xfId="40573" xr:uid="{045E0DA3-1F59-44DA-867F-E971F8631EE7}"/>
    <cellStyle name="Comma 2 4 2 3 2 2 8" xfId="16381" xr:uid="{27D7BEF0-3A30-44C1-97A7-1B0610FF8F38}"/>
    <cellStyle name="Comma 2 4 2 3 2 2 8 2" xfId="46621" xr:uid="{CF5DAC3D-7800-4EC5-91AF-62BA77F36511}"/>
    <cellStyle name="Comma 2 4 2 3 2 2 9" xfId="31501" xr:uid="{EF7AD1DB-8C8E-44DA-AA93-0503FB5900A5}"/>
    <cellStyle name="Comma 2 4 2 3 2 3" xfId="2017" xr:uid="{A4A70B50-9AFB-45B3-9970-F43D5D8E6C5F}"/>
    <cellStyle name="Comma 2 4 2 3 2 3 2" xfId="11089" xr:uid="{665B773F-C573-4918-841F-A51D5C59368D}"/>
    <cellStyle name="Comma 2 4 2 3 2 3 2 2" xfId="26209" xr:uid="{A37550CF-83A2-449B-90E1-3268F5F7D6BA}"/>
    <cellStyle name="Comma 2 4 2 3 2 3 2 2 2" xfId="56449" xr:uid="{49EB89F3-E3BE-4B11-BA47-9B7754908EBA}"/>
    <cellStyle name="Comma 2 4 2 3 2 3 2 3" xfId="41329" xr:uid="{4F8A38D6-9E02-48CF-ADCC-73BC0000A1A0}"/>
    <cellStyle name="Comma 2 4 2 3 2 3 3" xfId="17137" xr:uid="{F2F8E87D-4AC1-423A-842B-042CB3F41B06}"/>
    <cellStyle name="Comma 2 4 2 3 2 3 3 2" xfId="47377" xr:uid="{2167FFD8-2485-49B7-B696-87B2DB23DDF2}"/>
    <cellStyle name="Comma 2 4 2 3 2 3 4" xfId="32257" xr:uid="{B8B101E9-AF72-4209-AD86-134F6F2EF1C4}"/>
    <cellStyle name="Comma 2 4 2 3 2 4" xfId="3529" xr:uid="{301371DE-7520-4190-B6B4-682195ABBBB9}"/>
    <cellStyle name="Comma 2 4 2 3 2 4 2" xfId="12601" xr:uid="{0ED91B32-AB87-414C-B742-851A158109A4}"/>
    <cellStyle name="Comma 2 4 2 3 2 4 2 2" xfId="27721" xr:uid="{A3FA53FF-BCFD-4E4F-A0BC-935503D37D72}"/>
    <cellStyle name="Comma 2 4 2 3 2 4 2 2 2" xfId="57961" xr:uid="{B50A9179-1976-4B92-8D3A-4262C213A66B}"/>
    <cellStyle name="Comma 2 4 2 3 2 4 2 3" xfId="42841" xr:uid="{0993F231-2C67-4CF3-84A3-6FAFA18D926B}"/>
    <cellStyle name="Comma 2 4 2 3 2 4 3" xfId="18649" xr:uid="{C5CE50B0-3280-4ACC-A664-5C63851D2DD1}"/>
    <cellStyle name="Comma 2 4 2 3 2 4 3 2" xfId="48889" xr:uid="{F5424C28-C9AC-45DF-BCC2-5D532AC50BEA}"/>
    <cellStyle name="Comma 2 4 2 3 2 4 4" xfId="33769" xr:uid="{C6FABC6D-9A7D-457E-BED5-7D182963F4AC}"/>
    <cellStyle name="Comma 2 4 2 3 2 5" xfId="5041" xr:uid="{A068C7F6-AAE3-41B5-91F2-A3806F5036ED}"/>
    <cellStyle name="Comma 2 4 2 3 2 5 2" xfId="14113" xr:uid="{E388ED1E-3B2E-46FB-9EB2-25A62CA8CD8D}"/>
    <cellStyle name="Comma 2 4 2 3 2 5 2 2" xfId="29233" xr:uid="{51C5524F-2904-4A0A-A45B-26BECD0BF144}"/>
    <cellStyle name="Comma 2 4 2 3 2 5 2 2 2" xfId="59473" xr:uid="{B2F2ADE3-C1EC-4300-918D-F1F05629DABC}"/>
    <cellStyle name="Comma 2 4 2 3 2 5 2 3" xfId="44353" xr:uid="{40E22797-E4FE-4D9C-A819-3BC70BA46FE5}"/>
    <cellStyle name="Comma 2 4 2 3 2 5 3" xfId="20161" xr:uid="{409D074B-5236-48F7-B813-33C486DC940B}"/>
    <cellStyle name="Comma 2 4 2 3 2 5 3 2" xfId="50401" xr:uid="{DD76730E-FE49-42B3-8A0E-62E31C561687}"/>
    <cellStyle name="Comma 2 4 2 3 2 5 4" xfId="35281" xr:uid="{CE80BD94-8620-4119-9B1F-DE4E33A7DA5F}"/>
    <cellStyle name="Comma 2 4 2 3 2 6" xfId="6553" xr:uid="{891C48A9-1EEC-4DC3-863C-292E7007C509}"/>
    <cellStyle name="Comma 2 4 2 3 2 6 2" xfId="21673" xr:uid="{3DC485EC-9197-4077-ACA6-9B919AD79CEA}"/>
    <cellStyle name="Comma 2 4 2 3 2 6 2 2" xfId="51913" xr:uid="{EC8E5F26-044A-44D1-8681-DDB82A10ED00}"/>
    <cellStyle name="Comma 2 4 2 3 2 6 3" xfId="36793" xr:uid="{BAB15D83-48CD-44C4-ACBC-EA60656FBCBC}"/>
    <cellStyle name="Comma 2 4 2 3 2 7" xfId="8065" xr:uid="{2D0F62CD-D944-492A-AAB0-F9E67798E990}"/>
    <cellStyle name="Comma 2 4 2 3 2 7 2" xfId="23185" xr:uid="{8CD9D12F-F4E6-46AB-A007-6DF92A23B4C4}"/>
    <cellStyle name="Comma 2 4 2 3 2 7 2 2" xfId="53425" xr:uid="{3DB95B5A-C2A9-4820-8F18-E70EDA723E7D}"/>
    <cellStyle name="Comma 2 4 2 3 2 7 3" xfId="38305" xr:uid="{6FF736D0-79E6-435F-8BE1-917281D70EC3}"/>
    <cellStyle name="Comma 2 4 2 3 2 8" xfId="9577" xr:uid="{2814F347-EA70-45F9-993F-35EB1524A8DB}"/>
    <cellStyle name="Comma 2 4 2 3 2 8 2" xfId="24697" xr:uid="{B32CF3C6-60E1-4660-99D4-C77D99F7D06C}"/>
    <cellStyle name="Comma 2 4 2 3 2 8 2 2" xfId="54937" xr:uid="{3A70DDF8-3200-46D9-83E4-C6328E6DF5EA}"/>
    <cellStyle name="Comma 2 4 2 3 2 8 3" xfId="39817" xr:uid="{ABB4DB30-6821-43C3-BAAA-624938F98019}"/>
    <cellStyle name="Comma 2 4 2 3 2 9" xfId="15625" xr:uid="{DFD9BC96-9283-4E39-8483-1AAEB5593412}"/>
    <cellStyle name="Comma 2 4 2 3 2 9 2" xfId="45865" xr:uid="{AB55F115-176B-47AF-92AB-4013AFBAE09D}"/>
    <cellStyle name="Comma 2 4 2 3 3" xfId="757" xr:uid="{344A86A3-9EDC-4C18-B865-D553B5B418E3}"/>
    <cellStyle name="Comma 2 4 2 3 3 10" xfId="30997" xr:uid="{3DD391F6-8E55-45DB-8896-E8456E4839A0}"/>
    <cellStyle name="Comma 2 4 2 3 3 2" xfId="1513" xr:uid="{5CACB112-D72B-4201-B806-5547883655C0}"/>
    <cellStyle name="Comma 2 4 2 3 3 2 2" xfId="3025" xr:uid="{96FFEC16-6A4B-4AD0-8B79-6DB39A8F9B0A}"/>
    <cellStyle name="Comma 2 4 2 3 3 2 2 2" xfId="12097" xr:uid="{2FEF4C75-629D-424A-8FA4-A4FCE8DE5AD0}"/>
    <cellStyle name="Comma 2 4 2 3 3 2 2 2 2" xfId="27217" xr:uid="{7351ECAD-9D4D-4CFD-999E-D7DEE3FE4A1D}"/>
    <cellStyle name="Comma 2 4 2 3 3 2 2 2 2 2" xfId="57457" xr:uid="{ED003457-C02D-4417-85D1-B138CA77991C}"/>
    <cellStyle name="Comma 2 4 2 3 3 2 2 2 3" xfId="42337" xr:uid="{0053F600-72D5-4703-8E83-37FA7F91B570}"/>
    <cellStyle name="Comma 2 4 2 3 3 2 2 3" xfId="18145" xr:uid="{1ECC89D5-A7CB-4EF0-A852-D73914A88688}"/>
    <cellStyle name="Comma 2 4 2 3 3 2 2 3 2" xfId="48385" xr:uid="{58B1CFCF-0814-4E1F-9BAA-504BE7902A95}"/>
    <cellStyle name="Comma 2 4 2 3 3 2 2 4" xfId="33265" xr:uid="{F54C5638-A8D5-49FA-90A3-75555D8F1B5F}"/>
    <cellStyle name="Comma 2 4 2 3 3 2 3" xfId="4537" xr:uid="{CE96DBF1-8CC9-46BF-B759-7D7165C37F41}"/>
    <cellStyle name="Comma 2 4 2 3 3 2 3 2" xfId="13609" xr:uid="{03793C5A-772F-4EE8-AF11-A25A1E8D2E9D}"/>
    <cellStyle name="Comma 2 4 2 3 3 2 3 2 2" xfId="28729" xr:uid="{F06688F5-DA78-4A37-98F5-FFAED1F352E1}"/>
    <cellStyle name="Comma 2 4 2 3 3 2 3 2 2 2" xfId="58969" xr:uid="{34E834CD-5892-4254-A023-6F90B155995B}"/>
    <cellStyle name="Comma 2 4 2 3 3 2 3 2 3" xfId="43849" xr:uid="{E0B82859-C9E8-44B8-9681-D69D1E619CC5}"/>
    <cellStyle name="Comma 2 4 2 3 3 2 3 3" xfId="19657" xr:uid="{1B98BD11-BB3D-42F9-9DD1-76CA6E7A1449}"/>
    <cellStyle name="Comma 2 4 2 3 3 2 3 3 2" xfId="49897" xr:uid="{12547A97-F022-4A0C-8337-4899DDF126DF}"/>
    <cellStyle name="Comma 2 4 2 3 3 2 3 4" xfId="34777" xr:uid="{B7D0A36A-CC2F-4105-85AA-85A5A84C2AC7}"/>
    <cellStyle name="Comma 2 4 2 3 3 2 4" xfId="6049" xr:uid="{629B4FEF-0CA9-49FB-8636-466E6D548253}"/>
    <cellStyle name="Comma 2 4 2 3 3 2 4 2" xfId="15121" xr:uid="{CA35189C-FAA0-463A-91FA-D746466B7279}"/>
    <cellStyle name="Comma 2 4 2 3 3 2 4 2 2" xfId="30241" xr:uid="{3C2EEE6A-D8CC-4C2A-A942-C1513830366D}"/>
    <cellStyle name="Comma 2 4 2 3 3 2 4 2 2 2" xfId="60481" xr:uid="{72389E1B-1843-4F27-A099-97EDDB020501}"/>
    <cellStyle name="Comma 2 4 2 3 3 2 4 2 3" xfId="45361" xr:uid="{A6D2EC5F-6C43-4CB3-A6EF-917BC2064AA9}"/>
    <cellStyle name="Comma 2 4 2 3 3 2 4 3" xfId="21169" xr:uid="{A5B6462F-763A-4D5D-A1FB-B3753E48A0A7}"/>
    <cellStyle name="Comma 2 4 2 3 3 2 4 3 2" xfId="51409" xr:uid="{6E0C8863-E8D7-4E80-BF7E-01BB8F8660DE}"/>
    <cellStyle name="Comma 2 4 2 3 3 2 4 4" xfId="36289" xr:uid="{3B490304-DF42-4659-8767-C16D0A1CAC47}"/>
    <cellStyle name="Comma 2 4 2 3 3 2 5" xfId="7561" xr:uid="{343329F4-8D41-4FF5-972C-CAE6D11D8AC2}"/>
    <cellStyle name="Comma 2 4 2 3 3 2 5 2" xfId="22681" xr:uid="{A15CA038-41AB-4A01-9652-E9702128BBE8}"/>
    <cellStyle name="Comma 2 4 2 3 3 2 5 2 2" xfId="52921" xr:uid="{F899B400-4E5B-48B6-BE2B-B3BA4B7CE9B8}"/>
    <cellStyle name="Comma 2 4 2 3 3 2 5 3" xfId="37801" xr:uid="{89DD7122-2877-4B9B-83CE-461510DA400F}"/>
    <cellStyle name="Comma 2 4 2 3 3 2 6" xfId="9073" xr:uid="{013BFC46-1676-4452-A45B-ABD43B6F8823}"/>
    <cellStyle name="Comma 2 4 2 3 3 2 6 2" xfId="24193" xr:uid="{265390A7-3E2D-44EC-9332-DEA0ADD976E9}"/>
    <cellStyle name="Comma 2 4 2 3 3 2 6 2 2" xfId="54433" xr:uid="{D2BC1E99-9C15-4A25-AB30-2A491A4D07D5}"/>
    <cellStyle name="Comma 2 4 2 3 3 2 6 3" xfId="39313" xr:uid="{4107F139-9303-4ED0-BAEC-942C6B347E5C}"/>
    <cellStyle name="Comma 2 4 2 3 3 2 7" xfId="10585" xr:uid="{49143C3B-1164-4274-B2FD-15FDA56CFA4F}"/>
    <cellStyle name="Comma 2 4 2 3 3 2 7 2" xfId="25705" xr:uid="{6A27638A-E3F3-4CE5-A773-5FE86B332BF7}"/>
    <cellStyle name="Comma 2 4 2 3 3 2 7 2 2" xfId="55945" xr:uid="{C9877A56-038F-4915-8604-9660E3E63529}"/>
    <cellStyle name="Comma 2 4 2 3 3 2 7 3" xfId="40825" xr:uid="{B4EB3F5B-5D3A-449B-9580-D0C469F5C93D}"/>
    <cellStyle name="Comma 2 4 2 3 3 2 8" xfId="16633" xr:uid="{9EA8B510-F66F-4F9D-A069-B3ED152453C2}"/>
    <cellStyle name="Comma 2 4 2 3 3 2 8 2" xfId="46873" xr:uid="{2134488B-A819-4B6A-B409-0D09C1764E22}"/>
    <cellStyle name="Comma 2 4 2 3 3 2 9" xfId="31753" xr:uid="{B4E55272-B331-4BDB-899F-6A7C9A01E43A}"/>
    <cellStyle name="Comma 2 4 2 3 3 3" xfId="2269" xr:uid="{5D0ECB43-CFDB-49C0-A225-A4DB0619D948}"/>
    <cellStyle name="Comma 2 4 2 3 3 3 2" xfId="11341" xr:uid="{5AEDA8F9-10A4-4D63-BC3E-9E7019AC8F28}"/>
    <cellStyle name="Comma 2 4 2 3 3 3 2 2" xfId="26461" xr:uid="{0EAEEC3A-B30F-45C6-A08E-32AE0BBA2074}"/>
    <cellStyle name="Comma 2 4 2 3 3 3 2 2 2" xfId="56701" xr:uid="{EEBDF9F8-4AE9-407B-B582-9F34585818B3}"/>
    <cellStyle name="Comma 2 4 2 3 3 3 2 3" xfId="41581" xr:uid="{C52E2F2F-2E3C-42F2-A891-0B8C244ED0C7}"/>
    <cellStyle name="Comma 2 4 2 3 3 3 3" xfId="17389" xr:uid="{70D4921E-6C34-4BB0-983B-D3D53DEB1AB4}"/>
    <cellStyle name="Comma 2 4 2 3 3 3 3 2" xfId="47629" xr:uid="{569B8CDE-457A-434B-A518-82A325AC0495}"/>
    <cellStyle name="Comma 2 4 2 3 3 3 4" xfId="32509" xr:uid="{63C9499A-2046-4FB9-BB5C-EB595F81F5C0}"/>
    <cellStyle name="Comma 2 4 2 3 3 4" xfId="3781" xr:uid="{0A27CAEF-842D-4C29-94DB-F7E7F0D9DF14}"/>
    <cellStyle name="Comma 2 4 2 3 3 4 2" xfId="12853" xr:uid="{4DAB39CC-7C3D-4100-BC57-7680FBD6A4A9}"/>
    <cellStyle name="Comma 2 4 2 3 3 4 2 2" xfId="27973" xr:uid="{44755DCD-9CBB-4E93-BD84-8B9997E1C786}"/>
    <cellStyle name="Comma 2 4 2 3 3 4 2 2 2" xfId="58213" xr:uid="{1F10DAE3-41C8-4724-9901-621588D3C7D0}"/>
    <cellStyle name="Comma 2 4 2 3 3 4 2 3" xfId="43093" xr:uid="{E7F857DC-6D29-4AB0-875B-1484365EA828}"/>
    <cellStyle name="Comma 2 4 2 3 3 4 3" xfId="18901" xr:uid="{D0AF89C8-DD7A-4CFE-8774-4649E2654582}"/>
    <cellStyle name="Comma 2 4 2 3 3 4 3 2" xfId="49141" xr:uid="{6DE5DE85-B29C-4754-8CDC-02C938F18CC9}"/>
    <cellStyle name="Comma 2 4 2 3 3 4 4" xfId="34021" xr:uid="{2A7CF224-81D4-4686-88C1-D9E8631E3A82}"/>
    <cellStyle name="Comma 2 4 2 3 3 5" xfId="5293" xr:uid="{04D8F02F-97CE-4B3B-A001-233B71DAA5F2}"/>
    <cellStyle name="Comma 2 4 2 3 3 5 2" xfId="14365" xr:uid="{50F90887-C881-4898-882E-A0AD1943D75E}"/>
    <cellStyle name="Comma 2 4 2 3 3 5 2 2" xfId="29485" xr:uid="{FDFF6093-1242-436B-B7E5-FC546536BE30}"/>
    <cellStyle name="Comma 2 4 2 3 3 5 2 2 2" xfId="59725" xr:uid="{D5FC8742-F3D7-41EE-BFE0-7C351C043F15}"/>
    <cellStyle name="Comma 2 4 2 3 3 5 2 3" xfId="44605" xr:uid="{75DCF77F-59D8-400D-99D6-ED0E409F3249}"/>
    <cellStyle name="Comma 2 4 2 3 3 5 3" xfId="20413" xr:uid="{96347769-F583-465F-939D-C780D4E0A345}"/>
    <cellStyle name="Comma 2 4 2 3 3 5 3 2" xfId="50653" xr:uid="{A8DF7253-0913-4FE0-ADB0-91CAFD2D6B4F}"/>
    <cellStyle name="Comma 2 4 2 3 3 5 4" xfId="35533" xr:uid="{AAC620CE-0D2C-4163-8659-A5CDD5B27684}"/>
    <cellStyle name="Comma 2 4 2 3 3 6" xfId="6805" xr:uid="{277AC6D1-9DED-46FE-827B-032E999B9725}"/>
    <cellStyle name="Comma 2 4 2 3 3 6 2" xfId="21925" xr:uid="{9A3647E2-4AE5-489B-9A1B-C2A4DCF2CBF0}"/>
    <cellStyle name="Comma 2 4 2 3 3 6 2 2" xfId="52165" xr:uid="{008994BF-F91B-4F40-9D0F-51B19451DF59}"/>
    <cellStyle name="Comma 2 4 2 3 3 6 3" xfId="37045" xr:uid="{E36A95B5-E87F-4249-A81C-09293D34FEBE}"/>
    <cellStyle name="Comma 2 4 2 3 3 7" xfId="8317" xr:uid="{EBDD82D1-337B-4E02-A240-3A62F41EF92A}"/>
    <cellStyle name="Comma 2 4 2 3 3 7 2" xfId="23437" xr:uid="{C9BDF974-6A26-4290-9487-836A8EC4D830}"/>
    <cellStyle name="Comma 2 4 2 3 3 7 2 2" xfId="53677" xr:uid="{89C3F7C8-B7A9-4977-9969-64FB4D42BEFE}"/>
    <cellStyle name="Comma 2 4 2 3 3 7 3" xfId="38557" xr:uid="{888A7B42-C233-4940-ACA3-AFF7B560B786}"/>
    <cellStyle name="Comma 2 4 2 3 3 8" xfId="9829" xr:uid="{AB96EB4F-B29E-40E8-B74C-6E2446C6E94F}"/>
    <cellStyle name="Comma 2 4 2 3 3 8 2" xfId="24949" xr:uid="{8B2F4D98-48D8-4399-93DD-AA747FB5EC46}"/>
    <cellStyle name="Comma 2 4 2 3 3 8 2 2" xfId="55189" xr:uid="{E79A55F7-8C7A-4C26-B439-CE3AAF7510D4}"/>
    <cellStyle name="Comma 2 4 2 3 3 8 3" xfId="40069" xr:uid="{096ADC59-6FD5-4752-83FF-89D08B16D6CC}"/>
    <cellStyle name="Comma 2 4 2 3 3 9" xfId="15877" xr:uid="{2E2BDA4B-7F93-4AA9-ADCC-7D890EBF86AF}"/>
    <cellStyle name="Comma 2 4 2 3 3 9 2" xfId="46117" xr:uid="{16380C0D-0C69-466A-A035-2533BC61C121}"/>
    <cellStyle name="Comma 2 4 2 3 4" xfId="1009" xr:uid="{7E218812-10CC-44C5-892D-11251231C839}"/>
    <cellStyle name="Comma 2 4 2 3 4 2" xfId="2521" xr:uid="{78700777-4A1E-4743-B0DB-CC95A32376FC}"/>
    <cellStyle name="Comma 2 4 2 3 4 2 2" xfId="11593" xr:uid="{EABB80B6-6E53-48FA-A7A3-222F7B6BC05A}"/>
    <cellStyle name="Comma 2 4 2 3 4 2 2 2" xfId="26713" xr:uid="{F756AC7D-13CD-4C53-80B6-3CE447C8848A}"/>
    <cellStyle name="Comma 2 4 2 3 4 2 2 2 2" xfId="56953" xr:uid="{E654BE00-A7FD-414A-98BA-02E15AE8DF82}"/>
    <cellStyle name="Comma 2 4 2 3 4 2 2 3" xfId="41833" xr:uid="{10323D66-04D2-4CB4-91FE-0A54CDC5870F}"/>
    <cellStyle name="Comma 2 4 2 3 4 2 3" xfId="17641" xr:uid="{04688ABC-AC3A-4041-8A0B-C3A0583A9177}"/>
    <cellStyle name="Comma 2 4 2 3 4 2 3 2" xfId="47881" xr:uid="{721662A8-BDFF-4E60-A597-A45A3A85A739}"/>
    <cellStyle name="Comma 2 4 2 3 4 2 4" xfId="32761" xr:uid="{0B85C366-B567-468F-A7F1-C6EFD278D64F}"/>
    <cellStyle name="Comma 2 4 2 3 4 3" xfId="4033" xr:uid="{4F9D79F5-30D7-4EED-A064-6BA7F348D3A9}"/>
    <cellStyle name="Comma 2 4 2 3 4 3 2" xfId="13105" xr:uid="{B7D97C2E-AA39-47B1-8471-4846BA565D1E}"/>
    <cellStyle name="Comma 2 4 2 3 4 3 2 2" xfId="28225" xr:uid="{EF411552-AF29-40DE-AB8C-4B95BC49A092}"/>
    <cellStyle name="Comma 2 4 2 3 4 3 2 2 2" xfId="58465" xr:uid="{C5315EBA-3401-4268-B9D6-035472FD59D6}"/>
    <cellStyle name="Comma 2 4 2 3 4 3 2 3" xfId="43345" xr:uid="{31385C25-9D85-4BB6-83A9-04471FBCCF71}"/>
    <cellStyle name="Comma 2 4 2 3 4 3 3" xfId="19153" xr:uid="{5E9E6052-545E-42E4-A9B5-0982CFC7D694}"/>
    <cellStyle name="Comma 2 4 2 3 4 3 3 2" xfId="49393" xr:uid="{3B9ED0CC-EC9D-44D5-8188-C358CE1313E9}"/>
    <cellStyle name="Comma 2 4 2 3 4 3 4" xfId="34273" xr:uid="{BF3456F5-E54E-45B9-9EDB-E59F7180D921}"/>
    <cellStyle name="Comma 2 4 2 3 4 4" xfId="5545" xr:uid="{4A2354EA-7330-40E8-9059-0216375ABEC3}"/>
    <cellStyle name="Comma 2 4 2 3 4 4 2" xfId="14617" xr:uid="{4E039CE8-7F76-4F61-AD97-6CBCDD7F8D66}"/>
    <cellStyle name="Comma 2 4 2 3 4 4 2 2" xfId="29737" xr:uid="{F88E4A9D-4730-4B6A-A864-DD27CB61F825}"/>
    <cellStyle name="Comma 2 4 2 3 4 4 2 2 2" xfId="59977" xr:uid="{449E9AA6-1186-4289-ABBE-76DE22173632}"/>
    <cellStyle name="Comma 2 4 2 3 4 4 2 3" xfId="44857" xr:uid="{062745A6-A144-42A6-B6DD-A1991BB80721}"/>
    <cellStyle name="Comma 2 4 2 3 4 4 3" xfId="20665" xr:uid="{765DFAC6-356F-4D56-91FA-6C9EA18847F4}"/>
    <cellStyle name="Comma 2 4 2 3 4 4 3 2" xfId="50905" xr:uid="{ADDC2E4D-0999-4664-8ACB-98BD8DCDF82D}"/>
    <cellStyle name="Comma 2 4 2 3 4 4 4" xfId="35785" xr:uid="{D8E51618-5284-49A1-856C-8FBAF8BD59DA}"/>
    <cellStyle name="Comma 2 4 2 3 4 5" xfId="7057" xr:uid="{2CC7C066-9463-4858-A3B1-E2A2C7F31A70}"/>
    <cellStyle name="Comma 2 4 2 3 4 5 2" xfId="22177" xr:uid="{BF30F03F-AAF6-4DB2-9472-82D23DAD50A5}"/>
    <cellStyle name="Comma 2 4 2 3 4 5 2 2" xfId="52417" xr:uid="{408E61FB-D3E7-4B75-9060-1FB3EE478824}"/>
    <cellStyle name="Comma 2 4 2 3 4 5 3" xfId="37297" xr:uid="{DD457FFD-401C-44F4-92F4-0005EA556428}"/>
    <cellStyle name="Comma 2 4 2 3 4 6" xfId="8569" xr:uid="{030EE351-BE61-4B4D-B5A2-7716A74ECCE1}"/>
    <cellStyle name="Comma 2 4 2 3 4 6 2" xfId="23689" xr:uid="{0429DF54-EE32-4336-9A51-35A1A2414F0D}"/>
    <cellStyle name="Comma 2 4 2 3 4 6 2 2" xfId="53929" xr:uid="{C6340D87-DE0B-4E39-A053-F0E057CBD72C}"/>
    <cellStyle name="Comma 2 4 2 3 4 6 3" xfId="38809" xr:uid="{925F0CB4-3266-4C1A-AC22-E464128AB3BD}"/>
    <cellStyle name="Comma 2 4 2 3 4 7" xfId="10081" xr:uid="{34159697-5AB5-406D-89BE-CE7F9D748442}"/>
    <cellStyle name="Comma 2 4 2 3 4 7 2" xfId="25201" xr:uid="{14CBE7AE-5F2B-45F1-A82F-C299574C9ED3}"/>
    <cellStyle name="Comma 2 4 2 3 4 7 2 2" xfId="55441" xr:uid="{6E6D47B6-EF2A-45F1-96C3-4D8E334B64FC}"/>
    <cellStyle name="Comma 2 4 2 3 4 7 3" xfId="40321" xr:uid="{91946A6D-4F05-4681-9DED-E238840BBFB4}"/>
    <cellStyle name="Comma 2 4 2 3 4 8" xfId="16129" xr:uid="{6EEB2169-D7C7-407D-A85B-5212D79FA729}"/>
    <cellStyle name="Comma 2 4 2 3 4 8 2" xfId="46369" xr:uid="{35E3E2F9-33AF-49AB-A598-F641CC18AC6B}"/>
    <cellStyle name="Comma 2 4 2 3 4 9" xfId="31249" xr:uid="{7E6CE838-A409-4E9E-8C04-AA4F00ED4EA5}"/>
    <cellStyle name="Comma 2 4 2 3 5" xfId="1765" xr:uid="{8080582A-22B9-4166-80BC-94E608363FD4}"/>
    <cellStyle name="Comma 2 4 2 3 5 2" xfId="10837" xr:uid="{2BB2E769-9A9A-443A-8EBF-D707AC410A56}"/>
    <cellStyle name="Comma 2 4 2 3 5 2 2" xfId="25957" xr:uid="{EF2A26C3-1007-4C57-8DA9-B0B28040613C}"/>
    <cellStyle name="Comma 2 4 2 3 5 2 2 2" xfId="56197" xr:uid="{DB1D1ADA-6F6F-4B83-83A3-7BA9B5D2556F}"/>
    <cellStyle name="Comma 2 4 2 3 5 2 3" xfId="41077" xr:uid="{E5CEE4BA-CC79-4287-8D7B-51A87E5EE2CC}"/>
    <cellStyle name="Comma 2 4 2 3 5 3" xfId="16885" xr:uid="{9A27239D-C3B7-44F4-BACD-AD83A8383651}"/>
    <cellStyle name="Comma 2 4 2 3 5 3 2" xfId="47125" xr:uid="{91D35330-A743-4C08-AAA6-67D082E140BD}"/>
    <cellStyle name="Comma 2 4 2 3 5 4" xfId="32005" xr:uid="{13EE4272-F20B-4520-9888-632A62EBF455}"/>
    <cellStyle name="Comma 2 4 2 3 6" xfId="3277" xr:uid="{C7361B08-A339-4332-B9E1-F81C79B37654}"/>
    <cellStyle name="Comma 2 4 2 3 6 2" xfId="12349" xr:uid="{829B1B4B-3625-492B-A769-1FCBE685FB41}"/>
    <cellStyle name="Comma 2 4 2 3 6 2 2" xfId="27469" xr:uid="{9EF27D68-A573-47D5-997D-35C298C08213}"/>
    <cellStyle name="Comma 2 4 2 3 6 2 2 2" xfId="57709" xr:uid="{342FEFC5-CF9A-43FD-9465-1A3A4660D05F}"/>
    <cellStyle name="Comma 2 4 2 3 6 2 3" xfId="42589" xr:uid="{CD2A158B-13EF-4623-BD60-A8CBFBD82FDD}"/>
    <cellStyle name="Comma 2 4 2 3 6 3" xfId="18397" xr:uid="{1333D461-94E5-461A-BCB6-836972134CA0}"/>
    <cellStyle name="Comma 2 4 2 3 6 3 2" xfId="48637" xr:uid="{26096865-3FBC-46C9-87CE-E631DB23C327}"/>
    <cellStyle name="Comma 2 4 2 3 6 4" xfId="33517" xr:uid="{3ACA7211-11DA-4093-A93C-78CA994F8A7F}"/>
    <cellStyle name="Comma 2 4 2 3 7" xfId="4789" xr:uid="{FF27542F-8E6A-4434-8817-65AE2B079054}"/>
    <cellStyle name="Comma 2 4 2 3 7 2" xfId="13861" xr:uid="{CA331DE9-81D2-422E-BBF1-48D640C8084D}"/>
    <cellStyle name="Comma 2 4 2 3 7 2 2" xfId="28981" xr:uid="{87598F0A-8903-44C4-8338-244C6581938F}"/>
    <cellStyle name="Comma 2 4 2 3 7 2 2 2" xfId="59221" xr:uid="{D4E8057B-4118-47D5-B986-70F74CECA44D}"/>
    <cellStyle name="Comma 2 4 2 3 7 2 3" xfId="44101" xr:uid="{EEED65F7-3693-41C3-91F1-0FA82BC4B9BE}"/>
    <cellStyle name="Comma 2 4 2 3 7 3" xfId="19909" xr:uid="{F1A11361-088E-4E44-A718-4CDC093BD61B}"/>
    <cellStyle name="Comma 2 4 2 3 7 3 2" xfId="50149" xr:uid="{05FAEC9A-8D85-411F-B214-AC1A0C34958B}"/>
    <cellStyle name="Comma 2 4 2 3 7 4" xfId="35029" xr:uid="{8960D241-91B4-4BDD-B64F-4B84EB67004D}"/>
    <cellStyle name="Comma 2 4 2 3 8" xfId="6301" xr:uid="{B55FD68B-C966-47B7-B2F6-CEACE360F6D4}"/>
    <cellStyle name="Comma 2 4 2 3 8 2" xfId="21421" xr:uid="{7AC28AF6-4518-4C28-B576-7E687009C90D}"/>
    <cellStyle name="Comma 2 4 2 3 8 2 2" xfId="51661" xr:uid="{BCCF2A40-EBFB-4F0B-8392-FA491A40C693}"/>
    <cellStyle name="Comma 2 4 2 3 8 3" xfId="36541" xr:uid="{28294F0D-0F0A-407D-BEC9-12F3517AA3E3}"/>
    <cellStyle name="Comma 2 4 2 3 9" xfId="7813" xr:uid="{B3A65491-88E6-4C19-B809-DA6BB70F53F9}"/>
    <cellStyle name="Comma 2 4 2 3 9 2" xfId="22933" xr:uid="{DACA746E-E6EE-47A6-98B4-0C0E02174101}"/>
    <cellStyle name="Comma 2 4 2 3 9 2 2" xfId="53173" xr:uid="{EF54F358-C93E-412D-8720-269313651111}"/>
    <cellStyle name="Comma 2 4 2 3 9 3" xfId="38053" xr:uid="{EFF77EE4-9554-4B0F-B0FF-E334011959D4}"/>
    <cellStyle name="Comma 2 4 2 4" xfId="337" xr:uid="{0EE985A1-673D-4F36-B950-6B6823E2D927}"/>
    <cellStyle name="Comma 2 4 2 4 10" xfId="30577" xr:uid="{68816E3A-1BF2-424C-9844-29B5995A4BC2}"/>
    <cellStyle name="Comma 2 4 2 4 2" xfId="1093" xr:uid="{6AB7BD39-4A52-4968-856F-C491D461E44B}"/>
    <cellStyle name="Comma 2 4 2 4 2 2" xfId="2605" xr:uid="{324B6F82-2CAE-4929-A402-76944D9271CB}"/>
    <cellStyle name="Comma 2 4 2 4 2 2 2" xfId="11677" xr:uid="{581BE8DC-AAB1-4F07-B059-E6163AE9E97D}"/>
    <cellStyle name="Comma 2 4 2 4 2 2 2 2" xfId="26797" xr:uid="{58543A31-BAFA-4A0E-BE99-D75ACB66F57C}"/>
    <cellStyle name="Comma 2 4 2 4 2 2 2 2 2" xfId="57037" xr:uid="{B1A6FA04-3EB1-496A-80CD-B61A4919CA7D}"/>
    <cellStyle name="Comma 2 4 2 4 2 2 2 3" xfId="41917" xr:uid="{F7C3584A-0D6F-4827-A3ED-60F720FD0018}"/>
    <cellStyle name="Comma 2 4 2 4 2 2 3" xfId="17725" xr:uid="{3D60C9DC-A5CE-4DFB-A3C6-DC5AA26432FC}"/>
    <cellStyle name="Comma 2 4 2 4 2 2 3 2" xfId="47965" xr:uid="{B85BD9BA-24CB-4DD5-B12D-04AA9D8F4E07}"/>
    <cellStyle name="Comma 2 4 2 4 2 2 4" xfId="32845" xr:uid="{F0FE2983-C01E-4535-9243-8E5D4D5CA50E}"/>
    <cellStyle name="Comma 2 4 2 4 2 3" xfId="4117" xr:uid="{0F64A865-385D-46F2-B4AB-167AD60D597D}"/>
    <cellStyle name="Comma 2 4 2 4 2 3 2" xfId="13189" xr:uid="{311075F8-586A-4BB8-A1C3-14E295460AFE}"/>
    <cellStyle name="Comma 2 4 2 4 2 3 2 2" xfId="28309" xr:uid="{F28C6EBA-4BE9-472A-8879-3F83ABB6921D}"/>
    <cellStyle name="Comma 2 4 2 4 2 3 2 2 2" xfId="58549" xr:uid="{79C42BED-796B-4D92-8E01-B2EE83A73DF3}"/>
    <cellStyle name="Comma 2 4 2 4 2 3 2 3" xfId="43429" xr:uid="{D30885AE-D1F4-49D0-A169-32313C28A8D4}"/>
    <cellStyle name="Comma 2 4 2 4 2 3 3" xfId="19237" xr:uid="{66C7DD22-80A3-417C-9795-8B2379986348}"/>
    <cellStyle name="Comma 2 4 2 4 2 3 3 2" xfId="49477" xr:uid="{F6F3E111-37E8-4302-ABB0-FD41C462E858}"/>
    <cellStyle name="Comma 2 4 2 4 2 3 4" xfId="34357" xr:uid="{1BECA8F0-0F22-4AA1-B742-F66B44AEF9C3}"/>
    <cellStyle name="Comma 2 4 2 4 2 4" xfId="5629" xr:uid="{95C49DFF-49FD-44ED-BAF2-45AB1AF6FDCD}"/>
    <cellStyle name="Comma 2 4 2 4 2 4 2" xfId="14701" xr:uid="{95AE8712-3DEF-4800-9F4E-55E4425EF0AC}"/>
    <cellStyle name="Comma 2 4 2 4 2 4 2 2" xfId="29821" xr:uid="{6AE6E1E0-BEC7-4A8E-B62B-77B80C09AD58}"/>
    <cellStyle name="Comma 2 4 2 4 2 4 2 2 2" xfId="60061" xr:uid="{1111E3FA-2545-4A87-9874-2B67724BE7AD}"/>
    <cellStyle name="Comma 2 4 2 4 2 4 2 3" xfId="44941" xr:uid="{FAA1F94C-8430-4DE1-B43F-25437CAE8B5F}"/>
    <cellStyle name="Comma 2 4 2 4 2 4 3" xfId="20749" xr:uid="{D08A0AD1-DB22-4AD1-B331-F54D25856D7C}"/>
    <cellStyle name="Comma 2 4 2 4 2 4 3 2" xfId="50989" xr:uid="{9039CF03-87BC-477A-A469-44E45BE42062}"/>
    <cellStyle name="Comma 2 4 2 4 2 4 4" xfId="35869" xr:uid="{B0AA53D7-ECBD-486C-A93E-6DB8981AB892}"/>
    <cellStyle name="Comma 2 4 2 4 2 5" xfId="7141" xr:uid="{7D7B5900-F5DE-47CA-8B0B-D994DB87D8FE}"/>
    <cellStyle name="Comma 2 4 2 4 2 5 2" xfId="22261" xr:uid="{EFF3E1C5-ED12-4366-A8AD-6CC8EC136AE2}"/>
    <cellStyle name="Comma 2 4 2 4 2 5 2 2" xfId="52501" xr:uid="{1B06FC57-D90D-4825-9559-585AA937BC28}"/>
    <cellStyle name="Comma 2 4 2 4 2 5 3" xfId="37381" xr:uid="{29BC33E5-CA14-43A3-B7E1-7422D5B56447}"/>
    <cellStyle name="Comma 2 4 2 4 2 6" xfId="8653" xr:uid="{80498ADA-DAB9-4440-BD46-AEBB39A40AEE}"/>
    <cellStyle name="Comma 2 4 2 4 2 6 2" xfId="23773" xr:uid="{6FBE3CDA-F154-4E0D-A2E7-C3EE6317B79A}"/>
    <cellStyle name="Comma 2 4 2 4 2 6 2 2" xfId="54013" xr:uid="{3B6473C9-2CAC-4DBE-8E1B-B0F12D449796}"/>
    <cellStyle name="Comma 2 4 2 4 2 6 3" xfId="38893" xr:uid="{5084F51A-8A07-4E42-9A03-696CFA6CEDE9}"/>
    <cellStyle name="Comma 2 4 2 4 2 7" xfId="10165" xr:uid="{DB007F13-2C2D-4DE6-A8F1-D83431AE305B}"/>
    <cellStyle name="Comma 2 4 2 4 2 7 2" xfId="25285" xr:uid="{8973A0B5-E699-4803-8AE5-64FE9EB64301}"/>
    <cellStyle name="Comma 2 4 2 4 2 7 2 2" xfId="55525" xr:uid="{971FDB7F-FE14-45D4-A490-92BA91C3246D}"/>
    <cellStyle name="Comma 2 4 2 4 2 7 3" xfId="40405" xr:uid="{773DC758-65E4-4E54-BC4E-C7663500A425}"/>
    <cellStyle name="Comma 2 4 2 4 2 8" xfId="16213" xr:uid="{A7AB725A-9866-4BEF-BE93-24459B7C198A}"/>
    <cellStyle name="Comma 2 4 2 4 2 8 2" xfId="46453" xr:uid="{B9F48067-CC44-4D15-82AB-F520A746E30B}"/>
    <cellStyle name="Comma 2 4 2 4 2 9" xfId="31333" xr:uid="{CF09049D-B5A1-4336-A60E-05896683B506}"/>
    <cellStyle name="Comma 2 4 2 4 3" xfId="1849" xr:uid="{EEF14619-DD32-41DB-9F49-CDB4F3C3396D}"/>
    <cellStyle name="Comma 2 4 2 4 3 2" xfId="10921" xr:uid="{48E30010-BD18-423A-A774-299C489F0D0B}"/>
    <cellStyle name="Comma 2 4 2 4 3 2 2" xfId="26041" xr:uid="{AF8CC1F0-451B-459F-9072-606BE62DBC8E}"/>
    <cellStyle name="Comma 2 4 2 4 3 2 2 2" xfId="56281" xr:uid="{57643A1D-CB96-4386-BEFD-DA1B145D6A59}"/>
    <cellStyle name="Comma 2 4 2 4 3 2 3" xfId="41161" xr:uid="{FF9A406F-B7E5-46BE-B27E-033D5B95F8C3}"/>
    <cellStyle name="Comma 2 4 2 4 3 3" xfId="16969" xr:uid="{7092771F-C5CB-4042-A23D-A5226077AC24}"/>
    <cellStyle name="Comma 2 4 2 4 3 3 2" xfId="47209" xr:uid="{9980EA7C-6713-4A4F-B1CD-632D353C2783}"/>
    <cellStyle name="Comma 2 4 2 4 3 4" xfId="32089" xr:uid="{D493F7EC-460E-466B-BDA5-0E04484C0A4D}"/>
    <cellStyle name="Comma 2 4 2 4 4" xfId="3361" xr:uid="{E937BE56-0B72-4AB9-88A9-459926DDFBE9}"/>
    <cellStyle name="Comma 2 4 2 4 4 2" xfId="12433" xr:uid="{B9A6CAC1-0696-4A73-8CCF-227841C15A16}"/>
    <cellStyle name="Comma 2 4 2 4 4 2 2" xfId="27553" xr:uid="{362D078D-F558-4BD5-9FB7-264FC78432BE}"/>
    <cellStyle name="Comma 2 4 2 4 4 2 2 2" xfId="57793" xr:uid="{690BD91A-7937-452A-B1B0-0EB8C4F67D89}"/>
    <cellStyle name="Comma 2 4 2 4 4 2 3" xfId="42673" xr:uid="{A268EE2F-1B25-4448-8270-47CE32B6B5C1}"/>
    <cellStyle name="Comma 2 4 2 4 4 3" xfId="18481" xr:uid="{9B28F875-731B-4BD4-8C0A-9444D1F9D1AC}"/>
    <cellStyle name="Comma 2 4 2 4 4 3 2" xfId="48721" xr:uid="{A384EC84-FDCA-4155-BB1C-7E7B6C317F88}"/>
    <cellStyle name="Comma 2 4 2 4 4 4" xfId="33601" xr:uid="{046CB38E-EF83-43E9-98DE-28FB151E5066}"/>
    <cellStyle name="Comma 2 4 2 4 5" xfId="4873" xr:uid="{FF721596-6A55-4D56-9865-F55195738998}"/>
    <cellStyle name="Comma 2 4 2 4 5 2" xfId="13945" xr:uid="{A92E20D0-29AD-4C94-8071-8D4589B736D7}"/>
    <cellStyle name="Comma 2 4 2 4 5 2 2" xfId="29065" xr:uid="{5DC3D094-C687-42B1-BF09-121590E02178}"/>
    <cellStyle name="Comma 2 4 2 4 5 2 2 2" xfId="59305" xr:uid="{CD2993AB-B433-42B5-9D84-11C3028B5F23}"/>
    <cellStyle name="Comma 2 4 2 4 5 2 3" xfId="44185" xr:uid="{26F80606-E53A-4458-8E38-759DBD73B0A9}"/>
    <cellStyle name="Comma 2 4 2 4 5 3" xfId="19993" xr:uid="{0CC4762C-F296-4E20-AA48-BC7DB4708B3C}"/>
    <cellStyle name="Comma 2 4 2 4 5 3 2" xfId="50233" xr:uid="{68CC8867-87EC-4AEB-8EEA-7D5B8BA62CB1}"/>
    <cellStyle name="Comma 2 4 2 4 5 4" xfId="35113" xr:uid="{D52E416E-6BA5-48AC-8C6B-AFBCA7FEF67F}"/>
    <cellStyle name="Comma 2 4 2 4 6" xfId="6385" xr:uid="{398EBE73-4490-469F-B5FF-22044082E3E8}"/>
    <cellStyle name="Comma 2 4 2 4 6 2" xfId="21505" xr:uid="{132AF865-DC08-415C-8AF6-8682E7B8C52B}"/>
    <cellStyle name="Comma 2 4 2 4 6 2 2" xfId="51745" xr:uid="{0948A50E-2E39-4E2C-B98C-1FFB4E09160F}"/>
    <cellStyle name="Comma 2 4 2 4 6 3" xfId="36625" xr:uid="{E434B059-5770-4FF2-9D51-1681158030F1}"/>
    <cellStyle name="Comma 2 4 2 4 7" xfId="7897" xr:uid="{4C50B807-CAFD-4840-98A5-D3176651721B}"/>
    <cellStyle name="Comma 2 4 2 4 7 2" xfId="23017" xr:uid="{F74542D6-A909-4C05-B0A5-89BBBB3BBE21}"/>
    <cellStyle name="Comma 2 4 2 4 7 2 2" xfId="53257" xr:uid="{9BF28BBC-C41D-4E5B-AD71-4CCE06D16EFB}"/>
    <cellStyle name="Comma 2 4 2 4 7 3" xfId="38137" xr:uid="{33555C56-2B7A-4178-AC80-4FA47DAE151C}"/>
    <cellStyle name="Comma 2 4 2 4 8" xfId="9409" xr:uid="{580AF18C-772A-415D-AEEB-58B8E34DFE4E}"/>
    <cellStyle name="Comma 2 4 2 4 8 2" xfId="24529" xr:uid="{B64CD3E7-D4AF-468C-9210-94B4F54E98FC}"/>
    <cellStyle name="Comma 2 4 2 4 8 2 2" xfId="54769" xr:uid="{A211F1EA-9667-4D77-9DDB-2951386A5387}"/>
    <cellStyle name="Comma 2 4 2 4 8 3" xfId="39649" xr:uid="{9B64B682-B37C-4603-9BF8-C4945131CC06}"/>
    <cellStyle name="Comma 2 4 2 4 9" xfId="15457" xr:uid="{AD440CAC-B564-4037-99BC-F3ED2D3AE99B}"/>
    <cellStyle name="Comma 2 4 2 4 9 2" xfId="45697" xr:uid="{DE524DED-0B4D-468E-99B6-775EF601997F}"/>
    <cellStyle name="Comma 2 4 2 5" xfId="589" xr:uid="{1D580AF3-7082-47FC-BD6C-C9BF76E696E8}"/>
    <cellStyle name="Comma 2 4 2 5 10" xfId="30829" xr:uid="{E6668298-2359-4BDA-BB96-F4F050ACA65B}"/>
    <cellStyle name="Comma 2 4 2 5 2" xfId="1345" xr:uid="{586E4B46-3E0F-4F83-884B-C0F9F3B3DCD8}"/>
    <cellStyle name="Comma 2 4 2 5 2 2" xfId="2857" xr:uid="{AB578567-1362-4DEB-81D6-92F0000F3615}"/>
    <cellStyle name="Comma 2 4 2 5 2 2 2" xfId="11929" xr:uid="{BE318BA5-3584-4AEA-8870-56E25A2DDED0}"/>
    <cellStyle name="Comma 2 4 2 5 2 2 2 2" xfId="27049" xr:uid="{9E697872-6391-417F-AE5A-FA528DC5E753}"/>
    <cellStyle name="Comma 2 4 2 5 2 2 2 2 2" xfId="57289" xr:uid="{CFAC7367-74E6-46A6-8367-52486E52690D}"/>
    <cellStyle name="Comma 2 4 2 5 2 2 2 3" xfId="42169" xr:uid="{C6BD0D5A-3ADA-4FEA-8635-1D8F39BA0759}"/>
    <cellStyle name="Comma 2 4 2 5 2 2 3" xfId="17977" xr:uid="{3B602044-04B8-47A0-BFAE-FC742BAE5523}"/>
    <cellStyle name="Comma 2 4 2 5 2 2 3 2" xfId="48217" xr:uid="{B647D16F-17DC-4637-B06E-00D9985DEBCA}"/>
    <cellStyle name="Comma 2 4 2 5 2 2 4" xfId="33097" xr:uid="{8BE0656E-8692-4E9A-8F30-08789ECEAE6F}"/>
    <cellStyle name="Comma 2 4 2 5 2 3" xfId="4369" xr:uid="{7C173531-26BF-409F-B200-AE8DB580E932}"/>
    <cellStyle name="Comma 2 4 2 5 2 3 2" xfId="13441" xr:uid="{F2D88FD3-FC88-4118-ABCC-29E3C1265687}"/>
    <cellStyle name="Comma 2 4 2 5 2 3 2 2" xfId="28561" xr:uid="{595DC1BE-64A2-452A-A7F4-835384C99806}"/>
    <cellStyle name="Comma 2 4 2 5 2 3 2 2 2" xfId="58801" xr:uid="{9184E450-0BE3-4982-AFBF-2811F115FEFA}"/>
    <cellStyle name="Comma 2 4 2 5 2 3 2 3" xfId="43681" xr:uid="{BBDE4BFE-DC2C-4A8F-8E7C-C2D2BCB2414F}"/>
    <cellStyle name="Comma 2 4 2 5 2 3 3" xfId="19489" xr:uid="{BACD5C2F-28EE-4AC6-922B-75131EA94023}"/>
    <cellStyle name="Comma 2 4 2 5 2 3 3 2" xfId="49729" xr:uid="{1F94ADA1-5173-425B-A10A-4FB70CE82D31}"/>
    <cellStyle name="Comma 2 4 2 5 2 3 4" xfId="34609" xr:uid="{E08F9FA3-C5F9-43B5-B4A0-DFDABD4AC107}"/>
    <cellStyle name="Comma 2 4 2 5 2 4" xfId="5881" xr:uid="{9340B732-EA3F-424A-94B0-8A4A205628CB}"/>
    <cellStyle name="Comma 2 4 2 5 2 4 2" xfId="14953" xr:uid="{A06CFBA7-6898-4B0A-91CC-70218F0BBF7A}"/>
    <cellStyle name="Comma 2 4 2 5 2 4 2 2" xfId="30073" xr:uid="{ED1A3E3A-B969-4B3B-8928-673CD5C168CF}"/>
    <cellStyle name="Comma 2 4 2 5 2 4 2 2 2" xfId="60313" xr:uid="{52BD4CBB-C9E8-493A-B048-EFF0E419FB87}"/>
    <cellStyle name="Comma 2 4 2 5 2 4 2 3" xfId="45193" xr:uid="{A09344DB-074F-47BB-97D3-70B02248FF1B}"/>
    <cellStyle name="Comma 2 4 2 5 2 4 3" xfId="21001" xr:uid="{B9BAA001-C084-4F80-836B-3A81EEB7C9E1}"/>
    <cellStyle name="Comma 2 4 2 5 2 4 3 2" xfId="51241" xr:uid="{E435E035-97E0-4B02-A79D-02DD3A407B26}"/>
    <cellStyle name="Comma 2 4 2 5 2 4 4" xfId="36121" xr:uid="{2AAD9676-A70E-4211-BB54-D41F4D83A3D2}"/>
    <cellStyle name="Comma 2 4 2 5 2 5" xfId="7393" xr:uid="{C17D2EBE-F42E-4C51-A2BE-937643C4308B}"/>
    <cellStyle name="Comma 2 4 2 5 2 5 2" xfId="22513" xr:uid="{AA2825E5-1BF9-49EF-BF72-EAEAEC1AECED}"/>
    <cellStyle name="Comma 2 4 2 5 2 5 2 2" xfId="52753" xr:uid="{395FE658-DD22-47AE-923E-8DE6EC7ABFC9}"/>
    <cellStyle name="Comma 2 4 2 5 2 5 3" xfId="37633" xr:uid="{67B24ED5-735B-4D97-A68B-3380D63B71EC}"/>
    <cellStyle name="Comma 2 4 2 5 2 6" xfId="8905" xr:uid="{1F868327-ED67-4130-A1B5-E95032B20BC9}"/>
    <cellStyle name="Comma 2 4 2 5 2 6 2" xfId="24025" xr:uid="{996E8C45-9DF6-4F45-8A8D-B151CA75B2D1}"/>
    <cellStyle name="Comma 2 4 2 5 2 6 2 2" xfId="54265" xr:uid="{75D459AC-910B-46F6-AFF5-C16B1675E736}"/>
    <cellStyle name="Comma 2 4 2 5 2 6 3" xfId="39145" xr:uid="{D3BAC5AC-7F73-46D2-873D-BC4956BDC3B7}"/>
    <cellStyle name="Comma 2 4 2 5 2 7" xfId="10417" xr:uid="{BDCC306E-2FEE-4CC2-AC13-AA3C8E99CCA2}"/>
    <cellStyle name="Comma 2 4 2 5 2 7 2" xfId="25537" xr:uid="{AD1C6CDD-84CB-495B-A30D-4A56B00364ED}"/>
    <cellStyle name="Comma 2 4 2 5 2 7 2 2" xfId="55777" xr:uid="{27E8FD0A-7838-432A-B9F6-7603DF21CCBA}"/>
    <cellStyle name="Comma 2 4 2 5 2 7 3" xfId="40657" xr:uid="{A4ACCEFB-F5C7-4714-9366-E6D7411F0B5B}"/>
    <cellStyle name="Comma 2 4 2 5 2 8" xfId="16465" xr:uid="{305BD949-DB6D-4FA3-8F2D-2F5550BA0A30}"/>
    <cellStyle name="Comma 2 4 2 5 2 8 2" xfId="46705" xr:uid="{6415A479-DEC1-4E6C-92BF-60B20BB0F842}"/>
    <cellStyle name="Comma 2 4 2 5 2 9" xfId="31585" xr:uid="{A6778967-C8ED-4EB4-94FE-B6BDDAED94DC}"/>
    <cellStyle name="Comma 2 4 2 5 3" xfId="2101" xr:uid="{E0938654-8B17-4DDC-9BAF-54F4A9AB853E}"/>
    <cellStyle name="Comma 2 4 2 5 3 2" xfId="11173" xr:uid="{5AFB3338-56EB-4E87-B6A4-2BDBBF46575F}"/>
    <cellStyle name="Comma 2 4 2 5 3 2 2" xfId="26293" xr:uid="{17286A38-9C81-4979-8E73-17E37B71FE13}"/>
    <cellStyle name="Comma 2 4 2 5 3 2 2 2" xfId="56533" xr:uid="{6D4A743D-E546-43DF-AEAD-3EBF164318B2}"/>
    <cellStyle name="Comma 2 4 2 5 3 2 3" xfId="41413" xr:uid="{45D78B50-284B-4184-A7D0-2FDAF4D3259F}"/>
    <cellStyle name="Comma 2 4 2 5 3 3" xfId="17221" xr:uid="{E8F947CE-1CFF-4790-951A-299C1082F144}"/>
    <cellStyle name="Comma 2 4 2 5 3 3 2" xfId="47461" xr:uid="{39143120-5419-4E93-83D8-9EE9E1253792}"/>
    <cellStyle name="Comma 2 4 2 5 3 4" xfId="32341" xr:uid="{FF5C541F-33A6-4CD8-A2E5-17843D5407BE}"/>
    <cellStyle name="Comma 2 4 2 5 4" xfId="3613" xr:uid="{F6D6E7CA-CC99-4766-BA70-A9D096EE4E04}"/>
    <cellStyle name="Comma 2 4 2 5 4 2" xfId="12685" xr:uid="{7F5F1007-7953-496B-B843-CF06D9BD6F6C}"/>
    <cellStyle name="Comma 2 4 2 5 4 2 2" xfId="27805" xr:uid="{FB8B8095-E378-4DB9-8C99-060A1CCD4EDB}"/>
    <cellStyle name="Comma 2 4 2 5 4 2 2 2" xfId="58045" xr:uid="{7DF35224-89F1-4DCA-8EC8-A4EF5F4F6736}"/>
    <cellStyle name="Comma 2 4 2 5 4 2 3" xfId="42925" xr:uid="{91CBD502-1FAD-437C-B9DE-C192270DA3B7}"/>
    <cellStyle name="Comma 2 4 2 5 4 3" xfId="18733" xr:uid="{CA23EB98-1288-4A17-8BEC-EFD553987DCF}"/>
    <cellStyle name="Comma 2 4 2 5 4 3 2" xfId="48973" xr:uid="{A5940564-8A92-43BD-A66D-F841E1531194}"/>
    <cellStyle name="Comma 2 4 2 5 4 4" xfId="33853" xr:uid="{C673181F-D094-4E64-9FCA-EBC838ECF6D7}"/>
    <cellStyle name="Comma 2 4 2 5 5" xfId="5125" xr:uid="{D5CE72E5-7508-4F50-AA65-C41C2D2224E9}"/>
    <cellStyle name="Comma 2 4 2 5 5 2" xfId="14197" xr:uid="{3D353453-DD43-4F14-842C-7EDC23397D2C}"/>
    <cellStyle name="Comma 2 4 2 5 5 2 2" xfId="29317" xr:uid="{8B0910C2-9D3A-48D2-AFA9-E31945508AA5}"/>
    <cellStyle name="Comma 2 4 2 5 5 2 2 2" xfId="59557" xr:uid="{B6EFD97D-8F0D-4ACF-BA43-1DEE6D9BEEBD}"/>
    <cellStyle name="Comma 2 4 2 5 5 2 3" xfId="44437" xr:uid="{FA54D33B-64C0-4FAA-8540-7E5741821EE0}"/>
    <cellStyle name="Comma 2 4 2 5 5 3" xfId="20245" xr:uid="{96686230-D1C0-4638-86E4-DB5242D8BE19}"/>
    <cellStyle name="Comma 2 4 2 5 5 3 2" xfId="50485" xr:uid="{DE5044D2-466D-40FB-B6FF-60A63891834A}"/>
    <cellStyle name="Comma 2 4 2 5 5 4" xfId="35365" xr:uid="{26393B40-6E43-42CF-8787-29E09C3AEE77}"/>
    <cellStyle name="Comma 2 4 2 5 6" xfId="6637" xr:uid="{41404324-BAF5-4253-BC52-C7A65C073CCE}"/>
    <cellStyle name="Comma 2 4 2 5 6 2" xfId="21757" xr:uid="{C96D8CA4-AA48-4787-9469-725F24A1C394}"/>
    <cellStyle name="Comma 2 4 2 5 6 2 2" xfId="51997" xr:uid="{C49887A6-610A-47C9-8FB7-D9F3412F38F9}"/>
    <cellStyle name="Comma 2 4 2 5 6 3" xfId="36877" xr:uid="{3C782BE2-1FC8-43F3-9804-DF00272B728B}"/>
    <cellStyle name="Comma 2 4 2 5 7" xfId="8149" xr:uid="{A4F5FE01-3EC6-42B9-890C-640B9F77EEE2}"/>
    <cellStyle name="Comma 2 4 2 5 7 2" xfId="23269" xr:uid="{85630490-5269-4BC3-AA5C-E231514FC5BC}"/>
    <cellStyle name="Comma 2 4 2 5 7 2 2" xfId="53509" xr:uid="{C8F5E3DA-7064-4570-841E-23F7F63D84DB}"/>
    <cellStyle name="Comma 2 4 2 5 7 3" xfId="38389" xr:uid="{02C6CD81-79E4-4E49-A2FD-391D0C679D67}"/>
    <cellStyle name="Comma 2 4 2 5 8" xfId="9661" xr:uid="{52BC959F-CA89-4915-86E9-4E0A280C892E}"/>
    <cellStyle name="Comma 2 4 2 5 8 2" xfId="24781" xr:uid="{E646CD51-7DCB-43A4-B434-64ADAD8ED9D0}"/>
    <cellStyle name="Comma 2 4 2 5 8 2 2" xfId="55021" xr:uid="{02F18560-380F-4245-B617-3CCA91E1949B}"/>
    <cellStyle name="Comma 2 4 2 5 8 3" xfId="39901" xr:uid="{8430E036-48FF-43AC-9690-F93C2C34D656}"/>
    <cellStyle name="Comma 2 4 2 5 9" xfId="15709" xr:uid="{EFE6C970-5A97-4CC3-93CD-2099551AA354}"/>
    <cellStyle name="Comma 2 4 2 5 9 2" xfId="45949" xr:uid="{B4FF50DD-C900-4738-A1DF-8CE9F738605C}"/>
    <cellStyle name="Comma 2 4 2 6" xfId="841" xr:uid="{2137AC06-628A-4D59-B8E7-917B26586B54}"/>
    <cellStyle name="Comma 2 4 2 6 2" xfId="2353" xr:uid="{E76FC5FA-7F73-4212-A706-F8C266967231}"/>
    <cellStyle name="Comma 2 4 2 6 2 2" xfId="11425" xr:uid="{4506EE7D-FAA3-43BA-A0C1-47833761EDBE}"/>
    <cellStyle name="Comma 2 4 2 6 2 2 2" xfId="26545" xr:uid="{46338F00-003A-4F10-9DC5-EFF881DF158A}"/>
    <cellStyle name="Comma 2 4 2 6 2 2 2 2" xfId="56785" xr:uid="{67D85C48-0842-40A6-B1FD-3C10A516EB89}"/>
    <cellStyle name="Comma 2 4 2 6 2 2 3" xfId="41665" xr:uid="{851D6118-3D4B-41B7-A110-5F7C0F68DF44}"/>
    <cellStyle name="Comma 2 4 2 6 2 3" xfId="17473" xr:uid="{BB1F0E87-FBB2-496B-9BA0-AE547FDCDCB8}"/>
    <cellStyle name="Comma 2 4 2 6 2 3 2" xfId="47713" xr:uid="{4C877C72-246A-492E-9249-1F80D46FFAC7}"/>
    <cellStyle name="Comma 2 4 2 6 2 4" xfId="32593" xr:uid="{3FA47364-6F33-4ED7-8F86-05ADE86C73E8}"/>
    <cellStyle name="Comma 2 4 2 6 3" xfId="3865" xr:uid="{4195AF3A-9FF8-4FE5-90BB-B5325E4A5EE8}"/>
    <cellStyle name="Comma 2 4 2 6 3 2" xfId="12937" xr:uid="{FD2A65F4-3FD1-40ED-BFA6-6AAF279B175B}"/>
    <cellStyle name="Comma 2 4 2 6 3 2 2" xfId="28057" xr:uid="{AF2534A0-4C01-4B8A-ADD9-E9A3C6989210}"/>
    <cellStyle name="Comma 2 4 2 6 3 2 2 2" xfId="58297" xr:uid="{1BF43E06-4991-41BA-A13F-AE847175BF64}"/>
    <cellStyle name="Comma 2 4 2 6 3 2 3" xfId="43177" xr:uid="{8E259D35-B9D4-4FA2-B85E-E2CDCFB66665}"/>
    <cellStyle name="Comma 2 4 2 6 3 3" xfId="18985" xr:uid="{B5B92C54-F02E-409D-9D47-3767CE531395}"/>
    <cellStyle name="Comma 2 4 2 6 3 3 2" xfId="49225" xr:uid="{3F008E5D-1304-47F4-8C56-C5DDBB0E258B}"/>
    <cellStyle name="Comma 2 4 2 6 3 4" xfId="34105" xr:uid="{C73CB41C-A4A1-410B-9444-536F1C3D8C2F}"/>
    <cellStyle name="Comma 2 4 2 6 4" xfId="5377" xr:uid="{F93B4541-0425-4139-B3C3-A9D1591AB5CB}"/>
    <cellStyle name="Comma 2 4 2 6 4 2" xfId="14449" xr:uid="{E983E94E-11F1-4B84-9EFA-2E61805ED2F5}"/>
    <cellStyle name="Comma 2 4 2 6 4 2 2" xfId="29569" xr:uid="{8EFE28B5-ED4E-4801-97EB-51E475D1E627}"/>
    <cellStyle name="Comma 2 4 2 6 4 2 2 2" xfId="59809" xr:uid="{93B41412-2B1A-42BB-B001-4185207E3DBB}"/>
    <cellStyle name="Comma 2 4 2 6 4 2 3" xfId="44689" xr:uid="{71A6218C-18BB-4C83-BBBF-41169EE49E53}"/>
    <cellStyle name="Comma 2 4 2 6 4 3" xfId="20497" xr:uid="{2E22173D-C576-482A-907E-2D854A3E16E8}"/>
    <cellStyle name="Comma 2 4 2 6 4 3 2" xfId="50737" xr:uid="{31A8E9B2-B49B-48A7-A9B4-5B98809D30A4}"/>
    <cellStyle name="Comma 2 4 2 6 4 4" xfId="35617" xr:uid="{B44453F2-EC0C-486F-B78A-63281C2C0499}"/>
    <cellStyle name="Comma 2 4 2 6 5" xfId="6889" xr:uid="{8C80E93F-5461-4785-A6C0-99CB740A4F07}"/>
    <cellStyle name="Comma 2 4 2 6 5 2" xfId="22009" xr:uid="{E6D69574-3044-492A-9A65-662432D2F6F3}"/>
    <cellStyle name="Comma 2 4 2 6 5 2 2" xfId="52249" xr:uid="{455B9327-31F8-4B65-BB55-9ECC57A134FD}"/>
    <cellStyle name="Comma 2 4 2 6 5 3" xfId="37129" xr:uid="{C159ACEF-5E5C-40EE-BE4C-4B1CF40AE53F}"/>
    <cellStyle name="Comma 2 4 2 6 6" xfId="8401" xr:uid="{54AB17F3-93D5-4DA5-84F9-36267DD952A2}"/>
    <cellStyle name="Comma 2 4 2 6 6 2" xfId="23521" xr:uid="{D44037F4-B973-49D9-8700-A43CCE080675}"/>
    <cellStyle name="Comma 2 4 2 6 6 2 2" xfId="53761" xr:uid="{78679D2F-D195-4FB1-B599-6C5D47C19B15}"/>
    <cellStyle name="Comma 2 4 2 6 6 3" xfId="38641" xr:uid="{2385E26C-1043-4129-AC8C-C1308BF9E720}"/>
    <cellStyle name="Comma 2 4 2 6 7" xfId="9913" xr:uid="{2C34CBEC-51BB-448C-91AF-208305958F73}"/>
    <cellStyle name="Comma 2 4 2 6 7 2" xfId="25033" xr:uid="{6B6DD081-AD8E-4A94-BAF5-A2FFCE9CBC4D}"/>
    <cellStyle name="Comma 2 4 2 6 7 2 2" xfId="55273" xr:uid="{61EBCBF7-76B2-4C39-8CAF-D92843B1B761}"/>
    <cellStyle name="Comma 2 4 2 6 7 3" xfId="40153" xr:uid="{CC5457C6-998F-412F-BCAD-DA22CF42F4BE}"/>
    <cellStyle name="Comma 2 4 2 6 8" xfId="15961" xr:uid="{63F7EA8A-2388-47B0-95BE-B45FBEB4AE78}"/>
    <cellStyle name="Comma 2 4 2 6 8 2" xfId="46201" xr:uid="{9C29832A-3B7F-4968-A4AA-AA6354126A25}"/>
    <cellStyle name="Comma 2 4 2 6 9" xfId="31081" xr:uid="{BD3B1587-C256-4246-AF7A-BAADDDE08D67}"/>
    <cellStyle name="Comma 2 4 2 7" xfId="1597" xr:uid="{EB640512-3BA3-4482-B59F-34736711A374}"/>
    <cellStyle name="Comma 2 4 2 7 2" xfId="10669" xr:uid="{D202C804-2BA7-4280-86C8-7062338D548B}"/>
    <cellStyle name="Comma 2 4 2 7 2 2" xfId="25789" xr:uid="{E82B801F-4CE6-4747-BE1D-66C9F613FAFE}"/>
    <cellStyle name="Comma 2 4 2 7 2 2 2" xfId="56029" xr:uid="{9E3BF0F5-B16E-4983-AE4E-17E3AE831984}"/>
    <cellStyle name="Comma 2 4 2 7 2 3" xfId="40909" xr:uid="{D622BDD7-5DFC-41E7-B73D-1BD8C4F76BAB}"/>
    <cellStyle name="Comma 2 4 2 7 3" xfId="16717" xr:uid="{01A0E888-340F-48E5-8ABC-DB416D466304}"/>
    <cellStyle name="Comma 2 4 2 7 3 2" xfId="46957" xr:uid="{51E97223-D6A6-4A5D-8D48-B9BBE0E04A29}"/>
    <cellStyle name="Comma 2 4 2 7 4" xfId="31837" xr:uid="{A1A3E13C-4375-4FD2-AA27-A8495424B427}"/>
    <cellStyle name="Comma 2 4 2 8" xfId="3109" xr:uid="{6D0B0387-BCE8-4FD8-A35E-454EA8A18653}"/>
    <cellStyle name="Comma 2 4 2 8 2" xfId="12181" xr:uid="{3BBDFE93-3BE1-4CBF-B101-A8CB2DA859E4}"/>
    <cellStyle name="Comma 2 4 2 8 2 2" xfId="27301" xr:uid="{7CBBC549-F31E-4140-9FE1-E3DAF1131259}"/>
    <cellStyle name="Comma 2 4 2 8 2 2 2" xfId="57541" xr:uid="{DCD12B20-A405-48BA-BA31-52E0866DD6D0}"/>
    <cellStyle name="Comma 2 4 2 8 2 3" xfId="42421" xr:uid="{42546C78-9981-4498-A489-00750EAFE440}"/>
    <cellStyle name="Comma 2 4 2 8 3" xfId="18229" xr:uid="{B61E3026-5FBF-4DF0-8AD7-173757618C00}"/>
    <cellStyle name="Comma 2 4 2 8 3 2" xfId="48469" xr:uid="{BD6233AD-C770-4344-A223-8C687AF3421C}"/>
    <cellStyle name="Comma 2 4 2 8 4" xfId="33349" xr:uid="{451BE47E-1EFA-4B21-9461-646E1357D65E}"/>
    <cellStyle name="Comma 2 4 2 9" xfId="4621" xr:uid="{646F4A97-EE42-497B-A5C5-A7C441D7CED6}"/>
    <cellStyle name="Comma 2 4 2 9 2" xfId="13693" xr:uid="{52D300F0-9039-4A14-9804-1B31633E7A53}"/>
    <cellStyle name="Comma 2 4 2 9 2 2" xfId="28813" xr:uid="{0CB92000-8C3E-466B-BD12-0B783AC683D3}"/>
    <cellStyle name="Comma 2 4 2 9 2 2 2" xfId="59053" xr:uid="{F47D4B74-449E-4AC5-9A37-BC81ABE2EA1D}"/>
    <cellStyle name="Comma 2 4 2 9 2 3" xfId="43933" xr:uid="{A1F93761-C065-4F40-9261-C84AEC15367A}"/>
    <cellStyle name="Comma 2 4 2 9 3" xfId="19741" xr:uid="{D00DECB0-5F0D-4554-87AA-CF108FE96134}"/>
    <cellStyle name="Comma 2 4 2 9 3 2" xfId="49981" xr:uid="{33658A55-1355-4D9D-AECE-437427712941}"/>
    <cellStyle name="Comma 2 4 2 9 4" xfId="34861" xr:uid="{50D16220-C448-40E2-B78C-2D902E94670C}"/>
    <cellStyle name="Comma 2 4 3" xfId="127" xr:uid="{D2D37C72-14EE-4ABA-A9D3-4E743FA56524}"/>
    <cellStyle name="Comma 2 4 3 10" xfId="9199" xr:uid="{D7F657AA-D4BB-406B-841E-AA15CD426115}"/>
    <cellStyle name="Comma 2 4 3 10 2" xfId="24319" xr:uid="{A13D29A2-7692-4E9B-BEE1-EBE490009BB6}"/>
    <cellStyle name="Comma 2 4 3 10 2 2" xfId="54559" xr:uid="{5B594FB3-31AA-4EF4-B0BF-6D7089F2C549}"/>
    <cellStyle name="Comma 2 4 3 10 3" xfId="39439" xr:uid="{80D0FB40-5424-4402-A8C0-4893EF163B38}"/>
    <cellStyle name="Comma 2 4 3 11" xfId="15247" xr:uid="{CBF298CD-7BEA-4276-9713-AB932E4FFC39}"/>
    <cellStyle name="Comma 2 4 3 11 2" xfId="45487" xr:uid="{A64CF460-C1C4-4FC6-BEC0-389EA2E29095}"/>
    <cellStyle name="Comma 2 4 3 12" xfId="30367" xr:uid="{019DDB73-9E6D-42A4-B58A-7D1F86B044F7}"/>
    <cellStyle name="Comma 2 4 3 2" xfId="379" xr:uid="{87167E94-F551-42ED-AED1-D4CFD72D5CBD}"/>
    <cellStyle name="Comma 2 4 3 2 10" xfId="30619" xr:uid="{2FA65FCE-FDF5-487E-B4CE-0DC12AC85AC1}"/>
    <cellStyle name="Comma 2 4 3 2 2" xfId="1135" xr:uid="{1413F5E0-B0D4-4D8F-B7B5-48B39FFC05D3}"/>
    <cellStyle name="Comma 2 4 3 2 2 2" xfId="2647" xr:uid="{04173C8E-35C6-43BB-95DC-F10E4ABE520A}"/>
    <cellStyle name="Comma 2 4 3 2 2 2 2" xfId="11719" xr:uid="{67EE2537-FD7C-47BD-85B9-7B4A8182116C}"/>
    <cellStyle name="Comma 2 4 3 2 2 2 2 2" xfId="26839" xr:uid="{361D3814-DE0A-4F10-B0D3-423C6A0A869A}"/>
    <cellStyle name="Comma 2 4 3 2 2 2 2 2 2" xfId="57079" xr:uid="{25CE9377-399E-4173-A972-28BF9B6AD2A7}"/>
    <cellStyle name="Comma 2 4 3 2 2 2 2 3" xfId="41959" xr:uid="{8356F635-92CC-450E-9DAB-892775ADAA0B}"/>
    <cellStyle name="Comma 2 4 3 2 2 2 3" xfId="17767" xr:uid="{59F62EDD-B9B1-4B1C-8FA4-2537ADAF6283}"/>
    <cellStyle name="Comma 2 4 3 2 2 2 3 2" xfId="48007" xr:uid="{DF7115BA-1844-4DF9-9D3A-A9F406E3DC4F}"/>
    <cellStyle name="Comma 2 4 3 2 2 2 4" xfId="32887" xr:uid="{C815D86F-8CB7-486B-BC1E-C5AD72E2FCD3}"/>
    <cellStyle name="Comma 2 4 3 2 2 3" xfId="4159" xr:uid="{978DCDCF-B611-4CB8-AE29-73C9759E3F96}"/>
    <cellStyle name="Comma 2 4 3 2 2 3 2" xfId="13231" xr:uid="{F57FFBD6-808A-435C-97DC-AA789275589C}"/>
    <cellStyle name="Comma 2 4 3 2 2 3 2 2" xfId="28351" xr:uid="{96DF1B50-46BD-4465-94E1-643CEFB4DAEF}"/>
    <cellStyle name="Comma 2 4 3 2 2 3 2 2 2" xfId="58591" xr:uid="{467F2CC8-2FFD-404D-B481-96A36573FEE0}"/>
    <cellStyle name="Comma 2 4 3 2 2 3 2 3" xfId="43471" xr:uid="{3D1964E1-5059-436D-BC85-05A153D5184F}"/>
    <cellStyle name="Comma 2 4 3 2 2 3 3" xfId="19279" xr:uid="{E73DBA1F-C58E-4825-93DC-D621C6077E02}"/>
    <cellStyle name="Comma 2 4 3 2 2 3 3 2" xfId="49519" xr:uid="{7204DCF9-8DD4-4A52-BD8B-325000C03692}"/>
    <cellStyle name="Comma 2 4 3 2 2 3 4" xfId="34399" xr:uid="{2612BE90-C01E-4BD3-BA30-8CF7E0F9F2AF}"/>
    <cellStyle name="Comma 2 4 3 2 2 4" xfId="5671" xr:uid="{1C9CF8FA-B4B2-434D-9D70-D0E5D993E6E9}"/>
    <cellStyle name="Comma 2 4 3 2 2 4 2" xfId="14743" xr:uid="{798F417D-A953-4E91-AD64-AB2A8012D629}"/>
    <cellStyle name="Comma 2 4 3 2 2 4 2 2" xfId="29863" xr:uid="{78092201-325D-4DFE-94E1-52C77426BD38}"/>
    <cellStyle name="Comma 2 4 3 2 2 4 2 2 2" xfId="60103" xr:uid="{2AA517B0-9CF2-4304-A2E2-E232A900B419}"/>
    <cellStyle name="Comma 2 4 3 2 2 4 2 3" xfId="44983" xr:uid="{C027BBE7-8801-4DEB-BE0A-DAE98390C4DA}"/>
    <cellStyle name="Comma 2 4 3 2 2 4 3" xfId="20791" xr:uid="{1389E125-7BD9-406D-A28E-EE3546447AA7}"/>
    <cellStyle name="Comma 2 4 3 2 2 4 3 2" xfId="51031" xr:uid="{C0700182-DB72-412F-AA86-CD2732EFA96D}"/>
    <cellStyle name="Comma 2 4 3 2 2 4 4" xfId="35911" xr:uid="{668466CF-8233-48D2-BD62-7D74EA236E70}"/>
    <cellStyle name="Comma 2 4 3 2 2 5" xfId="7183" xr:uid="{56422E97-0F8C-4B36-9AE1-BF6FA8914599}"/>
    <cellStyle name="Comma 2 4 3 2 2 5 2" xfId="22303" xr:uid="{53CE72D3-AA00-426F-80A5-46BCBDB4CDA7}"/>
    <cellStyle name="Comma 2 4 3 2 2 5 2 2" xfId="52543" xr:uid="{AFB636AC-FCBC-4E27-9437-57DFB312A47C}"/>
    <cellStyle name="Comma 2 4 3 2 2 5 3" xfId="37423" xr:uid="{1FC41DF5-F52D-46D4-8AE9-A43F10F7933E}"/>
    <cellStyle name="Comma 2 4 3 2 2 6" xfId="8695" xr:uid="{CBC138DD-6C27-4934-9636-1D67D50BFC3A}"/>
    <cellStyle name="Comma 2 4 3 2 2 6 2" xfId="23815" xr:uid="{A550D465-F359-4745-8E4C-CE5422910D6D}"/>
    <cellStyle name="Comma 2 4 3 2 2 6 2 2" xfId="54055" xr:uid="{1A76A480-5601-4180-B6EE-60C74C912045}"/>
    <cellStyle name="Comma 2 4 3 2 2 6 3" xfId="38935" xr:uid="{357B801E-E9EF-461F-82D7-5E397013A3EF}"/>
    <cellStyle name="Comma 2 4 3 2 2 7" xfId="10207" xr:uid="{1E74B71B-2100-494A-A7E5-8550FB1C78B8}"/>
    <cellStyle name="Comma 2 4 3 2 2 7 2" xfId="25327" xr:uid="{A250D5B2-C0A4-4D7F-848E-A0DDEB402CDC}"/>
    <cellStyle name="Comma 2 4 3 2 2 7 2 2" xfId="55567" xr:uid="{F52DAE78-3F32-4AB6-A21D-06F5E1CF96B4}"/>
    <cellStyle name="Comma 2 4 3 2 2 7 3" xfId="40447" xr:uid="{D64D72C9-3630-4FF2-8697-305EF45CCBF5}"/>
    <cellStyle name="Comma 2 4 3 2 2 8" xfId="16255" xr:uid="{DDA9BA57-0CCF-4419-9A44-92AB9D1B4841}"/>
    <cellStyle name="Comma 2 4 3 2 2 8 2" xfId="46495" xr:uid="{AF61E5BA-E808-48D7-AB0A-794EAAF6F705}"/>
    <cellStyle name="Comma 2 4 3 2 2 9" xfId="31375" xr:uid="{489597CE-4462-4F63-A90F-796BE04118F1}"/>
    <cellStyle name="Comma 2 4 3 2 3" xfId="1891" xr:uid="{ABC31461-0481-4AD5-A56B-77D94103124E}"/>
    <cellStyle name="Comma 2 4 3 2 3 2" xfId="10963" xr:uid="{9E03C5A1-38D8-4079-9EB5-0280129337A6}"/>
    <cellStyle name="Comma 2 4 3 2 3 2 2" xfId="26083" xr:uid="{72CB23C2-B85D-46B9-B41C-F23B08C5723F}"/>
    <cellStyle name="Comma 2 4 3 2 3 2 2 2" xfId="56323" xr:uid="{921C3851-0424-4E67-A688-219CD30F1200}"/>
    <cellStyle name="Comma 2 4 3 2 3 2 3" xfId="41203" xr:uid="{9B3ED7D7-506C-4888-9531-18996D8C5C48}"/>
    <cellStyle name="Comma 2 4 3 2 3 3" xfId="17011" xr:uid="{5BF8D36A-F8A6-4EF6-855E-B31F8975C475}"/>
    <cellStyle name="Comma 2 4 3 2 3 3 2" xfId="47251" xr:uid="{8C2B1D38-F5D1-41B6-92B2-E67B7FE09A25}"/>
    <cellStyle name="Comma 2 4 3 2 3 4" xfId="32131" xr:uid="{2DB2EA6A-0922-4F97-A891-B14B7F3409C8}"/>
    <cellStyle name="Comma 2 4 3 2 4" xfId="3403" xr:uid="{1EF3CF00-B57F-4735-94E2-7CBC93808E08}"/>
    <cellStyle name="Comma 2 4 3 2 4 2" xfId="12475" xr:uid="{667CC131-3F23-416E-8877-D65171E10D24}"/>
    <cellStyle name="Comma 2 4 3 2 4 2 2" xfId="27595" xr:uid="{5788A697-B818-4431-9E9E-BF07690849F6}"/>
    <cellStyle name="Comma 2 4 3 2 4 2 2 2" xfId="57835" xr:uid="{B2270AF9-C9FB-4014-A305-A8EC6A6099A7}"/>
    <cellStyle name="Comma 2 4 3 2 4 2 3" xfId="42715" xr:uid="{85D47946-1E56-49C3-9DC2-614B05FC81B7}"/>
    <cellStyle name="Comma 2 4 3 2 4 3" xfId="18523" xr:uid="{651414A1-38A7-40E5-80C6-FC18604C6F9E}"/>
    <cellStyle name="Comma 2 4 3 2 4 3 2" xfId="48763" xr:uid="{38566F56-65B3-4154-9AA1-77989D199C05}"/>
    <cellStyle name="Comma 2 4 3 2 4 4" xfId="33643" xr:uid="{0BCD875B-D67F-4F7F-909D-7CF0B4131B9D}"/>
    <cellStyle name="Comma 2 4 3 2 5" xfId="4915" xr:uid="{9EF713B9-A40B-42E0-BD6C-7B53297C4A0E}"/>
    <cellStyle name="Comma 2 4 3 2 5 2" xfId="13987" xr:uid="{EE9FC10C-9F83-4942-AF83-04A74FF08625}"/>
    <cellStyle name="Comma 2 4 3 2 5 2 2" xfId="29107" xr:uid="{246E0262-C850-44AD-AA03-AD00E0FED256}"/>
    <cellStyle name="Comma 2 4 3 2 5 2 2 2" xfId="59347" xr:uid="{E5146B40-DFE6-4AA5-A9DE-BB721B30D3A2}"/>
    <cellStyle name="Comma 2 4 3 2 5 2 3" xfId="44227" xr:uid="{62F3B5E3-4725-42A0-A75E-158979DD8D4B}"/>
    <cellStyle name="Comma 2 4 3 2 5 3" xfId="20035" xr:uid="{ACAD2B8C-BDFE-4680-B8FB-F116F69D0974}"/>
    <cellStyle name="Comma 2 4 3 2 5 3 2" xfId="50275" xr:uid="{E7E84B0C-D77E-4837-B3B0-7A52D8D62681}"/>
    <cellStyle name="Comma 2 4 3 2 5 4" xfId="35155" xr:uid="{11DC790D-DD0B-4F21-B8C4-16B14935BD53}"/>
    <cellStyle name="Comma 2 4 3 2 6" xfId="6427" xr:uid="{0449F675-BFF4-4AFD-8938-6EC098FB5D83}"/>
    <cellStyle name="Comma 2 4 3 2 6 2" xfId="21547" xr:uid="{EF817544-2338-4EED-AB18-FC19ABB035BE}"/>
    <cellStyle name="Comma 2 4 3 2 6 2 2" xfId="51787" xr:uid="{54FE0D9B-D206-4FBD-A7D7-8B62028F2310}"/>
    <cellStyle name="Comma 2 4 3 2 6 3" xfId="36667" xr:uid="{5352EC53-96B7-4E0C-8275-0F0474D53B89}"/>
    <cellStyle name="Comma 2 4 3 2 7" xfId="7939" xr:uid="{5C229A78-147F-42E4-B6AA-193684222BB7}"/>
    <cellStyle name="Comma 2 4 3 2 7 2" xfId="23059" xr:uid="{74664125-6F14-466E-925C-15BFECBC0172}"/>
    <cellStyle name="Comma 2 4 3 2 7 2 2" xfId="53299" xr:uid="{4433474A-85A8-40B9-89E2-C6FFCB7842E6}"/>
    <cellStyle name="Comma 2 4 3 2 7 3" xfId="38179" xr:uid="{D1710FAB-ED3D-4E9C-B062-0AF9605E0D7D}"/>
    <cellStyle name="Comma 2 4 3 2 8" xfId="9451" xr:uid="{5EBF099A-5291-46DB-9BD8-E8714E1B7DD1}"/>
    <cellStyle name="Comma 2 4 3 2 8 2" xfId="24571" xr:uid="{42F40023-2B0F-4736-A139-8143412CE817}"/>
    <cellStyle name="Comma 2 4 3 2 8 2 2" xfId="54811" xr:uid="{CD2A4DA6-4E80-4CC0-A381-C5BE9C373F69}"/>
    <cellStyle name="Comma 2 4 3 2 8 3" xfId="39691" xr:uid="{5225C877-BD6E-414C-93BC-BDCD4BDE8A46}"/>
    <cellStyle name="Comma 2 4 3 2 9" xfId="15499" xr:uid="{7B513365-D9CD-4EFA-A4BE-154170B8CE09}"/>
    <cellStyle name="Comma 2 4 3 2 9 2" xfId="45739" xr:uid="{6F260BA5-115C-4A93-8697-663BCA48B614}"/>
    <cellStyle name="Comma 2 4 3 3" xfId="631" xr:uid="{02A7B676-401E-4212-A18B-2CE6393032D4}"/>
    <cellStyle name="Comma 2 4 3 3 10" xfId="30871" xr:uid="{E20CFADB-E62B-465A-81EA-65EB5CA3055D}"/>
    <cellStyle name="Comma 2 4 3 3 2" xfId="1387" xr:uid="{5BFBF2FC-2A07-406A-B094-2AFAFE866F71}"/>
    <cellStyle name="Comma 2 4 3 3 2 2" xfId="2899" xr:uid="{1C05F284-5B87-4F46-AE5E-2E038EF10E85}"/>
    <cellStyle name="Comma 2 4 3 3 2 2 2" xfId="11971" xr:uid="{3EFC78EB-2CD9-40DC-817F-35AF98BAB933}"/>
    <cellStyle name="Comma 2 4 3 3 2 2 2 2" xfId="27091" xr:uid="{FFB6AD77-A8C1-4DA2-9975-2D6DD74C5558}"/>
    <cellStyle name="Comma 2 4 3 3 2 2 2 2 2" xfId="57331" xr:uid="{24881811-2176-4E57-A02D-DC7F7B083E1A}"/>
    <cellStyle name="Comma 2 4 3 3 2 2 2 3" xfId="42211" xr:uid="{FC195D86-B735-400E-9590-8A9C6C40141F}"/>
    <cellStyle name="Comma 2 4 3 3 2 2 3" xfId="18019" xr:uid="{695317D5-41C1-46F9-AEFD-4C82002AA60D}"/>
    <cellStyle name="Comma 2 4 3 3 2 2 3 2" xfId="48259" xr:uid="{D9A0230A-7235-4CDE-858F-DE6C47376677}"/>
    <cellStyle name="Comma 2 4 3 3 2 2 4" xfId="33139" xr:uid="{899D14DE-1F97-4195-A0E0-2C1A1D85EA6B}"/>
    <cellStyle name="Comma 2 4 3 3 2 3" xfId="4411" xr:uid="{62ED2648-001D-4EBC-AC34-99EA676EBD06}"/>
    <cellStyle name="Comma 2 4 3 3 2 3 2" xfId="13483" xr:uid="{370953FD-47C0-4555-96C6-D1F360EB319B}"/>
    <cellStyle name="Comma 2 4 3 3 2 3 2 2" xfId="28603" xr:uid="{CBA4B11E-58D8-4B58-ABED-F6B70A811541}"/>
    <cellStyle name="Comma 2 4 3 3 2 3 2 2 2" xfId="58843" xr:uid="{EEDE7720-5295-4173-8AEB-92BF17DB588B}"/>
    <cellStyle name="Comma 2 4 3 3 2 3 2 3" xfId="43723" xr:uid="{B70E1D2C-DDBA-4BDD-BE60-BBF5C7E82EC1}"/>
    <cellStyle name="Comma 2 4 3 3 2 3 3" xfId="19531" xr:uid="{E9D07403-52DA-433A-9F61-E5814ACA477B}"/>
    <cellStyle name="Comma 2 4 3 3 2 3 3 2" xfId="49771" xr:uid="{84E1C832-A675-440F-B380-5AADB0477BFF}"/>
    <cellStyle name="Comma 2 4 3 3 2 3 4" xfId="34651" xr:uid="{2188E854-9E02-478A-A1B4-B8C3EB83755B}"/>
    <cellStyle name="Comma 2 4 3 3 2 4" xfId="5923" xr:uid="{33781030-DD1E-433F-8724-71BFF6FDBE87}"/>
    <cellStyle name="Comma 2 4 3 3 2 4 2" xfId="14995" xr:uid="{40AA3EB8-A297-4F13-8340-7C63736CF25E}"/>
    <cellStyle name="Comma 2 4 3 3 2 4 2 2" xfId="30115" xr:uid="{FC95C354-2716-4B39-A677-B028B53D2F2A}"/>
    <cellStyle name="Comma 2 4 3 3 2 4 2 2 2" xfId="60355" xr:uid="{E5D0074E-398C-4437-A956-630D157CC16E}"/>
    <cellStyle name="Comma 2 4 3 3 2 4 2 3" xfId="45235" xr:uid="{CFDD3B49-98AF-471D-B4C6-105D5E08DE5E}"/>
    <cellStyle name="Comma 2 4 3 3 2 4 3" xfId="21043" xr:uid="{7F373BB1-138F-42F0-8E0A-024D2BBFD2AD}"/>
    <cellStyle name="Comma 2 4 3 3 2 4 3 2" xfId="51283" xr:uid="{B3FE9C30-3A68-49B2-9CE9-03DECBA41D98}"/>
    <cellStyle name="Comma 2 4 3 3 2 4 4" xfId="36163" xr:uid="{438B2F31-0C30-4CDD-A1B2-2B029E6E6150}"/>
    <cellStyle name="Comma 2 4 3 3 2 5" xfId="7435" xr:uid="{18C1CCC6-F9B4-482D-9E9E-1E8EE892C22C}"/>
    <cellStyle name="Comma 2 4 3 3 2 5 2" xfId="22555" xr:uid="{8F3C1B46-FBC2-47CE-A8FC-190E1E69932F}"/>
    <cellStyle name="Comma 2 4 3 3 2 5 2 2" xfId="52795" xr:uid="{1B200311-D3C8-4631-B3ED-F815C95AAA65}"/>
    <cellStyle name="Comma 2 4 3 3 2 5 3" xfId="37675" xr:uid="{6EF4BD2A-5EC9-4725-A659-E4512119CB1F}"/>
    <cellStyle name="Comma 2 4 3 3 2 6" xfId="8947" xr:uid="{D533B6CD-B068-4D18-A840-FB1B1B17996C}"/>
    <cellStyle name="Comma 2 4 3 3 2 6 2" xfId="24067" xr:uid="{562FBC1D-6E9B-4127-96C0-5CAAAEB7AD28}"/>
    <cellStyle name="Comma 2 4 3 3 2 6 2 2" xfId="54307" xr:uid="{4641CF9B-25E7-4ED1-83E6-55A5F880F23B}"/>
    <cellStyle name="Comma 2 4 3 3 2 6 3" xfId="39187" xr:uid="{0032EFD7-AC32-45D3-AE61-DBEF62019173}"/>
    <cellStyle name="Comma 2 4 3 3 2 7" xfId="10459" xr:uid="{81A1F523-C8EB-4508-A58F-E996195096C1}"/>
    <cellStyle name="Comma 2 4 3 3 2 7 2" xfId="25579" xr:uid="{87185364-131C-4620-AB8D-EB0EC7C0ED3E}"/>
    <cellStyle name="Comma 2 4 3 3 2 7 2 2" xfId="55819" xr:uid="{2E5541AA-72A8-4251-BC12-A8B0296324E1}"/>
    <cellStyle name="Comma 2 4 3 3 2 7 3" xfId="40699" xr:uid="{9C238E98-E98B-4150-A14B-51F269D6FCEE}"/>
    <cellStyle name="Comma 2 4 3 3 2 8" xfId="16507" xr:uid="{D1805107-AC12-4DD3-A4C0-6732FE0A6073}"/>
    <cellStyle name="Comma 2 4 3 3 2 8 2" xfId="46747" xr:uid="{9B899F49-6C02-4220-8F7B-B23A177B2828}"/>
    <cellStyle name="Comma 2 4 3 3 2 9" xfId="31627" xr:uid="{12277173-3D1B-4F8D-AD97-C1A6862CCADA}"/>
    <cellStyle name="Comma 2 4 3 3 3" xfId="2143" xr:uid="{53FDB09E-70D3-4594-B51E-DF15E9E835FF}"/>
    <cellStyle name="Comma 2 4 3 3 3 2" xfId="11215" xr:uid="{DFE74213-874E-4455-BCEE-3A39B0BD3272}"/>
    <cellStyle name="Comma 2 4 3 3 3 2 2" xfId="26335" xr:uid="{287648F9-559F-45CA-98A8-6E0A930219E4}"/>
    <cellStyle name="Comma 2 4 3 3 3 2 2 2" xfId="56575" xr:uid="{66575126-7F1D-4C43-A1F0-3C5B10B8A537}"/>
    <cellStyle name="Comma 2 4 3 3 3 2 3" xfId="41455" xr:uid="{5770D411-5193-4E0B-B2BD-8754B7CC6AD5}"/>
    <cellStyle name="Comma 2 4 3 3 3 3" xfId="17263" xr:uid="{0439130F-6353-42CC-8C60-A1865FABC17E}"/>
    <cellStyle name="Comma 2 4 3 3 3 3 2" xfId="47503" xr:uid="{890C544C-959A-41D1-ACD0-2DDE2049EBD1}"/>
    <cellStyle name="Comma 2 4 3 3 3 4" xfId="32383" xr:uid="{9DC7CC90-5EBF-4573-A1A3-1718DF2CEDB4}"/>
    <cellStyle name="Comma 2 4 3 3 4" xfId="3655" xr:uid="{7B36F071-1D75-4E6A-AB82-414548CB88AE}"/>
    <cellStyle name="Comma 2 4 3 3 4 2" xfId="12727" xr:uid="{E0DF451F-7700-450D-830C-B77AFD04C860}"/>
    <cellStyle name="Comma 2 4 3 3 4 2 2" xfId="27847" xr:uid="{1922D47A-8BAC-4708-8779-065C1465242F}"/>
    <cellStyle name="Comma 2 4 3 3 4 2 2 2" xfId="58087" xr:uid="{0EE346D9-BA5B-4EF5-AE6D-E48831BEA5AE}"/>
    <cellStyle name="Comma 2 4 3 3 4 2 3" xfId="42967" xr:uid="{A73EE658-D7B1-42AB-88A4-B1FB4B1DE71D}"/>
    <cellStyle name="Comma 2 4 3 3 4 3" xfId="18775" xr:uid="{DAD09800-25D2-44CD-B830-194E2A83CC63}"/>
    <cellStyle name="Comma 2 4 3 3 4 3 2" xfId="49015" xr:uid="{3B9C1C7F-19CD-4426-9F71-025D23DF60AB}"/>
    <cellStyle name="Comma 2 4 3 3 4 4" xfId="33895" xr:uid="{C5F88D98-19A4-490F-8940-1E22909599C1}"/>
    <cellStyle name="Comma 2 4 3 3 5" xfId="5167" xr:uid="{88C1414C-6201-48DB-A15C-A243F5330827}"/>
    <cellStyle name="Comma 2 4 3 3 5 2" xfId="14239" xr:uid="{4A0D987C-1E77-4A8B-B680-34310E336893}"/>
    <cellStyle name="Comma 2 4 3 3 5 2 2" xfId="29359" xr:uid="{7FE77420-0BD7-435A-A14C-183CD4E9457A}"/>
    <cellStyle name="Comma 2 4 3 3 5 2 2 2" xfId="59599" xr:uid="{FE5201CB-0B29-4289-986C-7218E4A4627E}"/>
    <cellStyle name="Comma 2 4 3 3 5 2 3" xfId="44479" xr:uid="{7C97700E-271D-43EC-9C30-7C2016CA0587}"/>
    <cellStyle name="Comma 2 4 3 3 5 3" xfId="20287" xr:uid="{3E1BE0D6-366E-4661-A956-BD8EDE70D620}"/>
    <cellStyle name="Comma 2 4 3 3 5 3 2" xfId="50527" xr:uid="{BF614464-0C5B-41DB-83BF-13F8ED8AAE78}"/>
    <cellStyle name="Comma 2 4 3 3 5 4" xfId="35407" xr:uid="{1DAE4E22-B222-4BB1-AA36-1AE62F9A095B}"/>
    <cellStyle name="Comma 2 4 3 3 6" xfId="6679" xr:uid="{F8C50D09-FE14-4D75-8243-8A00DF016E4C}"/>
    <cellStyle name="Comma 2 4 3 3 6 2" xfId="21799" xr:uid="{ED611BEB-A9F8-4750-BB66-A7D782E911A2}"/>
    <cellStyle name="Comma 2 4 3 3 6 2 2" xfId="52039" xr:uid="{703DC003-2284-41E5-8E12-C1D1FB897566}"/>
    <cellStyle name="Comma 2 4 3 3 6 3" xfId="36919" xr:uid="{CC9DDA76-B0A6-41C1-918E-409BB9033EAC}"/>
    <cellStyle name="Comma 2 4 3 3 7" xfId="8191" xr:uid="{853BC2BC-6975-40D8-89CE-24D8B0A49D55}"/>
    <cellStyle name="Comma 2 4 3 3 7 2" xfId="23311" xr:uid="{BE2AB8BF-210A-4DB0-9BED-51E9BE0F0BCC}"/>
    <cellStyle name="Comma 2 4 3 3 7 2 2" xfId="53551" xr:uid="{0D56D723-C1F3-43B7-BC58-D16C39655CBB}"/>
    <cellStyle name="Comma 2 4 3 3 7 3" xfId="38431" xr:uid="{C81BE233-5552-4C98-876F-069167D2772E}"/>
    <cellStyle name="Comma 2 4 3 3 8" xfId="9703" xr:uid="{8E239CB7-36BE-4A6D-86FD-EC2B9A33341D}"/>
    <cellStyle name="Comma 2 4 3 3 8 2" xfId="24823" xr:uid="{F7438C78-F1F5-48A2-A223-3C96AF4D914A}"/>
    <cellStyle name="Comma 2 4 3 3 8 2 2" xfId="55063" xr:uid="{7C1766B0-0A38-4E6E-98D4-27A62252CADB}"/>
    <cellStyle name="Comma 2 4 3 3 8 3" xfId="39943" xr:uid="{E060D5E4-5D5B-44AD-9E6A-258B00B6D322}"/>
    <cellStyle name="Comma 2 4 3 3 9" xfId="15751" xr:uid="{481FFFCA-F782-415B-B93D-90AE8A15D316}"/>
    <cellStyle name="Comma 2 4 3 3 9 2" xfId="45991" xr:uid="{4F76048E-5018-4851-9271-8216CD029754}"/>
    <cellStyle name="Comma 2 4 3 4" xfId="883" xr:uid="{942028EF-2802-4E9F-B333-CDB9E9707A2F}"/>
    <cellStyle name="Comma 2 4 3 4 2" xfId="2395" xr:uid="{A3EE2166-6836-4756-9C99-4E2E09442085}"/>
    <cellStyle name="Comma 2 4 3 4 2 2" xfId="11467" xr:uid="{960D64E3-8472-42C1-B534-855048E0C039}"/>
    <cellStyle name="Comma 2 4 3 4 2 2 2" xfId="26587" xr:uid="{2A85BA0C-8D5D-4BB7-8218-BD469ED6B9D7}"/>
    <cellStyle name="Comma 2 4 3 4 2 2 2 2" xfId="56827" xr:uid="{45ACFA1E-B854-4869-95A1-45EB265D319E}"/>
    <cellStyle name="Comma 2 4 3 4 2 2 3" xfId="41707" xr:uid="{56C791B2-1C63-45BB-97E3-100C34FB98A3}"/>
    <cellStyle name="Comma 2 4 3 4 2 3" xfId="17515" xr:uid="{2E9C69EF-D4B6-4C7B-98ED-1C437130AC1A}"/>
    <cellStyle name="Comma 2 4 3 4 2 3 2" xfId="47755" xr:uid="{C6DE8036-1495-4E8C-B61B-5846BE6D1750}"/>
    <cellStyle name="Comma 2 4 3 4 2 4" xfId="32635" xr:uid="{1C3820B7-A4D9-4F40-8F8B-9DC82B8D695F}"/>
    <cellStyle name="Comma 2 4 3 4 3" xfId="3907" xr:uid="{E03EE369-FFAC-4FC1-B4A3-603BAEA59278}"/>
    <cellStyle name="Comma 2 4 3 4 3 2" xfId="12979" xr:uid="{DD811392-05C0-4963-8927-59F0DC56C144}"/>
    <cellStyle name="Comma 2 4 3 4 3 2 2" xfId="28099" xr:uid="{71FDDE6A-33D0-4458-9410-1D5EFEF388AD}"/>
    <cellStyle name="Comma 2 4 3 4 3 2 2 2" xfId="58339" xr:uid="{1992A260-4B39-4E76-AF66-A20C461BE5FC}"/>
    <cellStyle name="Comma 2 4 3 4 3 2 3" xfId="43219" xr:uid="{DB110BBB-004A-4A1E-92FD-95BAD23FAF44}"/>
    <cellStyle name="Comma 2 4 3 4 3 3" xfId="19027" xr:uid="{A531645D-AEDB-436E-BD61-9451782DEAAB}"/>
    <cellStyle name="Comma 2 4 3 4 3 3 2" xfId="49267" xr:uid="{E822708A-BF91-4CD3-868F-E3A4FE70609F}"/>
    <cellStyle name="Comma 2 4 3 4 3 4" xfId="34147" xr:uid="{F9AE8730-5B6B-4B39-99D1-2951F5822231}"/>
    <cellStyle name="Comma 2 4 3 4 4" xfId="5419" xr:uid="{DFF3A4E6-06ED-465F-90D1-8C44AF915C13}"/>
    <cellStyle name="Comma 2 4 3 4 4 2" xfId="14491" xr:uid="{904B318D-C6AC-455E-AA35-B3DDE7BB982F}"/>
    <cellStyle name="Comma 2 4 3 4 4 2 2" xfId="29611" xr:uid="{7439BFDF-3EA6-491E-ADD8-2DC97BB31F9C}"/>
    <cellStyle name="Comma 2 4 3 4 4 2 2 2" xfId="59851" xr:uid="{5C5CCF7F-6893-4A98-9A8A-2165A567F45A}"/>
    <cellStyle name="Comma 2 4 3 4 4 2 3" xfId="44731" xr:uid="{05BBEC15-819C-42D3-A460-F61F8D59173A}"/>
    <cellStyle name="Comma 2 4 3 4 4 3" xfId="20539" xr:uid="{60441C95-FBAB-4AD2-8039-FFDB83FB1628}"/>
    <cellStyle name="Comma 2 4 3 4 4 3 2" xfId="50779" xr:uid="{60D201F3-B581-42D0-B043-EC9784EE7185}"/>
    <cellStyle name="Comma 2 4 3 4 4 4" xfId="35659" xr:uid="{325211F4-569B-40F8-A148-AB94EF529394}"/>
    <cellStyle name="Comma 2 4 3 4 5" xfId="6931" xr:uid="{8FA2E01F-63AA-4D77-996B-3B8A778019C1}"/>
    <cellStyle name="Comma 2 4 3 4 5 2" xfId="22051" xr:uid="{8FC0BAFF-EB4F-4F4A-A8BA-B35B680EFF31}"/>
    <cellStyle name="Comma 2 4 3 4 5 2 2" xfId="52291" xr:uid="{41C71CD0-7E29-4515-9A18-5EED4742A80E}"/>
    <cellStyle name="Comma 2 4 3 4 5 3" xfId="37171" xr:uid="{C75B8DDF-FF4F-4284-B9B3-463C24CB80A8}"/>
    <cellStyle name="Comma 2 4 3 4 6" xfId="8443" xr:uid="{D1EE1A00-0E17-43F6-9256-1E397B26E9DF}"/>
    <cellStyle name="Comma 2 4 3 4 6 2" xfId="23563" xr:uid="{FA448177-4D55-43E0-BD70-2C8183F6A989}"/>
    <cellStyle name="Comma 2 4 3 4 6 2 2" xfId="53803" xr:uid="{4D9979B7-3F87-41F4-87D7-08B50021A69A}"/>
    <cellStyle name="Comma 2 4 3 4 6 3" xfId="38683" xr:uid="{03200CA4-B215-4F84-8515-865D38C1E5DE}"/>
    <cellStyle name="Comma 2 4 3 4 7" xfId="9955" xr:uid="{9526740D-EA06-433F-8DA5-11CEC3EE2597}"/>
    <cellStyle name="Comma 2 4 3 4 7 2" xfId="25075" xr:uid="{1DA9B23C-F7D6-4568-BBD1-A9A3C3808B90}"/>
    <cellStyle name="Comma 2 4 3 4 7 2 2" xfId="55315" xr:uid="{2A465265-8376-43F9-B80E-A2DB03A59208}"/>
    <cellStyle name="Comma 2 4 3 4 7 3" xfId="40195" xr:uid="{1D8C7DCF-E68E-4C95-A44D-9E8898AB2CAF}"/>
    <cellStyle name="Comma 2 4 3 4 8" xfId="16003" xr:uid="{020BD2F7-3BF4-43AF-952F-F15AAF514C22}"/>
    <cellStyle name="Comma 2 4 3 4 8 2" xfId="46243" xr:uid="{67824922-082D-4FEA-AFBE-96B3F2AC6A26}"/>
    <cellStyle name="Comma 2 4 3 4 9" xfId="31123" xr:uid="{F43C6C5B-3819-4AD4-890E-D01E9B313102}"/>
    <cellStyle name="Comma 2 4 3 5" xfId="1639" xr:uid="{1F0F4D22-9A60-4061-8E10-7B41BF6DB45B}"/>
    <cellStyle name="Comma 2 4 3 5 2" xfId="10711" xr:uid="{D759E7CF-DB58-4718-B1BB-36DF7558D690}"/>
    <cellStyle name="Comma 2 4 3 5 2 2" xfId="25831" xr:uid="{88A87E02-66D2-4955-88D6-B42B4D6E7154}"/>
    <cellStyle name="Comma 2 4 3 5 2 2 2" xfId="56071" xr:uid="{2F8FA39D-1F15-4A98-B61B-0C3E7346C4CF}"/>
    <cellStyle name="Comma 2 4 3 5 2 3" xfId="40951" xr:uid="{3550B991-79DC-4929-939B-62D83E453794}"/>
    <cellStyle name="Comma 2 4 3 5 3" xfId="16759" xr:uid="{E2386488-759F-41A6-B34A-7D4AA30EDC5A}"/>
    <cellStyle name="Comma 2 4 3 5 3 2" xfId="46999" xr:uid="{84F91548-379E-469B-899A-3F753DF7FCC0}"/>
    <cellStyle name="Comma 2 4 3 5 4" xfId="31879" xr:uid="{BC426E5F-BA44-4526-B997-AA46CAB37857}"/>
    <cellStyle name="Comma 2 4 3 6" xfId="3151" xr:uid="{98D67315-9767-4317-A4F0-0A90ABAFA927}"/>
    <cellStyle name="Comma 2 4 3 6 2" xfId="12223" xr:uid="{5C92D9B1-C0B5-4D4C-BA73-2F36C4CB98B7}"/>
    <cellStyle name="Comma 2 4 3 6 2 2" xfId="27343" xr:uid="{B7AF037D-7180-4B99-924E-C4B96633ACA0}"/>
    <cellStyle name="Comma 2 4 3 6 2 2 2" xfId="57583" xr:uid="{9EC60DC6-8299-4CA6-8402-23C723E1FA5A}"/>
    <cellStyle name="Comma 2 4 3 6 2 3" xfId="42463" xr:uid="{FDEC5A64-6005-44FB-8DB8-481C5880FF82}"/>
    <cellStyle name="Comma 2 4 3 6 3" xfId="18271" xr:uid="{566A8C7D-A197-4FB8-AE21-662E14459462}"/>
    <cellStyle name="Comma 2 4 3 6 3 2" xfId="48511" xr:uid="{F6C7CBFE-4027-43D0-88D8-3EDBC3724F7B}"/>
    <cellStyle name="Comma 2 4 3 6 4" xfId="33391" xr:uid="{9940C263-06ED-40BA-9FA5-73EC7FF72E0B}"/>
    <cellStyle name="Comma 2 4 3 7" xfId="4663" xr:uid="{BD7A7CF0-48CF-48E2-BAF6-2743781F665D}"/>
    <cellStyle name="Comma 2 4 3 7 2" xfId="13735" xr:uid="{91DB9915-0A8D-40F9-BB9D-13E5CA37BDA5}"/>
    <cellStyle name="Comma 2 4 3 7 2 2" xfId="28855" xr:uid="{DDED9F34-27D8-4F75-B25A-BBE45D9EB95F}"/>
    <cellStyle name="Comma 2 4 3 7 2 2 2" xfId="59095" xr:uid="{E2500EDF-8FA4-4DED-8E33-AE212FDD04FD}"/>
    <cellStyle name="Comma 2 4 3 7 2 3" xfId="43975" xr:uid="{8221F09A-169B-4626-979F-FF941180735E}"/>
    <cellStyle name="Comma 2 4 3 7 3" xfId="19783" xr:uid="{03FF2CF3-0216-46B8-AB25-BF2DD0D5984E}"/>
    <cellStyle name="Comma 2 4 3 7 3 2" xfId="50023" xr:uid="{071145E3-7BB2-4349-B013-6403B42A5841}"/>
    <cellStyle name="Comma 2 4 3 7 4" xfId="34903" xr:uid="{A86A1298-1BE9-494E-BB71-BCDB265E3968}"/>
    <cellStyle name="Comma 2 4 3 8" xfId="6175" xr:uid="{8C54B5A2-BBEC-4CE0-924D-097203E17158}"/>
    <cellStyle name="Comma 2 4 3 8 2" xfId="21295" xr:uid="{F625B1F2-268E-490F-A87B-B49E88B0ED75}"/>
    <cellStyle name="Comma 2 4 3 8 2 2" xfId="51535" xr:uid="{5D7DCBCA-A7C9-4BEF-BB9C-BB633E5B1D9B}"/>
    <cellStyle name="Comma 2 4 3 8 3" xfId="36415" xr:uid="{04BB13B4-0D5F-45C6-8CFF-690AE2D80A21}"/>
    <cellStyle name="Comma 2 4 3 9" xfId="7687" xr:uid="{108FC4C5-D1DF-4726-8889-308ECFD1DD83}"/>
    <cellStyle name="Comma 2 4 3 9 2" xfId="22807" xr:uid="{8447560A-4D8E-4BB8-89EA-FD8E004FE33B}"/>
    <cellStyle name="Comma 2 4 3 9 2 2" xfId="53047" xr:uid="{9A7A50D6-7606-4DC6-8D37-79DFD5ABFA5D}"/>
    <cellStyle name="Comma 2 4 3 9 3" xfId="37927" xr:uid="{A48B8E20-E7A1-45B7-9EA1-A6FCE9C71A93}"/>
    <cellStyle name="Comma 2 4 4" xfId="211" xr:uid="{45C0BE17-2E64-447B-A97E-0B711CF9499A}"/>
    <cellStyle name="Comma 2 4 4 10" xfId="9283" xr:uid="{1FEB5193-E183-4E11-A77B-88C953B0A328}"/>
    <cellStyle name="Comma 2 4 4 10 2" xfId="24403" xr:uid="{10508243-68B6-408C-96B7-F1AC9A8633B2}"/>
    <cellStyle name="Comma 2 4 4 10 2 2" xfId="54643" xr:uid="{A2E56EEC-901E-4AAE-AB00-4BEFECF3E83B}"/>
    <cellStyle name="Comma 2 4 4 10 3" xfId="39523" xr:uid="{F883FE4D-7688-4416-B060-8172AE93E5FE}"/>
    <cellStyle name="Comma 2 4 4 11" xfId="15331" xr:uid="{DC5A8943-A033-452E-AE51-7EAAA9ADAC02}"/>
    <cellStyle name="Comma 2 4 4 11 2" xfId="45571" xr:uid="{909E5345-6165-40BB-9062-70AD8FC46BDD}"/>
    <cellStyle name="Comma 2 4 4 12" xfId="30451" xr:uid="{BFB706D5-AF4A-448B-B5E2-001D5FCF1BD6}"/>
    <cellStyle name="Comma 2 4 4 2" xfId="463" xr:uid="{CE78AB96-8247-415D-A03D-1060C67113C2}"/>
    <cellStyle name="Comma 2 4 4 2 10" xfId="30703" xr:uid="{E75E3160-4008-4F57-98B1-2017D2350130}"/>
    <cellStyle name="Comma 2 4 4 2 2" xfId="1219" xr:uid="{3981FE57-1A50-41E7-9C15-185A5BBF32F5}"/>
    <cellStyle name="Comma 2 4 4 2 2 2" xfId="2731" xr:uid="{BFCE251A-BBA8-4EA5-9CDD-A26F6DC1B929}"/>
    <cellStyle name="Comma 2 4 4 2 2 2 2" xfId="11803" xr:uid="{0690B660-BF1E-4A5A-9B0A-EA5106AA5AFE}"/>
    <cellStyle name="Comma 2 4 4 2 2 2 2 2" xfId="26923" xr:uid="{A6F512B2-DC25-459F-8165-96E5A6170FCF}"/>
    <cellStyle name="Comma 2 4 4 2 2 2 2 2 2" xfId="57163" xr:uid="{E72DACCA-D59E-43CE-B71D-1867F7DA8611}"/>
    <cellStyle name="Comma 2 4 4 2 2 2 2 3" xfId="42043" xr:uid="{6B922C3C-3C6E-42F0-ACE0-321EE226FAAB}"/>
    <cellStyle name="Comma 2 4 4 2 2 2 3" xfId="17851" xr:uid="{5A674DF8-242E-4181-AE6B-5CCB263172B4}"/>
    <cellStyle name="Comma 2 4 4 2 2 2 3 2" xfId="48091" xr:uid="{E0E3CFFD-8D80-4838-BE5D-3CDE0E64CACF}"/>
    <cellStyle name="Comma 2 4 4 2 2 2 4" xfId="32971" xr:uid="{EC033D1E-94F7-43DB-B02E-E1318F8FB485}"/>
    <cellStyle name="Comma 2 4 4 2 2 3" xfId="4243" xr:uid="{6BCF487D-D4BE-43E4-8F25-46EBDDDC29B1}"/>
    <cellStyle name="Comma 2 4 4 2 2 3 2" xfId="13315" xr:uid="{430BCFC9-3A86-482C-B674-8D3B722D3C31}"/>
    <cellStyle name="Comma 2 4 4 2 2 3 2 2" xfId="28435" xr:uid="{E7E6E1E1-0BAD-49FF-A9CA-379999C196C8}"/>
    <cellStyle name="Comma 2 4 4 2 2 3 2 2 2" xfId="58675" xr:uid="{D91552A3-782D-4F88-9CD3-5575965A5F78}"/>
    <cellStyle name="Comma 2 4 4 2 2 3 2 3" xfId="43555" xr:uid="{1B8C96A8-61B0-44B7-8CB5-0EABF4A8BA7F}"/>
    <cellStyle name="Comma 2 4 4 2 2 3 3" xfId="19363" xr:uid="{AEB8EBFA-2BDF-4A15-92E6-26747C5614DA}"/>
    <cellStyle name="Comma 2 4 4 2 2 3 3 2" xfId="49603" xr:uid="{E5FAC099-5B61-48D0-A86A-A2D7392D641F}"/>
    <cellStyle name="Comma 2 4 4 2 2 3 4" xfId="34483" xr:uid="{1459ED8D-48C5-475B-9E4E-221E873A0852}"/>
    <cellStyle name="Comma 2 4 4 2 2 4" xfId="5755" xr:uid="{B6D48845-27ED-4823-BABC-BF113EDCFFE8}"/>
    <cellStyle name="Comma 2 4 4 2 2 4 2" xfId="14827" xr:uid="{8147AD13-7C4E-4E19-9D78-7403063CFB68}"/>
    <cellStyle name="Comma 2 4 4 2 2 4 2 2" xfId="29947" xr:uid="{795D193D-163D-4D44-85F5-40CB151E80EF}"/>
    <cellStyle name="Comma 2 4 4 2 2 4 2 2 2" xfId="60187" xr:uid="{C15603A5-E845-42CA-BE7E-6FC49AE7F2FA}"/>
    <cellStyle name="Comma 2 4 4 2 2 4 2 3" xfId="45067" xr:uid="{C8AA713A-9A87-4CB9-9BF5-ED76F437BCBA}"/>
    <cellStyle name="Comma 2 4 4 2 2 4 3" xfId="20875" xr:uid="{C8FB62A3-1786-46A7-8105-F7200C6F9C42}"/>
    <cellStyle name="Comma 2 4 4 2 2 4 3 2" xfId="51115" xr:uid="{52C97DE0-F2FE-47A0-BEAC-5BBC50EEEF06}"/>
    <cellStyle name="Comma 2 4 4 2 2 4 4" xfId="35995" xr:uid="{08C01B2D-7936-45D4-BC9C-BFFD6A584B8F}"/>
    <cellStyle name="Comma 2 4 4 2 2 5" xfId="7267" xr:uid="{6E895AC1-C50B-46D5-97B1-18067C4B48ED}"/>
    <cellStyle name="Comma 2 4 4 2 2 5 2" xfId="22387" xr:uid="{39E2DC38-0638-4F73-A167-F9C447956E1C}"/>
    <cellStyle name="Comma 2 4 4 2 2 5 2 2" xfId="52627" xr:uid="{B7577D9D-5F80-473D-A18F-50DF2B5D0C65}"/>
    <cellStyle name="Comma 2 4 4 2 2 5 3" xfId="37507" xr:uid="{4D549BD9-1D6E-44D2-969B-9B598799FB8B}"/>
    <cellStyle name="Comma 2 4 4 2 2 6" xfId="8779" xr:uid="{21FC95BB-66A5-4C70-9142-88952C7056E0}"/>
    <cellStyle name="Comma 2 4 4 2 2 6 2" xfId="23899" xr:uid="{0BFB1410-9838-472A-821D-E11AF12F8FD2}"/>
    <cellStyle name="Comma 2 4 4 2 2 6 2 2" xfId="54139" xr:uid="{888BA72E-44CF-417A-A519-075C72C40BD0}"/>
    <cellStyle name="Comma 2 4 4 2 2 6 3" xfId="39019" xr:uid="{028158BA-DDE6-435D-A266-40433CCD927C}"/>
    <cellStyle name="Comma 2 4 4 2 2 7" xfId="10291" xr:uid="{AB027076-11A1-4F76-A6F5-E490FCE464A7}"/>
    <cellStyle name="Comma 2 4 4 2 2 7 2" xfId="25411" xr:uid="{F006DC64-D836-457B-97CA-DDE4EA264523}"/>
    <cellStyle name="Comma 2 4 4 2 2 7 2 2" xfId="55651" xr:uid="{E30012B3-EBA9-466D-AF0A-C26FE064D4F6}"/>
    <cellStyle name="Comma 2 4 4 2 2 7 3" xfId="40531" xr:uid="{077008D9-7EC7-497F-85A4-E826C1E90107}"/>
    <cellStyle name="Comma 2 4 4 2 2 8" xfId="16339" xr:uid="{437C54E9-D694-419D-AF9A-D706C81AA2B6}"/>
    <cellStyle name="Comma 2 4 4 2 2 8 2" xfId="46579" xr:uid="{C6C7D274-3952-4A98-94AF-423AA9AC6CE9}"/>
    <cellStyle name="Comma 2 4 4 2 2 9" xfId="31459" xr:uid="{FDF3CE40-BA37-4B92-B11E-33529A8A0041}"/>
    <cellStyle name="Comma 2 4 4 2 3" xfId="1975" xr:uid="{32715E20-0896-48FF-8DEF-E27C0109CABC}"/>
    <cellStyle name="Comma 2 4 4 2 3 2" xfId="11047" xr:uid="{1FFDF0D3-09DC-42DE-92B2-FC50114329E8}"/>
    <cellStyle name="Comma 2 4 4 2 3 2 2" xfId="26167" xr:uid="{F302DD7B-BFEC-4459-A88B-AC0F01E2D779}"/>
    <cellStyle name="Comma 2 4 4 2 3 2 2 2" xfId="56407" xr:uid="{17FEB493-483E-4A65-B870-22B6EF39C3CF}"/>
    <cellStyle name="Comma 2 4 4 2 3 2 3" xfId="41287" xr:uid="{E8E90317-5397-40EB-97DA-65B46C7E9478}"/>
    <cellStyle name="Comma 2 4 4 2 3 3" xfId="17095" xr:uid="{35A4C6F0-F585-4CDF-ACF3-4445FCDAC799}"/>
    <cellStyle name="Comma 2 4 4 2 3 3 2" xfId="47335" xr:uid="{75B1686D-3C51-4E34-9D8A-FF87C3560D76}"/>
    <cellStyle name="Comma 2 4 4 2 3 4" xfId="32215" xr:uid="{FD8BFC47-2EE7-42B9-B395-0844B3EDB854}"/>
    <cellStyle name="Comma 2 4 4 2 4" xfId="3487" xr:uid="{484FA551-B375-4C3B-890A-EEC9F68FFAD4}"/>
    <cellStyle name="Comma 2 4 4 2 4 2" xfId="12559" xr:uid="{BBE93BB8-B334-47E0-998B-C2C980800D4D}"/>
    <cellStyle name="Comma 2 4 4 2 4 2 2" xfId="27679" xr:uid="{0803CCB8-9354-4573-AE7E-8AD2DCB70ADF}"/>
    <cellStyle name="Comma 2 4 4 2 4 2 2 2" xfId="57919" xr:uid="{6DD0D33B-CADF-46E7-AC73-ED46D1A793B1}"/>
    <cellStyle name="Comma 2 4 4 2 4 2 3" xfId="42799" xr:uid="{3ACFBD77-D6AC-4F45-A519-34A538A15298}"/>
    <cellStyle name="Comma 2 4 4 2 4 3" xfId="18607" xr:uid="{4540B615-9A85-4C75-A5AC-2A66ADAC19D3}"/>
    <cellStyle name="Comma 2 4 4 2 4 3 2" xfId="48847" xr:uid="{341455A1-72B7-4124-BCA8-ACF2B2BAD651}"/>
    <cellStyle name="Comma 2 4 4 2 4 4" xfId="33727" xr:uid="{0417CF40-93D1-4D95-8C50-E3B60E6AC39B}"/>
    <cellStyle name="Comma 2 4 4 2 5" xfId="4999" xr:uid="{078F23FA-0BD6-4E01-90AB-682F9820518D}"/>
    <cellStyle name="Comma 2 4 4 2 5 2" xfId="14071" xr:uid="{04173EDB-41E1-4242-A376-C42B9B1D2EAA}"/>
    <cellStyle name="Comma 2 4 4 2 5 2 2" xfId="29191" xr:uid="{4F63DCD6-4914-4194-9440-22E071FAE524}"/>
    <cellStyle name="Comma 2 4 4 2 5 2 2 2" xfId="59431" xr:uid="{E35A249D-42BE-441F-9EDB-D2A3BC6912B4}"/>
    <cellStyle name="Comma 2 4 4 2 5 2 3" xfId="44311" xr:uid="{51886950-9E7E-41E0-B32A-AFCBDF7E1EE9}"/>
    <cellStyle name="Comma 2 4 4 2 5 3" xfId="20119" xr:uid="{4001C473-A412-49D0-87C0-73B093767619}"/>
    <cellStyle name="Comma 2 4 4 2 5 3 2" xfId="50359" xr:uid="{7A4BDAA6-8F5E-4905-9FC0-BF5A0CB101DF}"/>
    <cellStyle name="Comma 2 4 4 2 5 4" xfId="35239" xr:uid="{6DB817EC-BBD6-4998-B693-30F36BCC7515}"/>
    <cellStyle name="Comma 2 4 4 2 6" xfId="6511" xr:uid="{4466CAA4-61B8-4F17-B9C1-6EAB45CD962F}"/>
    <cellStyle name="Comma 2 4 4 2 6 2" xfId="21631" xr:uid="{0A0A0B4C-EA36-4468-B43E-90F089FC93AA}"/>
    <cellStyle name="Comma 2 4 4 2 6 2 2" xfId="51871" xr:uid="{9DA90704-D86C-4A41-91D1-2968F0E82170}"/>
    <cellStyle name="Comma 2 4 4 2 6 3" xfId="36751" xr:uid="{BE357009-9EEB-483D-BF89-F4AF79587F54}"/>
    <cellStyle name="Comma 2 4 4 2 7" xfId="8023" xr:uid="{3E7D3D84-B4D7-4DF9-A5D0-FB6C251B38EC}"/>
    <cellStyle name="Comma 2 4 4 2 7 2" xfId="23143" xr:uid="{AC9834AC-2782-470A-B6C1-F7E3C446A059}"/>
    <cellStyle name="Comma 2 4 4 2 7 2 2" xfId="53383" xr:uid="{FF351BCE-79F7-4833-9C09-7A957E343002}"/>
    <cellStyle name="Comma 2 4 4 2 7 3" xfId="38263" xr:uid="{B944941E-4A86-41DC-8ADE-85B54CB9FADD}"/>
    <cellStyle name="Comma 2 4 4 2 8" xfId="9535" xr:uid="{28FBAAC6-9FF1-4CEC-896D-83E5260A3207}"/>
    <cellStyle name="Comma 2 4 4 2 8 2" xfId="24655" xr:uid="{85E5848F-32B1-40BE-95FB-81196E753F6A}"/>
    <cellStyle name="Comma 2 4 4 2 8 2 2" xfId="54895" xr:uid="{8AF288E6-E298-48EA-8067-04663DA26B20}"/>
    <cellStyle name="Comma 2 4 4 2 8 3" xfId="39775" xr:uid="{AC14076F-FE0A-4DB1-BE52-6A247A5DE952}"/>
    <cellStyle name="Comma 2 4 4 2 9" xfId="15583" xr:uid="{815CBBE9-2678-416A-A2AA-2CE2548787D6}"/>
    <cellStyle name="Comma 2 4 4 2 9 2" xfId="45823" xr:uid="{59629929-221C-4C68-AAB7-F60D22D1E3AA}"/>
    <cellStyle name="Comma 2 4 4 3" xfId="715" xr:uid="{04696341-2A29-49F3-AFD5-763BA1D5D35E}"/>
    <cellStyle name="Comma 2 4 4 3 10" xfId="30955" xr:uid="{EADE49DE-0EAF-436E-8FD7-08D5D48249C6}"/>
    <cellStyle name="Comma 2 4 4 3 2" xfId="1471" xr:uid="{CAE1BCDA-4B96-4EFE-A02A-54B26176D8A0}"/>
    <cellStyle name="Comma 2 4 4 3 2 2" xfId="2983" xr:uid="{C8E83C70-7623-41B4-8D86-B3F285E55BC0}"/>
    <cellStyle name="Comma 2 4 4 3 2 2 2" xfId="12055" xr:uid="{6E9C30F4-F409-4460-B1ED-5BAFE9568209}"/>
    <cellStyle name="Comma 2 4 4 3 2 2 2 2" xfId="27175" xr:uid="{C2D1F287-AABF-4013-A165-3CEF810BF1B0}"/>
    <cellStyle name="Comma 2 4 4 3 2 2 2 2 2" xfId="57415" xr:uid="{2629104F-CF2F-4265-92CA-2AD963C66C18}"/>
    <cellStyle name="Comma 2 4 4 3 2 2 2 3" xfId="42295" xr:uid="{CDD13945-0271-46AE-A6F9-BB1B461E87F8}"/>
    <cellStyle name="Comma 2 4 4 3 2 2 3" xfId="18103" xr:uid="{7C43748F-DA89-4A76-BAB8-83830CF2AC23}"/>
    <cellStyle name="Comma 2 4 4 3 2 2 3 2" xfId="48343" xr:uid="{0B7EC613-5562-45AD-A948-02DE334D70FF}"/>
    <cellStyle name="Comma 2 4 4 3 2 2 4" xfId="33223" xr:uid="{38C5AF10-62FC-4BE9-9E49-94C51D276DCF}"/>
    <cellStyle name="Comma 2 4 4 3 2 3" xfId="4495" xr:uid="{785A5B97-DA33-417B-B013-5AE65E62B19A}"/>
    <cellStyle name="Comma 2 4 4 3 2 3 2" xfId="13567" xr:uid="{2392406D-BBDD-4BCD-B7DB-09FE06ED30BD}"/>
    <cellStyle name="Comma 2 4 4 3 2 3 2 2" xfId="28687" xr:uid="{11395FB3-7BE3-4285-B449-80341F91DE3B}"/>
    <cellStyle name="Comma 2 4 4 3 2 3 2 2 2" xfId="58927" xr:uid="{920AA391-1757-461D-98A9-B2D7A9174CF7}"/>
    <cellStyle name="Comma 2 4 4 3 2 3 2 3" xfId="43807" xr:uid="{4C6A182C-2D83-442F-BE55-7E6F862950FC}"/>
    <cellStyle name="Comma 2 4 4 3 2 3 3" xfId="19615" xr:uid="{E5808F8B-367E-4713-8324-CF75B06C638D}"/>
    <cellStyle name="Comma 2 4 4 3 2 3 3 2" xfId="49855" xr:uid="{1B7CB1BC-3CA6-4858-8054-A59373655422}"/>
    <cellStyle name="Comma 2 4 4 3 2 3 4" xfId="34735" xr:uid="{73BB2E9B-1A3C-4C8C-822C-513331759CE9}"/>
    <cellStyle name="Comma 2 4 4 3 2 4" xfId="6007" xr:uid="{968CE1B6-D6D0-4B32-83C1-DB89F8C387B3}"/>
    <cellStyle name="Comma 2 4 4 3 2 4 2" xfId="15079" xr:uid="{8696959C-2716-4A73-949C-930F24B977D6}"/>
    <cellStyle name="Comma 2 4 4 3 2 4 2 2" xfId="30199" xr:uid="{508AD38C-7574-42BE-9BC2-90FA6E1EBF30}"/>
    <cellStyle name="Comma 2 4 4 3 2 4 2 2 2" xfId="60439" xr:uid="{4E8846A8-35F0-4BDD-9EFA-6830594C3255}"/>
    <cellStyle name="Comma 2 4 4 3 2 4 2 3" xfId="45319" xr:uid="{4836D75D-2DDD-411B-AFDD-BA1213EEF0B7}"/>
    <cellStyle name="Comma 2 4 4 3 2 4 3" xfId="21127" xr:uid="{B19A1989-6CBE-4570-B1D4-68B53876DF95}"/>
    <cellStyle name="Comma 2 4 4 3 2 4 3 2" xfId="51367" xr:uid="{263BAC6F-473F-43C6-B0C2-B7AA1733AF10}"/>
    <cellStyle name="Comma 2 4 4 3 2 4 4" xfId="36247" xr:uid="{EDA8FBFD-B40C-49F9-B68E-35BF1BD66A16}"/>
    <cellStyle name="Comma 2 4 4 3 2 5" xfId="7519" xr:uid="{5A4A539D-7FBD-41D8-9979-1E539DB14658}"/>
    <cellStyle name="Comma 2 4 4 3 2 5 2" xfId="22639" xr:uid="{D3B15845-558D-40EF-BD5A-60865D04030D}"/>
    <cellStyle name="Comma 2 4 4 3 2 5 2 2" xfId="52879" xr:uid="{E652178C-3B1E-43D5-BBA4-712744F9A30E}"/>
    <cellStyle name="Comma 2 4 4 3 2 5 3" xfId="37759" xr:uid="{345D311A-421C-4CB7-8248-6B1F3A72F23D}"/>
    <cellStyle name="Comma 2 4 4 3 2 6" xfId="9031" xr:uid="{C7D93700-542F-41D2-8A9B-5D7DFF7B8474}"/>
    <cellStyle name="Comma 2 4 4 3 2 6 2" xfId="24151" xr:uid="{60920AAC-E9AC-4BD5-B4B2-817193284790}"/>
    <cellStyle name="Comma 2 4 4 3 2 6 2 2" xfId="54391" xr:uid="{CFEFAB19-B4C1-4F4D-808D-BB1E6C66E344}"/>
    <cellStyle name="Comma 2 4 4 3 2 6 3" xfId="39271" xr:uid="{3B8A397C-F0D0-45AD-8340-0F340480EC67}"/>
    <cellStyle name="Comma 2 4 4 3 2 7" xfId="10543" xr:uid="{A621F948-09D9-492C-A697-E88AAF6AB011}"/>
    <cellStyle name="Comma 2 4 4 3 2 7 2" xfId="25663" xr:uid="{F781321F-F041-4308-9651-8813B5B04CAB}"/>
    <cellStyle name="Comma 2 4 4 3 2 7 2 2" xfId="55903" xr:uid="{02E98988-41F2-4418-8C4A-487A30F4BE14}"/>
    <cellStyle name="Comma 2 4 4 3 2 7 3" xfId="40783" xr:uid="{EDEBDB6E-7923-43BB-ABA1-F053FE01DFEB}"/>
    <cellStyle name="Comma 2 4 4 3 2 8" xfId="16591" xr:uid="{DBC50615-672E-4168-82AF-C73ADAD85E46}"/>
    <cellStyle name="Comma 2 4 4 3 2 8 2" xfId="46831" xr:uid="{94AA8EF5-C680-41F6-B5B8-89875FF8D46C}"/>
    <cellStyle name="Comma 2 4 4 3 2 9" xfId="31711" xr:uid="{A3F7338A-F6C5-403A-9347-E2AE37FF0971}"/>
    <cellStyle name="Comma 2 4 4 3 3" xfId="2227" xr:uid="{3C06BB5E-7A21-47CE-AC66-848A41150FB8}"/>
    <cellStyle name="Comma 2 4 4 3 3 2" xfId="11299" xr:uid="{C05AF5BD-CE54-4C80-9543-1E4C72727731}"/>
    <cellStyle name="Comma 2 4 4 3 3 2 2" xfId="26419" xr:uid="{61C6CE67-1522-4FBE-B94C-6D60559B05BA}"/>
    <cellStyle name="Comma 2 4 4 3 3 2 2 2" xfId="56659" xr:uid="{2BE4592E-19CE-4CA6-9B21-610F2BFBC339}"/>
    <cellStyle name="Comma 2 4 4 3 3 2 3" xfId="41539" xr:uid="{C8CE1E8E-FB97-4EB7-8FFB-F8D823C2B2F4}"/>
    <cellStyle name="Comma 2 4 4 3 3 3" xfId="17347" xr:uid="{F8DEE4D1-A871-45F4-88DF-27671F7E5E70}"/>
    <cellStyle name="Comma 2 4 4 3 3 3 2" xfId="47587" xr:uid="{F999FA7E-475D-42C1-976F-879F5818AE3F}"/>
    <cellStyle name="Comma 2 4 4 3 3 4" xfId="32467" xr:uid="{CFF558A0-63A8-4444-B84B-06B2E1757521}"/>
    <cellStyle name="Comma 2 4 4 3 4" xfId="3739" xr:uid="{902A3865-4854-42B3-859A-ADE34D5C5DDE}"/>
    <cellStyle name="Comma 2 4 4 3 4 2" xfId="12811" xr:uid="{62BBDD05-0C80-4EF2-BAB8-EE9C6E31FB13}"/>
    <cellStyle name="Comma 2 4 4 3 4 2 2" xfId="27931" xr:uid="{156A8A70-2B24-460E-9C55-A0678B44722B}"/>
    <cellStyle name="Comma 2 4 4 3 4 2 2 2" xfId="58171" xr:uid="{D2BA2CAD-80E2-4B6E-AEB7-954F8F908B2A}"/>
    <cellStyle name="Comma 2 4 4 3 4 2 3" xfId="43051" xr:uid="{5FB29487-CFB5-41CD-B03A-7E9A284DF3CD}"/>
    <cellStyle name="Comma 2 4 4 3 4 3" xfId="18859" xr:uid="{E9F59E21-E110-482A-9649-77047D9FA222}"/>
    <cellStyle name="Comma 2 4 4 3 4 3 2" xfId="49099" xr:uid="{D895C520-5A79-4AA9-ADE5-779C5CDC7D65}"/>
    <cellStyle name="Comma 2 4 4 3 4 4" xfId="33979" xr:uid="{FB40C1F7-A7B3-4CE2-A2F9-DEA5337E2A4A}"/>
    <cellStyle name="Comma 2 4 4 3 5" xfId="5251" xr:uid="{B27008D9-B67B-44E8-BFDC-C89EF1F363B0}"/>
    <cellStyle name="Comma 2 4 4 3 5 2" xfId="14323" xr:uid="{EA931F82-9331-405D-BF98-F5E481320F57}"/>
    <cellStyle name="Comma 2 4 4 3 5 2 2" xfId="29443" xr:uid="{7853C1EC-1AA4-4EDB-850E-024AF4D8FC22}"/>
    <cellStyle name="Comma 2 4 4 3 5 2 2 2" xfId="59683" xr:uid="{E13073D2-0ABA-45BF-B9B2-AF5221A864F1}"/>
    <cellStyle name="Comma 2 4 4 3 5 2 3" xfId="44563" xr:uid="{AFA22BB5-7BE2-48E0-8517-A93332743919}"/>
    <cellStyle name="Comma 2 4 4 3 5 3" xfId="20371" xr:uid="{136216F5-4B76-483F-A47C-CA7B25161CA7}"/>
    <cellStyle name="Comma 2 4 4 3 5 3 2" xfId="50611" xr:uid="{17361EF4-3B61-43F5-B1A6-8C125B707081}"/>
    <cellStyle name="Comma 2 4 4 3 5 4" xfId="35491" xr:uid="{FC8D383F-31CD-4A37-88C8-6E07CAE46936}"/>
    <cellStyle name="Comma 2 4 4 3 6" xfId="6763" xr:uid="{3592D4E1-5AE4-459A-9825-1FC3D4A50B1F}"/>
    <cellStyle name="Comma 2 4 4 3 6 2" xfId="21883" xr:uid="{5640B885-C565-467B-9A35-067BBA60E9E6}"/>
    <cellStyle name="Comma 2 4 4 3 6 2 2" xfId="52123" xr:uid="{BB921AD4-2332-47E5-860D-F3B41DE794FF}"/>
    <cellStyle name="Comma 2 4 4 3 6 3" xfId="37003" xr:uid="{7F1784F6-9984-42A1-BB64-722BD851146D}"/>
    <cellStyle name="Comma 2 4 4 3 7" xfId="8275" xr:uid="{51CD775A-890C-4D2E-9C27-7DFEBB5465DF}"/>
    <cellStyle name="Comma 2 4 4 3 7 2" xfId="23395" xr:uid="{176A3FF6-8C32-41CF-8C92-7E78234C063D}"/>
    <cellStyle name="Comma 2 4 4 3 7 2 2" xfId="53635" xr:uid="{C79B62B4-9B68-4D0B-B529-E2E11FDFF697}"/>
    <cellStyle name="Comma 2 4 4 3 7 3" xfId="38515" xr:uid="{3F2CF485-EB0B-4B4F-94F3-C5ADFD101B09}"/>
    <cellStyle name="Comma 2 4 4 3 8" xfId="9787" xr:uid="{2F0F9BE4-285B-42C2-82B8-8AD6EA1A211E}"/>
    <cellStyle name="Comma 2 4 4 3 8 2" xfId="24907" xr:uid="{04112735-50C2-46BD-9119-3A05F962C0CB}"/>
    <cellStyle name="Comma 2 4 4 3 8 2 2" xfId="55147" xr:uid="{7F91332B-8AC4-4D92-8C9D-9A6B164CFABA}"/>
    <cellStyle name="Comma 2 4 4 3 8 3" xfId="40027" xr:uid="{BC8DB92E-DB3F-4D1F-A9D5-1E9B57AAEB93}"/>
    <cellStyle name="Comma 2 4 4 3 9" xfId="15835" xr:uid="{19829F8B-191C-4566-9870-A2230A41BD95}"/>
    <cellStyle name="Comma 2 4 4 3 9 2" xfId="46075" xr:uid="{B4F63980-E674-4E56-8424-5D6D04A74FEB}"/>
    <cellStyle name="Comma 2 4 4 4" xfId="967" xr:uid="{AA4C7412-0DEC-44CB-BCEB-093A07D5045E}"/>
    <cellStyle name="Comma 2 4 4 4 2" xfId="2479" xr:uid="{FC1BDE20-21CF-4950-AF84-F8AB56F2175A}"/>
    <cellStyle name="Comma 2 4 4 4 2 2" xfId="11551" xr:uid="{F0431260-71D7-40F2-BF11-FD75753C019C}"/>
    <cellStyle name="Comma 2 4 4 4 2 2 2" xfId="26671" xr:uid="{77C255BF-9786-4CF0-BF36-7B172FF8B841}"/>
    <cellStyle name="Comma 2 4 4 4 2 2 2 2" xfId="56911" xr:uid="{B2FEB53D-F088-4323-B9B0-3F5B356A35D8}"/>
    <cellStyle name="Comma 2 4 4 4 2 2 3" xfId="41791" xr:uid="{A37B9E0E-1DC0-4306-B852-583B8F96B6A6}"/>
    <cellStyle name="Comma 2 4 4 4 2 3" xfId="17599" xr:uid="{793D6FCC-013A-4F15-BA4B-240E361B9D17}"/>
    <cellStyle name="Comma 2 4 4 4 2 3 2" xfId="47839" xr:uid="{83FCB574-A124-4683-96B2-EC9551202C84}"/>
    <cellStyle name="Comma 2 4 4 4 2 4" xfId="32719" xr:uid="{224AFFFA-0D39-47B6-A2C1-1C336ED60807}"/>
    <cellStyle name="Comma 2 4 4 4 3" xfId="3991" xr:uid="{E55EA858-9EAF-4E3D-B530-00CB68EECB9D}"/>
    <cellStyle name="Comma 2 4 4 4 3 2" xfId="13063" xr:uid="{904F3AFC-B6A8-4413-9F8D-DCBF2C1D9C48}"/>
    <cellStyle name="Comma 2 4 4 4 3 2 2" xfId="28183" xr:uid="{C2B7F0F7-5B96-40C4-AADA-7BA49D3B7242}"/>
    <cellStyle name="Comma 2 4 4 4 3 2 2 2" xfId="58423" xr:uid="{6B6F99CA-31EC-44DA-B25A-9319ED85BBA5}"/>
    <cellStyle name="Comma 2 4 4 4 3 2 3" xfId="43303" xr:uid="{FC4D0359-7BE7-426C-BF3C-A2FB3C9C5B54}"/>
    <cellStyle name="Comma 2 4 4 4 3 3" xfId="19111" xr:uid="{9D287A5E-AC54-4DA4-BA0A-552A94685A54}"/>
    <cellStyle name="Comma 2 4 4 4 3 3 2" xfId="49351" xr:uid="{CABFDE36-1345-4467-B5E1-B7C2857D7CD4}"/>
    <cellStyle name="Comma 2 4 4 4 3 4" xfId="34231" xr:uid="{DB4C78EF-DB08-4EB2-9935-CC6455C589D6}"/>
    <cellStyle name="Comma 2 4 4 4 4" xfId="5503" xr:uid="{08B02E2B-EE3C-4CB4-801E-C8FC1DEC37C5}"/>
    <cellStyle name="Comma 2 4 4 4 4 2" xfId="14575" xr:uid="{92097198-C9E0-4AEA-8867-857805553722}"/>
    <cellStyle name="Comma 2 4 4 4 4 2 2" xfId="29695" xr:uid="{E6432DB1-87FF-46B3-A82F-F6DABFC5469C}"/>
    <cellStyle name="Comma 2 4 4 4 4 2 2 2" xfId="59935" xr:uid="{C9101C33-E4CC-4730-92BA-EDCBBCE1E694}"/>
    <cellStyle name="Comma 2 4 4 4 4 2 3" xfId="44815" xr:uid="{2A91C287-80DB-4CC9-8CF9-786457F0D51A}"/>
    <cellStyle name="Comma 2 4 4 4 4 3" xfId="20623" xr:uid="{9E8EDF11-A645-4E1E-B429-9E816EE7BDEA}"/>
    <cellStyle name="Comma 2 4 4 4 4 3 2" xfId="50863" xr:uid="{47FFD3C9-8324-4969-AA9D-D2E56F98BB0C}"/>
    <cellStyle name="Comma 2 4 4 4 4 4" xfId="35743" xr:uid="{7B559270-93BC-4AF7-B37E-0944C4BE01C8}"/>
    <cellStyle name="Comma 2 4 4 4 5" xfId="7015" xr:uid="{A16F5DDE-D82F-42BC-8258-C507D6D4E379}"/>
    <cellStyle name="Comma 2 4 4 4 5 2" xfId="22135" xr:uid="{F0072BBA-9EA9-42EB-8F0E-5E3118729085}"/>
    <cellStyle name="Comma 2 4 4 4 5 2 2" xfId="52375" xr:uid="{10B61293-DDB6-4280-BA25-C974ED382D2E}"/>
    <cellStyle name="Comma 2 4 4 4 5 3" xfId="37255" xr:uid="{298C8A10-54E9-46D9-A378-58FFCD4728C2}"/>
    <cellStyle name="Comma 2 4 4 4 6" xfId="8527" xr:uid="{F6CF9EA8-D5EF-4644-BFD8-1E0D35043992}"/>
    <cellStyle name="Comma 2 4 4 4 6 2" xfId="23647" xr:uid="{E41B35A4-1CB0-44E2-B652-1086B1D9CCF1}"/>
    <cellStyle name="Comma 2 4 4 4 6 2 2" xfId="53887" xr:uid="{FAF0D460-1BBE-4318-9A10-5687E743B96F}"/>
    <cellStyle name="Comma 2 4 4 4 6 3" xfId="38767" xr:uid="{27CE68E5-CA3E-43F7-A5F7-57F49B236AD4}"/>
    <cellStyle name="Comma 2 4 4 4 7" xfId="10039" xr:uid="{3266B6E3-501B-4CAE-B53E-A8CC3754E39E}"/>
    <cellStyle name="Comma 2 4 4 4 7 2" xfId="25159" xr:uid="{C9CB06D8-7886-4177-A228-BB1FF883ADD7}"/>
    <cellStyle name="Comma 2 4 4 4 7 2 2" xfId="55399" xr:uid="{0E90FE38-88F7-47B3-9D78-BD3853745C44}"/>
    <cellStyle name="Comma 2 4 4 4 7 3" xfId="40279" xr:uid="{5248CFBC-0F90-4609-A783-BCFB9858ED76}"/>
    <cellStyle name="Comma 2 4 4 4 8" xfId="16087" xr:uid="{8ECE7A4E-AD01-40B8-A5E3-AA385FE5CB1F}"/>
    <cellStyle name="Comma 2 4 4 4 8 2" xfId="46327" xr:uid="{93C4B9BE-D227-4EFD-BB0A-84EEBA36927F}"/>
    <cellStyle name="Comma 2 4 4 4 9" xfId="31207" xr:uid="{9425094A-3836-4283-8C02-920CBD27058E}"/>
    <cellStyle name="Comma 2 4 4 5" xfId="1723" xr:uid="{C91DFD73-04BF-4C25-8DE0-DC8D103827CD}"/>
    <cellStyle name="Comma 2 4 4 5 2" xfId="10795" xr:uid="{57481FB3-AF7A-45AE-BD65-2DD790E2368F}"/>
    <cellStyle name="Comma 2 4 4 5 2 2" xfId="25915" xr:uid="{92BB1348-2AD2-4D71-AB5A-C803CA4C0273}"/>
    <cellStyle name="Comma 2 4 4 5 2 2 2" xfId="56155" xr:uid="{65356573-8E01-43AA-87E3-18855A3A54B4}"/>
    <cellStyle name="Comma 2 4 4 5 2 3" xfId="41035" xr:uid="{1FE13194-FE31-4D66-AD72-5C4ACE3446AD}"/>
    <cellStyle name="Comma 2 4 4 5 3" xfId="16843" xr:uid="{3422967B-C777-4B97-B5F9-AC27ABBA6D18}"/>
    <cellStyle name="Comma 2 4 4 5 3 2" xfId="47083" xr:uid="{B296B3F2-AE99-4ADA-B928-B083EEA97E70}"/>
    <cellStyle name="Comma 2 4 4 5 4" xfId="31963" xr:uid="{D60BFCBA-4E00-4AFA-8D77-AA7F308B2968}"/>
    <cellStyle name="Comma 2 4 4 6" xfId="3235" xr:uid="{30B9296A-F3B9-49F0-ADCA-38B76EA4E2A0}"/>
    <cellStyle name="Comma 2 4 4 6 2" xfId="12307" xr:uid="{58B5250A-19F9-412A-AF2A-B0EDD0D71F3C}"/>
    <cellStyle name="Comma 2 4 4 6 2 2" xfId="27427" xr:uid="{8C0FEF4C-C976-433F-AA73-FA7527EBEBAC}"/>
    <cellStyle name="Comma 2 4 4 6 2 2 2" xfId="57667" xr:uid="{02DF58BD-FBAC-42AC-A555-88591DF008E9}"/>
    <cellStyle name="Comma 2 4 4 6 2 3" xfId="42547" xr:uid="{612B8715-697B-4C15-8839-9734134E05F7}"/>
    <cellStyle name="Comma 2 4 4 6 3" xfId="18355" xr:uid="{BBD23A40-2CC6-416C-8A6A-0D31C11B30FC}"/>
    <cellStyle name="Comma 2 4 4 6 3 2" xfId="48595" xr:uid="{A2A5CAD1-A074-4869-A9F1-2010AE0F3165}"/>
    <cellStyle name="Comma 2 4 4 6 4" xfId="33475" xr:uid="{5A492B43-71A3-45E2-AE2D-DB90C47AA6B4}"/>
    <cellStyle name="Comma 2 4 4 7" xfId="4747" xr:uid="{9F113ADA-F14F-4214-A4AE-54F35D17F1EB}"/>
    <cellStyle name="Comma 2 4 4 7 2" xfId="13819" xr:uid="{191B24D2-D973-4C64-A4FE-9D622A8CFB86}"/>
    <cellStyle name="Comma 2 4 4 7 2 2" xfId="28939" xr:uid="{54ADAD37-4C4A-4BFE-8D85-FE1524B93D68}"/>
    <cellStyle name="Comma 2 4 4 7 2 2 2" xfId="59179" xr:uid="{F7F4C684-C334-4F0B-B63C-54CDC9A3E792}"/>
    <cellStyle name="Comma 2 4 4 7 2 3" xfId="44059" xr:uid="{0C485CB2-B2C4-4F69-9FA7-20FB2C78D487}"/>
    <cellStyle name="Comma 2 4 4 7 3" xfId="19867" xr:uid="{E32A039F-FAE9-4F45-8EB0-AE7264F798AC}"/>
    <cellStyle name="Comma 2 4 4 7 3 2" xfId="50107" xr:uid="{CF10F93E-E924-49D0-B4DE-2A85C33769DC}"/>
    <cellStyle name="Comma 2 4 4 7 4" xfId="34987" xr:uid="{F66D6397-24A9-49DD-AB84-2A118417FAD7}"/>
    <cellStyle name="Comma 2 4 4 8" xfId="6259" xr:uid="{CD7D546F-1C57-4253-A9E5-FD704E4CD7F0}"/>
    <cellStyle name="Comma 2 4 4 8 2" xfId="21379" xr:uid="{8E4DFB1C-1994-481D-82B2-EFD847175027}"/>
    <cellStyle name="Comma 2 4 4 8 2 2" xfId="51619" xr:uid="{7E48ABA4-6DBB-4149-BFF9-D93674EAD77C}"/>
    <cellStyle name="Comma 2 4 4 8 3" xfId="36499" xr:uid="{CFF7F6B6-0D6C-4B48-BB9A-923AAC88FEFE}"/>
    <cellStyle name="Comma 2 4 4 9" xfId="7771" xr:uid="{9929243D-0A68-4C95-876A-68CC51DC41FB}"/>
    <cellStyle name="Comma 2 4 4 9 2" xfId="22891" xr:uid="{A792FFF9-9552-48EB-9B69-9395D9316164}"/>
    <cellStyle name="Comma 2 4 4 9 2 2" xfId="53131" xr:uid="{0EBA92BE-471A-4CFF-A265-C3C71571D28C}"/>
    <cellStyle name="Comma 2 4 4 9 3" xfId="38011" xr:uid="{75D344EB-7854-40F4-9FA0-52A8DEAE4EF1}"/>
    <cellStyle name="Comma 2 4 5" xfId="295" xr:uid="{A0510691-3371-4E96-B8B3-0191D735DF74}"/>
    <cellStyle name="Comma 2 4 5 10" xfId="30535" xr:uid="{F174380A-DACD-4F41-9569-B6F940E47FB4}"/>
    <cellStyle name="Comma 2 4 5 2" xfId="1051" xr:uid="{0955EFE5-E0E4-48D4-BF49-A212B40A298F}"/>
    <cellStyle name="Comma 2 4 5 2 2" xfId="2563" xr:uid="{17FE3092-2474-4B79-A806-AE80BFA6D7A5}"/>
    <cellStyle name="Comma 2 4 5 2 2 2" xfId="11635" xr:uid="{27C0396C-BADB-4C5B-87B3-54AD1F498C47}"/>
    <cellStyle name="Comma 2 4 5 2 2 2 2" xfId="26755" xr:uid="{101A55B3-FF23-406C-86EC-EC0BED1E3DE1}"/>
    <cellStyle name="Comma 2 4 5 2 2 2 2 2" xfId="56995" xr:uid="{144AEC6D-9A62-4DB8-964C-D321D27678ED}"/>
    <cellStyle name="Comma 2 4 5 2 2 2 3" xfId="41875" xr:uid="{609204EE-BA95-485C-BD6B-ACF694E87C01}"/>
    <cellStyle name="Comma 2 4 5 2 2 3" xfId="17683" xr:uid="{F7194661-3431-4E0C-AAB6-1794B78A6F84}"/>
    <cellStyle name="Comma 2 4 5 2 2 3 2" xfId="47923" xr:uid="{815CC374-0976-4E95-8470-2878E42A1D37}"/>
    <cellStyle name="Comma 2 4 5 2 2 4" xfId="32803" xr:uid="{38B38F06-D3F0-495D-8D55-DC994BF98D3B}"/>
    <cellStyle name="Comma 2 4 5 2 3" xfId="4075" xr:uid="{71574315-F819-4CC0-8E8F-532561619B1D}"/>
    <cellStyle name="Comma 2 4 5 2 3 2" xfId="13147" xr:uid="{20835320-0BB1-417B-96DD-EBEC7AC96BF6}"/>
    <cellStyle name="Comma 2 4 5 2 3 2 2" xfId="28267" xr:uid="{22EDFAE4-81A4-49E4-91D3-409AA988B504}"/>
    <cellStyle name="Comma 2 4 5 2 3 2 2 2" xfId="58507" xr:uid="{EBA93555-1E9C-4155-8E11-05C96C005742}"/>
    <cellStyle name="Comma 2 4 5 2 3 2 3" xfId="43387" xr:uid="{08E43CC8-B285-4CB2-B3A0-35C3EED353BE}"/>
    <cellStyle name="Comma 2 4 5 2 3 3" xfId="19195" xr:uid="{658DAE20-4901-43E0-91C3-6F0A68700D90}"/>
    <cellStyle name="Comma 2 4 5 2 3 3 2" xfId="49435" xr:uid="{4B698816-A7DE-4961-B1BA-3D7110420995}"/>
    <cellStyle name="Comma 2 4 5 2 3 4" xfId="34315" xr:uid="{E48DE7E4-CCEC-473C-A277-BC60AE61FA6D}"/>
    <cellStyle name="Comma 2 4 5 2 4" xfId="5587" xr:uid="{7098742C-A24F-486D-9881-9E74919B1F90}"/>
    <cellStyle name="Comma 2 4 5 2 4 2" xfId="14659" xr:uid="{589C8112-0094-4D45-82E4-FAAF7C7557EA}"/>
    <cellStyle name="Comma 2 4 5 2 4 2 2" xfId="29779" xr:uid="{43377A10-2ED2-408D-BA6D-F6F2D26A24DA}"/>
    <cellStyle name="Comma 2 4 5 2 4 2 2 2" xfId="60019" xr:uid="{B7A5BD28-C61D-4F29-996A-03E5AF522881}"/>
    <cellStyle name="Comma 2 4 5 2 4 2 3" xfId="44899" xr:uid="{AACB3600-1D0F-4B8A-9F65-D9E9E8910A47}"/>
    <cellStyle name="Comma 2 4 5 2 4 3" xfId="20707" xr:uid="{6EF27CAB-8C27-427B-8804-D880C299B65A}"/>
    <cellStyle name="Comma 2 4 5 2 4 3 2" xfId="50947" xr:uid="{DEAB6FCD-ECFD-4F7D-9258-1880F360DEBE}"/>
    <cellStyle name="Comma 2 4 5 2 4 4" xfId="35827" xr:uid="{2F5D5CA9-4A34-4615-831A-99F891612082}"/>
    <cellStyle name="Comma 2 4 5 2 5" xfId="7099" xr:uid="{2FFB8EA5-A9AB-42EB-89BE-2408EC9B8A33}"/>
    <cellStyle name="Comma 2 4 5 2 5 2" xfId="22219" xr:uid="{F2F08CD3-CE7E-4BA4-BA59-4162C5A236EB}"/>
    <cellStyle name="Comma 2 4 5 2 5 2 2" xfId="52459" xr:uid="{5D22007D-C101-46E5-BA7B-8BD6F4E177F9}"/>
    <cellStyle name="Comma 2 4 5 2 5 3" xfId="37339" xr:uid="{ED5E5104-CFAF-4510-8374-CE49F87CA183}"/>
    <cellStyle name="Comma 2 4 5 2 6" xfId="8611" xr:uid="{E17C3A38-3712-4CC9-8CC1-5731F581B1C0}"/>
    <cellStyle name="Comma 2 4 5 2 6 2" xfId="23731" xr:uid="{DD9A7F74-3F07-401B-AB08-76BB3B093FDB}"/>
    <cellStyle name="Comma 2 4 5 2 6 2 2" xfId="53971" xr:uid="{1FBFBB7D-9757-4409-B734-11F45D5F4263}"/>
    <cellStyle name="Comma 2 4 5 2 6 3" xfId="38851" xr:uid="{E2C19366-CEBF-494E-9DE3-DBD283F36B23}"/>
    <cellStyle name="Comma 2 4 5 2 7" xfId="10123" xr:uid="{0DE3CD06-80D8-4D6E-B758-2DEC2887E2C2}"/>
    <cellStyle name="Comma 2 4 5 2 7 2" xfId="25243" xr:uid="{DFB7561D-6C79-464A-BD5E-7EADA4431614}"/>
    <cellStyle name="Comma 2 4 5 2 7 2 2" xfId="55483" xr:uid="{E5204F34-E545-42C1-A54F-44AD6D5BAB20}"/>
    <cellStyle name="Comma 2 4 5 2 7 3" xfId="40363" xr:uid="{87F1ABD3-B2A8-4ECD-8145-72EB35B5680F}"/>
    <cellStyle name="Comma 2 4 5 2 8" xfId="16171" xr:uid="{7157205B-4385-4592-9CC1-80A25E97EE42}"/>
    <cellStyle name="Comma 2 4 5 2 8 2" xfId="46411" xr:uid="{56ED320A-70CA-46DD-B143-CA05B19BE256}"/>
    <cellStyle name="Comma 2 4 5 2 9" xfId="31291" xr:uid="{04170C12-C52B-414C-8603-66AA1595B901}"/>
    <cellStyle name="Comma 2 4 5 3" xfId="1807" xr:uid="{DD4A179E-7B00-4419-B4C7-10624A753040}"/>
    <cellStyle name="Comma 2 4 5 3 2" xfId="10879" xr:uid="{C25A7442-27F5-4225-8F0E-DCA099A359F7}"/>
    <cellStyle name="Comma 2 4 5 3 2 2" xfId="25999" xr:uid="{8B2ACE2E-544A-4264-94D7-E91B355C3F43}"/>
    <cellStyle name="Comma 2 4 5 3 2 2 2" xfId="56239" xr:uid="{66C41519-EE8A-4629-9340-29FD7B70C55D}"/>
    <cellStyle name="Comma 2 4 5 3 2 3" xfId="41119" xr:uid="{5DE1A785-399E-4312-8101-3DEF9347E17A}"/>
    <cellStyle name="Comma 2 4 5 3 3" xfId="16927" xr:uid="{6DA5F654-FA26-4DAB-A3C9-03064B5730CC}"/>
    <cellStyle name="Comma 2 4 5 3 3 2" xfId="47167" xr:uid="{7D881376-DF93-4ECE-AEE1-21BF8D434C40}"/>
    <cellStyle name="Comma 2 4 5 3 4" xfId="32047" xr:uid="{872258C3-1D97-4DC1-9C8E-13457E944920}"/>
    <cellStyle name="Comma 2 4 5 4" xfId="3319" xr:uid="{685F0360-302B-46CD-BC02-027E792FF239}"/>
    <cellStyle name="Comma 2 4 5 4 2" xfId="12391" xr:uid="{E1AF79AE-8701-4176-821C-AE5BF2068134}"/>
    <cellStyle name="Comma 2 4 5 4 2 2" xfId="27511" xr:uid="{6C1516D6-1DF5-4CAB-8362-E058022B96A9}"/>
    <cellStyle name="Comma 2 4 5 4 2 2 2" xfId="57751" xr:uid="{AACE70D1-C5F9-4580-9DDA-76A56A86452F}"/>
    <cellStyle name="Comma 2 4 5 4 2 3" xfId="42631" xr:uid="{375A14D1-AB65-4980-8308-5E9E7C6A0BBE}"/>
    <cellStyle name="Comma 2 4 5 4 3" xfId="18439" xr:uid="{329F1278-F9D9-4818-BD8A-C225F078CEE4}"/>
    <cellStyle name="Comma 2 4 5 4 3 2" xfId="48679" xr:uid="{9FC24BAC-14BC-4464-BE06-0A6DC23C76B1}"/>
    <cellStyle name="Comma 2 4 5 4 4" xfId="33559" xr:uid="{679E5D91-A9D8-450F-95FE-06EC23B6E005}"/>
    <cellStyle name="Comma 2 4 5 5" xfId="4831" xr:uid="{A2164526-1D43-48EA-BDEE-49BE45EEF6FE}"/>
    <cellStyle name="Comma 2 4 5 5 2" xfId="13903" xr:uid="{F41A2F5D-80D9-4DE1-BF27-CE3F98CB709A}"/>
    <cellStyle name="Comma 2 4 5 5 2 2" xfId="29023" xr:uid="{5E40268E-CFDA-43D7-8B9B-77CF62CFDE59}"/>
    <cellStyle name="Comma 2 4 5 5 2 2 2" xfId="59263" xr:uid="{5FBFFFAF-19D7-4470-AA80-F5332F77DB07}"/>
    <cellStyle name="Comma 2 4 5 5 2 3" xfId="44143" xr:uid="{D28BD822-CB91-463C-BAF7-71EC1452139A}"/>
    <cellStyle name="Comma 2 4 5 5 3" xfId="19951" xr:uid="{679D44EA-8EB9-4C35-8437-CB1116BA1DD3}"/>
    <cellStyle name="Comma 2 4 5 5 3 2" xfId="50191" xr:uid="{F9FE8136-7D4F-4C3A-A22D-154B47BF7A7E}"/>
    <cellStyle name="Comma 2 4 5 5 4" xfId="35071" xr:uid="{8CCB633A-AA72-4DDE-B897-6F22643EE657}"/>
    <cellStyle name="Comma 2 4 5 6" xfId="6343" xr:uid="{2868CBBE-8E2A-4ED0-ACDF-EA53D93CA093}"/>
    <cellStyle name="Comma 2 4 5 6 2" xfId="21463" xr:uid="{FF5CA9B7-411A-46E8-8E8F-B5B2C1A0B47A}"/>
    <cellStyle name="Comma 2 4 5 6 2 2" xfId="51703" xr:uid="{9C8634C4-A695-4E6C-B8F3-0634499FE98C}"/>
    <cellStyle name="Comma 2 4 5 6 3" xfId="36583" xr:uid="{A9DBD336-D83D-40F4-8B84-CAAD62930658}"/>
    <cellStyle name="Comma 2 4 5 7" xfId="7855" xr:uid="{D685ABC5-6A85-4210-B587-ACB7CBC5BFE6}"/>
    <cellStyle name="Comma 2 4 5 7 2" xfId="22975" xr:uid="{B0558D4B-B3A3-4AF1-861A-FDBD389AC14D}"/>
    <cellStyle name="Comma 2 4 5 7 2 2" xfId="53215" xr:uid="{47645FF9-3090-46B6-8071-922070A72C41}"/>
    <cellStyle name="Comma 2 4 5 7 3" xfId="38095" xr:uid="{89A4F329-CF0C-46E3-962D-9E56ADA21122}"/>
    <cellStyle name="Comma 2 4 5 8" xfId="9367" xr:uid="{1146E21F-2729-47A3-82F8-D8888FA6C745}"/>
    <cellStyle name="Comma 2 4 5 8 2" xfId="24487" xr:uid="{154A46BB-4087-4000-A34A-686C1F741158}"/>
    <cellStyle name="Comma 2 4 5 8 2 2" xfId="54727" xr:uid="{3F4DE183-E2E6-4B92-BA59-A5187F807FE8}"/>
    <cellStyle name="Comma 2 4 5 8 3" xfId="39607" xr:uid="{2EBF6C99-855E-4B75-B4A2-F67F5EC05407}"/>
    <cellStyle name="Comma 2 4 5 9" xfId="15415" xr:uid="{D924C74E-37E0-4DF4-AD30-1834C91BB34E}"/>
    <cellStyle name="Comma 2 4 5 9 2" xfId="45655" xr:uid="{B1EBBCE1-F443-460F-8142-0A42FC5205AB}"/>
    <cellStyle name="Comma 2 4 6" xfId="547" xr:uid="{13A76FE3-5B20-4F34-BC9D-DE60C8CA8DEB}"/>
    <cellStyle name="Comma 2 4 6 10" xfId="30787" xr:uid="{92EAD744-4B3B-48C6-B0AB-7297A323BBA3}"/>
    <cellStyle name="Comma 2 4 6 2" xfId="1303" xr:uid="{877ACAD6-CC18-4288-857E-4E940D3024DA}"/>
    <cellStyle name="Comma 2 4 6 2 2" xfId="2815" xr:uid="{0B9A7D34-A44F-4B38-B9A9-F8636F8D8B37}"/>
    <cellStyle name="Comma 2 4 6 2 2 2" xfId="11887" xr:uid="{3335421D-38B2-40EC-B521-F80CB4C4F5C2}"/>
    <cellStyle name="Comma 2 4 6 2 2 2 2" xfId="27007" xr:uid="{76CA3A98-1B9C-4140-A45E-36A88F7A8C14}"/>
    <cellStyle name="Comma 2 4 6 2 2 2 2 2" xfId="57247" xr:uid="{59FEC8F3-2116-4B18-9EF0-14A100D8BA54}"/>
    <cellStyle name="Comma 2 4 6 2 2 2 3" xfId="42127" xr:uid="{69A5B0E7-938D-4874-A36B-7C0EA8705356}"/>
    <cellStyle name="Comma 2 4 6 2 2 3" xfId="17935" xr:uid="{0D30EBD2-6224-4206-8588-4C0A4EDE5B41}"/>
    <cellStyle name="Comma 2 4 6 2 2 3 2" xfId="48175" xr:uid="{D865A26B-310C-4D70-A270-858CA2E20793}"/>
    <cellStyle name="Comma 2 4 6 2 2 4" xfId="33055" xr:uid="{F643F56B-6157-4C79-B0F2-8ACA2D0CC3CE}"/>
    <cellStyle name="Comma 2 4 6 2 3" xfId="4327" xr:uid="{A8183F81-3A57-4AA3-BE8C-9ADBF2716B60}"/>
    <cellStyle name="Comma 2 4 6 2 3 2" xfId="13399" xr:uid="{EACBA4F8-F807-4470-B709-DE2366A5B1C0}"/>
    <cellStyle name="Comma 2 4 6 2 3 2 2" xfId="28519" xr:uid="{F6DE6452-D78A-456E-ABBF-73D93755EFCB}"/>
    <cellStyle name="Comma 2 4 6 2 3 2 2 2" xfId="58759" xr:uid="{F6056ED7-D4BA-40BF-AA8B-50EB33F84A5E}"/>
    <cellStyle name="Comma 2 4 6 2 3 2 3" xfId="43639" xr:uid="{B9FA576F-E798-446C-91B0-628C0D1230DA}"/>
    <cellStyle name="Comma 2 4 6 2 3 3" xfId="19447" xr:uid="{826B106E-0B32-4787-A55D-3333A470DD97}"/>
    <cellStyle name="Comma 2 4 6 2 3 3 2" xfId="49687" xr:uid="{E53610DC-A8B4-45F8-BA5F-F638DD98E018}"/>
    <cellStyle name="Comma 2 4 6 2 3 4" xfId="34567" xr:uid="{B851C1A8-7212-4800-AFB1-079232566F61}"/>
    <cellStyle name="Comma 2 4 6 2 4" xfId="5839" xr:uid="{1D79DFF4-1245-4BBA-A1EA-E0E2B684C06E}"/>
    <cellStyle name="Comma 2 4 6 2 4 2" xfId="14911" xr:uid="{E6A1DB8D-5786-4808-9182-8C65A2EE0E55}"/>
    <cellStyle name="Comma 2 4 6 2 4 2 2" xfId="30031" xr:uid="{FABEC5E1-B43A-44C7-82A1-B7981CCF635A}"/>
    <cellStyle name="Comma 2 4 6 2 4 2 2 2" xfId="60271" xr:uid="{C1B6B219-DD1E-4F74-AABA-E94EB6CBD73D}"/>
    <cellStyle name="Comma 2 4 6 2 4 2 3" xfId="45151" xr:uid="{1CCBE0AE-A289-49B4-AC6A-073C4E9357E9}"/>
    <cellStyle name="Comma 2 4 6 2 4 3" xfId="20959" xr:uid="{CBC01F4F-C3CA-48F7-93B7-0CB2A17D3579}"/>
    <cellStyle name="Comma 2 4 6 2 4 3 2" xfId="51199" xr:uid="{E5452105-4063-4564-9DD0-43C09DDBF087}"/>
    <cellStyle name="Comma 2 4 6 2 4 4" xfId="36079" xr:uid="{912AEC33-04BF-43E0-8044-6FB70DDA5572}"/>
    <cellStyle name="Comma 2 4 6 2 5" xfId="7351" xr:uid="{54F975EA-7ABC-48D4-A5F7-32D2F4824C93}"/>
    <cellStyle name="Comma 2 4 6 2 5 2" xfId="22471" xr:uid="{2BB0D302-2B6C-4F3D-82F9-09970BF938A7}"/>
    <cellStyle name="Comma 2 4 6 2 5 2 2" xfId="52711" xr:uid="{2F9630AE-DFAB-4BCC-A779-4D2C91A6DF3B}"/>
    <cellStyle name="Comma 2 4 6 2 5 3" xfId="37591" xr:uid="{C42AD4AB-24DE-4959-8304-5BA328B62A76}"/>
    <cellStyle name="Comma 2 4 6 2 6" xfId="8863" xr:uid="{B6018E21-579B-4978-AEA4-7509E015C679}"/>
    <cellStyle name="Comma 2 4 6 2 6 2" xfId="23983" xr:uid="{DE0CD670-A9A2-4179-BB56-D9AEE99C754A}"/>
    <cellStyle name="Comma 2 4 6 2 6 2 2" xfId="54223" xr:uid="{7720E215-D6BA-4205-BD1A-F9EDB7858984}"/>
    <cellStyle name="Comma 2 4 6 2 6 3" xfId="39103" xr:uid="{187E2E5B-CE24-4BE4-A168-77AA470B8AB8}"/>
    <cellStyle name="Comma 2 4 6 2 7" xfId="10375" xr:uid="{89AA3F25-EAE5-4503-B706-9BC2581314EE}"/>
    <cellStyle name="Comma 2 4 6 2 7 2" xfId="25495" xr:uid="{93847E75-5A5F-4741-A5AD-2F6070190D5A}"/>
    <cellStyle name="Comma 2 4 6 2 7 2 2" xfId="55735" xr:uid="{9F1B047B-35AD-4735-8DA2-F8339C67F9BF}"/>
    <cellStyle name="Comma 2 4 6 2 7 3" xfId="40615" xr:uid="{9936AEB3-9B29-4D1F-9297-AE93C72D502A}"/>
    <cellStyle name="Comma 2 4 6 2 8" xfId="16423" xr:uid="{DF0FB45F-8A5F-4088-9A3A-6C6EF52FE525}"/>
    <cellStyle name="Comma 2 4 6 2 8 2" xfId="46663" xr:uid="{99C6118A-C935-414A-881F-BCA20E09FD04}"/>
    <cellStyle name="Comma 2 4 6 2 9" xfId="31543" xr:uid="{DFFFFF13-CE65-4EC6-A4CD-353C66DA3077}"/>
    <cellStyle name="Comma 2 4 6 3" xfId="2059" xr:uid="{D8F4C6E1-FAAE-475A-9766-9CEA90ADC681}"/>
    <cellStyle name="Comma 2 4 6 3 2" xfId="11131" xr:uid="{4897896E-448F-4C93-97B1-D6A08FFC4CFB}"/>
    <cellStyle name="Comma 2 4 6 3 2 2" xfId="26251" xr:uid="{48F50A12-7130-42B5-8377-7C6E2779ED93}"/>
    <cellStyle name="Comma 2 4 6 3 2 2 2" xfId="56491" xr:uid="{1ED93235-F632-4CD7-9828-2456E8E95EE7}"/>
    <cellStyle name="Comma 2 4 6 3 2 3" xfId="41371" xr:uid="{488FC40C-003A-460D-B40C-938712CFCC37}"/>
    <cellStyle name="Comma 2 4 6 3 3" xfId="17179" xr:uid="{3736D93D-AA24-461D-BC2F-0BD13CCD7630}"/>
    <cellStyle name="Comma 2 4 6 3 3 2" xfId="47419" xr:uid="{DB153249-4433-46FB-BC73-FEAF5D54C6A2}"/>
    <cellStyle name="Comma 2 4 6 3 4" xfId="32299" xr:uid="{19B3AD89-5B27-4480-85BA-1A013DFECDAB}"/>
    <cellStyle name="Comma 2 4 6 4" xfId="3571" xr:uid="{198438EF-3763-42FE-8C4B-1A82958EA403}"/>
    <cellStyle name="Comma 2 4 6 4 2" xfId="12643" xr:uid="{41A81262-FC53-44BE-808C-408111E8DB57}"/>
    <cellStyle name="Comma 2 4 6 4 2 2" xfId="27763" xr:uid="{EA8B6F8D-786E-459C-A2F6-4DCC6BD2DF6C}"/>
    <cellStyle name="Comma 2 4 6 4 2 2 2" xfId="58003" xr:uid="{CA795CD3-968D-4FED-B702-6C1AC6DC6650}"/>
    <cellStyle name="Comma 2 4 6 4 2 3" xfId="42883" xr:uid="{A6C7099F-08A3-4296-91A5-07D76E16F328}"/>
    <cellStyle name="Comma 2 4 6 4 3" xfId="18691" xr:uid="{EBF80C3B-A186-4EC3-B389-2BDB62909022}"/>
    <cellStyle name="Comma 2 4 6 4 3 2" xfId="48931" xr:uid="{FBC22B03-1D38-477A-8463-C784BA72BA3D}"/>
    <cellStyle name="Comma 2 4 6 4 4" xfId="33811" xr:uid="{0388BB64-EF25-4777-B2E6-812369902781}"/>
    <cellStyle name="Comma 2 4 6 5" xfId="5083" xr:uid="{E99DE6DF-B51A-40B7-8F00-2CDD87BD9C4C}"/>
    <cellStyle name="Comma 2 4 6 5 2" xfId="14155" xr:uid="{BE831206-19DD-471D-B48A-6478EEE86CAB}"/>
    <cellStyle name="Comma 2 4 6 5 2 2" xfId="29275" xr:uid="{ECC4C0BA-CE9C-41BD-B859-671369D78E31}"/>
    <cellStyle name="Comma 2 4 6 5 2 2 2" xfId="59515" xr:uid="{85FA4681-D684-4C71-9CC8-4925AB2E908C}"/>
    <cellStyle name="Comma 2 4 6 5 2 3" xfId="44395" xr:uid="{DB337908-6D35-4515-8E02-451586DC8BF6}"/>
    <cellStyle name="Comma 2 4 6 5 3" xfId="20203" xr:uid="{E9C70E70-3195-48CC-9D61-45B5B69D5CEE}"/>
    <cellStyle name="Comma 2 4 6 5 3 2" xfId="50443" xr:uid="{1D628186-1B3E-4750-AFE0-BB4576AE96E3}"/>
    <cellStyle name="Comma 2 4 6 5 4" xfId="35323" xr:uid="{073B0355-5560-4B74-B021-494F1782416C}"/>
    <cellStyle name="Comma 2 4 6 6" xfId="6595" xr:uid="{5F0E04A5-572D-4FAF-AAF9-1ABA912FF31C}"/>
    <cellStyle name="Comma 2 4 6 6 2" xfId="21715" xr:uid="{DC181490-EE23-4B2E-ABA9-C8BDEF2CBDDB}"/>
    <cellStyle name="Comma 2 4 6 6 2 2" xfId="51955" xr:uid="{37D05E44-5593-4CAC-80FE-F849F870D27B}"/>
    <cellStyle name="Comma 2 4 6 6 3" xfId="36835" xr:uid="{C5D6CC56-4D55-43F5-990A-E014725C1B03}"/>
    <cellStyle name="Comma 2 4 6 7" xfId="8107" xr:uid="{E0CA1147-7EBC-47C2-A4A6-91BC2C1290CE}"/>
    <cellStyle name="Comma 2 4 6 7 2" xfId="23227" xr:uid="{62E3A78A-105C-43EE-A60F-56019F8EAA21}"/>
    <cellStyle name="Comma 2 4 6 7 2 2" xfId="53467" xr:uid="{94F9B3BF-B65B-4BA4-8C87-71B5B5558911}"/>
    <cellStyle name="Comma 2 4 6 7 3" xfId="38347" xr:uid="{F989E125-BD0D-4EFA-A47B-1D5AAB67D095}"/>
    <cellStyle name="Comma 2 4 6 8" xfId="9619" xr:uid="{4634D3DE-E37E-4EAD-9794-821432FA0DD4}"/>
    <cellStyle name="Comma 2 4 6 8 2" xfId="24739" xr:uid="{929FA0C7-29A1-48C9-A8FF-B794C92853A2}"/>
    <cellStyle name="Comma 2 4 6 8 2 2" xfId="54979" xr:uid="{E0A6B774-3FFB-4497-B782-B7509E846198}"/>
    <cellStyle name="Comma 2 4 6 8 3" xfId="39859" xr:uid="{09BD8B2F-73E3-4876-9913-D816071937AC}"/>
    <cellStyle name="Comma 2 4 6 9" xfId="15667" xr:uid="{4825C0A9-3FD6-4AA6-A96B-7EAA365C2E7C}"/>
    <cellStyle name="Comma 2 4 6 9 2" xfId="45907" xr:uid="{3B560118-AC11-49FB-B784-A57842EFB34C}"/>
    <cellStyle name="Comma 2 4 7" xfId="799" xr:uid="{7F51155B-F904-4C71-89DE-C888C04B0408}"/>
    <cellStyle name="Comma 2 4 7 2" xfId="2311" xr:uid="{A5F9E550-E62A-40D6-80CF-BAB94449190E}"/>
    <cellStyle name="Comma 2 4 7 2 2" xfId="11383" xr:uid="{9EB403F2-1C5B-4418-B7BD-1B38459D5A6B}"/>
    <cellStyle name="Comma 2 4 7 2 2 2" xfId="26503" xr:uid="{1C21AD61-CDB0-42C9-A4E3-39DD55C72819}"/>
    <cellStyle name="Comma 2 4 7 2 2 2 2" xfId="56743" xr:uid="{DBF07486-90FA-4B23-B7AF-B0EB979ED68C}"/>
    <cellStyle name="Comma 2 4 7 2 2 3" xfId="41623" xr:uid="{A522F38E-D592-43B5-90EA-B0D3B23741C6}"/>
    <cellStyle name="Comma 2 4 7 2 3" xfId="17431" xr:uid="{326B1D2C-61A2-4F12-87FB-251185F05A17}"/>
    <cellStyle name="Comma 2 4 7 2 3 2" xfId="47671" xr:uid="{2F021329-BBB4-4C20-8A1E-D4DAC3663D5C}"/>
    <cellStyle name="Comma 2 4 7 2 4" xfId="32551" xr:uid="{2DC65D2D-E476-445B-B9E2-EB8D40938F7C}"/>
    <cellStyle name="Comma 2 4 7 3" xfId="3823" xr:uid="{6EFF9364-5237-4E97-8BED-96F1B2135635}"/>
    <cellStyle name="Comma 2 4 7 3 2" xfId="12895" xr:uid="{32FC5106-E676-4D95-9F23-ADBD274438EF}"/>
    <cellStyle name="Comma 2 4 7 3 2 2" xfId="28015" xr:uid="{4352F90F-E400-43AF-9CB7-A44C905B9E26}"/>
    <cellStyle name="Comma 2 4 7 3 2 2 2" xfId="58255" xr:uid="{DC4352BA-BADD-4225-8A11-A45FA4126CD6}"/>
    <cellStyle name="Comma 2 4 7 3 2 3" xfId="43135" xr:uid="{BB2884C0-F30C-4857-A2D7-6CD469DB9AF3}"/>
    <cellStyle name="Comma 2 4 7 3 3" xfId="18943" xr:uid="{B8CF5175-B672-4179-A790-CE3F37E8EA5C}"/>
    <cellStyle name="Comma 2 4 7 3 3 2" xfId="49183" xr:uid="{D69EB0B0-1619-497F-B2DD-82891758C303}"/>
    <cellStyle name="Comma 2 4 7 3 4" xfId="34063" xr:uid="{F82D81B2-4801-4EFE-91E2-FB3B9E912B12}"/>
    <cellStyle name="Comma 2 4 7 4" xfId="5335" xr:uid="{00895BD8-822E-4DF6-8D31-35F251C26F8F}"/>
    <cellStyle name="Comma 2 4 7 4 2" xfId="14407" xr:uid="{E454454C-C38F-4A8D-8258-2CA123301A91}"/>
    <cellStyle name="Comma 2 4 7 4 2 2" xfId="29527" xr:uid="{C206D206-9C3F-435D-91DE-7646CC9D579B}"/>
    <cellStyle name="Comma 2 4 7 4 2 2 2" xfId="59767" xr:uid="{87BBF541-745B-4720-8995-BCE07FA7B639}"/>
    <cellStyle name="Comma 2 4 7 4 2 3" xfId="44647" xr:uid="{E4756960-7F71-4163-9975-31012F7F84A4}"/>
    <cellStyle name="Comma 2 4 7 4 3" xfId="20455" xr:uid="{30290010-5B48-4CCD-B86D-FF84E96DC982}"/>
    <cellStyle name="Comma 2 4 7 4 3 2" xfId="50695" xr:uid="{73125449-BB13-4B89-8D83-1DF024B9B3F6}"/>
    <cellStyle name="Comma 2 4 7 4 4" xfId="35575" xr:uid="{C8353F94-80F3-4565-AE63-F40EA831C443}"/>
    <cellStyle name="Comma 2 4 7 5" xfId="6847" xr:uid="{A4887D2B-436A-4470-8268-0EBBE87D025F}"/>
    <cellStyle name="Comma 2 4 7 5 2" xfId="21967" xr:uid="{5B3CD3D3-1B3D-4B2F-804E-6D20AF2F4BBA}"/>
    <cellStyle name="Comma 2 4 7 5 2 2" xfId="52207" xr:uid="{1C2900FE-2B17-4B6D-ADC1-1D845CD13858}"/>
    <cellStyle name="Comma 2 4 7 5 3" xfId="37087" xr:uid="{7A471392-C0F7-4F20-AB55-6C0F50D39017}"/>
    <cellStyle name="Comma 2 4 7 6" xfId="8359" xr:uid="{436908A5-9316-4B24-8A9B-FEDC5235B1FD}"/>
    <cellStyle name="Comma 2 4 7 6 2" xfId="23479" xr:uid="{5F780CB7-86E7-4E43-9946-E93FA7BC72A5}"/>
    <cellStyle name="Comma 2 4 7 6 2 2" xfId="53719" xr:uid="{B99A7060-ADDB-4767-B5AC-E466164F9C2E}"/>
    <cellStyle name="Comma 2 4 7 6 3" xfId="38599" xr:uid="{DF3A1FDE-F1C5-40D8-B33D-4552A1E12D9D}"/>
    <cellStyle name="Comma 2 4 7 7" xfId="9871" xr:uid="{6000D5E9-9DCC-4F9F-BEA1-D6F0FCC800B2}"/>
    <cellStyle name="Comma 2 4 7 7 2" xfId="24991" xr:uid="{211E07BF-7D54-4BE4-8648-C0AE49E51D71}"/>
    <cellStyle name="Comma 2 4 7 7 2 2" xfId="55231" xr:uid="{AF714D50-FA81-4BCE-830E-B8E3611D2086}"/>
    <cellStyle name="Comma 2 4 7 7 3" xfId="40111" xr:uid="{775FC244-ACE7-4871-96E1-C6F430F9A863}"/>
    <cellStyle name="Comma 2 4 7 8" xfId="15919" xr:uid="{50C80B1B-740A-4CFF-8276-683FAF9D5A25}"/>
    <cellStyle name="Comma 2 4 7 8 2" xfId="46159" xr:uid="{24DCE325-54A7-4D9E-8798-F9414E0E2E9F}"/>
    <cellStyle name="Comma 2 4 7 9" xfId="31039" xr:uid="{8C3B9900-A2A0-406F-BF78-88B7BDED8B3C}"/>
    <cellStyle name="Comma 2 4 8" xfId="1555" xr:uid="{22B73A81-CB19-4AE6-8D38-4EBA10C2C62F}"/>
    <cellStyle name="Comma 2 4 8 2" xfId="10627" xr:uid="{E8239368-10BA-46A4-B015-C815F587EF8E}"/>
    <cellStyle name="Comma 2 4 8 2 2" xfId="25747" xr:uid="{7C872B74-E0B5-494E-BE77-EB6B2EBECA38}"/>
    <cellStyle name="Comma 2 4 8 2 2 2" xfId="55987" xr:uid="{D6FCEF24-C57E-4535-8A66-D67744ED1E5B}"/>
    <cellStyle name="Comma 2 4 8 2 3" xfId="40867" xr:uid="{8F141AD7-1CF4-4E93-9AFA-702F6AC3E2DC}"/>
    <cellStyle name="Comma 2 4 8 3" xfId="16675" xr:uid="{F2037C47-4D4E-4F57-B5D9-5DDE041B47D8}"/>
    <cellStyle name="Comma 2 4 8 3 2" xfId="46915" xr:uid="{ABA8DF7B-B660-40AE-9703-29430D2206B9}"/>
    <cellStyle name="Comma 2 4 8 4" xfId="31795" xr:uid="{45CF3E1B-D1F0-4C40-9F66-13622EEFA4A5}"/>
    <cellStyle name="Comma 2 4 9" xfId="3067" xr:uid="{0994C8B3-79CD-4B98-87B2-36E20CF4E553}"/>
    <cellStyle name="Comma 2 4 9 2" xfId="12139" xr:uid="{B5EAB926-EBF0-408D-BAC7-324999E51904}"/>
    <cellStyle name="Comma 2 4 9 2 2" xfId="27259" xr:uid="{15D3B132-30B1-47FE-90DB-96F2A02E7EF3}"/>
    <cellStyle name="Comma 2 4 9 2 2 2" xfId="57499" xr:uid="{FE03CEC3-2589-4851-84E4-16E39841C52A}"/>
    <cellStyle name="Comma 2 4 9 2 3" xfId="42379" xr:uid="{EACD021B-5BFE-4FA4-B1ED-EB2EF0CC6F7E}"/>
    <cellStyle name="Comma 2 4 9 3" xfId="18187" xr:uid="{D85D6D06-8E23-44EC-B0CD-DDA532DC73AE}"/>
    <cellStyle name="Comma 2 4 9 3 2" xfId="48427" xr:uid="{BC7FB5FD-9182-454C-BC6E-68C2C1F2DC93}"/>
    <cellStyle name="Comma 2 4 9 4" xfId="33307" xr:uid="{B73F27D0-6FA6-4F00-8DEE-3C5365173EDF}"/>
    <cellStyle name="Comma 2 5" xfId="57" xr:uid="{F053236F-76A8-44EA-8270-D816BE5E57F7}"/>
    <cellStyle name="Comma 2 5 10" xfId="6105" xr:uid="{C0819CB1-3DA6-4803-98BF-61B3B6A88A99}"/>
    <cellStyle name="Comma 2 5 10 2" xfId="21225" xr:uid="{BFD524A1-BEAB-4A96-9C46-F8AFF946ACE0}"/>
    <cellStyle name="Comma 2 5 10 2 2" xfId="51465" xr:uid="{52CCA346-4232-4355-BC72-AFA682650BB0}"/>
    <cellStyle name="Comma 2 5 10 3" xfId="36345" xr:uid="{DCC36AC5-E2E6-458B-8AFB-2F225B15593B}"/>
    <cellStyle name="Comma 2 5 11" xfId="7617" xr:uid="{D161D13F-8DE4-46EB-A352-4608299CCA08}"/>
    <cellStyle name="Comma 2 5 11 2" xfId="22737" xr:uid="{7863EDE5-AF88-4E77-B129-13A0247A341E}"/>
    <cellStyle name="Comma 2 5 11 2 2" xfId="52977" xr:uid="{DF15B20C-538F-4718-AB73-7E68A38B5C35}"/>
    <cellStyle name="Comma 2 5 11 3" xfId="37857" xr:uid="{8E1B2E4D-B411-4822-BA55-AAB5F2C49A32}"/>
    <cellStyle name="Comma 2 5 12" xfId="9129" xr:uid="{D166EB18-06B2-4567-8A60-97463C6565F5}"/>
    <cellStyle name="Comma 2 5 12 2" xfId="24249" xr:uid="{5CB94FBA-1EB7-4EA3-A678-2ABF2514D726}"/>
    <cellStyle name="Comma 2 5 12 2 2" xfId="54489" xr:uid="{CBC01472-1824-4AA7-84BD-D697AA96BE73}"/>
    <cellStyle name="Comma 2 5 12 3" xfId="39369" xr:uid="{698E7CCB-E63B-4748-BB72-8F0C9DD38105}"/>
    <cellStyle name="Comma 2 5 13" xfId="15177" xr:uid="{85627C07-5AD8-4B15-8081-27AA6CF7DB94}"/>
    <cellStyle name="Comma 2 5 13 2" xfId="45417" xr:uid="{C8ED170F-D001-455E-9919-63CCD9DB8A3A}"/>
    <cellStyle name="Comma 2 5 14" xfId="30297" xr:uid="{AE834266-68FC-45DB-BEA3-B2D07753C242}"/>
    <cellStyle name="Comma 2 5 2" xfId="141" xr:uid="{84BB5EFE-62A4-469C-8885-266A3801FFDE}"/>
    <cellStyle name="Comma 2 5 2 10" xfId="9213" xr:uid="{D4F9DBA2-C7B5-46A7-8C74-835ADDF6634E}"/>
    <cellStyle name="Comma 2 5 2 10 2" xfId="24333" xr:uid="{3D363FEC-B076-401B-BC4C-3BB1F47DBEBD}"/>
    <cellStyle name="Comma 2 5 2 10 2 2" xfId="54573" xr:uid="{380E120C-AF09-46FB-84AF-C6381494B7BF}"/>
    <cellStyle name="Comma 2 5 2 10 3" xfId="39453" xr:uid="{AC62D948-2B8A-4844-AB01-66BE286CD4F4}"/>
    <cellStyle name="Comma 2 5 2 11" xfId="15261" xr:uid="{F705FA2B-18D7-41B4-983D-2EF63CBBD364}"/>
    <cellStyle name="Comma 2 5 2 11 2" xfId="45501" xr:uid="{2C9A4E86-E0CD-4581-A764-0A45665AB438}"/>
    <cellStyle name="Comma 2 5 2 12" xfId="30381" xr:uid="{D6A9589C-E209-4068-A2BB-BABADC7BBC51}"/>
    <cellStyle name="Comma 2 5 2 2" xfId="393" xr:uid="{BA7C293C-4A8B-4F63-9A27-7984C4888990}"/>
    <cellStyle name="Comma 2 5 2 2 10" xfId="30633" xr:uid="{CBA2FD64-5CCF-4E09-BB20-EC54AA52CB1F}"/>
    <cellStyle name="Comma 2 5 2 2 2" xfId="1149" xr:uid="{BF8BAA45-0C40-482A-9D6B-60C19B288E8F}"/>
    <cellStyle name="Comma 2 5 2 2 2 2" xfId="2661" xr:uid="{126CCA06-6B1B-488E-B0F3-56B8392E6169}"/>
    <cellStyle name="Comma 2 5 2 2 2 2 2" xfId="11733" xr:uid="{3439F24A-4AEF-45E4-A6F3-42D780E5B39D}"/>
    <cellStyle name="Comma 2 5 2 2 2 2 2 2" xfId="26853" xr:uid="{C76C9C89-115D-4D27-B939-42B8BB7332B7}"/>
    <cellStyle name="Comma 2 5 2 2 2 2 2 2 2" xfId="57093" xr:uid="{0048ACC1-1D0E-4BCD-8A87-C8B6576E6185}"/>
    <cellStyle name="Comma 2 5 2 2 2 2 2 3" xfId="41973" xr:uid="{B5982E17-9730-48F1-9E90-27B3D4FF1C21}"/>
    <cellStyle name="Comma 2 5 2 2 2 2 3" xfId="17781" xr:uid="{897CEB98-5194-4684-8380-418E03DBDB8B}"/>
    <cellStyle name="Comma 2 5 2 2 2 2 3 2" xfId="48021" xr:uid="{D429F69B-C361-4448-8D44-4EDA84D90F16}"/>
    <cellStyle name="Comma 2 5 2 2 2 2 4" xfId="32901" xr:uid="{B8E45842-6C2C-4468-BD52-5458148B2D3B}"/>
    <cellStyle name="Comma 2 5 2 2 2 3" xfId="4173" xr:uid="{E0445C2B-0E60-4A52-AA4C-4BFC02239237}"/>
    <cellStyle name="Comma 2 5 2 2 2 3 2" xfId="13245" xr:uid="{B33B6809-D44F-4AD9-BC9A-F9694586DF32}"/>
    <cellStyle name="Comma 2 5 2 2 2 3 2 2" xfId="28365" xr:uid="{817C86E5-B8F0-417D-9045-648DA32EF936}"/>
    <cellStyle name="Comma 2 5 2 2 2 3 2 2 2" xfId="58605" xr:uid="{9FEF8937-6517-4DF4-87BC-D70EFA2FE34C}"/>
    <cellStyle name="Comma 2 5 2 2 2 3 2 3" xfId="43485" xr:uid="{AE692BEB-EB46-433B-9742-64BD80000299}"/>
    <cellStyle name="Comma 2 5 2 2 2 3 3" xfId="19293" xr:uid="{1AC58BC1-21FD-485A-9B09-365C849CA695}"/>
    <cellStyle name="Comma 2 5 2 2 2 3 3 2" xfId="49533" xr:uid="{6BA14C24-6F36-420C-8618-6A2D72800431}"/>
    <cellStyle name="Comma 2 5 2 2 2 3 4" xfId="34413" xr:uid="{809E1B4F-13D5-412A-B20E-4CDC22508B4F}"/>
    <cellStyle name="Comma 2 5 2 2 2 4" xfId="5685" xr:uid="{8A31A4F5-8873-4238-AA2F-5FA2E6C28662}"/>
    <cellStyle name="Comma 2 5 2 2 2 4 2" xfId="14757" xr:uid="{AC376D17-02DA-4CD9-9DEF-EF6E3120EA62}"/>
    <cellStyle name="Comma 2 5 2 2 2 4 2 2" xfId="29877" xr:uid="{986BDE55-C9EF-4B61-ACD4-A779051A1511}"/>
    <cellStyle name="Comma 2 5 2 2 2 4 2 2 2" xfId="60117" xr:uid="{93CDCC82-223E-498B-A967-5A6295AF292D}"/>
    <cellStyle name="Comma 2 5 2 2 2 4 2 3" xfId="44997" xr:uid="{8A06BD45-5EC4-4DB9-9286-3BEC5235DED1}"/>
    <cellStyle name="Comma 2 5 2 2 2 4 3" xfId="20805" xr:uid="{383B9A45-4CB1-471A-BF5B-BC838FF1D9DF}"/>
    <cellStyle name="Comma 2 5 2 2 2 4 3 2" xfId="51045" xr:uid="{E6C55244-F0BC-4AE1-AA27-D84E9AB23553}"/>
    <cellStyle name="Comma 2 5 2 2 2 4 4" xfId="35925" xr:uid="{A3E94CAD-3211-445A-9E04-44B0049704A6}"/>
    <cellStyle name="Comma 2 5 2 2 2 5" xfId="7197" xr:uid="{7519DC2C-BAA0-408C-9063-C1111458FC9D}"/>
    <cellStyle name="Comma 2 5 2 2 2 5 2" xfId="22317" xr:uid="{326099D3-C4FE-4022-8944-B9E75E1B35FD}"/>
    <cellStyle name="Comma 2 5 2 2 2 5 2 2" xfId="52557" xr:uid="{0A0F54B8-EC6F-459A-A1CB-2A7B0CBC58F0}"/>
    <cellStyle name="Comma 2 5 2 2 2 5 3" xfId="37437" xr:uid="{763B703F-5080-4054-9F9B-BCE9D4B5E3E7}"/>
    <cellStyle name="Comma 2 5 2 2 2 6" xfId="8709" xr:uid="{B75A6E70-4EE0-4FD2-A27B-86BB5BF4D507}"/>
    <cellStyle name="Comma 2 5 2 2 2 6 2" xfId="23829" xr:uid="{B3E9CCD3-89B0-42B2-B378-8241E7BBF42B}"/>
    <cellStyle name="Comma 2 5 2 2 2 6 2 2" xfId="54069" xr:uid="{87EB49A3-2948-4E58-9473-0110D5AD0153}"/>
    <cellStyle name="Comma 2 5 2 2 2 6 3" xfId="38949" xr:uid="{9765A366-6914-47BB-BA26-D10E9BF6F66D}"/>
    <cellStyle name="Comma 2 5 2 2 2 7" xfId="10221" xr:uid="{FECF0463-520F-4C3C-9066-E9331E4997FB}"/>
    <cellStyle name="Comma 2 5 2 2 2 7 2" xfId="25341" xr:uid="{59159E24-98AC-4B76-9370-863B8B7A962B}"/>
    <cellStyle name="Comma 2 5 2 2 2 7 2 2" xfId="55581" xr:uid="{C5C90439-A186-4A1D-95FF-8293A80375D7}"/>
    <cellStyle name="Comma 2 5 2 2 2 7 3" xfId="40461" xr:uid="{7D1C1E4A-D292-4A5B-8E5D-7DCB8FB55A63}"/>
    <cellStyle name="Comma 2 5 2 2 2 8" xfId="16269" xr:uid="{3B8AB5CF-7AA1-4678-BE4F-EBB915D346E0}"/>
    <cellStyle name="Comma 2 5 2 2 2 8 2" xfId="46509" xr:uid="{D69A1279-0274-4591-A21E-76464F12FEDA}"/>
    <cellStyle name="Comma 2 5 2 2 2 9" xfId="31389" xr:uid="{894F383F-CBD4-400A-9EE2-AA7F81D4D7DB}"/>
    <cellStyle name="Comma 2 5 2 2 3" xfId="1905" xr:uid="{B70DA53F-F11F-45E6-AFB9-3E44D2B1ACB7}"/>
    <cellStyle name="Comma 2 5 2 2 3 2" xfId="10977" xr:uid="{5EFD7253-DD71-4C2C-8132-AAFA6ADE9BC9}"/>
    <cellStyle name="Comma 2 5 2 2 3 2 2" xfId="26097" xr:uid="{79C58116-344A-460F-8635-8AFD0D3F90B0}"/>
    <cellStyle name="Comma 2 5 2 2 3 2 2 2" xfId="56337" xr:uid="{718A7C0E-658C-44C7-A8B1-28C45B0DFF19}"/>
    <cellStyle name="Comma 2 5 2 2 3 2 3" xfId="41217" xr:uid="{3CA32F5A-8E2B-4596-B065-549F948E8AC5}"/>
    <cellStyle name="Comma 2 5 2 2 3 3" xfId="17025" xr:uid="{7F76110D-76F8-49B3-A8AB-B9633F76DD0D}"/>
    <cellStyle name="Comma 2 5 2 2 3 3 2" xfId="47265" xr:uid="{953253F3-B514-4DBF-9AB6-00D089C6C219}"/>
    <cellStyle name="Comma 2 5 2 2 3 4" xfId="32145" xr:uid="{9C4CBDA9-56FD-41C6-B3F6-D72FC3F721DF}"/>
    <cellStyle name="Comma 2 5 2 2 4" xfId="3417" xr:uid="{0BE5FE02-FC90-4FEB-AA1D-5AE3115A7AA1}"/>
    <cellStyle name="Comma 2 5 2 2 4 2" xfId="12489" xr:uid="{6019D250-B113-4119-8980-ACF53EB5B3ED}"/>
    <cellStyle name="Comma 2 5 2 2 4 2 2" xfId="27609" xr:uid="{E6DC2E5B-628A-4652-B2D0-4F5FC75EE8A0}"/>
    <cellStyle name="Comma 2 5 2 2 4 2 2 2" xfId="57849" xr:uid="{D2DB1C95-97A6-47D5-AF5C-72CC8358D765}"/>
    <cellStyle name="Comma 2 5 2 2 4 2 3" xfId="42729" xr:uid="{79D4A413-A35E-4568-AD24-0E0352867EAB}"/>
    <cellStyle name="Comma 2 5 2 2 4 3" xfId="18537" xr:uid="{8D041E62-12E7-4C1C-A332-042EB465A9F3}"/>
    <cellStyle name="Comma 2 5 2 2 4 3 2" xfId="48777" xr:uid="{8EC8C702-54E6-4774-9BE1-E3646482E74F}"/>
    <cellStyle name="Comma 2 5 2 2 4 4" xfId="33657" xr:uid="{6D5DE9F4-1EF3-4680-A8F7-D0F2F6427499}"/>
    <cellStyle name="Comma 2 5 2 2 5" xfId="4929" xr:uid="{7C7F4E60-A01E-4199-9E41-C922287E6419}"/>
    <cellStyle name="Comma 2 5 2 2 5 2" xfId="14001" xr:uid="{6F663D2E-91A6-4B39-BD74-952CBF4794DA}"/>
    <cellStyle name="Comma 2 5 2 2 5 2 2" xfId="29121" xr:uid="{4BF560D8-AD05-429C-AD01-932F0BBF3CB7}"/>
    <cellStyle name="Comma 2 5 2 2 5 2 2 2" xfId="59361" xr:uid="{7CF16D6B-17E2-4C1F-A1B1-5AA1C7ED5FA1}"/>
    <cellStyle name="Comma 2 5 2 2 5 2 3" xfId="44241" xr:uid="{C8708E2E-0E35-420C-A907-ACBA511FA4A7}"/>
    <cellStyle name="Comma 2 5 2 2 5 3" xfId="20049" xr:uid="{9F3F068C-59B6-4EFD-9A64-2B6861167AEF}"/>
    <cellStyle name="Comma 2 5 2 2 5 3 2" xfId="50289" xr:uid="{6CF98A9D-F388-4331-8AFE-E551501A67B3}"/>
    <cellStyle name="Comma 2 5 2 2 5 4" xfId="35169" xr:uid="{4464DAB3-6302-4C3A-890B-1DECFABCAE17}"/>
    <cellStyle name="Comma 2 5 2 2 6" xfId="6441" xr:uid="{C4520F77-C0A8-4B06-8FEE-1DDF2D874E3C}"/>
    <cellStyle name="Comma 2 5 2 2 6 2" xfId="21561" xr:uid="{ED7D183F-F3C1-4EC7-AE91-9672FC6247CA}"/>
    <cellStyle name="Comma 2 5 2 2 6 2 2" xfId="51801" xr:uid="{6B690055-3DEE-4362-931A-01B29E04673E}"/>
    <cellStyle name="Comma 2 5 2 2 6 3" xfId="36681" xr:uid="{00659EBF-E5D7-4716-9478-AAAA04F53A74}"/>
    <cellStyle name="Comma 2 5 2 2 7" xfId="7953" xr:uid="{760ECC9B-FCF5-4019-8537-03A6DBBF445E}"/>
    <cellStyle name="Comma 2 5 2 2 7 2" xfId="23073" xr:uid="{C7666BA6-8571-45F5-9446-B99F57208B0B}"/>
    <cellStyle name="Comma 2 5 2 2 7 2 2" xfId="53313" xr:uid="{AEAF86A3-A72B-4A40-B6DE-144B43ED05ED}"/>
    <cellStyle name="Comma 2 5 2 2 7 3" xfId="38193" xr:uid="{37F3A86F-C5E6-4FC9-A81A-40EAC738C156}"/>
    <cellStyle name="Comma 2 5 2 2 8" xfId="9465" xr:uid="{EF011418-F97B-401B-8D63-E10AEF59FED7}"/>
    <cellStyle name="Comma 2 5 2 2 8 2" xfId="24585" xr:uid="{E280B577-56AC-462F-B8BD-464F8CD37D49}"/>
    <cellStyle name="Comma 2 5 2 2 8 2 2" xfId="54825" xr:uid="{FE04E843-85D3-4347-88C8-422CA09B2858}"/>
    <cellStyle name="Comma 2 5 2 2 8 3" xfId="39705" xr:uid="{1E9D766A-893E-414B-9385-C12667296D17}"/>
    <cellStyle name="Comma 2 5 2 2 9" xfId="15513" xr:uid="{60CBCC87-4A24-4423-A3FF-ACF31643AB29}"/>
    <cellStyle name="Comma 2 5 2 2 9 2" xfId="45753" xr:uid="{3A553A4B-134A-4D34-B960-870B0FE0D740}"/>
    <cellStyle name="Comma 2 5 2 3" xfId="645" xr:uid="{A0534ADF-619B-4C51-B0F5-F5AB0FF6E0AC}"/>
    <cellStyle name="Comma 2 5 2 3 10" xfId="30885" xr:uid="{D80A0C94-DDF1-4CB9-87C0-58AA672BF779}"/>
    <cellStyle name="Comma 2 5 2 3 2" xfId="1401" xr:uid="{853D9917-C290-47C6-9A3B-6528213A1A48}"/>
    <cellStyle name="Comma 2 5 2 3 2 2" xfId="2913" xr:uid="{1D1E4D12-4B74-49D8-9B43-1CDD9198911C}"/>
    <cellStyle name="Comma 2 5 2 3 2 2 2" xfId="11985" xr:uid="{B8696DE3-6A8A-46E2-A03F-F923AF675534}"/>
    <cellStyle name="Comma 2 5 2 3 2 2 2 2" xfId="27105" xr:uid="{D2E181A9-9C17-4371-869D-80335E1B8CEB}"/>
    <cellStyle name="Comma 2 5 2 3 2 2 2 2 2" xfId="57345" xr:uid="{F8C7DBFA-D9F1-4AD7-ADD0-E49488F5B5C1}"/>
    <cellStyle name="Comma 2 5 2 3 2 2 2 3" xfId="42225" xr:uid="{2CE5D1F6-5646-4FA1-8F2D-58E0A7326966}"/>
    <cellStyle name="Comma 2 5 2 3 2 2 3" xfId="18033" xr:uid="{A4067FDA-6F9B-436C-89CC-C615D68F1FAF}"/>
    <cellStyle name="Comma 2 5 2 3 2 2 3 2" xfId="48273" xr:uid="{8D23283D-7FF3-4698-B4A2-1BA8076668EF}"/>
    <cellStyle name="Comma 2 5 2 3 2 2 4" xfId="33153" xr:uid="{8E1C1041-1149-49A9-B916-832A7A4A30FC}"/>
    <cellStyle name="Comma 2 5 2 3 2 3" xfId="4425" xr:uid="{67E2DF01-E054-4D1C-9D2B-E284E6629267}"/>
    <cellStyle name="Comma 2 5 2 3 2 3 2" xfId="13497" xr:uid="{53D06C81-EDA7-4705-9803-7367EA86E9F8}"/>
    <cellStyle name="Comma 2 5 2 3 2 3 2 2" xfId="28617" xr:uid="{48D14B5C-FDD7-45E3-AEB6-BD25269CD9BC}"/>
    <cellStyle name="Comma 2 5 2 3 2 3 2 2 2" xfId="58857" xr:uid="{58AF727E-4F70-4C52-B6DD-6310487C463A}"/>
    <cellStyle name="Comma 2 5 2 3 2 3 2 3" xfId="43737" xr:uid="{BF6AD691-5E99-49C5-A795-B5E67128517C}"/>
    <cellStyle name="Comma 2 5 2 3 2 3 3" xfId="19545" xr:uid="{8D51A1E7-A572-4575-A124-8199CB34A209}"/>
    <cellStyle name="Comma 2 5 2 3 2 3 3 2" xfId="49785" xr:uid="{8D257A9B-40C7-40AB-8AAA-4B17F9255FDD}"/>
    <cellStyle name="Comma 2 5 2 3 2 3 4" xfId="34665" xr:uid="{258E288D-3CC3-4595-B788-B049E17FD440}"/>
    <cellStyle name="Comma 2 5 2 3 2 4" xfId="5937" xr:uid="{97193C2F-EE50-42EF-96E8-4FB19166706C}"/>
    <cellStyle name="Comma 2 5 2 3 2 4 2" xfId="15009" xr:uid="{BF259ABC-A6C2-41DF-B3A8-D71D79BBB7FC}"/>
    <cellStyle name="Comma 2 5 2 3 2 4 2 2" xfId="30129" xr:uid="{640E0CDA-A3A3-45DB-AFB7-4FE1AAC1C473}"/>
    <cellStyle name="Comma 2 5 2 3 2 4 2 2 2" xfId="60369" xr:uid="{D9BED294-019F-40D1-8F2F-AF05836EE23B}"/>
    <cellStyle name="Comma 2 5 2 3 2 4 2 3" xfId="45249" xr:uid="{1AA1EF44-69A0-4492-8564-534FD2DE442E}"/>
    <cellStyle name="Comma 2 5 2 3 2 4 3" xfId="21057" xr:uid="{FEF27D87-EFB2-4CF2-B83C-E151DBE49254}"/>
    <cellStyle name="Comma 2 5 2 3 2 4 3 2" xfId="51297" xr:uid="{CA642913-04DE-4494-B4A3-DF889B766D5A}"/>
    <cellStyle name="Comma 2 5 2 3 2 4 4" xfId="36177" xr:uid="{7271C894-E347-477C-9C79-EBBD9F80A0C2}"/>
    <cellStyle name="Comma 2 5 2 3 2 5" xfId="7449" xr:uid="{DCC909B6-F349-42FC-ADE0-5876824C7E57}"/>
    <cellStyle name="Comma 2 5 2 3 2 5 2" xfId="22569" xr:uid="{D764A683-E466-4916-B3DF-0F8B4962BE44}"/>
    <cellStyle name="Comma 2 5 2 3 2 5 2 2" xfId="52809" xr:uid="{62A78F0A-B5E6-4A3E-B962-17826D6D715C}"/>
    <cellStyle name="Comma 2 5 2 3 2 5 3" xfId="37689" xr:uid="{37D79033-6679-4A55-82CC-138C68086289}"/>
    <cellStyle name="Comma 2 5 2 3 2 6" xfId="8961" xr:uid="{61ECCBB5-F60D-401E-984E-9F4C45268C62}"/>
    <cellStyle name="Comma 2 5 2 3 2 6 2" xfId="24081" xr:uid="{A2D0EB28-8E2A-49C8-B303-DA215EBAD8CE}"/>
    <cellStyle name="Comma 2 5 2 3 2 6 2 2" xfId="54321" xr:uid="{835CA142-0429-4029-9341-D7231FC32B1D}"/>
    <cellStyle name="Comma 2 5 2 3 2 6 3" xfId="39201" xr:uid="{2FB908CA-2CCC-4B25-955E-F0C428B21339}"/>
    <cellStyle name="Comma 2 5 2 3 2 7" xfId="10473" xr:uid="{A3B96C40-F180-4B5C-9B4A-D608D9B62D7B}"/>
    <cellStyle name="Comma 2 5 2 3 2 7 2" xfId="25593" xr:uid="{AC50B7F7-969E-4DDF-8F1C-54DEFFF45B01}"/>
    <cellStyle name="Comma 2 5 2 3 2 7 2 2" xfId="55833" xr:uid="{54B6F957-F179-4401-88E4-F501F5876F22}"/>
    <cellStyle name="Comma 2 5 2 3 2 7 3" xfId="40713" xr:uid="{4AA7E191-A41F-4006-BACD-48A6478AC827}"/>
    <cellStyle name="Comma 2 5 2 3 2 8" xfId="16521" xr:uid="{BEBBB9AC-2025-495D-86A4-9DC255BA71AD}"/>
    <cellStyle name="Comma 2 5 2 3 2 8 2" xfId="46761" xr:uid="{75EB5891-CBFC-490F-B143-D3CFF34F3F7F}"/>
    <cellStyle name="Comma 2 5 2 3 2 9" xfId="31641" xr:uid="{488CFB8A-45D2-4437-8935-5BA33CCE5735}"/>
    <cellStyle name="Comma 2 5 2 3 3" xfId="2157" xr:uid="{0779B445-E153-4460-9614-2ADB733714C6}"/>
    <cellStyle name="Comma 2 5 2 3 3 2" xfId="11229" xr:uid="{0C9EF193-5B0B-4482-956C-97903AC99FFD}"/>
    <cellStyle name="Comma 2 5 2 3 3 2 2" xfId="26349" xr:uid="{94377153-8B5D-4093-A559-8EC44DE4D3B1}"/>
    <cellStyle name="Comma 2 5 2 3 3 2 2 2" xfId="56589" xr:uid="{C495D9E4-9C6A-491C-AC39-A44C6381472F}"/>
    <cellStyle name="Comma 2 5 2 3 3 2 3" xfId="41469" xr:uid="{7FFE92FA-0998-4061-980A-4FF4A0E44CF6}"/>
    <cellStyle name="Comma 2 5 2 3 3 3" xfId="17277" xr:uid="{ADE95A1D-962A-4536-87EF-3EB2705DE511}"/>
    <cellStyle name="Comma 2 5 2 3 3 3 2" xfId="47517" xr:uid="{812E1354-9075-40B4-9E23-225EB69BB39A}"/>
    <cellStyle name="Comma 2 5 2 3 3 4" xfId="32397" xr:uid="{AF92EAEE-DE84-49D3-9BDE-DCFE98514900}"/>
    <cellStyle name="Comma 2 5 2 3 4" xfId="3669" xr:uid="{EE258866-B814-4A79-B2C0-E0C877D5A310}"/>
    <cellStyle name="Comma 2 5 2 3 4 2" xfId="12741" xr:uid="{C406D391-F283-4FA1-8234-3C377F047954}"/>
    <cellStyle name="Comma 2 5 2 3 4 2 2" xfId="27861" xr:uid="{74530061-8089-4157-9B9A-1713235F4D46}"/>
    <cellStyle name="Comma 2 5 2 3 4 2 2 2" xfId="58101" xr:uid="{E80160A5-85BC-43DF-8ECD-75A9F1D65086}"/>
    <cellStyle name="Comma 2 5 2 3 4 2 3" xfId="42981" xr:uid="{EDBB2045-E9BE-4C1F-8147-1E06B3D8FD04}"/>
    <cellStyle name="Comma 2 5 2 3 4 3" xfId="18789" xr:uid="{3EA784EE-4218-41EA-9299-3AE971846997}"/>
    <cellStyle name="Comma 2 5 2 3 4 3 2" xfId="49029" xr:uid="{B82E6E46-39BE-4F35-8B32-B287ECF4DC03}"/>
    <cellStyle name="Comma 2 5 2 3 4 4" xfId="33909" xr:uid="{66D69FC4-1F43-4953-A659-4E21F7483C39}"/>
    <cellStyle name="Comma 2 5 2 3 5" xfId="5181" xr:uid="{29562799-066A-4CA6-9DB6-DFFCBD158A18}"/>
    <cellStyle name="Comma 2 5 2 3 5 2" xfId="14253" xr:uid="{D6D397A4-1B25-4D3B-B855-709CC8037DD2}"/>
    <cellStyle name="Comma 2 5 2 3 5 2 2" xfId="29373" xr:uid="{82D11106-3262-4460-82C3-965D4569464A}"/>
    <cellStyle name="Comma 2 5 2 3 5 2 2 2" xfId="59613" xr:uid="{1750F975-64B1-4865-AB38-29A9B4B53C0E}"/>
    <cellStyle name="Comma 2 5 2 3 5 2 3" xfId="44493" xr:uid="{4532C235-E85E-4110-BA82-367CB0BAAF9D}"/>
    <cellStyle name="Comma 2 5 2 3 5 3" xfId="20301" xr:uid="{42CD590B-D8C2-452F-93C9-C7ACDE28B611}"/>
    <cellStyle name="Comma 2 5 2 3 5 3 2" xfId="50541" xr:uid="{E1E458F4-7B1F-4CC3-8CD2-33B7AD06D6C9}"/>
    <cellStyle name="Comma 2 5 2 3 5 4" xfId="35421" xr:uid="{3E140E0F-B30A-43FE-8F30-48A253F33963}"/>
    <cellStyle name="Comma 2 5 2 3 6" xfId="6693" xr:uid="{0379E469-CC5A-443E-B4D4-4DE1335A4677}"/>
    <cellStyle name="Comma 2 5 2 3 6 2" xfId="21813" xr:uid="{EF1AA593-5118-41C3-8A7C-A9F68EAAB310}"/>
    <cellStyle name="Comma 2 5 2 3 6 2 2" xfId="52053" xr:uid="{31289B12-A55D-45E3-BCD5-C9370E2C1E79}"/>
    <cellStyle name="Comma 2 5 2 3 6 3" xfId="36933" xr:uid="{F5711365-4A63-48AB-928D-15AEEF95CBAA}"/>
    <cellStyle name="Comma 2 5 2 3 7" xfId="8205" xr:uid="{1CCD6650-7814-42AE-AAFF-0F939260D385}"/>
    <cellStyle name="Comma 2 5 2 3 7 2" xfId="23325" xr:uid="{E3B2E9D8-3487-4BB9-A7E6-CA36DFEE0CB9}"/>
    <cellStyle name="Comma 2 5 2 3 7 2 2" xfId="53565" xr:uid="{E20C8069-7643-4B3D-8AB3-80FC8B2B983C}"/>
    <cellStyle name="Comma 2 5 2 3 7 3" xfId="38445" xr:uid="{81C9ACB9-A102-488B-B994-29D92894ED54}"/>
    <cellStyle name="Comma 2 5 2 3 8" xfId="9717" xr:uid="{6A66C4A7-0702-4131-B11B-EE3406E45B3D}"/>
    <cellStyle name="Comma 2 5 2 3 8 2" xfId="24837" xr:uid="{B6BFDD91-36D4-4328-A8A1-C163361C2437}"/>
    <cellStyle name="Comma 2 5 2 3 8 2 2" xfId="55077" xr:uid="{C9F2268B-4D16-4FFE-B302-AFA9472F311D}"/>
    <cellStyle name="Comma 2 5 2 3 8 3" xfId="39957" xr:uid="{A6D71F27-B14D-4C8B-89E0-2A16EA710397}"/>
    <cellStyle name="Comma 2 5 2 3 9" xfId="15765" xr:uid="{B1133808-28A8-483B-9CD8-13571BD1B89E}"/>
    <cellStyle name="Comma 2 5 2 3 9 2" xfId="46005" xr:uid="{2F7A6301-890E-47DE-B001-D7B190EDD293}"/>
    <cellStyle name="Comma 2 5 2 4" xfId="897" xr:uid="{02FB3FED-1D6B-46C7-9344-BA5D970838B0}"/>
    <cellStyle name="Comma 2 5 2 4 2" xfId="2409" xr:uid="{4B99804F-DE91-4DB8-80B2-03A857347D31}"/>
    <cellStyle name="Comma 2 5 2 4 2 2" xfId="11481" xr:uid="{5C9E786F-6F8D-4845-BF16-85F1DD30E347}"/>
    <cellStyle name="Comma 2 5 2 4 2 2 2" xfId="26601" xr:uid="{96B332B1-827B-4204-8583-FB53BA743824}"/>
    <cellStyle name="Comma 2 5 2 4 2 2 2 2" xfId="56841" xr:uid="{5BA87DB4-63F9-4EFF-844A-8FB2BB41B4AC}"/>
    <cellStyle name="Comma 2 5 2 4 2 2 3" xfId="41721" xr:uid="{312B0BC9-B146-472C-BA41-644610982B29}"/>
    <cellStyle name="Comma 2 5 2 4 2 3" xfId="17529" xr:uid="{AF6C3A9F-B03F-45D3-BBD4-E2145B4DEEAA}"/>
    <cellStyle name="Comma 2 5 2 4 2 3 2" xfId="47769" xr:uid="{C997660C-DB7D-4804-9C0B-3EECE167BAB9}"/>
    <cellStyle name="Comma 2 5 2 4 2 4" xfId="32649" xr:uid="{6CA4B7FE-BDE5-45F2-BB63-3B19CAF9EBBF}"/>
    <cellStyle name="Comma 2 5 2 4 3" xfId="3921" xr:uid="{44E4586D-FC09-48D9-8D42-7E1FAA9CEDA1}"/>
    <cellStyle name="Comma 2 5 2 4 3 2" xfId="12993" xr:uid="{E44AFFF2-004C-444A-A7D4-25834A5E292C}"/>
    <cellStyle name="Comma 2 5 2 4 3 2 2" xfId="28113" xr:uid="{BAE62E10-E75B-4663-82E3-F5E8DFE7EC70}"/>
    <cellStyle name="Comma 2 5 2 4 3 2 2 2" xfId="58353" xr:uid="{AC197A32-684E-4406-A470-A5DBF6BE941B}"/>
    <cellStyle name="Comma 2 5 2 4 3 2 3" xfId="43233" xr:uid="{8C3A7855-2996-44D7-A86C-7A3B0A670826}"/>
    <cellStyle name="Comma 2 5 2 4 3 3" xfId="19041" xr:uid="{30EBC995-E943-4B8B-9FFD-60EECD4F8D39}"/>
    <cellStyle name="Comma 2 5 2 4 3 3 2" xfId="49281" xr:uid="{FACE5BCF-F7D4-4381-91F5-32B24323E571}"/>
    <cellStyle name="Comma 2 5 2 4 3 4" xfId="34161" xr:uid="{4052F8E1-E14D-4FD3-9D0F-390DF9A47E73}"/>
    <cellStyle name="Comma 2 5 2 4 4" xfId="5433" xr:uid="{4DF77401-E0F8-4408-BBE8-95659B3830EA}"/>
    <cellStyle name="Comma 2 5 2 4 4 2" xfId="14505" xr:uid="{1FADEE72-E091-4049-B20D-8F3A468B747B}"/>
    <cellStyle name="Comma 2 5 2 4 4 2 2" xfId="29625" xr:uid="{05B3E108-3009-4AF0-8644-7FF54962097A}"/>
    <cellStyle name="Comma 2 5 2 4 4 2 2 2" xfId="59865" xr:uid="{0A6CCD27-F5C8-454F-86EF-8554545419C2}"/>
    <cellStyle name="Comma 2 5 2 4 4 2 3" xfId="44745" xr:uid="{DCAF3B4C-814D-46F4-A5BA-59A16EBE030A}"/>
    <cellStyle name="Comma 2 5 2 4 4 3" xfId="20553" xr:uid="{73767272-62F9-4CDF-B45E-87BECB9BB352}"/>
    <cellStyle name="Comma 2 5 2 4 4 3 2" xfId="50793" xr:uid="{6F918245-FB7B-4CFB-ACF8-45B365A20CC1}"/>
    <cellStyle name="Comma 2 5 2 4 4 4" xfId="35673" xr:uid="{DF4AC8C6-086A-4592-ABD1-602B1E01EF87}"/>
    <cellStyle name="Comma 2 5 2 4 5" xfId="6945" xr:uid="{014884DC-C367-4831-97B3-75DF69095B4F}"/>
    <cellStyle name="Comma 2 5 2 4 5 2" xfId="22065" xr:uid="{A6D67182-0F40-47EB-8EB9-34D8BF5F0CFE}"/>
    <cellStyle name="Comma 2 5 2 4 5 2 2" xfId="52305" xr:uid="{704B895B-39C0-40BB-A249-A3476D3B7163}"/>
    <cellStyle name="Comma 2 5 2 4 5 3" xfId="37185" xr:uid="{DC9F7CFD-9FEE-483F-BDC9-DC407359818E}"/>
    <cellStyle name="Comma 2 5 2 4 6" xfId="8457" xr:uid="{9E077C3C-B510-400F-A693-7BB0CEE107C4}"/>
    <cellStyle name="Comma 2 5 2 4 6 2" xfId="23577" xr:uid="{5F13CB5E-9DA1-4CCE-8493-3570E8CE2765}"/>
    <cellStyle name="Comma 2 5 2 4 6 2 2" xfId="53817" xr:uid="{79E1160E-6947-447F-88D9-E70668D0B438}"/>
    <cellStyle name="Comma 2 5 2 4 6 3" xfId="38697" xr:uid="{52798C3C-889F-404E-A4F8-2EE66D6608AF}"/>
    <cellStyle name="Comma 2 5 2 4 7" xfId="9969" xr:uid="{ACEE0983-1F23-4C57-A35C-EC1FF28FDEF6}"/>
    <cellStyle name="Comma 2 5 2 4 7 2" xfId="25089" xr:uid="{71403381-092B-4BA2-BA09-8FB5DEE7FC35}"/>
    <cellStyle name="Comma 2 5 2 4 7 2 2" xfId="55329" xr:uid="{0BEFD562-D521-4952-86E8-DDC8D3872BA1}"/>
    <cellStyle name="Comma 2 5 2 4 7 3" xfId="40209" xr:uid="{73AE86F3-EA70-4C26-BA17-323E16474BEC}"/>
    <cellStyle name="Comma 2 5 2 4 8" xfId="16017" xr:uid="{9092D2D8-3664-46F9-98DF-6016F2A120B1}"/>
    <cellStyle name="Comma 2 5 2 4 8 2" xfId="46257" xr:uid="{DF3B6304-F851-462D-88D5-4968A562F8BD}"/>
    <cellStyle name="Comma 2 5 2 4 9" xfId="31137" xr:uid="{D81B3126-706B-4330-A2EE-DC1957BB6805}"/>
    <cellStyle name="Comma 2 5 2 5" xfId="1653" xr:uid="{2F4E7074-30AF-4A7F-A384-581E7150365A}"/>
    <cellStyle name="Comma 2 5 2 5 2" xfId="10725" xr:uid="{C698D3E4-B654-4D9A-945B-46DE5188B984}"/>
    <cellStyle name="Comma 2 5 2 5 2 2" xfId="25845" xr:uid="{58F9BBE1-E54D-4AA3-AAB1-570EF511E942}"/>
    <cellStyle name="Comma 2 5 2 5 2 2 2" xfId="56085" xr:uid="{1CAF4FE2-1C1E-43A8-AE39-9BB59E27DBE5}"/>
    <cellStyle name="Comma 2 5 2 5 2 3" xfId="40965" xr:uid="{578CAF04-3841-48DF-91AF-B5280E77B1FF}"/>
    <cellStyle name="Comma 2 5 2 5 3" xfId="16773" xr:uid="{AE643355-C54F-40EF-825D-69B457495C42}"/>
    <cellStyle name="Comma 2 5 2 5 3 2" xfId="47013" xr:uid="{EF21D38E-9B4B-45EE-B84E-B4C3EA9DB48B}"/>
    <cellStyle name="Comma 2 5 2 5 4" xfId="31893" xr:uid="{53085E79-CBA3-421F-BCEB-F09BFC81EE57}"/>
    <cellStyle name="Comma 2 5 2 6" xfId="3165" xr:uid="{72EAE444-5189-4A47-BADF-D36C0D41C85B}"/>
    <cellStyle name="Comma 2 5 2 6 2" xfId="12237" xr:uid="{799437B0-1EC9-43D4-A798-D5367F42CA31}"/>
    <cellStyle name="Comma 2 5 2 6 2 2" xfId="27357" xr:uid="{B7FB8199-A42D-4EFB-A73B-4C78EB199CDC}"/>
    <cellStyle name="Comma 2 5 2 6 2 2 2" xfId="57597" xr:uid="{2EC08DC7-739A-4D09-9277-CC6827AA9B98}"/>
    <cellStyle name="Comma 2 5 2 6 2 3" xfId="42477" xr:uid="{7E469783-68ED-48B7-8D24-A50DD229A1D0}"/>
    <cellStyle name="Comma 2 5 2 6 3" xfId="18285" xr:uid="{9F6EB90D-79DA-46E3-8C36-00E2A9CEC635}"/>
    <cellStyle name="Comma 2 5 2 6 3 2" xfId="48525" xr:uid="{23FAAD7D-868D-4356-BA0B-A35F4034BEDA}"/>
    <cellStyle name="Comma 2 5 2 6 4" xfId="33405" xr:uid="{7C04E571-51E3-4C0B-82C5-FC8083110623}"/>
    <cellStyle name="Comma 2 5 2 7" xfId="4677" xr:uid="{C8B1A8E8-FE93-4792-8F50-1AF3C3F275A1}"/>
    <cellStyle name="Comma 2 5 2 7 2" xfId="13749" xr:uid="{B0DE2D72-6764-420F-8AF3-72CC61B7D89D}"/>
    <cellStyle name="Comma 2 5 2 7 2 2" xfId="28869" xr:uid="{8F10E31E-96B4-4C9A-82B3-11AD384683BF}"/>
    <cellStyle name="Comma 2 5 2 7 2 2 2" xfId="59109" xr:uid="{7C3E98C8-A078-41D7-BD72-158F996AACB1}"/>
    <cellStyle name="Comma 2 5 2 7 2 3" xfId="43989" xr:uid="{38650BAF-CD72-47A6-B808-9D593DF43195}"/>
    <cellStyle name="Comma 2 5 2 7 3" xfId="19797" xr:uid="{C5A10F4A-F826-4B4C-905E-7CD6D591BDBA}"/>
    <cellStyle name="Comma 2 5 2 7 3 2" xfId="50037" xr:uid="{47FF2327-BD22-4C65-AFF7-C2AA6B84B221}"/>
    <cellStyle name="Comma 2 5 2 7 4" xfId="34917" xr:uid="{632D8F4B-17C7-4A1B-A801-FB128952732C}"/>
    <cellStyle name="Comma 2 5 2 8" xfId="6189" xr:uid="{F4B7692D-585C-4306-A2C5-05B991C0761A}"/>
    <cellStyle name="Comma 2 5 2 8 2" xfId="21309" xr:uid="{BCB7A351-3643-40E6-880B-7C1F76244EED}"/>
    <cellStyle name="Comma 2 5 2 8 2 2" xfId="51549" xr:uid="{56B66DF4-97E9-4329-A2FE-FB7CC54D987A}"/>
    <cellStyle name="Comma 2 5 2 8 3" xfId="36429" xr:uid="{8F22B5E8-821C-47B7-960B-65774DF3DE0C}"/>
    <cellStyle name="Comma 2 5 2 9" xfId="7701" xr:uid="{FF080FB1-5C6A-45C1-84C2-B57BE360BDFB}"/>
    <cellStyle name="Comma 2 5 2 9 2" xfId="22821" xr:uid="{6F60768C-600D-4464-BC71-D392C3E888BE}"/>
    <cellStyle name="Comma 2 5 2 9 2 2" xfId="53061" xr:uid="{ED7053D1-E08B-4076-8A00-C37BDBA30DB9}"/>
    <cellStyle name="Comma 2 5 2 9 3" xfId="37941" xr:uid="{046D7798-248C-4694-918C-EEF27B8DDD08}"/>
    <cellStyle name="Comma 2 5 3" xfId="225" xr:uid="{FD05373E-5ED1-49AD-BEA2-7EA6E9DB0F59}"/>
    <cellStyle name="Comma 2 5 3 10" xfId="9297" xr:uid="{C9AE14B4-F5C2-4E3D-A157-7DD022FDDF57}"/>
    <cellStyle name="Comma 2 5 3 10 2" xfId="24417" xr:uid="{1DC3EF77-4835-4DDF-B09F-2AC4BB03CE3C}"/>
    <cellStyle name="Comma 2 5 3 10 2 2" xfId="54657" xr:uid="{613ED248-A39E-42F9-8937-56A418197E9A}"/>
    <cellStyle name="Comma 2 5 3 10 3" xfId="39537" xr:uid="{B5518C60-06EA-438C-9143-2808E1A71521}"/>
    <cellStyle name="Comma 2 5 3 11" xfId="15345" xr:uid="{34139507-F289-49E1-AC5A-70A2DB0EF3C6}"/>
    <cellStyle name="Comma 2 5 3 11 2" xfId="45585" xr:uid="{0F5387D9-68F2-433F-B10A-DA6228B5D5B7}"/>
    <cellStyle name="Comma 2 5 3 12" xfId="30465" xr:uid="{BC14BC3A-FAE2-4207-9E3D-FF5BE3A2EFE7}"/>
    <cellStyle name="Comma 2 5 3 2" xfId="477" xr:uid="{2D1A6D98-B1A7-4D01-AE8B-F5575577B61F}"/>
    <cellStyle name="Comma 2 5 3 2 10" xfId="30717" xr:uid="{C7C0C018-0294-4BFA-82FD-E4F6FE8EC9DC}"/>
    <cellStyle name="Comma 2 5 3 2 2" xfId="1233" xr:uid="{CE6635B4-1F14-4376-A500-2A0941C4230E}"/>
    <cellStyle name="Comma 2 5 3 2 2 2" xfId="2745" xr:uid="{0AFE2EE4-EADF-4131-A543-31623815B8F2}"/>
    <cellStyle name="Comma 2 5 3 2 2 2 2" xfId="11817" xr:uid="{1E71003F-8DB5-4E82-AB51-3C9EEE6FA6FA}"/>
    <cellStyle name="Comma 2 5 3 2 2 2 2 2" xfId="26937" xr:uid="{9C0675A8-7C9E-4EA3-B514-53029EAC4605}"/>
    <cellStyle name="Comma 2 5 3 2 2 2 2 2 2" xfId="57177" xr:uid="{706F3E7C-92F7-4A96-BDCC-839BF722931E}"/>
    <cellStyle name="Comma 2 5 3 2 2 2 2 3" xfId="42057" xr:uid="{21E73F91-EF65-4234-8A90-0CB1C96B3410}"/>
    <cellStyle name="Comma 2 5 3 2 2 2 3" xfId="17865" xr:uid="{08A86A78-FF83-4776-9189-9233D1A455E2}"/>
    <cellStyle name="Comma 2 5 3 2 2 2 3 2" xfId="48105" xr:uid="{DCEE15E5-913B-4E3A-AB1C-2321F2ECE301}"/>
    <cellStyle name="Comma 2 5 3 2 2 2 4" xfId="32985" xr:uid="{87A85DD3-CA8C-4075-8A7C-69C48503A183}"/>
    <cellStyle name="Comma 2 5 3 2 2 3" xfId="4257" xr:uid="{789EAF18-EFE9-4EC0-9C0E-5C45A4BA9431}"/>
    <cellStyle name="Comma 2 5 3 2 2 3 2" xfId="13329" xr:uid="{BB17EC72-3AE3-4B57-A12E-3910C4B5C760}"/>
    <cellStyle name="Comma 2 5 3 2 2 3 2 2" xfId="28449" xr:uid="{FE738BA6-5063-44F2-A345-AAC0B87B2DD3}"/>
    <cellStyle name="Comma 2 5 3 2 2 3 2 2 2" xfId="58689" xr:uid="{0E8B4663-0767-4009-A6F2-72B170BCAF51}"/>
    <cellStyle name="Comma 2 5 3 2 2 3 2 3" xfId="43569" xr:uid="{24039EBE-FAD7-49E1-91AF-19BCFCA56B58}"/>
    <cellStyle name="Comma 2 5 3 2 2 3 3" xfId="19377" xr:uid="{A7513089-C724-40D3-8150-5CA1BCC7D9ED}"/>
    <cellStyle name="Comma 2 5 3 2 2 3 3 2" xfId="49617" xr:uid="{80628DC8-D213-4740-838F-007648288F87}"/>
    <cellStyle name="Comma 2 5 3 2 2 3 4" xfId="34497" xr:uid="{CD78B027-5478-4323-B5B7-9EDBFA0A1DA1}"/>
    <cellStyle name="Comma 2 5 3 2 2 4" xfId="5769" xr:uid="{C97FF5DE-2731-4532-92C8-F3A79E1E4507}"/>
    <cellStyle name="Comma 2 5 3 2 2 4 2" xfId="14841" xr:uid="{F1C1EFE1-5F9B-48A8-AB66-ED7FE43D0341}"/>
    <cellStyle name="Comma 2 5 3 2 2 4 2 2" xfId="29961" xr:uid="{B693FF43-DB7F-48BD-9C61-99A565346301}"/>
    <cellStyle name="Comma 2 5 3 2 2 4 2 2 2" xfId="60201" xr:uid="{D5A7FEE8-FC11-4E7E-8C00-6D2B56A257D2}"/>
    <cellStyle name="Comma 2 5 3 2 2 4 2 3" xfId="45081" xr:uid="{05D14086-B6E8-4C61-83B0-55BC63443A57}"/>
    <cellStyle name="Comma 2 5 3 2 2 4 3" xfId="20889" xr:uid="{593D594F-A044-4A84-999A-29BD390FCF2A}"/>
    <cellStyle name="Comma 2 5 3 2 2 4 3 2" xfId="51129" xr:uid="{22D3B64D-A00A-45E5-95C1-38BC14CC64A5}"/>
    <cellStyle name="Comma 2 5 3 2 2 4 4" xfId="36009" xr:uid="{DF48E451-29F3-46B7-AD8F-B118529E8831}"/>
    <cellStyle name="Comma 2 5 3 2 2 5" xfId="7281" xr:uid="{E6825C15-98A6-4E9D-8048-2B2D390423A6}"/>
    <cellStyle name="Comma 2 5 3 2 2 5 2" xfId="22401" xr:uid="{B35426DB-DD60-4EBA-AB8E-B2F1066CD268}"/>
    <cellStyle name="Comma 2 5 3 2 2 5 2 2" xfId="52641" xr:uid="{D4D13BE1-8FFF-481B-9BED-50D22C86E98E}"/>
    <cellStyle name="Comma 2 5 3 2 2 5 3" xfId="37521" xr:uid="{9E4F3251-E3EA-4544-8551-9B4903A827EF}"/>
    <cellStyle name="Comma 2 5 3 2 2 6" xfId="8793" xr:uid="{B8079841-3145-4106-A329-0E42A4324952}"/>
    <cellStyle name="Comma 2 5 3 2 2 6 2" xfId="23913" xr:uid="{B16BD866-EF9C-4B4C-A8A9-86F949984050}"/>
    <cellStyle name="Comma 2 5 3 2 2 6 2 2" xfId="54153" xr:uid="{E7B0541B-F066-472E-A2A9-C152C088BEA0}"/>
    <cellStyle name="Comma 2 5 3 2 2 6 3" xfId="39033" xr:uid="{1D02BBC7-244B-4CBE-85F0-F8D7014B0537}"/>
    <cellStyle name="Comma 2 5 3 2 2 7" xfId="10305" xr:uid="{9CABE7BA-B1A5-4DA6-B25E-D12DA5D84042}"/>
    <cellStyle name="Comma 2 5 3 2 2 7 2" xfId="25425" xr:uid="{C4B8C7BB-F3F1-4A69-81B9-EA2520EF99B4}"/>
    <cellStyle name="Comma 2 5 3 2 2 7 2 2" xfId="55665" xr:uid="{6D08A3B5-32ED-400D-A753-3170DA9B8E43}"/>
    <cellStyle name="Comma 2 5 3 2 2 7 3" xfId="40545" xr:uid="{9CF8AE68-6CEE-454C-AA36-CF33987DA6DB}"/>
    <cellStyle name="Comma 2 5 3 2 2 8" xfId="16353" xr:uid="{46CEF029-D50A-49A7-95AB-0EB1F914ED6B}"/>
    <cellStyle name="Comma 2 5 3 2 2 8 2" xfId="46593" xr:uid="{7FE5004F-4DD4-4DF2-96B0-FBD5378B5199}"/>
    <cellStyle name="Comma 2 5 3 2 2 9" xfId="31473" xr:uid="{BA3DD6BC-DA6A-49E7-B74D-3FF24C74D0B8}"/>
    <cellStyle name="Comma 2 5 3 2 3" xfId="1989" xr:uid="{76D2B3D6-9939-498F-8DBC-0C71D0A1D16C}"/>
    <cellStyle name="Comma 2 5 3 2 3 2" xfId="11061" xr:uid="{1362D2F8-E5B4-4139-85A9-7224D839B086}"/>
    <cellStyle name="Comma 2 5 3 2 3 2 2" xfId="26181" xr:uid="{F4E83448-606C-43DA-B88E-3ACDC52B1C8C}"/>
    <cellStyle name="Comma 2 5 3 2 3 2 2 2" xfId="56421" xr:uid="{00520C80-D87A-4104-B359-C180167DF5B3}"/>
    <cellStyle name="Comma 2 5 3 2 3 2 3" xfId="41301" xr:uid="{A103B090-C01C-4CB9-BDD8-E1D3F873B91E}"/>
    <cellStyle name="Comma 2 5 3 2 3 3" xfId="17109" xr:uid="{8E96BBC9-4DDE-4187-A192-2BB5BD37BC4D}"/>
    <cellStyle name="Comma 2 5 3 2 3 3 2" xfId="47349" xr:uid="{4D2930A6-F7D8-459D-B3B2-4B6E6B46B550}"/>
    <cellStyle name="Comma 2 5 3 2 3 4" xfId="32229" xr:uid="{7C0AE616-8745-404A-991C-752E1D9BD6EC}"/>
    <cellStyle name="Comma 2 5 3 2 4" xfId="3501" xr:uid="{28C6FD57-F402-41F4-9627-8650F79F7651}"/>
    <cellStyle name="Comma 2 5 3 2 4 2" xfId="12573" xr:uid="{50AAC95C-28D9-4119-A661-CD2B19D3AD44}"/>
    <cellStyle name="Comma 2 5 3 2 4 2 2" xfId="27693" xr:uid="{E105FD20-DDFD-4998-80CA-214BA43FA096}"/>
    <cellStyle name="Comma 2 5 3 2 4 2 2 2" xfId="57933" xr:uid="{27BD955E-EC60-48DD-85CE-12F2924BB10B}"/>
    <cellStyle name="Comma 2 5 3 2 4 2 3" xfId="42813" xr:uid="{BFEDEBA6-D5D6-481F-BD8B-E5A86154DF58}"/>
    <cellStyle name="Comma 2 5 3 2 4 3" xfId="18621" xr:uid="{126F6A61-3B36-42FD-AA33-BE5FDDE3E0D5}"/>
    <cellStyle name="Comma 2 5 3 2 4 3 2" xfId="48861" xr:uid="{488E8F94-ED61-4364-BD19-BB7AF6B38CC2}"/>
    <cellStyle name="Comma 2 5 3 2 4 4" xfId="33741" xr:uid="{ADC8EEB0-D5FE-4F0A-8FEE-4A5E15177563}"/>
    <cellStyle name="Comma 2 5 3 2 5" xfId="5013" xr:uid="{41AF9B50-2BFC-4010-8A00-44893F5F1800}"/>
    <cellStyle name="Comma 2 5 3 2 5 2" xfId="14085" xr:uid="{56FC01EB-5544-4341-93D9-5D2834DE9E92}"/>
    <cellStyle name="Comma 2 5 3 2 5 2 2" xfId="29205" xr:uid="{3446EA80-C8C2-4295-909B-71BE86EF27B9}"/>
    <cellStyle name="Comma 2 5 3 2 5 2 2 2" xfId="59445" xr:uid="{E79B10A5-4967-4151-B214-A80F98195E27}"/>
    <cellStyle name="Comma 2 5 3 2 5 2 3" xfId="44325" xr:uid="{89D5AA14-0C5A-4376-8CFC-4CAE72D09ACD}"/>
    <cellStyle name="Comma 2 5 3 2 5 3" xfId="20133" xr:uid="{3DB91DE5-158A-45C4-8DC2-4D836CC5AF4C}"/>
    <cellStyle name="Comma 2 5 3 2 5 3 2" xfId="50373" xr:uid="{7FB4A631-1A05-4DB5-8F1F-8AEA4D631782}"/>
    <cellStyle name="Comma 2 5 3 2 5 4" xfId="35253" xr:uid="{9348A452-E07A-49C2-986B-40087866A783}"/>
    <cellStyle name="Comma 2 5 3 2 6" xfId="6525" xr:uid="{60F41B41-F05D-4CDF-967F-27B47E940BA0}"/>
    <cellStyle name="Comma 2 5 3 2 6 2" xfId="21645" xr:uid="{21A03D91-D3D7-4F89-8CA4-322456AE2433}"/>
    <cellStyle name="Comma 2 5 3 2 6 2 2" xfId="51885" xr:uid="{2E894370-50FA-4C5E-928C-FABACAA48CBB}"/>
    <cellStyle name="Comma 2 5 3 2 6 3" xfId="36765" xr:uid="{4FD1C0D2-1EFA-41D0-A268-FFE6CC2EC909}"/>
    <cellStyle name="Comma 2 5 3 2 7" xfId="8037" xr:uid="{C9ECDEB1-81E4-49C8-82B8-A820FD8CA2B3}"/>
    <cellStyle name="Comma 2 5 3 2 7 2" xfId="23157" xr:uid="{D68013D1-8E7E-4020-ACA4-39EEF7BCBBE2}"/>
    <cellStyle name="Comma 2 5 3 2 7 2 2" xfId="53397" xr:uid="{A4D77A6C-290F-4F2A-9F55-3E273CA0CBFB}"/>
    <cellStyle name="Comma 2 5 3 2 7 3" xfId="38277" xr:uid="{98DA6D16-18C5-4FA0-BD98-28ADB832C0AB}"/>
    <cellStyle name="Comma 2 5 3 2 8" xfId="9549" xr:uid="{D482C9AA-9434-4E62-8F8D-831725F52832}"/>
    <cellStyle name="Comma 2 5 3 2 8 2" xfId="24669" xr:uid="{DE274536-F75D-402F-A3A0-C9CE804D1B39}"/>
    <cellStyle name="Comma 2 5 3 2 8 2 2" xfId="54909" xr:uid="{D9D52893-9D10-45BE-B232-0EC6F9462896}"/>
    <cellStyle name="Comma 2 5 3 2 8 3" xfId="39789" xr:uid="{526F6403-C54A-45E2-B952-A9DAA90AF65A}"/>
    <cellStyle name="Comma 2 5 3 2 9" xfId="15597" xr:uid="{6599D4D5-1795-470B-A324-BF3F98CCBE5D}"/>
    <cellStyle name="Comma 2 5 3 2 9 2" xfId="45837" xr:uid="{91C09157-26CC-48B1-B17A-1BEE33DFD541}"/>
    <cellStyle name="Comma 2 5 3 3" xfId="729" xr:uid="{18302ACB-57D6-4FA5-B793-E5EC77D30E81}"/>
    <cellStyle name="Comma 2 5 3 3 10" xfId="30969" xr:uid="{46AC7CCA-24B0-4F0A-AD0C-8FEA8FE03F0B}"/>
    <cellStyle name="Comma 2 5 3 3 2" xfId="1485" xr:uid="{CEF5521A-79B5-41AC-969E-BB554F8A8B73}"/>
    <cellStyle name="Comma 2 5 3 3 2 2" xfId="2997" xr:uid="{04735B1C-B413-4566-8758-3287BE4E82D0}"/>
    <cellStyle name="Comma 2 5 3 3 2 2 2" xfId="12069" xr:uid="{2387939D-D1A2-4B46-BCB6-92D7E7FEDED7}"/>
    <cellStyle name="Comma 2 5 3 3 2 2 2 2" xfId="27189" xr:uid="{A65BF06B-AF2E-43AB-B85F-3965A079055B}"/>
    <cellStyle name="Comma 2 5 3 3 2 2 2 2 2" xfId="57429" xr:uid="{DF49D39C-611A-4877-8786-5AC25ABDBC5F}"/>
    <cellStyle name="Comma 2 5 3 3 2 2 2 3" xfId="42309" xr:uid="{8B5B2CD4-C7B8-4E06-8B9F-054A29159C6D}"/>
    <cellStyle name="Comma 2 5 3 3 2 2 3" xfId="18117" xr:uid="{3D0891E5-D560-4693-A8A8-81DA2CA64D02}"/>
    <cellStyle name="Comma 2 5 3 3 2 2 3 2" xfId="48357" xr:uid="{793E73F6-688F-4214-8201-192741AC2B28}"/>
    <cellStyle name="Comma 2 5 3 3 2 2 4" xfId="33237" xr:uid="{A258A4E7-B479-4A21-959C-12AFBCE6B5FC}"/>
    <cellStyle name="Comma 2 5 3 3 2 3" xfId="4509" xr:uid="{168E97C3-BC34-4CB0-94C4-E1FEFFE8B5F9}"/>
    <cellStyle name="Comma 2 5 3 3 2 3 2" xfId="13581" xr:uid="{785A204B-C5A6-406C-BE2F-DCCF3BAF4ED8}"/>
    <cellStyle name="Comma 2 5 3 3 2 3 2 2" xfId="28701" xr:uid="{30FFA8D2-8305-4FB6-BD6E-B55306637706}"/>
    <cellStyle name="Comma 2 5 3 3 2 3 2 2 2" xfId="58941" xr:uid="{85E17C43-4ADA-462E-B34B-7CD026A6AB08}"/>
    <cellStyle name="Comma 2 5 3 3 2 3 2 3" xfId="43821" xr:uid="{CDA648BA-4B2C-4E3B-83E8-EE5FA6D4F292}"/>
    <cellStyle name="Comma 2 5 3 3 2 3 3" xfId="19629" xr:uid="{5733EEC6-CBB4-4023-A51D-CD079D293D20}"/>
    <cellStyle name="Comma 2 5 3 3 2 3 3 2" xfId="49869" xr:uid="{0097FF58-34FE-40A4-8377-F6DC599DBC5D}"/>
    <cellStyle name="Comma 2 5 3 3 2 3 4" xfId="34749" xr:uid="{09B59238-EC68-4A68-ACDB-FD3A28D5011A}"/>
    <cellStyle name="Comma 2 5 3 3 2 4" xfId="6021" xr:uid="{25579806-E867-444A-BD78-6F01F78C35BF}"/>
    <cellStyle name="Comma 2 5 3 3 2 4 2" xfId="15093" xr:uid="{87872CE3-E6C0-48EB-A62A-A0EC3CFCF337}"/>
    <cellStyle name="Comma 2 5 3 3 2 4 2 2" xfId="30213" xr:uid="{4E754570-733D-4FD6-994C-4BDA82C0D7F5}"/>
    <cellStyle name="Comma 2 5 3 3 2 4 2 2 2" xfId="60453" xr:uid="{493016BB-9660-413F-B3B0-A87BABC21216}"/>
    <cellStyle name="Comma 2 5 3 3 2 4 2 3" xfId="45333" xr:uid="{2AF43773-BFCF-4AE6-AD78-1567813F63E1}"/>
    <cellStyle name="Comma 2 5 3 3 2 4 3" xfId="21141" xr:uid="{1E5B60FF-D8AD-427E-960F-2DA02DC38A47}"/>
    <cellStyle name="Comma 2 5 3 3 2 4 3 2" xfId="51381" xr:uid="{D5F5CC00-4D5F-4F39-9A58-FC91FAFA3394}"/>
    <cellStyle name="Comma 2 5 3 3 2 4 4" xfId="36261" xr:uid="{443AE6B3-D4EA-47F2-94E4-01972D3D4F1F}"/>
    <cellStyle name="Comma 2 5 3 3 2 5" xfId="7533" xr:uid="{E631C258-299D-4C26-AB2B-326276C16975}"/>
    <cellStyle name="Comma 2 5 3 3 2 5 2" xfId="22653" xr:uid="{116EC67A-D272-4F45-B137-11FF75347DD4}"/>
    <cellStyle name="Comma 2 5 3 3 2 5 2 2" xfId="52893" xr:uid="{C9ECBF53-5575-4D0F-9885-4C7BB2358987}"/>
    <cellStyle name="Comma 2 5 3 3 2 5 3" xfId="37773" xr:uid="{42A4403A-06DD-4E56-85FE-D72AF93B06B7}"/>
    <cellStyle name="Comma 2 5 3 3 2 6" xfId="9045" xr:uid="{367F9556-7495-460C-929B-EE9378D17AB5}"/>
    <cellStyle name="Comma 2 5 3 3 2 6 2" xfId="24165" xr:uid="{A10C7EBB-FEDA-4036-968A-DBD09D609645}"/>
    <cellStyle name="Comma 2 5 3 3 2 6 2 2" xfId="54405" xr:uid="{8325707E-217F-4C46-9AF2-34722A49509B}"/>
    <cellStyle name="Comma 2 5 3 3 2 6 3" xfId="39285" xr:uid="{0BC73F6D-A20E-4E8B-A40D-AE49F963EB19}"/>
    <cellStyle name="Comma 2 5 3 3 2 7" xfId="10557" xr:uid="{DBE2662E-A568-49EF-B6F0-1F19FC6D3CD7}"/>
    <cellStyle name="Comma 2 5 3 3 2 7 2" xfId="25677" xr:uid="{3333A8CA-FD90-477F-B2B5-BC09F71B7C9F}"/>
    <cellStyle name="Comma 2 5 3 3 2 7 2 2" xfId="55917" xr:uid="{2CD30AB7-AC8B-4996-A73F-D97ED240A205}"/>
    <cellStyle name="Comma 2 5 3 3 2 7 3" xfId="40797" xr:uid="{EBB3EC9A-69C8-4D82-8BC7-DDA42445F472}"/>
    <cellStyle name="Comma 2 5 3 3 2 8" xfId="16605" xr:uid="{80A89413-89D5-401D-A6CA-A9233FC74BBF}"/>
    <cellStyle name="Comma 2 5 3 3 2 8 2" xfId="46845" xr:uid="{AD14F2BA-CBB5-44EB-9C0A-83AAE9E11211}"/>
    <cellStyle name="Comma 2 5 3 3 2 9" xfId="31725" xr:uid="{059958F9-EE8D-4BC0-A089-8A4158CD3962}"/>
    <cellStyle name="Comma 2 5 3 3 3" xfId="2241" xr:uid="{BF695780-EC88-4891-9F1E-8045CC2734D0}"/>
    <cellStyle name="Comma 2 5 3 3 3 2" xfId="11313" xr:uid="{3B6CAF83-4FE2-4472-8358-323E80C643C9}"/>
    <cellStyle name="Comma 2 5 3 3 3 2 2" xfId="26433" xr:uid="{550E2890-C7D6-4A70-BAC9-7A757BF75456}"/>
    <cellStyle name="Comma 2 5 3 3 3 2 2 2" xfId="56673" xr:uid="{DC348EC9-4ABA-49C9-9008-B36214C70F5C}"/>
    <cellStyle name="Comma 2 5 3 3 3 2 3" xfId="41553" xr:uid="{9DC67344-FD13-4589-9CB0-B24921665C7D}"/>
    <cellStyle name="Comma 2 5 3 3 3 3" xfId="17361" xr:uid="{AA10CFB3-8331-4A30-8CF2-4DE0F950017D}"/>
    <cellStyle name="Comma 2 5 3 3 3 3 2" xfId="47601" xr:uid="{F3D326A0-D5EA-4E9A-A8BE-22214325C83C}"/>
    <cellStyle name="Comma 2 5 3 3 3 4" xfId="32481" xr:uid="{39E08C57-ABC1-4DC7-B2B7-8EC8866E8CAE}"/>
    <cellStyle name="Comma 2 5 3 3 4" xfId="3753" xr:uid="{45CC8A02-6688-44B5-B4EF-916FECAB8BD4}"/>
    <cellStyle name="Comma 2 5 3 3 4 2" xfId="12825" xr:uid="{925BB29B-1872-4AA7-B2E1-767E87F095B7}"/>
    <cellStyle name="Comma 2 5 3 3 4 2 2" xfId="27945" xr:uid="{40642AFC-0960-432B-98BE-E59E6391999C}"/>
    <cellStyle name="Comma 2 5 3 3 4 2 2 2" xfId="58185" xr:uid="{62BC87E8-18FF-4C66-A6CD-0A4779047F46}"/>
    <cellStyle name="Comma 2 5 3 3 4 2 3" xfId="43065" xr:uid="{6C1DE48D-1816-4278-A0FF-55EFD5A33D0E}"/>
    <cellStyle name="Comma 2 5 3 3 4 3" xfId="18873" xr:uid="{179CD2A7-5653-4EE1-8BA3-242ADF704D38}"/>
    <cellStyle name="Comma 2 5 3 3 4 3 2" xfId="49113" xr:uid="{1969490B-9802-4C00-A952-98BD595ADF05}"/>
    <cellStyle name="Comma 2 5 3 3 4 4" xfId="33993" xr:uid="{AE78D090-CA66-4FB3-8E19-A6A330E40715}"/>
    <cellStyle name="Comma 2 5 3 3 5" xfId="5265" xr:uid="{0B017922-8AAE-43F0-9FD1-3230366C99EF}"/>
    <cellStyle name="Comma 2 5 3 3 5 2" xfId="14337" xr:uid="{9565681E-A1BD-4B49-B669-362D263DAFF9}"/>
    <cellStyle name="Comma 2 5 3 3 5 2 2" xfId="29457" xr:uid="{D59371DA-E9D3-4591-81A5-1F0D966BBC31}"/>
    <cellStyle name="Comma 2 5 3 3 5 2 2 2" xfId="59697" xr:uid="{0A8BA03B-0FB7-4F69-B75E-4A1D30184652}"/>
    <cellStyle name="Comma 2 5 3 3 5 2 3" xfId="44577" xr:uid="{C57D24E3-9AE4-4599-8F34-70BAA9C8357C}"/>
    <cellStyle name="Comma 2 5 3 3 5 3" xfId="20385" xr:uid="{631AA863-7CAA-44AB-88A8-0515DF64863E}"/>
    <cellStyle name="Comma 2 5 3 3 5 3 2" xfId="50625" xr:uid="{393259B5-D046-44BF-8967-6699731FD58C}"/>
    <cellStyle name="Comma 2 5 3 3 5 4" xfId="35505" xr:uid="{AF382BED-2C72-4B07-BD63-CBECEA09EF29}"/>
    <cellStyle name="Comma 2 5 3 3 6" xfId="6777" xr:uid="{D64CCD9D-127F-4AEE-A3F6-04622E84D2AB}"/>
    <cellStyle name="Comma 2 5 3 3 6 2" xfId="21897" xr:uid="{7A9A495B-7560-42FA-A3F0-720709C3F0D7}"/>
    <cellStyle name="Comma 2 5 3 3 6 2 2" xfId="52137" xr:uid="{4B5A017E-18E6-49D8-B7FA-B699493D15D2}"/>
    <cellStyle name="Comma 2 5 3 3 6 3" xfId="37017" xr:uid="{D3BF803D-808F-4BFE-B8B2-F48AA0F04B26}"/>
    <cellStyle name="Comma 2 5 3 3 7" xfId="8289" xr:uid="{37E03807-E887-454C-A09E-6D04FCA48A46}"/>
    <cellStyle name="Comma 2 5 3 3 7 2" xfId="23409" xr:uid="{51DDF43B-E0C6-4816-AE3C-64A54771F06E}"/>
    <cellStyle name="Comma 2 5 3 3 7 2 2" xfId="53649" xr:uid="{461A11A1-D0F9-4B12-9CF8-1DF097CC98FD}"/>
    <cellStyle name="Comma 2 5 3 3 7 3" xfId="38529" xr:uid="{B1E5780C-4B05-4634-99FF-A2B3AC4AE7FC}"/>
    <cellStyle name="Comma 2 5 3 3 8" xfId="9801" xr:uid="{EE0154AC-10E8-480B-8DF1-DEE09D52CE4F}"/>
    <cellStyle name="Comma 2 5 3 3 8 2" xfId="24921" xr:uid="{3EE8BA87-FE82-40E9-85F7-0963F50D32F9}"/>
    <cellStyle name="Comma 2 5 3 3 8 2 2" xfId="55161" xr:uid="{375C1EEC-D176-41DB-B820-BA27FF7250EC}"/>
    <cellStyle name="Comma 2 5 3 3 8 3" xfId="40041" xr:uid="{350448B4-3999-49BE-B616-C91956D335CE}"/>
    <cellStyle name="Comma 2 5 3 3 9" xfId="15849" xr:uid="{325DFE89-5201-463E-92B7-28F05C316C9B}"/>
    <cellStyle name="Comma 2 5 3 3 9 2" xfId="46089" xr:uid="{5C3D5AE4-9A9E-4C75-AC6B-D550D3F33640}"/>
    <cellStyle name="Comma 2 5 3 4" xfId="981" xr:uid="{9DCCDEB6-BD86-4954-9D19-8E5B745366D0}"/>
    <cellStyle name="Comma 2 5 3 4 2" xfId="2493" xr:uid="{15611B67-5D68-484A-9EAA-0CA8C5522153}"/>
    <cellStyle name="Comma 2 5 3 4 2 2" xfId="11565" xr:uid="{784F328B-FCA6-4CEE-8967-D0B729586FD4}"/>
    <cellStyle name="Comma 2 5 3 4 2 2 2" xfId="26685" xr:uid="{6FCA2BE3-2C6C-474B-A53A-7C10BB3DDD5B}"/>
    <cellStyle name="Comma 2 5 3 4 2 2 2 2" xfId="56925" xr:uid="{D1DA297B-1618-4401-B0A5-99692BBDAF4D}"/>
    <cellStyle name="Comma 2 5 3 4 2 2 3" xfId="41805" xr:uid="{529E850A-6FC8-4113-8CCD-C8DAE9594C95}"/>
    <cellStyle name="Comma 2 5 3 4 2 3" xfId="17613" xr:uid="{BA01EE1F-8446-44DB-BEBC-CE10416142E5}"/>
    <cellStyle name="Comma 2 5 3 4 2 3 2" xfId="47853" xr:uid="{1E01ACEB-A407-4389-BD05-C3F813544C6A}"/>
    <cellStyle name="Comma 2 5 3 4 2 4" xfId="32733" xr:uid="{E7456E53-01FA-4EDE-9EA7-9E21FC4E874F}"/>
    <cellStyle name="Comma 2 5 3 4 3" xfId="4005" xr:uid="{C46316C4-18F3-4594-B5F0-FC66492EDB2B}"/>
    <cellStyle name="Comma 2 5 3 4 3 2" xfId="13077" xr:uid="{02B81158-94EB-4C12-9BBE-0FD74921903E}"/>
    <cellStyle name="Comma 2 5 3 4 3 2 2" xfId="28197" xr:uid="{8D6E7F72-B1DB-431C-90E3-5AB9BB0EDBFB}"/>
    <cellStyle name="Comma 2 5 3 4 3 2 2 2" xfId="58437" xr:uid="{15A4A804-AC47-4103-8344-8288BB0F30CB}"/>
    <cellStyle name="Comma 2 5 3 4 3 2 3" xfId="43317" xr:uid="{3A0C1E5A-F9E1-40C8-84FD-273B6333AA54}"/>
    <cellStyle name="Comma 2 5 3 4 3 3" xfId="19125" xr:uid="{FCD47AA2-E405-478B-95E1-C30AEA44BF09}"/>
    <cellStyle name="Comma 2 5 3 4 3 3 2" xfId="49365" xr:uid="{2A51B624-9CB6-47B6-90AD-AA84068C7896}"/>
    <cellStyle name="Comma 2 5 3 4 3 4" xfId="34245" xr:uid="{1F1CB8D9-5B6C-40BB-B64C-A54A4D40E4BC}"/>
    <cellStyle name="Comma 2 5 3 4 4" xfId="5517" xr:uid="{AF079C08-3D9A-4180-AB3E-DF3C5EEB5D17}"/>
    <cellStyle name="Comma 2 5 3 4 4 2" xfId="14589" xr:uid="{7F5B5D53-AB07-48B3-BCFE-321A0E07E832}"/>
    <cellStyle name="Comma 2 5 3 4 4 2 2" xfId="29709" xr:uid="{E626BADE-C3F7-4971-9A1D-69B601F71688}"/>
    <cellStyle name="Comma 2 5 3 4 4 2 2 2" xfId="59949" xr:uid="{9EB1611A-7746-4360-A73D-1939C4692A1F}"/>
    <cellStyle name="Comma 2 5 3 4 4 2 3" xfId="44829" xr:uid="{95D88853-36BC-459B-AF7D-5686510DF56E}"/>
    <cellStyle name="Comma 2 5 3 4 4 3" xfId="20637" xr:uid="{EEAE9C18-A845-47AF-88AF-8E0FA87E2DCC}"/>
    <cellStyle name="Comma 2 5 3 4 4 3 2" xfId="50877" xr:uid="{194FBB66-9810-4087-B27B-042A587ACE05}"/>
    <cellStyle name="Comma 2 5 3 4 4 4" xfId="35757" xr:uid="{13C2D0B1-A5B2-41D4-AA80-F2F485823FF3}"/>
    <cellStyle name="Comma 2 5 3 4 5" xfId="7029" xr:uid="{27FDC49A-2CAC-4994-BB14-F45814CA5B42}"/>
    <cellStyle name="Comma 2 5 3 4 5 2" xfId="22149" xr:uid="{42AB1EEC-5AEC-492C-95F2-DC09E004F09A}"/>
    <cellStyle name="Comma 2 5 3 4 5 2 2" xfId="52389" xr:uid="{38B1D862-5952-4F6A-AB3D-20023AF8E4AC}"/>
    <cellStyle name="Comma 2 5 3 4 5 3" xfId="37269" xr:uid="{86C45923-58A7-4977-85B8-94394F3CADC9}"/>
    <cellStyle name="Comma 2 5 3 4 6" xfId="8541" xr:uid="{CD314E65-849A-4854-99B8-3EDC1A8A627E}"/>
    <cellStyle name="Comma 2 5 3 4 6 2" xfId="23661" xr:uid="{9E0A76C7-4FAA-4C16-BB4D-DAD5C9F8D406}"/>
    <cellStyle name="Comma 2 5 3 4 6 2 2" xfId="53901" xr:uid="{795AFA1D-7D36-4DE3-A0A6-C112FFAD907B}"/>
    <cellStyle name="Comma 2 5 3 4 6 3" xfId="38781" xr:uid="{12CA3591-47DA-4578-AD2B-894DD8C282D1}"/>
    <cellStyle name="Comma 2 5 3 4 7" xfId="10053" xr:uid="{3AC8FEA4-1873-4B54-9026-D58D7F64808A}"/>
    <cellStyle name="Comma 2 5 3 4 7 2" xfId="25173" xr:uid="{9E4F5A71-3745-4B5D-8334-93715806A954}"/>
    <cellStyle name="Comma 2 5 3 4 7 2 2" xfId="55413" xr:uid="{77773DD8-EF0C-42F1-803A-C50DB5294F67}"/>
    <cellStyle name="Comma 2 5 3 4 7 3" xfId="40293" xr:uid="{3CC6565D-4125-4037-9BD4-2D9D2A909065}"/>
    <cellStyle name="Comma 2 5 3 4 8" xfId="16101" xr:uid="{DE3F66B6-550E-403A-8F24-52EBA01C258E}"/>
    <cellStyle name="Comma 2 5 3 4 8 2" xfId="46341" xr:uid="{29BEA7DF-20A6-47AA-B670-65E74E1A8CAF}"/>
    <cellStyle name="Comma 2 5 3 4 9" xfId="31221" xr:uid="{EEE10350-3126-46E9-936A-70F15BE02B91}"/>
    <cellStyle name="Comma 2 5 3 5" xfId="1737" xr:uid="{29985B6D-379D-43D1-B73C-35E0E83D3DAD}"/>
    <cellStyle name="Comma 2 5 3 5 2" xfId="10809" xr:uid="{35ECCDA2-7A0A-4155-BE0C-B00886281269}"/>
    <cellStyle name="Comma 2 5 3 5 2 2" xfId="25929" xr:uid="{098B3DD3-24F8-4197-887C-F4A9BC9D3273}"/>
    <cellStyle name="Comma 2 5 3 5 2 2 2" xfId="56169" xr:uid="{8922D7F9-94D7-4605-8EEE-8963E8B4C4C1}"/>
    <cellStyle name="Comma 2 5 3 5 2 3" xfId="41049" xr:uid="{1D576A77-2C9F-49F9-85B8-3490DDAF1A80}"/>
    <cellStyle name="Comma 2 5 3 5 3" xfId="16857" xr:uid="{8B2D4076-5B92-472E-B38A-B8D5B038AAD7}"/>
    <cellStyle name="Comma 2 5 3 5 3 2" xfId="47097" xr:uid="{FBE88D1C-AD9D-474A-B277-C5767C60C319}"/>
    <cellStyle name="Comma 2 5 3 5 4" xfId="31977" xr:uid="{6259EB25-8B44-4890-AFC1-3EFF15BDFE73}"/>
    <cellStyle name="Comma 2 5 3 6" xfId="3249" xr:uid="{36AC3A5F-4309-4E97-B308-8650211924F4}"/>
    <cellStyle name="Comma 2 5 3 6 2" xfId="12321" xr:uid="{2780784E-617B-4675-AC03-842903A47882}"/>
    <cellStyle name="Comma 2 5 3 6 2 2" xfId="27441" xr:uid="{3918C0BA-4405-491B-85B4-F4382E2BA2F8}"/>
    <cellStyle name="Comma 2 5 3 6 2 2 2" xfId="57681" xr:uid="{8786C37A-9C9E-47C0-B582-4F9F3BFF1DC5}"/>
    <cellStyle name="Comma 2 5 3 6 2 3" xfId="42561" xr:uid="{134EC68D-99F4-4AE3-9DA8-BBB2F146B04F}"/>
    <cellStyle name="Comma 2 5 3 6 3" xfId="18369" xr:uid="{4EBE4BB4-91D5-424A-9432-7D4A83787B35}"/>
    <cellStyle name="Comma 2 5 3 6 3 2" xfId="48609" xr:uid="{22269EF6-19D9-48E5-A6C8-EB6E821BDD34}"/>
    <cellStyle name="Comma 2 5 3 6 4" xfId="33489" xr:uid="{D73E0A95-A610-4FF0-9F4A-20BEF904A5F9}"/>
    <cellStyle name="Comma 2 5 3 7" xfId="4761" xr:uid="{7EC99A9E-ECB4-4DE4-8286-7F4454C07082}"/>
    <cellStyle name="Comma 2 5 3 7 2" xfId="13833" xr:uid="{CA09B984-9B82-45FA-B9BB-F927BEC3C1BE}"/>
    <cellStyle name="Comma 2 5 3 7 2 2" xfId="28953" xr:uid="{33E98E46-C75E-4D92-9EE3-AAF7951FFF00}"/>
    <cellStyle name="Comma 2 5 3 7 2 2 2" xfId="59193" xr:uid="{ECB58A54-1B95-4F09-A0CE-C4C463C11718}"/>
    <cellStyle name="Comma 2 5 3 7 2 3" xfId="44073" xr:uid="{6F0192FC-09A8-412F-B078-EFF684995AED}"/>
    <cellStyle name="Comma 2 5 3 7 3" xfId="19881" xr:uid="{BB3E0144-D864-4BFB-B856-4BCA7FC940B3}"/>
    <cellStyle name="Comma 2 5 3 7 3 2" xfId="50121" xr:uid="{14A75232-B146-483B-B343-CCFB84C630D7}"/>
    <cellStyle name="Comma 2 5 3 7 4" xfId="35001" xr:uid="{75969FE6-6F9F-443A-A849-567CA2D49785}"/>
    <cellStyle name="Comma 2 5 3 8" xfId="6273" xr:uid="{92D5F163-389F-4AFA-982F-B30E557D4028}"/>
    <cellStyle name="Comma 2 5 3 8 2" xfId="21393" xr:uid="{FEF35322-D060-42D5-B168-D444CA6EFDD2}"/>
    <cellStyle name="Comma 2 5 3 8 2 2" xfId="51633" xr:uid="{2392FD2B-DB4F-4897-83DA-9AA727C0097F}"/>
    <cellStyle name="Comma 2 5 3 8 3" xfId="36513" xr:uid="{9C6B717E-0B69-4538-BFE5-EAD6FD08A492}"/>
    <cellStyle name="Comma 2 5 3 9" xfId="7785" xr:uid="{7C583542-93FA-4964-9D01-17CB0AB6CC73}"/>
    <cellStyle name="Comma 2 5 3 9 2" xfId="22905" xr:uid="{EEEA01B9-A5A3-4CEA-8DC4-9C8AF88B8DE7}"/>
    <cellStyle name="Comma 2 5 3 9 2 2" xfId="53145" xr:uid="{C2A60DF7-1B12-425E-B074-16A69141C9C7}"/>
    <cellStyle name="Comma 2 5 3 9 3" xfId="38025" xr:uid="{E1E42BBC-5DE7-4A7A-A9A2-C3307DC3E2DA}"/>
    <cellStyle name="Comma 2 5 4" xfId="309" xr:uid="{1B8F04BB-38BF-4B4C-BB75-B4F09638FC01}"/>
    <cellStyle name="Comma 2 5 4 10" xfId="30549" xr:uid="{36CBC133-5D65-4E80-AB66-F65B0A8A55BA}"/>
    <cellStyle name="Comma 2 5 4 2" xfId="1065" xr:uid="{78E7F348-F1E1-4573-9F45-1ACC6F94264B}"/>
    <cellStyle name="Comma 2 5 4 2 2" xfId="2577" xr:uid="{3A2AF674-19C0-49D7-8693-BADE570B6724}"/>
    <cellStyle name="Comma 2 5 4 2 2 2" xfId="11649" xr:uid="{0EAA941F-E061-45F0-8B5C-EAF108BC061A}"/>
    <cellStyle name="Comma 2 5 4 2 2 2 2" xfId="26769" xr:uid="{7C695505-59F8-425B-9E24-6F66F691503F}"/>
    <cellStyle name="Comma 2 5 4 2 2 2 2 2" xfId="57009" xr:uid="{B048D6A5-15D6-44A5-8F80-1002FA64028B}"/>
    <cellStyle name="Comma 2 5 4 2 2 2 3" xfId="41889" xr:uid="{ACCE5685-E740-4072-8A55-FFE0754B393D}"/>
    <cellStyle name="Comma 2 5 4 2 2 3" xfId="17697" xr:uid="{50060630-CD7B-4ABF-B08C-94E90C4F43B8}"/>
    <cellStyle name="Comma 2 5 4 2 2 3 2" xfId="47937" xr:uid="{667003BA-CB8D-43D7-9CB4-C13EBDF94E51}"/>
    <cellStyle name="Comma 2 5 4 2 2 4" xfId="32817" xr:uid="{8A3283B2-248F-47D4-BF9D-1E1CA22E05C9}"/>
    <cellStyle name="Comma 2 5 4 2 3" xfId="4089" xr:uid="{5C66BD9C-0927-4C26-8E22-51F8825DEAE5}"/>
    <cellStyle name="Comma 2 5 4 2 3 2" xfId="13161" xr:uid="{D8C861A6-3A59-4C67-AEF3-6A6764249473}"/>
    <cellStyle name="Comma 2 5 4 2 3 2 2" xfId="28281" xr:uid="{D90E231B-7235-4115-9D75-09DC37D0E81B}"/>
    <cellStyle name="Comma 2 5 4 2 3 2 2 2" xfId="58521" xr:uid="{92A92DC8-5ECF-4D52-8729-8B4E56D0A784}"/>
    <cellStyle name="Comma 2 5 4 2 3 2 3" xfId="43401" xr:uid="{8E4CB91F-55C6-491C-9CC7-2DDC749F849E}"/>
    <cellStyle name="Comma 2 5 4 2 3 3" xfId="19209" xr:uid="{3C5E5759-8760-4672-8B1A-2272D57A2AAF}"/>
    <cellStyle name="Comma 2 5 4 2 3 3 2" xfId="49449" xr:uid="{4AEB73DA-AC32-45F7-BB91-0A7F71387F57}"/>
    <cellStyle name="Comma 2 5 4 2 3 4" xfId="34329" xr:uid="{2F1D38EC-2327-4E7E-A277-9D9F1005AADE}"/>
    <cellStyle name="Comma 2 5 4 2 4" xfId="5601" xr:uid="{77E4E0F4-3646-4F30-BD20-FF24D1E52C68}"/>
    <cellStyle name="Comma 2 5 4 2 4 2" xfId="14673" xr:uid="{79CDEE83-BE23-4920-ADCC-506466DEFB2C}"/>
    <cellStyle name="Comma 2 5 4 2 4 2 2" xfId="29793" xr:uid="{A0A0C06E-C8C3-47C9-B8D0-0901B8DA4314}"/>
    <cellStyle name="Comma 2 5 4 2 4 2 2 2" xfId="60033" xr:uid="{CA72DAA6-1A9A-4B93-A9DA-F736B260AAAE}"/>
    <cellStyle name="Comma 2 5 4 2 4 2 3" xfId="44913" xr:uid="{AC07AFC4-3CF5-4C23-A56F-513328851E15}"/>
    <cellStyle name="Comma 2 5 4 2 4 3" xfId="20721" xr:uid="{017C6379-65AB-447F-BD00-8A3B6C318611}"/>
    <cellStyle name="Comma 2 5 4 2 4 3 2" xfId="50961" xr:uid="{605521D2-20EB-4A20-9D09-FB70614C52F8}"/>
    <cellStyle name="Comma 2 5 4 2 4 4" xfId="35841" xr:uid="{B442BDDF-B7C5-4B88-AC7A-29B7681C7D52}"/>
    <cellStyle name="Comma 2 5 4 2 5" xfId="7113" xr:uid="{4A9510D1-65A6-43ED-9CD4-474B8DCA8A57}"/>
    <cellStyle name="Comma 2 5 4 2 5 2" xfId="22233" xr:uid="{5769F0E5-CB73-43E2-BDEC-9273E3300BF4}"/>
    <cellStyle name="Comma 2 5 4 2 5 2 2" xfId="52473" xr:uid="{372876EE-B247-4C4F-97E9-DE0CD46FCB91}"/>
    <cellStyle name="Comma 2 5 4 2 5 3" xfId="37353" xr:uid="{6BB59F43-C91F-45DA-A06F-053638F494D4}"/>
    <cellStyle name="Comma 2 5 4 2 6" xfId="8625" xr:uid="{7A4776EA-A32B-4196-8DB8-290848069456}"/>
    <cellStyle name="Comma 2 5 4 2 6 2" xfId="23745" xr:uid="{C8BC8C0E-2186-4D8A-8ABD-BC094364194B}"/>
    <cellStyle name="Comma 2 5 4 2 6 2 2" xfId="53985" xr:uid="{4200FFA0-66F8-43F0-A5DC-2025C4E1FBEF}"/>
    <cellStyle name="Comma 2 5 4 2 6 3" xfId="38865" xr:uid="{77BED117-8A0A-4044-B9F7-933450AB0D00}"/>
    <cellStyle name="Comma 2 5 4 2 7" xfId="10137" xr:uid="{4EB8D2EF-2B3A-4EBB-8485-085B982A8949}"/>
    <cellStyle name="Comma 2 5 4 2 7 2" xfId="25257" xr:uid="{91E8FF04-A583-4D00-898A-4A12E57A049A}"/>
    <cellStyle name="Comma 2 5 4 2 7 2 2" xfId="55497" xr:uid="{87CE8E91-68D4-4878-BC27-A49807E97D84}"/>
    <cellStyle name="Comma 2 5 4 2 7 3" xfId="40377" xr:uid="{DC585953-F800-4145-BC0D-77594C67BF01}"/>
    <cellStyle name="Comma 2 5 4 2 8" xfId="16185" xr:uid="{09E494BB-9D3A-43ED-B9A4-4E8E76DA62AF}"/>
    <cellStyle name="Comma 2 5 4 2 8 2" xfId="46425" xr:uid="{AA9D2766-2315-4030-AEBE-862032FB4CCB}"/>
    <cellStyle name="Comma 2 5 4 2 9" xfId="31305" xr:uid="{40684DBF-4840-4D92-B27D-ED37B7008460}"/>
    <cellStyle name="Comma 2 5 4 3" xfId="1821" xr:uid="{0A433BA9-A427-476A-8DBF-391B3B82E639}"/>
    <cellStyle name="Comma 2 5 4 3 2" xfId="10893" xr:uid="{AF84E7FC-0F94-4D5E-94DC-C84C36A354A4}"/>
    <cellStyle name="Comma 2 5 4 3 2 2" xfId="26013" xr:uid="{918B5B66-7028-4825-A4F4-31C8BE0F0BD4}"/>
    <cellStyle name="Comma 2 5 4 3 2 2 2" xfId="56253" xr:uid="{59B73DBE-DD91-4E0A-95B4-BD02D671CA9E}"/>
    <cellStyle name="Comma 2 5 4 3 2 3" xfId="41133" xr:uid="{486194EA-B9A9-45E5-AE1D-36BB18126875}"/>
    <cellStyle name="Comma 2 5 4 3 3" xfId="16941" xr:uid="{570EA307-E0AF-4E2F-AFCB-2FA2FE4E71AA}"/>
    <cellStyle name="Comma 2 5 4 3 3 2" xfId="47181" xr:uid="{0CCC34C3-5CBF-407E-9813-845F3D38317F}"/>
    <cellStyle name="Comma 2 5 4 3 4" xfId="32061" xr:uid="{9776A0FB-CC7F-4E61-BACE-558D872C400C}"/>
    <cellStyle name="Comma 2 5 4 4" xfId="3333" xr:uid="{B8E185E8-D6DB-4AE7-A36B-1E9C4502E3B7}"/>
    <cellStyle name="Comma 2 5 4 4 2" xfId="12405" xr:uid="{2D42F250-89EA-4AE0-AB47-1898CA9DCA73}"/>
    <cellStyle name="Comma 2 5 4 4 2 2" xfId="27525" xr:uid="{1AF7A6F8-F7E2-425C-853D-D5EFBFD4842A}"/>
    <cellStyle name="Comma 2 5 4 4 2 2 2" xfId="57765" xr:uid="{F92DC585-05D8-4F0D-B3B6-0DDB010E5E5B}"/>
    <cellStyle name="Comma 2 5 4 4 2 3" xfId="42645" xr:uid="{FF86798E-208B-43E0-B120-5A66EE9AFD0D}"/>
    <cellStyle name="Comma 2 5 4 4 3" xfId="18453" xr:uid="{97BB0BCE-4DEF-44E8-A14A-9FEF1FEED170}"/>
    <cellStyle name="Comma 2 5 4 4 3 2" xfId="48693" xr:uid="{B4604C9D-45D0-4CD1-956E-41FA2221025D}"/>
    <cellStyle name="Comma 2 5 4 4 4" xfId="33573" xr:uid="{774290A7-AA2B-4872-BCFE-448C6BA0C8F9}"/>
    <cellStyle name="Comma 2 5 4 5" xfId="4845" xr:uid="{9B4B112A-D43F-4229-A0E0-6B42747B8080}"/>
    <cellStyle name="Comma 2 5 4 5 2" xfId="13917" xr:uid="{AC176683-D72C-4459-A666-5815C1AF40BB}"/>
    <cellStyle name="Comma 2 5 4 5 2 2" xfId="29037" xr:uid="{FD598F15-5865-4FBA-A93C-BD948E41600D}"/>
    <cellStyle name="Comma 2 5 4 5 2 2 2" xfId="59277" xr:uid="{A03CA34C-F7F5-4717-8BD2-84C9D3FBB4A4}"/>
    <cellStyle name="Comma 2 5 4 5 2 3" xfId="44157" xr:uid="{CDD683D9-D1F4-4027-8E8B-14199558354E}"/>
    <cellStyle name="Comma 2 5 4 5 3" xfId="19965" xr:uid="{ECFE4E02-3BEB-4E55-AE46-42A01AA15652}"/>
    <cellStyle name="Comma 2 5 4 5 3 2" xfId="50205" xr:uid="{94072C8A-CE69-4BA7-B9A7-5DAFA7610D37}"/>
    <cellStyle name="Comma 2 5 4 5 4" xfId="35085" xr:uid="{20E1EEBD-E903-45FF-B3AE-5B6028FACEE3}"/>
    <cellStyle name="Comma 2 5 4 6" xfId="6357" xr:uid="{AB732936-6BCD-46D2-B8C7-3E2154C85BAF}"/>
    <cellStyle name="Comma 2 5 4 6 2" xfId="21477" xr:uid="{BEC8DA60-F385-4CF5-92F0-7FBA9AB1E78B}"/>
    <cellStyle name="Comma 2 5 4 6 2 2" xfId="51717" xr:uid="{27E46113-42DF-4030-BD7C-1FE2A665D030}"/>
    <cellStyle name="Comma 2 5 4 6 3" xfId="36597" xr:uid="{6E7CD461-1AE9-407E-9B31-2812BB1E026E}"/>
    <cellStyle name="Comma 2 5 4 7" xfId="7869" xr:uid="{A671D756-B3F0-41F1-A576-99D64C1A9A59}"/>
    <cellStyle name="Comma 2 5 4 7 2" xfId="22989" xr:uid="{AB73DBB4-0C60-4DAB-B792-49B26352333C}"/>
    <cellStyle name="Comma 2 5 4 7 2 2" xfId="53229" xr:uid="{3D7EAD27-3995-478C-8FF2-CE431116801A}"/>
    <cellStyle name="Comma 2 5 4 7 3" xfId="38109" xr:uid="{707FC79C-C9F6-413A-B037-D718FEF82CC1}"/>
    <cellStyle name="Comma 2 5 4 8" xfId="9381" xr:uid="{B7B44A94-4B4B-42FB-B432-D7673B02ACDE}"/>
    <cellStyle name="Comma 2 5 4 8 2" xfId="24501" xr:uid="{6E410E08-401F-4760-9951-B9A204A78BC5}"/>
    <cellStyle name="Comma 2 5 4 8 2 2" xfId="54741" xr:uid="{9595DA54-0674-4666-BE11-E11305F7062A}"/>
    <cellStyle name="Comma 2 5 4 8 3" xfId="39621" xr:uid="{0993BAF1-0D28-4EF4-8902-26D9EEA2AE34}"/>
    <cellStyle name="Comma 2 5 4 9" xfId="15429" xr:uid="{3B897DAD-EF08-4D2D-92E8-A76867728175}"/>
    <cellStyle name="Comma 2 5 4 9 2" xfId="45669" xr:uid="{E8229CAE-3590-4252-A3AA-5B2A3D193F73}"/>
    <cellStyle name="Comma 2 5 5" xfId="561" xr:uid="{14018C84-5D74-49E4-AC68-501F3B8A2DF6}"/>
    <cellStyle name="Comma 2 5 5 10" xfId="30801" xr:uid="{BF20CDFC-0F55-4367-8F51-40CAF7829F20}"/>
    <cellStyle name="Comma 2 5 5 2" xfId="1317" xr:uid="{37955354-5388-4049-B34E-2B898C5AEA33}"/>
    <cellStyle name="Comma 2 5 5 2 2" xfId="2829" xr:uid="{521E18A2-1AB7-4D40-B566-48EE05468A2F}"/>
    <cellStyle name="Comma 2 5 5 2 2 2" xfId="11901" xr:uid="{1C0B7141-7FBA-4F61-A167-32C39A3A2931}"/>
    <cellStyle name="Comma 2 5 5 2 2 2 2" xfId="27021" xr:uid="{F6075E40-FE0C-409B-A965-70F53AD7DF90}"/>
    <cellStyle name="Comma 2 5 5 2 2 2 2 2" xfId="57261" xr:uid="{58CA7E39-DC4F-499A-9C19-FF73D49102F0}"/>
    <cellStyle name="Comma 2 5 5 2 2 2 3" xfId="42141" xr:uid="{4AE42B61-D627-4ED4-9847-66FD04554370}"/>
    <cellStyle name="Comma 2 5 5 2 2 3" xfId="17949" xr:uid="{6ADDFFD1-F651-4214-BFFF-F2E888BB48D2}"/>
    <cellStyle name="Comma 2 5 5 2 2 3 2" xfId="48189" xr:uid="{19AE0CB6-5CCF-463F-BF2B-A643C559A05F}"/>
    <cellStyle name="Comma 2 5 5 2 2 4" xfId="33069" xr:uid="{C0B0D432-685D-474D-AEBE-BA727E7F4972}"/>
    <cellStyle name="Comma 2 5 5 2 3" xfId="4341" xr:uid="{F45A7DE2-3F19-4B35-B806-614EEB5687A3}"/>
    <cellStyle name="Comma 2 5 5 2 3 2" xfId="13413" xr:uid="{14831F6F-2741-448B-AF25-AAA1E69198AA}"/>
    <cellStyle name="Comma 2 5 5 2 3 2 2" xfId="28533" xr:uid="{7F8FBD57-95A4-49CD-9BDF-93B23B081ED4}"/>
    <cellStyle name="Comma 2 5 5 2 3 2 2 2" xfId="58773" xr:uid="{662B8596-9DC7-4416-BB7F-312B9C3EDDF8}"/>
    <cellStyle name="Comma 2 5 5 2 3 2 3" xfId="43653" xr:uid="{79A18284-1B5F-42B7-8011-C20E9AF1285F}"/>
    <cellStyle name="Comma 2 5 5 2 3 3" xfId="19461" xr:uid="{B23EA25F-7ABA-4F20-A944-957151FBB771}"/>
    <cellStyle name="Comma 2 5 5 2 3 3 2" xfId="49701" xr:uid="{5D14C9F8-5362-497E-A819-1AE018F634C2}"/>
    <cellStyle name="Comma 2 5 5 2 3 4" xfId="34581" xr:uid="{5896C89D-2CBE-40C2-839B-F351492BCBE0}"/>
    <cellStyle name="Comma 2 5 5 2 4" xfId="5853" xr:uid="{08D45CA6-71A4-4BB2-8C38-FAE9E5243A7A}"/>
    <cellStyle name="Comma 2 5 5 2 4 2" xfId="14925" xr:uid="{6CE4C4A8-4204-42F2-908A-87CD79903CFD}"/>
    <cellStyle name="Comma 2 5 5 2 4 2 2" xfId="30045" xr:uid="{22A32899-0BAF-497A-8FF8-CBC1B38588FB}"/>
    <cellStyle name="Comma 2 5 5 2 4 2 2 2" xfId="60285" xr:uid="{986776D9-C73E-40EB-B3F2-644EBBA1FDEF}"/>
    <cellStyle name="Comma 2 5 5 2 4 2 3" xfId="45165" xr:uid="{214A74DC-1443-4DBF-86A9-A87CBA0A490C}"/>
    <cellStyle name="Comma 2 5 5 2 4 3" xfId="20973" xr:uid="{3C1B1CBF-5CE2-4BAE-BFF1-9CA638D92811}"/>
    <cellStyle name="Comma 2 5 5 2 4 3 2" xfId="51213" xr:uid="{1E394777-BFF0-4D1A-8A6F-56F293B5B7B3}"/>
    <cellStyle name="Comma 2 5 5 2 4 4" xfId="36093" xr:uid="{087FECAC-4AAD-468E-9A9B-B18CFAA7C955}"/>
    <cellStyle name="Comma 2 5 5 2 5" xfId="7365" xr:uid="{9CFFE9B1-9AF3-4CD1-9344-4116A7D58571}"/>
    <cellStyle name="Comma 2 5 5 2 5 2" xfId="22485" xr:uid="{064A333F-BC4C-4B82-B41E-0069E6469836}"/>
    <cellStyle name="Comma 2 5 5 2 5 2 2" xfId="52725" xr:uid="{591EA424-5D48-41FE-93FC-06C0658D4BFB}"/>
    <cellStyle name="Comma 2 5 5 2 5 3" xfId="37605" xr:uid="{823D6FE5-95DA-479F-9232-A9E2FC83664D}"/>
    <cellStyle name="Comma 2 5 5 2 6" xfId="8877" xr:uid="{82805CA4-334D-4D3A-9286-D9F95BD2A0C6}"/>
    <cellStyle name="Comma 2 5 5 2 6 2" xfId="23997" xr:uid="{E994FD0F-558C-4612-96C2-646B75BAB9C6}"/>
    <cellStyle name="Comma 2 5 5 2 6 2 2" xfId="54237" xr:uid="{D5AD6EA2-5C13-4383-A935-930590D17EF4}"/>
    <cellStyle name="Comma 2 5 5 2 6 3" xfId="39117" xr:uid="{069751B6-21E6-45FD-A2E5-89C1DC904AFF}"/>
    <cellStyle name="Comma 2 5 5 2 7" xfId="10389" xr:uid="{A8E452CF-2D82-48D9-ACDC-F97B214F0789}"/>
    <cellStyle name="Comma 2 5 5 2 7 2" xfId="25509" xr:uid="{18B34DFD-D314-447F-B168-A012C53E0DAD}"/>
    <cellStyle name="Comma 2 5 5 2 7 2 2" xfId="55749" xr:uid="{DA0188D9-6479-4D1A-AED8-AC4B0958CA14}"/>
    <cellStyle name="Comma 2 5 5 2 7 3" xfId="40629" xr:uid="{D813B535-7C02-45F4-953F-DCD79B7750AE}"/>
    <cellStyle name="Comma 2 5 5 2 8" xfId="16437" xr:uid="{D2C2004D-A52B-47D8-809F-D48D38617B91}"/>
    <cellStyle name="Comma 2 5 5 2 8 2" xfId="46677" xr:uid="{A2A19083-1245-481F-98F1-A85958361DFD}"/>
    <cellStyle name="Comma 2 5 5 2 9" xfId="31557" xr:uid="{9989750A-3890-4837-9C7A-308301725599}"/>
    <cellStyle name="Comma 2 5 5 3" xfId="2073" xr:uid="{5567264A-469C-491E-8978-5D1FA6FAFA75}"/>
    <cellStyle name="Comma 2 5 5 3 2" xfId="11145" xr:uid="{DCC8135B-4C23-4459-B203-D82D57A487B2}"/>
    <cellStyle name="Comma 2 5 5 3 2 2" xfId="26265" xr:uid="{A557D9C3-97F2-4751-9F57-AC2979B878BF}"/>
    <cellStyle name="Comma 2 5 5 3 2 2 2" xfId="56505" xr:uid="{56DB0E26-1FBA-4186-94EF-11DA2C8A5AD7}"/>
    <cellStyle name="Comma 2 5 5 3 2 3" xfId="41385" xr:uid="{8E2EDFAC-E185-4A24-BF7D-A240B03E1B39}"/>
    <cellStyle name="Comma 2 5 5 3 3" xfId="17193" xr:uid="{A68D94BA-B4AA-4C15-8555-C14A6AF0BC2F}"/>
    <cellStyle name="Comma 2 5 5 3 3 2" xfId="47433" xr:uid="{ACE085C2-E2BD-4249-AF0F-630EB5B51156}"/>
    <cellStyle name="Comma 2 5 5 3 4" xfId="32313" xr:uid="{82091C69-8A38-4959-B75F-8805FB7C72AF}"/>
    <cellStyle name="Comma 2 5 5 4" xfId="3585" xr:uid="{6B7B3F53-EDAF-4B16-B834-E6A55C95CDF7}"/>
    <cellStyle name="Comma 2 5 5 4 2" xfId="12657" xr:uid="{A58EC78B-260F-47E0-9852-5120F565ABDC}"/>
    <cellStyle name="Comma 2 5 5 4 2 2" xfId="27777" xr:uid="{AC431752-75EA-4F51-83BD-D19697B3BE99}"/>
    <cellStyle name="Comma 2 5 5 4 2 2 2" xfId="58017" xr:uid="{0D27F6BD-BB0D-4103-B8EC-A24BBCCE1AA8}"/>
    <cellStyle name="Comma 2 5 5 4 2 3" xfId="42897" xr:uid="{16E97A7A-0399-4D8B-ACBD-2246232E77D6}"/>
    <cellStyle name="Comma 2 5 5 4 3" xfId="18705" xr:uid="{951B68E0-5D07-4DF8-814B-2CFC1325A939}"/>
    <cellStyle name="Comma 2 5 5 4 3 2" xfId="48945" xr:uid="{F197ED7A-3A62-4E39-945F-4053D2F5DC57}"/>
    <cellStyle name="Comma 2 5 5 4 4" xfId="33825" xr:uid="{1A9A6C85-1143-4971-ADAA-D4809ECDE355}"/>
    <cellStyle name="Comma 2 5 5 5" xfId="5097" xr:uid="{323951A5-6458-4165-9DE5-83F970A42C2A}"/>
    <cellStyle name="Comma 2 5 5 5 2" xfId="14169" xr:uid="{774AFB25-30AC-4791-B4CA-136F5C441485}"/>
    <cellStyle name="Comma 2 5 5 5 2 2" xfId="29289" xr:uid="{F0A25F23-9206-46C6-8512-3A81B7B53553}"/>
    <cellStyle name="Comma 2 5 5 5 2 2 2" xfId="59529" xr:uid="{D4588E45-8A13-4985-802B-D7362891ED5B}"/>
    <cellStyle name="Comma 2 5 5 5 2 3" xfId="44409" xr:uid="{3EB061B0-949E-48A2-8C8E-6FC7442DCDC8}"/>
    <cellStyle name="Comma 2 5 5 5 3" xfId="20217" xr:uid="{B30856C5-5B26-43D1-9493-10F029C93B24}"/>
    <cellStyle name="Comma 2 5 5 5 3 2" xfId="50457" xr:uid="{4419197E-19B4-436B-8B81-6F3E0883CDC0}"/>
    <cellStyle name="Comma 2 5 5 5 4" xfId="35337" xr:uid="{C2382B12-8961-48CA-AB8C-8DA04B5A74E3}"/>
    <cellStyle name="Comma 2 5 5 6" xfId="6609" xr:uid="{1925CEFC-A149-4769-BC86-76A899785BDF}"/>
    <cellStyle name="Comma 2 5 5 6 2" xfId="21729" xr:uid="{BA0B0276-B823-499C-8E5C-DE7A9147C347}"/>
    <cellStyle name="Comma 2 5 5 6 2 2" xfId="51969" xr:uid="{0BEFEEA6-1A62-4625-BC88-FD1C0EB14043}"/>
    <cellStyle name="Comma 2 5 5 6 3" xfId="36849" xr:uid="{5CEF4456-1A3D-4C11-9D10-87BB46FBF5EE}"/>
    <cellStyle name="Comma 2 5 5 7" xfId="8121" xr:uid="{78A8DFAB-C60C-4C55-BA7D-10FDBA64C592}"/>
    <cellStyle name="Comma 2 5 5 7 2" xfId="23241" xr:uid="{C963B1C3-2977-4DF9-82FD-6604E1B8B298}"/>
    <cellStyle name="Comma 2 5 5 7 2 2" xfId="53481" xr:uid="{90640F10-38A8-4E05-96F9-D3680987A2B1}"/>
    <cellStyle name="Comma 2 5 5 7 3" xfId="38361" xr:uid="{10CB9021-CE2B-4CE9-ADE2-EA711646C2D5}"/>
    <cellStyle name="Comma 2 5 5 8" xfId="9633" xr:uid="{D973A913-5D39-47A5-B6B6-876C19E58291}"/>
    <cellStyle name="Comma 2 5 5 8 2" xfId="24753" xr:uid="{21F5045C-9500-40E0-A9C4-1D78D5885EFC}"/>
    <cellStyle name="Comma 2 5 5 8 2 2" xfId="54993" xr:uid="{AD1A32F5-86F5-40EB-A66B-DFB98B62A1A9}"/>
    <cellStyle name="Comma 2 5 5 8 3" xfId="39873" xr:uid="{94341EA6-2964-4FC9-9EA7-2A12F0D8C338}"/>
    <cellStyle name="Comma 2 5 5 9" xfId="15681" xr:uid="{CD6202AD-9173-4EDD-A445-D87EE054FBE4}"/>
    <cellStyle name="Comma 2 5 5 9 2" xfId="45921" xr:uid="{C860A610-EA8E-47C7-AD63-603FBF7FED2B}"/>
    <cellStyle name="Comma 2 5 6" xfId="813" xr:uid="{D9793927-921C-4083-80D9-B87CD5F6720B}"/>
    <cellStyle name="Comma 2 5 6 2" xfId="2325" xr:uid="{0B7C70EC-B763-4B31-A252-55D06262A985}"/>
    <cellStyle name="Comma 2 5 6 2 2" xfId="11397" xr:uid="{9EA529E0-B30C-4103-9D45-4191257F4057}"/>
    <cellStyle name="Comma 2 5 6 2 2 2" xfId="26517" xr:uid="{FA14C495-A916-4C0E-A60C-49262134BE7B}"/>
    <cellStyle name="Comma 2 5 6 2 2 2 2" xfId="56757" xr:uid="{9F448839-527D-4086-BC2A-3BD227CAD1FA}"/>
    <cellStyle name="Comma 2 5 6 2 2 3" xfId="41637" xr:uid="{737B7C9D-AF7E-43F5-9462-75F42C6A671A}"/>
    <cellStyle name="Comma 2 5 6 2 3" xfId="17445" xr:uid="{8C007618-10D3-41DC-A776-41154D9CE069}"/>
    <cellStyle name="Comma 2 5 6 2 3 2" xfId="47685" xr:uid="{94ACEFF0-2719-41DE-B93D-2BD683AAF8C3}"/>
    <cellStyle name="Comma 2 5 6 2 4" xfId="32565" xr:uid="{A8EA2F90-5E63-4184-AA87-AB8FAFAE1913}"/>
    <cellStyle name="Comma 2 5 6 3" xfId="3837" xr:uid="{640242AC-1A80-4065-AA8E-327B53FB3FAA}"/>
    <cellStyle name="Comma 2 5 6 3 2" xfId="12909" xr:uid="{E15AD635-91B8-4998-8A06-6028E58943B9}"/>
    <cellStyle name="Comma 2 5 6 3 2 2" xfId="28029" xr:uid="{B6A031CE-82D3-47CC-AB84-0D3FEB21D91B}"/>
    <cellStyle name="Comma 2 5 6 3 2 2 2" xfId="58269" xr:uid="{925E82C7-1C70-44A1-AB64-2FE56182C7F2}"/>
    <cellStyle name="Comma 2 5 6 3 2 3" xfId="43149" xr:uid="{BDFA482F-B6A1-497A-9B8C-774329C3B588}"/>
    <cellStyle name="Comma 2 5 6 3 3" xfId="18957" xr:uid="{8B87F074-DB23-4327-8D5A-599C34A9CC7F}"/>
    <cellStyle name="Comma 2 5 6 3 3 2" xfId="49197" xr:uid="{C4CB01D1-C478-4928-B2D8-254CBCA8DFFE}"/>
    <cellStyle name="Comma 2 5 6 3 4" xfId="34077" xr:uid="{FB4083BA-6AED-4E74-984D-6156807A8070}"/>
    <cellStyle name="Comma 2 5 6 4" xfId="5349" xr:uid="{27D2C7B2-704F-423F-A582-8018F38885EA}"/>
    <cellStyle name="Comma 2 5 6 4 2" xfId="14421" xr:uid="{B37CF94C-4809-4F53-BC6B-0568A1638303}"/>
    <cellStyle name="Comma 2 5 6 4 2 2" xfId="29541" xr:uid="{0B6E148A-0CEB-4B3E-89AF-7D4DAD4FE57C}"/>
    <cellStyle name="Comma 2 5 6 4 2 2 2" xfId="59781" xr:uid="{1E948101-B4DC-4450-8B97-76CCE92D2708}"/>
    <cellStyle name="Comma 2 5 6 4 2 3" xfId="44661" xr:uid="{F6A5A9F2-E747-4A56-A54A-E35AD74703E5}"/>
    <cellStyle name="Comma 2 5 6 4 3" xfId="20469" xr:uid="{2B41EE7D-D988-462C-94B0-DE01EFA565BC}"/>
    <cellStyle name="Comma 2 5 6 4 3 2" xfId="50709" xr:uid="{64EFA472-BFA8-4A52-8D8B-08392D378F15}"/>
    <cellStyle name="Comma 2 5 6 4 4" xfId="35589" xr:uid="{8C418FEB-1945-498B-B3F1-48B05701198F}"/>
    <cellStyle name="Comma 2 5 6 5" xfId="6861" xr:uid="{122EC8C3-C98C-45BF-BB01-6170D1759942}"/>
    <cellStyle name="Comma 2 5 6 5 2" xfId="21981" xr:uid="{4190E628-7957-402B-A1B7-FC36CF206A9C}"/>
    <cellStyle name="Comma 2 5 6 5 2 2" xfId="52221" xr:uid="{DF67160F-7417-4001-BBF8-70155190F595}"/>
    <cellStyle name="Comma 2 5 6 5 3" xfId="37101" xr:uid="{32014D18-D9FB-4A59-A188-AB9DC4C9B34E}"/>
    <cellStyle name="Comma 2 5 6 6" xfId="8373" xr:uid="{3705D9B5-D1C3-4389-9A88-C1E3CFF6CD73}"/>
    <cellStyle name="Comma 2 5 6 6 2" xfId="23493" xr:uid="{913D9FC3-B83C-4C14-A51D-9A4417216B5D}"/>
    <cellStyle name="Comma 2 5 6 6 2 2" xfId="53733" xr:uid="{A5257FBD-287E-4635-90A1-2CE3D5DC2CD1}"/>
    <cellStyle name="Comma 2 5 6 6 3" xfId="38613" xr:uid="{AC437476-7DCC-430B-9C55-58158E26C329}"/>
    <cellStyle name="Comma 2 5 6 7" xfId="9885" xr:uid="{782C0A7E-406A-46AC-8406-58F46C40536E}"/>
    <cellStyle name="Comma 2 5 6 7 2" xfId="25005" xr:uid="{15898D74-DB1D-4367-8B9B-8125A139A7CE}"/>
    <cellStyle name="Comma 2 5 6 7 2 2" xfId="55245" xr:uid="{22CFEC89-2C3F-4A15-AF9A-ECF8BC0A2A3B}"/>
    <cellStyle name="Comma 2 5 6 7 3" xfId="40125" xr:uid="{AA25A0E4-5D60-4B58-9287-44CA2B366371}"/>
    <cellStyle name="Comma 2 5 6 8" xfId="15933" xr:uid="{D45C2D85-AAD5-4962-936A-C1754505FA6D}"/>
    <cellStyle name="Comma 2 5 6 8 2" xfId="46173" xr:uid="{7C9C7B70-7DB1-403A-81ED-4A1D44B12408}"/>
    <cellStyle name="Comma 2 5 6 9" xfId="31053" xr:uid="{F45F7BFF-5BB0-4C3F-9AB4-3C2A05611E60}"/>
    <cellStyle name="Comma 2 5 7" xfId="1569" xr:uid="{577FAAD7-2A9B-460E-8A90-4A6AEFA18845}"/>
    <cellStyle name="Comma 2 5 7 2" xfId="10641" xr:uid="{93B5C7F0-3A3C-4602-A106-7D395ECC124F}"/>
    <cellStyle name="Comma 2 5 7 2 2" xfId="25761" xr:uid="{C955F479-4991-44D6-9F70-600252D99989}"/>
    <cellStyle name="Comma 2 5 7 2 2 2" xfId="56001" xr:uid="{3A80F254-542C-4027-B311-3D01B7F9266C}"/>
    <cellStyle name="Comma 2 5 7 2 3" xfId="40881" xr:uid="{E5A68DAA-3A91-419D-A9EF-DCF78CA3F6EB}"/>
    <cellStyle name="Comma 2 5 7 3" xfId="16689" xr:uid="{63921B40-D681-4477-8698-CEA40CA07F79}"/>
    <cellStyle name="Comma 2 5 7 3 2" xfId="46929" xr:uid="{CE7FEA33-742A-4570-9622-DCECFFBF3C2C}"/>
    <cellStyle name="Comma 2 5 7 4" xfId="31809" xr:uid="{AF58A2D1-4C4E-44C1-8C16-E9CA83D7DD3C}"/>
    <cellStyle name="Comma 2 5 8" xfId="3081" xr:uid="{0667C455-68FC-49A7-A711-01761BCAE212}"/>
    <cellStyle name="Comma 2 5 8 2" xfId="12153" xr:uid="{7EE7F311-2F24-456D-B406-B29D05BC0456}"/>
    <cellStyle name="Comma 2 5 8 2 2" xfId="27273" xr:uid="{5D83BEF2-E068-4820-A57C-1AF080D6BD8F}"/>
    <cellStyle name="Comma 2 5 8 2 2 2" xfId="57513" xr:uid="{45F4C293-01A9-49D8-9B79-8D1F4FEB62A8}"/>
    <cellStyle name="Comma 2 5 8 2 3" xfId="42393" xr:uid="{2221C619-C869-4CBC-A16C-5B7F93127870}"/>
    <cellStyle name="Comma 2 5 8 3" xfId="18201" xr:uid="{B321CCF9-C7D8-4AD6-A6F2-E09B3C3B11BA}"/>
    <cellStyle name="Comma 2 5 8 3 2" xfId="48441" xr:uid="{BA287157-C3DF-4570-8BC2-1D23117A9903}"/>
    <cellStyle name="Comma 2 5 8 4" xfId="33321" xr:uid="{AE95D5B5-832F-4E20-B1F3-64AE4AB5BE3A}"/>
    <cellStyle name="Comma 2 5 9" xfId="4593" xr:uid="{98206456-D50B-4B1C-9F85-EBE95FEF9BC4}"/>
    <cellStyle name="Comma 2 5 9 2" xfId="13665" xr:uid="{120913DE-69BC-4F2B-90EE-B85A05841721}"/>
    <cellStyle name="Comma 2 5 9 2 2" xfId="28785" xr:uid="{234933A5-0867-42D8-9749-96AAEDD2017F}"/>
    <cellStyle name="Comma 2 5 9 2 2 2" xfId="59025" xr:uid="{399C286A-446C-4521-84F1-C19E144CFBCF}"/>
    <cellStyle name="Comma 2 5 9 2 3" xfId="43905" xr:uid="{607FF575-CED5-4515-A10E-AEB2A7BF04C7}"/>
    <cellStyle name="Comma 2 5 9 3" xfId="19713" xr:uid="{DE8924C8-B790-4EA7-8E27-B9F2E6CA1100}"/>
    <cellStyle name="Comma 2 5 9 3 2" xfId="49953" xr:uid="{30C6EF0E-A458-466A-BB65-BD73F773D284}"/>
    <cellStyle name="Comma 2 5 9 4" xfId="34833" xr:uid="{2F429DDC-827E-4C7A-93AB-0490700881DF}"/>
    <cellStyle name="Comma 2 6" xfId="99" xr:uid="{87DCE043-8B83-428C-B4BF-7ECFC0723BB3}"/>
    <cellStyle name="Comma 2 6 10" xfId="9171" xr:uid="{31148137-8869-4116-941D-3B3FA759A9A8}"/>
    <cellStyle name="Comma 2 6 10 2" xfId="24291" xr:uid="{B510F419-208A-481B-9AFB-F0B6B72B44EA}"/>
    <cellStyle name="Comma 2 6 10 2 2" xfId="54531" xr:uid="{D3F586FF-8D94-4D8C-AF3E-D718190C59DA}"/>
    <cellStyle name="Comma 2 6 10 3" xfId="39411" xr:uid="{7A08D18F-12A7-41C8-AE07-EEAC13A845EB}"/>
    <cellStyle name="Comma 2 6 11" xfId="15219" xr:uid="{FABAF124-80E8-4424-889E-B4D5BFD6BD9F}"/>
    <cellStyle name="Comma 2 6 11 2" xfId="45459" xr:uid="{DF3A051F-3F25-40DA-878A-F43F3C9E2637}"/>
    <cellStyle name="Comma 2 6 12" xfId="30339" xr:uid="{8B94DC11-446D-4647-9069-D9FF783A551A}"/>
    <cellStyle name="Comma 2 6 2" xfId="351" xr:uid="{B00594D7-2795-4D6D-9256-4E4F03B7C170}"/>
    <cellStyle name="Comma 2 6 2 10" xfId="30591" xr:uid="{AFB70CC1-48B9-4901-902E-045741885B56}"/>
    <cellStyle name="Comma 2 6 2 2" xfId="1107" xr:uid="{AC2E8C8C-ABE2-4A4D-AC70-76ADCEF97857}"/>
    <cellStyle name="Comma 2 6 2 2 2" xfId="2619" xr:uid="{EFCD1FD1-6686-46CD-B80D-D29D65E7CDC4}"/>
    <cellStyle name="Comma 2 6 2 2 2 2" xfId="11691" xr:uid="{16FD942E-1F81-4286-8212-2D24C9006A36}"/>
    <cellStyle name="Comma 2 6 2 2 2 2 2" xfId="26811" xr:uid="{D85C33A2-0431-4ADB-9CEF-6115A8F77A5B}"/>
    <cellStyle name="Comma 2 6 2 2 2 2 2 2" xfId="57051" xr:uid="{CEE7B728-D069-41DD-9750-50B9EA7738FF}"/>
    <cellStyle name="Comma 2 6 2 2 2 2 3" xfId="41931" xr:uid="{0ACA414B-E876-43F2-BD4F-C8F2B3A3514B}"/>
    <cellStyle name="Comma 2 6 2 2 2 3" xfId="17739" xr:uid="{FCB8BBD1-BD12-4B11-BCA0-2A1A17C7993C}"/>
    <cellStyle name="Comma 2 6 2 2 2 3 2" xfId="47979" xr:uid="{21349CE9-7398-41D3-8E6A-04ECEA140874}"/>
    <cellStyle name="Comma 2 6 2 2 2 4" xfId="32859" xr:uid="{A5DE3879-D775-4EF2-A613-064425732793}"/>
    <cellStyle name="Comma 2 6 2 2 3" xfId="4131" xr:uid="{D11DD63C-A3A3-4255-BA07-AA1AC25AE364}"/>
    <cellStyle name="Comma 2 6 2 2 3 2" xfId="13203" xr:uid="{60271616-78F7-4119-861B-7EC1FF829977}"/>
    <cellStyle name="Comma 2 6 2 2 3 2 2" xfId="28323" xr:uid="{AC75A641-D1F4-4A5D-BBF8-7690201324DC}"/>
    <cellStyle name="Comma 2 6 2 2 3 2 2 2" xfId="58563" xr:uid="{DB455D54-812F-4F50-B90A-ABBB946D8056}"/>
    <cellStyle name="Comma 2 6 2 2 3 2 3" xfId="43443" xr:uid="{62500487-1ECB-44C3-B29C-1674D21F1C15}"/>
    <cellStyle name="Comma 2 6 2 2 3 3" xfId="19251" xr:uid="{45D800DE-D707-4C0E-832F-05E4A4FA7C4F}"/>
    <cellStyle name="Comma 2 6 2 2 3 3 2" xfId="49491" xr:uid="{9EE483A3-4E84-4AEA-BE62-45F8198EFF29}"/>
    <cellStyle name="Comma 2 6 2 2 3 4" xfId="34371" xr:uid="{2192D4AF-214F-40D9-9DAB-ECE899A07EDF}"/>
    <cellStyle name="Comma 2 6 2 2 4" xfId="5643" xr:uid="{3AC1E480-D20F-4D60-ADAC-C9AB9586AFF0}"/>
    <cellStyle name="Comma 2 6 2 2 4 2" xfId="14715" xr:uid="{A4D4D93A-BF89-4D1B-BD64-7E01A61E320A}"/>
    <cellStyle name="Comma 2 6 2 2 4 2 2" xfId="29835" xr:uid="{95107539-09CE-42DB-9048-0978BB1845A0}"/>
    <cellStyle name="Comma 2 6 2 2 4 2 2 2" xfId="60075" xr:uid="{9F169646-CDA0-4C49-A5D7-2D94E12267D7}"/>
    <cellStyle name="Comma 2 6 2 2 4 2 3" xfId="44955" xr:uid="{47A18CDA-FC41-48CF-84F4-04BE3F6748D0}"/>
    <cellStyle name="Comma 2 6 2 2 4 3" xfId="20763" xr:uid="{C8C50B05-3118-45D1-B3BD-2625313D01DD}"/>
    <cellStyle name="Comma 2 6 2 2 4 3 2" xfId="51003" xr:uid="{0AEBF1C8-476A-4BF1-BBDB-AD88DF93FCF3}"/>
    <cellStyle name="Comma 2 6 2 2 4 4" xfId="35883" xr:uid="{5BFDBBB0-29D4-467E-9F24-CC93E99B85D2}"/>
    <cellStyle name="Comma 2 6 2 2 5" xfId="7155" xr:uid="{B3FEBA84-E744-4C23-8322-00E54F32A647}"/>
    <cellStyle name="Comma 2 6 2 2 5 2" xfId="22275" xr:uid="{A05DA07D-78F8-413B-8510-ADE72C51BA88}"/>
    <cellStyle name="Comma 2 6 2 2 5 2 2" xfId="52515" xr:uid="{322D4774-5BD7-4623-9E39-E3AAB7A60289}"/>
    <cellStyle name="Comma 2 6 2 2 5 3" xfId="37395" xr:uid="{A3FCD21F-406A-40FD-943E-D1DDB10BFB4F}"/>
    <cellStyle name="Comma 2 6 2 2 6" xfId="8667" xr:uid="{649597E0-23B0-45F7-B8E7-604327DA452C}"/>
    <cellStyle name="Comma 2 6 2 2 6 2" xfId="23787" xr:uid="{7605C0B5-C728-46A6-A580-1BA2C694EE38}"/>
    <cellStyle name="Comma 2 6 2 2 6 2 2" xfId="54027" xr:uid="{1795DD2E-0D2B-4372-A7E9-DAF0DE199574}"/>
    <cellStyle name="Comma 2 6 2 2 6 3" xfId="38907" xr:uid="{68F4BE84-943B-4330-805C-F3DFDAAA9A31}"/>
    <cellStyle name="Comma 2 6 2 2 7" xfId="10179" xr:uid="{FA6F34C0-7E34-45BD-8BB7-054B2A3B9FE2}"/>
    <cellStyle name="Comma 2 6 2 2 7 2" xfId="25299" xr:uid="{FBB0179A-CC03-47E1-9FB2-29D3F3849771}"/>
    <cellStyle name="Comma 2 6 2 2 7 2 2" xfId="55539" xr:uid="{27C9DC0E-EC1E-433B-81B7-A12BFEA24FFE}"/>
    <cellStyle name="Comma 2 6 2 2 7 3" xfId="40419" xr:uid="{E89D86BF-D95E-4DF0-9AC3-EE754911B38C}"/>
    <cellStyle name="Comma 2 6 2 2 8" xfId="16227" xr:uid="{414ECA2E-E7E0-4C0D-A4B4-99483754CFB8}"/>
    <cellStyle name="Comma 2 6 2 2 8 2" xfId="46467" xr:uid="{764CB80B-B311-413E-8BE0-D2F919A767BC}"/>
    <cellStyle name="Comma 2 6 2 2 9" xfId="31347" xr:uid="{809D8DAA-827D-4FBB-95CE-DE28A0305FAD}"/>
    <cellStyle name="Comma 2 6 2 3" xfId="1863" xr:uid="{EDA55780-F3A7-489A-819B-9E0254766A72}"/>
    <cellStyle name="Comma 2 6 2 3 2" xfId="10935" xr:uid="{75288437-1D69-48FE-8254-D053B4B9B930}"/>
    <cellStyle name="Comma 2 6 2 3 2 2" xfId="26055" xr:uid="{98B71142-3D9C-4DE3-AF5E-4A0D3B6D4470}"/>
    <cellStyle name="Comma 2 6 2 3 2 2 2" xfId="56295" xr:uid="{55509B77-110A-4BF0-996B-6B99EEEE1481}"/>
    <cellStyle name="Comma 2 6 2 3 2 3" xfId="41175" xr:uid="{D1D75D59-C5F4-44BB-9415-1FB61FE89F14}"/>
    <cellStyle name="Comma 2 6 2 3 3" xfId="16983" xr:uid="{40D06A6F-FD7F-48F0-ACBE-B156EE21C719}"/>
    <cellStyle name="Comma 2 6 2 3 3 2" xfId="47223" xr:uid="{755A1EA1-0539-4A5E-B8BD-1B1A5041AFE5}"/>
    <cellStyle name="Comma 2 6 2 3 4" xfId="32103" xr:uid="{597E073E-9221-4DF3-90A0-85E6A5E8D771}"/>
    <cellStyle name="Comma 2 6 2 4" xfId="3375" xr:uid="{7E42F4EC-E641-430B-974B-EA9CBD8D7CE8}"/>
    <cellStyle name="Comma 2 6 2 4 2" xfId="12447" xr:uid="{774D1D3A-6AA2-4057-B946-796B363AA151}"/>
    <cellStyle name="Comma 2 6 2 4 2 2" xfId="27567" xr:uid="{48AB2219-6396-4620-A604-DEB3396A3F5C}"/>
    <cellStyle name="Comma 2 6 2 4 2 2 2" xfId="57807" xr:uid="{1B137961-1972-4ACC-9295-2C6F7625425B}"/>
    <cellStyle name="Comma 2 6 2 4 2 3" xfId="42687" xr:uid="{14B94DC4-2246-49F5-A798-FB5604C4DBC6}"/>
    <cellStyle name="Comma 2 6 2 4 3" xfId="18495" xr:uid="{FAF77A61-8334-412B-A59D-5B3581DA650F}"/>
    <cellStyle name="Comma 2 6 2 4 3 2" xfId="48735" xr:uid="{55642FDB-72D9-4AA1-A1E5-F2117155048E}"/>
    <cellStyle name="Comma 2 6 2 4 4" xfId="33615" xr:uid="{212D45FB-211F-4F33-B229-4BAAC6829CD1}"/>
    <cellStyle name="Comma 2 6 2 5" xfId="4887" xr:uid="{42D72CE5-1124-4628-9693-3086F7650477}"/>
    <cellStyle name="Comma 2 6 2 5 2" xfId="13959" xr:uid="{00BBBE01-2906-4D6B-80FC-285859A30B7B}"/>
    <cellStyle name="Comma 2 6 2 5 2 2" xfId="29079" xr:uid="{8F652723-C726-4ECF-8E27-19A331C53251}"/>
    <cellStyle name="Comma 2 6 2 5 2 2 2" xfId="59319" xr:uid="{D826858E-6B24-4567-9207-7B2B1D6DC052}"/>
    <cellStyle name="Comma 2 6 2 5 2 3" xfId="44199" xr:uid="{ADFF84FA-67C1-470C-83C0-787C9D1A2124}"/>
    <cellStyle name="Comma 2 6 2 5 3" xfId="20007" xr:uid="{A50BF7D8-31C9-42BC-975A-54DBE5F962DA}"/>
    <cellStyle name="Comma 2 6 2 5 3 2" xfId="50247" xr:uid="{88D3C7C1-DA1C-45BE-B929-26A71060A976}"/>
    <cellStyle name="Comma 2 6 2 5 4" xfId="35127" xr:uid="{1132E55B-2DD7-4768-9B0E-8098D55EEB6D}"/>
    <cellStyle name="Comma 2 6 2 6" xfId="6399" xr:uid="{48F1CC38-8B76-4863-B560-70E1F0F72220}"/>
    <cellStyle name="Comma 2 6 2 6 2" xfId="21519" xr:uid="{2D26C185-E881-4089-9AE0-0D7D770EA5AE}"/>
    <cellStyle name="Comma 2 6 2 6 2 2" xfId="51759" xr:uid="{0849E01F-33E8-446D-B8FE-9EF3AB6F5D80}"/>
    <cellStyle name="Comma 2 6 2 6 3" xfId="36639" xr:uid="{C15431E1-C996-4545-A24C-4F6EFB47A973}"/>
    <cellStyle name="Comma 2 6 2 7" xfId="7911" xr:uid="{1B97A1AF-39E9-4DE0-BD05-3FBC73E10CC5}"/>
    <cellStyle name="Comma 2 6 2 7 2" xfId="23031" xr:uid="{B068807B-0FF2-41AA-8C40-AAD7B92FA044}"/>
    <cellStyle name="Comma 2 6 2 7 2 2" xfId="53271" xr:uid="{EA060481-7E7A-4261-8C52-602577C71553}"/>
    <cellStyle name="Comma 2 6 2 7 3" xfId="38151" xr:uid="{4B954DD0-7DE1-4BFC-BC73-F3526BD1F1DE}"/>
    <cellStyle name="Comma 2 6 2 8" xfId="9423" xr:uid="{9891E948-8B53-4757-A813-7C8C5ACC2D8F}"/>
    <cellStyle name="Comma 2 6 2 8 2" xfId="24543" xr:uid="{9B0B03EF-4739-4A96-B1DA-43B9041CE3AF}"/>
    <cellStyle name="Comma 2 6 2 8 2 2" xfId="54783" xr:uid="{0C3EC990-494B-4DA3-92B3-4BAF21332453}"/>
    <cellStyle name="Comma 2 6 2 8 3" xfId="39663" xr:uid="{0603B158-5FE4-46A6-B42B-E80E48682B1E}"/>
    <cellStyle name="Comma 2 6 2 9" xfId="15471" xr:uid="{09793A95-4E46-4C23-9830-405FDD532C84}"/>
    <cellStyle name="Comma 2 6 2 9 2" xfId="45711" xr:uid="{9DFA3B00-C5B2-47AC-A383-C00825D5646F}"/>
    <cellStyle name="Comma 2 6 3" xfId="603" xr:uid="{A226A4C6-E076-4D84-8AA8-82F8E345B650}"/>
    <cellStyle name="Comma 2 6 3 10" xfId="30843" xr:uid="{A1A49F2F-0AD7-46FB-9136-2E4810C81DB7}"/>
    <cellStyle name="Comma 2 6 3 2" xfId="1359" xr:uid="{B92BF9A4-305E-435C-91B8-E74864A4853D}"/>
    <cellStyle name="Comma 2 6 3 2 2" xfId="2871" xr:uid="{95B7DF95-6382-4F86-BD42-98FCDC156944}"/>
    <cellStyle name="Comma 2 6 3 2 2 2" xfId="11943" xr:uid="{3E0847C6-00BB-4117-A7C1-B24D4BA66A0C}"/>
    <cellStyle name="Comma 2 6 3 2 2 2 2" xfId="27063" xr:uid="{6110DC83-11BC-4C56-BACB-2EC684C3FEE1}"/>
    <cellStyle name="Comma 2 6 3 2 2 2 2 2" xfId="57303" xr:uid="{B5561D94-08AB-4DBE-B114-15EE96F77828}"/>
    <cellStyle name="Comma 2 6 3 2 2 2 3" xfId="42183" xr:uid="{4836FA55-7E37-45BE-A258-3CD42E7253DE}"/>
    <cellStyle name="Comma 2 6 3 2 2 3" xfId="17991" xr:uid="{D639B1C6-59BE-4BE7-B896-B771F58C9AE1}"/>
    <cellStyle name="Comma 2 6 3 2 2 3 2" xfId="48231" xr:uid="{D38BDB90-2100-40BA-89E5-1A45ABBDB6C0}"/>
    <cellStyle name="Comma 2 6 3 2 2 4" xfId="33111" xr:uid="{BDAE0FF3-98C6-4E47-B1F8-496687BDABBE}"/>
    <cellStyle name="Comma 2 6 3 2 3" xfId="4383" xr:uid="{C59FE136-148E-4190-9102-27FAD642D462}"/>
    <cellStyle name="Comma 2 6 3 2 3 2" xfId="13455" xr:uid="{0612A0F8-6F0F-4A48-B742-CAE833103D31}"/>
    <cellStyle name="Comma 2 6 3 2 3 2 2" xfId="28575" xr:uid="{A010D440-D8DC-4B67-879A-7E8B4B3E726F}"/>
    <cellStyle name="Comma 2 6 3 2 3 2 2 2" xfId="58815" xr:uid="{0B5AF3D4-492C-4CA6-AC86-9B500ED5AB95}"/>
    <cellStyle name="Comma 2 6 3 2 3 2 3" xfId="43695" xr:uid="{785F4A59-86E8-41EB-A9CC-42DB7C6C7829}"/>
    <cellStyle name="Comma 2 6 3 2 3 3" xfId="19503" xr:uid="{A7E20700-F382-4ECF-9D8B-EFA1A6DD2982}"/>
    <cellStyle name="Comma 2 6 3 2 3 3 2" xfId="49743" xr:uid="{FC124DD7-FD14-421E-B23A-711EA9B12A19}"/>
    <cellStyle name="Comma 2 6 3 2 3 4" xfId="34623" xr:uid="{0898AA70-B996-4CE7-B090-85F671A79813}"/>
    <cellStyle name="Comma 2 6 3 2 4" xfId="5895" xr:uid="{B3165ACE-24A5-40CB-A025-EF75CDF30D08}"/>
    <cellStyle name="Comma 2 6 3 2 4 2" xfId="14967" xr:uid="{E11E2B81-EE9E-45BD-A44B-2A703A856018}"/>
    <cellStyle name="Comma 2 6 3 2 4 2 2" xfId="30087" xr:uid="{CD04AFFF-CC74-4AA8-B3F7-4495666B821D}"/>
    <cellStyle name="Comma 2 6 3 2 4 2 2 2" xfId="60327" xr:uid="{AE938996-7D50-4113-A7A4-C3A31C070274}"/>
    <cellStyle name="Comma 2 6 3 2 4 2 3" xfId="45207" xr:uid="{1BA3C9BB-8F91-4483-884E-CF4C78C7ABF0}"/>
    <cellStyle name="Comma 2 6 3 2 4 3" xfId="21015" xr:uid="{EE168FCE-0F2C-40F4-BC89-D7B17324F10C}"/>
    <cellStyle name="Comma 2 6 3 2 4 3 2" xfId="51255" xr:uid="{E97D0379-C2BD-4336-BEE1-80A12ADFE910}"/>
    <cellStyle name="Comma 2 6 3 2 4 4" xfId="36135" xr:uid="{C2B24341-D765-4CEA-9A5D-2866C6279368}"/>
    <cellStyle name="Comma 2 6 3 2 5" xfId="7407" xr:uid="{F4307FC4-0053-4A37-8C38-660492AA28F9}"/>
    <cellStyle name="Comma 2 6 3 2 5 2" xfId="22527" xr:uid="{0FC777AA-C27C-4B21-ABD5-D58ECC8EC1C6}"/>
    <cellStyle name="Comma 2 6 3 2 5 2 2" xfId="52767" xr:uid="{6D32CE53-CE53-46B7-ACA1-679D75332D40}"/>
    <cellStyle name="Comma 2 6 3 2 5 3" xfId="37647" xr:uid="{9D88C7A6-7974-4F41-9C1B-932617B9B403}"/>
    <cellStyle name="Comma 2 6 3 2 6" xfId="8919" xr:uid="{7988B40E-E41B-46D1-8E67-8F7AB74E2434}"/>
    <cellStyle name="Comma 2 6 3 2 6 2" xfId="24039" xr:uid="{BA243EBA-6445-4FE0-A8D8-7AC9A9F95EFC}"/>
    <cellStyle name="Comma 2 6 3 2 6 2 2" xfId="54279" xr:uid="{63904E03-AC05-403C-A95B-C718443BE651}"/>
    <cellStyle name="Comma 2 6 3 2 6 3" xfId="39159" xr:uid="{700B2B1D-F339-46C8-8BA4-0FAAAF8F614B}"/>
    <cellStyle name="Comma 2 6 3 2 7" xfId="10431" xr:uid="{2E63F441-9BC1-4097-8C00-54E736F10748}"/>
    <cellStyle name="Comma 2 6 3 2 7 2" xfId="25551" xr:uid="{8366CB5E-A0F5-405B-BF9D-44F99C6376D3}"/>
    <cellStyle name="Comma 2 6 3 2 7 2 2" xfId="55791" xr:uid="{08D877E2-6B02-46CA-A0FF-D8ED4085C887}"/>
    <cellStyle name="Comma 2 6 3 2 7 3" xfId="40671" xr:uid="{C5330310-3E64-4F36-A407-884F2697E18F}"/>
    <cellStyle name="Comma 2 6 3 2 8" xfId="16479" xr:uid="{F5121CB7-9736-42E0-B7F0-5D5B5C3E686B}"/>
    <cellStyle name="Comma 2 6 3 2 8 2" xfId="46719" xr:uid="{64F5C5B9-1DAB-47AE-BF6C-6E5BF17D5ABA}"/>
    <cellStyle name="Comma 2 6 3 2 9" xfId="31599" xr:uid="{E4695DAE-0BE8-4F05-8FD9-0BD7DBD02494}"/>
    <cellStyle name="Comma 2 6 3 3" xfId="2115" xr:uid="{D58655FF-13AC-440B-9EAE-16D44F1B8918}"/>
    <cellStyle name="Comma 2 6 3 3 2" xfId="11187" xr:uid="{67A0E76C-E43B-4EF1-9FA3-618F76C7B83C}"/>
    <cellStyle name="Comma 2 6 3 3 2 2" xfId="26307" xr:uid="{26B06C2E-96E4-4538-839B-C0EFEC43AFC5}"/>
    <cellStyle name="Comma 2 6 3 3 2 2 2" xfId="56547" xr:uid="{E8988A79-CB82-410C-830F-F1CE5E5DEBEF}"/>
    <cellStyle name="Comma 2 6 3 3 2 3" xfId="41427" xr:uid="{E743B2F8-D374-42B2-B214-80C9A923DB17}"/>
    <cellStyle name="Comma 2 6 3 3 3" xfId="17235" xr:uid="{C30974B0-0DB5-44B6-AC41-B41C2FAA72F9}"/>
    <cellStyle name="Comma 2 6 3 3 3 2" xfId="47475" xr:uid="{9E5C492E-D339-43D4-BE2F-5CF98951C9D6}"/>
    <cellStyle name="Comma 2 6 3 3 4" xfId="32355" xr:uid="{985E6883-B7B8-42C7-8B36-69DA83FC8146}"/>
    <cellStyle name="Comma 2 6 3 4" xfId="3627" xr:uid="{F64A0CD4-531A-4689-A163-C5143A15B3B4}"/>
    <cellStyle name="Comma 2 6 3 4 2" xfId="12699" xr:uid="{3153D085-898C-4A5A-9B54-17B289EEF30F}"/>
    <cellStyle name="Comma 2 6 3 4 2 2" xfId="27819" xr:uid="{9281053F-AA8A-407B-B836-7F0B8CB54804}"/>
    <cellStyle name="Comma 2 6 3 4 2 2 2" xfId="58059" xr:uid="{9EC60A8B-A95C-4D46-B799-9463F8A2E8F1}"/>
    <cellStyle name="Comma 2 6 3 4 2 3" xfId="42939" xr:uid="{183D6DE5-A281-4FEE-ACC6-D2B3FA54EEAC}"/>
    <cellStyle name="Comma 2 6 3 4 3" xfId="18747" xr:uid="{11E8C0EA-7B07-40F0-A50A-C81109E5E045}"/>
    <cellStyle name="Comma 2 6 3 4 3 2" xfId="48987" xr:uid="{74DEA88D-8D38-4B26-809E-0ED3CCDBBEA8}"/>
    <cellStyle name="Comma 2 6 3 4 4" xfId="33867" xr:uid="{BB0E29E8-9D27-4C0E-8390-DE25913AE16F}"/>
    <cellStyle name="Comma 2 6 3 5" xfId="5139" xr:uid="{25289F8C-D576-4D24-A351-33779F1D27DE}"/>
    <cellStyle name="Comma 2 6 3 5 2" xfId="14211" xr:uid="{F177A1AC-38B6-46A5-824C-ABB4E9020901}"/>
    <cellStyle name="Comma 2 6 3 5 2 2" xfId="29331" xr:uid="{A1B955B3-5ADA-4B80-B8AB-B4B3E8AE763F}"/>
    <cellStyle name="Comma 2 6 3 5 2 2 2" xfId="59571" xr:uid="{ADF85229-5AE0-45F2-842E-7B33CD695CB9}"/>
    <cellStyle name="Comma 2 6 3 5 2 3" xfId="44451" xr:uid="{98B08920-182E-4A45-A26D-EDE7E3E5CA93}"/>
    <cellStyle name="Comma 2 6 3 5 3" xfId="20259" xr:uid="{10443999-2231-4E96-B87F-23B2F2F616D1}"/>
    <cellStyle name="Comma 2 6 3 5 3 2" xfId="50499" xr:uid="{F29942DD-E5F8-4CDB-867F-A67EA8591664}"/>
    <cellStyle name="Comma 2 6 3 5 4" xfId="35379" xr:uid="{93AD01B1-B37B-42E3-A115-9D535C8779AB}"/>
    <cellStyle name="Comma 2 6 3 6" xfId="6651" xr:uid="{4E0B3714-5858-4E05-8E98-0FF458A5D6DE}"/>
    <cellStyle name="Comma 2 6 3 6 2" xfId="21771" xr:uid="{59977A98-3C23-4ACC-A04B-19FE48AE3208}"/>
    <cellStyle name="Comma 2 6 3 6 2 2" xfId="52011" xr:uid="{DD89C316-4114-4916-B42F-1889F0D9F3CE}"/>
    <cellStyle name="Comma 2 6 3 6 3" xfId="36891" xr:uid="{DC2CF4D3-6FE8-44B3-B82A-C128FF46DF84}"/>
    <cellStyle name="Comma 2 6 3 7" xfId="8163" xr:uid="{E59D4C38-63D3-4011-9DD8-8BC8E4C88187}"/>
    <cellStyle name="Comma 2 6 3 7 2" xfId="23283" xr:uid="{21ADBC6F-5AB9-4B89-A4C5-79632A2C189F}"/>
    <cellStyle name="Comma 2 6 3 7 2 2" xfId="53523" xr:uid="{E3710C9E-2975-456E-B103-73A7B994B9F3}"/>
    <cellStyle name="Comma 2 6 3 7 3" xfId="38403" xr:uid="{53BFACBF-5281-4AAE-9C2F-73E27CE6075C}"/>
    <cellStyle name="Comma 2 6 3 8" xfId="9675" xr:uid="{947C6C37-F289-42E9-A2CE-605B4A749416}"/>
    <cellStyle name="Comma 2 6 3 8 2" xfId="24795" xr:uid="{FE25FCA4-2C36-428C-890F-F38AC2FAFE1E}"/>
    <cellStyle name="Comma 2 6 3 8 2 2" xfId="55035" xr:uid="{66AF85C6-7540-47B8-9086-54A817A574E0}"/>
    <cellStyle name="Comma 2 6 3 8 3" xfId="39915" xr:uid="{D6E2C53A-A0BC-44A4-9B55-7DFDD45C71B3}"/>
    <cellStyle name="Comma 2 6 3 9" xfId="15723" xr:uid="{92A0FFF0-32F3-4622-9D6D-59D1C276F3C2}"/>
    <cellStyle name="Comma 2 6 3 9 2" xfId="45963" xr:uid="{84CE8FE4-4749-4198-835B-87990E4BDDF9}"/>
    <cellStyle name="Comma 2 6 4" xfId="855" xr:uid="{AC05D3BB-9C24-4089-8F0F-FE059C2A8748}"/>
    <cellStyle name="Comma 2 6 4 2" xfId="2367" xr:uid="{13016073-D01F-495C-B330-9C0715C317B8}"/>
    <cellStyle name="Comma 2 6 4 2 2" xfId="11439" xr:uid="{A8090339-8888-4200-9C38-71FDAD964F93}"/>
    <cellStyle name="Comma 2 6 4 2 2 2" xfId="26559" xr:uid="{A0A05499-2132-4ED4-9E13-7B3EEDDE08FA}"/>
    <cellStyle name="Comma 2 6 4 2 2 2 2" xfId="56799" xr:uid="{B158E09B-D2F5-4C4F-9D7A-C4FA6C78D4BE}"/>
    <cellStyle name="Comma 2 6 4 2 2 3" xfId="41679" xr:uid="{A2AED759-98C1-42FB-99FC-6178CBD46BD7}"/>
    <cellStyle name="Comma 2 6 4 2 3" xfId="17487" xr:uid="{B8DAFEB3-AE00-4858-BDE4-F4BA4D333209}"/>
    <cellStyle name="Comma 2 6 4 2 3 2" xfId="47727" xr:uid="{A90BB434-5FC5-45CB-BD87-C5EAADEF8F20}"/>
    <cellStyle name="Comma 2 6 4 2 4" xfId="32607" xr:uid="{758BC79A-E3DF-41B6-9828-1EC7F8A2B693}"/>
    <cellStyle name="Comma 2 6 4 3" xfId="3879" xr:uid="{63CF35BB-8F0E-4D5B-969D-401E434161FA}"/>
    <cellStyle name="Comma 2 6 4 3 2" xfId="12951" xr:uid="{312063AE-D5C8-4E56-B613-AB81880583C5}"/>
    <cellStyle name="Comma 2 6 4 3 2 2" xfId="28071" xr:uid="{97CD6142-A70A-4F40-96F3-25E347B32D0D}"/>
    <cellStyle name="Comma 2 6 4 3 2 2 2" xfId="58311" xr:uid="{3CAEB40A-11DA-4A94-84F1-E399A74E9DC6}"/>
    <cellStyle name="Comma 2 6 4 3 2 3" xfId="43191" xr:uid="{085B1FFC-8BBA-4E8F-BFAF-C432EAF8429B}"/>
    <cellStyle name="Comma 2 6 4 3 3" xfId="18999" xr:uid="{0A558ACC-A489-48CF-81A5-73205D4AA7E1}"/>
    <cellStyle name="Comma 2 6 4 3 3 2" xfId="49239" xr:uid="{961E8AF2-5243-4467-98D5-B2AB6B21AA53}"/>
    <cellStyle name="Comma 2 6 4 3 4" xfId="34119" xr:uid="{13623E59-BC3E-4E07-9A4F-9B9FAA4E181C}"/>
    <cellStyle name="Comma 2 6 4 4" xfId="5391" xr:uid="{3DAA19C2-B19B-42D4-94F2-85F656CE9443}"/>
    <cellStyle name="Comma 2 6 4 4 2" xfId="14463" xr:uid="{B797C03D-9CED-417E-84A3-49D2D144E31F}"/>
    <cellStyle name="Comma 2 6 4 4 2 2" xfId="29583" xr:uid="{D6BEBEEB-44C6-46A6-92B3-C868B59D1EA2}"/>
    <cellStyle name="Comma 2 6 4 4 2 2 2" xfId="59823" xr:uid="{329B6A08-2C1F-4C37-8240-FFA451EC0E79}"/>
    <cellStyle name="Comma 2 6 4 4 2 3" xfId="44703" xr:uid="{9D70C93D-F824-40E1-98A1-416F9F2EACA3}"/>
    <cellStyle name="Comma 2 6 4 4 3" xfId="20511" xr:uid="{08387C3A-2CE1-4AC4-954A-82B2A4C43D5C}"/>
    <cellStyle name="Comma 2 6 4 4 3 2" xfId="50751" xr:uid="{0276E90D-7E32-43FF-8512-E369C5DDCFAE}"/>
    <cellStyle name="Comma 2 6 4 4 4" xfId="35631" xr:uid="{E3BA5F59-5120-4442-8082-4DCBF93AB17F}"/>
    <cellStyle name="Comma 2 6 4 5" xfId="6903" xr:uid="{8C9B36C2-A027-46C3-9F96-7B25BDB331EC}"/>
    <cellStyle name="Comma 2 6 4 5 2" xfId="22023" xr:uid="{791CB81E-50BA-411A-8A6F-D247D4664356}"/>
    <cellStyle name="Comma 2 6 4 5 2 2" xfId="52263" xr:uid="{ABF1D11D-D0C9-4411-ABED-9DF46AC0C0F7}"/>
    <cellStyle name="Comma 2 6 4 5 3" xfId="37143" xr:uid="{11EFC033-2976-4F54-AE99-3B1319999A39}"/>
    <cellStyle name="Comma 2 6 4 6" xfId="8415" xr:uid="{EC57FB56-487D-457C-AB84-0491A05C302E}"/>
    <cellStyle name="Comma 2 6 4 6 2" xfId="23535" xr:uid="{64D877E1-97BA-40D7-BFB4-D26EDD4738C0}"/>
    <cellStyle name="Comma 2 6 4 6 2 2" xfId="53775" xr:uid="{2A8E2884-B7DC-484E-9212-5847B277E772}"/>
    <cellStyle name="Comma 2 6 4 6 3" xfId="38655" xr:uid="{07655E7C-AEC7-43C6-AC73-94B1848835BD}"/>
    <cellStyle name="Comma 2 6 4 7" xfId="9927" xr:uid="{C7165D51-97E5-4CE4-B0D2-FB94382D22AA}"/>
    <cellStyle name="Comma 2 6 4 7 2" xfId="25047" xr:uid="{271C43B6-2C08-4E0B-B9DD-4D233B3EC8B7}"/>
    <cellStyle name="Comma 2 6 4 7 2 2" xfId="55287" xr:uid="{8CB5296F-9676-44A0-9BAC-A13DFFCA97A7}"/>
    <cellStyle name="Comma 2 6 4 7 3" xfId="40167" xr:uid="{80C2D624-79B1-4C62-8401-6955D9E31A2D}"/>
    <cellStyle name="Comma 2 6 4 8" xfId="15975" xr:uid="{401C71A0-E98C-41BF-B175-5987D1EF3741}"/>
    <cellStyle name="Comma 2 6 4 8 2" xfId="46215" xr:uid="{D35F869F-AEDE-4FAF-B5E3-F5CEE57706BC}"/>
    <cellStyle name="Comma 2 6 4 9" xfId="31095" xr:uid="{F70B8AC6-BF77-495E-993E-952F28770A3A}"/>
    <cellStyle name="Comma 2 6 5" xfId="1611" xr:uid="{AC895A62-95CE-448F-B11A-C8C52BA62D82}"/>
    <cellStyle name="Comma 2 6 5 2" xfId="10683" xr:uid="{54BC9E36-B328-4C81-BAF9-334FE3B50825}"/>
    <cellStyle name="Comma 2 6 5 2 2" xfId="25803" xr:uid="{9C96575F-AC5D-4695-9D8D-6403A2C21918}"/>
    <cellStyle name="Comma 2 6 5 2 2 2" xfId="56043" xr:uid="{BD599E6E-3662-4ED8-AAE8-EF29DEC97BCF}"/>
    <cellStyle name="Comma 2 6 5 2 3" xfId="40923" xr:uid="{F9990323-8851-454C-AD1D-A9E50D369627}"/>
    <cellStyle name="Comma 2 6 5 3" xfId="16731" xr:uid="{494D39B3-6E2E-4675-903A-4E484A520B01}"/>
    <cellStyle name="Comma 2 6 5 3 2" xfId="46971" xr:uid="{0DE5E4AA-522F-400A-B614-67F6140A96EB}"/>
    <cellStyle name="Comma 2 6 5 4" xfId="31851" xr:uid="{5AABD370-9B82-42EB-89F0-A022A681B67B}"/>
    <cellStyle name="Comma 2 6 6" xfId="3123" xr:uid="{62E0C0D7-DD6E-42D8-8E0F-E516B73BC5B8}"/>
    <cellStyle name="Comma 2 6 6 2" xfId="12195" xr:uid="{0744F678-6270-46B2-8CF3-687E163853B9}"/>
    <cellStyle name="Comma 2 6 6 2 2" xfId="27315" xr:uid="{F8930362-DBCD-4F08-B0B9-9C8A22F0E849}"/>
    <cellStyle name="Comma 2 6 6 2 2 2" xfId="57555" xr:uid="{18BE1CBB-A59C-441F-AED8-A40BCF1937A0}"/>
    <cellStyle name="Comma 2 6 6 2 3" xfId="42435" xr:uid="{F6B0A7B3-C5A2-4857-8D3B-24A4D4D74CEF}"/>
    <cellStyle name="Comma 2 6 6 3" xfId="18243" xr:uid="{2135F238-AECB-46FE-8880-CB838D72C469}"/>
    <cellStyle name="Comma 2 6 6 3 2" xfId="48483" xr:uid="{70B159CB-19FD-4070-A2D0-1277553E4A10}"/>
    <cellStyle name="Comma 2 6 6 4" xfId="33363" xr:uid="{54AADFB8-DB87-4F90-A1EF-D6531EA83970}"/>
    <cellStyle name="Comma 2 6 7" xfId="4635" xr:uid="{70D1CF00-EDA3-47C1-9F15-CB87A6C07F7B}"/>
    <cellStyle name="Comma 2 6 7 2" xfId="13707" xr:uid="{E448AB7A-601D-4965-97D3-BA59F665288C}"/>
    <cellStyle name="Comma 2 6 7 2 2" xfId="28827" xr:uid="{48DAC4F4-B0F6-4888-8A8E-6C187809AADB}"/>
    <cellStyle name="Comma 2 6 7 2 2 2" xfId="59067" xr:uid="{0A921A71-5353-480E-99D0-58FCA2E4FF78}"/>
    <cellStyle name="Comma 2 6 7 2 3" xfId="43947" xr:uid="{02AD434B-0FCC-4BE4-B526-D8963A04126E}"/>
    <cellStyle name="Comma 2 6 7 3" xfId="19755" xr:uid="{D9471F4E-ED16-437D-98AE-27937437DA39}"/>
    <cellStyle name="Comma 2 6 7 3 2" xfId="49995" xr:uid="{4BFBE014-660D-4490-AD27-C50E3B9BCC2D}"/>
    <cellStyle name="Comma 2 6 7 4" xfId="34875" xr:uid="{FEA3FB54-8DF6-431E-AC04-3C6A5E3496A0}"/>
    <cellStyle name="Comma 2 6 8" xfId="6147" xr:uid="{C47303ED-B041-4B53-9D11-8A9616840781}"/>
    <cellStyle name="Comma 2 6 8 2" xfId="21267" xr:uid="{B804FA2B-F185-47D6-8E5D-02EFD86CA395}"/>
    <cellStyle name="Comma 2 6 8 2 2" xfId="51507" xr:uid="{B0127CBC-1B23-4325-9306-D2B83A74E075}"/>
    <cellStyle name="Comma 2 6 8 3" xfId="36387" xr:uid="{210D8B70-4AB2-43E1-AC32-EB1FFCE6F68B}"/>
    <cellStyle name="Comma 2 6 9" xfId="7659" xr:uid="{95CCA442-CB86-4E33-B9D7-651E80B54649}"/>
    <cellStyle name="Comma 2 6 9 2" xfId="22779" xr:uid="{C1EF92D5-3071-4A5A-89E4-378A30DE4BD5}"/>
    <cellStyle name="Comma 2 6 9 2 2" xfId="53019" xr:uid="{B16A0058-D1C0-4909-B456-E74DD37CCF7E}"/>
    <cellStyle name="Comma 2 6 9 3" xfId="37899" xr:uid="{543D5117-6523-4B1C-A5AF-D7B383F61A61}"/>
    <cellStyle name="Comma 2 7" xfId="183" xr:uid="{B5CCBA6E-3A5D-41E6-923D-99FB3A8705C8}"/>
    <cellStyle name="Comma 2 7 10" xfId="9255" xr:uid="{CCD7B6EF-2FF8-4E7E-BB8D-F6567C0C05B0}"/>
    <cellStyle name="Comma 2 7 10 2" xfId="24375" xr:uid="{8DDBBA79-A3D4-44B2-96BE-FA6A4733D647}"/>
    <cellStyle name="Comma 2 7 10 2 2" xfId="54615" xr:uid="{FBC8FA8A-D5E2-4638-9285-0B78B9C10D99}"/>
    <cellStyle name="Comma 2 7 10 3" xfId="39495" xr:uid="{CB089E69-A343-4CF2-B564-60A2C367E24B}"/>
    <cellStyle name="Comma 2 7 11" xfId="15303" xr:uid="{E6C485F5-2D6C-4307-A9D7-D065A4BCCAEA}"/>
    <cellStyle name="Comma 2 7 11 2" xfId="45543" xr:uid="{35F5B206-B2CB-4A1F-876B-286043477D34}"/>
    <cellStyle name="Comma 2 7 12" xfId="30423" xr:uid="{ABD8B79E-2358-4FB5-8088-866C880F84CE}"/>
    <cellStyle name="Comma 2 7 2" xfId="435" xr:uid="{9BED0FDA-6CEC-4049-83DF-B4B9FC5835CB}"/>
    <cellStyle name="Comma 2 7 2 10" xfId="30675" xr:uid="{FC0C27FD-3476-4302-8C8A-28E536E8CB3E}"/>
    <cellStyle name="Comma 2 7 2 2" xfId="1191" xr:uid="{ACC512FE-7768-4E34-9642-3DBA40CDF9BF}"/>
    <cellStyle name="Comma 2 7 2 2 2" xfId="2703" xr:uid="{F658AE2E-802B-4C3B-B6C9-E50CB14CF4E1}"/>
    <cellStyle name="Comma 2 7 2 2 2 2" xfId="11775" xr:uid="{F7744878-DC69-46DA-B5E5-B5B47CE8649C}"/>
    <cellStyle name="Comma 2 7 2 2 2 2 2" xfId="26895" xr:uid="{2A05A2AB-66A8-4F95-A8EF-D91E1DAD5C7E}"/>
    <cellStyle name="Comma 2 7 2 2 2 2 2 2" xfId="57135" xr:uid="{1A433B38-5271-431C-BA58-B9CFE9A0BC40}"/>
    <cellStyle name="Comma 2 7 2 2 2 2 3" xfId="42015" xr:uid="{96E63F52-04A0-4825-BAEA-B61C08411A74}"/>
    <cellStyle name="Comma 2 7 2 2 2 3" xfId="17823" xr:uid="{D755C636-4EE1-4C3F-B2EB-134937543D3D}"/>
    <cellStyle name="Comma 2 7 2 2 2 3 2" xfId="48063" xr:uid="{90778140-6538-42AC-9845-56D586235FF5}"/>
    <cellStyle name="Comma 2 7 2 2 2 4" xfId="32943" xr:uid="{40F0C4F9-ABAD-4AEA-A3EA-32EDF36DDCFB}"/>
    <cellStyle name="Comma 2 7 2 2 3" xfId="4215" xr:uid="{92C29EBA-4F3C-4FD3-99A0-325EF7613B82}"/>
    <cellStyle name="Comma 2 7 2 2 3 2" xfId="13287" xr:uid="{81C6DEA2-C1F1-48EE-98D9-EE81CBE82331}"/>
    <cellStyle name="Comma 2 7 2 2 3 2 2" xfId="28407" xr:uid="{C8CC9321-8F20-4D68-8DCE-C80CDDF263C2}"/>
    <cellStyle name="Comma 2 7 2 2 3 2 2 2" xfId="58647" xr:uid="{B2078D84-ACC2-4F44-9B72-08E98AE2E069}"/>
    <cellStyle name="Comma 2 7 2 2 3 2 3" xfId="43527" xr:uid="{18BA3BF8-8878-4850-8F57-2AA4BDCE01AB}"/>
    <cellStyle name="Comma 2 7 2 2 3 3" xfId="19335" xr:uid="{3CD41F14-11E7-49E4-9C48-2A97A36B4E44}"/>
    <cellStyle name="Comma 2 7 2 2 3 3 2" xfId="49575" xr:uid="{7F3E5332-D9E3-4AF8-8557-4E5F60973CDD}"/>
    <cellStyle name="Comma 2 7 2 2 3 4" xfId="34455" xr:uid="{B3A12216-91B8-4452-A615-87B2059810B1}"/>
    <cellStyle name="Comma 2 7 2 2 4" xfId="5727" xr:uid="{4D0AB5C4-489E-4D68-B347-941C333BA9DE}"/>
    <cellStyle name="Comma 2 7 2 2 4 2" xfId="14799" xr:uid="{17808A29-6622-40DD-8AEC-4FDAEDCE39B5}"/>
    <cellStyle name="Comma 2 7 2 2 4 2 2" xfId="29919" xr:uid="{CEF1A161-E711-4F4B-A8FB-5C93B7C88FF0}"/>
    <cellStyle name="Comma 2 7 2 2 4 2 2 2" xfId="60159" xr:uid="{F9A92E32-CF7B-4AF4-93E5-7C1519943ACC}"/>
    <cellStyle name="Comma 2 7 2 2 4 2 3" xfId="45039" xr:uid="{C64E5CF5-42B8-4EBA-B8E3-753E650D7676}"/>
    <cellStyle name="Comma 2 7 2 2 4 3" xfId="20847" xr:uid="{792AA8A0-D81D-47D2-8154-388356136A26}"/>
    <cellStyle name="Comma 2 7 2 2 4 3 2" xfId="51087" xr:uid="{B169C0C4-CB13-4F3A-843D-E2A4BE64819A}"/>
    <cellStyle name="Comma 2 7 2 2 4 4" xfId="35967" xr:uid="{8EB74759-50CB-482D-9003-97FDAE7D473D}"/>
    <cellStyle name="Comma 2 7 2 2 5" xfId="7239" xr:uid="{B7FA2B82-011D-43A5-8089-0873B82FD1F4}"/>
    <cellStyle name="Comma 2 7 2 2 5 2" xfId="22359" xr:uid="{CED980E9-D0CA-4908-8C96-352CFB1D0072}"/>
    <cellStyle name="Comma 2 7 2 2 5 2 2" xfId="52599" xr:uid="{671480CA-C862-4B29-A095-E349C9E42910}"/>
    <cellStyle name="Comma 2 7 2 2 5 3" xfId="37479" xr:uid="{4A130066-FE3C-4DFC-9E93-518B560D8714}"/>
    <cellStyle name="Comma 2 7 2 2 6" xfId="8751" xr:uid="{B6A67323-F19C-4EB7-98CB-045A1ADF2110}"/>
    <cellStyle name="Comma 2 7 2 2 6 2" xfId="23871" xr:uid="{E090BAB1-57EA-4542-97A4-55A627EF14A9}"/>
    <cellStyle name="Comma 2 7 2 2 6 2 2" xfId="54111" xr:uid="{8FF9CFAD-CDB0-4AB2-8F3B-8B24F1608B82}"/>
    <cellStyle name="Comma 2 7 2 2 6 3" xfId="38991" xr:uid="{ECBC260A-4C67-4ECA-B4EB-8B4962AB3041}"/>
    <cellStyle name="Comma 2 7 2 2 7" xfId="10263" xr:uid="{EADF1FB2-27C9-462E-A455-507B71B1571A}"/>
    <cellStyle name="Comma 2 7 2 2 7 2" xfId="25383" xr:uid="{A9DEE694-C6BC-4DBC-97A4-5F7EB20FED80}"/>
    <cellStyle name="Comma 2 7 2 2 7 2 2" xfId="55623" xr:uid="{257E71A1-AB7E-48EC-8587-C115A41EC265}"/>
    <cellStyle name="Comma 2 7 2 2 7 3" xfId="40503" xr:uid="{2050E912-D3E2-409C-9971-2C2063C99CC1}"/>
    <cellStyle name="Comma 2 7 2 2 8" xfId="16311" xr:uid="{9A991DE0-B297-4330-B338-DC707CDED6AD}"/>
    <cellStyle name="Comma 2 7 2 2 8 2" xfId="46551" xr:uid="{618F65E4-D54B-4513-ADBE-18605C8FA575}"/>
    <cellStyle name="Comma 2 7 2 2 9" xfId="31431" xr:uid="{CAC96DA1-8F2B-4730-AA12-169D1798DE67}"/>
    <cellStyle name="Comma 2 7 2 3" xfId="1947" xr:uid="{881F868F-15B1-4DC1-A0C6-14070804F880}"/>
    <cellStyle name="Comma 2 7 2 3 2" xfId="11019" xr:uid="{BBECB539-4249-45E3-BC1D-A61D8F5ED3C8}"/>
    <cellStyle name="Comma 2 7 2 3 2 2" xfId="26139" xr:uid="{1B6DA24C-F204-4A21-8D1B-445B9B025BE3}"/>
    <cellStyle name="Comma 2 7 2 3 2 2 2" xfId="56379" xr:uid="{0A73C766-27D7-4CEE-AABD-8F5A9DD403E7}"/>
    <cellStyle name="Comma 2 7 2 3 2 3" xfId="41259" xr:uid="{E5F05AC0-3930-4278-B639-1C44656B9186}"/>
    <cellStyle name="Comma 2 7 2 3 3" xfId="17067" xr:uid="{0CA09E86-B406-40F9-89BF-F5E7978B9C74}"/>
    <cellStyle name="Comma 2 7 2 3 3 2" xfId="47307" xr:uid="{BD0DB2B2-9858-462F-83C3-5273F3848B73}"/>
    <cellStyle name="Comma 2 7 2 3 4" xfId="32187" xr:uid="{15B48C45-6946-4212-B010-20D015109BDD}"/>
    <cellStyle name="Comma 2 7 2 4" xfId="3459" xr:uid="{4F62C9AE-BA7E-4193-B018-49ABAA912C45}"/>
    <cellStyle name="Comma 2 7 2 4 2" xfId="12531" xr:uid="{5930B852-34CD-43D1-99D4-EE42AF6DDF75}"/>
    <cellStyle name="Comma 2 7 2 4 2 2" xfId="27651" xr:uid="{AEFEF62E-B9D1-41CE-9FBA-F31DDC767FE6}"/>
    <cellStyle name="Comma 2 7 2 4 2 2 2" xfId="57891" xr:uid="{677B5A94-644F-49B4-8463-A33EAB21D1C1}"/>
    <cellStyle name="Comma 2 7 2 4 2 3" xfId="42771" xr:uid="{5F91CD77-806F-4E14-A855-9E1EA4BD109C}"/>
    <cellStyle name="Comma 2 7 2 4 3" xfId="18579" xr:uid="{1C25E8A9-8AE7-4C16-B90C-E5F1D96AD230}"/>
    <cellStyle name="Comma 2 7 2 4 3 2" xfId="48819" xr:uid="{B01B1A29-7BAD-483D-8C84-0E847F4A71C9}"/>
    <cellStyle name="Comma 2 7 2 4 4" xfId="33699" xr:uid="{22CE9D68-80A3-4DAE-AC2B-4664B9050AE0}"/>
    <cellStyle name="Comma 2 7 2 5" xfId="4971" xr:uid="{9FFE3F85-0FFB-4CB8-912D-1BC65A1C0DDF}"/>
    <cellStyle name="Comma 2 7 2 5 2" xfId="14043" xr:uid="{374BDCD6-456E-4956-82E2-D9AA388CD98B}"/>
    <cellStyle name="Comma 2 7 2 5 2 2" xfId="29163" xr:uid="{50433DCB-04D0-4012-BED5-365605BD229F}"/>
    <cellStyle name="Comma 2 7 2 5 2 2 2" xfId="59403" xr:uid="{549C7E91-7E0E-420D-A3C6-0524947D4B2D}"/>
    <cellStyle name="Comma 2 7 2 5 2 3" xfId="44283" xr:uid="{38E78066-CDD7-4DC7-A240-B33022D8A891}"/>
    <cellStyle name="Comma 2 7 2 5 3" xfId="20091" xr:uid="{E525D202-1257-4F27-A65E-BA4D42EB0560}"/>
    <cellStyle name="Comma 2 7 2 5 3 2" xfId="50331" xr:uid="{BE700263-EAD6-46A0-ADFC-C8965CA89711}"/>
    <cellStyle name="Comma 2 7 2 5 4" xfId="35211" xr:uid="{CD569233-1917-40AF-BDC8-6928B47D52F8}"/>
    <cellStyle name="Comma 2 7 2 6" xfId="6483" xr:uid="{EEF922C4-D197-4EAF-B40C-4A34816BE521}"/>
    <cellStyle name="Comma 2 7 2 6 2" xfId="21603" xr:uid="{1F368A2C-F575-4D86-AF1D-58BF036E51EE}"/>
    <cellStyle name="Comma 2 7 2 6 2 2" xfId="51843" xr:uid="{5112E78E-BC23-40EF-BE22-1ED2FBE015CB}"/>
    <cellStyle name="Comma 2 7 2 6 3" xfId="36723" xr:uid="{45F7F0A9-EB72-474A-885D-34F011F661EB}"/>
    <cellStyle name="Comma 2 7 2 7" xfId="7995" xr:uid="{646A6A82-0C4B-4399-A3AC-1E66E9703768}"/>
    <cellStyle name="Comma 2 7 2 7 2" xfId="23115" xr:uid="{C68850F7-B71D-44D3-B91D-150474FD6CC9}"/>
    <cellStyle name="Comma 2 7 2 7 2 2" xfId="53355" xr:uid="{C0D9DF70-67DB-4A86-AA59-F48A9415F8AF}"/>
    <cellStyle name="Comma 2 7 2 7 3" xfId="38235" xr:uid="{E3A90981-A46C-4A36-8B64-AA28AD31EB0C}"/>
    <cellStyle name="Comma 2 7 2 8" xfId="9507" xr:uid="{64D7DEF3-0E71-4A9B-BEE1-0CC45EADB807}"/>
    <cellStyle name="Comma 2 7 2 8 2" xfId="24627" xr:uid="{F8B436F6-9C01-41DE-AF37-F9CD0EFD17EE}"/>
    <cellStyle name="Comma 2 7 2 8 2 2" xfId="54867" xr:uid="{3DE0A423-D33D-4BEB-ADCA-F8B37C87F813}"/>
    <cellStyle name="Comma 2 7 2 8 3" xfId="39747" xr:uid="{955C5906-95EB-4965-AA4F-F0F9FD191AF5}"/>
    <cellStyle name="Comma 2 7 2 9" xfId="15555" xr:uid="{D613EB31-A039-4BFC-BE7B-543172C3AB91}"/>
    <cellStyle name="Comma 2 7 2 9 2" xfId="45795" xr:uid="{C3EA08BB-C858-4760-88C3-760CCB9C3641}"/>
    <cellStyle name="Comma 2 7 3" xfId="687" xr:uid="{382561FA-2FD3-41C5-AFA4-E87E6508CF3D}"/>
    <cellStyle name="Comma 2 7 3 10" xfId="30927" xr:uid="{8B27F2B9-B27F-4276-8752-CDEBD97E72C4}"/>
    <cellStyle name="Comma 2 7 3 2" xfId="1443" xr:uid="{04ED6111-CB01-4A36-BE86-79042FE69537}"/>
    <cellStyle name="Comma 2 7 3 2 2" xfId="2955" xr:uid="{4EDAFF67-F333-4266-869A-8914CF4055C6}"/>
    <cellStyle name="Comma 2 7 3 2 2 2" xfId="12027" xr:uid="{1E4FA1F8-A052-4101-A2F5-B43F88C286DC}"/>
    <cellStyle name="Comma 2 7 3 2 2 2 2" xfId="27147" xr:uid="{92E5449B-23E1-44E6-9F77-1EF9FDCB23DD}"/>
    <cellStyle name="Comma 2 7 3 2 2 2 2 2" xfId="57387" xr:uid="{BFD89258-B9F7-41C7-B1CC-BC55DA2A5E5D}"/>
    <cellStyle name="Comma 2 7 3 2 2 2 3" xfId="42267" xr:uid="{F7FA01C6-7675-496D-AF38-7F2AE5F6E251}"/>
    <cellStyle name="Comma 2 7 3 2 2 3" xfId="18075" xr:uid="{07EEF6B2-1105-487F-AE99-CF392C6777E7}"/>
    <cellStyle name="Comma 2 7 3 2 2 3 2" xfId="48315" xr:uid="{CD5C8C9E-0A81-4917-878E-E81C127AF756}"/>
    <cellStyle name="Comma 2 7 3 2 2 4" xfId="33195" xr:uid="{EA208484-DE32-4E37-8C2C-3FD0510D290A}"/>
    <cellStyle name="Comma 2 7 3 2 3" xfId="4467" xr:uid="{95161FC6-7236-423E-B10A-B67EF4382FEF}"/>
    <cellStyle name="Comma 2 7 3 2 3 2" xfId="13539" xr:uid="{E78ECC3B-6B70-4153-A993-EB893FA995CD}"/>
    <cellStyle name="Comma 2 7 3 2 3 2 2" xfId="28659" xr:uid="{9F0E8481-C135-43B7-B210-9DF27C740064}"/>
    <cellStyle name="Comma 2 7 3 2 3 2 2 2" xfId="58899" xr:uid="{679DA00E-BCA0-4840-A400-5DE110ED2669}"/>
    <cellStyle name="Comma 2 7 3 2 3 2 3" xfId="43779" xr:uid="{AD1D6E1F-5308-4623-873F-51D9A056C1FC}"/>
    <cellStyle name="Comma 2 7 3 2 3 3" xfId="19587" xr:uid="{CCE5CE90-F46A-4F42-BBD3-583669D64642}"/>
    <cellStyle name="Comma 2 7 3 2 3 3 2" xfId="49827" xr:uid="{6D6A2C25-BA54-47F8-92A0-34C8E399BEE8}"/>
    <cellStyle name="Comma 2 7 3 2 3 4" xfId="34707" xr:uid="{33F7CA90-0E27-40AF-90F1-06DFE1DE9F00}"/>
    <cellStyle name="Comma 2 7 3 2 4" xfId="5979" xr:uid="{0EAE7ED5-13BA-4285-9F99-060D54597EF2}"/>
    <cellStyle name="Comma 2 7 3 2 4 2" xfId="15051" xr:uid="{14CA33B8-1EDA-4C53-9487-FC462D32C761}"/>
    <cellStyle name="Comma 2 7 3 2 4 2 2" xfId="30171" xr:uid="{AF575CFB-1DAF-4402-B0C6-DFF95583F327}"/>
    <cellStyle name="Comma 2 7 3 2 4 2 2 2" xfId="60411" xr:uid="{8FEBF3AF-A5B5-40F1-91C5-CA895F433BF3}"/>
    <cellStyle name="Comma 2 7 3 2 4 2 3" xfId="45291" xr:uid="{D5AAA305-3A34-4BC3-B2EA-3710A5974097}"/>
    <cellStyle name="Comma 2 7 3 2 4 3" xfId="21099" xr:uid="{88E03A7A-BD47-42AB-AFF4-AF9507D5DE76}"/>
    <cellStyle name="Comma 2 7 3 2 4 3 2" xfId="51339" xr:uid="{0F929331-C97A-4B1C-A566-CAD67F050138}"/>
    <cellStyle name="Comma 2 7 3 2 4 4" xfId="36219" xr:uid="{6D52FD8B-3EBD-4A12-A9C9-0FCCEB93414C}"/>
    <cellStyle name="Comma 2 7 3 2 5" xfId="7491" xr:uid="{74E34EF5-1A64-4BD3-BD55-79530C5B4703}"/>
    <cellStyle name="Comma 2 7 3 2 5 2" xfId="22611" xr:uid="{47749203-56D2-4FFE-8939-4E2A2FBC19BC}"/>
    <cellStyle name="Comma 2 7 3 2 5 2 2" xfId="52851" xr:uid="{16714AEE-69E4-49D4-A976-D3C4AD0E8AAB}"/>
    <cellStyle name="Comma 2 7 3 2 5 3" xfId="37731" xr:uid="{ED0E876F-BFA4-4C63-987C-0FE0712C08F4}"/>
    <cellStyle name="Comma 2 7 3 2 6" xfId="9003" xr:uid="{7DC88741-0FFD-4F4A-83C7-0EDAC8ACD4A9}"/>
    <cellStyle name="Comma 2 7 3 2 6 2" xfId="24123" xr:uid="{3E171254-782B-4C50-94FD-1F76C1483433}"/>
    <cellStyle name="Comma 2 7 3 2 6 2 2" xfId="54363" xr:uid="{528B1159-1F55-4D9C-A993-95069FE0E415}"/>
    <cellStyle name="Comma 2 7 3 2 6 3" xfId="39243" xr:uid="{ADF598F8-CDCD-43C8-A51C-63FDE4332B5C}"/>
    <cellStyle name="Comma 2 7 3 2 7" xfId="10515" xr:uid="{6290D3A5-A1E7-4C74-AB0C-81D3A4E32434}"/>
    <cellStyle name="Comma 2 7 3 2 7 2" xfId="25635" xr:uid="{D05A5C2A-BBFA-46B4-81A3-43198B150772}"/>
    <cellStyle name="Comma 2 7 3 2 7 2 2" xfId="55875" xr:uid="{426FDE24-EA12-44C9-BEC8-101B30BC48F2}"/>
    <cellStyle name="Comma 2 7 3 2 7 3" xfId="40755" xr:uid="{A659DCCD-59AD-45B4-A9F4-EB7BB328E597}"/>
    <cellStyle name="Comma 2 7 3 2 8" xfId="16563" xr:uid="{D77046F1-CF37-42F4-A90F-85423B0E9C94}"/>
    <cellStyle name="Comma 2 7 3 2 8 2" xfId="46803" xr:uid="{5CCE9C63-7B4B-4160-AC07-8AA0FAEA1218}"/>
    <cellStyle name="Comma 2 7 3 2 9" xfId="31683" xr:uid="{5B16294C-74FE-401F-984E-5CF017918C9E}"/>
    <cellStyle name="Comma 2 7 3 3" xfId="2199" xr:uid="{D64DF081-F4E2-4259-80FD-A4F9A787FDBE}"/>
    <cellStyle name="Comma 2 7 3 3 2" xfId="11271" xr:uid="{EF674EA1-8F8E-4382-8C66-25D9BF991373}"/>
    <cellStyle name="Comma 2 7 3 3 2 2" xfId="26391" xr:uid="{3A3A9266-C489-47A0-B5EB-8ACFC250FC72}"/>
    <cellStyle name="Comma 2 7 3 3 2 2 2" xfId="56631" xr:uid="{87B422AB-A47D-4A72-BE46-43AA4AFFB2D7}"/>
    <cellStyle name="Comma 2 7 3 3 2 3" xfId="41511" xr:uid="{8D9C57A1-4FD4-4E7E-992F-9E3E23378484}"/>
    <cellStyle name="Comma 2 7 3 3 3" xfId="17319" xr:uid="{C8727251-5817-4745-8088-53C24CA496E5}"/>
    <cellStyle name="Comma 2 7 3 3 3 2" xfId="47559" xr:uid="{7EFC743E-23F0-4EF9-B308-674423F38AF2}"/>
    <cellStyle name="Comma 2 7 3 3 4" xfId="32439" xr:uid="{A962D00D-E609-4A8A-BD6F-16468BFF3B37}"/>
    <cellStyle name="Comma 2 7 3 4" xfId="3711" xr:uid="{1D022130-8C4B-4A45-9C4F-3B0AC1B20CD8}"/>
    <cellStyle name="Comma 2 7 3 4 2" xfId="12783" xr:uid="{80EDDDFC-3C7F-44E3-9053-73F371F3E011}"/>
    <cellStyle name="Comma 2 7 3 4 2 2" xfId="27903" xr:uid="{7306A007-88C1-4A91-B599-5E0E6DA0D441}"/>
    <cellStyle name="Comma 2 7 3 4 2 2 2" xfId="58143" xr:uid="{B575321D-4A7F-4878-89A4-FDDEAF99784B}"/>
    <cellStyle name="Comma 2 7 3 4 2 3" xfId="43023" xr:uid="{7D80C62C-3BE1-406C-9BC7-838EC09EA0F4}"/>
    <cellStyle name="Comma 2 7 3 4 3" xfId="18831" xr:uid="{46F72966-4F72-4A7E-AEAB-5ED3809AE92B}"/>
    <cellStyle name="Comma 2 7 3 4 3 2" xfId="49071" xr:uid="{7E78526F-AB7C-438D-B38C-BEC479D60CDF}"/>
    <cellStyle name="Comma 2 7 3 4 4" xfId="33951" xr:uid="{62B4DA06-2EB8-4311-96FD-EEC427C0D772}"/>
    <cellStyle name="Comma 2 7 3 5" xfId="5223" xr:uid="{CA27FE31-C704-4DD4-BFFF-333352481598}"/>
    <cellStyle name="Comma 2 7 3 5 2" xfId="14295" xr:uid="{43319285-311C-4D15-B6BB-427D5C2BE5C9}"/>
    <cellStyle name="Comma 2 7 3 5 2 2" xfId="29415" xr:uid="{B98111B9-1DF6-400E-AEC5-87FE70913661}"/>
    <cellStyle name="Comma 2 7 3 5 2 2 2" xfId="59655" xr:uid="{AF9CC5F9-E374-4A36-A48F-12ECF9F78214}"/>
    <cellStyle name="Comma 2 7 3 5 2 3" xfId="44535" xr:uid="{B8FCB7D6-3042-416C-A7ED-3B47664CE48C}"/>
    <cellStyle name="Comma 2 7 3 5 3" xfId="20343" xr:uid="{3819BEA3-3D7A-4D94-908B-09E354B5B9AE}"/>
    <cellStyle name="Comma 2 7 3 5 3 2" xfId="50583" xr:uid="{06EF7640-306F-4806-805F-9565750965EE}"/>
    <cellStyle name="Comma 2 7 3 5 4" xfId="35463" xr:uid="{75BD7A28-3666-41F2-97EA-097CE5ADC88A}"/>
    <cellStyle name="Comma 2 7 3 6" xfId="6735" xr:uid="{79E095C4-8128-44EA-B216-569D6DF6501D}"/>
    <cellStyle name="Comma 2 7 3 6 2" xfId="21855" xr:uid="{EEE0F671-4ACA-4776-AC49-CFDC4A48917B}"/>
    <cellStyle name="Comma 2 7 3 6 2 2" xfId="52095" xr:uid="{6C7ACA8F-04B5-4431-931C-8DD1085341CE}"/>
    <cellStyle name="Comma 2 7 3 6 3" xfId="36975" xr:uid="{CEE1F8A8-7DD4-46A0-80DF-FA742F6EFEC1}"/>
    <cellStyle name="Comma 2 7 3 7" xfId="8247" xr:uid="{EE6C3088-9462-412E-A347-1FBE3B78D566}"/>
    <cellStyle name="Comma 2 7 3 7 2" xfId="23367" xr:uid="{D981E63F-CE9F-4853-98CC-F028FD25EC12}"/>
    <cellStyle name="Comma 2 7 3 7 2 2" xfId="53607" xr:uid="{CD456C48-6D45-41ED-85AB-874FBFDC388A}"/>
    <cellStyle name="Comma 2 7 3 7 3" xfId="38487" xr:uid="{2C65013B-5265-459F-8874-DC984230F1E8}"/>
    <cellStyle name="Comma 2 7 3 8" xfId="9759" xr:uid="{2356B34C-47B9-4A5F-BBEF-C74583F79021}"/>
    <cellStyle name="Comma 2 7 3 8 2" xfId="24879" xr:uid="{CAACC359-87FE-4112-A735-78ED65942C61}"/>
    <cellStyle name="Comma 2 7 3 8 2 2" xfId="55119" xr:uid="{43A82000-37D4-43DF-AB70-0ADF901C1E07}"/>
    <cellStyle name="Comma 2 7 3 8 3" xfId="39999" xr:uid="{9C52FABA-41DB-4844-A9F3-A2AF6AF8B9F5}"/>
    <cellStyle name="Comma 2 7 3 9" xfId="15807" xr:uid="{3893D605-2FC5-4BCE-A594-C9AF5D4B5A6E}"/>
    <cellStyle name="Comma 2 7 3 9 2" xfId="46047" xr:uid="{A265DDDB-5FD1-47BC-9676-B968779294AF}"/>
    <cellStyle name="Comma 2 7 4" xfId="939" xr:uid="{9A30883D-13A1-4166-9121-0728D7FF7E45}"/>
    <cellStyle name="Comma 2 7 4 2" xfId="2451" xr:uid="{01B60519-C14B-4158-904C-C890CC346683}"/>
    <cellStyle name="Comma 2 7 4 2 2" xfId="11523" xr:uid="{0FD1F9D3-978A-416A-A383-1B306E883873}"/>
    <cellStyle name="Comma 2 7 4 2 2 2" xfId="26643" xr:uid="{6FF2EEE0-0E38-4E16-A3A8-C8B0D7C3BCB5}"/>
    <cellStyle name="Comma 2 7 4 2 2 2 2" xfId="56883" xr:uid="{A63B2FAC-EAC2-4C4A-8123-4241319ED113}"/>
    <cellStyle name="Comma 2 7 4 2 2 3" xfId="41763" xr:uid="{28361708-FAFC-4018-A095-47683FD0B0E1}"/>
    <cellStyle name="Comma 2 7 4 2 3" xfId="17571" xr:uid="{EC0DF190-5EE5-406D-ABD7-409D7C79C39B}"/>
    <cellStyle name="Comma 2 7 4 2 3 2" xfId="47811" xr:uid="{F0B45ADA-87E3-4AE2-88EF-547F9D07ED19}"/>
    <cellStyle name="Comma 2 7 4 2 4" xfId="32691" xr:uid="{9BE40249-BAD2-4C93-A12F-27BEA51B86D7}"/>
    <cellStyle name="Comma 2 7 4 3" xfId="3963" xr:uid="{69F00BA8-D14D-466D-A809-9E3EE74B661D}"/>
    <cellStyle name="Comma 2 7 4 3 2" xfId="13035" xr:uid="{37E0AF4B-7530-443F-9F1D-637C97F29E24}"/>
    <cellStyle name="Comma 2 7 4 3 2 2" xfId="28155" xr:uid="{26B0F01A-93E0-4338-AA18-0BC8F52F61CB}"/>
    <cellStyle name="Comma 2 7 4 3 2 2 2" xfId="58395" xr:uid="{A21BFE4B-E668-4CE9-B726-60BFBE09A958}"/>
    <cellStyle name="Comma 2 7 4 3 2 3" xfId="43275" xr:uid="{8CC38A1E-05AC-4195-9867-97BAF4EDDDAD}"/>
    <cellStyle name="Comma 2 7 4 3 3" xfId="19083" xr:uid="{319E75A4-252D-470A-A285-E21A906888B3}"/>
    <cellStyle name="Comma 2 7 4 3 3 2" xfId="49323" xr:uid="{B0350800-84A2-4740-8894-31F6BAEEF843}"/>
    <cellStyle name="Comma 2 7 4 3 4" xfId="34203" xr:uid="{0C028723-7C13-45E6-96BC-FE5F528F1EF7}"/>
    <cellStyle name="Comma 2 7 4 4" xfId="5475" xr:uid="{9336CA8B-512B-42AD-87F2-99027089B1E9}"/>
    <cellStyle name="Comma 2 7 4 4 2" xfId="14547" xr:uid="{C615BFDE-98BF-4C44-A105-D57B40ED0CA2}"/>
    <cellStyle name="Comma 2 7 4 4 2 2" xfId="29667" xr:uid="{F3D10364-F12C-40EE-B0C9-690A5E486383}"/>
    <cellStyle name="Comma 2 7 4 4 2 2 2" xfId="59907" xr:uid="{E565283B-6C71-4E86-B873-D1E0ACF61AFA}"/>
    <cellStyle name="Comma 2 7 4 4 2 3" xfId="44787" xr:uid="{77B5366A-4736-43CF-A7B1-2A23C4032820}"/>
    <cellStyle name="Comma 2 7 4 4 3" xfId="20595" xr:uid="{1CA66D8A-2707-4C92-9682-66D28585E169}"/>
    <cellStyle name="Comma 2 7 4 4 3 2" xfId="50835" xr:uid="{38212149-F254-4936-978C-53C40DF58A58}"/>
    <cellStyle name="Comma 2 7 4 4 4" xfId="35715" xr:uid="{32B866BF-34B1-4F0A-AD8E-0088ACABEB7D}"/>
    <cellStyle name="Comma 2 7 4 5" xfId="6987" xr:uid="{344B2261-5241-46A2-B30F-7EAAB0188A96}"/>
    <cellStyle name="Comma 2 7 4 5 2" xfId="22107" xr:uid="{2D010C58-45C0-486A-A9D2-52609214B934}"/>
    <cellStyle name="Comma 2 7 4 5 2 2" xfId="52347" xr:uid="{D8291882-08DA-4117-8570-842366717597}"/>
    <cellStyle name="Comma 2 7 4 5 3" xfId="37227" xr:uid="{7493D7A2-59B5-430E-AD06-29409FF99291}"/>
    <cellStyle name="Comma 2 7 4 6" xfId="8499" xr:uid="{B422E274-1530-4A03-8539-FBC513257F33}"/>
    <cellStyle name="Comma 2 7 4 6 2" xfId="23619" xr:uid="{1528783E-A1CD-4D7F-900B-BC70BDA4562C}"/>
    <cellStyle name="Comma 2 7 4 6 2 2" xfId="53859" xr:uid="{6BC1DBE8-5BAF-439F-ACCB-6E5FC8321474}"/>
    <cellStyle name="Comma 2 7 4 6 3" xfId="38739" xr:uid="{676AB4AC-D310-4FFC-B84E-732CAB772842}"/>
    <cellStyle name="Comma 2 7 4 7" xfId="10011" xr:uid="{F7442965-B9AB-46D3-B7BE-53912B4E184C}"/>
    <cellStyle name="Comma 2 7 4 7 2" xfId="25131" xr:uid="{218052E6-1219-48E8-9557-E412B0A9B3EE}"/>
    <cellStyle name="Comma 2 7 4 7 2 2" xfId="55371" xr:uid="{EC2D56AA-5A21-4508-BF09-0AD62A29B842}"/>
    <cellStyle name="Comma 2 7 4 7 3" xfId="40251" xr:uid="{DA29E80E-69E2-4CE7-8E23-DE172A12A9AD}"/>
    <cellStyle name="Comma 2 7 4 8" xfId="16059" xr:uid="{89C9C152-9F02-4D4D-A398-697EF879DAFE}"/>
    <cellStyle name="Comma 2 7 4 8 2" xfId="46299" xr:uid="{9A83B0A8-5FE3-490B-AE90-5BF47DB24FD7}"/>
    <cellStyle name="Comma 2 7 4 9" xfId="31179" xr:uid="{7698D18B-DD76-47ED-A052-EDEE447900B4}"/>
    <cellStyle name="Comma 2 7 5" xfId="1695" xr:uid="{90EABEA2-01A8-4306-B493-E16B03CEDC89}"/>
    <cellStyle name="Comma 2 7 5 2" xfId="10767" xr:uid="{05B6E591-EF09-40C6-83B5-0382C6B15F73}"/>
    <cellStyle name="Comma 2 7 5 2 2" xfId="25887" xr:uid="{6B5147FB-1B6F-46C9-BDCE-72179B1BCA31}"/>
    <cellStyle name="Comma 2 7 5 2 2 2" xfId="56127" xr:uid="{17FEB1A7-AB19-446D-B1DA-FDA131C8D4AB}"/>
    <cellStyle name="Comma 2 7 5 2 3" xfId="41007" xr:uid="{620E5567-4A31-49BB-8E7F-4644B9266D9F}"/>
    <cellStyle name="Comma 2 7 5 3" xfId="16815" xr:uid="{393D6B37-42E8-4092-A62C-4345BD473580}"/>
    <cellStyle name="Comma 2 7 5 3 2" xfId="47055" xr:uid="{6CCEE5F1-A25D-4165-AF14-6612404CC27C}"/>
    <cellStyle name="Comma 2 7 5 4" xfId="31935" xr:uid="{3935E4FA-9722-4BBC-8B64-63703B46E6EC}"/>
    <cellStyle name="Comma 2 7 6" xfId="3207" xr:uid="{1ABDF12B-ED19-42EB-A46C-1E9EB9294B6D}"/>
    <cellStyle name="Comma 2 7 6 2" xfId="12279" xr:uid="{CD478D88-4485-487C-ABC2-6E20226B4E3F}"/>
    <cellStyle name="Comma 2 7 6 2 2" xfId="27399" xr:uid="{E9DBCAAA-C166-4F69-A022-F8C3A4B5F4C2}"/>
    <cellStyle name="Comma 2 7 6 2 2 2" xfId="57639" xr:uid="{2EFF717A-87C9-4E82-A973-2EC24DBAA549}"/>
    <cellStyle name="Comma 2 7 6 2 3" xfId="42519" xr:uid="{7EED522A-6643-41C3-B74C-15C4A09693D3}"/>
    <cellStyle name="Comma 2 7 6 3" xfId="18327" xr:uid="{AAC5A1A5-E3DD-4C02-BBAC-F05514F2DD6A}"/>
    <cellStyle name="Comma 2 7 6 3 2" xfId="48567" xr:uid="{4BBC062C-4F74-4FE7-A6FE-8EAB59E35BFD}"/>
    <cellStyle name="Comma 2 7 6 4" xfId="33447" xr:uid="{091160FB-6DCE-4288-B10F-3FBE46EB8D8C}"/>
    <cellStyle name="Comma 2 7 7" xfId="4719" xr:uid="{A9057358-98D6-4201-8532-5509B6705503}"/>
    <cellStyle name="Comma 2 7 7 2" xfId="13791" xr:uid="{FA1FAD51-33E2-453F-B1CF-A908B37D64B5}"/>
    <cellStyle name="Comma 2 7 7 2 2" xfId="28911" xr:uid="{D1936A10-5CA6-4E1D-8310-EE574B455F12}"/>
    <cellStyle name="Comma 2 7 7 2 2 2" xfId="59151" xr:uid="{6C340F1F-38F1-4297-BA88-2DACA0F510CF}"/>
    <cellStyle name="Comma 2 7 7 2 3" xfId="44031" xr:uid="{7229BA2D-756F-40FE-8102-D44561FB605A}"/>
    <cellStyle name="Comma 2 7 7 3" xfId="19839" xr:uid="{761C8E94-45C8-4835-AFD4-6206A4B071E2}"/>
    <cellStyle name="Comma 2 7 7 3 2" xfId="50079" xr:uid="{EFC3684D-6B25-4E09-94DB-27C9A9F0701A}"/>
    <cellStyle name="Comma 2 7 7 4" xfId="34959" xr:uid="{A0C45707-96D9-4591-8E64-49ED530A91CB}"/>
    <cellStyle name="Comma 2 7 8" xfId="6231" xr:uid="{C4AE939C-14D2-4834-A987-DCB679B022BD}"/>
    <cellStyle name="Comma 2 7 8 2" xfId="21351" xr:uid="{0A450153-837E-424D-9581-35114CD6320D}"/>
    <cellStyle name="Comma 2 7 8 2 2" xfId="51591" xr:uid="{A9445680-24FD-4532-8322-7F0C9C6A4634}"/>
    <cellStyle name="Comma 2 7 8 3" xfId="36471" xr:uid="{4993FB92-6761-4608-B24A-11391704A67A}"/>
    <cellStyle name="Comma 2 7 9" xfId="7743" xr:uid="{5A79887A-BF41-4F86-8ACF-1A0D9D9DC5AC}"/>
    <cellStyle name="Comma 2 7 9 2" xfId="22863" xr:uid="{841581CA-D4CD-4C89-9929-3AE60A26362C}"/>
    <cellStyle name="Comma 2 7 9 2 2" xfId="53103" xr:uid="{57F4A6BE-8727-4914-ACE6-72FB34716BFC}"/>
    <cellStyle name="Comma 2 7 9 3" xfId="37983" xr:uid="{3FD3439C-595D-4637-854E-44B75B1F8712}"/>
    <cellStyle name="Comma 2 8" xfId="267" xr:uid="{F6D2464C-3FE3-41B4-9FB5-1E3C571F8FD2}"/>
    <cellStyle name="Comma 2 8 10" xfId="30507" xr:uid="{9AA19DB4-2EAF-4932-A1C8-E1BDF695AA84}"/>
    <cellStyle name="Comma 2 8 2" xfId="1023" xr:uid="{758EFFBE-45BC-480D-B5B3-B9251C7C1AA4}"/>
    <cellStyle name="Comma 2 8 2 2" xfId="2535" xr:uid="{708C7FE7-CDEF-4453-84AD-BB89113CBAD3}"/>
    <cellStyle name="Comma 2 8 2 2 2" xfId="11607" xr:uid="{0FEE1FB5-BE8D-4073-9973-6AD5C9F1F6E3}"/>
    <cellStyle name="Comma 2 8 2 2 2 2" xfId="26727" xr:uid="{5724BD1C-5C77-4F19-973E-ED408454E040}"/>
    <cellStyle name="Comma 2 8 2 2 2 2 2" xfId="56967" xr:uid="{9C7F289F-5294-4785-8DC0-5817DC753936}"/>
    <cellStyle name="Comma 2 8 2 2 2 3" xfId="41847" xr:uid="{01C61B33-3183-4237-A7E8-003673FE8C10}"/>
    <cellStyle name="Comma 2 8 2 2 3" xfId="17655" xr:uid="{171B5767-AA04-499F-9800-0F1D6B88D80C}"/>
    <cellStyle name="Comma 2 8 2 2 3 2" xfId="47895" xr:uid="{34F27B45-F01A-43ED-8E80-72E1C4256C1E}"/>
    <cellStyle name="Comma 2 8 2 2 4" xfId="32775" xr:uid="{65E6A0DE-4F8D-4338-A06B-63A4E527F30C}"/>
    <cellStyle name="Comma 2 8 2 3" xfId="4047" xr:uid="{07949884-7DEB-4340-8878-D447F9B1681B}"/>
    <cellStyle name="Comma 2 8 2 3 2" xfId="13119" xr:uid="{82476D2C-A367-450C-A95E-F1939A9554B4}"/>
    <cellStyle name="Comma 2 8 2 3 2 2" xfId="28239" xr:uid="{6257C9D5-A79E-4230-BB5A-403531B82EB5}"/>
    <cellStyle name="Comma 2 8 2 3 2 2 2" xfId="58479" xr:uid="{5F8C1D44-B98B-431B-897C-1FF28E2A3DC1}"/>
    <cellStyle name="Comma 2 8 2 3 2 3" xfId="43359" xr:uid="{402FF74B-E034-4EFD-9B69-76B8E5C87A6C}"/>
    <cellStyle name="Comma 2 8 2 3 3" xfId="19167" xr:uid="{D3A6ABBF-C4B0-4C3C-933B-D77C3A43D498}"/>
    <cellStyle name="Comma 2 8 2 3 3 2" xfId="49407" xr:uid="{A15E98B8-7F68-41AF-BA41-46B719D208B5}"/>
    <cellStyle name="Comma 2 8 2 3 4" xfId="34287" xr:uid="{2648BF61-216C-4037-9FA7-068A575DC0BD}"/>
    <cellStyle name="Comma 2 8 2 4" xfId="5559" xr:uid="{1A5D5616-F0BA-4FB6-8790-1D1794D43EBD}"/>
    <cellStyle name="Comma 2 8 2 4 2" xfId="14631" xr:uid="{ACBC7FBC-CDB3-4BD8-899F-D0EABA38BE57}"/>
    <cellStyle name="Comma 2 8 2 4 2 2" xfId="29751" xr:uid="{19828471-BC01-47A1-B23C-F42A5547022F}"/>
    <cellStyle name="Comma 2 8 2 4 2 2 2" xfId="59991" xr:uid="{EDC4AFDA-1397-483C-9525-9B632E4D4978}"/>
    <cellStyle name="Comma 2 8 2 4 2 3" xfId="44871" xr:uid="{F5FFFB8C-0B44-4850-BFA7-4F703BA1A710}"/>
    <cellStyle name="Comma 2 8 2 4 3" xfId="20679" xr:uid="{264F5D8B-E644-4329-A636-A1466F7A3939}"/>
    <cellStyle name="Comma 2 8 2 4 3 2" xfId="50919" xr:uid="{9F939DF7-5248-488F-9985-5C63614E0A78}"/>
    <cellStyle name="Comma 2 8 2 4 4" xfId="35799" xr:uid="{D5FF36E4-FDCA-4CF6-98D1-EEC949E16854}"/>
    <cellStyle name="Comma 2 8 2 5" xfId="7071" xr:uid="{031FEF84-5468-46E4-B6B4-FAEABB467B1C}"/>
    <cellStyle name="Comma 2 8 2 5 2" xfId="22191" xr:uid="{A577E96F-A6CF-48FA-A0BF-AA29662056E8}"/>
    <cellStyle name="Comma 2 8 2 5 2 2" xfId="52431" xr:uid="{4960EEAC-3918-4B05-BDC4-014A693178B3}"/>
    <cellStyle name="Comma 2 8 2 5 3" xfId="37311" xr:uid="{21BE880A-60EB-4220-8610-D2A7E8417112}"/>
    <cellStyle name="Comma 2 8 2 6" xfId="8583" xr:uid="{FA8EA5E5-EF28-4C55-8BA1-F3D51C715BCC}"/>
    <cellStyle name="Comma 2 8 2 6 2" xfId="23703" xr:uid="{AB96254C-1EE5-4D97-B331-8C49C0A52075}"/>
    <cellStyle name="Comma 2 8 2 6 2 2" xfId="53943" xr:uid="{4FC7E152-7959-4265-8E60-D3ADA92BF918}"/>
    <cellStyle name="Comma 2 8 2 6 3" xfId="38823" xr:uid="{753F3E47-D113-4FDD-8C1E-504AE5328A7A}"/>
    <cellStyle name="Comma 2 8 2 7" xfId="10095" xr:uid="{02E7336D-2C43-43C1-8F14-4020B43A6D28}"/>
    <cellStyle name="Comma 2 8 2 7 2" xfId="25215" xr:uid="{8CAC60EC-659C-4E06-84F8-2FDE95A1F66F}"/>
    <cellStyle name="Comma 2 8 2 7 2 2" xfId="55455" xr:uid="{3A012A32-B397-4A00-BA3F-1936C2FA83F1}"/>
    <cellStyle name="Comma 2 8 2 7 3" xfId="40335" xr:uid="{57CFCC66-3738-49DC-93F4-D453BB901C95}"/>
    <cellStyle name="Comma 2 8 2 8" xfId="16143" xr:uid="{A6C329E6-7BC3-415C-AE05-3A4F96EF8406}"/>
    <cellStyle name="Comma 2 8 2 8 2" xfId="46383" xr:uid="{0B932A95-C9AF-40AA-81ED-2083D2AD48F5}"/>
    <cellStyle name="Comma 2 8 2 9" xfId="31263" xr:uid="{2C569576-792E-4CF1-A57B-F2D14B2728CB}"/>
    <cellStyle name="Comma 2 8 3" xfId="1779" xr:uid="{C5E864DE-C623-444C-B45D-85272CD1F95F}"/>
    <cellStyle name="Comma 2 8 3 2" xfId="10851" xr:uid="{D1D1D3A2-EE55-4E38-B3C1-E84504F5D2F7}"/>
    <cellStyle name="Comma 2 8 3 2 2" xfId="25971" xr:uid="{0E9C41A8-FF5B-49A6-8CF4-F6FF66627323}"/>
    <cellStyle name="Comma 2 8 3 2 2 2" xfId="56211" xr:uid="{B94A1291-88CA-4E5E-AFDD-0DC2EA809EC1}"/>
    <cellStyle name="Comma 2 8 3 2 3" xfId="41091" xr:uid="{9F706F07-B248-42D9-A89F-E987A6EE85A7}"/>
    <cellStyle name="Comma 2 8 3 3" xfId="16899" xr:uid="{847AE418-C5F6-4F15-869A-02192A512F65}"/>
    <cellStyle name="Comma 2 8 3 3 2" xfId="47139" xr:uid="{BC7B25AE-34E2-429E-86D3-3A5D46206B29}"/>
    <cellStyle name="Comma 2 8 3 4" xfId="32019" xr:uid="{25075895-9C92-4DAC-9328-E2474D3E7212}"/>
    <cellStyle name="Comma 2 8 4" xfId="3291" xr:uid="{BBDB74C0-A920-4978-AD91-F18F19058893}"/>
    <cellStyle name="Comma 2 8 4 2" xfId="12363" xr:uid="{4C402A24-377A-428F-A027-E32444B6E6B5}"/>
    <cellStyle name="Comma 2 8 4 2 2" xfId="27483" xr:uid="{3B09FCA6-1DC2-4B1A-A9E9-D6156E400F98}"/>
    <cellStyle name="Comma 2 8 4 2 2 2" xfId="57723" xr:uid="{926E88AD-7D41-47AB-BE48-D04661D780C0}"/>
    <cellStyle name="Comma 2 8 4 2 3" xfId="42603" xr:uid="{81E802E7-5267-4A46-BAE0-20C738EBF426}"/>
    <cellStyle name="Comma 2 8 4 3" xfId="18411" xr:uid="{B1A55662-8EA3-4646-AA63-F246F2EE6D69}"/>
    <cellStyle name="Comma 2 8 4 3 2" xfId="48651" xr:uid="{990F9968-EC90-473B-BB3F-485EA85AF50B}"/>
    <cellStyle name="Comma 2 8 4 4" xfId="33531" xr:uid="{5D6C487A-73C1-434D-BFA3-C7195AF9C3E5}"/>
    <cellStyle name="Comma 2 8 5" xfId="4803" xr:uid="{2C8C4808-A8E3-48F0-BE4B-845C74D3A33E}"/>
    <cellStyle name="Comma 2 8 5 2" xfId="13875" xr:uid="{FEECC3D4-B42A-49A6-9704-202999F16516}"/>
    <cellStyle name="Comma 2 8 5 2 2" xfId="28995" xr:uid="{DD55FF06-0014-4EE3-8F22-37240E7DE403}"/>
    <cellStyle name="Comma 2 8 5 2 2 2" xfId="59235" xr:uid="{9D496324-C97F-4681-B029-BFF59AEF605C}"/>
    <cellStyle name="Comma 2 8 5 2 3" xfId="44115" xr:uid="{123DA7D0-14C4-49BF-BF70-30081B0F3FF9}"/>
    <cellStyle name="Comma 2 8 5 3" xfId="19923" xr:uid="{8DB218FC-E003-41A6-B168-C71B7C0DA2D7}"/>
    <cellStyle name="Comma 2 8 5 3 2" xfId="50163" xr:uid="{133BC73A-2285-448D-BB75-A229C3A1C5B5}"/>
    <cellStyle name="Comma 2 8 5 4" xfId="35043" xr:uid="{CE95FF34-6897-4A68-9035-E81944C363E6}"/>
    <cellStyle name="Comma 2 8 6" xfId="6315" xr:uid="{13F60436-0391-46A2-8F40-BB55A8426CD6}"/>
    <cellStyle name="Comma 2 8 6 2" xfId="21435" xr:uid="{D5371957-FD82-4246-83E0-66AC03FF9CD5}"/>
    <cellStyle name="Comma 2 8 6 2 2" xfId="51675" xr:uid="{0BB69410-1260-449C-B136-FC9A6DCD9C67}"/>
    <cellStyle name="Comma 2 8 6 3" xfId="36555" xr:uid="{CB7D4F14-988A-4D2E-B90B-DEE52D2810E7}"/>
    <cellStyle name="Comma 2 8 7" xfId="7827" xr:uid="{BBD4A552-DC33-4AB4-93EB-1397B0CCC4B2}"/>
    <cellStyle name="Comma 2 8 7 2" xfId="22947" xr:uid="{47888A3F-4007-4BA5-B69C-604939E760D3}"/>
    <cellStyle name="Comma 2 8 7 2 2" xfId="53187" xr:uid="{EC8CF0FD-77F5-4748-BF96-A38DEB7D3DD5}"/>
    <cellStyle name="Comma 2 8 7 3" xfId="38067" xr:uid="{373E4053-8139-4AC8-83AE-53944D09DBE2}"/>
    <cellStyle name="Comma 2 8 8" xfId="9339" xr:uid="{14B021CD-ECDA-4E98-B499-77F564F7152D}"/>
    <cellStyle name="Comma 2 8 8 2" xfId="24459" xr:uid="{FA6202A5-979E-47C4-8E11-AB13DA144A71}"/>
    <cellStyle name="Comma 2 8 8 2 2" xfId="54699" xr:uid="{763BD1BC-C2D1-4D79-9E6F-23C9A32FD4EE}"/>
    <cellStyle name="Comma 2 8 8 3" xfId="39579" xr:uid="{38807F58-16EB-4907-9E2F-37CC88C54246}"/>
    <cellStyle name="Comma 2 8 9" xfId="15387" xr:uid="{116D8259-F237-4913-BF2B-A479BF052B3E}"/>
    <cellStyle name="Comma 2 8 9 2" xfId="45627" xr:uid="{FBF85131-13DB-4AC2-9B5F-7DAB2677F402}"/>
    <cellStyle name="Comma 2 9" xfId="519" xr:uid="{2954F38D-5605-46E0-9B22-78D1787EB753}"/>
    <cellStyle name="Comma 2 9 10" xfId="30759" xr:uid="{1D7B44F8-D093-4677-9B4E-07A1037435FA}"/>
    <cellStyle name="Comma 2 9 2" xfId="1275" xr:uid="{9232EA31-4765-4387-A70A-DAD6419F6026}"/>
    <cellStyle name="Comma 2 9 2 2" xfId="2787" xr:uid="{31918BF1-5288-40A1-823E-02B05C947A6B}"/>
    <cellStyle name="Comma 2 9 2 2 2" xfId="11859" xr:uid="{7DA57F75-0639-409D-B149-2DD69FB018C8}"/>
    <cellStyle name="Comma 2 9 2 2 2 2" xfId="26979" xr:uid="{677E85CE-7F1A-40B1-87E4-477DE9F7B15A}"/>
    <cellStyle name="Comma 2 9 2 2 2 2 2" xfId="57219" xr:uid="{FE78185A-9A02-477B-9648-61E203C082F1}"/>
    <cellStyle name="Comma 2 9 2 2 2 3" xfId="42099" xr:uid="{3327BCF7-BEDD-496D-8432-6C2B7FAD1EED}"/>
    <cellStyle name="Comma 2 9 2 2 3" xfId="17907" xr:uid="{24731F7B-AD8B-4D02-BFCE-134B5A05A31E}"/>
    <cellStyle name="Comma 2 9 2 2 3 2" xfId="48147" xr:uid="{84A364C8-D3DE-4E11-83C1-B28E18123C13}"/>
    <cellStyle name="Comma 2 9 2 2 4" xfId="33027" xr:uid="{15ABAEF0-897D-4A68-977B-12792CBD5EB7}"/>
    <cellStyle name="Comma 2 9 2 3" xfId="4299" xr:uid="{2A76DC01-3F12-48CD-A961-7431BCA5BE48}"/>
    <cellStyle name="Comma 2 9 2 3 2" xfId="13371" xr:uid="{7859DB4C-D012-499F-9251-402B7F40EF3F}"/>
    <cellStyle name="Comma 2 9 2 3 2 2" xfId="28491" xr:uid="{BEEB78B0-C1E2-4028-9659-4DB65474089B}"/>
    <cellStyle name="Comma 2 9 2 3 2 2 2" xfId="58731" xr:uid="{A1211AAC-A3BE-4AD5-9D1C-992CBADB4FC4}"/>
    <cellStyle name="Comma 2 9 2 3 2 3" xfId="43611" xr:uid="{0BEC9AD9-4FED-476C-95C4-A8A7CB117689}"/>
    <cellStyle name="Comma 2 9 2 3 3" xfId="19419" xr:uid="{E524139C-4928-4B06-A6A4-D59154F7421F}"/>
    <cellStyle name="Comma 2 9 2 3 3 2" xfId="49659" xr:uid="{9CC1BE35-00E5-4BA7-8875-56B6F753A09B}"/>
    <cellStyle name="Comma 2 9 2 3 4" xfId="34539" xr:uid="{326B4A32-AA9E-4945-B108-94501FA5C68D}"/>
    <cellStyle name="Comma 2 9 2 4" xfId="5811" xr:uid="{791DE6FF-0079-4239-B606-1258CB5E7CD1}"/>
    <cellStyle name="Comma 2 9 2 4 2" xfId="14883" xr:uid="{44F271A1-066A-41E8-8B23-B487B1AE2D68}"/>
    <cellStyle name="Comma 2 9 2 4 2 2" xfId="30003" xr:uid="{C581E78F-93AF-48D1-B2F6-FAB980F0B936}"/>
    <cellStyle name="Comma 2 9 2 4 2 2 2" xfId="60243" xr:uid="{9F423044-1439-4E2D-BB84-136C194809E1}"/>
    <cellStyle name="Comma 2 9 2 4 2 3" xfId="45123" xr:uid="{FEABF614-E7A9-44A9-A072-2CAE8FA2950E}"/>
    <cellStyle name="Comma 2 9 2 4 3" xfId="20931" xr:uid="{598D89BE-E3E5-408D-AC83-C3FC3F0CB83F}"/>
    <cellStyle name="Comma 2 9 2 4 3 2" xfId="51171" xr:uid="{1BBDECC6-A4F2-4DE5-B0DE-E51799941441}"/>
    <cellStyle name="Comma 2 9 2 4 4" xfId="36051" xr:uid="{CCCEA538-437F-4914-B787-532BF80B19C1}"/>
    <cellStyle name="Comma 2 9 2 5" xfId="7323" xr:uid="{B19C4734-BC24-4BD1-80C9-126B9AC90389}"/>
    <cellStyle name="Comma 2 9 2 5 2" xfId="22443" xr:uid="{AF7BE31E-1744-4682-A9DA-C2C89468B909}"/>
    <cellStyle name="Comma 2 9 2 5 2 2" xfId="52683" xr:uid="{95521301-11E2-4F6E-BE90-A8BB64042868}"/>
    <cellStyle name="Comma 2 9 2 5 3" xfId="37563" xr:uid="{D59757FC-AE2F-4BF1-82FB-475017DEA9DA}"/>
    <cellStyle name="Comma 2 9 2 6" xfId="8835" xr:uid="{58F93302-0AC5-40E3-8593-1356D8A98EC4}"/>
    <cellStyle name="Comma 2 9 2 6 2" xfId="23955" xr:uid="{FCCD8420-7ABF-4A0A-98CB-E9C76E190FA4}"/>
    <cellStyle name="Comma 2 9 2 6 2 2" xfId="54195" xr:uid="{F1B1CA6D-1C6D-4696-9A88-B8F562F09C5E}"/>
    <cellStyle name="Comma 2 9 2 6 3" xfId="39075" xr:uid="{6F4ADE50-2565-4384-A430-7FDAF1C00FE3}"/>
    <cellStyle name="Comma 2 9 2 7" xfId="10347" xr:uid="{EC654922-F40E-4FEF-AEC6-741170F055F5}"/>
    <cellStyle name="Comma 2 9 2 7 2" xfId="25467" xr:uid="{ED69CC7D-B986-4602-8E85-20BB3B06B0FC}"/>
    <cellStyle name="Comma 2 9 2 7 2 2" xfId="55707" xr:uid="{7DC05769-B31A-4DCA-A363-289786FD65BC}"/>
    <cellStyle name="Comma 2 9 2 7 3" xfId="40587" xr:uid="{88A24DDC-B71F-412C-8C0D-E43E0C4D6B78}"/>
    <cellStyle name="Comma 2 9 2 8" xfId="16395" xr:uid="{8DE9E777-FB12-465E-AEA0-9069EA0E7940}"/>
    <cellStyle name="Comma 2 9 2 8 2" xfId="46635" xr:uid="{010DE512-D053-4BE1-85CB-7818FD77DFA4}"/>
    <cellStyle name="Comma 2 9 2 9" xfId="31515" xr:uid="{B751B7ED-4543-4136-812C-3CC3748451EA}"/>
    <cellStyle name="Comma 2 9 3" xfId="2031" xr:uid="{3A6D3287-284A-49B9-BF09-7A8E77792F22}"/>
    <cellStyle name="Comma 2 9 3 2" xfId="11103" xr:uid="{44691B07-B161-4F1D-97F4-39E9357B5B52}"/>
    <cellStyle name="Comma 2 9 3 2 2" xfId="26223" xr:uid="{60211DA9-5301-4250-991F-653D326B2843}"/>
    <cellStyle name="Comma 2 9 3 2 2 2" xfId="56463" xr:uid="{B7124447-D5E6-402D-A083-BCF575259FC6}"/>
    <cellStyle name="Comma 2 9 3 2 3" xfId="41343" xr:uid="{3E3D430C-FD91-4734-9BE2-1E4745C5952F}"/>
    <cellStyle name="Comma 2 9 3 3" xfId="17151" xr:uid="{816D6645-311D-43BB-A92A-687E869AEB61}"/>
    <cellStyle name="Comma 2 9 3 3 2" xfId="47391" xr:uid="{C17B93EE-7EED-4ECC-B576-597D57F7BCE3}"/>
    <cellStyle name="Comma 2 9 3 4" xfId="32271" xr:uid="{AAB385AB-3080-40B9-A55F-C80A6030A889}"/>
    <cellStyle name="Comma 2 9 4" xfId="3543" xr:uid="{8EC514B3-E04E-41CC-9B3C-BE081641A1E8}"/>
    <cellStyle name="Comma 2 9 4 2" xfId="12615" xr:uid="{7A4CB1DF-88DA-49F5-A2DB-7CDB12707216}"/>
    <cellStyle name="Comma 2 9 4 2 2" xfId="27735" xr:uid="{266ADF6E-1D35-400C-A84A-CB86EDE2DF16}"/>
    <cellStyle name="Comma 2 9 4 2 2 2" xfId="57975" xr:uid="{B13C681D-ABD7-4A34-B3E8-B2123309E3FA}"/>
    <cellStyle name="Comma 2 9 4 2 3" xfId="42855" xr:uid="{CA6B5609-4D67-4070-AF2C-4B24C41C4243}"/>
    <cellStyle name="Comma 2 9 4 3" xfId="18663" xr:uid="{6F3476D5-16C1-43B8-8536-0638843E91B9}"/>
    <cellStyle name="Comma 2 9 4 3 2" xfId="48903" xr:uid="{EF86157A-7352-4DAA-B8BF-6669E5C5F5A5}"/>
    <cellStyle name="Comma 2 9 4 4" xfId="33783" xr:uid="{08755711-CE36-4D68-A5C3-2D4DC55C39DA}"/>
    <cellStyle name="Comma 2 9 5" xfId="5055" xr:uid="{88D7F768-D22D-4C71-9F87-4D7D074B8731}"/>
    <cellStyle name="Comma 2 9 5 2" xfId="14127" xr:uid="{C9E19D94-B030-4A01-828A-2D6122A4D5C3}"/>
    <cellStyle name="Comma 2 9 5 2 2" xfId="29247" xr:uid="{1D6BCD08-3B06-48F0-AAA9-8487B039D84A}"/>
    <cellStyle name="Comma 2 9 5 2 2 2" xfId="59487" xr:uid="{7DDC9208-D773-471D-A921-C91A0F4811CB}"/>
    <cellStyle name="Comma 2 9 5 2 3" xfId="44367" xr:uid="{602F5028-90F6-4ECE-A908-72E955A64329}"/>
    <cellStyle name="Comma 2 9 5 3" xfId="20175" xr:uid="{994D5246-CF77-4E0A-999B-82DF343FE2E9}"/>
    <cellStyle name="Comma 2 9 5 3 2" xfId="50415" xr:uid="{62FDEB35-C929-4BC6-B412-E9AA485EA24E}"/>
    <cellStyle name="Comma 2 9 5 4" xfId="35295" xr:uid="{F98CB466-0307-4288-8953-E48071F1BC98}"/>
    <cellStyle name="Comma 2 9 6" xfId="6567" xr:uid="{73F4720F-C7D0-4AA2-8C6B-B11F6C7372D8}"/>
    <cellStyle name="Comma 2 9 6 2" xfId="21687" xr:uid="{E2D2B270-F246-4348-8B17-C4D0C4B0B1C2}"/>
    <cellStyle name="Comma 2 9 6 2 2" xfId="51927" xr:uid="{978D1D35-C6AB-4C3A-A36C-693DA5C464B0}"/>
    <cellStyle name="Comma 2 9 6 3" xfId="36807" xr:uid="{E1885680-ABC7-4C78-83F3-BDFBA5EABE3F}"/>
    <cellStyle name="Comma 2 9 7" xfId="8079" xr:uid="{C9264B3F-DBA0-4BA2-8822-0FB21B9D87D6}"/>
    <cellStyle name="Comma 2 9 7 2" xfId="23199" xr:uid="{D1A3E639-3D41-45EA-88D6-FC3474D1D8F8}"/>
    <cellStyle name="Comma 2 9 7 2 2" xfId="53439" xr:uid="{28C73D83-2130-4A86-8431-A77990135B4A}"/>
    <cellStyle name="Comma 2 9 7 3" xfId="38319" xr:uid="{7C95B6DD-2281-4D2F-952D-276B625D0932}"/>
    <cellStyle name="Comma 2 9 8" xfId="9591" xr:uid="{E2C8AE9E-AEC3-4FB6-B4ED-E24C163C700D}"/>
    <cellStyle name="Comma 2 9 8 2" xfId="24711" xr:uid="{0C9E236F-98FA-47D0-A9A3-5BADA0D8D573}"/>
    <cellStyle name="Comma 2 9 8 2 2" xfId="54951" xr:uid="{B0555402-8026-4573-9D79-AB81B0A4CA00}"/>
    <cellStyle name="Comma 2 9 8 3" xfId="39831" xr:uid="{2B8E6B7A-B500-4674-812D-ED69870FEF72}"/>
    <cellStyle name="Comma 2 9 9" xfId="15639" xr:uid="{A9C10088-F661-4901-8E81-E333A9293955}"/>
    <cellStyle name="Comma 2 9 9 2" xfId="45879" xr:uid="{B96D6BB1-7703-4842-A85C-DCCD8F469AF1}"/>
    <cellStyle name="Comma 20" xfId="770" xr:uid="{5FC311C9-DF99-4690-ACDB-C0A22C60B33B}"/>
    <cellStyle name="Comma 20 2" xfId="2282" xr:uid="{5D6788C5-CF2C-4967-B353-5D373245793C}"/>
    <cellStyle name="Comma 20 2 2" xfId="11354" xr:uid="{2D6DA99D-09D5-44C3-9EE1-99EA3C994CD0}"/>
    <cellStyle name="Comma 20 2 2 2" xfId="26474" xr:uid="{9BCB41F1-8464-422E-AC80-B05DA2E1C455}"/>
    <cellStyle name="Comma 20 2 2 2 2" xfId="56714" xr:uid="{E33ACC19-DEE6-4717-8CEC-74AE95B34C42}"/>
    <cellStyle name="Comma 20 2 2 3" xfId="41594" xr:uid="{9A103B76-6A71-498C-8258-0A25198CB3C5}"/>
    <cellStyle name="Comma 20 2 3" xfId="17402" xr:uid="{E9EA9301-B3DD-4801-8E72-CA90CB1F8791}"/>
    <cellStyle name="Comma 20 2 3 2" xfId="47642" xr:uid="{07B563AB-8B2A-442C-BD1A-07826BEF8B80}"/>
    <cellStyle name="Comma 20 2 4" xfId="32522" xr:uid="{16725CAA-8347-498F-8BCF-A688D0BFDF1C}"/>
    <cellStyle name="Comma 20 3" xfId="3794" xr:uid="{BBF23C94-8994-4659-8AB8-9CB583235ABB}"/>
    <cellStyle name="Comma 20 3 2" xfId="12866" xr:uid="{9EBB3144-977B-49AB-AFF4-1F56F70CB2DF}"/>
    <cellStyle name="Comma 20 3 2 2" xfId="27986" xr:uid="{CB520C7F-7364-41E3-85AB-2113F594774E}"/>
    <cellStyle name="Comma 20 3 2 2 2" xfId="58226" xr:uid="{F02C28EE-A0A3-4785-A431-81B88D6324AA}"/>
    <cellStyle name="Comma 20 3 2 3" xfId="43106" xr:uid="{6B2BFEFC-6C02-407B-B3F3-46EF771B361E}"/>
    <cellStyle name="Comma 20 3 3" xfId="18914" xr:uid="{22FA3D8B-1CFD-4615-9727-2FFA94B9183C}"/>
    <cellStyle name="Comma 20 3 3 2" xfId="49154" xr:uid="{7C4ED347-B17D-459F-BC1F-DB295DBC59B7}"/>
    <cellStyle name="Comma 20 3 4" xfId="34034" xr:uid="{71B92024-4249-43A3-A66D-EB51DF50740F}"/>
    <cellStyle name="Comma 20 4" xfId="5306" xr:uid="{98BB27FC-C349-44F6-81DC-A782B0608CBD}"/>
    <cellStyle name="Comma 20 4 2" xfId="14378" xr:uid="{508FB631-D167-4182-B058-BBE370D2C402}"/>
    <cellStyle name="Comma 20 4 2 2" xfId="29498" xr:uid="{595DEC36-5371-404D-B421-02929EBB0419}"/>
    <cellStyle name="Comma 20 4 2 2 2" xfId="59738" xr:uid="{7F0938EB-B15D-4EBE-8252-E0115EC14245}"/>
    <cellStyle name="Comma 20 4 2 3" xfId="44618" xr:uid="{AA185829-8586-4C1D-A4B0-8306C6C88E84}"/>
    <cellStyle name="Comma 20 4 3" xfId="20426" xr:uid="{817316ED-7842-40D9-B1DD-FA119CB5C590}"/>
    <cellStyle name="Comma 20 4 3 2" xfId="50666" xr:uid="{CF643D1D-9804-4C95-BECE-EA3888416B49}"/>
    <cellStyle name="Comma 20 4 4" xfId="35546" xr:uid="{31AEE8BC-7E81-4E6A-9A6E-15232871782B}"/>
    <cellStyle name="Comma 20 5" xfId="6818" xr:uid="{B309FD57-2193-4C13-9595-A5AF9F3104A0}"/>
    <cellStyle name="Comma 20 5 2" xfId="21938" xr:uid="{EEAB00F2-2E86-4B30-8D37-E390DDD452F5}"/>
    <cellStyle name="Comma 20 5 2 2" xfId="52178" xr:uid="{32B35894-2D51-4862-96E9-C577D0FE7AFD}"/>
    <cellStyle name="Comma 20 5 3" xfId="37058" xr:uid="{24394F6B-08BE-41BE-AAE7-27052FCD29F3}"/>
    <cellStyle name="Comma 20 6" xfId="8330" xr:uid="{76A5711D-694A-4F38-9C4D-8272E888FEE7}"/>
    <cellStyle name="Comma 20 6 2" xfId="23450" xr:uid="{6F0B5251-6FA5-4F92-95BF-A66BD1D4EE4F}"/>
    <cellStyle name="Comma 20 6 2 2" xfId="53690" xr:uid="{A312E201-A5EC-485D-A1F0-EC4E55B7555F}"/>
    <cellStyle name="Comma 20 6 3" xfId="38570" xr:uid="{091EBCE9-2D61-4A24-B28C-9D3605847F52}"/>
    <cellStyle name="Comma 20 7" xfId="9842" xr:uid="{5DC4FFEE-BECF-4BA6-ACBB-E6B0973C685D}"/>
    <cellStyle name="Comma 20 7 2" xfId="24962" xr:uid="{3BECF889-246D-4240-8962-14E522B1B9B6}"/>
    <cellStyle name="Comma 20 7 2 2" xfId="55202" xr:uid="{6561AF6F-C767-436E-B713-F0BC7745DEDB}"/>
    <cellStyle name="Comma 20 7 3" xfId="40082" xr:uid="{D6AD753A-FBAC-42D9-980C-E53091FCA204}"/>
    <cellStyle name="Comma 20 8" xfId="15890" xr:uid="{13D60AAE-D72B-4133-843A-682CF79D2C5E}"/>
    <cellStyle name="Comma 20 8 2" xfId="46130" xr:uid="{0655FE79-2D14-439F-9C2D-DC23041B13D7}"/>
    <cellStyle name="Comma 20 9" xfId="31010" xr:uid="{342FA435-2446-4C2C-82F0-BB11AB5337C7}"/>
    <cellStyle name="Comma 21" xfId="1526" xr:uid="{DB6D4687-97BD-499F-8EA2-276D54D83C62}"/>
    <cellStyle name="Comma 21 2" xfId="10598" xr:uid="{D14C6C73-6E3F-4F11-8A7B-522A1968AF9A}"/>
    <cellStyle name="Comma 21 2 2" xfId="25718" xr:uid="{824D585E-06B7-4AF5-9B5E-6DC65C188405}"/>
    <cellStyle name="Comma 21 2 2 2" xfId="55958" xr:uid="{235855C8-70CC-4937-9D0B-1A1C720E14B3}"/>
    <cellStyle name="Comma 21 2 3" xfId="40838" xr:uid="{4CA7D70A-28F4-4E5D-B47D-E5A618E1BCE5}"/>
    <cellStyle name="Comma 21 3" xfId="16646" xr:uid="{3AEFD13C-82D5-4318-8AF3-459CC2281EC1}"/>
    <cellStyle name="Comma 21 3 2" xfId="46886" xr:uid="{1F570A00-048A-40DE-BD39-1852BECCFBE9}"/>
    <cellStyle name="Comma 21 4" xfId="31766" xr:uid="{ADD6B58C-1342-42C8-86B0-BEB3E9E9C461}"/>
    <cellStyle name="Comma 22" xfId="3038" xr:uid="{21BDFD00-C8FE-422F-98CB-AF68E49734AD}"/>
    <cellStyle name="Comma 22 2" xfId="12110" xr:uid="{29B253F3-B58B-4ABE-BFDE-A4234D025E25}"/>
    <cellStyle name="Comma 22 2 2" xfId="27230" xr:uid="{EF185013-D2AB-417F-9DAF-EE7BC2F3487C}"/>
    <cellStyle name="Comma 22 2 2 2" xfId="57470" xr:uid="{8672C740-DC04-4C9D-BEFD-73B03A08736D}"/>
    <cellStyle name="Comma 22 2 3" xfId="42350" xr:uid="{C4E129A1-20FA-4BB3-AED1-4C703D24874E}"/>
    <cellStyle name="Comma 22 3" xfId="18158" xr:uid="{986D0C02-0073-4C35-8E0B-08EB7AB897E4}"/>
    <cellStyle name="Comma 22 3 2" xfId="48398" xr:uid="{E2C71F2F-E0C3-45D5-BB41-C6F66AC63DB9}"/>
    <cellStyle name="Comma 22 4" xfId="33278" xr:uid="{D2BC3E72-58A7-447F-B3EC-DC9C850D00ED}"/>
    <cellStyle name="Comma 23" xfId="4550" xr:uid="{A4612813-D55D-407B-BFC6-EE38DBB44256}"/>
    <cellStyle name="Comma 23 2" xfId="13622" xr:uid="{E503219A-D101-4909-B179-7FE86AAC9FA7}"/>
    <cellStyle name="Comma 23 2 2" xfId="28742" xr:uid="{10D95312-1AA2-472C-8FA8-93CBD078677D}"/>
    <cellStyle name="Comma 23 2 2 2" xfId="58982" xr:uid="{82AF48F7-3066-4D6F-AD13-CE060ADB0899}"/>
    <cellStyle name="Comma 23 2 3" xfId="43862" xr:uid="{B838A864-820D-406B-A2DE-5B2DA95D272B}"/>
    <cellStyle name="Comma 23 3" xfId="19670" xr:uid="{B330600A-26EA-4C51-860B-CFAA212222E2}"/>
    <cellStyle name="Comma 23 3 2" xfId="49910" xr:uid="{844EE294-AF2B-42FF-B8EA-33A4DC385AE1}"/>
    <cellStyle name="Comma 23 4" xfId="34790" xr:uid="{9C74B5A3-D838-4C81-8695-E10DAF4F03DA}"/>
    <cellStyle name="Comma 24" xfId="6062" xr:uid="{1F1B8CAE-D8D6-4BF5-B733-251F18EEF46F}"/>
    <cellStyle name="Comma 24 2" xfId="21182" xr:uid="{FBF0AF05-23E4-423A-9B2F-731CBFD482EF}"/>
    <cellStyle name="Comma 24 2 2" xfId="51422" xr:uid="{21124EA1-0567-42FD-B7F8-AB5C0885B538}"/>
    <cellStyle name="Comma 24 3" xfId="36302" xr:uid="{1BED0F34-A1A1-43F3-A991-8790413488F7}"/>
    <cellStyle name="Comma 25" xfId="7574" xr:uid="{19CE5955-C32A-4579-A68F-8A23F751E12F}"/>
    <cellStyle name="Comma 25 2" xfId="22694" xr:uid="{5BBEDFB0-C0C2-4DEC-85BA-65A82074B43D}"/>
    <cellStyle name="Comma 25 2 2" xfId="52934" xr:uid="{46A7F706-118B-4B3B-85F7-116D573AB691}"/>
    <cellStyle name="Comma 25 3" xfId="37814" xr:uid="{F66DC31A-581C-4123-ADF8-AC203243A7D3}"/>
    <cellStyle name="Comma 26" xfId="9086" xr:uid="{94AEC25D-F112-4AB6-B4C5-204B48C159DD}"/>
    <cellStyle name="Comma 26 2" xfId="24206" xr:uid="{E326E4CA-3A5A-4047-95D6-D0EBD574BB16}"/>
    <cellStyle name="Comma 26 2 2" xfId="54446" xr:uid="{8C9DBD19-3CC9-4D46-89F3-4501CEC16C4F}"/>
    <cellStyle name="Comma 26 3" xfId="39326" xr:uid="{44614FE3-EEC3-44FD-A4D4-03BB1CC235D4}"/>
    <cellStyle name="Comma 27" xfId="15134" xr:uid="{B91CB37A-7965-4C65-855E-361D1A56FF9C}"/>
    <cellStyle name="Comma 27 2" xfId="45374" xr:uid="{425094D4-6DC6-413A-A2C3-51ADBB71A4F3}"/>
    <cellStyle name="Comma 28" xfId="30254" xr:uid="{91C96FF2-30FE-4291-A415-34CBFA1BF943}"/>
    <cellStyle name="Comma 29" xfId="60499" xr:uid="{13755804-8419-4325-B88E-F43303B91C19}"/>
    <cellStyle name="Comma 3" xfId="5" xr:uid="{00000000-0005-0000-0000-000032000000}"/>
    <cellStyle name="Comma 3 10" xfId="772" xr:uid="{0247EE55-C4AC-4BCB-97E8-6FE618CE9721}"/>
    <cellStyle name="Comma 3 10 2" xfId="2284" xr:uid="{5CB06DC7-9061-4960-BC78-D2FA571C99A0}"/>
    <cellStyle name="Comma 3 10 2 2" xfId="11356" xr:uid="{E0EE5BA7-8103-427A-BA52-57E49F3549F5}"/>
    <cellStyle name="Comma 3 10 2 2 2" xfId="26476" xr:uid="{CD08E886-B5B7-4C20-85DD-B26EDA5B087F}"/>
    <cellStyle name="Comma 3 10 2 2 2 2" xfId="56716" xr:uid="{243F3297-0D7B-46DD-B9BE-F83D53095AB3}"/>
    <cellStyle name="Comma 3 10 2 2 3" xfId="41596" xr:uid="{2FD73E52-9DC8-424A-BB43-516CD4BF06D9}"/>
    <cellStyle name="Comma 3 10 2 3" xfId="17404" xr:uid="{7218594F-23CE-4667-A73F-395EAD3D23AF}"/>
    <cellStyle name="Comma 3 10 2 3 2" xfId="47644" xr:uid="{12368A91-749A-4833-90EB-73EB3E446AB5}"/>
    <cellStyle name="Comma 3 10 2 4" xfId="32524" xr:uid="{634E90BD-1105-4DA0-A2CA-93FFBD44BE0D}"/>
    <cellStyle name="Comma 3 10 3" xfId="3796" xr:uid="{4CB09560-8568-4761-81CE-6E4B63469F9A}"/>
    <cellStyle name="Comma 3 10 3 2" xfId="12868" xr:uid="{8CBCBC4C-7163-4A6C-A9E6-D53BDE8627C1}"/>
    <cellStyle name="Comma 3 10 3 2 2" xfId="27988" xr:uid="{8502F58F-E376-4013-80DF-AAE574BB51BE}"/>
    <cellStyle name="Comma 3 10 3 2 2 2" xfId="58228" xr:uid="{1D58F62A-E479-4D02-9214-4247CE6E2CA5}"/>
    <cellStyle name="Comma 3 10 3 2 3" xfId="43108" xr:uid="{32A06A91-0BF2-4533-8189-32771E5D20D7}"/>
    <cellStyle name="Comma 3 10 3 3" xfId="18916" xr:uid="{AAAAF74A-5287-45CA-A6A2-6906E0800A51}"/>
    <cellStyle name="Comma 3 10 3 3 2" xfId="49156" xr:uid="{55F43EE9-56CF-44CB-80D0-423888B900E0}"/>
    <cellStyle name="Comma 3 10 3 4" xfId="34036" xr:uid="{84B0841D-1BC6-466E-8431-9C6AE3237CFC}"/>
    <cellStyle name="Comma 3 10 4" xfId="5308" xr:uid="{32D1E2C2-FE20-4FB3-83D1-F00B8FFD82EB}"/>
    <cellStyle name="Comma 3 10 4 2" xfId="14380" xr:uid="{B15E164A-9B44-4438-BAC4-F4BB9531ED84}"/>
    <cellStyle name="Comma 3 10 4 2 2" xfId="29500" xr:uid="{49D2FB60-7BCA-4D3E-BE94-4BDFC089525F}"/>
    <cellStyle name="Comma 3 10 4 2 2 2" xfId="59740" xr:uid="{0EBD5C1F-0B0B-4A4F-A32A-0B40FC09D763}"/>
    <cellStyle name="Comma 3 10 4 2 3" xfId="44620" xr:uid="{AE264EDD-AC2F-4A53-A22C-4D9203260A73}"/>
    <cellStyle name="Comma 3 10 4 3" xfId="20428" xr:uid="{4D01AB10-62D3-4AB0-9512-44B336F4E0DF}"/>
    <cellStyle name="Comma 3 10 4 3 2" xfId="50668" xr:uid="{8751B53D-C7FB-45E7-9172-5BAF50D245B9}"/>
    <cellStyle name="Comma 3 10 4 4" xfId="35548" xr:uid="{06FD2EB4-FB3A-4FBB-A4FA-98121A029471}"/>
    <cellStyle name="Comma 3 10 5" xfId="6820" xr:uid="{E18C6620-69C4-4C34-8205-02078FB6363E}"/>
    <cellStyle name="Comma 3 10 5 2" xfId="21940" xr:uid="{1CDFF339-D349-4991-BC21-57E93C7CF2AF}"/>
    <cellStyle name="Comma 3 10 5 2 2" xfId="52180" xr:uid="{E8F28D4F-FE9D-4FB5-BADE-D50CE9371971}"/>
    <cellStyle name="Comma 3 10 5 3" xfId="37060" xr:uid="{84AD415D-E5A0-404E-8570-5AF527F50913}"/>
    <cellStyle name="Comma 3 10 6" xfId="8332" xr:uid="{8470A8AE-6068-492F-A564-735443EB8DC1}"/>
    <cellStyle name="Comma 3 10 6 2" xfId="23452" xr:uid="{E749DDF8-900A-472B-B1BA-A274890A2A94}"/>
    <cellStyle name="Comma 3 10 6 2 2" xfId="53692" xr:uid="{A6A8B4B3-95A9-40B6-AF82-CCA6AB54378B}"/>
    <cellStyle name="Comma 3 10 6 3" xfId="38572" xr:uid="{2B1C8120-BD19-4D6E-B312-2C52251D89EB}"/>
    <cellStyle name="Comma 3 10 7" xfId="9844" xr:uid="{9D70B1EA-6D09-426C-9D39-09707723B31C}"/>
    <cellStyle name="Comma 3 10 7 2" xfId="24964" xr:uid="{3995D0B0-41CB-421F-9191-AA7101A0B29F}"/>
    <cellStyle name="Comma 3 10 7 2 2" xfId="55204" xr:uid="{DA1BCA96-2564-4077-A16B-85569B1E5D4E}"/>
    <cellStyle name="Comma 3 10 7 3" xfId="40084" xr:uid="{142D178E-3657-45BE-ACB8-A6F3D6D0DD07}"/>
    <cellStyle name="Comma 3 10 8" xfId="15892" xr:uid="{80C23ABA-8612-4F9B-A004-DCD47BBE7464}"/>
    <cellStyle name="Comma 3 10 8 2" xfId="46132" xr:uid="{959D8F8D-8469-40D0-BF1B-E5284806A8AC}"/>
    <cellStyle name="Comma 3 10 9" xfId="31012" xr:uid="{9FBED2C2-A5EE-4BAC-B08E-8614E8942358}"/>
    <cellStyle name="Comma 3 11" xfId="1528" xr:uid="{17172A6B-9FD0-448C-981B-753BC567F1A8}"/>
    <cellStyle name="Comma 3 11 2" xfId="10600" xr:uid="{FABAFD66-F33F-4B3B-979A-AC4C8E860624}"/>
    <cellStyle name="Comma 3 11 2 2" xfId="25720" xr:uid="{3117DC92-F1C0-47D1-92B9-1F38853A2E85}"/>
    <cellStyle name="Comma 3 11 2 2 2" xfId="55960" xr:uid="{D0872927-FE63-4415-A611-C1869D1C194E}"/>
    <cellStyle name="Comma 3 11 2 3" xfId="40840" xr:uid="{509ED69D-16C5-4CEB-AE6B-93AF94BA767D}"/>
    <cellStyle name="Comma 3 11 3" xfId="16648" xr:uid="{F999E2F3-7D12-4407-A81C-FA7B1D0313DA}"/>
    <cellStyle name="Comma 3 11 3 2" xfId="46888" xr:uid="{E61F6DF7-7262-42E9-8091-9C484D7895B2}"/>
    <cellStyle name="Comma 3 11 4" xfId="31768" xr:uid="{18040AC7-8EEC-47C0-A1E5-9063749F3DAF}"/>
    <cellStyle name="Comma 3 12" xfId="3040" xr:uid="{D5B953A9-5AEE-4998-96F9-EDCF1E53CC95}"/>
    <cellStyle name="Comma 3 12 2" xfId="12112" xr:uid="{C473A405-500F-463A-B08B-B3431015DB3A}"/>
    <cellStyle name="Comma 3 12 2 2" xfId="27232" xr:uid="{45A39417-54DB-4104-9814-8B0DE6D32F8F}"/>
    <cellStyle name="Comma 3 12 2 2 2" xfId="57472" xr:uid="{B260BB73-7028-4862-A939-C9B44BD3BF53}"/>
    <cellStyle name="Comma 3 12 2 3" xfId="42352" xr:uid="{F9507759-7FCE-4138-B98C-2FC9802D0F87}"/>
    <cellStyle name="Comma 3 12 3" xfId="18160" xr:uid="{7FCA9B88-7941-4727-BCA2-A2EF3B7F2179}"/>
    <cellStyle name="Comma 3 12 3 2" xfId="48400" xr:uid="{0FE55D51-701D-4B8F-84B8-3A2F118876C8}"/>
    <cellStyle name="Comma 3 12 4" xfId="33280" xr:uid="{BFC9068D-3044-4937-AB3F-1B1A94E081B2}"/>
    <cellStyle name="Comma 3 13" xfId="4552" xr:uid="{71EE61AE-10EA-4262-A63E-C116B477A6F2}"/>
    <cellStyle name="Comma 3 13 2" xfId="13624" xr:uid="{989C7217-D9F9-412D-BBCD-2810FD0E003E}"/>
    <cellStyle name="Comma 3 13 2 2" xfId="28744" xr:uid="{63BC0B4A-D1F5-414A-94A9-66C9FFFABF9F}"/>
    <cellStyle name="Comma 3 13 2 2 2" xfId="58984" xr:uid="{A3FF28EB-9CDC-4924-8607-226AA8D662BD}"/>
    <cellStyle name="Comma 3 13 2 3" xfId="43864" xr:uid="{FB54A460-431D-4129-91A9-26A78B0764D8}"/>
    <cellStyle name="Comma 3 13 3" xfId="19672" xr:uid="{AA448713-8CD6-4A0A-9F93-F6778FB9F7D9}"/>
    <cellStyle name="Comma 3 13 3 2" xfId="49912" xr:uid="{A4845197-5AF2-4CCC-B3C3-06D9FCFF6E45}"/>
    <cellStyle name="Comma 3 13 4" xfId="34792" xr:uid="{DE9C9A81-CC33-4353-A770-D3346B2C7C49}"/>
    <cellStyle name="Comma 3 14" xfId="6064" xr:uid="{3DFA936A-1BDD-4CDC-974D-30E0B27306D9}"/>
    <cellStyle name="Comma 3 14 2" xfId="21184" xr:uid="{0F1FC24D-22F7-43FD-BBF0-DED282DEB5E0}"/>
    <cellStyle name="Comma 3 14 2 2" xfId="51424" xr:uid="{E63E5ADB-7578-46B5-A7AB-6CDA34B06695}"/>
    <cellStyle name="Comma 3 14 3" xfId="36304" xr:uid="{78C56C2F-DADB-49EF-9211-9FC17AB05504}"/>
    <cellStyle name="Comma 3 15" xfId="7576" xr:uid="{5C2B8FA7-4ADF-49AF-8314-9587804F9D23}"/>
    <cellStyle name="Comma 3 15 2" xfId="22696" xr:uid="{54C818A9-9104-4468-A690-EBFD312471C1}"/>
    <cellStyle name="Comma 3 15 2 2" xfId="52936" xr:uid="{E7082442-D292-4035-8E1A-D55FCB949833}"/>
    <cellStyle name="Comma 3 15 3" xfId="37816" xr:uid="{2EB5E053-0799-4D77-A121-744EEAE38B54}"/>
    <cellStyle name="Comma 3 16" xfId="9088" xr:uid="{FF2F6346-1CFA-407A-9470-04CF8458DF0B}"/>
    <cellStyle name="Comma 3 16 2" xfId="24208" xr:uid="{F9A90E98-B5C4-4ADA-A152-D0CDADEFF7D9}"/>
    <cellStyle name="Comma 3 16 2 2" xfId="54448" xr:uid="{BD5B5293-0AC5-4322-B26B-7BB189E90B33}"/>
    <cellStyle name="Comma 3 16 3" xfId="39328" xr:uid="{E25C752E-5BA4-405E-9CEC-890525B22B74}"/>
    <cellStyle name="Comma 3 17" xfId="15136" xr:uid="{64CFFFA0-ED30-4B86-81B8-A6E5BF0FD7A1}"/>
    <cellStyle name="Comma 3 17 2" xfId="45376" xr:uid="{70E10131-E13B-4B96-8117-18B467B15044}"/>
    <cellStyle name="Comma 3 18" xfId="30256" xr:uid="{7A18F605-D3EC-4A31-BB69-7895225AEA2A}"/>
    <cellStyle name="Comma 3 19" xfId="15" xr:uid="{7AA0F2AE-4FB9-441F-B12F-7BB74BA9D707}"/>
    <cellStyle name="Comma 3 2" xfId="12" xr:uid="{9989C83C-8F9B-43BA-812D-2319F4A2009A}"/>
    <cellStyle name="Comma 3 2 10" xfId="1531" xr:uid="{930F50E2-B2E5-419B-88EC-D01D425423EC}"/>
    <cellStyle name="Comma 3 2 10 2" xfId="10603" xr:uid="{51549ABA-BC0B-4910-B362-CCA844AF40DC}"/>
    <cellStyle name="Comma 3 2 10 2 2" xfId="25723" xr:uid="{BD01742C-7789-41E1-B7F3-B1211405D61A}"/>
    <cellStyle name="Comma 3 2 10 2 2 2" xfId="55963" xr:uid="{D8274F38-C29B-4E21-A511-8F1993D26F74}"/>
    <cellStyle name="Comma 3 2 10 2 3" xfId="40843" xr:uid="{F49C061D-C86D-4A4C-B17D-B6F6694A2CFE}"/>
    <cellStyle name="Comma 3 2 10 3" xfId="16651" xr:uid="{05D2618C-4575-4C5D-87B9-32313BA75C02}"/>
    <cellStyle name="Comma 3 2 10 3 2" xfId="46891" xr:uid="{5F319992-2AEA-4836-9A6C-8669B83B132B}"/>
    <cellStyle name="Comma 3 2 10 4" xfId="31771" xr:uid="{BE7944BA-494E-4059-B1C8-17FAC869375B}"/>
    <cellStyle name="Comma 3 2 11" xfId="3043" xr:uid="{EAB87322-9722-4587-A3BF-9A744BCCD43C}"/>
    <cellStyle name="Comma 3 2 11 2" xfId="12115" xr:uid="{9F849A7E-903E-42FF-9BBE-DDA98ADCB0A9}"/>
    <cellStyle name="Comma 3 2 11 2 2" xfId="27235" xr:uid="{A6467595-0D9A-4A3C-9CD3-B3BA25C76BA1}"/>
    <cellStyle name="Comma 3 2 11 2 2 2" xfId="57475" xr:uid="{CAD868AC-F3F0-4D0A-8777-8344D0FF74CB}"/>
    <cellStyle name="Comma 3 2 11 2 3" xfId="42355" xr:uid="{1CFCB788-E717-41FB-A777-2CD30A539E9D}"/>
    <cellStyle name="Comma 3 2 11 3" xfId="18163" xr:uid="{52731FD9-B51F-4920-9CC4-D6A912FA66B4}"/>
    <cellStyle name="Comma 3 2 11 3 2" xfId="48403" xr:uid="{7D87184E-30B0-447A-9F6C-3E2387DB39F7}"/>
    <cellStyle name="Comma 3 2 11 4" xfId="33283" xr:uid="{8F68F49C-7A75-4EDF-ABBC-056B7D37019B}"/>
    <cellStyle name="Comma 3 2 12" xfId="4555" xr:uid="{075CB1FB-85C8-4E99-AF2B-CD84786F86B4}"/>
    <cellStyle name="Comma 3 2 12 2" xfId="13627" xr:uid="{8439AEDB-4651-4D02-B2E9-94C20424ED75}"/>
    <cellStyle name="Comma 3 2 12 2 2" xfId="28747" xr:uid="{E063211E-ECF2-40D0-982A-46407D21755A}"/>
    <cellStyle name="Comma 3 2 12 2 2 2" xfId="58987" xr:uid="{D5677058-8F7B-42F3-BEDB-EB7DE0342F63}"/>
    <cellStyle name="Comma 3 2 12 2 3" xfId="43867" xr:uid="{162968F9-D092-4728-9738-E48699BA9FDB}"/>
    <cellStyle name="Comma 3 2 12 3" xfId="19675" xr:uid="{E04DFD2D-FCDC-466B-9C12-3839B8388766}"/>
    <cellStyle name="Comma 3 2 12 3 2" xfId="49915" xr:uid="{16F29A67-15B0-4E2A-BC64-DB156B2D802A}"/>
    <cellStyle name="Comma 3 2 12 4" xfId="34795" xr:uid="{FE8777D0-CF2A-4830-803D-9EEFC3927DB8}"/>
    <cellStyle name="Comma 3 2 13" xfId="6067" xr:uid="{F113007D-0E04-43A6-9614-710982DD7697}"/>
    <cellStyle name="Comma 3 2 13 2" xfId="21187" xr:uid="{A9C2DACD-A429-4B5B-BFA2-87D1B352E327}"/>
    <cellStyle name="Comma 3 2 13 2 2" xfId="51427" xr:uid="{AD62A1B8-4610-439E-959F-C963A19053FB}"/>
    <cellStyle name="Comma 3 2 13 3" xfId="36307" xr:uid="{D146E8D0-2A7F-4F51-810D-6F9169274CC5}"/>
    <cellStyle name="Comma 3 2 14" xfId="7579" xr:uid="{1803C737-4ADA-4FB5-8BB1-C849CC72680A}"/>
    <cellStyle name="Comma 3 2 14 2" xfId="22699" xr:uid="{45970DBA-9EF2-4C48-8AC3-5E9C8468FEBD}"/>
    <cellStyle name="Comma 3 2 14 2 2" xfId="52939" xr:uid="{9D5980FE-E2BA-4EA6-8561-89F5D7F2967C}"/>
    <cellStyle name="Comma 3 2 14 3" xfId="37819" xr:uid="{A96E4CB2-E9F8-4EEF-A157-30E7D3B16443}"/>
    <cellStyle name="Comma 3 2 15" xfId="9091" xr:uid="{6EB02EE2-642B-44FC-8E71-6E334D670907}"/>
    <cellStyle name="Comma 3 2 15 2" xfId="24211" xr:uid="{B4F2DD59-46C9-41DB-9552-F850EE10E0E1}"/>
    <cellStyle name="Comma 3 2 15 2 2" xfId="54451" xr:uid="{C2C2333C-0227-4D76-AF89-F62A6F5CC85E}"/>
    <cellStyle name="Comma 3 2 15 3" xfId="39331" xr:uid="{5E12A7C5-AFED-41AA-85EE-2A08ACF91FE4}"/>
    <cellStyle name="Comma 3 2 16" xfId="15139" xr:uid="{A5F02C2C-B724-473D-BB03-8B006BE4C147}"/>
    <cellStyle name="Comma 3 2 16 2" xfId="45379" xr:uid="{A8A1ADBC-2FFB-4538-9D8E-BFBF7501F71B}"/>
    <cellStyle name="Comma 3 2 17" xfId="30259" xr:uid="{2B633D6A-647D-4B63-A637-FCE9CB914DC8}"/>
    <cellStyle name="Comma 3 2 18" xfId="17" xr:uid="{456A8620-4580-40C7-AB06-9F8F70FC40EA}"/>
    <cellStyle name="Comma 3 2 2" xfId="33" xr:uid="{78943497-053B-4D86-BB21-935458C62656}"/>
    <cellStyle name="Comma 3 2 2 10" xfId="4569" xr:uid="{B4EAA484-A253-4143-A2AF-21C5A8591E6E}"/>
    <cellStyle name="Comma 3 2 2 10 2" xfId="13641" xr:uid="{4E221EC6-DD93-4020-9526-C90B48EE015E}"/>
    <cellStyle name="Comma 3 2 2 10 2 2" xfId="28761" xr:uid="{80BB123B-AEE9-4BCC-BA5D-D1EDE8F20DCB}"/>
    <cellStyle name="Comma 3 2 2 10 2 2 2" xfId="59001" xr:uid="{29C6D2BA-5C8A-46E9-B506-F0B58F17F20A}"/>
    <cellStyle name="Comma 3 2 2 10 2 3" xfId="43881" xr:uid="{81925CA5-CA51-47DE-9E3D-CDA0B819C422}"/>
    <cellStyle name="Comma 3 2 2 10 3" xfId="19689" xr:uid="{CBAF0E2B-B164-4925-B9DC-BD50671FEC36}"/>
    <cellStyle name="Comma 3 2 2 10 3 2" xfId="49929" xr:uid="{9EFD01FE-6FC6-4E7D-BCBA-516DE0190B54}"/>
    <cellStyle name="Comma 3 2 2 10 4" xfId="34809" xr:uid="{D293CAB8-C92B-437E-AB9E-E5FE4A85CB14}"/>
    <cellStyle name="Comma 3 2 2 11" xfId="6081" xr:uid="{7A5F2371-3E2B-4830-8418-1F2E903ECE9B}"/>
    <cellStyle name="Comma 3 2 2 11 2" xfId="21201" xr:uid="{C39CA77B-7D07-4E5A-B4AC-89C9EFF68F73}"/>
    <cellStyle name="Comma 3 2 2 11 2 2" xfId="51441" xr:uid="{AAEBD59D-8440-4FF9-8536-0E54197F9ADC}"/>
    <cellStyle name="Comma 3 2 2 11 3" xfId="36321" xr:uid="{3183419F-597C-4AC6-9796-429422CB20A4}"/>
    <cellStyle name="Comma 3 2 2 12" xfId="7593" xr:uid="{09C5140F-B0C3-440D-987D-E35EE1CA3DEF}"/>
    <cellStyle name="Comma 3 2 2 12 2" xfId="22713" xr:uid="{C30B2E97-34B0-4691-B553-347B85C8CD91}"/>
    <cellStyle name="Comma 3 2 2 12 2 2" xfId="52953" xr:uid="{AD4E44BA-9D99-44DA-BBBB-B0928E450F28}"/>
    <cellStyle name="Comma 3 2 2 12 3" xfId="37833" xr:uid="{9F380EE9-6DEE-42D2-AAAE-34294B54AF1B}"/>
    <cellStyle name="Comma 3 2 2 13" xfId="9105" xr:uid="{1EA03958-8A23-44ED-BFF6-5BC21CA26D97}"/>
    <cellStyle name="Comma 3 2 2 13 2" xfId="24225" xr:uid="{B9D3343A-90DD-4FDF-A3EA-1CE2056E4D82}"/>
    <cellStyle name="Comma 3 2 2 13 2 2" xfId="54465" xr:uid="{DF642F77-F880-4FCF-8187-D019F2A1204C}"/>
    <cellStyle name="Comma 3 2 2 13 3" xfId="39345" xr:uid="{DD709593-B680-4820-B60D-57FECEE7D12B}"/>
    <cellStyle name="Comma 3 2 2 14" xfId="15153" xr:uid="{1DAF7778-F76E-4C25-869A-DF6F72776796}"/>
    <cellStyle name="Comma 3 2 2 14 2" xfId="45393" xr:uid="{32A17217-D20C-44E8-8405-25B3A74D41A9}"/>
    <cellStyle name="Comma 3 2 2 15" xfId="30273" xr:uid="{25A64DCE-EB34-4BA4-B8FA-E131A3564834}"/>
    <cellStyle name="Comma 3 2 2 2" xfId="75" xr:uid="{33881F75-D26C-45F8-8383-05F9684BD96D}"/>
    <cellStyle name="Comma 3 2 2 2 10" xfId="6123" xr:uid="{D46DD230-E710-483C-954B-FFC42478B3E8}"/>
    <cellStyle name="Comma 3 2 2 2 10 2" xfId="21243" xr:uid="{8737227C-86C0-482D-8CFB-2C3D6C48C8EA}"/>
    <cellStyle name="Comma 3 2 2 2 10 2 2" xfId="51483" xr:uid="{0252A9D2-FA21-4719-8D32-9AE3EB6D3C57}"/>
    <cellStyle name="Comma 3 2 2 2 10 3" xfId="36363" xr:uid="{F7D5F5F2-885C-4518-AA55-A11CD7A7CAED}"/>
    <cellStyle name="Comma 3 2 2 2 11" xfId="7635" xr:uid="{BF7A6BC4-57A5-4530-AB39-38D6C3EA12FC}"/>
    <cellStyle name="Comma 3 2 2 2 11 2" xfId="22755" xr:uid="{8EA6735A-3EDB-40CF-9533-37792FB02C85}"/>
    <cellStyle name="Comma 3 2 2 2 11 2 2" xfId="52995" xr:uid="{ED3242FF-31F1-4A7F-8B6A-FD7D041CC311}"/>
    <cellStyle name="Comma 3 2 2 2 11 3" xfId="37875" xr:uid="{80B16358-14AA-4D06-B744-F36399B2EAD7}"/>
    <cellStyle name="Comma 3 2 2 2 12" xfId="9147" xr:uid="{AABB9856-9C1C-44A6-AF2F-5D09CA2763DF}"/>
    <cellStyle name="Comma 3 2 2 2 12 2" xfId="24267" xr:uid="{6DCEB61D-B5A1-4FD0-A408-F2C8527A78F2}"/>
    <cellStyle name="Comma 3 2 2 2 12 2 2" xfId="54507" xr:uid="{9ECBFA00-5AF4-41AB-9345-A2C1AD21BBE7}"/>
    <cellStyle name="Comma 3 2 2 2 12 3" xfId="39387" xr:uid="{81560764-0E87-4B16-BF1B-4417CE51FD51}"/>
    <cellStyle name="Comma 3 2 2 2 13" xfId="15195" xr:uid="{ACB8DCB9-D8A9-4646-9A79-0CE0F1CE501B}"/>
    <cellStyle name="Comma 3 2 2 2 13 2" xfId="45435" xr:uid="{1076D9C9-FCF5-431F-9845-F9C3D05E79EC}"/>
    <cellStyle name="Comma 3 2 2 2 14" xfId="30315" xr:uid="{EF057C7B-05B5-42AB-9E9D-F69966D46474}"/>
    <cellStyle name="Comma 3 2 2 2 2" xfId="159" xr:uid="{5157D2C3-E703-467A-8B48-A85650ECC6E6}"/>
    <cellStyle name="Comma 3 2 2 2 2 10" xfId="9231" xr:uid="{CE99B561-C0A5-4250-B7B1-6C4E5ACA59C3}"/>
    <cellStyle name="Comma 3 2 2 2 2 10 2" xfId="24351" xr:uid="{68FE815D-E59A-4BCA-8460-FB7E06C9B38D}"/>
    <cellStyle name="Comma 3 2 2 2 2 10 2 2" xfId="54591" xr:uid="{C84EE45F-8CBB-405A-8B79-D4FB5E19852C}"/>
    <cellStyle name="Comma 3 2 2 2 2 10 3" xfId="39471" xr:uid="{1A7451CB-42BA-4267-A0DA-309DF2CDFB30}"/>
    <cellStyle name="Comma 3 2 2 2 2 11" xfId="15279" xr:uid="{85882CA0-7C5D-4C2C-AAFB-A22C4EE3171C}"/>
    <cellStyle name="Comma 3 2 2 2 2 11 2" xfId="45519" xr:uid="{F294AA0F-476B-4210-A2B1-A63776402292}"/>
    <cellStyle name="Comma 3 2 2 2 2 12" xfId="30399" xr:uid="{B222DDB9-7757-48D6-A04B-58AE2DEAAE40}"/>
    <cellStyle name="Comma 3 2 2 2 2 2" xfId="411" xr:uid="{CA41A9D3-56F8-40B9-9E42-D784542F5B98}"/>
    <cellStyle name="Comma 3 2 2 2 2 2 10" xfId="30651" xr:uid="{8A01C6A0-1E78-4230-8EC8-8D014E68FA0E}"/>
    <cellStyle name="Comma 3 2 2 2 2 2 2" xfId="1167" xr:uid="{47922447-B731-4A5D-A29B-F263C757F6BD}"/>
    <cellStyle name="Comma 3 2 2 2 2 2 2 2" xfId="2679" xr:uid="{B7FDE029-9B08-4308-94CE-4D6E3CD4C9EF}"/>
    <cellStyle name="Comma 3 2 2 2 2 2 2 2 2" xfId="11751" xr:uid="{808760B7-2BFB-4D50-8A00-2B5EEB52F096}"/>
    <cellStyle name="Comma 3 2 2 2 2 2 2 2 2 2" xfId="26871" xr:uid="{612E7B54-520A-4012-86B1-3F04BE6C9EDE}"/>
    <cellStyle name="Comma 3 2 2 2 2 2 2 2 2 2 2" xfId="57111" xr:uid="{2BCB3683-68BF-4212-8C5D-933F002F40A6}"/>
    <cellStyle name="Comma 3 2 2 2 2 2 2 2 2 3" xfId="41991" xr:uid="{155E0708-4EDE-4645-96CC-0A0D28AEA3E0}"/>
    <cellStyle name="Comma 3 2 2 2 2 2 2 2 3" xfId="17799" xr:uid="{7F5338C4-75B4-4BB2-9D4C-230CF554442F}"/>
    <cellStyle name="Comma 3 2 2 2 2 2 2 2 3 2" xfId="48039" xr:uid="{46D2BE84-B959-4657-BE42-9AE4B7063E72}"/>
    <cellStyle name="Comma 3 2 2 2 2 2 2 2 4" xfId="32919" xr:uid="{F5C045B4-5333-41DA-A1F0-10E22A5F7BC6}"/>
    <cellStyle name="Comma 3 2 2 2 2 2 2 3" xfId="4191" xr:uid="{6C6D1BC3-B5C7-4A63-B3F5-BD0455404B1C}"/>
    <cellStyle name="Comma 3 2 2 2 2 2 2 3 2" xfId="13263" xr:uid="{0F21BDC7-3168-4B0A-8D7F-59D774BD053B}"/>
    <cellStyle name="Comma 3 2 2 2 2 2 2 3 2 2" xfId="28383" xr:uid="{ACD1375A-C2DF-4566-97AC-334EA4938B61}"/>
    <cellStyle name="Comma 3 2 2 2 2 2 2 3 2 2 2" xfId="58623" xr:uid="{A461E953-DF73-47AA-833D-4819D4AF7123}"/>
    <cellStyle name="Comma 3 2 2 2 2 2 2 3 2 3" xfId="43503" xr:uid="{2E3B090D-821E-4C4C-8F8E-416F95B07BE9}"/>
    <cellStyle name="Comma 3 2 2 2 2 2 2 3 3" xfId="19311" xr:uid="{63AB1CCD-7171-411D-9669-6AF64260794E}"/>
    <cellStyle name="Comma 3 2 2 2 2 2 2 3 3 2" xfId="49551" xr:uid="{B80BA539-1F86-4F1A-92C4-62B89326D2C0}"/>
    <cellStyle name="Comma 3 2 2 2 2 2 2 3 4" xfId="34431" xr:uid="{162955F6-E5DA-4699-AAEA-0DCCED2F694A}"/>
    <cellStyle name="Comma 3 2 2 2 2 2 2 4" xfId="5703" xr:uid="{389EA7B5-C6B0-4D22-A0C3-D417433770F0}"/>
    <cellStyle name="Comma 3 2 2 2 2 2 2 4 2" xfId="14775" xr:uid="{416DA0AF-1602-4437-BB44-6577B952F122}"/>
    <cellStyle name="Comma 3 2 2 2 2 2 2 4 2 2" xfId="29895" xr:uid="{D8C992CA-9094-41F8-AE3E-63596792467B}"/>
    <cellStyle name="Comma 3 2 2 2 2 2 2 4 2 2 2" xfId="60135" xr:uid="{31EDFACE-76B3-46E9-AC19-62EC8DBA46BE}"/>
    <cellStyle name="Comma 3 2 2 2 2 2 2 4 2 3" xfId="45015" xr:uid="{6122B8B6-85B6-4C9F-9506-75CBAFA12F77}"/>
    <cellStyle name="Comma 3 2 2 2 2 2 2 4 3" xfId="20823" xr:uid="{EE81FD01-11AB-438D-8554-5C73A915648C}"/>
    <cellStyle name="Comma 3 2 2 2 2 2 2 4 3 2" xfId="51063" xr:uid="{20E1A175-7905-4133-B508-BF104E9AF4B1}"/>
    <cellStyle name="Comma 3 2 2 2 2 2 2 4 4" xfId="35943" xr:uid="{CBFAFE37-E746-4367-970A-ADAEC61FDEFF}"/>
    <cellStyle name="Comma 3 2 2 2 2 2 2 5" xfId="7215" xr:uid="{8EF9FA3C-8EC2-4F37-A01E-E1508DBC855B}"/>
    <cellStyle name="Comma 3 2 2 2 2 2 2 5 2" xfId="22335" xr:uid="{921F5E1E-3D11-49FB-AA61-E2DEB5D95F14}"/>
    <cellStyle name="Comma 3 2 2 2 2 2 2 5 2 2" xfId="52575" xr:uid="{B73D6188-9C0B-4E1A-9B19-D023227FFEAE}"/>
    <cellStyle name="Comma 3 2 2 2 2 2 2 5 3" xfId="37455" xr:uid="{0956E355-4EC9-4D1D-BA3C-97549988B4A7}"/>
    <cellStyle name="Comma 3 2 2 2 2 2 2 6" xfId="8727" xr:uid="{D14F7784-7715-4BD6-9267-F06274D41553}"/>
    <cellStyle name="Comma 3 2 2 2 2 2 2 6 2" xfId="23847" xr:uid="{B45B4D96-7846-456F-B9FD-1B447F17CDAA}"/>
    <cellStyle name="Comma 3 2 2 2 2 2 2 6 2 2" xfId="54087" xr:uid="{417E3F8E-E915-4A95-A456-36F6FC32C52A}"/>
    <cellStyle name="Comma 3 2 2 2 2 2 2 6 3" xfId="38967" xr:uid="{AFE3A7E8-F03A-4539-A51E-ADB3C164569D}"/>
    <cellStyle name="Comma 3 2 2 2 2 2 2 7" xfId="10239" xr:uid="{EB871A50-8DB8-4A96-8673-22ABB6072BB7}"/>
    <cellStyle name="Comma 3 2 2 2 2 2 2 7 2" xfId="25359" xr:uid="{CE5C0ACD-4F5A-4A63-BE17-EA50F25C6B3F}"/>
    <cellStyle name="Comma 3 2 2 2 2 2 2 7 2 2" xfId="55599" xr:uid="{D2A3BE1E-8A73-4278-A933-84F12BD85FF2}"/>
    <cellStyle name="Comma 3 2 2 2 2 2 2 7 3" xfId="40479" xr:uid="{B4761FF7-FC6B-4F5B-9F11-8F9A7E6516A2}"/>
    <cellStyle name="Comma 3 2 2 2 2 2 2 8" xfId="16287" xr:uid="{9587897F-2D96-4C2D-A08B-21A8188F84BE}"/>
    <cellStyle name="Comma 3 2 2 2 2 2 2 8 2" xfId="46527" xr:uid="{4815A1C2-BA60-4C22-BF52-15783B4D2517}"/>
    <cellStyle name="Comma 3 2 2 2 2 2 2 9" xfId="31407" xr:uid="{09287160-4458-4848-950A-B67FA2ACADED}"/>
    <cellStyle name="Comma 3 2 2 2 2 2 3" xfId="1923" xr:uid="{29A2285B-635D-4FF5-994E-433C47D18785}"/>
    <cellStyle name="Comma 3 2 2 2 2 2 3 2" xfId="10995" xr:uid="{CA5EA7BF-CB5E-4C67-8992-DF27E315447E}"/>
    <cellStyle name="Comma 3 2 2 2 2 2 3 2 2" xfId="26115" xr:uid="{6153F422-F189-4A30-9333-886B67B8CE1B}"/>
    <cellStyle name="Comma 3 2 2 2 2 2 3 2 2 2" xfId="56355" xr:uid="{10CD0051-B592-40C6-AA7D-B7259BC8367A}"/>
    <cellStyle name="Comma 3 2 2 2 2 2 3 2 3" xfId="41235" xr:uid="{FC10F959-615C-4677-A3E7-2578BFF3632B}"/>
    <cellStyle name="Comma 3 2 2 2 2 2 3 3" xfId="17043" xr:uid="{EE622EA3-A5EC-4CAB-94F6-8002E909C9A4}"/>
    <cellStyle name="Comma 3 2 2 2 2 2 3 3 2" xfId="47283" xr:uid="{71C47092-0EBE-4143-B170-5B077CCE6012}"/>
    <cellStyle name="Comma 3 2 2 2 2 2 3 4" xfId="32163" xr:uid="{4BD45B5B-FDF0-457A-AF58-36F148AFCDC0}"/>
    <cellStyle name="Comma 3 2 2 2 2 2 4" xfId="3435" xr:uid="{6D7EF4DD-7CF6-43DD-A500-E46C9103BF50}"/>
    <cellStyle name="Comma 3 2 2 2 2 2 4 2" xfId="12507" xr:uid="{AAB2E81A-37B3-4DEE-8098-EBBFFFDBE517}"/>
    <cellStyle name="Comma 3 2 2 2 2 2 4 2 2" xfId="27627" xr:uid="{5B961F07-DB22-46FC-957C-A473D6FD4F28}"/>
    <cellStyle name="Comma 3 2 2 2 2 2 4 2 2 2" xfId="57867" xr:uid="{B701B8FE-690B-45C9-896E-5A97FB170D75}"/>
    <cellStyle name="Comma 3 2 2 2 2 2 4 2 3" xfId="42747" xr:uid="{C091FCC8-8707-462E-A169-5EFB0C2CE6E2}"/>
    <cellStyle name="Comma 3 2 2 2 2 2 4 3" xfId="18555" xr:uid="{8C8AF438-3358-4B2C-BAE7-DFDF4C2EFE07}"/>
    <cellStyle name="Comma 3 2 2 2 2 2 4 3 2" xfId="48795" xr:uid="{FB891A21-BBAB-4128-958B-25A13772BA0A}"/>
    <cellStyle name="Comma 3 2 2 2 2 2 4 4" xfId="33675" xr:uid="{EA222388-5D0C-4633-A8D4-F32DEF0D8AC3}"/>
    <cellStyle name="Comma 3 2 2 2 2 2 5" xfId="4947" xr:uid="{EC5DF56F-91E8-44D4-A144-2C7D48E6CBA0}"/>
    <cellStyle name="Comma 3 2 2 2 2 2 5 2" xfId="14019" xr:uid="{34B9A7CF-DAAF-4589-B0BE-D878D5A2AD5A}"/>
    <cellStyle name="Comma 3 2 2 2 2 2 5 2 2" xfId="29139" xr:uid="{188572D4-B856-479C-84CA-2C4D9CB3716E}"/>
    <cellStyle name="Comma 3 2 2 2 2 2 5 2 2 2" xfId="59379" xr:uid="{42765DD9-7ED9-4DD4-A2EC-E0AB88221E3E}"/>
    <cellStyle name="Comma 3 2 2 2 2 2 5 2 3" xfId="44259" xr:uid="{14708A2A-C443-4DAF-A6E2-CBA214398AF1}"/>
    <cellStyle name="Comma 3 2 2 2 2 2 5 3" xfId="20067" xr:uid="{5064231D-0986-424F-B2DD-04722ED57903}"/>
    <cellStyle name="Comma 3 2 2 2 2 2 5 3 2" xfId="50307" xr:uid="{903F80A1-E7EB-4700-A51D-512E23CBC2B6}"/>
    <cellStyle name="Comma 3 2 2 2 2 2 5 4" xfId="35187" xr:uid="{942F3ED6-A382-4768-A5C6-F6F448596417}"/>
    <cellStyle name="Comma 3 2 2 2 2 2 6" xfId="6459" xr:uid="{C0163E76-B629-4D3E-942F-AD9F8181206C}"/>
    <cellStyle name="Comma 3 2 2 2 2 2 6 2" xfId="21579" xr:uid="{31807376-56B8-4B78-B0C6-7DF78E230A5F}"/>
    <cellStyle name="Comma 3 2 2 2 2 2 6 2 2" xfId="51819" xr:uid="{F70F7A15-0F55-4651-A01D-49E2E02F71DD}"/>
    <cellStyle name="Comma 3 2 2 2 2 2 6 3" xfId="36699" xr:uid="{4AAE652F-26A4-4A96-9CF2-C42B01851A3C}"/>
    <cellStyle name="Comma 3 2 2 2 2 2 7" xfId="7971" xr:uid="{FA1C90CF-A485-4FCC-A400-880039BD2A1D}"/>
    <cellStyle name="Comma 3 2 2 2 2 2 7 2" xfId="23091" xr:uid="{DC874602-B95B-4902-830E-5AE2DA997015}"/>
    <cellStyle name="Comma 3 2 2 2 2 2 7 2 2" xfId="53331" xr:uid="{CD683231-E825-48BF-8B00-ADD3383FA7C4}"/>
    <cellStyle name="Comma 3 2 2 2 2 2 7 3" xfId="38211" xr:uid="{DA9904EB-405F-49B1-A8FD-C594E3A02D0A}"/>
    <cellStyle name="Comma 3 2 2 2 2 2 8" xfId="9483" xr:uid="{CC3CB61B-0695-4A48-B598-4791CBC43FBB}"/>
    <cellStyle name="Comma 3 2 2 2 2 2 8 2" xfId="24603" xr:uid="{586A88A4-67D8-4648-B545-5A4E1CB84A38}"/>
    <cellStyle name="Comma 3 2 2 2 2 2 8 2 2" xfId="54843" xr:uid="{505F27B2-21A4-4F2C-A863-641721C33486}"/>
    <cellStyle name="Comma 3 2 2 2 2 2 8 3" xfId="39723" xr:uid="{822DE082-E25B-4027-BF10-DD0CDAC0771F}"/>
    <cellStyle name="Comma 3 2 2 2 2 2 9" xfId="15531" xr:uid="{893F5E08-047B-44A5-ABA0-8F5569ADC617}"/>
    <cellStyle name="Comma 3 2 2 2 2 2 9 2" xfId="45771" xr:uid="{E42D960C-892D-4522-91C2-36029BABC6F5}"/>
    <cellStyle name="Comma 3 2 2 2 2 3" xfId="663" xr:uid="{7AFD0DFA-FC91-4AC2-A8FA-2F70BA5D9B47}"/>
    <cellStyle name="Comma 3 2 2 2 2 3 10" xfId="30903" xr:uid="{EABDC3AA-1202-4074-8F66-F1F9A949E15E}"/>
    <cellStyle name="Comma 3 2 2 2 2 3 2" xfId="1419" xr:uid="{BA549EB4-F33C-4242-AC99-293BD9BF0271}"/>
    <cellStyle name="Comma 3 2 2 2 2 3 2 2" xfId="2931" xr:uid="{A1E26E51-74B9-4097-95A9-E888FEB30EBF}"/>
    <cellStyle name="Comma 3 2 2 2 2 3 2 2 2" xfId="12003" xr:uid="{4A494713-028F-4CC3-8EAB-6E08734FCA86}"/>
    <cellStyle name="Comma 3 2 2 2 2 3 2 2 2 2" xfId="27123" xr:uid="{851DBAFE-830F-439C-B277-199BCF645CFD}"/>
    <cellStyle name="Comma 3 2 2 2 2 3 2 2 2 2 2" xfId="57363" xr:uid="{D4F5E732-4F8C-4098-A11E-945D97136797}"/>
    <cellStyle name="Comma 3 2 2 2 2 3 2 2 2 3" xfId="42243" xr:uid="{F50DEC07-3A6B-40B5-8B3B-005A476AC789}"/>
    <cellStyle name="Comma 3 2 2 2 2 3 2 2 3" xfId="18051" xr:uid="{E674D1D2-C01F-462E-B663-68DBF79BBC84}"/>
    <cellStyle name="Comma 3 2 2 2 2 3 2 2 3 2" xfId="48291" xr:uid="{60F56BA2-1530-4C05-B841-96FCDB4A74F9}"/>
    <cellStyle name="Comma 3 2 2 2 2 3 2 2 4" xfId="33171" xr:uid="{58644EB0-3F68-4FD6-B61A-025289AC41DA}"/>
    <cellStyle name="Comma 3 2 2 2 2 3 2 3" xfId="4443" xr:uid="{9ED130D5-74A0-448C-9C64-7B2459ABC700}"/>
    <cellStyle name="Comma 3 2 2 2 2 3 2 3 2" xfId="13515" xr:uid="{D884DAC3-5824-49E3-9997-AE512F53D41E}"/>
    <cellStyle name="Comma 3 2 2 2 2 3 2 3 2 2" xfId="28635" xr:uid="{07DE1ED9-D5DD-4014-BF7D-CCAEB3D8B734}"/>
    <cellStyle name="Comma 3 2 2 2 2 3 2 3 2 2 2" xfId="58875" xr:uid="{05BE7041-5F73-46B6-A2A0-E30AD60B38DE}"/>
    <cellStyle name="Comma 3 2 2 2 2 3 2 3 2 3" xfId="43755" xr:uid="{5E7D3387-23C9-43C6-85A8-47F0BA3B275C}"/>
    <cellStyle name="Comma 3 2 2 2 2 3 2 3 3" xfId="19563" xr:uid="{4719BA44-3821-4A2E-97E2-EAE39C32DFA4}"/>
    <cellStyle name="Comma 3 2 2 2 2 3 2 3 3 2" xfId="49803" xr:uid="{4B36F173-069D-42D7-9671-466954782197}"/>
    <cellStyle name="Comma 3 2 2 2 2 3 2 3 4" xfId="34683" xr:uid="{D5DD5406-D786-444C-93EF-EF6AFCE4059F}"/>
    <cellStyle name="Comma 3 2 2 2 2 3 2 4" xfId="5955" xr:uid="{D63EEA17-494A-4305-AADF-CC96D6C054A3}"/>
    <cellStyle name="Comma 3 2 2 2 2 3 2 4 2" xfId="15027" xr:uid="{94ECAB56-D55B-430C-B5E6-BFE70337677F}"/>
    <cellStyle name="Comma 3 2 2 2 2 3 2 4 2 2" xfId="30147" xr:uid="{36974853-7ACB-49CA-A649-07945BF9AE0A}"/>
    <cellStyle name="Comma 3 2 2 2 2 3 2 4 2 2 2" xfId="60387" xr:uid="{6953358A-592C-4B0E-AF0A-46F1568F2E22}"/>
    <cellStyle name="Comma 3 2 2 2 2 3 2 4 2 3" xfId="45267" xr:uid="{77550018-F58B-4730-B74C-52EF96E1D110}"/>
    <cellStyle name="Comma 3 2 2 2 2 3 2 4 3" xfId="21075" xr:uid="{2DF10A0F-9D7E-444F-B949-5712E87987AD}"/>
    <cellStyle name="Comma 3 2 2 2 2 3 2 4 3 2" xfId="51315" xr:uid="{CF833587-A819-4197-A22B-C47335B05CDE}"/>
    <cellStyle name="Comma 3 2 2 2 2 3 2 4 4" xfId="36195" xr:uid="{CE3681D3-675A-4DCB-A293-4ED51A08506B}"/>
    <cellStyle name="Comma 3 2 2 2 2 3 2 5" xfId="7467" xr:uid="{0C0F3D18-5BA3-46B4-9676-84083EBFF896}"/>
    <cellStyle name="Comma 3 2 2 2 2 3 2 5 2" xfId="22587" xr:uid="{258E7C9D-D5B9-4337-B4CB-BA001E1FD852}"/>
    <cellStyle name="Comma 3 2 2 2 2 3 2 5 2 2" xfId="52827" xr:uid="{550461E9-50EF-481E-8463-5094B3C917AC}"/>
    <cellStyle name="Comma 3 2 2 2 2 3 2 5 3" xfId="37707" xr:uid="{6A269AFB-4D46-4E31-8281-06EE28644715}"/>
    <cellStyle name="Comma 3 2 2 2 2 3 2 6" xfId="8979" xr:uid="{CADE3ACF-5A6B-46AF-8D16-73F26F8EBFE6}"/>
    <cellStyle name="Comma 3 2 2 2 2 3 2 6 2" xfId="24099" xr:uid="{2BA65132-4E5A-4F2D-9CC5-21C94F406954}"/>
    <cellStyle name="Comma 3 2 2 2 2 3 2 6 2 2" xfId="54339" xr:uid="{9FBEE07D-043B-4548-9E99-733835146B5F}"/>
    <cellStyle name="Comma 3 2 2 2 2 3 2 6 3" xfId="39219" xr:uid="{7E8B5488-C225-472A-97C3-D69E0E8A0D39}"/>
    <cellStyle name="Comma 3 2 2 2 2 3 2 7" xfId="10491" xr:uid="{98BA9F34-24E9-45FF-A709-0E281EF9FFFE}"/>
    <cellStyle name="Comma 3 2 2 2 2 3 2 7 2" xfId="25611" xr:uid="{96003868-33F2-4C58-87A3-5BA16F0C7B03}"/>
    <cellStyle name="Comma 3 2 2 2 2 3 2 7 2 2" xfId="55851" xr:uid="{6581559F-1D42-4C1C-A88E-57ACE5BC45E1}"/>
    <cellStyle name="Comma 3 2 2 2 2 3 2 7 3" xfId="40731" xr:uid="{83A50CF6-E7F6-42DC-88C3-384AD33A2814}"/>
    <cellStyle name="Comma 3 2 2 2 2 3 2 8" xfId="16539" xr:uid="{B1FE7A29-E356-49B6-899C-3E5415BFA422}"/>
    <cellStyle name="Comma 3 2 2 2 2 3 2 8 2" xfId="46779" xr:uid="{A4C1B77B-3DCB-44E9-954E-1C7C3376684D}"/>
    <cellStyle name="Comma 3 2 2 2 2 3 2 9" xfId="31659" xr:uid="{86847401-98DF-4B43-A103-A9D2502C2C77}"/>
    <cellStyle name="Comma 3 2 2 2 2 3 3" xfId="2175" xr:uid="{B99D32D3-3086-4C84-9104-F0D0C4C1532A}"/>
    <cellStyle name="Comma 3 2 2 2 2 3 3 2" xfId="11247" xr:uid="{1BB585D6-7AA6-48A7-96EF-CA92307193AC}"/>
    <cellStyle name="Comma 3 2 2 2 2 3 3 2 2" xfId="26367" xr:uid="{38C2F93A-3375-45FC-81DD-388869D60139}"/>
    <cellStyle name="Comma 3 2 2 2 2 3 3 2 2 2" xfId="56607" xr:uid="{5CA6ED0E-605C-48AD-85FA-0489FFDE3D3A}"/>
    <cellStyle name="Comma 3 2 2 2 2 3 3 2 3" xfId="41487" xr:uid="{FE580DFB-3F16-4DDD-AF92-05B1ED0A63E4}"/>
    <cellStyle name="Comma 3 2 2 2 2 3 3 3" xfId="17295" xr:uid="{0F6D68B6-B574-49BD-986E-449625709702}"/>
    <cellStyle name="Comma 3 2 2 2 2 3 3 3 2" xfId="47535" xr:uid="{78DE4C7F-10BD-4A39-AD21-6AF8191FFF8C}"/>
    <cellStyle name="Comma 3 2 2 2 2 3 3 4" xfId="32415" xr:uid="{06418DFB-0356-4656-897A-8AC4B5E5BE77}"/>
    <cellStyle name="Comma 3 2 2 2 2 3 4" xfId="3687" xr:uid="{2C2CA8BF-A090-4C45-B554-084342CF3D9F}"/>
    <cellStyle name="Comma 3 2 2 2 2 3 4 2" xfId="12759" xr:uid="{84EA5267-059F-43AB-92F8-AA8608E29E4F}"/>
    <cellStyle name="Comma 3 2 2 2 2 3 4 2 2" xfId="27879" xr:uid="{22E848D9-B1C2-459F-B0CA-4733A6DC7178}"/>
    <cellStyle name="Comma 3 2 2 2 2 3 4 2 2 2" xfId="58119" xr:uid="{5A07544F-BB2A-4D39-AF1F-F54A279FF9AF}"/>
    <cellStyle name="Comma 3 2 2 2 2 3 4 2 3" xfId="42999" xr:uid="{20E3F0A2-57C8-40C7-BFE2-5D478B9C0345}"/>
    <cellStyle name="Comma 3 2 2 2 2 3 4 3" xfId="18807" xr:uid="{54AD63B6-B311-415F-A524-C1BDBAF30E49}"/>
    <cellStyle name="Comma 3 2 2 2 2 3 4 3 2" xfId="49047" xr:uid="{5AB28870-57AA-4BE1-B867-F8E4D1FE8A7F}"/>
    <cellStyle name="Comma 3 2 2 2 2 3 4 4" xfId="33927" xr:uid="{72E9560F-B77E-4277-A20B-519CAF6CBAC3}"/>
    <cellStyle name="Comma 3 2 2 2 2 3 5" xfId="5199" xr:uid="{5DF04F98-4850-4CB9-B32D-34D2A64DBB9D}"/>
    <cellStyle name="Comma 3 2 2 2 2 3 5 2" xfId="14271" xr:uid="{D4446409-F613-452B-A08E-4A0C3EAB7B8B}"/>
    <cellStyle name="Comma 3 2 2 2 2 3 5 2 2" xfId="29391" xr:uid="{ECE07523-1853-4C40-B4B0-96E9866CBCD5}"/>
    <cellStyle name="Comma 3 2 2 2 2 3 5 2 2 2" xfId="59631" xr:uid="{F05433FC-FBE3-4E79-8543-A1AB76FF9593}"/>
    <cellStyle name="Comma 3 2 2 2 2 3 5 2 3" xfId="44511" xr:uid="{5226DF6E-B2E7-405B-AD99-421E38F2167C}"/>
    <cellStyle name="Comma 3 2 2 2 2 3 5 3" xfId="20319" xr:uid="{35FF2347-A60A-4BE7-A3EC-D6391539029A}"/>
    <cellStyle name="Comma 3 2 2 2 2 3 5 3 2" xfId="50559" xr:uid="{265E2AEB-3A67-4FF7-BA5A-D45722D490F9}"/>
    <cellStyle name="Comma 3 2 2 2 2 3 5 4" xfId="35439" xr:uid="{37DE6EA4-8C0A-4DE3-9E46-F1BC56A11264}"/>
    <cellStyle name="Comma 3 2 2 2 2 3 6" xfId="6711" xr:uid="{11C3D2B1-55C7-4C98-AE33-5F8AD68149A5}"/>
    <cellStyle name="Comma 3 2 2 2 2 3 6 2" xfId="21831" xr:uid="{E5F0B2EB-4CA7-4043-9CC6-C0676D9E5C96}"/>
    <cellStyle name="Comma 3 2 2 2 2 3 6 2 2" xfId="52071" xr:uid="{E201DCD4-CF61-4CA2-908A-0D3BB1CB4E31}"/>
    <cellStyle name="Comma 3 2 2 2 2 3 6 3" xfId="36951" xr:uid="{4A87295A-FF96-4310-A28D-055078327A0D}"/>
    <cellStyle name="Comma 3 2 2 2 2 3 7" xfId="8223" xr:uid="{584ADB1E-30A1-4F71-85A4-8005EAEB0F37}"/>
    <cellStyle name="Comma 3 2 2 2 2 3 7 2" xfId="23343" xr:uid="{E3CBC157-A9A9-41C2-97C7-05A5B66976A7}"/>
    <cellStyle name="Comma 3 2 2 2 2 3 7 2 2" xfId="53583" xr:uid="{7AF5F1CE-7520-4B6F-BA81-EB30B33BAAF3}"/>
    <cellStyle name="Comma 3 2 2 2 2 3 7 3" xfId="38463" xr:uid="{776C79D6-F93A-4778-9F77-CF7FBA963F95}"/>
    <cellStyle name="Comma 3 2 2 2 2 3 8" xfId="9735" xr:uid="{151CE88E-F84E-4D50-B633-7CE0799DB5DE}"/>
    <cellStyle name="Comma 3 2 2 2 2 3 8 2" xfId="24855" xr:uid="{78078417-9C35-4F5F-A551-89A88B471A98}"/>
    <cellStyle name="Comma 3 2 2 2 2 3 8 2 2" xfId="55095" xr:uid="{D881F87A-F5E1-4DEA-82A9-DBFCC06FDEFF}"/>
    <cellStyle name="Comma 3 2 2 2 2 3 8 3" xfId="39975" xr:uid="{71B8487C-66DA-4550-B261-7EEB9AA7DF04}"/>
    <cellStyle name="Comma 3 2 2 2 2 3 9" xfId="15783" xr:uid="{8F96F49C-96C3-4D05-AD11-CB88062A78D9}"/>
    <cellStyle name="Comma 3 2 2 2 2 3 9 2" xfId="46023" xr:uid="{D67B3FAC-1C2F-45F0-930A-3BE1AD3BF7BD}"/>
    <cellStyle name="Comma 3 2 2 2 2 4" xfId="915" xr:uid="{BF15965A-AE5B-4D54-9824-126473B3EFBA}"/>
    <cellStyle name="Comma 3 2 2 2 2 4 2" xfId="2427" xr:uid="{7E89494A-4A63-479A-928F-093DADAEC409}"/>
    <cellStyle name="Comma 3 2 2 2 2 4 2 2" xfId="11499" xr:uid="{432950D2-790E-49CA-99AA-8F1E9DA916A5}"/>
    <cellStyle name="Comma 3 2 2 2 2 4 2 2 2" xfId="26619" xr:uid="{A8858772-B40A-400E-A1A0-18C424304B7E}"/>
    <cellStyle name="Comma 3 2 2 2 2 4 2 2 2 2" xfId="56859" xr:uid="{B94D0A97-6EAA-4F39-81D9-DE1020E799FB}"/>
    <cellStyle name="Comma 3 2 2 2 2 4 2 2 3" xfId="41739" xr:uid="{1166E410-9C86-454E-9056-B30932AF39F1}"/>
    <cellStyle name="Comma 3 2 2 2 2 4 2 3" xfId="17547" xr:uid="{A84966CF-820F-41C1-8C21-A58F55925111}"/>
    <cellStyle name="Comma 3 2 2 2 2 4 2 3 2" xfId="47787" xr:uid="{69F539D8-401E-4B8E-8CCD-31EF70D5A63C}"/>
    <cellStyle name="Comma 3 2 2 2 2 4 2 4" xfId="32667" xr:uid="{C94EAC94-D45C-474D-A38D-4F1764500E52}"/>
    <cellStyle name="Comma 3 2 2 2 2 4 3" xfId="3939" xr:uid="{DFBF9652-73AC-46B2-BDB2-31121FCA946F}"/>
    <cellStyle name="Comma 3 2 2 2 2 4 3 2" xfId="13011" xr:uid="{F2392EDA-EB73-4151-B0D6-420305A6FECA}"/>
    <cellStyle name="Comma 3 2 2 2 2 4 3 2 2" xfId="28131" xr:uid="{0E80197B-E27E-4BCD-A858-00BC15422ED9}"/>
    <cellStyle name="Comma 3 2 2 2 2 4 3 2 2 2" xfId="58371" xr:uid="{6463BB1A-3C2B-4E73-BBF1-CDD519ADF38C}"/>
    <cellStyle name="Comma 3 2 2 2 2 4 3 2 3" xfId="43251" xr:uid="{7DB11BD0-CF49-4886-AB40-ABCB9ABBF75F}"/>
    <cellStyle name="Comma 3 2 2 2 2 4 3 3" xfId="19059" xr:uid="{5405EFE6-72A1-4537-9FE5-153D8CD57587}"/>
    <cellStyle name="Comma 3 2 2 2 2 4 3 3 2" xfId="49299" xr:uid="{100E3A52-6A83-40BB-8D52-4360B5380426}"/>
    <cellStyle name="Comma 3 2 2 2 2 4 3 4" xfId="34179" xr:uid="{68582186-08AD-4C98-ABE9-8528430BBD5B}"/>
    <cellStyle name="Comma 3 2 2 2 2 4 4" xfId="5451" xr:uid="{CF66A545-3642-4E71-BCBE-C70AEDF1C895}"/>
    <cellStyle name="Comma 3 2 2 2 2 4 4 2" xfId="14523" xr:uid="{52196D9C-997B-4BED-91FD-00AADD836001}"/>
    <cellStyle name="Comma 3 2 2 2 2 4 4 2 2" xfId="29643" xr:uid="{00E302D4-DB79-4570-A908-516ACA0C2DEA}"/>
    <cellStyle name="Comma 3 2 2 2 2 4 4 2 2 2" xfId="59883" xr:uid="{E7770232-E37B-4D9D-BF72-B9624BD29226}"/>
    <cellStyle name="Comma 3 2 2 2 2 4 4 2 3" xfId="44763" xr:uid="{C0EF7386-438F-470A-B0AA-2A1AADE134B9}"/>
    <cellStyle name="Comma 3 2 2 2 2 4 4 3" xfId="20571" xr:uid="{5D56C663-A5A1-4BD1-9886-090AC46BB2C8}"/>
    <cellStyle name="Comma 3 2 2 2 2 4 4 3 2" xfId="50811" xr:uid="{B5ED7E84-4BB9-47FE-95B6-E1797CBE65F9}"/>
    <cellStyle name="Comma 3 2 2 2 2 4 4 4" xfId="35691" xr:uid="{C14D13E9-288D-46D4-AE06-B02EDAF6F018}"/>
    <cellStyle name="Comma 3 2 2 2 2 4 5" xfId="6963" xr:uid="{698C4566-BC6C-43EB-9442-4A9627220A60}"/>
    <cellStyle name="Comma 3 2 2 2 2 4 5 2" xfId="22083" xr:uid="{5B01B4B7-C889-42AD-9AF4-1BB1515A7E58}"/>
    <cellStyle name="Comma 3 2 2 2 2 4 5 2 2" xfId="52323" xr:uid="{526EF7C0-F1D3-43F6-BE7F-22C1FB33BB3B}"/>
    <cellStyle name="Comma 3 2 2 2 2 4 5 3" xfId="37203" xr:uid="{8B40CC20-8120-42E6-B019-91C4FEA26A0D}"/>
    <cellStyle name="Comma 3 2 2 2 2 4 6" xfId="8475" xr:uid="{9D7091E4-4FC7-4868-9179-8EE7A5BF540E}"/>
    <cellStyle name="Comma 3 2 2 2 2 4 6 2" xfId="23595" xr:uid="{3BB45E7A-5CBB-4006-A74F-86331980AEA2}"/>
    <cellStyle name="Comma 3 2 2 2 2 4 6 2 2" xfId="53835" xr:uid="{58296BE4-5708-47C4-83C9-2744BEF87812}"/>
    <cellStyle name="Comma 3 2 2 2 2 4 6 3" xfId="38715" xr:uid="{6A7CC2DF-427E-4320-89C2-284C4074D422}"/>
    <cellStyle name="Comma 3 2 2 2 2 4 7" xfId="9987" xr:uid="{38A6499C-861E-4F6D-A891-A17208D0AA2F}"/>
    <cellStyle name="Comma 3 2 2 2 2 4 7 2" xfId="25107" xr:uid="{D781C8A3-6461-4445-9BDC-0CDA8630974B}"/>
    <cellStyle name="Comma 3 2 2 2 2 4 7 2 2" xfId="55347" xr:uid="{FA35D876-8FAC-4EC5-8B0A-A4DFB6DDF276}"/>
    <cellStyle name="Comma 3 2 2 2 2 4 7 3" xfId="40227" xr:uid="{2D09087D-AFBE-46C7-A949-EC86A3D93349}"/>
    <cellStyle name="Comma 3 2 2 2 2 4 8" xfId="16035" xr:uid="{70F144BB-6E38-4307-ACDD-5E2961801D65}"/>
    <cellStyle name="Comma 3 2 2 2 2 4 8 2" xfId="46275" xr:uid="{9569AA51-E725-48BD-BC06-33C6841BC1BC}"/>
    <cellStyle name="Comma 3 2 2 2 2 4 9" xfId="31155" xr:uid="{3A8D3D7D-69D0-4715-B8E7-A1B95126D811}"/>
    <cellStyle name="Comma 3 2 2 2 2 5" xfId="1671" xr:uid="{79EE8625-6EF2-4D08-8C67-033AE9A43C91}"/>
    <cellStyle name="Comma 3 2 2 2 2 5 2" xfId="10743" xr:uid="{83E5ACFC-521E-4512-8ECD-0197AC29FFC7}"/>
    <cellStyle name="Comma 3 2 2 2 2 5 2 2" xfId="25863" xr:uid="{70C755A0-2369-4869-9B5E-E3B2BEE11A0D}"/>
    <cellStyle name="Comma 3 2 2 2 2 5 2 2 2" xfId="56103" xr:uid="{94332FD4-5840-41BF-B6A7-48D76E2504DA}"/>
    <cellStyle name="Comma 3 2 2 2 2 5 2 3" xfId="40983" xr:uid="{11EEB39F-969B-406C-9F63-2E15D7496142}"/>
    <cellStyle name="Comma 3 2 2 2 2 5 3" xfId="16791" xr:uid="{9EE343F6-A3DF-4852-B834-825A71A98B21}"/>
    <cellStyle name="Comma 3 2 2 2 2 5 3 2" xfId="47031" xr:uid="{5D3C0E04-88A4-43AF-8FA3-BECF2B1911E3}"/>
    <cellStyle name="Comma 3 2 2 2 2 5 4" xfId="31911" xr:uid="{391F42B0-73A9-40AA-992C-D62DE21AF350}"/>
    <cellStyle name="Comma 3 2 2 2 2 6" xfId="3183" xr:uid="{F9C96487-D71F-4922-8F17-DC719AEB9918}"/>
    <cellStyle name="Comma 3 2 2 2 2 6 2" xfId="12255" xr:uid="{534468A9-8078-4C11-AA7F-A7371C01F2E0}"/>
    <cellStyle name="Comma 3 2 2 2 2 6 2 2" xfId="27375" xr:uid="{C7521DF0-A6ED-4FBC-AB9F-FF859884975E}"/>
    <cellStyle name="Comma 3 2 2 2 2 6 2 2 2" xfId="57615" xr:uid="{D2C41401-A519-412F-A083-34A0991AAE3F}"/>
    <cellStyle name="Comma 3 2 2 2 2 6 2 3" xfId="42495" xr:uid="{64F1A7AB-FD5E-4761-BC0B-5E54CF974887}"/>
    <cellStyle name="Comma 3 2 2 2 2 6 3" xfId="18303" xr:uid="{DCD9BB79-3EC0-4963-8125-8F3BE0B2DBDE}"/>
    <cellStyle name="Comma 3 2 2 2 2 6 3 2" xfId="48543" xr:uid="{A69C33F6-E132-4FCA-94AF-94AFECC357BF}"/>
    <cellStyle name="Comma 3 2 2 2 2 6 4" xfId="33423" xr:uid="{8F29FCFC-17C2-46AE-AE88-2F2D3597FD40}"/>
    <cellStyle name="Comma 3 2 2 2 2 7" xfId="4695" xr:uid="{D2E5158F-CCA7-43A1-9FB1-C33496D19597}"/>
    <cellStyle name="Comma 3 2 2 2 2 7 2" xfId="13767" xr:uid="{AC8D4F62-0B68-47DF-820A-B880DB82ACC8}"/>
    <cellStyle name="Comma 3 2 2 2 2 7 2 2" xfId="28887" xr:uid="{5E0134F3-8960-48A5-AE51-3BF49F1B6D7E}"/>
    <cellStyle name="Comma 3 2 2 2 2 7 2 2 2" xfId="59127" xr:uid="{9A718FE4-E9F6-49B2-8078-8D042388B6B0}"/>
    <cellStyle name="Comma 3 2 2 2 2 7 2 3" xfId="44007" xr:uid="{2EE7FC16-A8F3-4873-AA36-881510515FD3}"/>
    <cellStyle name="Comma 3 2 2 2 2 7 3" xfId="19815" xr:uid="{D713F616-4D46-46BE-9F61-6BF82A9D1263}"/>
    <cellStyle name="Comma 3 2 2 2 2 7 3 2" xfId="50055" xr:uid="{BCDD6858-B39A-45E9-B6EC-A3B48A9666BB}"/>
    <cellStyle name="Comma 3 2 2 2 2 7 4" xfId="34935" xr:uid="{EB4E3291-D09D-4B27-9C57-0E5993434BEC}"/>
    <cellStyle name="Comma 3 2 2 2 2 8" xfId="6207" xr:uid="{6D46F7B9-C35E-41ED-8EB6-C3A9B589E0FC}"/>
    <cellStyle name="Comma 3 2 2 2 2 8 2" xfId="21327" xr:uid="{AEAD5026-B75C-43A0-8C82-4B9E6A05952E}"/>
    <cellStyle name="Comma 3 2 2 2 2 8 2 2" xfId="51567" xr:uid="{5B9D1298-E559-46D7-9872-F0CCA98D2A91}"/>
    <cellStyle name="Comma 3 2 2 2 2 8 3" xfId="36447" xr:uid="{1C0CFC6E-45E0-48E5-BE28-3EBCE16864D6}"/>
    <cellStyle name="Comma 3 2 2 2 2 9" xfId="7719" xr:uid="{A9E0F7E1-E58E-48C9-9DE4-8EF81DAAF136}"/>
    <cellStyle name="Comma 3 2 2 2 2 9 2" xfId="22839" xr:uid="{3D4D75C3-52AD-461B-A487-17428EC84D75}"/>
    <cellStyle name="Comma 3 2 2 2 2 9 2 2" xfId="53079" xr:uid="{C2BB5051-1F29-46FC-B9E6-A7C334857A18}"/>
    <cellStyle name="Comma 3 2 2 2 2 9 3" xfId="37959" xr:uid="{DA244A91-1DFB-47C0-A33C-B74A39345F4F}"/>
    <cellStyle name="Comma 3 2 2 2 3" xfId="243" xr:uid="{2FCCC7C3-85F4-4D2A-BA9A-76E6AE9C2466}"/>
    <cellStyle name="Comma 3 2 2 2 3 10" xfId="9315" xr:uid="{22C2FE48-9781-4CB4-96CE-EB6385D3D7DA}"/>
    <cellStyle name="Comma 3 2 2 2 3 10 2" xfId="24435" xr:uid="{91B71CB3-6A19-4663-BA8E-C95B565A8AD6}"/>
    <cellStyle name="Comma 3 2 2 2 3 10 2 2" xfId="54675" xr:uid="{78A56C81-F239-4CF7-9822-FA41D2D68C31}"/>
    <cellStyle name="Comma 3 2 2 2 3 10 3" xfId="39555" xr:uid="{351E9EDB-89AC-4609-9365-60E4BB8659D8}"/>
    <cellStyle name="Comma 3 2 2 2 3 11" xfId="15363" xr:uid="{6218423D-2FAF-4B5B-A18B-AB0F43377C9B}"/>
    <cellStyle name="Comma 3 2 2 2 3 11 2" xfId="45603" xr:uid="{767C1831-8407-4B13-B283-4B8930A6EE73}"/>
    <cellStyle name="Comma 3 2 2 2 3 12" xfId="30483" xr:uid="{34CDA610-9584-4DC7-BA22-49C3E0E5EB9D}"/>
    <cellStyle name="Comma 3 2 2 2 3 2" xfId="495" xr:uid="{4E9DD02C-0CD4-4175-8677-AEF8444614C7}"/>
    <cellStyle name="Comma 3 2 2 2 3 2 10" xfId="30735" xr:uid="{C44DBB9C-A8BB-4806-A65B-E7AC25FD4134}"/>
    <cellStyle name="Comma 3 2 2 2 3 2 2" xfId="1251" xr:uid="{6DD57608-322C-4481-BC53-5603B6AE7FB7}"/>
    <cellStyle name="Comma 3 2 2 2 3 2 2 2" xfId="2763" xr:uid="{F99C2257-FEF0-4F23-94B9-2D6CED0CE2A2}"/>
    <cellStyle name="Comma 3 2 2 2 3 2 2 2 2" xfId="11835" xr:uid="{75503C30-4D52-4D64-BFE0-2C7DD9761A13}"/>
    <cellStyle name="Comma 3 2 2 2 3 2 2 2 2 2" xfId="26955" xr:uid="{8F300449-1AE1-4E34-8CA3-A402D216F153}"/>
    <cellStyle name="Comma 3 2 2 2 3 2 2 2 2 2 2" xfId="57195" xr:uid="{8F675FE3-4655-4612-8DAD-57B14AB28D3E}"/>
    <cellStyle name="Comma 3 2 2 2 3 2 2 2 2 3" xfId="42075" xr:uid="{B2FD366E-0D59-41FD-B826-536CF303200C}"/>
    <cellStyle name="Comma 3 2 2 2 3 2 2 2 3" xfId="17883" xr:uid="{5B2B8AB8-7DDB-4D4B-B986-26771970E074}"/>
    <cellStyle name="Comma 3 2 2 2 3 2 2 2 3 2" xfId="48123" xr:uid="{D316BA0A-BCE5-44D8-8ED5-C59C0FDFF1F9}"/>
    <cellStyle name="Comma 3 2 2 2 3 2 2 2 4" xfId="33003" xr:uid="{57EB7492-3357-4789-B628-BF2066533A62}"/>
    <cellStyle name="Comma 3 2 2 2 3 2 2 3" xfId="4275" xr:uid="{EE7D29A5-5939-49DF-86DE-C0D47FCE6050}"/>
    <cellStyle name="Comma 3 2 2 2 3 2 2 3 2" xfId="13347" xr:uid="{FAC11C3E-95A9-4982-8526-330401E3E3AB}"/>
    <cellStyle name="Comma 3 2 2 2 3 2 2 3 2 2" xfId="28467" xr:uid="{2412DC80-48DE-4927-BD24-E94526D84D5F}"/>
    <cellStyle name="Comma 3 2 2 2 3 2 2 3 2 2 2" xfId="58707" xr:uid="{39F7A60A-7B53-47BD-8B9B-1524D07EC312}"/>
    <cellStyle name="Comma 3 2 2 2 3 2 2 3 2 3" xfId="43587" xr:uid="{757BA094-7AD4-4354-B6A9-FC3138AFC631}"/>
    <cellStyle name="Comma 3 2 2 2 3 2 2 3 3" xfId="19395" xr:uid="{36354C7F-127E-44D1-919C-347150564E56}"/>
    <cellStyle name="Comma 3 2 2 2 3 2 2 3 3 2" xfId="49635" xr:uid="{DD05B835-9BA4-48B5-A806-741D5800AA23}"/>
    <cellStyle name="Comma 3 2 2 2 3 2 2 3 4" xfId="34515" xr:uid="{154DCD75-F1E6-4D23-A6C2-5C87992F0E66}"/>
    <cellStyle name="Comma 3 2 2 2 3 2 2 4" xfId="5787" xr:uid="{9D1CFA64-91C3-4AAD-B8A4-E5D17ED1F122}"/>
    <cellStyle name="Comma 3 2 2 2 3 2 2 4 2" xfId="14859" xr:uid="{24B8981E-F52C-4DBB-AE43-A591046EE8AA}"/>
    <cellStyle name="Comma 3 2 2 2 3 2 2 4 2 2" xfId="29979" xr:uid="{AE693A3B-0092-4CED-B0C7-C4B8C027E38B}"/>
    <cellStyle name="Comma 3 2 2 2 3 2 2 4 2 2 2" xfId="60219" xr:uid="{04DE9AA9-1109-4F7C-A4F4-A06ADD2E31C6}"/>
    <cellStyle name="Comma 3 2 2 2 3 2 2 4 2 3" xfId="45099" xr:uid="{7C43D241-3E72-402C-AB0F-652E9A64C4AF}"/>
    <cellStyle name="Comma 3 2 2 2 3 2 2 4 3" xfId="20907" xr:uid="{DAAEB092-1D1A-4F5C-86A3-FB200965CAD2}"/>
    <cellStyle name="Comma 3 2 2 2 3 2 2 4 3 2" xfId="51147" xr:uid="{37BC08C5-BD38-419A-9C99-7ABDD4D96EA7}"/>
    <cellStyle name="Comma 3 2 2 2 3 2 2 4 4" xfId="36027" xr:uid="{5AB45684-C02E-4156-A74B-8F839C9BBCBC}"/>
    <cellStyle name="Comma 3 2 2 2 3 2 2 5" xfId="7299" xr:uid="{EF229FEA-879E-4CA1-87B7-B504DD7B4400}"/>
    <cellStyle name="Comma 3 2 2 2 3 2 2 5 2" xfId="22419" xr:uid="{5EE3F95E-DBA8-4442-95C4-23A8138868A2}"/>
    <cellStyle name="Comma 3 2 2 2 3 2 2 5 2 2" xfId="52659" xr:uid="{14D4AEFB-BA96-4C84-BB00-B27C68B0E739}"/>
    <cellStyle name="Comma 3 2 2 2 3 2 2 5 3" xfId="37539" xr:uid="{2CCF0899-6A12-4894-AF86-25CBF05F9A94}"/>
    <cellStyle name="Comma 3 2 2 2 3 2 2 6" xfId="8811" xr:uid="{13DE0FF2-F50D-4FE9-89A2-1E5ABEEBBB89}"/>
    <cellStyle name="Comma 3 2 2 2 3 2 2 6 2" xfId="23931" xr:uid="{2CE21E0B-6DF6-493A-BDB0-173A87AF89C5}"/>
    <cellStyle name="Comma 3 2 2 2 3 2 2 6 2 2" xfId="54171" xr:uid="{3C81C08B-6CCF-42FC-A1A8-889BE489F485}"/>
    <cellStyle name="Comma 3 2 2 2 3 2 2 6 3" xfId="39051" xr:uid="{428A0029-C671-44BB-A584-627CF8D19208}"/>
    <cellStyle name="Comma 3 2 2 2 3 2 2 7" xfId="10323" xr:uid="{D530F556-413C-4BDA-96D4-0F9EA286B8A0}"/>
    <cellStyle name="Comma 3 2 2 2 3 2 2 7 2" xfId="25443" xr:uid="{49A37338-B589-467B-9FB0-ECCA8E6AAD5A}"/>
    <cellStyle name="Comma 3 2 2 2 3 2 2 7 2 2" xfId="55683" xr:uid="{C22BA4A3-C926-4B1D-B506-3701122F186F}"/>
    <cellStyle name="Comma 3 2 2 2 3 2 2 7 3" xfId="40563" xr:uid="{1C08FCF1-BC06-4AB2-AC9D-02C5953230D9}"/>
    <cellStyle name="Comma 3 2 2 2 3 2 2 8" xfId="16371" xr:uid="{E923C5FF-5630-4865-AB40-A6C489E9A72B}"/>
    <cellStyle name="Comma 3 2 2 2 3 2 2 8 2" xfId="46611" xr:uid="{A10E94DB-AC13-49C3-B04C-3E47FF7492CB}"/>
    <cellStyle name="Comma 3 2 2 2 3 2 2 9" xfId="31491" xr:uid="{12852003-1F1D-4F04-9EBA-F710BCFA5EF5}"/>
    <cellStyle name="Comma 3 2 2 2 3 2 3" xfId="2007" xr:uid="{6AC78264-D22D-4A42-998F-C979E6B98F18}"/>
    <cellStyle name="Comma 3 2 2 2 3 2 3 2" xfId="11079" xr:uid="{C76134F5-846A-4799-9739-8672ECDF7FB8}"/>
    <cellStyle name="Comma 3 2 2 2 3 2 3 2 2" xfId="26199" xr:uid="{985422EB-8BE1-4694-A392-3C9BB339D9FC}"/>
    <cellStyle name="Comma 3 2 2 2 3 2 3 2 2 2" xfId="56439" xr:uid="{E476F73D-0ED3-4313-BE9E-9170FBFB9569}"/>
    <cellStyle name="Comma 3 2 2 2 3 2 3 2 3" xfId="41319" xr:uid="{1FC9FFB9-0957-455A-A424-F31A5BFEA2C7}"/>
    <cellStyle name="Comma 3 2 2 2 3 2 3 3" xfId="17127" xr:uid="{7DF9FD3E-FBF0-4882-BBF9-0C47D7524A75}"/>
    <cellStyle name="Comma 3 2 2 2 3 2 3 3 2" xfId="47367" xr:uid="{9F8AB7C8-A93B-4C5F-B0A0-F7A0DC3B9863}"/>
    <cellStyle name="Comma 3 2 2 2 3 2 3 4" xfId="32247" xr:uid="{FFF6AF80-8AB0-4611-9C49-24D2A20E85D2}"/>
    <cellStyle name="Comma 3 2 2 2 3 2 4" xfId="3519" xr:uid="{EBD11BF6-44AA-4983-BEAF-28D4C1FBB0AC}"/>
    <cellStyle name="Comma 3 2 2 2 3 2 4 2" xfId="12591" xr:uid="{AC613116-571B-4495-ACC0-DAC51167EC98}"/>
    <cellStyle name="Comma 3 2 2 2 3 2 4 2 2" xfId="27711" xr:uid="{26A371DD-7191-45CD-A06A-DE8F3635B886}"/>
    <cellStyle name="Comma 3 2 2 2 3 2 4 2 2 2" xfId="57951" xr:uid="{B9F5EDA8-1B4A-4563-B8E9-8A6CD8655C66}"/>
    <cellStyle name="Comma 3 2 2 2 3 2 4 2 3" xfId="42831" xr:uid="{0487A207-1529-4C45-A28F-018BAFE8581C}"/>
    <cellStyle name="Comma 3 2 2 2 3 2 4 3" xfId="18639" xr:uid="{60A5AC4A-68C4-40D5-9372-149BA90457BD}"/>
    <cellStyle name="Comma 3 2 2 2 3 2 4 3 2" xfId="48879" xr:uid="{92719980-63A9-4CB2-A1DF-40A2B6829AF6}"/>
    <cellStyle name="Comma 3 2 2 2 3 2 4 4" xfId="33759" xr:uid="{A097EF39-7EB8-4AD8-B663-76DEB2AC7984}"/>
    <cellStyle name="Comma 3 2 2 2 3 2 5" xfId="5031" xr:uid="{45932638-62FD-403E-B3C2-E1E2CCFE37F8}"/>
    <cellStyle name="Comma 3 2 2 2 3 2 5 2" xfId="14103" xr:uid="{125652D5-A754-4AA6-BC41-D77978A72CEB}"/>
    <cellStyle name="Comma 3 2 2 2 3 2 5 2 2" xfId="29223" xr:uid="{C5A11BB8-3E42-4106-B59C-BDB6D901CF2B}"/>
    <cellStyle name="Comma 3 2 2 2 3 2 5 2 2 2" xfId="59463" xr:uid="{8D62B39F-795C-4491-9859-3DCFDC338538}"/>
    <cellStyle name="Comma 3 2 2 2 3 2 5 2 3" xfId="44343" xr:uid="{45D6DEF3-E830-456D-B2C2-45EF7953BED5}"/>
    <cellStyle name="Comma 3 2 2 2 3 2 5 3" xfId="20151" xr:uid="{A1E547ED-8495-4DA1-AD28-3D525297BFB5}"/>
    <cellStyle name="Comma 3 2 2 2 3 2 5 3 2" xfId="50391" xr:uid="{0A19BCD0-622F-4FBE-8817-EE4F45D1F0FF}"/>
    <cellStyle name="Comma 3 2 2 2 3 2 5 4" xfId="35271" xr:uid="{92279806-F4BD-4658-A53B-6F39368297FC}"/>
    <cellStyle name="Comma 3 2 2 2 3 2 6" xfId="6543" xr:uid="{C6EED259-D613-4A52-BCF4-1095ED9D3A8C}"/>
    <cellStyle name="Comma 3 2 2 2 3 2 6 2" xfId="21663" xr:uid="{A340D2E1-672E-4577-8535-065F04FECE7E}"/>
    <cellStyle name="Comma 3 2 2 2 3 2 6 2 2" xfId="51903" xr:uid="{7C1FCAE9-A8BC-4027-8AF7-F404FD133937}"/>
    <cellStyle name="Comma 3 2 2 2 3 2 6 3" xfId="36783" xr:uid="{02D32522-C3E5-4062-8FE5-22DE7DC2F25F}"/>
    <cellStyle name="Comma 3 2 2 2 3 2 7" xfId="8055" xr:uid="{ECF65ECC-B7B9-42C3-AB8A-B561439CBD2A}"/>
    <cellStyle name="Comma 3 2 2 2 3 2 7 2" xfId="23175" xr:uid="{848427E1-A377-42BE-AFC5-DFE346A66881}"/>
    <cellStyle name="Comma 3 2 2 2 3 2 7 2 2" xfId="53415" xr:uid="{2EAECFD0-D23D-444A-ABC5-8D4EC98E32CD}"/>
    <cellStyle name="Comma 3 2 2 2 3 2 7 3" xfId="38295" xr:uid="{ABB95494-A0FB-4F0A-A885-AA0C3EF8C88F}"/>
    <cellStyle name="Comma 3 2 2 2 3 2 8" xfId="9567" xr:uid="{4010B041-CF52-4CAC-9CA6-E08598975F21}"/>
    <cellStyle name="Comma 3 2 2 2 3 2 8 2" xfId="24687" xr:uid="{4B534184-3AFE-4A53-B39C-7767BA7A3E83}"/>
    <cellStyle name="Comma 3 2 2 2 3 2 8 2 2" xfId="54927" xr:uid="{7BBAC50D-0D6B-47FA-8936-9B56BC834CD6}"/>
    <cellStyle name="Comma 3 2 2 2 3 2 8 3" xfId="39807" xr:uid="{E61D6E95-601B-4E7B-8205-C7122D2F36AD}"/>
    <cellStyle name="Comma 3 2 2 2 3 2 9" xfId="15615" xr:uid="{BE5EC495-5183-4885-BE82-7AED32FA2629}"/>
    <cellStyle name="Comma 3 2 2 2 3 2 9 2" xfId="45855" xr:uid="{D7B63FE3-12ED-4AFD-A792-8BDCC10A6B99}"/>
    <cellStyle name="Comma 3 2 2 2 3 3" xfId="747" xr:uid="{08A21C0A-ECAE-4B04-8EDC-DCBC5BC6EDFD}"/>
    <cellStyle name="Comma 3 2 2 2 3 3 10" xfId="30987" xr:uid="{560B02EE-438B-4F3E-929A-12126D6570C1}"/>
    <cellStyle name="Comma 3 2 2 2 3 3 2" xfId="1503" xr:uid="{A79AA621-EBAF-48E8-A7C8-210B0D1FC9F2}"/>
    <cellStyle name="Comma 3 2 2 2 3 3 2 2" xfId="3015" xr:uid="{549110D3-024A-4128-96C7-1286A8B10F88}"/>
    <cellStyle name="Comma 3 2 2 2 3 3 2 2 2" xfId="12087" xr:uid="{ABC0C7A2-631B-4D37-81B3-AA4D5C92007D}"/>
    <cellStyle name="Comma 3 2 2 2 3 3 2 2 2 2" xfId="27207" xr:uid="{06E2906C-AB9C-4B4B-A8FA-08D8FB8E27DA}"/>
    <cellStyle name="Comma 3 2 2 2 3 3 2 2 2 2 2" xfId="57447" xr:uid="{F10C9315-EB02-4E31-85E9-603ECBB0ED79}"/>
    <cellStyle name="Comma 3 2 2 2 3 3 2 2 2 3" xfId="42327" xr:uid="{ADEFEAE2-182E-4228-970B-E2458EEFA337}"/>
    <cellStyle name="Comma 3 2 2 2 3 3 2 2 3" xfId="18135" xr:uid="{8DD43D71-0E40-419D-953E-F0E4C1A8914B}"/>
    <cellStyle name="Comma 3 2 2 2 3 3 2 2 3 2" xfId="48375" xr:uid="{B8DA102F-1786-47A9-8D3C-D20E9053ADD2}"/>
    <cellStyle name="Comma 3 2 2 2 3 3 2 2 4" xfId="33255" xr:uid="{4C63F80C-112E-454B-8176-30827D0F56C5}"/>
    <cellStyle name="Comma 3 2 2 2 3 3 2 3" xfId="4527" xr:uid="{803D7F0C-38E7-4941-AB19-40DABBBA5CEC}"/>
    <cellStyle name="Comma 3 2 2 2 3 3 2 3 2" xfId="13599" xr:uid="{5A3109CB-886D-49DC-A5D0-C758708CFC78}"/>
    <cellStyle name="Comma 3 2 2 2 3 3 2 3 2 2" xfId="28719" xr:uid="{8E0EAF9F-C1EF-4E84-88AB-7B4017DDF5A0}"/>
    <cellStyle name="Comma 3 2 2 2 3 3 2 3 2 2 2" xfId="58959" xr:uid="{A1CF5032-13FC-40CC-B51B-144AE86E1811}"/>
    <cellStyle name="Comma 3 2 2 2 3 3 2 3 2 3" xfId="43839" xr:uid="{60106E55-D0F9-4971-A996-E6E07F1AE296}"/>
    <cellStyle name="Comma 3 2 2 2 3 3 2 3 3" xfId="19647" xr:uid="{44657237-1C14-4FCC-A931-2463B71FD8F2}"/>
    <cellStyle name="Comma 3 2 2 2 3 3 2 3 3 2" xfId="49887" xr:uid="{476BFD10-A919-4756-A711-48620ADF819D}"/>
    <cellStyle name="Comma 3 2 2 2 3 3 2 3 4" xfId="34767" xr:uid="{292BC357-5A3A-45D7-9DFF-B54E090CBFA3}"/>
    <cellStyle name="Comma 3 2 2 2 3 3 2 4" xfId="6039" xr:uid="{670965B1-FC27-4DB3-BC65-84E126C99985}"/>
    <cellStyle name="Comma 3 2 2 2 3 3 2 4 2" xfId="15111" xr:uid="{28C9F8BB-A3D0-462F-A645-DBBD36ADC24E}"/>
    <cellStyle name="Comma 3 2 2 2 3 3 2 4 2 2" xfId="30231" xr:uid="{7982E958-C257-4CAC-987B-14E8429D3EE3}"/>
    <cellStyle name="Comma 3 2 2 2 3 3 2 4 2 2 2" xfId="60471" xr:uid="{B2E2FC1B-A43D-4746-A3A7-7B297B045B82}"/>
    <cellStyle name="Comma 3 2 2 2 3 3 2 4 2 3" xfId="45351" xr:uid="{C24E96CD-7364-4FC1-BAB7-F5D2A16162AF}"/>
    <cellStyle name="Comma 3 2 2 2 3 3 2 4 3" xfId="21159" xr:uid="{F2BBDE23-741E-4CED-8887-12AE881232D0}"/>
    <cellStyle name="Comma 3 2 2 2 3 3 2 4 3 2" xfId="51399" xr:uid="{E6FBF19B-131B-4788-92F2-20540E84C63D}"/>
    <cellStyle name="Comma 3 2 2 2 3 3 2 4 4" xfId="36279" xr:uid="{3779D52B-7EA3-4239-A871-9DF330682F3F}"/>
    <cellStyle name="Comma 3 2 2 2 3 3 2 5" xfId="7551" xr:uid="{06C726EB-D7AD-44D5-BF63-64CF7B045B16}"/>
    <cellStyle name="Comma 3 2 2 2 3 3 2 5 2" xfId="22671" xr:uid="{09160BA5-9568-432D-AC05-BD8850BD1A2F}"/>
    <cellStyle name="Comma 3 2 2 2 3 3 2 5 2 2" xfId="52911" xr:uid="{3487D871-74D5-4403-AE10-EB139EFC843B}"/>
    <cellStyle name="Comma 3 2 2 2 3 3 2 5 3" xfId="37791" xr:uid="{55B63DC4-F596-47DF-AE12-4A4D12C4F012}"/>
    <cellStyle name="Comma 3 2 2 2 3 3 2 6" xfId="9063" xr:uid="{5A5B6A2B-60EF-42CC-BCD5-28A391648959}"/>
    <cellStyle name="Comma 3 2 2 2 3 3 2 6 2" xfId="24183" xr:uid="{104F23DF-41E2-4CB2-9DBE-A687F88B2BAA}"/>
    <cellStyle name="Comma 3 2 2 2 3 3 2 6 2 2" xfId="54423" xr:uid="{F7628460-3AC3-4648-9FAB-9019B723BC54}"/>
    <cellStyle name="Comma 3 2 2 2 3 3 2 6 3" xfId="39303" xr:uid="{ED670827-A97B-4379-9552-0A0CDDB30188}"/>
    <cellStyle name="Comma 3 2 2 2 3 3 2 7" xfId="10575" xr:uid="{3D88B6C5-29D0-49E8-B753-5547A6FADDA0}"/>
    <cellStyle name="Comma 3 2 2 2 3 3 2 7 2" xfId="25695" xr:uid="{D89A6EAB-95AC-4BFA-BD62-4B38C8A08A98}"/>
    <cellStyle name="Comma 3 2 2 2 3 3 2 7 2 2" xfId="55935" xr:uid="{9E5955F1-F271-4957-9C2C-420CC540D5CA}"/>
    <cellStyle name="Comma 3 2 2 2 3 3 2 7 3" xfId="40815" xr:uid="{813842D5-ED00-4C63-9367-2A777346BB07}"/>
    <cellStyle name="Comma 3 2 2 2 3 3 2 8" xfId="16623" xr:uid="{FBD52B08-1266-497D-8694-C82BB5037756}"/>
    <cellStyle name="Comma 3 2 2 2 3 3 2 8 2" xfId="46863" xr:uid="{FCDE46CD-9A72-4F88-B325-D51A6E7AF41F}"/>
    <cellStyle name="Comma 3 2 2 2 3 3 2 9" xfId="31743" xr:uid="{19F47854-6AF7-4A2E-BCB1-43F18A86EC01}"/>
    <cellStyle name="Comma 3 2 2 2 3 3 3" xfId="2259" xr:uid="{2ACAB413-FB60-4979-BA63-2EBD943A881D}"/>
    <cellStyle name="Comma 3 2 2 2 3 3 3 2" xfId="11331" xr:uid="{E1FB0508-B313-47AD-9938-A6D08E5D371B}"/>
    <cellStyle name="Comma 3 2 2 2 3 3 3 2 2" xfId="26451" xr:uid="{59000AC4-607D-4C65-864F-68F1E22445F1}"/>
    <cellStyle name="Comma 3 2 2 2 3 3 3 2 2 2" xfId="56691" xr:uid="{7CA93917-340E-4A0F-B14A-4948A9655FEB}"/>
    <cellStyle name="Comma 3 2 2 2 3 3 3 2 3" xfId="41571" xr:uid="{156E9C95-CFFC-45F9-B65F-5CE1915451A6}"/>
    <cellStyle name="Comma 3 2 2 2 3 3 3 3" xfId="17379" xr:uid="{B2B6B61B-AAB4-43FB-B46C-0DB6083821D1}"/>
    <cellStyle name="Comma 3 2 2 2 3 3 3 3 2" xfId="47619" xr:uid="{7A0E0764-3816-40C4-B971-62DC60B7C897}"/>
    <cellStyle name="Comma 3 2 2 2 3 3 3 4" xfId="32499" xr:uid="{11910A1D-E6FB-4E39-A544-D1C11748C080}"/>
    <cellStyle name="Comma 3 2 2 2 3 3 4" xfId="3771" xr:uid="{5A2F0A49-2DD3-4E0B-B122-306D1ADAF36F}"/>
    <cellStyle name="Comma 3 2 2 2 3 3 4 2" xfId="12843" xr:uid="{735DCDED-C627-4CBC-8DEE-BBBCDB0A9F0C}"/>
    <cellStyle name="Comma 3 2 2 2 3 3 4 2 2" xfId="27963" xr:uid="{1141A7CA-C34B-40E2-BC31-BA1B5716B543}"/>
    <cellStyle name="Comma 3 2 2 2 3 3 4 2 2 2" xfId="58203" xr:uid="{64427376-6500-499B-B747-4E257F482CB6}"/>
    <cellStyle name="Comma 3 2 2 2 3 3 4 2 3" xfId="43083" xr:uid="{4C67BC09-3A03-4E73-908B-A003B725294F}"/>
    <cellStyle name="Comma 3 2 2 2 3 3 4 3" xfId="18891" xr:uid="{44652D94-6261-405A-8ACA-95B41BD6346B}"/>
    <cellStyle name="Comma 3 2 2 2 3 3 4 3 2" xfId="49131" xr:uid="{6CD0E695-ED93-4C46-87ED-868D18636B9E}"/>
    <cellStyle name="Comma 3 2 2 2 3 3 4 4" xfId="34011" xr:uid="{D1AF0793-378C-4D50-ABDB-CB13D39B2A17}"/>
    <cellStyle name="Comma 3 2 2 2 3 3 5" xfId="5283" xr:uid="{7EAF3E4C-1B56-42D1-BBAA-FD64A07AB2A7}"/>
    <cellStyle name="Comma 3 2 2 2 3 3 5 2" xfId="14355" xr:uid="{CB9E40BB-E8B7-4B0A-A3B3-055F171AC4B1}"/>
    <cellStyle name="Comma 3 2 2 2 3 3 5 2 2" xfId="29475" xr:uid="{FEE934BC-5407-4255-94F0-9CDC91F7F162}"/>
    <cellStyle name="Comma 3 2 2 2 3 3 5 2 2 2" xfId="59715" xr:uid="{43BC3D96-5CEB-4BBC-8A45-5FF62FDFF327}"/>
    <cellStyle name="Comma 3 2 2 2 3 3 5 2 3" xfId="44595" xr:uid="{8C8F21D3-AE9B-48CA-B083-4CBE071F0B0C}"/>
    <cellStyle name="Comma 3 2 2 2 3 3 5 3" xfId="20403" xr:uid="{258C317B-3572-489D-BA3F-F8D088EA7813}"/>
    <cellStyle name="Comma 3 2 2 2 3 3 5 3 2" xfId="50643" xr:uid="{F08D848B-E601-4427-A7FE-C727E900EC89}"/>
    <cellStyle name="Comma 3 2 2 2 3 3 5 4" xfId="35523" xr:uid="{17EE3BD6-9923-4EE5-B7C4-0D42F734509A}"/>
    <cellStyle name="Comma 3 2 2 2 3 3 6" xfId="6795" xr:uid="{88CC2D88-2EFA-42E3-A4A0-AFA7C74FBBED}"/>
    <cellStyle name="Comma 3 2 2 2 3 3 6 2" xfId="21915" xr:uid="{C86D841A-9F11-472A-957D-F124F0BE6BEE}"/>
    <cellStyle name="Comma 3 2 2 2 3 3 6 2 2" xfId="52155" xr:uid="{042E7C8A-A947-454C-9909-9F725E9FDCBD}"/>
    <cellStyle name="Comma 3 2 2 2 3 3 6 3" xfId="37035" xr:uid="{11CA3442-5669-4A90-A6E0-1AEECA152E8A}"/>
    <cellStyle name="Comma 3 2 2 2 3 3 7" xfId="8307" xr:uid="{01333626-37D4-4CAE-829F-19E2FDA75E98}"/>
    <cellStyle name="Comma 3 2 2 2 3 3 7 2" xfId="23427" xr:uid="{84756B31-ABCC-4667-BDB9-6EB8C681875D}"/>
    <cellStyle name="Comma 3 2 2 2 3 3 7 2 2" xfId="53667" xr:uid="{D85675AE-5BA6-4B7E-80B8-6CF75C385521}"/>
    <cellStyle name="Comma 3 2 2 2 3 3 7 3" xfId="38547" xr:uid="{633E030A-7072-41E6-839C-8029E5809844}"/>
    <cellStyle name="Comma 3 2 2 2 3 3 8" xfId="9819" xr:uid="{5B9B0206-6D26-41C9-9992-8A76DCED100B}"/>
    <cellStyle name="Comma 3 2 2 2 3 3 8 2" xfId="24939" xr:uid="{6AF61B65-9F75-490A-9B26-1DF9F8B41F70}"/>
    <cellStyle name="Comma 3 2 2 2 3 3 8 2 2" xfId="55179" xr:uid="{57CB1DE4-175A-4904-BCA4-42C2C1B1D439}"/>
    <cellStyle name="Comma 3 2 2 2 3 3 8 3" xfId="40059" xr:uid="{CD6E9AED-680E-42F7-AFBE-4A25A78444AC}"/>
    <cellStyle name="Comma 3 2 2 2 3 3 9" xfId="15867" xr:uid="{10A67DA7-E79D-4B29-A28F-5AFDCEC0875A}"/>
    <cellStyle name="Comma 3 2 2 2 3 3 9 2" xfId="46107" xr:uid="{A6A41BED-1F2B-4621-8F91-90F5A36EA9C7}"/>
    <cellStyle name="Comma 3 2 2 2 3 4" xfId="999" xr:uid="{3403FF9A-1D77-4783-A808-98C2AB09E166}"/>
    <cellStyle name="Comma 3 2 2 2 3 4 2" xfId="2511" xr:uid="{4CDF2658-CBFA-4281-B13A-800CBD175A14}"/>
    <cellStyle name="Comma 3 2 2 2 3 4 2 2" xfId="11583" xr:uid="{EF35E35A-A052-4A5B-A2E9-8B98284667DB}"/>
    <cellStyle name="Comma 3 2 2 2 3 4 2 2 2" xfId="26703" xr:uid="{F99F11AC-D8E9-4400-95C6-85B0BCF12F6F}"/>
    <cellStyle name="Comma 3 2 2 2 3 4 2 2 2 2" xfId="56943" xr:uid="{E3AFC38C-F893-48ED-B2D0-43E0B6AA153F}"/>
    <cellStyle name="Comma 3 2 2 2 3 4 2 2 3" xfId="41823" xr:uid="{47038212-FC33-4A26-8C20-6217B57113E6}"/>
    <cellStyle name="Comma 3 2 2 2 3 4 2 3" xfId="17631" xr:uid="{B4CB9DD8-9F85-4F88-86E1-28177ED5E7B1}"/>
    <cellStyle name="Comma 3 2 2 2 3 4 2 3 2" xfId="47871" xr:uid="{E7B1C629-F137-4164-A2F7-CF54B04D135C}"/>
    <cellStyle name="Comma 3 2 2 2 3 4 2 4" xfId="32751" xr:uid="{D1F29D0A-9332-4002-92E8-16892CACF0BD}"/>
    <cellStyle name="Comma 3 2 2 2 3 4 3" xfId="4023" xr:uid="{C5D67845-F935-41A5-AEBF-073B35F1F9BF}"/>
    <cellStyle name="Comma 3 2 2 2 3 4 3 2" xfId="13095" xr:uid="{A6A0288E-D74B-4EC3-B4C2-A19D9896B0AA}"/>
    <cellStyle name="Comma 3 2 2 2 3 4 3 2 2" xfId="28215" xr:uid="{C0665DFD-83DF-4D6A-A9F2-5EABB17ECED2}"/>
    <cellStyle name="Comma 3 2 2 2 3 4 3 2 2 2" xfId="58455" xr:uid="{232FD512-C245-4356-BEEA-E7B383401711}"/>
    <cellStyle name="Comma 3 2 2 2 3 4 3 2 3" xfId="43335" xr:uid="{946F3F83-3A4D-4014-872A-A6EE07FF7DBF}"/>
    <cellStyle name="Comma 3 2 2 2 3 4 3 3" xfId="19143" xr:uid="{D8680B48-479B-464E-8C38-3C3C1F4DF37D}"/>
    <cellStyle name="Comma 3 2 2 2 3 4 3 3 2" xfId="49383" xr:uid="{15F9CAC3-440D-4A31-A633-DAF9D02C57CC}"/>
    <cellStyle name="Comma 3 2 2 2 3 4 3 4" xfId="34263" xr:uid="{2374C286-E50C-45FA-94B8-764A98247317}"/>
    <cellStyle name="Comma 3 2 2 2 3 4 4" xfId="5535" xr:uid="{15589BD4-E9AD-483F-8FFF-561945C3E99C}"/>
    <cellStyle name="Comma 3 2 2 2 3 4 4 2" xfId="14607" xr:uid="{4FD70C86-300B-404C-BD21-F1941A48941B}"/>
    <cellStyle name="Comma 3 2 2 2 3 4 4 2 2" xfId="29727" xr:uid="{71CFAF55-CF39-4450-92C0-E170EB5D47BE}"/>
    <cellStyle name="Comma 3 2 2 2 3 4 4 2 2 2" xfId="59967" xr:uid="{A5D5D77B-F9A9-4F16-BD78-D5C254C0892B}"/>
    <cellStyle name="Comma 3 2 2 2 3 4 4 2 3" xfId="44847" xr:uid="{E7F4627C-7219-4717-8F0A-2264AAB586C9}"/>
    <cellStyle name="Comma 3 2 2 2 3 4 4 3" xfId="20655" xr:uid="{C54E6729-D2CB-4224-AA4F-551FA9647685}"/>
    <cellStyle name="Comma 3 2 2 2 3 4 4 3 2" xfId="50895" xr:uid="{29A02CC8-8574-4EBE-BEDE-2460119EC1D8}"/>
    <cellStyle name="Comma 3 2 2 2 3 4 4 4" xfId="35775" xr:uid="{89DB0DBA-5F98-4A52-B34D-EE862F0C2439}"/>
    <cellStyle name="Comma 3 2 2 2 3 4 5" xfId="7047" xr:uid="{2C635C36-ABDA-4367-B3B4-C5E98D44B2DB}"/>
    <cellStyle name="Comma 3 2 2 2 3 4 5 2" xfId="22167" xr:uid="{5C6FAF42-CB48-4EFD-BF50-21CA22B35D79}"/>
    <cellStyle name="Comma 3 2 2 2 3 4 5 2 2" xfId="52407" xr:uid="{6DC8EF4E-520E-453F-9122-528828CB745A}"/>
    <cellStyle name="Comma 3 2 2 2 3 4 5 3" xfId="37287" xr:uid="{872E28ED-3BC8-4078-932B-0A0B5B973ED9}"/>
    <cellStyle name="Comma 3 2 2 2 3 4 6" xfId="8559" xr:uid="{F24FE9F9-D4E4-4EF9-989E-2443138BE1B0}"/>
    <cellStyle name="Comma 3 2 2 2 3 4 6 2" xfId="23679" xr:uid="{06B85575-6DD3-4470-A0DF-FC0C594766C1}"/>
    <cellStyle name="Comma 3 2 2 2 3 4 6 2 2" xfId="53919" xr:uid="{EA5925A3-833F-4893-B3E5-06F57336ADF7}"/>
    <cellStyle name="Comma 3 2 2 2 3 4 6 3" xfId="38799" xr:uid="{00F32F89-0A4E-4699-AC23-8878A02C20F3}"/>
    <cellStyle name="Comma 3 2 2 2 3 4 7" xfId="10071" xr:uid="{BE88CE86-8E7A-4822-BD90-53D181ACB3FE}"/>
    <cellStyle name="Comma 3 2 2 2 3 4 7 2" xfId="25191" xr:uid="{DAB57EB2-6DF8-4EED-A483-8DA6A4DEE292}"/>
    <cellStyle name="Comma 3 2 2 2 3 4 7 2 2" xfId="55431" xr:uid="{9644591D-EDDA-4BB1-AA7E-892424322E9C}"/>
    <cellStyle name="Comma 3 2 2 2 3 4 7 3" xfId="40311" xr:uid="{AFA75525-F4D4-44E4-91D3-39FB966E84D5}"/>
    <cellStyle name="Comma 3 2 2 2 3 4 8" xfId="16119" xr:uid="{2FB96DCB-631E-409F-9996-7B6D32AEA9DD}"/>
    <cellStyle name="Comma 3 2 2 2 3 4 8 2" xfId="46359" xr:uid="{65867A89-4F14-495B-83F9-2E9485812AF7}"/>
    <cellStyle name="Comma 3 2 2 2 3 4 9" xfId="31239" xr:uid="{9D7B5867-4BF1-45F8-A70B-B32AC7D64072}"/>
    <cellStyle name="Comma 3 2 2 2 3 5" xfId="1755" xr:uid="{B7911373-68E7-4B9B-836F-C977D280935C}"/>
    <cellStyle name="Comma 3 2 2 2 3 5 2" xfId="10827" xr:uid="{1DB9545F-2BBC-42BE-BAEE-7BA483272DC6}"/>
    <cellStyle name="Comma 3 2 2 2 3 5 2 2" xfId="25947" xr:uid="{BB367833-BE64-4322-A000-57CAF70EC45F}"/>
    <cellStyle name="Comma 3 2 2 2 3 5 2 2 2" xfId="56187" xr:uid="{F636187B-5CF4-48CB-9DE7-D90677B5B046}"/>
    <cellStyle name="Comma 3 2 2 2 3 5 2 3" xfId="41067" xr:uid="{A36E1D7A-2F89-4416-B6EC-24CA7CA963FF}"/>
    <cellStyle name="Comma 3 2 2 2 3 5 3" xfId="16875" xr:uid="{81BE6D9C-0474-4D12-8B2B-696BF4E494AF}"/>
    <cellStyle name="Comma 3 2 2 2 3 5 3 2" xfId="47115" xr:uid="{EE54B594-F5CD-429F-8784-9B9CFC8DAE95}"/>
    <cellStyle name="Comma 3 2 2 2 3 5 4" xfId="31995" xr:uid="{3268DD20-F1FE-42CB-A301-9F89158D6F0C}"/>
    <cellStyle name="Comma 3 2 2 2 3 6" xfId="3267" xr:uid="{11185A8A-529F-4CEC-B355-DE0E3D91198B}"/>
    <cellStyle name="Comma 3 2 2 2 3 6 2" xfId="12339" xr:uid="{F0DEF7EF-00E8-49E7-AC27-259FB5BB07B2}"/>
    <cellStyle name="Comma 3 2 2 2 3 6 2 2" xfId="27459" xr:uid="{D06E3C67-B5B4-45B0-AE7F-7B72A8DB4F62}"/>
    <cellStyle name="Comma 3 2 2 2 3 6 2 2 2" xfId="57699" xr:uid="{F777EE21-8086-41F2-A0FB-B129B5A2D2E3}"/>
    <cellStyle name="Comma 3 2 2 2 3 6 2 3" xfId="42579" xr:uid="{B0F34394-7261-4CD9-BDA3-6D09275B2947}"/>
    <cellStyle name="Comma 3 2 2 2 3 6 3" xfId="18387" xr:uid="{F1F35B1F-2F47-4219-8812-388CAC294DB0}"/>
    <cellStyle name="Comma 3 2 2 2 3 6 3 2" xfId="48627" xr:uid="{E97B0136-ED3E-4AD7-A39C-0B93F16E661D}"/>
    <cellStyle name="Comma 3 2 2 2 3 6 4" xfId="33507" xr:uid="{9D86D0D6-DA84-42AF-A3B5-27189184933C}"/>
    <cellStyle name="Comma 3 2 2 2 3 7" xfId="4779" xr:uid="{A4D4FCBF-CEAB-4E8C-ACAB-66871BCB7878}"/>
    <cellStyle name="Comma 3 2 2 2 3 7 2" xfId="13851" xr:uid="{E4302950-FAA3-43B4-BF2C-CF27BFEB4B9A}"/>
    <cellStyle name="Comma 3 2 2 2 3 7 2 2" xfId="28971" xr:uid="{C4967010-6F19-415E-8BF3-D277FD59A8BE}"/>
    <cellStyle name="Comma 3 2 2 2 3 7 2 2 2" xfId="59211" xr:uid="{5A806133-9C35-4BFA-BA2F-E0230872001D}"/>
    <cellStyle name="Comma 3 2 2 2 3 7 2 3" xfId="44091" xr:uid="{5A005B17-BBE1-4DA4-BE0A-B9C89153D64F}"/>
    <cellStyle name="Comma 3 2 2 2 3 7 3" xfId="19899" xr:uid="{B586FE73-A23A-40D6-A226-05E9A859EE2F}"/>
    <cellStyle name="Comma 3 2 2 2 3 7 3 2" xfId="50139" xr:uid="{B9873A24-3F34-4CCD-843E-AA43E00BBA83}"/>
    <cellStyle name="Comma 3 2 2 2 3 7 4" xfId="35019" xr:uid="{26F38F41-6088-44C1-B7A0-83BFC19EAEF9}"/>
    <cellStyle name="Comma 3 2 2 2 3 8" xfId="6291" xr:uid="{EA093108-7159-4AB3-BE68-767346D239C4}"/>
    <cellStyle name="Comma 3 2 2 2 3 8 2" xfId="21411" xr:uid="{9EF7E37D-9FA4-4DBB-BA34-1F04322D94BC}"/>
    <cellStyle name="Comma 3 2 2 2 3 8 2 2" xfId="51651" xr:uid="{A0C1E00D-08E0-4772-B1D2-F92DD59A233F}"/>
    <cellStyle name="Comma 3 2 2 2 3 8 3" xfId="36531" xr:uid="{BC7E853B-5293-4AA4-A240-10DB3BBA70E2}"/>
    <cellStyle name="Comma 3 2 2 2 3 9" xfId="7803" xr:uid="{7BF6BCCF-D0C3-4DD9-90FF-DD39A5813167}"/>
    <cellStyle name="Comma 3 2 2 2 3 9 2" xfId="22923" xr:uid="{DB5C4AF3-82D7-4125-8EFE-FF18C3539A00}"/>
    <cellStyle name="Comma 3 2 2 2 3 9 2 2" xfId="53163" xr:uid="{B18A9BA1-D0BF-4F1A-88F2-369C3D194C4A}"/>
    <cellStyle name="Comma 3 2 2 2 3 9 3" xfId="38043" xr:uid="{959CBE93-F20B-4E64-88CE-78FDD27F21C8}"/>
    <cellStyle name="Comma 3 2 2 2 4" xfId="327" xr:uid="{8C2C2F3C-05A8-4C02-A71E-26DDB3AA456E}"/>
    <cellStyle name="Comma 3 2 2 2 4 10" xfId="30567" xr:uid="{77C0C3E0-DFC0-4917-BA98-DF6FE373A58B}"/>
    <cellStyle name="Comma 3 2 2 2 4 2" xfId="1083" xr:uid="{C9E233B9-1DD5-4085-B298-6FC33069E0AB}"/>
    <cellStyle name="Comma 3 2 2 2 4 2 2" xfId="2595" xr:uid="{62327053-0E7E-49E3-A20F-F699773971E1}"/>
    <cellStyle name="Comma 3 2 2 2 4 2 2 2" xfId="11667" xr:uid="{92E7F39B-E96E-4998-A06E-D9420E9045A6}"/>
    <cellStyle name="Comma 3 2 2 2 4 2 2 2 2" xfId="26787" xr:uid="{731EAEEC-7136-4E78-B563-31FF0096E61B}"/>
    <cellStyle name="Comma 3 2 2 2 4 2 2 2 2 2" xfId="57027" xr:uid="{FF191847-9371-4C9F-B7ED-E38CB8EC2346}"/>
    <cellStyle name="Comma 3 2 2 2 4 2 2 2 3" xfId="41907" xr:uid="{09B8CF56-E996-4786-8FA1-0B12EE5F1E28}"/>
    <cellStyle name="Comma 3 2 2 2 4 2 2 3" xfId="17715" xr:uid="{F770BA13-B0CF-4098-BD0D-E3B94017A989}"/>
    <cellStyle name="Comma 3 2 2 2 4 2 2 3 2" xfId="47955" xr:uid="{95080F41-1237-4A5A-89C5-C3AC44773054}"/>
    <cellStyle name="Comma 3 2 2 2 4 2 2 4" xfId="32835" xr:uid="{85FFB3AD-DB97-4CC0-A9DA-0ED3880FD6C6}"/>
    <cellStyle name="Comma 3 2 2 2 4 2 3" xfId="4107" xr:uid="{C418012F-744B-4C7E-A25B-DE7B519BA15C}"/>
    <cellStyle name="Comma 3 2 2 2 4 2 3 2" xfId="13179" xr:uid="{E94FAA0E-1C36-412D-BC2F-E033F6162EAB}"/>
    <cellStyle name="Comma 3 2 2 2 4 2 3 2 2" xfId="28299" xr:uid="{3D627067-8902-4214-ABA4-5FE4DB84415A}"/>
    <cellStyle name="Comma 3 2 2 2 4 2 3 2 2 2" xfId="58539" xr:uid="{E43582B1-96A8-4433-B9E5-40D61849D063}"/>
    <cellStyle name="Comma 3 2 2 2 4 2 3 2 3" xfId="43419" xr:uid="{A9C17188-B303-4420-B2DE-78FAFB3D003B}"/>
    <cellStyle name="Comma 3 2 2 2 4 2 3 3" xfId="19227" xr:uid="{15DEAF31-F004-490B-B214-1DEFBAEA1E76}"/>
    <cellStyle name="Comma 3 2 2 2 4 2 3 3 2" xfId="49467" xr:uid="{1CEEB265-48C7-4461-B0A2-EA7EAB61BC67}"/>
    <cellStyle name="Comma 3 2 2 2 4 2 3 4" xfId="34347" xr:uid="{6B0FAB67-9B33-4931-B45D-558EF269DFCA}"/>
    <cellStyle name="Comma 3 2 2 2 4 2 4" xfId="5619" xr:uid="{234F79B2-1136-44DA-9F2C-315130E1B95A}"/>
    <cellStyle name="Comma 3 2 2 2 4 2 4 2" xfId="14691" xr:uid="{61AA9061-AF82-471A-9031-EED15B737EDD}"/>
    <cellStyle name="Comma 3 2 2 2 4 2 4 2 2" xfId="29811" xr:uid="{E0FDD163-2EC6-45C8-8CF5-4569E71DB31E}"/>
    <cellStyle name="Comma 3 2 2 2 4 2 4 2 2 2" xfId="60051" xr:uid="{344A4F39-0797-4616-A17B-30ADFA656CBB}"/>
    <cellStyle name="Comma 3 2 2 2 4 2 4 2 3" xfId="44931" xr:uid="{62B29982-4BEE-41A1-9001-B29DC28C85E9}"/>
    <cellStyle name="Comma 3 2 2 2 4 2 4 3" xfId="20739" xr:uid="{5A05012C-8004-4FFD-AFD0-94FAE99ECF44}"/>
    <cellStyle name="Comma 3 2 2 2 4 2 4 3 2" xfId="50979" xr:uid="{599C6647-16EE-4D93-9266-D414F31A6217}"/>
    <cellStyle name="Comma 3 2 2 2 4 2 4 4" xfId="35859" xr:uid="{7A1EA495-856D-437E-857E-9A521E076C33}"/>
    <cellStyle name="Comma 3 2 2 2 4 2 5" xfId="7131" xr:uid="{72F05AC7-7C3C-4C7F-B737-10D9EB3756F7}"/>
    <cellStyle name="Comma 3 2 2 2 4 2 5 2" xfId="22251" xr:uid="{FDAE4F01-8F40-467A-B592-2DD65374A976}"/>
    <cellStyle name="Comma 3 2 2 2 4 2 5 2 2" xfId="52491" xr:uid="{73F5DD20-ACA3-4FD4-8A0A-FE3F5B4B3026}"/>
    <cellStyle name="Comma 3 2 2 2 4 2 5 3" xfId="37371" xr:uid="{0020736D-29DE-4EDF-B968-CF9A4C53B2C4}"/>
    <cellStyle name="Comma 3 2 2 2 4 2 6" xfId="8643" xr:uid="{BF30F7DA-8852-48B4-AF54-8D472481D5E7}"/>
    <cellStyle name="Comma 3 2 2 2 4 2 6 2" xfId="23763" xr:uid="{55F4B6A8-B28A-435D-A2DB-B0D5BD68A6F6}"/>
    <cellStyle name="Comma 3 2 2 2 4 2 6 2 2" xfId="54003" xr:uid="{D66E1DEA-6858-41DC-8B7C-1BAA69CF2688}"/>
    <cellStyle name="Comma 3 2 2 2 4 2 6 3" xfId="38883" xr:uid="{2BE774C2-4356-4258-BD87-9A25F71674EA}"/>
    <cellStyle name="Comma 3 2 2 2 4 2 7" xfId="10155" xr:uid="{3E5CCFDB-6FA1-49A0-8F03-230C50F9E983}"/>
    <cellStyle name="Comma 3 2 2 2 4 2 7 2" xfId="25275" xr:uid="{707F83CA-0835-43EF-9A8A-F918B2F3B8F7}"/>
    <cellStyle name="Comma 3 2 2 2 4 2 7 2 2" xfId="55515" xr:uid="{CF7EBBD4-BFE7-44D3-9873-D4DBC6A5485F}"/>
    <cellStyle name="Comma 3 2 2 2 4 2 7 3" xfId="40395" xr:uid="{15AD6ED7-E83E-4289-8549-617E6BB9011E}"/>
    <cellStyle name="Comma 3 2 2 2 4 2 8" xfId="16203" xr:uid="{D8A58785-85FF-4F1D-9150-150B59DF83CC}"/>
    <cellStyle name="Comma 3 2 2 2 4 2 8 2" xfId="46443" xr:uid="{9748C796-340A-49D1-83B7-A34C95CC9A87}"/>
    <cellStyle name="Comma 3 2 2 2 4 2 9" xfId="31323" xr:uid="{8D1C8635-0074-4E62-B18D-E75BC83B4456}"/>
    <cellStyle name="Comma 3 2 2 2 4 3" xfId="1839" xr:uid="{4F98BCCD-D7CB-4358-8DF2-5D81EBB3A0C7}"/>
    <cellStyle name="Comma 3 2 2 2 4 3 2" xfId="10911" xr:uid="{211448EB-0396-4AC4-817D-8F9640ABAED7}"/>
    <cellStyle name="Comma 3 2 2 2 4 3 2 2" xfId="26031" xr:uid="{7559BD43-AE15-4E0D-9381-0EF52DAE0B13}"/>
    <cellStyle name="Comma 3 2 2 2 4 3 2 2 2" xfId="56271" xr:uid="{A6C6758C-81D0-45C3-B545-5E4E4CA472C3}"/>
    <cellStyle name="Comma 3 2 2 2 4 3 2 3" xfId="41151" xr:uid="{E862F6B0-EEF7-462D-8577-8593953A60DC}"/>
    <cellStyle name="Comma 3 2 2 2 4 3 3" xfId="16959" xr:uid="{7DF1D678-6E8E-4085-BA7C-07670816EE35}"/>
    <cellStyle name="Comma 3 2 2 2 4 3 3 2" xfId="47199" xr:uid="{E5E1F53D-B437-4E79-99F4-E2DD73D51C3F}"/>
    <cellStyle name="Comma 3 2 2 2 4 3 4" xfId="32079" xr:uid="{4FA11AC6-745E-4C57-A732-0F341E4A66A0}"/>
    <cellStyle name="Comma 3 2 2 2 4 4" xfId="3351" xr:uid="{58A0A8B8-064C-4F9A-A74D-6B36DF35D2D8}"/>
    <cellStyle name="Comma 3 2 2 2 4 4 2" xfId="12423" xr:uid="{85B7CD34-7E2A-41BE-A8E6-C8BA0A77B193}"/>
    <cellStyle name="Comma 3 2 2 2 4 4 2 2" xfId="27543" xr:uid="{CCB635FB-E19F-48F6-B166-5CDE165FD318}"/>
    <cellStyle name="Comma 3 2 2 2 4 4 2 2 2" xfId="57783" xr:uid="{6FE21BA0-1D90-4D46-B2D1-597B1D5F7576}"/>
    <cellStyle name="Comma 3 2 2 2 4 4 2 3" xfId="42663" xr:uid="{AF1F1D73-A492-4F56-A642-C43F4C7F8295}"/>
    <cellStyle name="Comma 3 2 2 2 4 4 3" xfId="18471" xr:uid="{5A80BC20-0AC0-4145-BC28-F2030CA98358}"/>
    <cellStyle name="Comma 3 2 2 2 4 4 3 2" xfId="48711" xr:uid="{2BF453A1-81E1-464E-994D-FB62B3FEF5CD}"/>
    <cellStyle name="Comma 3 2 2 2 4 4 4" xfId="33591" xr:uid="{219B10AB-FCD8-49B7-95C8-3199979A8F48}"/>
    <cellStyle name="Comma 3 2 2 2 4 5" xfId="4863" xr:uid="{01904577-580C-4AEF-ADA9-8D119F4E59FE}"/>
    <cellStyle name="Comma 3 2 2 2 4 5 2" xfId="13935" xr:uid="{B1B9DEC9-B02B-4AB1-98E2-110F02950D24}"/>
    <cellStyle name="Comma 3 2 2 2 4 5 2 2" xfId="29055" xr:uid="{96B12A16-4A65-4B4E-807A-13C2A5F09FFE}"/>
    <cellStyle name="Comma 3 2 2 2 4 5 2 2 2" xfId="59295" xr:uid="{DB53E724-EB9F-4C33-B371-2687E12C47B7}"/>
    <cellStyle name="Comma 3 2 2 2 4 5 2 3" xfId="44175" xr:uid="{403C0980-C4C7-4D88-8828-2EB979C7E598}"/>
    <cellStyle name="Comma 3 2 2 2 4 5 3" xfId="19983" xr:uid="{D5E9F582-52D9-45A6-91CC-489BB50333B5}"/>
    <cellStyle name="Comma 3 2 2 2 4 5 3 2" xfId="50223" xr:uid="{5CC8E7B7-2104-4AD7-A5BC-32FDB9536C38}"/>
    <cellStyle name="Comma 3 2 2 2 4 5 4" xfId="35103" xr:uid="{2F47B182-0516-4B03-83D3-9F9AEAE4A2B4}"/>
    <cellStyle name="Comma 3 2 2 2 4 6" xfId="6375" xr:uid="{5DCBF2BE-1BDC-4E62-BF1B-7AFCC24D6247}"/>
    <cellStyle name="Comma 3 2 2 2 4 6 2" xfId="21495" xr:uid="{23650D3C-DDE5-4FFD-9B36-A3B0D1BD740D}"/>
    <cellStyle name="Comma 3 2 2 2 4 6 2 2" xfId="51735" xr:uid="{68B87D5E-2F2B-44ED-BBD7-ECD98E8E2D25}"/>
    <cellStyle name="Comma 3 2 2 2 4 6 3" xfId="36615" xr:uid="{25D92C55-FD9B-40F1-82BF-615CC0BBB6D3}"/>
    <cellStyle name="Comma 3 2 2 2 4 7" xfId="7887" xr:uid="{1629FD3E-9ED3-4AB8-A6EE-E2BE807214CA}"/>
    <cellStyle name="Comma 3 2 2 2 4 7 2" xfId="23007" xr:uid="{FB55C64C-E197-44E9-BCB1-F4F8DF8315BF}"/>
    <cellStyle name="Comma 3 2 2 2 4 7 2 2" xfId="53247" xr:uid="{5E48BF64-0B80-45D4-8C5E-861FFC39845A}"/>
    <cellStyle name="Comma 3 2 2 2 4 7 3" xfId="38127" xr:uid="{8CAC6546-6B75-489E-AE16-FEA685303081}"/>
    <cellStyle name="Comma 3 2 2 2 4 8" xfId="9399" xr:uid="{CD248FC3-A3BF-4C5A-8649-52FCCB9F96D7}"/>
    <cellStyle name="Comma 3 2 2 2 4 8 2" xfId="24519" xr:uid="{1B404D1C-1989-4D32-8237-F9B48F99BC8B}"/>
    <cellStyle name="Comma 3 2 2 2 4 8 2 2" xfId="54759" xr:uid="{9A8EDEB0-5DEF-4FAA-B3FD-490FA054D446}"/>
    <cellStyle name="Comma 3 2 2 2 4 8 3" xfId="39639" xr:uid="{2EA9F526-FDCF-4FD7-94AE-106C7D55A9E9}"/>
    <cellStyle name="Comma 3 2 2 2 4 9" xfId="15447" xr:uid="{6FA82208-879F-4496-8D94-D2B00034077B}"/>
    <cellStyle name="Comma 3 2 2 2 4 9 2" xfId="45687" xr:uid="{CB3A1BD6-6D86-44C6-9235-20F4374C07A2}"/>
    <cellStyle name="Comma 3 2 2 2 5" xfId="579" xr:uid="{16DE0F13-E4E4-42E9-90B7-F442E77A7FC5}"/>
    <cellStyle name="Comma 3 2 2 2 5 10" xfId="30819" xr:uid="{0CE57BEE-DD6B-4C58-B6EB-05768A3AEA7B}"/>
    <cellStyle name="Comma 3 2 2 2 5 2" xfId="1335" xr:uid="{A7DC824E-D88B-454A-8066-226D553AFB09}"/>
    <cellStyle name="Comma 3 2 2 2 5 2 2" xfId="2847" xr:uid="{B2550FED-D089-4F3D-B053-32339166A7AC}"/>
    <cellStyle name="Comma 3 2 2 2 5 2 2 2" xfId="11919" xr:uid="{948592AC-4FBA-49C8-819F-7117F3AF2D67}"/>
    <cellStyle name="Comma 3 2 2 2 5 2 2 2 2" xfId="27039" xr:uid="{B6BB2D2A-CD43-400F-A275-4B75C62B71C4}"/>
    <cellStyle name="Comma 3 2 2 2 5 2 2 2 2 2" xfId="57279" xr:uid="{A3BE6FE5-D887-47FB-A736-F60C5331EEED}"/>
    <cellStyle name="Comma 3 2 2 2 5 2 2 2 3" xfId="42159" xr:uid="{1B34AB93-787A-466E-956A-64A5DC294D47}"/>
    <cellStyle name="Comma 3 2 2 2 5 2 2 3" xfId="17967" xr:uid="{B96ABB76-0156-4B65-8B21-090A57A74FEF}"/>
    <cellStyle name="Comma 3 2 2 2 5 2 2 3 2" xfId="48207" xr:uid="{5AE80845-234B-4CA8-B890-36CF7576CE5D}"/>
    <cellStyle name="Comma 3 2 2 2 5 2 2 4" xfId="33087" xr:uid="{F6838817-011A-4801-9B5D-B89D5B32BF20}"/>
    <cellStyle name="Comma 3 2 2 2 5 2 3" xfId="4359" xr:uid="{7A5EDC07-E766-4CE1-86CF-258E21F0A4F1}"/>
    <cellStyle name="Comma 3 2 2 2 5 2 3 2" xfId="13431" xr:uid="{C85F160E-5B7A-41DA-99ED-FEA7E7722050}"/>
    <cellStyle name="Comma 3 2 2 2 5 2 3 2 2" xfId="28551" xr:uid="{2AFF652C-CCE8-44A2-8FAF-A08C4B93AD7A}"/>
    <cellStyle name="Comma 3 2 2 2 5 2 3 2 2 2" xfId="58791" xr:uid="{F142A8CC-FEBB-4842-BE2E-5D0743AA13B7}"/>
    <cellStyle name="Comma 3 2 2 2 5 2 3 2 3" xfId="43671" xr:uid="{BB8774F9-771E-414B-B56A-909CD9C50AE6}"/>
    <cellStyle name="Comma 3 2 2 2 5 2 3 3" xfId="19479" xr:uid="{F571E55F-073A-475C-8D39-6C289128A8CD}"/>
    <cellStyle name="Comma 3 2 2 2 5 2 3 3 2" xfId="49719" xr:uid="{028A7584-7671-495A-B1F9-9AD33E8A3FB4}"/>
    <cellStyle name="Comma 3 2 2 2 5 2 3 4" xfId="34599" xr:uid="{4F3306C6-C153-4BF9-B340-EBC71FDAB6D5}"/>
    <cellStyle name="Comma 3 2 2 2 5 2 4" xfId="5871" xr:uid="{E6DC6938-A6EC-4ED6-BEED-93ED31F59522}"/>
    <cellStyle name="Comma 3 2 2 2 5 2 4 2" xfId="14943" xr:uid="{52D837D0-432F-4D6C-8820-4CBD7F3EAC1C}"/>
    <cellStyle name="Comma 3 2 2 2 5 2 4 2 2" xfId="30063" xr:uid="{B419DA32-71BC-4419-8DE0-074004300A53}"/>
    <cellStyle name="Comma 3 2 2 2 5 2 4 2 2 2" xfId="60303" xr:uid="{4DD23553-236C-4A9B-B038-35B9383B9AAB}"/>
    <cellStyle name="Comma 3 2 2 2 5 2 4 2 3" xfId="45183" xr:uid="{3F7EEF40-015E-4EBD-8E4A-23B3B331CF28}"/>
    <cellStyle name="Comma 3 2 2 2 5 2 4 3" xfId="20991" xr:uid="{B6188114-D6C9-484D-A49E-08E4255A308F}"/>
    <cellStyle name="Comma 3 2 2 2 5 2 4 3 2" xfId="51231" xr:uid="{FBB8FD63-1661-4868-966B-DAD69087FFAD}"/>
    <cellStyle name="Comma 3 2 2 2 5 2 4 4" xfId="36111" xr:uid="{9278D8C1-D635-4375-BB30-A86A010877C5}"/>
    <cellStyle name="Comma 3 2 2 2 5 2 5" xfId="7383" xr:uid="{D49DEF6E-34E2-41CF-B614-1EC6FE1043BD}"/>
    <cellStyle name="Comma 3 2 2 2 5 2 5 2" xfId="22503" xr:uid="{E9D80F70-4836-4E15-B783-0A738E4A25AA}"/>
    <cellStyle name="Comma 3 2 2 2 5 2 5 2 2" xfId="52743" xr:uid="{040A397E-4F40-4F5D-B9CC-EC80AC1F0AAA}"/>
    <cellStyle name="Comma 3 2 2 2 5 2 5 3" xfId="37623" xr:uid="{B548A895-141B-43D4-9C8D-EB4E03F227C0}"/>
    <cellStyle name="Comma 3 2 2 2 5 2 6" xfId="8895" xr:uid="{9C250B53-102F-4CCD-AA29-6C58EA6E8C60}"/>
    <cellStyle name="Comma 3 2 2 2 5 2 6 2" xfId="24015" xr:uid="{B5E631BA-155C-4A01-BE52-4B54D788710B}"/>
    <cellStyle name="Comma 3 2 2 2 5 2 6 2 2" xfId="54255" xr:uid="{EDA46F6D-97EF-4C1C-A96D-4924552A486E}"/>
    <cellStyle name="Comma 3 2 2 2 5 2 6 3" xfId="39135" xr:uid="{9603158B-968C-4B2A-857C-16B2C600481A}"/>
    <cellStyle name="Comma 3 2 2 2 5 2 7" xfId="10407" xr:uid="{59D715DA-012B-4474-9675-0204320AB2F6}"/>
    <cellStyle name="Comma 3 2 2 2 5 2 7 2" xfId="25527" xr:uid="{6948A46C-2D53-4E65-9C4A-5E4A979F05DF}"/>
    <cellStyle name="Comma 3 2 2 2 5 2 7 2 2" xfId="55767" xr:uid="{EF42C5C6-C93F-4641-B38A-0B5D5D93F85F}"/>
    <cellStyle name="Comma 3 2 2 2 5 2 7 3" xfId="40647" xr:uid="{D923CE9F-15D4-49E6-BC81-3D4F0983602D}"/>
    <cellStyle name="Comma 3 2 2 2 5 2 8" xfId="16455" xr:uid="{F075780E-A861-4108-80CE-4610AFFCDF33}"/>
    <cellStyle name="Comma 3 2 2 2 5 2 8 2" xfId="46695" xr:uid="{0C61C9DF-2C97-4190-A310-E6BA52E5FEB5}"/>
    <cellStyle name="Comma 3 2 2 2 5 2 9" xfId="31575" xr:uid="{50C0F148-CDBD-4500-8034-4F314E29127E}"/>
    <cellStyle name="Comma 3 2 2 2 5 3" xfId="2091" xr:uid="{00ACC33D-9886-4F3E-A125-B45D43AFFB58}"/>
    <cellStyle name="Comma 3 2 2 2 5 3 2" xfId="11163" xr:uid="{8883B688-DA94-4FFC-AD33-3E6D56D56BA6}"/>
    <cellStyle name="Comma 3 2 2 2 5 3 2 2" xfId="26283" xr:uid="{1AF76008-D97C-4E0F-BE30-CF1BA7F55818}"/>
    <cellStyle name="Comma 3 2 2 2 5 3 2 2 2" xfId="56523" xr:uid="{3C83613A-54AA-4712-9215-7E8B923C6C81}"/>
    <cellStyle name="Comma 3 2 2 2 5 3 2 3" xfId="41403" xr:uid="{78D17785-07CF-4718-A39E-A9DB7CE38AFE}"/>
    <cellStyle name="Comma 3 2 2 2 5 3 3" xfId="17211" xr:uid="{8F43277E-F85B-43EE-A28B-781C85421A9F}"/>
    <cellStyle name="Comma 3 2 2 2 5 3 3 2" xfId="47451" xr:uid="{BC2FAEB0-5F8A-4255-BBE6-8C02542184A7}"/>
    <cellStyle name="Comma 3 2 2 2 5 3 4" xfId="32331" xr:uid="{22D091BE-2507-4AD9-B475-02643401DABD}"/>
    <cellStyle name="Comma 3 2 2 2 5 4" xfId="3603" xr:uid="{E616FF24-5E95-43A3-936E-027339EC0F1B}"/>
    <cellStyle name="Comma 3 2 2 2 5 4 2" xfId="12675" xr:uid="{484CAA1A-52FB-4E58-AFB9-80A3253292BC}"/>
    <cellStyle name="Comma 3 2 2 2 5 4 2 2" xfId="27795" xr:uid="{672E8C0E-EC25-4E41-9EA4-425486796473}"/>
    <cellStyle name="Comma 3 2 2 2 5 4 2 2 2" xfId="58035" xr:uid="{816B9069-B15B-4B14-98C5-F536C250722D}"/>
    <cellStyle name="Comma 3 2 2 2 5 4 2 3" xfId="42915" xr:uid="{E8E09744-959B-496A-AA00-C0AAC08D37EE}"/>
    <cellStyle name="Comma 3 2 2 2 5 4 3" xfId="18723" xr:uid="{CEF259DE-0072-4D6E-B934-8438F539D229}"/>
    <cellStyle name="Comma 3 2 2 2 5 4 3 2" xfId="48963" xr:uid="{D2EC8751-7FA6-48BD-9A45-13DFD52655A7}"/>
    <cellStyle name="Comma 3 2 2 2 5 4 4" xfId="33843" xr:uid="{B248A81A-59A6-4090-8B1D-F1048CF71F6C}"/>
    <cellStyle name="Comma 3 2 2 2 5 5" xfId="5115" xr:uid="{C34292C0-1C39-4A3D-A050-8F32D39E5FB6}"/>
    <cellStyle name="Comma 3 2 2 2 5 5 2" xfId="14187" xr:uid="{9F641539-83A4-467D-9C1D-D5EACBD541B4}"/>
    <cellStyle name="Comma 3 2 2 2 5 5 2 2" xfId="29307" xr:uid="{8FB44058-8853-4FE2-B0A5-EC06D3B526A0}"/>
    <cellStyle name="Comma 3 2 2 2 5 5 2 2 2" xfId="59547" xr:uid="{AB0E794D-E551-4890-B898-631AD60B62E0}"/>
    <cellStyle name="Comma 3 2 2 2 5 5 2 3" xfId="44427" xr:uid="{B857680C-11B2-489C-8538-472BEB44EB8F}"/>
    <cellStyle name="Comma 3 2 2 2 5 5 3" xfId="20235" xr:uid="{316F9F2F-3DAC-4E1B-B330-1ADBF947BBFC}"/>
    <cellStyle name="Comma 3 2 2 2 5 5 3 2" xfId="50475" xr:uid="{DDD78DC2-38E8-48DA-8B91-DC831D27E0C4}"/>
    <cellStyle name="Comma 3 2 2 2 5 5 4" xfId="35355" xr:uid="{BE7686C4-3D57-454D-A05B-FBFD2A127E48}"/>
    <cellStyle name="Comma 3 2 2 2 5 6" xfId="6627" xr:uid="{5231F375-931F-484A-ABBB-234AE446A863}"/>
    <cellStyle name="Comma 3 2 2 2 5 6 2" xfId="21747" xr:uid="{B8D59FF3-43A3-4E2B-B5E7-A759B226BD16}"/>
    <cellStyle name="Comma 3 2 2 2 5 6 2 2" xfId="51987" xr:uid="{E5DD1E59-AB69-4236-B9C5-6C342FBE1932}"/>
    <cellStyle name="Comma 3 2 2 2 5 6 3" xfId="36867" xr:uid="{DF73BEE3-2595-4985-9902-C4CDD8280697}"/>
    <cellStyle name="Comma 3 2 2 2 5 7" xfId="8139" xr:uid="{8F291260-A0F3-47FA-8AA4-AA002733F910}"/>
    <cellStyle name="Comma 3 2 2 2 5 7 2" xfId="23259" xr:uid="{CCE72FBA-E669-4D91-98C8-E132386D7441}"/>
    <cellStyle name="Comma 3 2 2 2 5 7 2 2" xfId="53499" xr:uid="{AE16B6F1-6B90-4B47-A17E-8BF1BE26FE28}"/>
    <cellStyle name="Comma 3 2 2 2 5 7 3" xfId="38379" xr:uid="{4E534E29-34A0-41BC-85C1-85D931FDF4AC}"/>
    <cellStyle name="Comma 3 2 2 2 5 8" xfId="9651" xr:uid="{81BA67B2-768B-4791-AB11-F62730FDE42A}"/>
    <cellStyle name="Comma 3 2 2 2 5 8 2" xfId="24771" xr:uid="{73DC9072-9ED9-4A7F-B1BD-5A94EC609DAB}"/>
    <cellStyle name="Comma 3 2 2 2 5 8 2 2" xfId="55011" xr:uid="{D0152878-A07F-492C-BF09-718E21A92465}"/>
    <cellStyle name="Comma 3 2 2 2 5 8 3" xfId="39891" xr:uid="{646AED15-7A4B-45CF-8608-7CB130572F2B}"/>
    <cellStyle name="Comma 3 2 2 2 5 9" xfId="15699" xr:uid="{A3E31E69-C590-4A9D-B649-38AC31B5DEF3}"/>
    <cellStyle name="Comma 3 2 2 2 5 9 2" xfId="45939" xr:uid="{FB1ACDCC-CE2D-4B21-BD0C-F67A239ABD39}"/>
    <cellStyle name="Comma 3 2 2 2 6" xfId="831" xr:uid="{D421FD9A-029B-4CA5-9B25-08C1D43049DE}"/>
    <cellStyle name="Comma 3 2 2 2 6 2" xfId="2343" xr:uid="{E45273DD-F015-489E-8889-0ECEAAD1D541}"/>
    <cellStyle name="Comma 3 2 2 2 6 2 2" xfId="11415" xr:uid="{2FD7521C-DE24-4EF6-8C87-2AE1B74C2571}"/>
    <cellStyle name="Comma 3 2 2 2 6 2 2 2" xfId="26535" xr:uid="{4F29F7DC-A305-488E-8778-0E0FF3C6A0F0}"/>
    <cellStyle name="Comma 3 2 2 2 6 2 2 2 2" xfId="56775" xr:uid="{43C55D0E-643D-401A-BB63-0408381312CA}"/>
    <cellStyle name="Comma 3 2 2 2 6 2 2 3" xfId="41655" xr:uid="{5B66A6A2-FFFA-4040-88D8-558E307E8874}"/>
    <cellStyle name="Comma 3 2 2 2 6 2 3" xfId="17463" xr:uid="{4D982905-E0A9-4293-A504-3444639EBEC9}"/>
    <cellStyle name="Comma 3 2 2 2 6 2 3 2" xfId="47703" xr:uid="{8AA6A427-DC65-4838-8CD6-4E8C1B3D627D}"/>
    <cellStyle name="Comma 3 2 2 2 6 2 4" xfId="32583" xr:uid="{6CD270B4-E598-4952-BCB7-EC40783838BC}"/>
    <cellStyle name="Comma 3 2 2 2 6 3" xfId="3855" xr:uid="{19CABFB0-885A-4035-80E4-028715AFC6F3}"/>
    <cellStyle name="Comma 3 2 2 2 6 3 2" xfId="12927" xr:uid="{D234D6A9-5696-41BD-83C4-649500F51AE5}"/>
    <cellStyle name="Comma 3 2 2 2 6 3 2 2" xfId="28047" xr:uid="{97E61564-1448-49CA-87DA-2B337466C230}"/>
    <cellStyle name="Comma 3 2 2 2 6 3 2 2 2" xfId="58287" xr:uid="{0FBE2C67-0C03-41E0-BCEC-7C9D43775822}"/>
    <cellStyle name="Comma 3 2 2 2 6 3 2 3" xfId="43167" xr:uid="{A73AA541-030D-414E-9A51-4D249EC99C63}"/>
    <cellStyle name="Comma 3 2 2 2 6 3 3" xfId="18975" xr:uid="{2B6EDA72-C9FA-4752-AEEB-B072E16514E2}"/>
    <cellStyle name="Comma 3 2 2 2 6 3 3 2" xfId="49215" xr:uid="{50D48F55-0F9B-46AC-82B4-F590FB8CA9A5}"/>
    <cellStyle name="Comma 3 2 2 2 6 3 4" xfId="34095" xr:uid="{146AD1DE-933A-438A-8067-C9F2BD9FA6A8}"/>
    <cellStyle name="Comma 3 2 2 2 6 4" xfId="5367" xr:uid="{B6D50DDB-2F3E-468D-83E0-3A66A9CD011A}"/>
    <cellStyle name="Comma 3 2 2 2 6 4 2" xfId="14439" xr:uid="{069845C7-6B52-4DD1-A82D-F957F5771A53}"/>
    <cellStyle name="Comma 3 2 2 2 6 4 2 2" xfId="29559" xr:uid="{CA353893-DD2B-430D-AF2A-B3A8DB32B8A0}"/>
    <cellStyle name="Comma 3 2 2 2 6 4 2 2 2" xfId="59799" xr:uid="{245FAE03-24E5-4B1E-9B83-CDF5532166B5}"/>
    <cellStyle name="Comma 3 2 2 2 6 4 2 3" xfId="44679" xr:uid="{209CC6EA-5547-4C4A-B5BF-9DB7C9358C22}"/>
    <cellStyle name="Comma 3 2 2 2 6 4 3" xfId="20487" xr:uid="{2F2937E7-76B0-4C9B-A12A-76B807F7DAAC}"/>
    <cellStyle name="Comma 3 2 2 2 6 4 3 2" xfId="50727" xr:uid="{7F09A902-6428-4EEF-A6DC-AC6149B33B4A}"/>
    <cellStyle name="Comma 3 2 2 2 6 4 4" xfId="35607" xr:uid="{9D68261E-3DA4-4DF9-A01C-DB78FB7677BC}"/>
    <cellStyle name="Comma 3 2 2 2 6 5" xfId="6879" xr:uid="{C5BB6E4C-C8A6-4D9D-B39F-D989C8826DC5}"/>
    <cellStyle name="Comma 3 2 2 2 6 5 2" xfId="21999" xr:uid="{19013357-4D98-4604-A675-5D1C04490ED7}"/>
    <cellStyle name="Comma 3 2 2 2 6 5 2 2" xfId="52239" xr:uid="{42C2F6EB-6D38-4183-9E1C-A2E71A7DD438}"/>
    <cellStyle name="Comma 3 2 2 2 6 5 3" xfId="37119" xr:uid="{A07B09E8-27FB-4FB5-960B-55456D829492}"/>
    <cellStyle name="Comma 3 2 2 2 6 6" xfId="8391" xr:uid="{7B9B8EC2-E5AD-4FA4-AC7D-68CC7375BB29}"/>
    <cellStyle name="Comma 3 2 2 2 6 6 2" xfId="23511" xr:uid="{42BB7393-942D-4AEC-91DD-2734DC28B6AF}"/>
    <cellStyle name="Comma 3 2 2 2 6 6 2 2" xfId="53751" xr:uid="{94FF2854-C942-4A57-849C-F6E4ABEF9DF0}"/>
    <cellStyle name="Comma 3 2 2 2 6 6 3" xfId="38631" xr:uid="{28FE1E85-F2DF-4A9A-A958-444DC9DE5996}"/>
    <cellStyle name="Comma 3 2 2 2 6 7" xfId="9903" xr:uid="{BB2AB2CE-4564-4393-A017-75F60A3BA06E}"/>
    <cellStyle name="Comma 3 2 2 2 6 7 2" xfId="25023" xr:uid="{360E2040-754C-405B-8CFE-8C6BA09912E6}"/>
    <cellStyle name="Comma 3 2 2 2 6 7 2 2" xfId="55263" xr:uid="{DA1DE326-DFD7-4343-BE3D-74D5E6B61F38}"/>
    <cellStyle name="Comma 3 2 2 2 6 7 3" xfId="40143" xr:uid="{9EEDA521-6C07-4813-9589-C426D518C269}"/>
    <cellStyle name="Comma 3 2 2 2 6 8" xfId="15951" xr:uid="{19041809-428B-4573-8F6D-CC9605225080}"/>
    <cellStyle name="Comma 3 2 2 2 6 8 2" xfId="46191" xr:uid="{935E87D4-ABF5-4FA0-9491-93A9CAEC7771}"/>
    <cellStyle name="Comma 3 2 2 2 6 9" xfId="31071" xr:uid="{C5FC2BC5-7F24-4168-968A-D10C190C0F6E}"/>
    <cellStyle name="Comma 3 2 2 2 7" xfId="1587" xr:uid="{E9C8C27F-B556-43CD-9854-6750D89E9994}"/>
    <cellStyle name="Comma 3 2 2 2 7 2" xfId="10659" xr:uid="{74AE07D6-0296-4D5E-BC24-15AFCC012318}"/>
    <cellStyle name="Comma 3 2 2 2 7 2 2" xfId="25779" xr:uid="{18546952-2093-4CF0-96F1-82545087ECE4}"/>
    <cellStyle name="Comma 3 2 2 2 7 2 2 2" xfId="56019" xr:uid="{EDD55801-671D-4F6A-815A-BECE8C5F8D27}"/>
    <cellStyle name="Comma 3 2 2 2 7 2 3" xfId="40899" xr:uid="{8801C690-EB6E-4603-91AB-F1E94A918F2A}"/>
    <cellStyle name="Comma 3 2 2 2 7 3" xfId="16707" xr:uid="{22503E93-E943-4484-9AEA-8F8ED80FB8E0}"/>
    <cellStyle name="Comma 3 2 2 2 7 3 2" xfId="46947" xr:uid="{1733C540-85F3-41EF-B0A0-BA0087951BAE}"/>
    <cellStyle name="Comma 3 2 2 2 7 4" xfId="31827" xr:uid="{A42F3B91-7711-48D2-A747-24E94A0F2E37}"/>
    <cellStyle name="Comma 3 2 2 2 8" xfId="3099" xr:uid="{0F438A94-41BB-4FDD-BC8A-08D04AA6E67C}"/>
    <cellStyle name="Comma 3 2 2 2 8 2" xfId="12171" xr:uid="{6A2EDD7B-4BF5-4CEE-A7C8-35496D56BF58}"/>
    <cellStyle name="Comma 3 2 2 2 8 2 2" xfId="27291" xr:uid="{8613699D-F64F-4B88-9314-D3615084EA0C}"/>
    <cellStyle name="Comma 3 2 2 2 8 2 2 2" xfId="57531" xr:uid="{1C187993-4DB5-4D04-BB9C-3876FB2C87C8}"/>
    <cellStyle name="Comma 3 2 2 2 8 2 3" xfId="42411" xr:uid="{4C84126A-21EA-45B8-BBFD-E4ADD8D61B6E}"/>
    <cellStyle name="Comma 3 2 2 2 8 3" xfId="18219" xr:uid="{D6FCE425-671B-48C0-8A54-DE1D165F8373}"/>
    <cellStyle name="Comma 3 2 2 2 8 3 2" xfId="48459" xr:uid="{BBDF7B9D-983E-47E5-AC5C-300A04E29B29}"/>
    <cellStyle name="Comma 3 2 2 2 8 4" xfId="33339" xr:uid="{2B658DF0-AC27-4738-98A4-D70140D7AFB1}"/>
    <cellStyle name="Comma 3 2 2 2 9" xfId="4611" xr:uid="{4C830A81-5074-4DC0-9C01-7AC39774EA94}"/>
    <cellStyle name="Comma 3 2 2 2 9 2" xfId="13683" xr:uid="{8D618086-E4C3-49E7-80AA-2EEFB02555B2}"/>
    <cellStyle name="Comma 3 2 2 2 9 2 2" xfId="28803" xr:uid="{30F30730-6B2E-4F81-A341-95288E6F3322}"/>
    <cellStyle name="Comma 3 2 2 2 9 2 2 2" xfId="59043" xr:uid="{E710405A-CCB5-4301-9146-6D544ACF3666}"/>
    <cellStyle name="Comma 3 2 2 2 9 2 3" xfId="43923" xr:uid="{1F26BBCC-B434-46FC-AEFF-BA6389C1AA4D}"/>
    <cellStyle name="Comma 3 2 2 2 9 3" xfId="19731" xr:uid="{1F9CC61B-F15C-4235-B572-9B6A47C04BDC}"/>
    <cellStyle name="Comma 3 2 2 2 9 3 2" xfId="49971" xr:uid="{DFCEB277-BA67-49B6-AF26-E3A578C1AE13}"/>
    <cellStyle name="Comma 3 2 2 2 9 4" xfId="34851" xr:uid="{59A45F67-2B8C-4EEF-9C48-9BD648440BF7}"/>
    <cellStyle name="Comma 3 2 2 3" xfId="117" xr:uid="{A5A3DE19-383C-419A-A7CA-515481ED2E3E}"/>
    <cellStyle name="Comma 3 2 2 3 10" xfId="9189" xr:uid="{EA381126-9D50-4033-A91B-ADF7325569BB}"/>
    <cellStyle name="Comma 3 2 2 3 10 2" xfId="24309" xr:uid="{07A753C9-0B2C-4708-8259-5B6F95A60D77}"/>
    <cellStyle name="Comma 3 2 2 3 10 2 2" xfId="54549" xr:uid="{081C6ABD-0D8D-4D2E-9D3C-5815E3BA87CA}"/>
    <cellStyle name="Comma 3 2 2 3 10 3" xfId="39429" xr:uid="{79B3C573-E036-4DED-BB8D-BC80F5C9D11F}"/>
    <cellStyle name="Comma 3 2 2 3 11" xfId="15237" xr:uid="{EFB045BC-F12D-4A2F-BB4D-93C3072AA2C0}"/>
    <cellStyle name="Comma 3 2 2 3 11 2" xfId="45477" xr:uid="{D6C10CA6-F414-4BBB-A82D-4441781FB650}"/>
    <cellStyle name="Comma 3 2 2 3 12" xfId="30357" xr:uid="{94324843-E3B5-47C6-9253-95EC6CC8CB67}"/>
    <cellStyle name="Comma 3 2 2 3 2" xfId="369" xr:uid="{29350932-32F8-47A8-A8A5-1176CC351EA5}"/>
    <cellStyle name="Comma 3 2 2 3 2 10" xfId="30609" xr:uid="{B1A00771-256C-4396-AC8F-782F9EB9B293}"/>
    <cellStyle name="Comma 3 2 2 3 2 2" xfId="1125" xr:uid="{8F3DF92F-1979-4D78-BEE5-C84F9F4CCCA4}"/>
    <cellStyle name="Comma 3 2 2 3 2 2 2" xfId="2637" xr:uid="{36D9551D-031A-46FA-9D03-AF087AD1225E}"/>
    <cellStyle name="Comma 3 2 2 3 2 2 2 2" xfId="11709" xr:uid="{195D272F-FA03-4757-BE09-DF7EA4847E46}"/>
    <cellStyle name="Comma 3 2 2 3 2 2 2 2 2" xfId="26829" xr:uid="{154C435A-480E-408A-AD5B-21A93B07D8B4}"/>
    <cellStyle name="Comma 3 2 2 3 2 2 2 2 2 2" xfId="57069" xr:uid="{0B5F0AEF-5F52-4602-AFF1-BD70E8FE488B}"/>
    <cellStyle name="Comma 3 2 2 3 2 2 2 2 3" xfId="41949" xr:uid="{CD2768AC-9E94-46F9-83B0-4C441E456457}"/>
    <cellStyle name="Comma 3 2 2 3 2 2 2 3" xfId="17757" xr:uid="{B78650DE-8A2C-4DB7-BD1F-89BBD4377047}"/>
    <cellStyle name="Comma 3 2 2 3 2 2 2 3 2" xfId="47997" xr:uid="{BF3AFCEE-2BBD-42B9-9B8D-45498E4F2434}"/>
    <cellStyle name="Comma 3 2 2 3 2 2 2 4" xfId="32877" xr:uid="{41207EAE-B81F-4B4D-BBFC-777E653666D1}"/>
    <cellStyle name="Comma 3 2 2 3 2 2 3" xfId="4149" xr:uid="{C47AD119-74FA-4B33-BBC1-861A38E41220}"/>
    <cellStyle name="Comma 3 2 2 3 2 2 3 2" xfId="13221" xr:uid="{C843F32A-D95C-4525-AE91-92F61AB31584}"/>
    <cellStyle name="Comma 3 2 2 3 2 2 3 2 2" xfId="28341" xr:uid="{CA98FFF6-D5BD-45D6-9DC5-1655E5FEDEC0}"/>
    <cellStyle name="Comma 3 2 2 3 2 2 3 2 2 2" xfId="58581" xr:uid="{A23A2F13-D5AB-47F8-9895-A2E81E8FBE64}"/>
    <cellStyle name="Comma 3 2 2 3 2 2 3 2 3" xfId="43461" xr:uid="{7C9FE622-E96D-429D-A087-9B0E2FE100B0}"/>
    <cellStyle name="Comma 3 2 2 3 2 2 3 3" xfId="19269" xr:uid="{090B868E-6F75-4913-8961-B3C11F90AF8D}"/>
    <cellStyle name="Comma 3 2 2 3 2 2 3 3 2" xfId="49509" xr:uid="{82211D21-9B7F-4F33-9757-59B073AD89EC}"/>
    <cellStyle name="Comma 3 2 2 3 2 2 3 4" xfId="34389" xr:uid="{3239A83A-E331-4BF1-813A-DF090B62C0E4}"/>
    <cellStyle name="Comma 3 2 2 3 2 2 4" xfId="5661" xr:uid="{717484C6-40EA-4094-B689-1CF26903D07C}"/>
    <cellStyle name="Comma 3 2 2 3 2 2 4 2" xfId="14733" xr:uid="{3094D019-EAF1-4143-9B51-FE9EEEFD7528}"/>
    <cellStyle name="Comma 3 2 2 3 2 2 4 2 2" xfId="29853" xr:uid="{DC8F1E50-E453-4CD8-BE04-678983DE4275}"/>
    <cellStyle name="Comma 3 2 2 3 2 2 4 2 2 2" xfId="60093" xr:uid="{7375F3FA-9E6D-47A7-AB58-9E58408D47A0}"/>
    <cellStyle name="Comma 3 2 2 3 2 2 4 2 3" xfId="44973" xr:uid="{B492FB23-4E72-45BF-B479-FAC551574D7D}"/>
    <cellStyle name="Comma 3 2 2 3 2 2 4 3" xfId="20781" xr:uid="{CD42E3DB-9BBB-455A-AAB6-5BE896B7AE9B}"/>
    <cellStyle name="Comma 3 2 2 3 2 2 4 3 2" xfId="51021" xr:uid="{7363F8AF-32D4-402F-9BFD-01A673889161}"/>
    <cellStyle name="Comma 3 2 2 3 2 2 4 4" xfId="35901" xr:uid="{2F690E68-E6D3-4BA7-B814-889A7A99500E}"/>
    <cellStyle name="Comma 3 2 2 3 2 2 5" xfId="7173" xr:uid="{B6E66FDA-BE96-4285-9B04-4EF368ACD721}"/>
    <cellStyle name="Comma 3 2 2 3 2 2 5 2" xfId="22293" xr:uid="{B6CFB06E-68DA-4BD7-812A-B26B757E888A}"/>
    <cellStyle name="Comma 3 2 2 3 2 2 5 2 2" xfId="52533" xr:uid="{52E0766D-7B95-4AB0-9767-484A8A8F67A6}"/>
    <cellStyle name="Comma 3 2 2 3 2 2 5 3" xfId="37413" xr:uid="{CBF1614E-34F3-4117-B7E4-8B8E765D4A23}"/>
    <cellStyle name="Comma 3 2 2 3 2 2 6" xfId="8685" xr:uid="{F5EF95F0-B6BC-41D9-A9DC-EF660649E79F}"/>
    <cellStyle name="Comma 3 2 2 3 2 2 6 2" xfId="23805" xr:uid="{EE4CD68A-650D-4BDB-B5B6-AEA47BEAAA8A}"/>
    <cellStyle name="Comma 3 2 2 3 2 2 6 2 2" xfId="54045" xr:uid="{33DC5776-C3F5-432B-BBCB-5B482C546525}"/>
    <cellStyle name="Comma 3 2 2 3 2 2 6 3" xfId="38925" xr:uid="{DAF72C4A-BD7C-43FD-A5FA-765507F5358B}"/>
    <cellStyle name="Comma 3 2 2 3 2 2 7" xfId="10197" xr:uid="{C86DE24C-69FC-4A5A-BB40-2856A4793C79}"/>
    <cellStyle name="Comma 3 2 2 3 2 2 7 2" xfId="25317" xr:uid="{99D32434-565A-48B1-977B-597AEC005832}"/>
    <cellStyle name="Comma 3 2 2 3 2 2 7 2 2" xfId="55557" xr:uid="{28BEB2C2-2282-47AD-8EFE-BC9CE2A45DAB}"/>
    <cellStyle name="Comma 3 2 2 3 2 2 7 3" xfId="40437" xr:uid="{FCE4963F-179C-427A-AE4E-E415DA455259}"/>
    <cellStyle name="Comma 3 2 2 3 2 2 8" xfId="16245" xr:uid="{841BCBBA-145D-4EFE-874A-71D5A7C9E7E1}"/>
    <cellStyle name="Comma 3 2 2 3 2 2 8 2" xfId="46485" xr:uid="{6A327A9F-53BB-4021-BFBE-3E95629A1C50}"/>
    <cellStyle name="Comma 3 2 2 3 2 2 9" xfId="31365" xr:uid="{F8F02BF5-9BE4-4D53-B2C7-EC4726683298}"/>
    <cellStyle name="Comma 3 2 2 3 2 3" xfId="1881" xr:uid="{089CE312-3B4D-414C-BB20-B37235B8158B}"/>
    <cellStyle name="Comma 3 2 2 3 2 3 2" xfId="10953" xr:uid="{D2638695-076E-4428-B97C-1567CE086C38}"/>
    <cellStyle name="Comma 3 2 2 3 2 3 2 2" xfId="26073" xr:uid="{D8A29385-F362-4A1E-89F6-804B51B23580}"/>
    <cellStyle name="Comma 3 2 2 3 2 3 2 2 2" xfId="56313" xr:uid="{8BBA102A-AF3E-423D-BFBA-286C97F76F90}"/>
    <cellStyle name="Comma 3 2 2 3 2 3 2 3" xfId="41193" xr:uid="{4FF30BDD-0CC2-4E2E-BA08-D83AFC1BAFE8}"/>
    <cellStyle name="Comma 3 2 2 3 2 3 3" xfId="17001" xr:uid="{2234982B-1E72-49BF-870D-DB0B1007C21A}"/>
    <cellStyle name="Comma 3 2 2 3 2 3 3 2" xfId="47241" xr:uid="{2A03E70B-D1D9-45B8-875D-18B42301CBC7}"/>
    <cellStyle name="Comma 3 2 2 3 2 3 4" xfId="32121" xr:uid="{7878042D-41EA-417E-ADE4-C3CB3AC63A67}"/>
    <cellStyle name="Comma 3 2 2 3 2 4" xfId="3393" xr:uid="{8C232F4E-0671-471C-A550-0CABD8D8B1DD}"/>
    <cellStyle name="Comma 3 2 2 3 2 4 2" xfId="12465" xr:uid="{99D08A6D-EF11-4287-B5B1-A0A63D27E1B4}"/>
    <cellStyle name="Comma 3 2 2 3 2 4 2 2" xfId="27585" xr:uid="{FFB9C448-0A79-4E13-8FCA-9B9978DF0067}"/>
    <cellStyle name="Comma 3 2 2 3 2 4 2 2 2" xfId="57825" xr:uid="{1669B7F6-2B2D-460E-87C1-8E2A49E23737}"/>
    <cellStyle name="Comma 3 2 2 3 2 4 2 3" xfId="42705" xr:uid="{7DFE5E52-9AD3-4280-B8DF-DD67D924BF06}"/>
    <cellStyle name="Comma 3 2 2 3 2 4 3" xfId="18513" xr:uid="{8E64F378-509D-4511-8688-2157169B0632}"/>
    <cellStyle name="Comma 3 2 2 3 2 4 3 2" xfId="48753" xr:uid="{F3471768-CF27-45B6-AFC3-5B31ACB8D6BC}"/>
    <cellStyle name="Comma 3 2 2 3 2 4 4" xfId="33633" xr:uid="{AA3F4CA7-542D-4DEF-8FB5-7134EF1CB1FF}"/>
    <cellStyle name="Comma 3 2 2 3 2 5" xfId="4905" xr:uid="{342CCE24-A8E9-43CD-A11A-3F00DD528F49}"/>
    <cellStyle name="Comma 3 2 2 3 2 5 2" xfId="13977" xr:uid="{3C50CBA0-4F8F-41D7-A5BC-9043F881A221}"/>
    <cellStyle name="Comma 3 2 2 3 2 5 2 2" xfId="29097" xr:uid="{843E77B9-9569-4277-8D51-8B105BAFED58}"/>
    <cellStyle name="Comma 3 2 2 3 2 5 2 2 2" xfId="59337" xr:uid="{7B74113C-436A-4AD7-AED3-DE515676F9CD}"/>
    <cellStyle name="Comma 3 2 2 3 2 5 2 3" xfId="44217" xr:uid="{F2AFFE26-1A68-4875-8A6B-0480112EF3EE}"/>
    <cellStyle name="Comma 3 2 2 3 2 5 3" xfId="20025" xr:uid="{769F2ADF-7223-4928-97E8-F722418CE1AE}"/>
    <cellStyle name="Comma 3 2 2 3 2 5 3 2" xfId="50265" xr:uid="{B0D4F676-8360-45B0-83FD-A2B11A898E24}"/>
    <cellStyle name="Comma 3 2 2 3 2 5 4" xfId="35145" xr:uid="{E136D23E-CFC2-4837-9309-0D910069F1CC}"/>
    <cellStyle name="Comma 3 2 2 3 2 6" xfId="6417" xr:uid="{CB74EBCF-85A1-4702-A4CD-67B29496EB75}"/>
    <cellStyle name="Comma 3 2 2 3 2 6 2" xfId="21537" xr:uid="{2A949675-F946-451E-8F6D-DA799336F1FF}"/>
    <cellStyle name="Comma 3 2 2 3 2 6 2 2" xfId="51777" xr:uid="{5BE15520-DD34-484C-B4A6-31C5ECEC785D}"/>
    <cellStyle name="Comma 3 2 2 3 2 6 3" xfId="36657" xr:uid="{1AC652E6-0265-407F-A6EB-70509EEFA832}"/>
    <cellStyle name="Comma 3 2 2 3 2 7" xfId="7929" xr:uid="{1B18CDB8-43B6-45F1-86E5-1B1135E0D232}"/>
    <cellStyle name="Comma 3 2 2 3 2 7 2" xfId="23049" xr:uid="{705B5345-9713-48F5-B277-D43207DEA8F0}"/>
    <cellStyle name="Comma 3 2 2 3 2 7 2 2" xfId="53289" xr:uid="{69E4359C-ADB2-4B1D-BEBF-08B24C034D38}"/>
    <cellStyle name="Comma 3 2 2 3 2 7 3" xfId="38169" xr:uid="{A3F6EC1D-0875-4F8B-A919-B65901BF621A}"/>
    <cellStyle name="Comma 3 2 2 3 2 8" xfId="9441" xr:uid="{B9F759F0-7ADB-4C14-ADF8-BD305B54EF5F}"/>
    <cellStyle name="Comma 3 2 2 3 2 8 2" xfId="24561" xr:uid="{88FBC405-6F37-46EA-BC25-80435502319A}"/>
    <cellStyle name="Comma 3 2 2 3 2 8 2 2" xfId="54801" xr:uid="{FE10412C-ED21-4D51-8D9A-B5ECF6E5F6C4}"/>
    <cellStyle name="Comma 3 2 2 3 2 8 3" xfId="39681" xr:uid="{E004703D-3332-4802-9E66-FC09E66ACDD5}"/>
    <cellStyle name="Comma 3 2 2 3 2 9" xfId="15489" xr:uid="{CB6C7C27-3890-4E24-8315-C0CD464B0741}"/>
    <cellStyle name="Comma 3 2 2 3 2 9 2" xfId="45729" xr:uid="{3FE8CBAC-C055-4C2A-8D06-6972CA4F569A}"/>
    <cellStyle name="Comma 3 2 2 3 3" xfId="621" xr:uid="{D874F3E1-8B37-45AA-A473-758A0727F051}"/>
    <cellStyle name="Comma 3 2 2 3 3 10" xfId="30861" xr:uid="{F562FB33-50FC-495E-8D23-EEF70862E406}"/>
    <cellStyle name="Comma 3 2 2 3 3 2" xfId="1377" xr:uid="{50CE7D95-2354-41EC-8991-2EDFF20CBBF7}"/>
    <cellStyle name="Comma 3 2 2 3 3 2 2" xfId="2889" xr:uid="{55BB8B1A-41D6-422F-ABF3-3A553411CC33}"/>
    <cellStyle name="Comma 3 2 2 3 3 2 2 2" xfId="11961" xr:uid="{5443A738-EFA6-47A2-8D02-002F4B5047DD}"/>
    <cellStyle name="Comma 3 2 2 3 3 2 2 2 2" xfId="27081" xr:uid="{804F1B08-FFE0-4B7F-8C0C-987EDEDA6926}"/>
    <cellStyle name="Comma 3 2 2 3 3 2 2 2 2 2" xfId="57321" xr:uid="{4B5C6A89-2C35-42ED-ABBF-298757491824}"/>
    <cellStyle name="Comma 3 2 2 3 3 2 2 2 3" xfId="42201" xr:uid="{28424A5B-4AA7-44B8-88D5-19CEA5421F2E}"/>
    <cellStyle name="Comma 3 2 2 3 3 2 2 3" xfId="18009" xr:uid="{8A63E582-C388-41E7-B9C7-01031EBF8D9F}"/>
    <cellStyle name="Comma 3 2 2 3 3 2 2 3 2" xfId="48249" xr:uid="{82EC7087-AD85-4787-8B43-7CB35E77BF25}"/>
    <cellStyle name="Comma 3 2 2 3 3 2 2 4" xfId="33129" xr:uid="{B3A21045-C0BD-427B-93BC-8474F3A40F30}"/>
    <cellStyle name="Comma 3 2 2 3 3 2 3" xfId="4401" xr:uid="{AC9E9D42-64E4-4331-A8C4-7E55D837DFF7}"/>
    <cellStyle name="Comma 3 2 2 3 3 2 3 2" xfId="13473" xr:uid="{F2F93543-2F9B-4D58-A0A1-97BE64B0B98A}"/>
    <cellStyle name="Comma 3 2 2 3 3 2 3 2 2" xfId="28593" xr:uid="{6EA63884-EBD1-4B3E-BE22-9E803BDB1952}"/>
    <cellStyle name="Comma 3 2 2 3 3 2 3 2 2 2" xfId="58833" xr:uid="{AF802603-F7AB-473F-802C-41DD803C5CC8}"/>
    <cellStyle name="Comma 3 2 2 3 3 2 3 2 3" xfId="43713" xr:uid="{DEBB11AB-B271-4EAB-81C3-38CAC3CC5999}"/>
    <cellStyle name="Comma 3 2 2 3 3 2 3 3" xfId="19521" xr:uid="{DF3C3F2A-E327-4A25-B976-5B2AA8EFEFF2}"/>
    <cellStyle name="Comma 3 2 2 3 3 2 3 3 2" xfId="49761" xr:uid="{24551A52-732C-4B1C-8650-AE2FFD785200}"/>
    <cellStyle name="Comma 3 2 2 3 3 2 3 4" xfId="34641" xr:uid="{C2521C38-E11E-46F8-AAFF-A79AC9EDF5E1}"/>
    <cellStyle name="Comma 3 2 2 3 3 2 4" xfId="5913" xr:uid="{6203EC3E-D1DE-4D35-9F2F-B5C2CEB1A05A}"/>
    <cellStyle name="Comma 3 2 2 3 3 2 4 2" xfId="14985" xr:uid="{EEFF3A4F-69EE-4454-A44B-C72049902D08}"/>
    <cellStyle name="Comma 3 2 2 3 3 2 4 2 2" xfId="30105" xr:uid="{95D6BA2E-FBE2-4D0E-B2A8-516EBAF578EA}"/>
    <cellStyle name="Comma 3 2 2 3 3 2 4 2 2 2" xfId="60345" xr:uid="{3A669224-AD19-479E-B53C-162C4CA5687A}"/>
    <cellStyle name="Comma 3 2 2 3 3 2 4 2 3" xfId="45225" xr:uid="{DEF84AAE-5C82-49D8-B3F3-075FB4E02D76}"/>
    <cellStyle name="Comma 3 2 2 3 3 2 4 3" xfId="21033" xr:uid="{42889B99-CDE5-4FBB-94E9-0F086679D29E}"/>
    <cellStyle name="Comma 3 2 2 3 3 2 4 3 2" xfId="51273" xr:uid="{C9C9317D-8569-4179-BD68-8227234806B4}"/>
    <cellStyle name="Comma 3 2 2 3 3 2 4 4" xfId="36153" xr:uid="{F1B90A01-AFD1-4037-BD34-502684AC4336}"/>
    <cellStyle name="Comma 3 2 2 3 3 2 5" xfId="7425" xr:uid="{10599F70-5AD1-45C7-877D-179CE0D87CC4}"/>
    <cellStyle name="Comma 3 2 2 3 3 2 5 2" xfId="22545" xr:uid="{C2A78608-9690-4506-B542-965BB50ADC2A}"/>
    <cellStyle name="Comma 3 2 2 3 3 2 5 2 2" xfId="52785" xr:uid="{26EF42DB-021A-4053-B426-FAFC0B18F5F4}"/>
    <cellStyle name="Comma 3 2 2 3 3 2 5 3" xfId="37665" xr:uid="{A31466CD-B026-479D-921B-2FE4F8C0AC3C}"/>
    <cellStyle name="Comma 3 2 2 3 3 2 6" xfId="8937" xr:uid="{F3D52E3B-D077-4767-BDC6-65698D34A007}"/>
    <cellStyle name="Comma 3 2 2 3 3 2 6 2" xfId="24057" xr:uid="{61969B40-5468-4CC5-BD7C-6AFB1B34A4A5}"/>
    <cellStyle name="Comma 3 2 2 3 3 2 6 2 2" xfId="54297" xr:uid="{B111DAAD-E361-4155-ACD2-8D3B26054527}"/>
    <cellStyle name="Comma 3 2 2 3 3 2 6 3" xfId="39177" xr:uid="{6F8CF147-14A2-4896-9B31-B2BB2540D286}"/>
    <cellStyle name="Comma 3 2 2 3 3 2 7" xfId="10449" xr:uid="{2E639099-1B10-408A-A98A-954ED09E9B59}"/>
    <cellStyle name="Comma 3 2 2 3 3 2 7 2" xfId="25569" xr:uid="{08A3CF9C-D504-487F-977B-2378E5CB407D}"/>
    <cellStyle name="Comma 3 2 2 3 3 2 7 2 2" xfId="55809" xr:uid="{8312F146-3995-4861-9431-E67AFE510BCC}"/>
    <cellStyle name="Comma 3 2 2 3 3 2 7 3" xfId="40689" xr:uid="{E636C552-9B5D-40CD-9DED-D1BF9AA8E8B0}"/>
    <cellStyle name="Comma 3 2 2 3 3 2 8" xfId="16497" xr:uid="{96C2A235-3440-44C9-BD91-9DB4787355EC}"/>
    <cellStyle name="Comma 3 2 2 3 3 2 8 2" xfId="46737" xr:uid="{C199EE79-A5B8-43D7-80F6-9F3B49DDBC97}"/>
    <cellStyle name="Comma 3 2 2 3 3 2 9" xfId="31617" xr:uid="{55F9CD8A-8ACD-49BC-B43C-538C13275BDA}"/>
    <cellStyle name="Comma 3 2 2 3 3 3" xfId="2133" xr:uid="{3A669B08-0F64-454D-9962-5378A8E73CF6}"/>
    <cellStyle name="Comma 3 2 2 3 3 3 2" xfId="11205" xr:uid="{2D8B7C47-F851-408E-97DF-2A96BACE8AD2}"/>
    <cellStyle name="Comma 3 2 2 3 3 3 2 2" xfId="26325" xr:uid="{7C018D5F-6ACA-4A34-A194-37194EE6DCFA}"/>
    <cellStyle name="Comma 3 2 2 3 3 3 2 2 2" xfId="56565" xr:uid="{E3D3FD2A-D8FC-44FA-90C6-9356A7465B2A}"/>
    <cellStyle name="Comma 3 2 2 3 3 3 2 3" xfId="41445" xr:uid="{53DDF190-9E58-4D40-AF14-2D3C2DA3784B}"/>
    <cellStyle name="Comma 3 2 2 3 3 3 3" xfId="17253" xr:uid="{3E95C42E-2C93-46FB-A153-4D6E5E1186EA}"/>
    <cellStyle name="Comma 3 2 2 3 3 3 3 2" xfId="47493" xr:uid="{6A514A5F-D7DF-411E-A808-C3AAD1213DF8}"/>
    <cellStyle name="Comma 3 2 2 3 3 3 4" xfId="32373" xr:uid="{733DCB05-CF8E-4D71-8A14-4DEF249A0614}"/>
    <cellStyle name="Comma 3 2 2 3 3 4" xfId="3645" xr:uid="{1B8E2201-829E-4710-A3BC-B38D9361F02E}"/>
    <cellStyle name="Comma 3 2 2 3 3 4 2" xfId="12717" xr:uid="{3CE702D3-B8AA-4833-B025-108EA1F9F1EA}"/>
    <cellStyle name="Comma 3 2 2 3 3 4 2 2" xfId="27837" xr:uid="{E86DC836-E336-495A-A570-C252AD576662}"/>
    <cellStyle name="Comma 3 2 2 3 3 4 2 2 2" xfId="58077" xr:uid="{BF3AA5B7-FCE6-429F-9052-8293CB8CECC2}"/>
    <cellStyle name="Comma 3 2 2 3 3 4 2 3" xfId="42957" xr:uid="{D6EF6E20-5C7F-4A0E-B69F-B7CC7CF0DA0D}"/>
    <cellStyle name="Comma 3 2 2 3 3 4 3" xfId="18765" xr:uid="{3DCA83E1-7784-4906-B13D-D0E64F1E7D6A}"/>
    <cellStyle name="Comma 3 2 2 3 3 4 3 2" xfId="49005" xr:uid="{5CFDE2E4-64C3-47C9-A9AF-DE106439B06E}"/>
    <cellStyle name="Comma 3 2 2 3 3 4 4" xfId="33885" xr:uid="{6CAA13EC-804A-478D-B3CB-A7A138018BDD}"/>
    <cellStyle name="Comma 3 2 2 3 3 5" xfId="5157" xr:uid="{F3B1BF1A-5F87-4AC1-9354-2AFADA46BEA5}"/>
    <cellStyle name="Comma 3 2 2 3 3 5 2" xfId="14229" xr:uid="{CC6C6D41-C932-40EA-A318-73F444F2FB67}"/>
    <cellStyle name="Comma 3 2 2 3 3 5 2 2" xfId="29349" xr:uid="{EAB3F0CF-7476-4368-A5E6-B25CB5782FF2}"/>
    <cellStyle name="Comma 3 2 2 3 3 5 2 2 2" xfId="59589" xr:uid="{C93C728C-5243-43A9-B477-F8CB22698AF1}"/>
    <cellStyle name="Comma 3 2 2 3 3 5 2 3" xfId="44469" xr:uid="{5CCA6AE8-0974-43AE-892E-3422399FE8B0}"/>
    <cellStyle name="Comma 3 2 2 3 3 5 3" xfId="20277" xr:uid="{CDF09F75-C029-4372-8E75-77E249DC606A}"/>
    <cellStyle name="Comma 3 2 2 3 3 5 3 2" xfId="50517" xr:uid="{F2F112A8-17F6-41CE-A6B7-5AECCD069CF3}"/>
    <cellStyle name="Comma 3 2 2 3 3 5 4" xfId="35397" xr:uid="{52D460EB-D1B9-4C91-975B-45E05E0BF68D}"/>
    <cellStyle name="Comma 3 2 2 3 3 6" xfId="6669" xr:uid="{93E86699-5EF2-4696-A1D5-0F64DD0AE07E}"/>
    <cellStyle name="Comma 3 2 2 3 3 6 2" xfId="21789" xr:uid="{23F779B1-FDE5-4B82-83F2-A6828FCB52DA}"/>
    <cellStyle name="Comma 3 2 2 3 3 6 2 2" xfId="52029" xr:uid="{EC2ADB2E-DAAD-427C-A3DC-BD7700688855}"/>
    <cellStyle name="Comma 3 2 2 3 3 6 3" xfId="36909" xr:uid="{C57DE8BB-ACB6-45FD-9E3D-453028525538}"/>
    <cellStyle name="Comma 3 2 2 3 3 7" xfId="8181" xr:uid="{F1A29519-04B1-4FF7-948B-D5BD741B77F9}"/>
    <cellStyle name="Comma 3 2 2 3 3 7 2" xfId="23301" xr:uid="{88ECB170-B90B-4399-A964-E8FABCE8021B}"/>
    <cellStyle name="Comma 3 2 2 3 3 7 2 2" xfId="53541" xr:uid="{1468B297-667D-46F0-B197-1D5306080B5B}"/>
    <cellStyle name="Comma 3 2 2 3 3 7 3" xfId="38421" xr:uid="{83DEE2EE-8ECD-47F0-82FE-BD260AB68A3A}"/>
    <cellStyle name="Comma 3 2 2 3 3 8" xfId="9693" xr:uid="{D0C99E54-19F4-4145-8D17-57707DFD48B0}"/>
    <cellStyle name="Comma 3 2 2 3 3 8 2" xfId="24813" xr:uid="{570B295A-BF5E-4756-AB8F-11E0614A9B6B}"/>
    <cellStyle name="Comma 3 2 2 3 3 8 2 2" xfId="55053" xr:uid="{632391BE-42E4-4FD1-93E2-D5245CD5CFF0}"/>
    <cellStyle name="Comma 3 2 2 3 3 8 3" xfId="39933" xr:uid="{AD75A47F-C6B0-4F30-A24F-EB002E664E3C}"/>
    <cellStyle name="Comma 3 2 2 3 3 9" xfId="15741" xr:uid="{39836A55-825C-47B1-A22B-7A0B30DAAF2B}"/>
    <cellStyle name="Comma 3 2 2 3 3 9 2" xfId="45981" xr:uid="{6E831785-22EE-43F3-ABFA-A0219AD6788E}"/>
    <cellStyle name="Comma 3 2 2 3 4" xfId="873" xr:uid="{0D5072BB-AAF9-46C0-93DB-726E75276B17}"/>
    <cellStyle name="Comma 3 2 2 3 4 2" xfId="2385" xr:uid="{BB004E70-6625-43EE-9DDD-CCC8F144B5DD}"/>
    <cellStyle name="Comma 3 2 2 3 4 2 2" xfId="11457" xr:uid="{AF67E08B-F35E-4CF3-B2EF-56E3375B5CD1}"/>
    <cellStyle name="Comma 3 2 2 3 4 2 2 2" xfId="26577" xr:uid="{36D4788F-F123-45BA-A01F-80DB5CB20EF2}"/>
    <cellStyle name="Comma 3 2 2 3 4 2 2 2 2" xfId="56817" xr:uid="{BA43246A-0360-4474-B176-4CB941A6935A}"/>
    <cellStyle name="Comma 3 2 2 3 4 2 2 3" xfId="41697" xr:uid="{98B1C01B-A66B-402D-93C8-84061B9961EB}"/>
    <cellStyle name="Comma 3 2 2 3 4 2 3" xfId="17505" xr:uid="{A635532A-D1AB-4080-8829-707EA8456383}"/>
    <cellStyle name="Comma 3 2 2 3 4 2 3 2" xfId="47745" xr:uid="{8E1D2192-F3C3-4446-B0DC-C9D9F32FE713}"/>
    <cellStyle name="Comma 3 2 2 3 4 2 4" xfId="32625" xr:uid="{51EC056F-6505-4C8C-BD0A-9B3B2BA83591}"/>
    <cellStyle name="Comma 3 2 2 3 4 3" xfId="3897" xr:uid="{96F69089-3CF7-4D37-9727-C76F99914A97}"/>
    <cellStyle name="Comma 3 2 2 3 4 3 2" xfId="12969" xr:uid="{08D71942-082F-4F09-ADAB-028E69C44850}"/>
    <cellStyle name="Comma 3 2 2 3 4 3 2 2" xfId="28089" xr:uid="{CF1AE7C0-6CD9-4EF0-8378-5C6C9B6B5482}"/>
    <cellStyle name="Comma 3 2 2 3 4 3 2 2 2" xfId="58329" xr:uid="{535DFD95-B647-42B3-9B06-34F3018BF8A5}"/>
    <cellStyle name="Comma 3 2 2 3 4 3 2 3" xfId="43209" xr:uid="{B66B1EB1-3A29-4E8F-AA46-7BCC2D9675A5}"/>
    <cellStyle name="Comma 3 2 2 3 4 3 3" xfId="19017" xr:uid="{CB9B1301-B877-4A67-8386-DD110E7C1B93}"/>
    <cellStyle name="Comma 3 2 2 3 4 3 3 2" xfId="49257" xr:uid="{C0F539B3-749F-41A2-A315-81B089D96507}"/>
    <cellStyle name="Comma 3 2 2 3 4 3 4" xfId="34137" xr:uid="{DCA0A9BA-14F0-42F3-95B4-7D504E0FB232}"/>
    <cellStyle name="Comma 3 2 2 3 4 4" xfId="5409" xr:uid="{E966B14C-2745-4C13-BE11-21744655C4BD}"/>
    <cellStyle name="Comma 3 2 2 3 4 4 2" xfId="14481" xr:uid="{D845171F-A466-4F15-B8B2-3D0DCFE85F55}"/>
    <cellStyle name="Comma 3 2 2 3 4 4 2 2" xfId="29601" xr:uid="{D940A898-7073-4763-A1F7-B7159EE08461}"/>
    <cellStyle name="Comma 3 2 2 3 4 4 2 2 2" xfId="59841" xr:uid="{C825C041-BDDB-49A5-B69C-BEEBB5BFB8B8}"/>
    <cellStyle name="Comma 3 2 2 3 4 4 2 3" xfId="44721" xr:uid="{D64DBB30-FDFC-410A-B2FA-4467F5F956FB}"/>
    <cellStyle name="Comma 3 2 2 3 4 4 3" xfId="20529" xr:uid="{FFDCF1AA-B67A-4312-8575-59D7DB6D9314}"/>
    <cellStyle name="Comma 3 2 2 3 4 4 3 2" xfId="50769" xr:uid="{E1633EF9-D368-4088-88D4-3D26D23798E3}"/>
    <cellStyle name="Comma 3 2 2 3 4 4 4" xfId="35649" xr:uid="{5E0C5F35-F3B8-4220-9380-EF679385C416}"/>
    <cellStyle name="Comma 3 2 2 3 4 5" xfId="6921" xr:uid="{ED532B90-8113-4A30-A4DA-3D7D19DEACAD}"/>
    <cellStyle name="Comma 3 2 2 3 4 5 2" xfId="22041" xr:uid="{367BD406-4569-4E17-83EF-5675CE019891}"/>
    <cellStyle name="Comma 3 2 2 3 4 5 2 2" xfId="52281" xr:uid="{2EA13BC2-7960-4F0C-9EB8-80AA7A1FF988}"/>
    <cellStyle name="Comma 3 2 2 3 4 5 3" xfId="37161" xr:uid="{70EEDB12-64F3-4DA2-9EBD-01010A02D511}"/>
    <cellStyle name="Comma 3 2 2 3 4 6" xfId="8433" xr:uid="{6BCBAD29-735D-48C8-B6A8-A44A29D47FB0}"/>
    <cellStyle name="Comma 3 2 2 3 4 6 2" xfId="23553" xr:uid="{797EB080-430B-4B32-982E-D187F6F4A5F5}"/>
    <cellStyle name="Comma 3 2 2 3 4 6 2 2" xfId="53793" xr:uid="{1CBA149A-93E2-4344-9B60-516D3C065FA6}"/>
    <cellStyle name="Comma 3 2 2 3 4 6 3" xfId="38673" xr:uid="{5C74D026-A54A-4F92-99A5-72138716CDE4}"/>
    <cellStyle name="Comma 3 2 2 3 4 7" xfId="9945" xr:uid="{78D63063-820D-4236-BEDC-CBCAC38A145B}"/>
    <cellStyle name="Comma 3 2 2 3 4 7 2" xfId="25065" xr:uid="{14714E86-D8E9-4CEA-BD6A-60FD283B99B5}"/>
    <cellStyle name="Comma 3 2 2 3 4 7 2 2" xfId="55305" xr:uid="{D7F0C93E-87B6-4C87-B5FE-F52099F03EBE}"/>
    <cellStyle name="Comma 3 2 2 3 4 7 3" xfId="40185" xr:uid="{DC9A9EEB-7D6B-4B62-A0A1-86C08C087A4C}"/>
    <cellStyle name="Comma 3 2 2 3 4 8" xfId="15993" xr:uid="{562C2884-FB68-4640-99E9-D1D49BFF074D}"/>
    <cellStyle name="Comma 3 2 2 3 4 8 2" xfId="46233" xr:uid="{51849D1C-0CAA-4C4C-B93B-66687C5A23C6}"/>
    <cellStyle name="Comma 3 2 2 3 4 9" xfId="31113" xr:uid="{D62B85BE-8674-4E2C-812B-1EEB66D409B6}"/>
    <cellStyle name="Comma 3 2 2 3 5" xfId="1629" xr:uid="{20708457-960E-4C0B-8D4B-8812F0ADB45D}"/>
    <cellStyle name="Comma 3 2 2 3 5 2" xfId="10701" xr:uid="{5261AE43-3E79-443A-BB24-141BDA20C2B6}"/>
    <cellStyle name="Comma 3 2 2 3 5 2 2" xfId="25821" xr:uid="{2BD80687-687D-487F-B90A-8BB652AEFF52}"/>
    <cellStyle name="Comma 3 2 2 3 5 2 2 2" xfId="56061" xr:uid="{A0C6AD09-E176-41F0-8D27-F8E7BE5F6800}"/>
    <cellStyle name="Comma 3 2 2 3 5 2 3" xfId="40941" xr:uid="{74942EEA-DB82-47EB-95E7-667E42FBE527}"/>
    <cellStyle name="Comma 3 2 2 3 5 3" xfId="16749" xr:uid="{081E9025-CD07-4E44-A401-93847B2A29B2}"/>
    <cellStyle name="Comma 3 2 2 3 5 3 2" xfId="46989" xr:uid="{B1622C90-1E9C-4297-8980-1AF24E387761}"/>
    <cellStyle name="Comma 3 2 2 3 5 4" xfId="31869" xr:uid="{76F41F8F-8883-40F3-8B0E-9F73569266E5}"/>
    <cellStyle name="Comma 3 2 2 3 6" xfId="3141" xr:uid="{3CE4FF60-734F-4A6B-98D8-73EEF565E351}"/>
    <cellStyle name="Comma 3 2 2 3 6 2" xfId="12213" xr:uid="{2543810C-D9F9-4C09-9CB5-10DAF4304188}"/>
    <cellStyle name="Comma 3 2 2 3 6 2 2" xfId="27333" xr:uid="{73782180-9C81-4BDC-A14E-DA0F62776043}"/>
    <cellStyle name="Comma 3 2 2 3 6 2 2 2" xfId="57573" xr:uid="{36772C0C-DE0F-4B9C-A73F-5AC48DD368BF}"/>
    <cellStyle name="Comma 3 2 2 3 6 2 3" xfId="42453" xr:uid="{8B5F0AFC-9C5E-425B-82DA-7D4D9E731565}"/>
    <cellStyle name="Comma 3 2 2 3 6 3" xfId="18261" xr:uid="{8C752581-D7AD-4DAA-A58B-E590581E638F}"/>
    <cellStyle name="Comma 3 2 2 3 6 3 2" xfId="48501" xr:uid="{2500F62C-1C43-4634-82C5-37BD226CCBA8}"/>
    <cellStyle name="Comma 3 2 2 3 6 4" xfId="33381" xr:uid="{CF9AB30A-9A09-4D89-BC9D-099098697CE2}"/>
    <cellStyle name="Comma 3 2 2 3 7" xfId="4653" xr:uid="{1B941C89-525D-4FA3-BF72-11CE27B559E7}"/>
    <cellStyle name="Comma 3 2 2 3 7 2" xfId="13725" xr:uid="{F5F318E1-3781-4786-9308-1FCB3957AB5F}"/>
    <cellStyle name="Comma 3 2 2 3 7 2 2" xfId="28845" xr:uid="{1A7B931F-A0A2-41FF-9C58-227B9C2F0136}"/>
    <cellStyle name="Comma 3 2 2 3 7 2 2 2" xfId="59085" xr:uid="{1CBFDE72-012E-43B8-8E2E-851FB3CC6B63}"/>
    <cellStyle name="Comma 3 2 2 3 7 2 3" xfId="43965" xr:uid="{D1492C58-C4F0-4916-B28B-6A2A91705941}"/>
    <cellStyle name="Comma 3 2 2 3 7 3" xfId="19773" xr:uid="{E12E5B85-953E-43DC-8E34-C94A0CEDAA3A}"/>
    <cellStyle name="Comma 3 2 2 3 7 3 2" xfId="50013" xr:uid="{EE9D2335-86BF-43D0-B072-2D494246CD29}"/>
    <cellStyle name="Comma 3 2 2 3 7 4" xfId="34893" xr:uid="{428C2772-6959-45DF-B4BA-484C4601412E}"/>
    <cellStyle name="Comma 3 2 2 3 8" xfId="6165" xr:uid="{640C8212-735E-4EA1-B30E-038646EF3EBC}"/>
    <cellStyle name="Comma 3 2 2 3 8 2" xfId="21285" xr:uid="{DF8D4DC3-FCA3-4BB4-B89E-EAF644BFE5D9}"/>
    <cellStyle name="Comma 3 2 2 3 8 2 2" xfId="51525" xr:uid="{0214B563-EA79-426D-B177-6A9CC641D347}"/>
    <cellStyle name="Comma 3 2 2 3 8 3" xfId="36405" xr:uid="{469F8281-32CC-4FCB-821C-1EB3F0CA3EF2}"/>
    <cellStyle name="Comma 3 2 2 3 9" xfId="7677" xr:uid="{6A4E2FAB-B871-4F4E-A3F6-2D8BB576BFE0}"/>
    <cellStyle name="Comma 3 2 2 3 9 2" xfId="22797" xr:uid="{A6BB1B38-D1C3-4D3A-822B-9F2B49FB59B1}"/>
    <cellStyle name="Comma 3 2 2 3 9 2 2" xfId="53037" xr:uid="{206C089B-D2A1-4892-AC28-B922541848C6}"/>
    <cellStyle name="Comma 3 2 2 3 9 3" xfId="37917" xr:uid="{B9B8AC8D-AEE8-4541-83A2-D7295D8DFC8F}"/>
    <cellStyle name="Comma 3 2 2 4" xfId="201" xr:uid="{BE75FB28-06B5-4094-AB69-5C8348039572}"/>
    <cellStyle name="Comma 3 2 2 4 10" xfId="9273" xr:uid="{470D6E7E-ED6D-466D-A33D-3264AB21CA3A}"/>
    <cellStyle name="Comma 3 2 2 4 10 2" xfId="24393" xr:uid="{F6EA273D-F681-43F9-9F65-4FF5BBFB7613}"/>
    <cellStyle name="Comma 3 2 2 4 10 2 2" xfId="54633" xr:uid="{2A0E5756-18A4-45E4-AF48-216E6FC065C3}"/>
    <cellStyle name="Comma 3 2 2 4 10 3" xfId="39513" xr:uid="{E612A5C2-9955-46E0-8839-48212AD53DB3}"/>
    <cellStyle name="Comma 3 2 2 4 11" xfId="15321" xr:uid="{AA9B7D51-3CE5-4B62-804C-1196EF77F770}"/>
    <cellStyle name="Comma 3 2 2 4 11 2" xfId="45561" xr:uid="{AD2AE5CD-B014-4847-949C-CBC78C1F896A}"/>
    <cellStyle name="Comma 3 2 2 4 12" xfId="30441" xr:uid="{7D399B09-E51B-4959-97A7-B750708E1BF8}"/>
    <cellStyle name="Comma 3 2 2 4 2" xfId="453" xr:uid="{CB6A7F0B-C75F-49EE-9ECA-8595F2CD5E7A}"/>
    <cellStyle name="Comma 3 2 2 4 2 10" xfId="30693" xr:uid="{2C07B861-DB5A-4198-9386-52E78EFE1B42}"/>
    <cellStyle name="Comma 3 2 2 4 2 2" xfId="1209" xr:uid="{E9A12E09-10C0-4FA5-8683-33923EF98FEA}"/>
    <cellStyle name="Comma 3 2 2 4 2 2 2" xfId="2721" xr:uid="{633AD231-FAC2-4B79-B0CF-62E66B1C2FAC}"/>
    <cellStyle name="Comma 3 2 2 4 2 2 2 2" xfId="11793" xr:uid="{9075557A-3A41-4D2C-AADA-EA66CF62BF2B}"/>
    <cellStyle name="Comma 3 2 2 4 2 2 2 2 2" xfId="26913" xr:uid="{C50A42CF-1231-4985-BC81-6EC9A1BAF00F}"/>
    <cellStyle name="Comma 3 2 2 4 2 2 2 2 2 2" xfId="57153" xr:uid="{88215FFB-1039-4658-A1AF-08C12365B424}"/>
    <cellStyle name="Comma 3 2 2 4 2 2 2 2 3" xfId="42033" xr:uid="{91939317-D2E8-4A84-976B-011C0477BB47}"/>
    <cellStyle name="Comma 3 2 2 4 2 2 2 3" xfId="17841" xr:uid="{FFA5AEA4-FC48-4C89-B50C-7AE073D25888}"/>
    <cellStyle name="Comma 3 2 2 4 2 2 2 3 2" xfId="48081" xr:uid="{B386E359-634B-4714-9211-A996C898C212}"/>
    <cellStyle name="Comma 3 2 2 4 2 2 2 4" xfId="32961" xr:uid="{8EE65D52-0EFA-4F25-A584-3C0AAC5B456C}"/>
    <cellStyle name="Comma 3 2 2 4 2 2 3" xfId="4233" xr:uid="{06BF4A72-06BC-4DEE-BA8E-97057A23F7D6}"/>
    <cellStyle name="Comma 3 2 2 4 2 2 3 2" xfId="13305" xr:uid="{9C97D347-DA9B-470E-BEAB-72A43661EF8A}"/>
    <cellStyle name="Comma 3 2 2 4 2 2 3 2 2" xfId="28425" xr:uid="{1F4FE928-CB62-40F2-BC16-89E7AF3DA553}"/>
    <cellStyle name="Comma 3 2 2 4 2 2 3 2 2 2" xfId="58665" xr:uid="{00FAD2F4-43B7-49BB-8C40-A4D9A4E1A9DC}"/>
    <cellStyle name="Comma 3 2 2 4 2 2 3 2 3" xfId="43545" xr:uid="{023CAB1A-C8C9-481B-BFA8-7C4FEFEF34FC}"/>
    <cellStyle name="Comma 3 2 2 4 2 2 3 3" xfId="19353" xr:uid="{32CC6A89-42FC-4680-BFA1-112CE27FF146}"/>
    <cellStyle name="Comma 3 2 2 4 2 2 3 3 2" xfId="49593" xr:uid="{FD7FA09D-AC4C-4A4D-B85E-434D3E7A6CD7}"/>
    <cellStyle name="Comma 3 2 2 4 2 2 3 4" xfId="34473" xr:uid="{97E465DD-D157-495A-8915-B3C1D8530C9E}"/>
    <cellStyle name="Comma 3 2 2 4 2 2 4" xfId="5745" xr:uid="{30200936-73C2-463A-93EB-5D3FFE12CAD4}"/>
    <cellStyle name="Comma 3 2 2 4 2 2 4 2" xfId="14817" xr:uid="{3BC06AD5-C4D4-4592-94F5-39126DBB2D61}"/>
    <cellStyle name="Comma 3 2 2 4 2 2 4 2 2" xfId="29937" xr:uid="{AE571D67-C9E6-4FDA-B98C-4551891028D9}"/>
    <cellStyle name="Comma 3 2 2 4 2 2 4 2 2 2" xfId="60177" xr:uid="{BA139A3C-62F6-4E3B-922F-A5A56F5FBE5B}"/>
    <cellStyle name="Comma 3 2 2 4 2 2 4 2 3" xfId="45057" xr:uid="{B2A26059-0814-45D3-8E9D-BBCBC2715DF3}"/>
    <cellStyle name="Comma 3 2 2 4 2 2 4 3" xfId="20865" xr:uid="{4497C786-957E-4810-9582-79E0DFA5C8C6}"/>
    <cellStyle name="Comma 3 2 2 4 2 2 4 3 2" xfId="51105" xr:uid="{91B1A7FB-BF89-4958-A80F-E31F67D2E836}"/>
    <cellStyle name="Comma 3 2 2 4 2 2 4 4" xfId="35985" xr:uid="{6B1DC8C0-7F93-40AE-A9BC-1E3226CA8980}"/>
    <cellStyle name="Comma 3 2 2 4 2 2 5" xfId="7257" xr:uid="{5264FCC8-93EA-4D3B-9659-CD2417E82468}"/>
    <cellStyle name="Comma 3 2 2 4 2 2 5 2" xfId="22377" xr:uid="{21D2CF6F-560B-404A-9E95-9B1391057440}"/>
    <cellStyle name="Comma 3 2 2 4 2 2 5 2 2" xfId="52617" xr:uid="{9F873DD2-0C3D-457F-B59C-7388DD05719C}"/>
    <cellStyle name="Comma 3 2 2 4 2 2 5 3" xfId="37497" xr:uid="{949C4C8C-1076-4C46-85D0-7D9D7AB6EFB0}"/>
    <cellStyle name="Comma 3 2 2 4 2 2 6" xfId="8769" xr:uid="{4D424A8A-BE65-4C16-AC29-14F9A6288DB0}"/>
    <cellStyle name="Comma 3 2 2 4 2 2 6 2" xfId="23889" xr:uid="{7F4A4D91-C3CE-4D74-8F93-24FDC7B5A0C4}"/>
    <cellStyle name="Comma 3 2 2 4 2 2 6 2 2" xfId="54129" xr:uid="{806261E3-1900-4BA6-BB79-1356C88FE326}"/>
    <cellStyle name="Comma 3 2 2 4 2 2 6 3" xfId="39009" xr:uid="{0829458E-9927-4AD1-9DBB-627E31BCEBF7}"/>
    <cellStyle name="Comma 3 2 2 4 2 2 7" xfId="10281" xr:uid="{2280502C-BD66-4DEB-893D-1DCCF08CC14F}"/>
    <cellStyle name="Comma 3 2 2 4 2 2 7 2" xfId="25401" xr:uid="{A2F62CF3-FF05-4203-846C-E0514070D35D}"/>
    <cellStyle name="Comma 3 2 2 4 2 2 7 2 2" xfId="55641" xr:uid="{2B245CCB-C6CB-4163-8FA6-C2A74630E096}"/>
    <cellStyle name="Comma 3 2 2 4 2 2 7 3" xfId="40521" xr:uid="{15C87B96-1A6C-43BB-A0DC-F647FDF36042}"/>
    <cellStyle name="Comma 3 2 2 4 2 2 8" xfId="16329" xr:uid="{5693B4AF-2C32-4972-A49B-6CCF3F6468D4}"/>
    <cellStyle name="Comma 3 2 2 4 2 2 8 2" xfId="46569" xr:uid="{B6F77941-A80D-44BF-B3F3-BB9E2936C189}"/>
    <cellStyle name="Comma 3 2 2 4 2 2 9" xfId="31449" xr:uid="{3BDDB4ED-2A34-4BC7-A7D6-69BB1715900C}"/>
    <cellStyle name="Comma 3 2 2 4 2 3" xfId="1965" xr:uid="{F87F09BE-C0BC-47FF-A8B7-846C690F4EF2}"/>
    <cellStyle name="Comma 3 2 2 4 2 3 2" xfId="11037" xr:uid="{A5533F59-BEBA-48A4-BC2E-6416175ADF6D}"/>
    <cellStyle name="Comma 3 2 2 4 2 3 2 2" xfId="26157" xr:uid="{F9291908-118B-48E5-9269-76B0072103AE}"/>
    <cellStyle name="Comma 3 2 2 4 2 3 2 2 2" xfId="56397" xr:uid="{D5022168-D992-4357-BCBF-BA285E95E266}"/>
    <cellStyle name="Comma 3 2 2 4 2 3 2 3" xfId="41277" xr:uid="{EE799C86-DE43-43FF-85E5-DC4F7217BC77}"/>
    <cellStyle name="Comma 3 2 2 4 2 3 3" xfId="17085" xr:uid="{D914D5AC-0CC1-499F-BE67-924A2A278FC4}"/>
    <cellStyle name="Comma 3 2 2 4 2 3 3 2" xfId="47325" xr:uid="{57FAF79F-0F5C-4393-885F-19D2E949DD14}"/>
    <cellStyle name="Comma 3 2 2 4 2 3 4" xfId="32205" xr:uid="{8854CF08-BF87-4B04-8D62-4B066E4D3B5A}"/>
    <cellStyle name="Comma 3 2 2 4 2 4" xfId="3477" xr:uid="{411AA467-74FE-43E5-97DD-B1AFA7AEBA24}"/>
    <cellStyle name="Comma 3 2 2 4 2 4 2" xfId="12549" xr:uid="{242D37A3-3029-468B-AED4-C949A01B8BAA}"/>
    <cellStyle name="Comma 3 2 2 4 2 4 2 2" xfId="27669" xr:uid="{2C56DA32-67F8-4A03-9E7F-47316FA6B783}"/>
    <cellStyle name="Comma 3 2 2 4 2 4 2 2 2" xfId="57909" xr:uid="{63A02EB8-D317-44D0-BFA3-55C5274B187E}"/>
    <cellStyle name="Comma 3 2 2 4 2 4 2 3" xfId="42789" xr:uid="{0F29EB41-BEEF-448E-A1C9-FD9E35E2C956}"/>
    <cellStyle name="Comma 3 2 2 4 2 4 3" xfId="18597" xr:uid="{DD07F024-62A1-4E83-BC31-945DC48F03F4}"/>
    <cellStyle name="Comma 3 2 2 4 2 4 3 2" xfId="48837" xr:uid="{E2BA1CF6-FB93-4583-8C7C-7A501603D704}"/>
    <cellStyle name="Comma 3 2 2 4 2 4 4" xfId="33717" xr:uid="{66E6CD5D-9857-410D-BBE9-3BA57161A63C}"/>
    <cellStyle name="Comma 3 2 2 4 2 5" xfId="4989" xr:uid="{7E9505D7-3991-4C9E-B784-EE2C85A91116}"/>
    <cellStyle name="Comma 3 2 2 4 2 5 2" xfId="14061" xr:uid="{459E5016-73A9-4830-A0BD-91733BEF4F6A}"/>
    <cellStyle name="Comma 3 2 2 4 2 5 2 2" xfId="29181" xr:uid="{94F7886B-CEF4-44B7-982D-EEA52661860A}"/>
    <cellStyle name="Comma 3 2 2 4 2 5 2 2 2" xfId="59421" xr:uid="{3D0B5DC4-C9A3-488F-95CC-88748F52D045}"/>
    <cellStyle name="Comma 3 2 2 4 2 5 2 3" xfId="44301" xr:uid="{6AE2CBF0-50B7-4B2F-94A5-4A9C522AB235}"/>
    <cellStyle name="Comma 3 2 2 4 2 5 3" xfId="20109" xr:uid="{A3F988B0-EAC6-4AEF-95AD-E877547630B4}"/>
    <cellStyle name="Comma 3 2 2 4 2 5 3 2" xfId="50349" xr:uid="{ACDF9941-1B23-4ED9-AF9C-6E933D4B8882}"/>
    <cellStyle name="Comma 3 2 2 4 2 5 4" xfId="35229" xr:uid="{FF099CA9-7A9F-492E-BB7F-5B165497CFEB}"/>
    <cellStyle name="Comma 3 2 2 4 2 6" xfId="6501" xr:uid="{506C1D5A-7095-4F5B-A1EC-49CA78A0B351}"/>
    <cellStyle name="Comma 3 2 2 4 2 6 2" xfId="21621" xr:uid="{2084ACA1-1F6B-4B7B-8084-822D7D930C26}"/>
    <cellStyle name="Comma 3 2 2 4 2 6 2 2" xfId="51861" xr:uid="{169B5D6D-ED52-4750-A805-A3FF0018B1E2}"/>
    <cellStyle name="Comma 3 2 2 4 2 6 3" xfId="36741" xr:uid="{2B5F7808-58AF-4E1F-BC85-8C66CBB4124E}"/>
    <cellStyle name="Comma 3 2 2 4 2 7" xfId="8013" xr:uid="{1BABD587-0056-4298-9011-0D4DB2767786}"/>
    <cellStyle name="Comma 3 2 2 4 2 7 2" xfId="23133" xr:uid="{D65608C8-1E50-4193-AB82-4A432532A09C}"/>
    <cellStyle name="Comma 3 2 2 4 2 7 2 2" xfId="53373" xr:uid="{52914A82-58A4-44E0-9C82-F76BB83D3BD5}"/>
    <cellStyle name="Comma 3 2 2 4 2 7 3" xfId="38253" xr:uid="{A9D556EA-5898-4FA9-83FE-6FCF29959D01}"/>
    <cellStyle name="Comma 3 2 2 4 2 8" xfId="9525" xr:uid="{F7499C39-188D-4A8E-9625-7CE77D27AA5F}"/>
    <cellStyle name="Comma 3 2 2 4 2 8 2" xfId="24645" xr:uid="{448457A8-AE50-4DFB-95DB-1B4685E8AE05}"/>
    <cellStyle name="Comma 3 2 2 4 2 8 2 2" xfId="54885" xr:uid="{5BF0924B-4B55-46DF-B718-6F116CFB8972}"/>
    <cellStyle name="Comma 3 2 2 4 2 8 3" xfId="39765" xr:uid="{B572A3F1-E9B5-4BD4-A428-947FDC0E6E2E}"/>
    <cellStyle name="Comma 3 2 2 4 2 9" xfId="15573" xr:uid="{CBE3AFCF-985A-4CFC-885D-347FEF24BCA2}"/>
    <cellStyle name="Comma 3 2 2 4 2 9 2" xfId="45813" xr:uid="{3B7A7AB1-F262-4BD6-8608-D49F3F3C4E79}"/>
    <cellStyle name="Comma 3 2 2 4 3" xfId="705" xr:uid="{A0642A35-95A8-4157-A2F7-8AB38D378198}"/>
    <cellStyle name="Comma 3 2 2 4 3 10" xfId="30945" xr:uid="{4AD254A5-3354-48E4-ACF5-65FD00E0CF95}"/>
    <cellStyle name="Comma 3 2 2 4 3 2" xfId="1461" xr:uid="{1DA5675C-FD99-431A-B993-A0232B4B5636}"/>
    <cellStyle name="Comma 3 2 2 4 3 2 2" xfId="2973" xr:uid="{B023E19F-7E0C-4367-8C42-5220EB10CBD7}"/>
    <cellStyle name="Comma 3 2 2 4 3 2 2 2" xfId="12045" xr:uid="{ED480B0E-5B09-4520-9071-EB5B1BB92322}"/>
    <cellStyle name="Comma 3 2 2 4 3 2 2 2 2" xfId="27165" xr:uid="{E4A09A4C-8594-4BDB-B8F0-0E7E204451DA}"/>
    <cellStyle name="Comma 3 2 2 4 3 2 2 2 2 2" xfId="57405" xr:uid="{2012618C-7C18-42CE-8B5D-223ACC490750}"/>
    <cellStyle name="Comma 3 2 2 4 3 2 2 2 3" xfId="42285" xr:uid="{CD5BD006-A2E2-42AA-B753-1DFCB0CE9A60}"/>
    <cellStyle name="Comma 3 2 2 4 3 2 2 3" xfId="18093" xr:uid="{486E3B1B-1766-4293-92D3-694E8C0FD399}"/>
    <cellStyle name="Comma 3 2 2 4 3 2 2 3 2" xfId="48333" xr:uid="{829BF04C-253C-4014-9449-72BD6241832D}"/>
    <cellStyle name="Comma 3 2 2 4 3 2 2 4" xfId="33213" xr:uid="{0CDCC15C-86FE-4B52-A7A0-6160EEBE5726}"/>
    <cellStyle name="Comma 3 2 2 4 3 2 3" xfId="4485" xr:uid="{AA3BCA3C-BDBE-4D5C-9D96-132FE15659F3}"/>
    <cellStyle name="Comma 3 2 2 4 3 2 3 2" xfId="13557" xr:uid="{084E5D70-7BBD-4CD1-BB5A-C07761AEC0CC}"/>
    <cellStyle name="Comma 3 2 2 4 3 2 3 2 2" xfId="28677" xr:uid="{BEF0FEB7-667A-442E-9BC4-6AFDFC06085C}"/>
    <cellStyle name="Comma 3 2 2 4 3 2 3 2 2 2" xfId="58917" xr:uid="{9D3B7795-EED1-4AAF-B89C-2C4D66C82347}"/>
    <cellStyle name="Comma 3 2 2 4 3 2 3 2 3" xfId="43797" xr:uid="{DDFA2E76-68DB-44E5-8991-D50C38DA82D5}"/>
    <cellStyle name="Comma 3 2 2 4 3 2 3 3" xfId="19605" xr:uid="{D0FC3963-2F77-4839-906F-45462310108A}"/>
    <cellStyle name="Comma 3 2 2 4 3 2 3 3 2" xfId="49845" xr:uid="{6398AAA9-848E-4870-9B6D-B77F7D680F5F}"/>
    <cellStyle name="Comma 3 2 2 4 3 2 3 4" xfId="34725" xr:uid="{685F7D28-13B2-4404-93E9-0F0AE0811BA6}"/>
    <cellStyle name="Comma 3 2 2 4 3 2 4" xfId="5997" xr:uid="{2185FF8D-6BB4-48E9-BC58-82A62A7454DB}"/>
    <cellStyle name="Comma 3 2 2 4 3 2 4 2" xfId="15069" xr:uid="{90068BAC-90C2-4309-B4EB-B9E4E607B0F0}"/>
    <cellStyle name="Comma 3 2 2 4 3 2 4 2 2" xfId="30189" xr:uid="{B2031639-7359-4CA5-BAC3-1562539443CA}"/>
    <cellStyle name="Comma 3 2 2 4 3 2 4 2 2 2" xfId="60429" xr:uid="{6B60135E-3A9C-44B2-9C28-C3938E1830D9}"/>
    <cellStyle name="Comma 3 2 2 4 3 2 4 2 3" xfId="45309" xr:uid="{4005D862-E2BF-4042-A149-826C1535AA5B}"/>
    <cellStyle name="Comma 3 2 2 4 3 2 4 3" xfId="21117" xr:uid="{054E451F-0C31-479E-B966-709A64A540EA}"/>
    <cellStyle name="Comma 3 2 2 4 3 2 4 3 2" xfId="51357" xr:uid="{8B95354E-AD13-4070-8B35-DAE8406B115F}"/>
    <cellStyle name="Comma 3 2 2 4 3 2 4 4" xfId="36237" xr:uid="{47E521FD-A5F0-405B-A735-52919EE017AA}"/>
    <cellStyle name="Comma 3 2 2 4 3 2 5" xfId="7509" xr:uid="{6E3B8E53-7B48-479A-BA3E-2C42D5ACC0F0}"/>
    <cellStyle name="Comma 3 2 2 4 3 2 5 2" xfId="22629" xr:uid="{CEAB4052-F2AE-4EC0-9F60-907A0C472A62}"/>
    <cellStyle name="Comma 3 2 2 4 3 2 5 2 2" xfId="52869" xr:uid="{03450B63-82EB-4982-B5BD-5940A14DF536}"/>
    <cellStyle name="Comma 3 2 2 4 3 2 5 3" xfId="37749" xr:uid="{922FD88A-4CEF-496C-AA15-7C399117BDA9}"/>
    <cellStyle name="Comma 3 2 2 4 3 2 6" xfId="9021" xr:uid="{E42B48E8-992F-48A8-B5D7-B88A933C1A40}"/>
    <cellStyle name="Comma 3 2 2 4 3 2 6 2" xfId="24141" xr:uid="{E9171C9A-D53F-463D-B917-D38B8E47C7C3}"/>
    <cellStyle name="Comma 3 2 2 4 3 2 6 2 2" xfId="54381" xr:uid="{9CBD2268-1860-41B2-8F10-8E7BEAF9BFFC}"/>
    <cellStyle name="Comma 3 2 2 4 3 2 6 3" xfId="39261" xr:uid="{CB963F74-ADA3-422E-9E68-B138F9DB9322}"/>
    <cellStyle name="Comma 3 2 2 4 3 2 7" xfId="10533" xr:uid="{0874048D-E408-4468-BCC0-62D11BC91D70}"/>
    <cellStyle name="Comma 3 2 2 4 3 2 7 2" xfId="25653" xr:uid="{53D21E0F-424A-43A5-89E7-AE048211AC62}"/>
    <cellStyle name="Comma 3 2 2 4 3 2 7 2 2" xfId="55893" xr:uid="{3DBACFB2-F425-455F-9305-399ADA10D3FD}"/>
    <cellStyle name="Comma 3 2 2 4 3 2 7 3" xfId="40773" xr:uid="{A0B159C6-825A-4AB8-81C4-92064135B4F5}"/>
    <cellStyle name="Comma 3 2 2 4 3 2 8" xfId="16581" xr:uid="{EE05ECA0-6A06-4317-97EB-B24542D30575}"/>
    <cellStyle name="Comma 3 2 2 4 3 2 8 2" xfId="46821" xr:uid="{8857369D-58E5-458C-A2C9-EDDBDE0EC23C}"/>
    <cellStyle name="Comma 3 2 2 4 3 2 9" xfId="31701" xr:uid="{9E79BD4B-7328-48AD-8735-7D3FAB0B06C7}"/>
    <cellStyle name="Comma 3 2 2 4 3 3" xfId="2217" xr:uid="{08343310-6441-4210-81AA-07107A65187E}"/>
    <cellStyle name="Comma 3 2 2 4 3 3 2" xfId="11289" xr:uid="{9043F8DD-9916-4CA1-A681-809F289AFC00}"/>
    <cellStyle name="Comma 3 2 2 4 3 3 2 2" xfId="26409" xr:uid="{FBC7DDFC-A7FA-45ED-BF79-C54214E7135E}"/>
    <cellStyle name="Comma 3 2 2 4 3 3 2 2 2" xfId="56649" xr:uid="{6086E995-CF86-4FFE-B6C1-23DD91185820}"/>
    <cellStyle name="Comma 3 2 2 4 3 3 2 3" xfId="41529" xr:uid="{7044331B-98C7-4A5E-8A82-3B115F8E6AF1}"/>
    <cellStyle name="Comma 3 2 2 4 3 3 3" xfId="17337" xr:uid="{915A2726-4FE4-466D-A2BC-1B485E9CAF8B}"/>
    <cellStyle name="Comma 3 2 2 4 3 3 3 2" xfId="47577" xr:uid="{9EA4DF32-E8FC-431F-BEE3-411BE4A2B9C6}"/>
    <cellStyle name="Comma 3 2 2 4 3 3 4" xfId="32457" xr:uid="{D598034F-E2DF-4546-BA94-8228B517990B}"/>
    <cellStyle name="Comma 3 2 2 4 3 4" xfId="3729" xr:uid="{716E9622-888B-4351-A6F3-0B887E732253}"/>
    <cellStyle name="Comma 3 2 2 4 3 4 2" xfId="12801" xr:uid="{78F02641-5F37-47A5-9419-3D68B0F84B53}"/>
    <cellStyle name="Comma 3 2 2 4 3 4 2 2" xfId="27921" xr:uid="{A757FBA7-71AA-41A3-9B30-CDE62137DB1F}"/>
    <cellStyle name="Comma 3 2 2 4 3 4 2 2 2" xfId="58161" xr:uid="{94E25A0F-B633-483E-A37C-3CB64012FCB0}"/>
    <cellStyle name="Comma 3 2 2 4 3 4 2 3" xfId="43041" xr:uid="{762B6798-CB3E-4453-A8D9-FA2B767C4BDF}"/>
    <cellStyle name="Comma 3 2 2 4 3 4 3" xfId="18849" xr:uid="{55B80410-280D-4020-8A39-A5BA816550D2}"/>
    <cellStyle name="Comma 3 2 2 4 3 4 3 2" xfId="49089" xr:uid="{F67A6F9E-81CC-4D00-A503-E4F9DB1A6F77}"/>
    <cellStyle name="Comma 3 2 2 4 3 4 4" xfId="33969" xr:uid="{2A12E5CF-693D-47B3-AFE8-5A942746494D}"/>
    <cellStyle name="Comma 3 2 2 4 3 5" xfId="5241" xr:uid="{A001E07E-D9B0-4C15-AF7A-060DAFBFD30A}"/>
    <cellStyle name="Comma 3 2 2 4 3 5 2" xfId="14313" xr:uid="{764ED8D6-6A1E-42FE-AECF-8105D3A5E97D}"/>
    <cellStyle name="Comma 3 2 2 4 3 5 2 2" xfId="29433" xr:uid="{5403A57C-F148-4C4F-835C-D85AC52DD3BD}"/>
    <cellStyle name="Comma 3 2 2 4 3 5 2 2 2" xfId="59673" xr:uid="{040886FA-5159-4414-9895-24741A8F15F3}"/>
    <cellStyle name="Comma 3 2 2 4 3 5 2 3" xfId="44553" xr:uid="{5AF17CC0-5C6C-48C2-BAFA-9E36FABB33D0}"/>
    <cellStyle name="Comma 3 2 2 4 3 5 3" xfId="20361" xr:uid="{FB015956-D428-4980-BA41-79EC355F90FD}"/>
    <cellStyle name="Comma 3 2 2 4 3 5 3 2" xfId="50601" xr:uid="{EA609215-363F-4A64-B970-11BD4700985B}"/>
    <cellStyle name="Comma 3 2 2 4 3 5 4" xfId="35481" xr:uid="{88A0D6C4-1A01-4051-8D42-AE6BF86EA196}"/>
    <cellStyle name="Comma 3 2 2 4 3 6" xfId="6753" xr:uid="{4F07F660-6548-4E94-A372-A9461DDFAD80}"/>
    <cellStyle name="Comma 3 2 2 4 3 6 2" xfId="21873" xr:uid="{EEB10173-4239-4BD3-93A2-364E64014093}"/>
    <cellStyle name="Comma 3 2 2 4 3 6 2 2" xfId="52113" xr:uid="{6DE66F21-7E7A-4F2B-9B56-7AD600E893AD}"/>
    <cellStyle name="Comma 3 2 2 4 3 6 3" xfId="36993" xr:uid="{5AB20BE7-4737-4D07-8A1C-492B1483C92D}"/>
    <cellStyle name="Comma 3 2 2 4 3 7" xfId="8265" xr:uid="{F3210396-15E4-451D-AA71-678B7882D987}"/>
    <cellStyle name="Comma 3 2 2 4 3 7 2" xfId="23385" xr:uid="{7E898CBE-5DB0-43AC-93AE-C87F35C861BC}"/>
    <cellStyle name="Comma 3 2 2 4 3 7 2 2" xfId="53625" xr:uid="{40622E7B-06EE-4858-936D-DE0E3D4DFFA4}"/>
    <cellStyle name="Comma 3 2 2 4 3 7 3" xfId="38505" xr:uid="{BA657DCF-1335-49FB-98A7-68E39A1DFC9F}"/>
    <cellStyle name="Comma 3 2 2 4 3 8" xfId="9777" xr:uid="{AC3C2EBC-502F-4F78-832A-82224EEF3357}"/>
    <cellStyle name="Comma 3 2 2 4 3 8 2" xfId="24897" xr:uid="{A3EB9048-197D-435A-A1A4-0D5172F9C717}"/>
    <cellStyle name="Comma 3 2 2 4 3 8 2 2" xfId="55137" xr:uid="{1B7AD23B-7739-4EEF-8155-9D4C58F61920}"/>
    <cellStyle name="Comma 3 2 2 4 3 8 3" xfId="40017" xr:uid="{E21C214F-2C74-44BB-A6AD-B116C45C304E}"/>
    <cellStyle name="Comma 3 2 2 4 3 9" xfId="15825" xr:uid="{A094EF96-BAC3-49C8-94DB-824E550B157D}"/>
    <cellStyle name="Comma 3 2 2 4 3 9 2" xfId="46065" xr:uid="{523880DD-6EBC-4B3F-9701-6EDEBBF78FCF}"/>
    <cellStyle name="Comma 3 2 2 4 4" xfId="957" xr:uid="{EFE672D5-0E9E-468E-91FA-5AEB12F43AFD}"/>
    <cellStyle name="Comma 3 2 2 4 4 2" xfId="2469" xr:uid="{68F76A3F-C5AC-4E95-88CE-04670F3CF8C7}"/>
    <cellStyle name="Comma 3 2 2 4 4 2 2" xfId="11541" xr:uid="{7B297C61-30C3-4482-8E81-852544AB83C5}"/>
    <cellStyle name="Comma 3 2 2 4 4 2 2 2" xfId="26661" xr:uid="{192337A3-7E92-4975-ABD8-D3D672445CBC}"/>
    <cellStyle name="Comma 3 2 2 4 4 2 2 2 2" xfId="56901" xr:uid="{BBD57A68-2F7A-4D80-8CAF-7DC781994A7D}"/>
    <cellStyle name="Comma 3 2 2 4 4 2 2 3" xfId="41781" xr:uid="{9F4CAFCA-5DAC-4554-97B6-D7FE0572963A}"/>
    <cellStyle name="Comma 3 2 2 4 4 2 3" xfId="17589" xr:uid="{A97B95A9-AA1F-4E14-B87C-16AC7444297D}"/>
    <cellStyle name="Comma 3 2 2 4 4 2 3 2" xfId="47829" xr:uid="{380D26C5-1AAB-46BE-8634-94D86D41F650}"/>
    <cellStyle name="Comma 3 2 2 4 4 2 4" xfId="32709" xr:uid="{D8B2BAEC-6A0C-4F12-805B-290AA3399DA1}"/>
    <cellStyle name="Comma 3 2 2 4 4 3" xfId="3981" xr:uid="{FE948C0D-CD51-41DD-8728-0AA1CDEC8271}"/>
    <cellStyle name="Comma 3 2 2 4 4 3 2" xfId="13053" xr:uid="{2E001805-0487-440C-8423-266A8F64DC7E}"/>
    <cellStyle name="Comma 3 2 2 4 4 3 2 2" xfId="28173" xr:uid="{1EE60C39-2E11-4E57-87E3-F59E38F89EC5}"/>
    <cellStyle name="Comma 3 2 2 4 4 3 2 2 2" xfId="58413" xr:uid="{0277F364-628D-47E7-87A3-5361DF1D8399}"/>
    <cellStyle name="Comma 3 2 2 4 4 3 2 3" xfId="43293" xr:uid="{B54699E8-5A82-449F-B76C-5098E4E138AF}"/>
    <cellStyle name="Comma 3 2 2 4 4 3 3" xfId="19101" xr:uid="{ED40CBAD-501A-49E4-A1B9-06C8EEEB2382}"/>
    <cellStyle name="Comma 3 2 2 4 4 3 3 2" xfId="49341" xr:uid="{3936F06E-6F6B-4068-936C-DDCD6B70A210}"/>
    <cellStyle name="Comma 3 2 2 4 4 3 4" xfId="34221" xr:uid="{65D43BED-5FB0-45CB-B626-620C0529F6DB}"/>
    <cellStyle name="Comma 3 2 2 4 4 4" xfId="5493" xr:uid="{679F011C-0F61-40B1-A1C1-E357DE797414}"/>
    <cellStyle name="Comma 3 2 2 4 4 4 2" xfId="14565" xr:uid="{FF149E88-5B62-4279-A472-1BF636C1F803}"/>
    <cellStyle name="Comma 3 2 2 4 4 4 2 2" xfId="29685" xr:uid="{662446AF-B614-459C-AB9E-2D77C7FF6BC1}"/>
    <cellStyle name="Comma 3 2 2 4 4 4 2 2 2" xfId="59925" xr:uid="{D3D91524-17CF-4AF0-93A3-F414254C8168}"/>
    <cellStyle name="Comma 3 2 2 4 4 4 2 3" xfId="44805" xr:uid="{C77C2C7F-82CA-4DFE-B057-1C7AC6095510}"/>
    <cellStyle name="Comma 3 2 2 4 4 4 3" xfId="20613" xr:uid="{7A99BC66-62A0-48F5-A481-32C21BBBE756}"/>
    <cellStyle name="Comma 3 2 2 4 4 4 3 2" xfId="50853" xr:uid="{028CC528-3E5D-4E14-9C00-311263FB2BB6}"/>
    <cellStyle name="Comma 3 2 2 4 4 4 4" xfId="35733" xr:uid="{916DE1CB-D9A8-40D0-966E-FFFD560DF5A8}"/>
    <cellStyle name="Comma 3 2 2 4 4 5" xfId="7005" xr:uid="{9072FF5C-E04B-4CE9-9474-6AF5E5E66D5A}"/>
    <cellStyle name="Comma 3 2 2 4 4 5 2" xfId="22125" xr:uid="{A4EE24BD-4C96-43F6-9372-12A2BF7EEFCA}"/>
    <cellStyle name="Comma 3 2 2 4 4 5 2 2" xfId="52365" xr:uid="{161CBB89-E6E5-4371-9364-C2A5B7766C24}"/>
    <cellStyle name="Comma 3 2 2 4 4 5 3" xfId="37245" xr:uid="{13D3944C-DAA7-4884-B9D2-C8BFBFE7DD97}"/>
    <cellStyle name="Comma 3 2 2 4 4 6" xfId="8517" xr:uid="{FD88B396-C4B6-403C-8E92-D41F30B8E235}"/>
    <cellStyle name="Comma 3 2 2 4 4 6 2" xfId="23637" xr:uid="{C8D5B886-26E6-4E74-A327-9E4D0020FD7D}"/>
    <cellStyle name="Comma 3 2 2 4 4 6 2 2" xfId="53877" xr:uid="{B1D6A398-6F20-434C-ABEC-9BD9CABC9155}"/>
    <cellStyle name="Comma 3 2 2 4 4 6 3" xfId="38757" xr:uid="{1EB40393-E5B8-46F3-99A9-2F2C7FF065EE}"/>
    <cellStyle name="Comma 3 2 2 4 4 7" xfId="10029" xr:uid="{F7F7A464-0912-4EF9-9D05-65F2B933D275}"/>
    <cellStyle name="Comma 3 2 2 4 4 7 2" xfId="25149" xr:uid="{990659E0-3259-4245-9A1B-B58462AE18AB}"/>
    <cellStyle name="Comma 3 2 2 4 4 7 2 2" xfId="55389" xr:uid="{216AFCE4-1913-4701-BF6A-4295310EF97A}"/>
    <cellStyle name="Comma 3 2 2 4 4 7 3" xfId="40269" xr:uid="{AE8BAAE1-3950-4ECB-AC64-F0A129305903}"/>
    <cellStyle name="Comma 3 2 2 4 4 8" xfId="16077" xr:uid="{040F4E14-5D76-4049-BBB0-D0F871E48BF5}"/>
    <cellStyle name="Comma 3 2 2 4 4 8 2" xfId="46317" xr:uid="{8ED13398-F3CE-4B06-9987-8848BC9EE593}"/>
    <cellStyle name="Comma 3 2 2 4 4 9" xfId="31197" xr:uid="{02C593EC-6EE2-4EE6-A42C-D1D0C6D484FD}"/>
    <cellStyle name="Comma 3 2 2 4 5" xfId="1713" xr:uid="{19FE4C66-AA65-4610-9CAC-5034694A72F2}"/>
    <cellStyle name="Comma 3 2 2 4 5 2" xfId="10785" xr:uid="{A1F8381C-3462-485A-8CD0-CB4B752F1A1F}"/>
    <cellStyle name="Comma 3 2 2 4 5 2 2" xfId="25905" xr:uid="{EF5D7CD2-9EA9-42E2-81B5-CEBCB8BA8B2F}"/>
    <cellStyle name="Comma 3 2 2 4 5 2 2 2" xfId="56145" xr:uid="{6823501E-C533-4C8D-B611-AADDB92FB756}"/>
    <cellStyle name="Comma 3 2 2 4 5 2 3" xfId="41025" xr:uid="{72F4F694-C54B-477E-A036-4D0C3125A4A5}"/>
    <cellStyle name="Comma 3 2 2 4 5 3" xfId="16833" xr:uid="{63522E78-9351-4F9B-9654-C1A1204B5840}"/>
    <cellStyle name="Comma 3 2 2 4 5 3 2" xfId="47073" xr:uid="{3BB90152-2620-4580-B606-8AE658B177B6}"/>
    <cellStyle name="Comma 3 2 2 4 5 4" xfId="31953" xr:uid="{51046C1D-E1C9-4854-843E-7936B1BF377C}"/>
    <cellStyle name="Comma 3 2 2 4 6" xfId="3225" xr:uid="{2899F113-C12D-4D98-8719-B942CE72E68B}"/>
    <cellStyle name="Comma 3 2 2 4 6 2" xfId="12297" xr:uid="{2B13F5C2-EC0E-4280-91B6-F9BB878625D1}"/>
    <cellStyle name="Comma 3 2 2 4 6 2 2" xfId="27417" xr:uid="{9D0B21C3-D0A3-44D0-BA77-DC6E93C053F3}"/>
    <cellStyle name="Comma 3 2 2 4 6 2 2 2" xfId="57657" xr:uid="{120F364B-AC25-4922-A82D-18199DC3E6F1}"/>
    <cellStyle name="Comma 3 2 2 4 6 2 3" xfId="42537" xr:uid="{5F17A9EE-E7B8-4801-B983-ECB0F34F8B2A}"/>
    <cellStyle name="Comma 3 2 2 4 6 3" xfId="18345" xr:uid="{DD796632-5742-41AC-A647-0F23EFC5E2F2}"/>
    <cellStyle name="Comma 3 2 2 4 6 3 2" xfId="48585" xr:uid="{2D9E2A94-523E-470A-A1C0-9EBB76DA6832}"/>
    <cellStyle name="Comma 3 2 2 4 6 4" xfId="33465" xr:uid="{E3ABFDDC-9A12-45BE-BE4A-34E7598DBCA1}"/>
    <cellStyle name="Comma 3 2 2 4 7" xfId="4737" xr:uid="{855C1CF6-0719-4F9A-981E-0BE59273DAAE}"/>
    <cellStyle name="Comma 3 2 2 4 7 2" xfId="13809" xr:uid="{8817A596-B068-4863-9B37-CE409680C3A7}"/>
    <cellStyle name="Comma 3 2 2 4 7 2 2" xfId="28929" xr:uid="{6C9067F0-0F15-4795-982C-6FD6727959E4}"/>
    <cellStyle name="Comma 3 2 2 4 7 2 2 2" xfId="59169" xr:uid="{A1FBF9E3-0433-4186-BF0C-B7AF5F08C268}"/>
    <cellStyle name="Comma 3 2 2 4 7 2 3" xfId="44049" xr:uid="{F9FDD62C-6C63-4E5A-9159-4A256F729804}"/>
    <cellStyle name="Comma 3 2 2 4 7 3" xfId="19857" xr:uid="{E4F0C0DF-3837-44A9-BD81-516F7234FE7B}"/>
    <cellStyle name="Comma 3 2 2 4 7 3 2" xfId="50097" xr:uid="{680D2A55-A6FD-48FD-910B-82F9F93519A5}"/>
    <cellStyle name="Comma 3 2 2 4 7 4" xfId="34977" xr:uid="{F3249EB6-109B-484A-82CD-FDFC6081C5A7}"/>
    <cellStyle name="Comma 3 2 2 4 8" xfId="6249" xr:uid="{FA22C08E-258A-46E9-BC16-498F5B098DA4}"/>
    <cellStyle name="Comma 3 2 2 4 8 2" xfId="21369" xr:uid="{240DCA47-5234-4885-97BF-7E3F92A351FD}"/>
    <cellStyle name="Comma 3 2 2 4 8 2 2" xfId="51609" xr:uid="{057DB9C3-AF9D-4FA4-94D8-9629D8197750}"/>
    <cellStyle name="Comma 3 2 2 4 8 3" xfId="36489" xr:uid="{036EAFC2-C02C-4894-8389-09FBB41F8BB4}"/>
    <cellStyle name="Comma 3 2 2 4 9" xfId="7761" xr:uid="{D3833C4E-4EA6-4383-83EC-E854A8B1632D}"/>
    <cellStyle name="Comma 3 2 2 4 9 2" xfId="22881" xr:uid="{F01E25B2-3775-4F05-848B-C4E71E3DF0F0}"/>
    <cellStyle name="Comma 3 2 2 4 9 2 2" xfId="53121" xr:uid="{9C802C13-A7D3-4379-A45D-CE53471AB804}"/>
    <cellStyle name="Comma 3 2 2 4 9 3" xfId="38001" xr:uid="{B1976977-4EAF-4CAE-A6F6-5385A8BAC69D}"/>
    <cellStyle name="Comma 3 2 2 5" xfId="285" xr:uid="{23F7F8F4-0114-4F5D-A2B6-91A5E71D5068}"/>
    <cellStyle name="Comma 3 2 2 5 10" xfId="30525" xr:uid="{2B3C833D-7BD8-4A6B-BAC8-F7CF98E82724}"/>
    <cellStyle name="Comma 3 2 2 5 2" xfId="1041" xr:uid="{D073E16A-36F1-4D3D-BA99-CE5EE8DD9577}"/>
    <cellStyle name="Comma 3 2 2 5 2 2" xfId="2553" xr:uid="{CB5C2AED-4991-4A26-8D57-71A55C302DB2}"/>
    <cellStyle name="Comma 3 2 2 5 2 2 2" xfId="11625" xr:uid="{4A53C7FE-886B-4D33-B187-469AB67D8FB8}"/>
    <cellStyle name="Comma 3 2 2 5 2 2 2 2" xfId="26745" xr:uid="{93CF15BB-1499-4F23-98CD-26D47BCFF03B}"/>
    <cellStyle name="Comma 3 2 2 5 2 2 2 2 2" xfId="56985" xr:uid="{A4A59838-5077-4721-8606-5F7645ECCCC1}"/>
    <cellStyle name="Comma 3 2 2 5 2 2 2 3" xfId="41865" xr:uid="{3F989946-C6F3-4DBA-A15B-D7CC8D705CE3}"/>
    <cellStyle name="Comma 3 2 2 5 2 2 3" xfId="17673" xr:uid="{A5D43894-0188-4970-AD7F-A99E789B09F6}"/>
    <cellStyle name="Comma 3 2 2 5 2 2 3 2" xfId="47913" xr:uid="{F0416E88-E9A8-47CD-8A19-A7D646239460}"/>
    <cellStyle name="Comma 3 2 2 5 2 2 4" xfId="32793" xr:uid="{913C5AB0-05EC-42A4-8CE1-F52744291D7B}"/>
    <cellStyle name="Comma 3 2 2 5 2 3" xfId="4065" xr:uid="{C728688D-D48F-44A8-8878-92D009D05B69}"/>
    <cellStyle name="Comma 3 2 2 5 2 3 2" xfId="13137" xr:uid="{8DCD4023-461F-4CB1-A3DC-2F479DAF4A86}"/>
    <cellStyle name="Comma 3 2 2 5 2 3 2 2" xfId="28257" xr:uid="{644538E5-BB7F-4A9D-8CE3-CD142B772945}"/>
    <cellStyle name="Comma 3 2 2 5 2 3 2 2 2" xfId="58497" xr:uid="{F272213C-145D-4A7D-99A0-282FA9D22FB2}"/>
    <cellStyle name="Comma 3 2 2 5 2 3 2 3" xfId="43377" xr:uid="{44BB2534-C4D5-4883-A5A3-A4CBCEFDBB99}"/>
    <cellStyle name="Comma 3 2 2 5 2 3 3" xfId="19185" xr:uid="{7C519607-B6B3-431F-AE33-8FC103C5F067}"/>
    <cellStyle name="Comma 3 2 2 5 2 3 3 2" xfId="49425" xr:uid="{6017A38E-7F12-44E9-9747-86D99867C220}"/>
    <cellStyle name="Comma 3 2 2 5 2 3 4" xfId="34305" xr:uid="{62CE6317-AC53-4C78-AFF0-F7E1A3369454}"/>
    <cellStyle name="Comma 3 2 2 5 2 4" xfId="5577" xr:uid="{1EE647FA-970A-4EE4-8BFE-6289FB07852A}"/>
    <cellStyle name="Comma 3 2 2 5 2 4 2" xfId="14649" xr:uid="{E65F2183-CA6F-4D26-AD22-AA36AC800A0B}"/>
    <cellStyle name="Comma 3 2 2 5 2 4 2 2" xfId="29769" xr:uid="{2E3D7CD7-BEDF-43E1-94B6-0E7C154A14FD}"/>
    <cellStyle name="Comma 3 2 2 5 2 4 2 2 2" xfId="60009" xr:uid="{17A5C62A-BE71-464F-98A1-277E79E49ADC}"/>
    <cellStyle name="Comma 3 2 2 5 2 4 2 3" xfId="44889" xr:uid="{A43866E0-C6BE-4D57-A573-1D87A7937D15}"/>
    <cellStyle name="Comma 3 2 2 5 2 4 3" xfId="20697" xr:uid="{551030D2-849C-4539-AF6D-01149813665F}"/>
    <cellStyle name="Comma 3 2 2 5 2 4 3 2" xfId="50937" xr:uid="{E5B4346A-ECCB-457B-8D1F-8C391AB1C9EF}"/>
    <cellStyle name="Comma 3 2 2 5 2 4 4" xfId="35817" xr:uid="{9C8EA71E-91A0-4971-B209-1398226FDD0D}"/>
    <cellStyle name="Comma 3 2 2 5 2 5" xfId="7089" xr:uid="{AEC763FE-E0D4-4D6D-96AC-7446D793B5C0}"/>
    <cellStyle name="Comma 3 2 2 5 2 5 2" xfId="22209" xr:uid="{98178832-A0A2-4CF7-A2A2-6E9788951922}"/>
    <cellStyle name="Comma 3 2 2 5 2 5 2 2" xfId="52449" xr:uid="{17112A5C-F7BA-406E-A485-B703D0217D64}"/>
    <cellStyle name="Comma 3 2 2 5 2 5 3" xfId="37329" xr:uid="{E2B60C1D-6849-445A-9823-A931695479E3}"/>
    <cellStyle name="Comma 3 2 2 5 2 6" xfId="8601" xr:uid="{CFD4E46C-3F55-4149-B006-BE01F3992527}"/>
    <cellStyle name="Comma 3 2 2 5 2 6 2" xfId="23721" xr:uid="{D5EDFA51-CB9B-4795-A3E9-B1B066A1F904}"/>
    <cellStyle name="Comma 3 2 2 5 2 6 2 2" xfId="53961" xr:uid="{6F0C6D2E-D193-4FE4-A576-A98F0F0C527D}"/>
    <cellStyle name="Comma 3 2 2 5 2 6 3" xfId="38841" xr:uid="{D8FF9865-6BD5-4457-AFCA-A50E3ACEA66A}"/>
    <cellStyle name="Comma 3 2 2 5 2 7" xfId="10113" xr:uid="{383E3077-0DC0-43BF-913B-69231FCE1D8A}"/>
    <cellStyle name="Comma 3 2 2 5 2 7 2" xfId="25233" xr:uid="{A8E14F98-1FA4-427A-A731-8F88AAE24FD6}"/>
    <cellStyle name="Comma 3 2 2 5 2 7 2 2" xfId="55473" xr:uid="{CCEA86E2-CFE3-4F79-917C-328D8FAEA1A4}"/>
    <cellStyle name="Comma 3 2 2 5 2 7 3" xfId="40353" xr:uid="{3B4E1122-A2B9-4639-8993-A21E750939B7}"/>
    <cellStyle name="Comma 3 2 2 5 2 8" xfId="16161" xr:uid="{802D4BDC-656D-44B7-A181-F43F614210E7}"/>
    <cellStyle name="Comma 3 2 2 5 2 8 2" xfId="46401" xr:uid="{4BAE5ACB-CC32-4ADE-9124-C29A26A945D3}"/>
    <cellStyle name="Comma 3 2 2 5 2 9" xfId="31281" xr:uid="{52EF79DB-C5B4-497D-84C3-30E3A6BB6DC5}"/>
    <cellStyle name="Comma 3 2 2 5 3" xfId="1797" xr:uid="{FF6CBC96-5F09-4EA1-ADDD-0F5073BE2BFB}"/>
    <cellStyle name="Comma 3 2 2 5 3 2" xfId="10869" xr:uid="{E60DA76B-A194-4F6B-B324-3CD1871F3EF8}"/>
    <cellStyle name="Comma 3 2 2 5 3 2 2" xfId="25989" xr:uid="{CD451E3A-ACD4-4A89-BD64-3F8193DC4570}"/>
    <cellStyle name="Comma 3 2 2 5 3 2 2 2" xfId="56229" xr:uid="{2BEBDF8B-D903-4665-9DEE-0BBF1E1AF0B2}"/>
    <cellStyle name="Comma 3 2 2 5 3 2 3" xfId="41109" xr:uid="{8BE1943E-772D-42CD-925A-D26B66F034BD}"/>
    <cellStyle name="Comma 3 2 2 5 3 3" xfId="16917" xr:uid="{2A31D994-4C0B-41C1-A268-77418841085E}"/>
    <cellStyle name="Comma 3 2 2 5 3 3 2" xfId="47157" xr:uid="{7833E19C-ABD3-44D3-B500-E72317D21554}"/>
    <cellStyle name="Comma 3 2 2 5 3 4" xfId="32037" xr:uid="{CE2EA6ED-3A9D-4BDA-A637-3DDAC5AE1A61}"/>
    <cellStyle name="Comma 3 2 2 5 4" xfId="3309" xr:uid="{9EDBE180-5B01-4E28-A47D-935AB9F99FAD}"/>
    <cellStyle name="Comma 3 2 2 5 4 2" xfId="12381" xr:uid="{01D1D5A5-6350-4E10-B540-D53C2859A7DF}"/>
    <cellStyle name="Comma 3 2 2 5 4 2 2" xfId="27501" xr:uid="{43EECE4F-AA44-435B-B689-A0C1D1516E4D}"/>
    <cellStyle name="Comma 3 2 2 5 4 2 2 2" xfId="57741" xr:uid="{59AAA393-AFA5-4D69-BCAF-3C232D518454}"/>
    <cellStyle name="Comma 3 2 2 5 4 2 3" xfId="42621" xr:uid="{57332CB5-FE8F-449B-8F69-90730B4B44DE}"/>
    <cellStyle name="Comma 3 2 2 5 4 3" xfId="18429" xr:uid="{FFEA1F2C-C25D-4207-BC49-FA30790EE4A0}"/>
    <cellStyle name="Comma 3 2 2 5 4 3 2" xfId="48669" xr:uid="{7818B169-1254-4FAE-A0EB-200674CE62C3}"/>
    <cellStyle name="Comma 3 2 2 5 4 4" xfId="33549" xr:uid="{4E3EDBCA-7184-44AD-852C-F92C6D8E3B01}"/>
    <cellStyle name="Comma 3 2 2 5 5" xfId="4821" xr:uid="{A078A749-9516-4E85-8FA7-14A64E725FC6}"/>
    <cellStyle name="Comma 3 2 2 5 5 2" xfId="13893" xr:uid="{4114D75B-9405-4328-A600-E3B08A8A2538}"/>
    <cellStyle name="Comma 3 2 2 5 5 2 2" xfId="29013" xr:uid="{C890EB17-09A1-4A94-B814-44A849E76EE3}"/>
    <cellStyle name="Comma 3 2 2 5 5 2 2 2" xfId="59253" xr:uid="{5BBE22D4-FD66-42B6-ADE3-E8A016783D86}"/>
    <cellStyle name="Comma 3 2 2 5 5 2 3" xfId="44133" xr:uid="{53DA35C6-1C2D-4DC7-98E6-5259F7A00BBD}"/>
    <cellStyle name="Comma 3 2 2 5 5 3" xfId="19941" xr:uid="{77499527-DD96-4719-AED4-CAD900C417B3}"/>
    <cellStyle name="Comma 3 2 2 5 5 3 2" xfId="50181" xr:uid="{08CF6542-73CE-4200-BF1A-7EDBA908C9AC}"/>
    <cellStyle name="Comma 3 2 2 5 5 4" xfId="35061" xr:uid="{7222848F-3868-40B4-93D0-50D599A44B89}"/>
    <cellStyle name="Comma 3 2 2 5 6" xfId="6333" xr:uid="{7EA261FD-D88B-42E4-9EDA-43A5188FD722}"/>
    <cellStyle name="Comma 3 2 2 5 6 2" xfId="21453" xr:uid="{45A63448-C4E1-4BE4-941D-E11BB7DD3FDD}"/>
    <cellStyle name="Comma 3 2 2 5 6 2 2" xfId="51693" xr:uid="{BC5224A2-925C-4D14-95E8-5608DCA6E633}"/>
    <cellStyle name="Comma 3 2 2 5 6 3" xfId="36573" xr:uid="{4523B728-EAA5-4872-BE31-9DA00BC59A34}"/>
    <cellStyle name="Comma 3 2 2 5 7" xfId="7845" xr:uid="{CE9E1A0A-18D4-4A6D-9C03-17F43ED9DB27}"/>
    <cellStyle name="Comma 3 2 2 5 7 2" xfId="22965" xr:uid="{5FE757BA-66B3-4C2F-B5B9-309DF7D05BE7}"/>
    <cellStyle name="Comma 3 2 2 5 7 2 2" xfId="53205" xr:uid="{9704CC1B-D37D-4370-AE1A-CCC5AEDEC5AF}"/>
    <cellStyle name="Comma 3 2 2 5 7 3" xfId="38085" xr:uid="{3779F0D7-1747-4C10-B233-08951A69D3B6}"/>
    <cellStyle name="Comma 3 2 2 5 8" xfId="9357" xr:uid="{E9F8C085-8AE2-4E54-9986-7DE8E33F4531}"/>
    <cellStyle name="Comma 3 2 2 5 8 2" xfId="24477" xr:uid="{A64CA974-88C0-470D-A963-376DED193502}"/>
    <cellStyle name="Comma 3 2 2 5 8 2 2" xfId="54717" xr:uid="{DB455847-539F-4F01-BEA3-F0408CA15C97}"/>
    <cellStyle name="Comma 3 2 2 5 8 3" xfId="39597" xr:uid="{3DE30258-0409-4773-A71B-6D92AE367D0E}"/>
    <cellStyle name="Comma 3 2 2 5 9" xfId="15405" xr:uid="{F97482A2-1F69-401D-B1F3-99C2C9DFF87C}"/>
    <cellStyle name="Comma 3 2 2 5 9 2" xfId="45645" xr:uid="{108DC135-6498-45B6-AAD5-5837151CE43E}"/>
    <cellStyle name="Comma 3 2 2 6" xfId="537" xr:uid="{3E9F4EB3-1716-4B55-B335-8BA138AFB3E8}"/>
    <cellStyle name="Comma 3 2 2 6 10" xfId="30777" xr:uid="{363C950D-688F-4640-80E5-8C19B9389C2B}"/>
    <cellStyle name="Comma 3 2 2 6 2" xfId="1293" xr:uid="{96DDD132-2709-42DB-93F9-86FEA17B46AA}"/>
    <cellStyle name="Comma 3 2 2 6 2 2" xfId="2805" xr:uid="{8713EDB8-921E-4228-9FF7-5A42F5408DD6}"/>
    <cellStyle name="Comma 3 2 2 6 2 2 2" xfId="11877" xr:uid="{08F8BC92-10AF-44F7-9436-E1071820197B}"/>
    <cellStyle name="Comma 3 2 2 6 2 2 2 2" xfId="26997" xr:uid="{68E0E95C-42FE-4596-AFEC-6E5398F4E31E}"/>
    <cellStyle name="Comma 3 2 2 6 2 2 2 2 2" xfId="57237" xr:uid="{4507A11E-2D6A-459E-823D-71D42A5F56B7}"/>
    <cellStyle name="Comma 3 2 2 6 2 2 2 3" xfId="42117" xr:uid="{629694C0-1793-4D2F-A2BC-123D876738AC}"/>
    <cellStyle name="Comma 3 2 2 6 2 2 3" xfId="17925" xr:uid="{C9CD84AD-6803-49BD-8942-118042A903D4}"/>
    <cellStyle name="Comma 3 2 2 6 2 2 3 2" xfId="48165" xr:uid="{B9605B18-63F6-4CF3-837B-7D8F4513D724}"/>
    <cellStyle name="Comma 3 2 2 6 2 2 4" xfId="33045" xr:uid="{0D95CBA6-6600-4C15-ABC8-9001A33E69B1}"/>
    <cellStyle name="Comma 3 2 2 6 2 3" xfId="4317" xr:uid="{C3CF3F59-7678-426D-8E76-8197076E6CC6}"/>
    <cellStyle name="Comma 3 2 2 6 2 3 2" xfId="13389" xr:uid="{315C4DD9-202D-4DE6-A789-8A94B2BCDDA1}"/>
    <cellStyle name="Comma 3 2 2 6 2 3 2 2" xfId="28509" xr:uid="{BDC1FF55-1A42-4477-AE14-891D37FFA097}"/>
    <cellStyle name="Comma 3 2 2 6 2 3 2 2 2" xfId="58749" xr:uid="{029AB2C4-7F74-455E-8348-8E61796C8D90}"/>
    <cellStyle name="Comma 3 2 2 6 2 3 2 3" xfId="43629" xr:uid="{7DAFD342-9A62-4929-A49E-48452AAEEF3A}"/>
    <cellStyle name="Comma 3 2 2 6 2 3 3" xfId="19437" xr:uid="{5FCDC541-DC4B-4140-A87A-EA55143B7C1E}"/>
    <cellStyle name="Comma 3 2 2 6 2 3 3 2" xfId="49677" xr:uid="{1BA54367-BDD5-4BAB-912F-539377E95CC3}"/>
    <cellStyle name="Comma 3 2 2 6 2 3 4" xfId="34557" xr:uid="{DE42E024-CE78-4162-8A51-25FCCB0067FB}"/>
    <cellStyle name="Comma 3 2 2 6 2 4" xfId="5829" xr:uid="{A4D78C42-BE45-4D74-BB32-7BB94D786777}"/>
    <cellStyle name="Comma 3 2 2 6 2 4 2" xfId="14901" xr:uid="{38FB8EDE-0DF7-4B08-9EA0-083AEC272BF6}"/>
    <cellStyle name="Comma 3 2 2 6 2 4 2 2" xfId="30021" xr:uid="{8C15276F-57C8-49FE-A1FB-BB508CD1AE70}"/>
    <cellStyle name="Comma 3 2 2 6 2 4 2 2 2" xfId="60261" xr:uid="{528D7245-938B-440F-A4B0-0580ADA3FE4A}"/>
    <cellStyle name="Comma 3 2 2 6 2 4 2 3" xfId="45141" xr:uid="{545B2D87-666C-4959-A8FB-22921BF49AC4}"/>
    <cellStyle name="Comma 3 2 2 6 2 4 3" xfId="20949" xr:uid="{BB5E1556-FB84-4F97-95BE-5F3C474F3103}"/>
    <cellStyle name="Comma 3 2 2 6 2 4 3 2" xfId="51189" xr:uid="{27EE2FC8-23C6-4BC2-8304-67A27B60DBDA}"/>
    <cellStyle name="Comma 3 2 2 6 2 4 4" xfId="36069" xr:uid="{10B62B71-7D84-4D23-A7F9-5F5D8AD8B1AE}"/>
    <cellStyle name="Comma 3 2 2 6 2 5" xfId="7341" xr:uid="{8FB858C9-B32E-486C-AE61-E5A70FED6D80}"/>
    <cellStyle name="Comma 3 2 2 6 2 5 2" xfId="22461" xr:uid="{CD427320-E68A-4F58-A218-A6F19BF2264A}"/>
    <cellStyle name="Comma 3 2 2 6 2 5 2 2" xfId="52701" xr:uid="{69AD47E4-5B0E-4733-B3BF-A5D6B06AF167}"/>
    <cellStyle name="Comma 3 2 2 6 2 5 3" xfId="37581" xr:uid="{8532044B-936C-4E06-8B0E-D8FDC76130F2}"/>
    <cellStyle name="Comma 3 2 2 6 2 6" xfId="8853" xr:uid="{09B23217-FFC2-41CE-8F78-A47A030694CB}"/>
    <cellStyle name="Comma 3 2 2 6 2 6 2" xfId="23973" xr:uid="{6EACDACA-59DC-49CA-9E80-F46A2D859EDC}"/>
    <cellStyle name="Comma 3 2 2 6 2 6 2 2" xfId="54213" xr:uid="{09E4724E-7BC5-4C53-A0EE-F26FDC0C9F2C}"/>
    <cellStyle name="Comma 3 2 2 6 2 6 3" xfId="39093" xr:uid="{92CA5E0C-CADA-4F43-98AA-7A5DBE8D1020}"/>
    <cellStyle name="Comma 3 2 2 6 2 7" xfId="10365" xr:uid="{6DA1050B-5AEE-4F8B-B360-5DBAA6E97B8D}"/>
    <cellStyle name="Comma 3 2 2 6 2 7 2" xfId="25485" xr:uid="{0084BC8F-885E-49E4-86E1-754880C8DF40}"/>
    <cellStyle name="Comma 3 2 2 6 2 7 2 2" xfId="55725" xr:uid="{5F33FAAB-3622-46F8-8187-6E904646BA3D}"/>
    <cellStyle name="Comma 3 2 2 6 2 7 3" xfId="40605" xr:uid="{5A203C53-738B-4B33-A1A2-BD28DED88CEC}"/>
    <cellStyle name="Comma 3 2 2 6 2 8" xfId="16413" xr:uid="{860C1B72-263E-43C6-94AE-AFA57C976DED}"/>
    <cellStyle name="Comma 3 2 2 6 2 8 2" xfId="46653" xr:uid="{0E25ED2F-80E0-498A-9060-A94262D0B806}"/>
    <cellStyle name="Comma 3 2 2 6 2 9" xfId="31533" xr:uid="{BCFCDC2D-C75E-4ECE-AD73-8F9A20836D3B}"/>
    <cellStyle name="Comma 3 2 2 6 3" xfId="2049" xr:uid="{BEB86844-E7BE-4CA8-81FE-7A18542C4EF4}"/>
    <cellStyle name="Comma 3 2 2 6 3 2" xfId="11121" xr:uid="{05847894-16CC-41B5-AB43-EF219D83DB0C}"/>
    <cellStyle name="Comma 3 2 2 6 3 2 2" xfId="26241" xr:uid="{C820881C-FB1C-40B4-A03D-4F2205F84A45}"/>
    <cellStyle name="Comma 3 2 2 6 3 2 2 2" xfId="56481" xr:uid="{7F021BC8-AC5F-4B27-82F8-7D20A6B1ACD4}"/>
    <cellStyle name="Comma 3 2 2 6 3 2 3" xfId="41361" xr:uid="{6D618E9D-15F5-4006-A4A4-81032C8643B7}"/>
    <cellStyle name="Comma 3 2 2 6 3 3" xfId="17169" xr:uid="{7F22A7EE-EEBA-49A8-90CC-532221FC4F91}"/>
    <cellStyle name="Comma 3 2 2 6 3 3 2" xfId="47409" xr:uid="{F897C1CF-AE4F-4146-AE8C-CF8F039E9DC6}"/>
    <cellStyle name="Comma 3 2 2 6 3 4" xfId="32289" xr:uid="{40278EB8-D86B-44D6-9005-C821D2FD9373}"/>
    <cellStyle name="Comma 3 2 2 6 4" xfId="3561" xr:uid="{439E9F08-009C-41BD-B408-9B6EAC09BF23}"/>
    <cellStyle name="Comma 3 2 2 6 4 2" xfId="12633" xr:uid="{366F90D2-0ED0-4A63-8ED7-A7E79795A2C3}"/>
    <cellStyle name="Comma 3 2 2 6 4 2 2" xfId="27753" xr:uid="{991F9806-C41F-4FC2-BEDA-9F1AD80F10DF}"/>
    <cellStyle name="Comma 3 2 2 6 4 2 2 2" xfId="57993" xr:uid="{DE5D40DF-A97E-4460-B7F7-59FCD6D8BCC5}"/>
    <cellStyle name="Comma 3 2 2 6 4 2 3" xfId="42873" xr:uid="{5E6240F4-AF10-48C4-B930-595425F9EA16}"/>
    <cellStyle name="Comma 3 2 2 6 4 3" xfId="18681" xr:uid="{62727E42-4491-4418-9DCB-0B39C79F9716}"/>
    <cellStyle name="Comma 3 2 2 6 4 3 2" xfId="48921" xr:uid="{5E12FD82-5DFA-46EF-8834-F5CB477A6C88}"/>
    <cellStyle name="Comma 3 2 2 6 4 4" xfId="33801" xr:uid="{917BADC6-B446-47D8-B3EA-4160E450B795}"/>
    <cellStyle name="Comma 3 2 2 6 5" xfId="5073" xr:uid="{7B7874DC-4369-491A-8931-DD1DE4292BB5}"/>
    <cellStyle name="Comma 3 2 2 6 5 2" xfId="14145" xr:uid="{7FF10F73-D009-49EB-88E6-F6498D33C254}"/>
    <cellStyle name="Comma 3 2 2 6 5 2 2" xfId="29265" xr:uid="{A87D984E-7FB0-4687-AB02-42486043241E}"/>
    <cellStyle name="Comma 3 2 2 6 5 2 2 2" xfId="59505" xr:uid="{F224C30C-D812-4CCB-A2BF-D8C44BB89360}"/>
    <cellStyle name="Comma 3 2 2 6 5 2 3" xfId="44385" xr:uid="{5F210635-6852-4244-916E-7A046C67EBE5}"/>
    <cellStyle name="Comma 3 2 2 6 5 3" xfId="20193" xr:uid="{514A4A9D-57B9-40FB-AF85-81FB45F88029}"/>
    <cellStyle name="Comma 3 2 2 6 5 3 2" xfId="50433" xr:uid="{5D43E157-EFB9-4D43-BA4B-E0FA56C9123C}"/>
    <cellStyle name="Comma 3 2 2 6 5 4" xfId="35313" xr:uid="{73623D22-9464-4CE2-9148-3D552D135A62}"/>
    <cellStyle name="Comma 3 2 2 6 6" xfId="6585" xr:uid="{FD48A380-0008-4E37-A945-0BB5A9C5442D}"/>
    <cellStyle name="Comma 3 2 2 6 6 2" xfId="21705" xr:uid="{FB0EBC47-A1FE-4FB2-93C9-D14433BAAB04}"/>
    <cellStyle name="Comma 3 2 2 6 6 2 2" xfId="51945" xr:uid="{B103CBDA-73AA-4A90-8256-C46E4FD5CE46}"/>
    <cellStyle name="Comma 3 2 2 6 6 3" xfId="36825" xr:uid="{A5E6E97F-2634-4227-82B5-C45C514ECE6D}"/>
    <cellStyle name="Comma 3 2 2 6 7" xfId="8097" xr:uid="{7EE86B45-453F-4EB1-9F74-365883915131}"/>
    <cellStyle name="Comma 3 2 2 6 7 2" xfId="23217" xr:uid="{A3EA08E5-8564-4F93-9592-75ED43DF7275}"/>
    <cellStyle name="Comma 3 2 2 6 7 2 2" xfId="53457" xr:uid="{5CD7B326-ECDB-4FD1-82C5-DEE3CD1B314C}"/>
    <cellStyle name="Comma 3 2 2 6 7 3" xfId="38337" xr:uid="{64376F1E-DB4D-4257-8DCA-6F380A94E142}"/>
    <cellStyle name="Comma 3 2 2 6 8" xfId="9609" xr:uid="{7B04D4D8-68DE-45F2-9469-312DE8789F2A}"/>
    <cellStyle name="Comma 3 2 2 6 8 2" xfId="24729" xr:uid="{75F5D694-342C-4162-9FB4-5F18F25F6417}"/>
    <cellStyle name="Comma 3 2 2 6 8 2 2" xfId="54969" xr:uid="{EEBCAB32-C306-4CD9-874C-396334BDAE65}"/>
    <cellStyle name="Comma 3 2 2 6 8 3" xfId="39849" xr:uid="{090CBA30-45C2-49C8-BDBD-3559698668B4}"/>
    <cellStyle name="Comma 3 2 2 6 9" xfId="15657" xr:uid="{CE8A96A8-2F97-425D-961E-518072DD7F52}"/>
    <cellStyle name="Comma 3 2 2 6 9 2" xfId="45897" xr:uid="{F9498ED7-3565-4FD5-AA85-414D1028EECD}"/>
    <cellStyle name="Comma 3 2 2 7" xfId="789" xr:uid="{D5D4AC91-E3FA-4302-9087-74925F714B73}"/>
    <cellStyle name="Comma 3 2 2 7 2" xfId="2301" xr:uid="{4E62CF6F-65FF-43E1-BED8-D7841A2A9274}"/>
    <cellStyle name="Comma 3 2 2 7 2 2" xfId="11373" xr:uid="{51FB007B-E549-41CA-A506-380024A8C61C}"/>
    <cellStyle name="Comma 3 2 2 7 2 2 2" xfId="26493" xr:uid="{1D5044A8-EF75-4796-B85F-7EBE5B5A14F5}"/>
    <cellStyle name="Comma 3 2 2 7 2 2 2 2" xfId="56733" xr:uid="{41CB3255-C083-49C4-B82E-1598B691247E}"/>
    <cellStyle name="Comma 3 2 2 7 2 2 3" xfId="41613" xr:uid="{E39B1EC2-DFD4-4590-A6C6-F284A5872CE2}"/>
    <cellStyle name="Comma 3 2 2 7 2 3" xfId="17421" xr:uid="{77650697-348A-4932-B29C-76FFCEEE91C3}"/>
    <cellStyle name="Comma 3 2 2 7 2 3 2" xfId="47661" xr:uid="{E2923B59-B4AF-4804-AD76-81FBEAF7418A}"/>
    <cellStyle name="Comma 3 2 2 7 2 4" xfId="32541" xr:uid="{56C38C01-4FFD-43CB-8098-8CD12AC9C4D4}"/>
    <cellStyle name="Comma 3 2 2 7 3" xfId="3813" xr:uid="{6AF62084-57BE-44F8-9D2D-22144BEF435A}"/>
    <cellStyle name="Comma 3 2 2 7 3 2" xfId="12885" xr:uid="{FB415A2C-58DF-477E-8F07-E3203900003B}"/>
    <cellStyle name="Comma 3 2 2 7 3 2 2" xfId="28005" xr:uid="{BDDA8C97-1211-4B0C-9748-EAA52D373037}"/>
    <cellStyle name="Comma 3 2 2 7 3 2 2 2" xfId="58245" xr:uid="{A4745B10-139D-4B86-9A35-03BA5A6F4BC0}"/>
    <cellStyle name="Comma 3 2 2 7 3 2 3" xfId="43125" xr:uid="{1C9C391D-6AA8-4E18-B01C-67AF6B4A3355}"/>
    <cellStyle name="Comma 3 2 2 7 3 3" xfId="18933" xr:uid="{1AF23C63-9033-40B1-B63F-F3DF3F1D3418}"/>
    <cellStyle name="Comma 3 2 2 7 3 3 2" xfId="49173" xr:uid="{1E5E9732-3437-4496-9429-0AC77E6FF788}"/>
    <cellStyle name="Comma 3 2 2 7 3 4" xfId="34053" xr:uid="{0A6B0E13-332D-4D7A-BBC9-AE45DFA243E0}"/>
    <cellStyle name="Comma 3 2 2 7 4" xfId="5325" xr:uid="{F79CAE6C-AFF1-420B-9B44-336BF1E5C732}"/>
    <cellStyle name="Comma 3 2 2 7 4 2" xfId="14397" xr:uid="{D5A0D7EE-AC2D-4F13-8AD6-770F5994B9D9}"/>
    <cellStyle name="Comma 3 2 2 7 4 2 2" xfId="29517" xr:uid="{CD9B36A6-F7BE-4A0C-93FA-592690EE79DB}"/>
    <cellStyle name="Comma 3 2 2 7 4 2 2 2" xfId="59757" xr:uid="{E1441D41-8AF0-4E44-A2E0-FBD00A121130}"/>
    <cellStyle name="Comma 3 2 2 7 4 2 3" xfId="44637" xr:uid="{6A753170-E09E-4270-B57F-1A37BA937422}"/>
    <cellStyle name="Comma 3 2 2 7 4 3" xfId="20445" xr:uid="{1BA60468-8000-4F10-B147-D0A0626EFDE6}"/>
    <cellStyle name="Comma 3 2 2 7 4 3 2" xfId="50685" xr:uid="{2D22D40C-E114-4FE0-8489-6FB3BFA78CD1}"/>
    <cellStyle name="Comma 3 2 2 7 4 4" xfId="35565" xr:uid="{FF9EF462-F0C5-4097-85E8-25BDAB922D4C}"/>
    <cellStyle name="Comma 3 2 2 7 5" xfId="6837" xr:uid="{2C6B0BC2-A5A2-4898-9E94-681DB9544877}"/>
    <cellStyle name="Comma 3 2 2 7 5 2" xfId="21957" xr:uid="{503F27B3-77B0-4D75-B1BC-3CD9242E534F}"/>
    <cellStyle name="Comma 3 2 2 7 5 2 2" xfId="52197" xr:uid="{550206C8-465E-4DC6-800D-BEFB36D91E97}"/>
    <cellStyle name="Comma 3 2 2 7 5 3" xfId="37077" xr:uid="{F555E18B-5F0B-47D6-B532-797B2EAD41CE}"/>
    <cellStyle name="Comma 3 2 2 7 6" xfId="8349" xr:uid="{3DFA977B-32D0-4B8A-BE8A-4091B87A6926}"/>
    <cellStyle name="Comma 3 2 2 7 6 2" xfId="23469" xr:uid="{A5EC4DEA-6777-4B6D-9F3C-8E18379EEE0A}"/>
    <cellStyle name="Comma 3 2 2 7 6 2 2" xfId="53709" xr:uid="{2CD8DAC8-FE47-4A02-A908-9CBB91454FFE}"/>
    <cellStyle name="Comma 3 2 2 7 6 3" xfId="38589" xr:uid="{29C4EA07-1EA3-4865-8C0D-F56604EC68BE}"/>
    <cellStyle name="Comma 3 2 2 7 7" xfId="9861" xr:uid="{C5AC5FF0-E9A0-4647-BA52-37D216F064C1}"/>
    <cellStyle name="Comma 3 2 2 7 7 2" xfId="24981" xr:uid="{66113ED3-3A85-4006-BC54-DB2A46582B90}"/>
    <cellStyle name="Comma 3 2 2 7 7 2 2" xfId="55221" xr:uid="{4C336633-D7DF-49B6-8401-E97949048E3A}"/>
    <cellStyle name="Comma 3 2 2 7 7 3" xfId="40101" xr:uid="{0A18D0BB-D874-4942-960E-66F3AE4B96C4}"/>
    <cellStyle name="Comma 3 2 2 7 8" xfId="15909" xr:uid="{9782C901-5B74-4C4F-ACD7-D05E589FD67B}"/>
    <cellStyle name="Comma 3 2 2 7 8 2" xfId="46149" xr:uid="{4F499D17-5F48-4A2D-8739-FFC3478DE5F5}"/>
    <cellStyle name="Comma 3 2 2 7 9" xfId="31029" xr:uid="{78B4C04C-9263-4CED-A107-0F632CDB9268}"/>
    <cellStyle name="Comma 3 2 2 8" xfId="1545" xr:uid="{60A46C7B-7E8D-494F-A236-37ED8FE884DE}"/>
    <cellStyle name="Comma 3 2 2 8 2" xfId="10617" xr:uid="{C5D7F170-D620-4642-982B-63ECCC40C1E8}"/>
    <cellStyle name="Comma 3 2 2 8 2 2" xfId="25737" xr:uid="{CF1B70BD-38B4-458F-8506-C76AD5D5A633}"/>
    <cellStyle name="Comma 3 2 2 8 2 2 2" xfId="55977" xr:uid="{95E59DBA-CB76-4FE3-95A8-F6EA79653A1E}"/>
    <cellStyle name="Comma 3 2 2 8 2 3" xfId="40857" xr:uid="{379A8DF9-183C-48E6-9CAB-0D37A6C445AE}"/>
    <cellStyle name="Comma 3 2 2 8 3" xfId="16665" xr:uid="{7FC065AF-252C-454D-A861-B3449B92B7A7}"/>
    <cellStyle name="Comma 3 2 2 8 3 2" xfId="46905" xr:uid="{6A6CF88D-4263-4E79-8F03-E601B8D44E52}"/>
    <cellStyle name="Comma 3 2 2 8 4" xfId="31785" xr:uid="{889BAFD8-2AEB-41ED-BC21-EB77F6B78E56}"/>
    <cellStyle name="Comma 3 2 2 9" xfId="3057" xr:uid="{A31C4710-403D-466D-B632-761AA87C009E}"/>
    <cellStyle name="Comma 3 2 2 9 2" xfId="12129" xr:uid="{3B235907-347B-4B5A-AAE7-31625B2653C2}"/>
    <cellStyle name="Comma 3 2 2 9 2 2" xfId="27249" xr:uid="{8F5D4399-0F92-443B-934A-C5E3E8058ED9}"/>
    <cellStyle name="Comma 3 2 2 9 2 2 2" xfId="57489" xr:uid="{22AE4137-D5D8-4E92-9DFB-3E30DDC7E463}"/>
    <cellStyle name="Comma 3 2 2 9 2 3" xfId="42369" xr:uid="{463BA22C-F812-4DFB-81C3-A29569806207}"/>
    <cellStyle name="Comma 3 2 2 9 3" xfId="18177" xr:uid="{FFEF1B00-90C9-4AE2-B7E0-A99B719A0540}"/>
    <cellStyle name="Comma 3 2 2 9 3 2" xfId="48417" xr:uid="{689B4015-A919-4247-B481-86313421F258}"/>
    <cellStyle name="Comma 3 2 2 9 4" xfId="33297" xr:uid="{B2617D7B-76D4-49DE-BC37-97DC1047F345}"/>
    <cellStyle name="Comma 3 2 3" xfId="47" xr:uid="{31687313-C6AB-4018-83DC-C8688704C206}"/>
    <cellStyle name="Comma 3 2 3 10" xfId="4583" xr:uid="{FF6BEC6F-1A15-403F-A419-1A0D7540B997}"/>
    <cellStyle name="Comma 3 2 3 10 2" xfId="13655" xr:uid="{C7C884DA-DC8C-4397-9B12-6FD46EA5197F}"/>
    <cellStyle name="Comma 3 2 3 10 2 2" xfId="28775" xr:uid="{90AEFE49-5174-40A9-A4F1-AAB39850E7AB}"/>
    <cellStyle name="Comma 3 2 3 10 2 2 2" xfId="59015" xr:uid="{FC058570-5000-442F-A3ED-526A233800C2}"/>
    <cellStyle name="Comma 3 2 3 10 2 3" xfId="43895" xr:uid="{BE24B8E1-1589-4D14-8713-E1AA6527F0A6}"/>
    <cellStyle name="Comma 3 2 3 10 3" xfId="19703" xr:uid="{4CA274A3-5856-4322-A359-7B03E4D17665}"/>
    <cellStyle name="Comma 3 2 3 10 3 2" xfId="49943" xr:uid="{94B703CC-145A-44A4-9275-1C1652A8925D}"/>
    <cellStyle name="Comma 3 2 3 10 4" xfId="34823" xr:uid="{0737A940-E154-493A-87C7-A935D692D62D}"/>
    <cellStyle name="Comma 3 2 3 11" xfId="6095" xr:uid="{8C76BBA1-EC54-4E91-8884-619AF930D4EF}"/>
    <cellStyle name="Comma 3 2 3 11 2" xfId="21215" xr:uid="{84B6A1D9-5876-464F-9512-C0CF176D3A73}"/>
    <cellStyle name="Comma 3 2 3 11 2 2" xfId="51455" xr:uid="{2E54CB85-5168-4F87-90BC-2ADE8FCD115F}"/>
    <cellStyle name="Comma 3 2 3 11 3" xfId="36335" xr:uid="{835F3765-4E23-49EC-BE59-DAAAE41880DF}"/>
    <cellStyle name="Comma 3 2 3 12" xfId="7607" xr:uid="{CCC0A77B-98A6-42CA-A17B-7858FD0B6BD5}"/>
    <cellStyle name="Comma 3 2 3 12 2" xfId="22727" xr:uid="{AAA92810-4BD7-4A39-B301-88F79136B626}"/>
    <cellStyle name="Comma 3 2 3 12 2 2" xfId="52967" xr:uid="{0FF3ABD9-CB9F-4FD4-A882-AC76194769A5}"/>
    <cellStyle name="Comma 3 2 3 12 3" xfId="37847" xr:uid="{C537F958-4B0B-4691-97B4-3DC80C257DE1}"/>
    <cellStyle name="Comma 3 2 3 13" xfId="9119" xr:uid="{FA8984EE-6582-40B8-8146-13C2D6A8BB85}"/>
    <cellStyle name="Comma 3 2 3 13 2" xfId="24239" xr:uid="{1327A4CA-64BF-4C28-B41A-7FA025135A0A}"/>
    <cellStyle name="Comma 3 2 3 13 2 2" xfId="54479" xr:uid="{997C8D28-724C-4EFF-B836-14EF1978F4ED}"/>
    <cellStyle name="Comma 3 2 3 13 3" xfId="39359" xr:uid="{81C574BF-54EB-492C-BCFE-CC7490937A87}"/>
    <cellStyle name="Comma 3 2 3 14" xfId="15167" xr:uid="{56FB8FDA-F6FF-4A68-A859-38A6FAD7D5BB}"/>
    <cellStyle name="Comma 3 2 3 14 2" xfId="45407" xr:uid="{523C3572-E2DF-4345-A58E-D3BA98F9B1A5}"/>
    <cellStyle name="Comma 3 2 3 15" xfId="30287" xr:uid="{98E6633B-ED4B-407E-A82C-98012F549592}"/>
    <cellStyle name="Comma 3 2 3 2" xfId="89" xr:uid="{93D62268-CB33-49B0-B8FB-D3FCA2D648CC}"/>
    <cellStyle name="Comma 3 2 3 2 10" xfId="6137" xr:uid="{3BA3D50A-CF8F-4C74-8B16-67E2887BA73C}"/>
    <cellStyle name="Comma 3 2 3 2 10 2" xfId="21257" xr:uid="{C2CA0A51-2DF4-4830-9340-57C7F049073F}"/>
    <cellStyle name="Comma 3 2 3 2 10 2 2" xfId="51497" xr:uid="{929DB745-D770-41C9-B245-B17AE1FDBECC}"/>
    <cellStyle name="Comma 3 2 3 2 10 3" xfId="36377" xr:uid="{81D79D60-3287-4576-9A85-1B92759AF743}"/>
    <cellStyle name="Comma 3 2 3 2 11" xfId="7649" xr:uid="{208E3267-8FB4-4E18-B942-B65AF3BC3987}"/>
    <cellStyle name="Comma 3 2 3 2 11 2" xfId="22769" xr:uid="{066E7E68-283E-47A1-B668-C914BA33CFF2}"/>
    <cellStyle name="Comma 3 2 3 2 11 2 2" xfId="53009" xr:uid="{4A17F3F9-28BC-46C6-861A-7C107D664FBD}"/>
    <cellStyle name="Comma 3 2 3 2 11 3" xfId="37889" xr:uid="{FDF92CCD-B6FF-4EDA-8CB3-96BC9A326ADD}"/>
    <cellStyle name="Comma 3 2 3 2 12" xfId="9161" xr:uid="{4C07306D-70B8-459D-8F06-11907A9B6D01}"/>
    <cellStyle name="Comma 3 2 3 2 12 2" xfId="24281" xr:uid="{6FC35F7E-C7DF-442C-BE35-C01099EC53AF}"/>
    <cellStyle name="Comma 3 2 3 2 12 2 2" xfId="54521" xr:uid="{D4239B17-AF56-413D-84A3-8530974B1FA8}"/>
    <cellStyle name="Comma 3 2 3 2 12 3" xfId="39401" xr:uid="{E22CC94B-3B85-40A5-9143-114BF3ED35E7}"/>
    <cellStyle name="Comma 3 2 3 2 13" xfId="15209" xr:uid="{CE2DA966-137D-45E3-B118-A191A8EFFE09}"/>
    <cellStyle name="Comma 3 2 3 2 13 2" xfId="45449" xr:uid="{C981CADB-BB5D-4D24-8441-97CCA945FFBC}"/>
    <cellStyle name="Comma 3 2 3 2 14" xfId="30329" xr:uid="{AE0F824B-EEAF-48AA-B63A-7FD095AB3106}"/>
    <cellStyle name="Comma 3 2 3 2 2" xfId="173" xr:uid="{223B0BB8-4524-4351-9B9B-5353069F582B}"/>
    <cellStyle name="Comma 3 2 3 2 2 10" xfId="9245" xr:uid="{00DB65DC-433A-4E75-9AF0-0A4E98B7008B}"/>
    <cellStyle name="Comma 3 2 3 2 2 10 2" xfId="24365" xr:uid="{EA9CE800-AA7E-4B3A-9D73-4E96FEC767CA}"/>
    <cellStyle name="Comma 3 2 3 2 2 10 2 2" xfId="54605" xr:uid="{35992DF7-872D-4279-8E6E-DE98311D51E5}"/>
    <cellStyle name="Comma 3 2 3 2 2 10 3" xfId="39485" xr:uid="{45C2003E-BBD9-47AB-BF12-A720B6520625}"/>
    <cellStyle name="Comma 3 2 3 2 2 11" xfId="15293" xr:uid="{5BD8EE3F-DA92-4A1A-9473-23F332084AE6}"/>
    <cellStyle name="Comma 3 2 3 2 2 11 2" xfId="45533" xr:uid="{B200837D-7281-480D-8440-66AC0FA26235}"/>
    <cellStyle name="Comma 3 2 3 2 2 12" xfId="30413" xr:uid="{DCBF98DC-5219-409C-8675-7CE23951A26C}"/>
    <cellStyle name="Comma 3 2 3 2 2 2" xfId="425" xr:uid="{D697FB33-F41C-460B-802F-5B9BD6BB032D}"/>
    <cellStyle name="Comma 3 2 3 2 2 2 10" xfId="30665" xr:uid="{1194A134-F272-423F-A898-6944FBCE959F}"/>
    <cellStyle name="Comma 3 2 3 2 2 2 2" xfId="1181" xr:uid="{1B7DD269-6B9D-485B-86E8-89ED6301E410}"/>
    <cellStyle name="Comma 3 2 3 2 2 2 2 2" xfId="2693" xr:uid="{D1F00891-6333-4C86-B1C5-D25BAE3DF9BC}"/>
    <cellStyle name="Comma 3 2 3 2 2 2 2 2 2" xfId="11765" xr:uid="{E24202CC-A3C0-44A2-A301-D4FB5B6C27E3}"/>
    <cellStyle name="Comma 3 2 3 2 2 2 2 2 2 2" xfId="26885" xr:uid="{3DD7475D-7D95-4D99-97B3-4BE12EF6E153}"/>
    <cellStyle name="Comma 3 2 3 2 2 2 2 2 2 2 2" xfId="57125" xr:uid="{9D99CBD0-6F68-4AF6-BBDF-3589B62FEE57}"/>
    <cellStyle name="Comma 3 2 3 2 2 2 2 2 2 3" xfId="42005" xr:uid="{5EA19DA4-5D7F-42E0-A244-CD77D8735DCD}"/>
    <cellStyle name="Comma 3 2 3 2 2 2 2 2 3" xfId="17813" xr:uid="{F1B974A6-D467-4FF2-84B4-A8292CF7868F}"/>
    <cellStyle name="Comma 3 2 3 2 2 2 2 2 3 2" xfId="48053" xr:uid="{5673681B-F67D-486C-A497-E10AAE5D7F03}"/>
    <cellStyle name="Comma 3 2 3 2 2 2 2 2 4" xfId="32933" xr:uid="{E640AC24-95C8-45FA-83F3-E17C94D30AE8}"/>
    <cellStyle name="Comma 3 2 3 2 2 2 2 3" xfId="4205" xr:uid="{CDB4F8E2-5699-4D49-8C30-D7C846B87D58}"/>
    <cellStyle name="Comma 3 2 3 2 2 2 2 3 2" xfId="13277" xr:uid="{0D44D6EC-2DDE-4DF1-A877-8AFB87F0AF95}"/>
    <cellStyle name="Comma 3 2 3 2 2 2 2 3 2 2" xfId="28397" xr:uid="{4AB0CDB5-EA24-4CEA-AAC1-3FC295ABB349}"/>
    <cellStyle name="Comma 3 2 3 2 2 2 2 3 2 2 2" xfId="58637" xr:uid="{87E5507C-0682-479F-9F0F-1E71A464916D}"/>
    <cellStyle name="Comma 3 2 3 2 2 2 2 3 2 3" xfId="43517" xr:uid="{0054BC15-E424-4C35-8912-0F97D5FCC7CD}"/>
    <cellStyle name="Comma 3 2 3 2 2 2 2 3 3" xfId="19325" xr:uid="{FDF6F856-BC94-4E99-B41E-6ADB1110C392}"/>
    <cellStyle name="Comma 3 2 3 2 2 2 2 3 3 2" xfId="49565" xr:uid="{B8FA5872-4945-4FDC-80CD-1A1FB1A167B8}"/>
    <cellStyle name="Comma 3 2 3 2 2 2 2 3 4" xfId="34445" xr:uid="{F6FCCB15-B700-4A51-86E1-6F946C7FEAFF}"/>
    <cellStyle name="Comma 3 2 3 2 2 2 2 4" xfId="5717" xr:uid="{838D29FC-372C-4154-9DD4-41D882E5738C}"/>
    <cellStyle name="Comma 3 2 3 2 2 2 2 4 2" xfId="14789" xr:uid="{CFEFE9A8-0F6E-479B-B70D-AD6AE9F2D5E0}"/>
    <cellStyle name="Comma 3 2 3 2 2 2 2 4 2 2" xfId="29909" xr:uid="{1D8A7AB7-B464-4349-8648-F6503C01349F}"/>
    <cellStyle name="Comma 3 2 3 2 2 2 2 4 2 2 2" xfId="60149" xr:uid="{EA75744C-C179-40EF-9960-6AF496B71D56}"/>
    <cellStyle name="Comma 3 2 3 2 2 2 2 4 2 3" xfId="45029" xr:uid="{6812A25F-4A15-44B6-8FBE-4CE206524CD9}"/>
    <cellStyle name="Comma 3 2 3 2 2 2 2 4 3" xfId="20837" xr:uid="{4B665D23-99BB-4685-B238-3FF7E518237A}"/>
    <cellStyle name="Comma 3 2 3 2 2 2 2 4 3 2" xfId="51077" xr:uid="{825C1493-AC88-4C4D-9833-2F69EDAFE2F0}"/>
    <cellStyle name="Comma 3 2 3 2 2 2 2 4 4" xfId="35957" xr:uid="{1E4A3876-91B1-4AA2-9066-2987CBAC74D6}"/>
    <cellStyle name="Comma 3 2 3 2 2 2 2 5" xfId="7229" xr:uid="{4A5A8221-B01F-4E10-863F-03A924CAF7D0}"/>
    <cellStyle name="Comma 3 2 3 2 2 2 2 5 2" xfId="22349" xr:uid="{D0A9030F-A3C5-4D50-AF13-35E33E277914}"/>
    <cellStyle name="Comma 3 2 3 2 2 2 2 5 2 2" xfId="52589" xr:uid="{63FC6EEA-F8DC-4D40-B032-B00BF607ADC1}"/>
    <cellStyle name="Comma 3 2 3 2 2 2 2 5 3" xfId="37469" xr:uid="{C7B8CDF2-FEB8-4D75-AD88-28A01BB24A9F}"/>
    <cellStyle name="Comma 3 2 3 2 2 2 2 6" xfId="8741" xr:uid="{859C996A-B5D5-4D49-8D83-6BC3BBC4CBA3}"/>
    <cellStyle name="Comma 3 2 3 2 2 2 2 6 2" xfId="23861" xr:uid="{C6A85176-7816-4D01-8796-8484C0160A39}"/>
    <cellStyle name="Comma 3 2 3 2 2 2 2 6 2 2" xfId="54101" xr:uid="{971FDF2E-8903-4486-9F9C-15C9E551291E}"/>
    <cellStyle name="Comma 3 2 3 2 2 2 2 6 3" xfId="38981" xr:uid="{7DD9BEC9-2E76-4032-B9EE-66319D25F162}"/>
    <cellStyle name="Comma 3 2 3 2 2 2 2 7" xfId="10253" xr:uid="{17B98DC3-69FA-47BD-8671-85E11979535F}"/>
    <cellStyle name="Comma 3 2 3 2 2 2 2 7 2" xfId="25373" xr:uid="{6E816458-0B40-49F9-8A84-242A3BCCEABD}"/>
    <cellStyle name="Comma 3 2 3 2 2 2 2 7 2 2" xfId="55613" xr:uid="{0D3B651F-376C-49B8-930C-5030F5E40622}"/>
    <cellStyle name="Comma 3 2 3 2 2 2 2 7 3" xfId="40493" xr:uid="{5E06B27D-ACA0-4223-8977-BA89640C72A6}"/>
    <cellStyle name="Comma 3 2 3 2 2 2 2 8" xfId="16301" xr:uid="{CE92761E-4382-4CFF-9783-65F9070D430B}"/>
    <cellStyle name="Comma 3 2 3 2 2 2 2 8 2" xfId="46541" xr:uid="{F0C89423-B449-4D9B-BB41-8082255618AB}"/>
    <cellStyle name="Comma 3 2 3 2 2 2 2 9" xfId="31421" xr:uid="{4755E0F1-0D36-40A0-BCE3-F4F03BD2B8B0}"/>
    <cellStyle name="Comma 3 2 3 2 2 2 3" xfId="1937" xr:uid="{BC176522-BE78-445B-B100-F429381370C4}"/>
    <cellStyle name="Comma 3 2 3 2 2 2 3 2" xfId="11009" xr:uid="{AC19562A-0E08-40E7-98E5-EB9B50FD7DD4}"/>
    <cellStyle name="Comma 3 2 3 2 2 2 3 2 2" xfId="26129" xr:uid="{94B6C397-0E0E-4D8F-B550-BAF0BEDEA578}"/>
    <cellStyle name="Comma 3 2 3 2 2 2 3 2 2 2" xfId="56369" xr:uid="{5964849B-8313-4375-9C10-03B893BF6673}"/>
    <cellStyle name="Comma 3 2 3 2 2 2 3 2 3" xfId="41249" xr:uid="{3D8912AE-44BB-4407-B8C2-5A8D7A0F9662}"/>
    <cellStyle name="Comma 3 2 3 2 2 2 3 3" xfId="17057" xr:uid="{003862B9-B73A-4041-93B7-32AADBFB7136}"/>
    <cellStyle name="Comma 3 2 3 2 2 2 3 3 2" xfId="47297" xr:uid="{03302643-02E1-4838-9DEF-ACD852A9363F}"/>
    <cellStyle name="Comma 3 2 3 2 2 2 3 4" xfId="32177" xr:uid="{7C64A50C-12A5-4E4D-B56C-3B68AA8A2CC2}"/>
    <cellStyle name="Comma 3 2 3 2 2 2 4" xfId="3449" xr:uid="{BC353FD9-8CA4-4CD9-B5FD-9B6B117B56F6}"/>
    <cellStyle name="Comma 3 2 3 2 2 2 4 2" xfId="12521" xr:uid="{BE376566-278B-44D6-90C6-305953D6DC4A}"/>
    <cellStyle name="Comma 3 2 3 2 2 2 4 2 2" xfId="27641" xr:uid="{7113E940-4A82-4F64-B033-5F2CF232D238}"/>
    <cellStyle name="Comma 3 2 3 2 2 2 4 2 2 2" xfId="57881" xr:uid="{CE1D1BC4-C087-475F-8454-37C7ABF2676F}"/>
    <cellStyle name="Comma 3 2 3 2 2 2 4 2 3" xfId="42761" xr:uid="{D5F1A0BD-4B1E-4762-862C-1CC7308607FE}"/>
    <cellStyle name="Comma 3 2 3 2 2 2 4 3" xfId="18569" xr:uid="{F5DA40C0-272A-4462-A135-FF8DE0CFE215}"/>
    <cellStyle name="Comma 3 2 3 2 2 2 4 3 2" xfId="48809" xr:uid="{C256AE51-023B-4A97-8F50-0593E48B995F}"/>
    <cellStyle name="Comma 3 2 3 2 2 2 4 4" xfId="33689" xr:uid="{7F21E674-AA68-4A11-B1DE-85C518A4A6B4}"/>
    <cellStyle name="Comma 3 2 3 2 2 2 5" xfId="4961" xr:uid="{84C7D8FC-E008-4FCB-A0BF-B6092C4F1B33}"/>
    <cellStyle name="Comma 3 2 3 2 2 2 5 2" xfId="14033" xr:uid="{3B395E95-11C8-4B26-AB7B-86385DF97081}"/>
    <cellStyle name="Comma 3 2 3 2 2 2 5 2 2" xfId="29153" xr:uid="{C4347C7B-D0BC-4B32-847D-D39916964A76}"/>
    <cellStyle name="Comma 3 2 3 2 2 2 5 2 2 2" xfId="59393" xr:uid="{BF32E1A7-4B52-4186-8794-B48AABA453B5}"/>
    <cellStyle name="Comma 3 2 3 2 2 2 5 2 3" xfId="44273" xr:uid="{C6E7A488-F172-42C5-9AF6-3744A7EDD90B}"/>
    <cellStyle name="Comma 3 2 3 2 2 2 5 3" xfId="20081" xr:uid="{FD86E482-DC33-4684-9FDF-6B36C2C7F411}"/>
    <cellStyle name="Comma 3 2 3 2 2 2 5 3 2" xfId="50321" xr:uid="{1866DA19-2C02-4E8A-BA13-1FFB35326D0F}"/>
    <cellStyle name="Comma 3 2 3 2 2 2 5 4" xfId="35201" xr:uid="{C35E0F4C-74DD-45D6-BA76-9C659FCF8BD3}"/>
    <cellStyle name="Comma 3 2 3 2 2 2 6" xfId="6473" xr:uid="{56ECE175-F47A-4FCB-A39A-F26B1B65AD24}"/>
    <cellStyle name="Comma 3 2 3 2 2 2 6 2" xfId="21593" xr:uid="{3838CCFE-45D2-4996-BDA5-6A3DADB68796}"/>
    <cellStyle name="Comma 3 2 3 2 2 2 6 2 2" xfId="51833" xr:uid="{F7CB8B2F-93CD-4A1D-A38D-7CC59BF7F6AB}"/>
    <cellStyle name="Comma 3 2 3 2 2 2 6 3" xfId="36713" xr:uid="{B1112378-0FE9-4EE2-9CE1-940CFAF56659}"/>
    <cellStyle name="Comma 3 2 3 2 2 2 7" xfId="7985" xr:uid="{5E84142D-273A-4FE4-B4F1-E3EB579AD43F}"/>
    <cellStyle name="Comma 3 2 3 2 2 2 7 2" xfId="23105" xr:uid="{80B3451C-EBFA-4667-99D0-1C1932D22B7E}"/>
    <cellStyle name="Comma 3 2 3 2 2 2 7 2 2" xfId="53345" xr:uid="{335A9BAD-25E1-4D04-8E97-FEA800BC51C7}"/>
    <cellStyle name="Comma 3 2 3 2 2 2 7 3" xfId="38225" xr:uid="{A73E77D3-01D2-4744-B906-597470F69AA0}"/>
    <cellStyle name="Comma 3 2 3 2 2 2 8" xfId="9497" xr:uid="{D11FFBE6-872C-4556-9DB5-A721FB74F543}"/>
    <cellStyle name="Comma 3 2 3 2 2 2 8 2" xfId="24617" xr:uid="{BAC6F149-8C8D-4771-A243-F0138AB7D629}"/>
    <cellStyle name="Comma 3 2 3 2 2 2 8 2 2" xfId="54857" xr:uid="{9B4D682E-D801-4B33-85B5-E47676039D86}"/>
    <cellStyle name="Comma 3 2 3 2 2 2 8 3" xfId="39737" xr:uid="{4C46FB1F-F543-4A9D-8933-5375997647CE}"/>
    <cellStyle name="Comma 3 2 3 2 2 2 9" xfId="15545" xr:uid="{AD6E8EDD-98B3-464F-A099-3F6735742713}"/>
    <cellStyle name="Comma 3 2 3 2 2 2 9 2" xfId="45785" xr:uid="{89D5FBCC-D441-4690-A755-517A1EF2604D}"/>
    <cellStyle name="Comma 3 2 3 2 2 3" xfId="677" xr:uid="{2E198E97-2631-4952-A8EE-C0C88C62E5F8}"/>
    <cellStyle name="Comma 3 2 3 2 2 3 10" xfId="30917" xr:uid="{3D76FF5A-1B62-4906-83A9-E6D8F75FD493}"/>
    <cellStyle name="Comma 3 2 3 2 2 3 2" xfId="1433" xr:uid="{BF1D8391-9D7C-4EB7-A695-363B41775A56}"/>
    <cellStyle name="Comma 3 2 3 2 2 3 2 2" xfId="2945" xr:uid="{785D634B-DFBA-40ED-8291-18D8CBEF8001}"/>
    <cellStyle name="Comma 3 2 3 2 2 3 2 2 2" xfId="12017" xr:uid="{D386AFBA-8893-448D-BDFE-909B1D27B8EB}"/>
    <cellStyle name="Comma 3 2 3 2 2 3 2 2 2 2" xfId="27137" xr:uid="{AF8FA565-0712-479B-B88D-6FDD561D76D8}"/>
    <cellStyle name="Comma 3 2 3 2 2 3 2 2 2 2 2" xfId="57377" xr:uid="{15D1F17E-9319-4059-94C3-212F9674D8D7}"/>
    <cellStyle name="Comma 3 2 3 2 2 3 2 2 2 3" xfId="42257" xr:uid="{BF0967B1-BFE8-4708-A074-BFF9FB13BAC0}"/>
    <cellStyle name="Comma 3 2 3 2 2 3 2 2 3" xfId="18065" xr:uid="{92ED680C-B26F-4D34-9291-AEE1B9E300EE}"/>
    <cellStyle name="Comma 3 2 3 2 2 3 2 2 3 2" xfId="48305" xr:uid="{E532FA1C-0370-430E-948B-060F76FBD167}"/>
    <cellStyle name="Comma 3 2 3 2 2 3 2 2 4" xfId="33185" xr:uid="{12FE9CA7-7955-43D4-93D6-2A1905EAEFF4}"/>
    <cellStyle name="Comma 3 2 3 2 2 3 2 3" xfId="4457" xr:uid="{EA403871-5BA6-4C82-A34D-B117B5BA8FB4}"/>
    <cellStyle name="Comma 3 2 3 2 2 3 2 3 2" xfId="13529" xr:uid="{E7CDCE94-A002-45BB-9290-80A39B154CF8}"/>
    <cellStyle name="Comma 3 2 3 2 2 3 2 3 2 2" xfId="28649" xr:uid="{40609228-A3A6-45AE-93BD-EC465AFE67F4}"/>
    <cellStyle name="Comma 3 2 3 2 2 3 2 3 2 2 2" xfId="58889" xr:uid="{563FBDCE-7B11-4AFF-9EA6-44080A7A8A90}"/>
    <cellStyle name="Comma 3 2 3 2 2 3 2 3 2 3" xfId="43769" xr:uid="{C5BF3909-CD1D-4438-8DFB-F2C6A4F8A91A}"/>
    <cellStyle name="Comma 3 2 3 2 2 3 2 3 3" xfId="19577" xr:uid="{7EBD74BE-9EA3-4732-A7BA-20592922B46C}"/>
    <cellStyle name="Comma 3 2 3 2 2 3 2 3 3 2" xfId="49817" xr:uid="{01657826-9457-4E36-95FB-80F7B08B0405}"/>
    <cellStyle name="Comma 3 2 3 2 2 3 2 3 4" xfId="34697" xr:uid="{8FF24977-9F1A-454C-87B0-E7D9117C71C8}"/>
    <cellStyle name="Comma 3 2 3 2 2 3 2 4" xfId="5969" xr:uid="{448007BA-19AB-4104-B7B2-7F755E831861}"/>
    <cellStyle name="Comma 3 2 3 2 2 3 2 4 2" xfId="15041" xr:uid="{2186FCC3-7471-4A96-B87D-DA23C90E87D9}"/>
    <cellStyle name="Comma 3 2 3 2 2 3 2 4 2 2" xfId="30161" xr:uid="{FE99BFA8-BEFF-49EF-AC72-871E1FA01D9C}"/>
    <cellStyle name="Comma 3 2 3 2 2 3 2 4 2 2 2" xfId="60401" xr:uid="{CCA07CFD-5B11-4DB9-9C81-457522A8EBC5}"/>
    <cellStyle name="Comma 3 2 3 2 2 3 2 4 2 3" xfId="45281" xr:uid="{8712B8BF-44F8-438F-9C91-756CE13AE1EE}"/>
    <cellStyle name="Comma 3 2 3 2 2 3 2 4 3" xfId="21089" xr:uid="{32460FCD-C7E9-42E2-8D64-BEDBCF1E1C71}"/>
    <cellStyle name="Comma 3 2 3 2 2 3 2 4 3 2" xfId="51329" xr:uid="{BABB5393-B4D7-46F9-8492-C6EDB5B8B193}"/>
    <cellStyle name="Comma 3 2 3 2 2 3 2 4 4" xfId="36209" xr:uid="{2EA08EB1-EB54-4529-A600-3F6E5D198840}"/>
    <cellStyle name="Comma 3 2 3 2 2 3 2 5" xfId="7481" xr:uid="{9F96CC9E-FAB4-43FD-9B05-0B4015BB7FDD}"/>
    <cellStyle name="Comma 3 2 3 2 2 3 2 5 2" xfId="22601" xr:uid="{377FF4C4-C4D1-424F-92C6-AD4E3735EB8A}"/>
    <cellStyle name="Comma 3 2 3 2 2 3 2 5 2 2" xfId="52841" xr:uid="{8CFD6A36-6495-4C63-876F-55F61F3AE44B}"/>
    <cellStyle name="Comma 3 2 3 2 2 3 2 5 3" xfId="37721" xr:uid="{57029445-EF06-4BE6-85AB-8EDA4F847EA8}"/>
    <cellStyle name="Comma 3 2 3 2 2 3 2 6" xfId="8993" xr:uid="{6584C81C-E523-4D96-8E17-B0615CB97D42}"/>
    <cellStyle name="Comma 3 2 3 2 2 3 2 6 2" xfId="24113" xr:uid="{32E15404-41E3-4A0A-8E2D-3FEAB84B0248}"/>
    <cellStyle name="Comma 3 2 3 2 2 3 2 6 2 2" xfId="54353" xr:uid="{58833810-E9C5-4844-B9EA-C8BFEC74DBBC}"/>
    <cellStyle name="Comma 3 2 3 2 2 3 2 6 3" xfId="39233" xr:uid="{946FF501-5B02-4D29-88AA-30E4ECFA300F}"/>
    <cellStyle name="Comma 3 2 3 2 2 3 2 7" xfId="10505" xr:uid="{64CD5DD3-1D89-45D1-8347-F02CB23B0BDE}"/>
    <cellStyle name="Comma 3 2 3 2 2 3 2 7 2" xfId="25625" xr:uid="{4FB65EAE-8926-4701-9836-38C28FA50772}"/>
    <cellStyle name="Comma 3 2 3 2 2 3 2 7 2 2" xfId="55865" xr:uid="{72D9E781-A632-4F25-9691-BC74858317E5}"/>
    <cellStyle name="Comma 3 2 3 2 2 3 2 7 3" xfId="40745" xr:uid="{51EDC0A5-C85C-4DA8-89B3-D32202B7B1FD}"/>
    <cellStyle name="Comma 3 2 3 2 2 3 2 8" xfId="16553" xr:uid="{D3E72DAC-A7A6-406A-BF06-B6B16CE95102}"/>
    <cellStyle name="Comma 3 2 3 2 2 3 2 8 2" xfId="46793" xr:uid="{D6BEC756-894B-471A-ADE0-A2EEA80E6D92}"/>
    <cellStyle name="Comma 3 2 3 2 2 3 2 9" xfId="31673" xr:uid="{66282BB7-5DC7-40CB-85AE-9611797D31A2}"/>
    <cellStyle name="Comma 3 2 3 2 2 3 3" xfId="2189" xr:uid="{AF9E310D-D505-4432-933E-D1C2BA670676}"/>
    <cellStyle name="Comma 3 2 3 2 2 3 3 2" xfId="11261" xr:uid="{60F35FDB-D6DD-47DD-8636-B41AFE89F7CF}"/>
    <cellStyle name="Comma 3 2 3 2 2 3 3 2 2" xfId="26381" xr:uid="{61A9A2D2-30EF-4172-9817-C80F9EDBAAF7}"/>
    <cellStyle name="Comma 3 2 3 2 2 3 3 2 2 2" xfId="56621" xr:uid="{CA647BBC-CD47-49D1-8FC1-BAC6F573C289}"/>
    <cellStyle name="Comma 3 2 3 2 2 3 3 2 3" xfId="41501" xr:uid="{59678FB5-A9F8-4184-B2C0-BF96CC7D401B}"/>
    <cellStyle name="Comma 3 2 3 2 2 3 3 3" xfId="17309" xr:uid="{7A197DCE-B9CD-47D1-AABC-0FECCD103516}"/>
    <cellStyle name="Comma 3 2 3 2 2 3 3 3 2" xfId="47549" xr:uid="{2C9FB18E-2EB6-4C27-8CBB-2E251521B822}"/>
    <cellStyle name="Comma 3 2 3 2 2 3 3 4" xfId="32429" xr:uid="{87CE152C-FF18-45FB-827A-85CCEA357CC9}"/>
    <cellStyle name="Comma 3 2 3 2 2 3 4" xfId="3701" xr:uid="{DE142783-30FD-4ADD-8DB0-ECA3A4D861DD}"/>
    <cellStyle name="Comma 3 2 3 2 2 3 4 2" xfId="12773" xr:uid="{8600265A-81C3-4BDD-9D56-683A7DE91FF0}"/>
    <cellStyle name="Comma 3 2 3 2 2 3 4 2 2" xfId="27893" xr:uid="{CEB39194-D5F8-42F5-A1C6-88165F5CDB43}"/>
    <cellStyle name="Comma 3 2 3 2 2 3 4 2 2 2" xfId="58133" xr:uid="{2DAF4FDA-D84C-48E1-8B44-687AE078F290}"/>
    <cellStyle name="Comma 3 2 3 2 2 3 4 2 3" xfId="43013" xr:uid="{7FF872C4-2D5A-4C8B-B45B-517FCE3A645D}"/>
    <cellStyle name="Comma 3 2 3 2 2 3 4 3" xfId="18821" xr:uid="{77424764-5BE5-4D48-8E02-B5D0883611B7}"/>
    <cellStyle name="Comma 3 2 3 2 2 3 4 3 2" xfId="49061" xr:uid="{CBF5C027-BF65-4C0F-B878-550764CA352B}"/>
    <cellStyle name="Comma 3 2 3 2 2 3 4 4" xfId="33941" xr:uid="{B5496F57-E9C2-4DA2-85CB-C78A87CE9AE8}"/>
    <cellStyle name="Comma 3 2 3 2 2 3 5" xfId="5213" xr:uid="{3975935D-3E25-4234-A225-84291191539E}"/>
    <cellStyle name="Comma 3 2 3 2 2 3 5 2" xfId="14285" xr:uid="{BADE78FA-2049-4BFC-A416-A8CF7A9C70D3}"/>
    <cellStyle name="Comma 3 2 3 2 2 3 5 2 2" xfId="29405" xr:uid="{1B2F1C4C-B273-463B-9965-31A740FEBD2D}"/>
    <cellStyle name="Comma 3 2 3 2 2 3 5 2 2 2" xfId="59645" xr:uid="{4079DDD0-89C9-4BC8-B50B-7201C8F8C171}"/>
    <cellStyle name="Comma 3 2 3 2 2 3 5 2 3" xfId="44525" xr:uid="{47062718-8256-4599-9305-718FBC23CE18}"/>
    <cellStyle name="Comma 3 2 3 2 2 3 5 3" xfId="20333" xr:uid="{14B1DDB2-1D91-4575-BAAB-6EFBAEC81EB7}"/>
    <cellStyle name="Comma 3 2 3 2 2 3 5 3 2" xfId="50573" xr:uid="{13E8A84C-C8F2-44ED-B020-AB782CAC5DEF}"/>
    <cellStyle name="Comma 3 2 3 2 2 3 5 4" xfId="35453" xr:uid="{7C786178-FD75-4697-8A5D-852561C3EC31}"/>
    <cellStyle name="Comma 3 2 3 2 2 3 6" xfId="6725" xr:uid="{1734A204-0BAB-4E97-B617-AC0FE7410FA9}"/>
    <cellStyle name="Comma 3 2 3 2 2 3 6 2" xfId="21845" xr:uid="{3C1DA746-50D0-4FB9-897B-40B30A555717}"/>
    <cellStyle name="Comma 3 2 3 2 2 3 6 2 2" xfId="52085" xr:uid="{08024FFD-AA57-454C-AFF6-05C2C4F2DB39}"/>
    <cellStyle name="Comma 3 2 3 2 2 3 6 3" xfId="36965" xr:uid="{C7F51205-5B2B-4001-9373-053EC0A800CB}"/>
    <cellStyle name="Comma 3 2 3 2 2 3 7" xfId="8237" xr:uid="{545CA09F-8FAD-4002-B133-EAB904151D1B}"/>
    <cellStyle name="Comma 3 2 3 2 2 3 7 2" xfId="23357" xr:uid="{A26C7C63-15C1-44C7-B8FF-57D9FEDFDD05}"/>
    <cellStyle name="Comma 3 2 3 2 2 3 7 2 2" xfId="53597" xr:uid="{80965A56-A121-4A1D-8F77-BA53FAEAE053}"/>
    <cellStyle name="Comma 3 2 3 2 2 3 7 3" xfId="38477" xr:uid="{8E6C4306-12B1-4147-81C2-2863B5096ECE}"/>
    <cellStyle name="Comma 3 2 3 2 2 3 8" xfId="9749" xr:uid="{9C026552-08F8-48B2-BAB2-F3B3EC73CD90}"/>
    <cellStyle name="Comma 3 2 3 2 2 3 8 2" xfId="24869" xr:uid="{37BD1812-4DF8-4528-9E5B-38458FBA3C1A}"/>
    <cellStyle name="Comma 3 2 3 2 2 3 8 2 2" xfId="55109" xr:uid="{4E892A3B-F4E0-41AC-82F1-6E6E5F9C19DB}"/>
    <cellStyle name="Comma 3 2 3 2 2 3 8 3" xfId="39989" xr:uid="{0D14E20B-64EB-457B-A5D5-E4A7A23D8654}"/>
    <cellStyle name="Comma 3 2 3 2 2 3 9" xfId="15797" xr:uid="{022051E4-DF01-4D39-B875-9316E758CA22}"/>
    <cellStyle name="Comma 3 2 3 2 2 3 9 2" xfId="46037" xr:uid="{C0373ADF-DB6B-4D8C-9D3F-AE9A1E55AE3F}"/>
    <cellStyle name="Comma 3 2 3 2 2 4" xfId="929" xr:uid="{39360F70-DADF-43EC-AAF6-AB5D53227CD4}"/>
    <cellStyle name="Comma 3 2 3 2 2 4 2" xfId="2441" xr:uid="{D1DD7B67-D785-4638-9DE3-E213176A6798}"/>
    <cellStyle name="Comma 3 2 3 2 2 4 2 2" xfId="11513" xr:uid="{0E863DB7-0D92-4CC4-9213-6BE4386AC189}"/>
    <cellStyle name="Comma 3 2 3 2 2 4 2 2 2" xfId="26633" xr:uid="{3AC05075-F847-471A-908E-24FE060C981E}"/>
    <cellStyle name="Comma 3 2 3 2 2 4 2 2 2 2" xfId="56873" xr:uid="{20294362-B2FB-4319-B969-0189D7440CC3}"/>
    <cellStyle name="Comma 3 2 3 2 2 4 2 2 3" xfId="41753" xr:uid="{A02E9241-EAFB-4C5A-8D19-7A9414EAA49E}"/>
    <cellStyle name="Comma 3 2 3 2 2 4 2 3" xfId="17561" xr:uid="{2893E13D-237C-4CD7-B2AE-2C3DB06CF583}"/>
    <cellStyle name="Comma 3 2 3 2 2 4 2 3 2" xfId="47801" xr:uid="{D6502DB8-FD7E-4C92-9FE3-F551C2A2290F}"/>
    <cellStyle name="Comma 3 2 3 2 2 4 2 4" xfId="32681" xr:uid="{AD495BE3-FD97-4B58-BFA2-3320C0D943D1}"/>
    <cellStyle name="Comma 3 2 3 2 2 4 3" xfId="3953" xr:uid="{EB72B072-B23B-4E7C-BA6B-D4B0057014E0}"/>
    <cellStyle name="Comma 3 2 3 2 2 4 3 2" xfId="13025" xr:uid="{AEE0CE70-DA1A-4D65-A3DA-5D1EE84CF66F}"/>
    <cellStyle name="Comma 3 2 3 2 2 4 3 2 2" xfId="28145" xr:uid="{8F38C503-0BB6-471B-9566-37EC5EB8EDA5}"/>
    <cellStyle name="Comma 3 2 3 2 2 4 3 2 2 2" xfId="58385" xr:uid="{856D8F88-8192-482C-BF8E-3D252AD213A0}"/>
    <cellStyle name="Comma 3 2 3 2 2 4 3 2 3" xfId="43265" xr:uid="{64899FC6-3EC5-449E-9721-1966D702B2FE}"/>
    <cellStyle name="Comma 3 2 3 2 2 4 3 3" xfId="19073" xr:uid="{80473457-FB7B-48CF-9AA4-DD0CEC08C346}"/>
    <cellStyle name="Comma 3 2 3 2 2 4 3 3 2" xfId="49313" xr:uid="{16F461A9-F7FF-425B-985E-8336A476E4DA}"/>
    <cellStyle name="Comma 3 2 3 2 2 4 3 4" xfId="34193" xr:uid="{661814BC-E4CD-45DE-A6B5-06F645BBADF5}"/>
    <cellStyle name="Comma 3 2 3 2 2 4 4" xfId="5465" xr:uid="{F67FAB7E-C331-434F-9916-B97641D3B0CD}"/>
    <cellStyle name="Comma 3 2 3 2 2 4 4 2" xfId="14537" xr:uid="{02A9BBE7-4D0E-474E-8664-28CAB3008A62}"/>
    <cellStyle name="Comma 3 2 3 2 2 4 4 2 2" xfId="29657" xr:uid="{85B96377-4898-4C7A-B6E0-E3E565364124}"/>
    <cellStyle name="Comma 3 2 3 2 2 4 4 2 2 2" xfId="59897" xr:uid="{E3BF77B7-4EB8-4496-9347-59D0FB34886C}"/>
    <cellStyle name="Comma 3 2 3 2 2 4 4 2 3" xfId="44777" xr:uid="{447D7358-0A09-478D-84D1-991B39A493D8}"/>
    <cellStyle name="Comma 3 2 3 2 2 4 4 3" xfId="20585" xr:uid="{99938E09-86E1-4BB4-8E5C-41DDE21AAE9F}"/>
    <cellStyle name="Comma 3 2 3 2 2 4 4 3 2" xfId="50825" xr:uid="{D63D5A8A-617F-4F8D-96A6-06F9AC3EA9D3}"/>
    <cellStyle name="Comma 3 2 3 2 2 4 4 4" xfId="35705" xr:uid="{EF1626AF-CF4B-4B0F-870C-3B936567411B}"/>
    <cellStyle name="Comma 3 2 3 2 2 4 5" xfId="6977" xr:uid="{093D37A3-7280-4A98-8320-2C4A8C9CEC5D}"/>
    <cellStyle name="Comma 3 2 3 2 2 4 5 2" xfId="22097" xr:uid="{E995E607-98C0-4F62-B583-A938F4FE4B0F}"/>
    <cellStyle name="Comma 3 2 3 2 2 4 5 2 2" xfId="52337" xr:uid="{FB5E3BF7-66B6-4D26-AD08-A8A351638063}"/>
    <cellStyle name="Comma 3 2 3 2 2 4 5 3" xfId="37217" xr:uid="{8F189D4E-1CA9-474A-9796-F12C5D0349AF}"/>
    <cellStyle name="Comma 3 2 3 2 2 4 6" xfId="8489" xr:uid="{32C9617F-F662-4D09-867B-4912995663E8}"/>
    <cellStyle name="Comma 3 2 3 2 2 4 6 2" xfId="23609" xr:uid="{FD26305F-84AB-4DD7-98DE-4D4CEF9191BC}"/>
    <cellStyle name="Comma 3 2 3 2 2 4 6 2 2" xfId="53849" xr:uid="{2A403315-1DB4-41B2-B738-A7C2753C0C32}"/>
    <cellStyle name="Comma 3 2 3 2 2 4 6 3" xfId="38729" xr:uid="{BE0D8A5D-09D0-45E6-B3AB-DEDD3B7BB595}"/>
    <cellStyle name="Comma 3 2 3 2 2 4 7" xfId="10001" xr:uid="{B57730DF-DCCB-4251-9485-9E060B2A23FB}"/>
    <cellStyle name="Comma 3 2 3 2 2 4 7 2" xfId="25121" xr:uid="{7D36B270-4507-423C-B8B4-EC3E1BF67967}"/>
    <cellStyle name="Comma 3 2 3 2 2 4 7 2 2" xfId="55361" xr:uid="{70D2C5AB-110D-41C9-B8C4-07D17E02E7D1}"/>
    <cellStyle name="Comma 3 2 3 2 2 4 7 3" xfId="40241" xr:uid="{0BEFA270-3073-4F79-9942-36CB6DBA80D2}"/>
    <cellStyle name="Comma 3 2 3 2 2 4 8" xfId="16049" xr:uid="{18690A4D-CE1A-47C3-A1C6-5D4CCF922797}"/>
    <cellStyle name="Comma 3 2 3 2 2 4 8 2" xfId="46289" xr:uid="{6CB49B34-9982-4FDA-9F1D-3D3CEE7A0673}"/>
    <cellStyle name="Comma 3 2 3 2 2 4 9" xfId="31169" xr:uid="{83B4D67C-0F52-4160-BCB7-3AB6BBAE5662}"/>
    <cellStyle name="Comma 3 2 3 2 2 5" xfId="1685" xr:uid="{8C5B44E0-751C-4E6C-A965-19428B562F02}"/>
    <cellStyle name="Comma 3 2 3 2 2 5 2" xfId="10757" xr:uid="{B184D4F9-59D4-46C3-A86D-F5E20E2D70D4}"/>
    <cellStyle name="Comma 3 2 3 2 2 5 2 2" xfId="25877" xr:uid="{D452F8AD-8C31-4FEA-A085-D8A80A577E46}"/>
    <cellStyle name="Comma 3 2 3 2 2 5 2 2 2" xfId="56117" xr:uid="{4AD374B8-BF54-42BE-8705-750406A2BBF9}"/>
    <cellStyle name="Comma 3 2 3 2 2 5 2 3" xfId="40997" xr:uid="{EE8C78C5-8F45-4560-8E15-6CBB4032B83C}"/>
    <cellStyle name="Comma 3 2 3 2 2 5 3" xfId="16805" xr:uid="{AC7083B7-2DBD-4382-BD45-3804A58FD63C}"/>
    <cellStyle name="Comma 3 2 3 2 2 5 3 2" xfId="47045" xr:uid="{58782F4A-2424-4E87-8272-6C3DB24D7789}"/>
    <cellStyle name="Comma 3 2 3 2 2 5 4" xfId="31925" xr:uid="{B8BFF6D3-C879-4099-A0A7-68645342710A}"/>
    <cellStyle name="Comma 3 2 3 2 2 6" xfId="3197" xr:uid="{D58E5BF5-7190-409C-807E-B87537B61FDC}"/>
    <cellStyle name="Comma 3 2 3 2 2 6 2" xfId="12269" xr:uid="{6D346DF5-D9FD-4767-A088-49DB8D8BC06D}"/>
    <cellStyle name="Comma 3 2 3 2 2 6 2 2" xfId="27389" xr:uid="{52573369-3A8A-4821-9A54-43865C037117}"/>
    <cellStyle name="Comma 3 2 3 2 2 6 2 2 2" xfId="57629" xr:uid="{ACD87B28-7993-4B4F-9902-F9691A689A25}"/>
    <cellStyle name="Comma 3 2 3 2 2 6 2 3" xfId="42509" xr:uid="{E6495702-49AF-46FB-9010-2A3483A991B2}"/>
    <cellStyle name="Comma 3 2 3 2 2 6 3" xfId="18317" xr:uid="{5C479D1E-216F-4343-9474-47F62C3A4678}"/>
    <cellStyle name="Comma 3 2 3 2 2 6 3 2" xfId="48557" xr:uid="{9174E070-0512-4B50-889D-6757761AB659}"/>
    <cellStyle name="Comma 3 2 3 2 2 6 4" xfId="33437" xr:uid="{97156AE8-C1BD-4CEC-9CF1-0D4E38F3802F}"/>
    <cellStyle name="Comma 3 2 3 2 2 7" xfId="4709" xr:uid="{F8A88EF0-9D7A-4D96-A20C-05D5F5183562}"/>
    <cellStyle name="Comma 3 2 3 2 2 7 2" xfId="13781" xr:uid="{4FC2ABBD-7D1E-4CA2-9B25-53673E37D283}"/>
    <cellStyle name="Comma 3 2 3 2 2 7 2 2" xfId="28901" xr:uid="{39D1886C-3348-42C5-9036-9FB634826BBD}"/>
    <cellStyle name="Comma 3 2 3 2 2 7 2 2 2" xfId="59141" xr:uid="{BE3FC985-02B1-46DF-95A5-A4AF8D3B72E2}"/>
    <cellStyle name="Comma 3 2 3 2 2 7 2 3" xfId="44021" xr:uid="{3EF47635-852B-4876-9BC4-0A6AE1CEF72F}"/>
    <cellStyle name="Comma 3 2 3 2 2 7 3" xfId="19829" xr:uid="{2DFCC66F-4045-4867-B9F4-ECCE4A38151D}"/>
    <cellStyle name="Comma 3 2 3 2 2 7 3 2" xfId="50069" xr:uid="{045856C8-7F98-407F-892F-516835AAF0A2}"/>
    <cellStyle name="Comma 3 2 3 2 2 7 4" xfId="34949" xr:uid="{54973BC3-74D6-46C3-82F6-0FE556811FBF}"/>
    <cellStyle name="Comma 3 2 3 2 2 8" xfId="6221" xr:uid="{F8AF2A54-B801-4F45-9F1F-CED8C04C0C09}"/>
    <cellStyle name="Comma 3 2 3 2 2 8 2" xfId="21341" xr:uid="{4DA811B9-1528-46A8-B98C-1590D0FD4985}"/>
    <cellStyle name="Comma 3 2 3 2 2 8 2 2" xfId="51581" xr:uid="{3C894EC1-5FB7-40BA-9762-AAAC4D888F14}"/>
    <cellStyle name="Comma 3 2 3 2 2 8 3" xfId="36461" xr:uid="{2720D8FC-F9AB-4573-8113-510A365348F9}"/>
    <cellStyle name="Comma 3 2 3 2 2 9" xfId="7733" xr:uid="{D9F79264-08E4-4A1A-B8EB-B929D57A0345}"/>
    <cellStyle name="Comma 3 2 3 2 2 9 2" xfId="22853" xr:uid="{F19F9F95-A11C-436C-BE53-09E8F3342896}"/>
    <cellStyle name="Comma 3 2 3 2 2 9 2 2" xfId="53093" xr:uid="{1F5F1E3A-29D5-4D2A-9C5A-43364C5DFB87}"/>
    <cellStyle name="Comma 3 2 3 2 2 9 3" xfId="37973" xr:uid="{DADC6507-D5DA-4599-B2D2-0693ECC947E8}"/>
    <cellStyle name="Comma 3 2 3 2 3" xfId="257" xr:uid="{8B8805F0-62FF-4424-8074-B8DE6A062755}"/>
    <cellStyle name="Comma 3 2 3 2 3 10" xfId="9329" xr:uid="{284FC367-1646-4622-8672-77D50155AFBE}"/>
    <cellStyle name="Comma 3 2 3 2 3 10 2" xfId="24449" xr:uid="{7D660F6B-6546-4E78-A96E-78B257532208}"/>
    <cellStyle name="Comma 3 2 3 2 3 10 2 2" xfId="54689" xr:uid="{6E985583-3EC1-469F-9E26-EFBC1687B1FF}"/>
    <cellStyle name="Comma 3 2 3 2 3 10 3" xfId="39569" xr:uid="{9B3E2EBB-F9CB-4182-ABD8-A45026244C80}"/>
    <cellStyle name="Comma 3 2 3 2 3 11" xfId="15377" xr:uid="{F7235131-D68C-47D2-B97E-B7BE59E9F165}"/>
    <cellStyle name="Comma 3 2 3 2 3 11 2" xfId="45617" xr:uid="{18327C4B-0042-4E90-A106-90619DC9D014}"/>
    <cellStyle name="Comma 3 2 3 2 3 12" xfId="30497" xr:uid="{FED9738F-AF21-4E12-AF02-F1FC76DB4614}"/>
    <cellStyle name="Comma 3 2 3 2 3 2" xfId="509" xr:uid="{F8D7C54C-A1A9-4067-BF52-67397A5257EF}"/>
    <cellStyle name="Comma 3 2 3 2 3 2 10" xfId="30749" xr:uid="{9FAE9E85-DC74-4989-A079-F9B3A5B7EE43}"/>
    <cellStyle name="Comma 3 2 3 2 3 2 2" xfId="1265" xr:uid="{CDFAB89F-D672-4EDA-9F73-7A5361DD7B68}"/>
    <cellStyle name="Comma 3 2 3 2 3 2 2 2" xfId="2777" xr:uid="{597FF356-65CA-4BCA-9B88-058EB301696E}"/>
    <cellStyle name="Comma 3 2 3 2 3 2 2 2 2" xfId="11849" xr:uid="{DC1629BD-83A2-4275-8F87-EC8D5D488A84}"/>
    <cellStyle name="Comma 3 2 3 2 3 2 2 2 2 2" xfId="26969" xr:uid="{B8632C3B-00BE-4E1B-9BB7-671FAE353836}"/>
    <cellStyle name="Comma 3 2 3 2 3 2 2 2 2 2 2" xfId="57209" xr:uid="{B8CC34BB-C1FC-4BFD-A6B6-178B3ACBE852}"/>
    <cellStyle name="Comma 3 2 3 2 3 2 2 2 2 3" xfId="42089" xr:uid="{EC68979A-E673-443A-8AE2-2A80C6485EFA}"/>
    <cellStyle name="Comma 3 2 3 2 3 2 2 2 3" xfId="17897" xr:uid="{D90D9B9E-9805-4E24-A05B-050AB410D914}"/>
    <cellStyle name="Comma 3 2 3 2 3 2 2 2 3 2" xfId="48137" xr:uid="{93519C8A-FA49-49BD-8227-CCFFD0F8FFEE}"/>
    <cellStyle name="Comma 3 2 3 2 3 2 2 2 4" xfId="33017" xr:uid="{A00AFADD-3062-4A58-ABA7-ADF084E0D674}"/>
    <cellStyle name="Comma 3 2 3 2 3 2 2 3" xfId="4289" xr:uid="{A0C5ACB0-6BAF-431C-A94D-55D411A43A98}"/>
    <cellStyle name="Comma 3 2 3 2 3 2 2 3 2" xfId="13361" xr:uid="{9B0A3D85-1099-4F6F-895A-5DFEC7438D9F}"/>
    <cellStyle name="Comma 3 2 3 2 3 2 2 3 2 2" xfId="28481" xr:uid="{F151AE73-56D1-4C6F-8F6B-104BE18F6901}"/>
    <cellStyle name="Comma 3 2 3 2 3 2 2 3 2 2 2" xfId="58721" xr:uid="{2558C585-96AF-4E29-85E6-5F2861C9946B}"/>
    <cellStyle name="Comma 3 2 3 2 3 2 2 3 2 3" xfId="43601" xr:uid="{241E3083-4E0D-4442-A6F8-13F3421A48BF}"/>
    <cellStyle name="Comma 3 2 3 2 3 2 2 3 3" xfId="19409" xr:uid="{3A01BD70-E589-485A-A735-5CFDA420146B}"/>
    <cellStyle name="Comma 3 2 3 2 3 2 2 3 3 2" xfId="49649" xr:uid="{B9B44010-455F-4404-9D5F-2FAE0613093A}"/>
    <cellStyle name="Comma 3 2 3 2 3 2 2 3 4" xfId="34529" xr:uid="{7788C5A7-72D7-4323-BAF2-3A556183ADB5}"/>
    <cellStyle name="Comma 3 2 3 2 3 2 2 4" xfId="5801" xr:uid="{5891872E-498F-4A5C-87B9-BBE6DACE2824}"/>
    <cellStyle name="Comma 3 2 3 2 3 2 2 4 2" xfId="14873" xr:uid="{BF74C81A-3244-401B-9691-42FC45F56C6F}"/>
    <cellStyle name="Comma 3 2 3 2 3 2 2 4 2 2" xfId="29993" xr:uid="{9A0A43F1-EF36-459E-923D-558DB6A5B674}"/>
    <cellStyle name="Comma 3 2 3 2 3 2 2 4 2 2 2" xfId="60233" xr:uid="{F51A7639-BB00-4E24-93CD-E13795FF46EB}"/>
    <cellStyle name="Comma 3 2 3 2 3 2 2 4 2 3" xfId="45113" xr:uid="{C338F384-4B57-45EB-A862-79B711C23FC9}"/>
    <cellStyle name="Comma 3 2 3 2 3 2 2 4 3" xfId="20921" xr:uid="{3DA19FA7-9D76-4B6F-ABAB-A4EAF7BBA5B2}"/>
    <cellStyle name="Comma 3 2 3 2 3 2 2 4 3 2" xfId="51161" xr:uid="{93DD2DFA-B643-4E16-A6B6-475508B14D54}"/>
    <cellStyle name="Comma 3 2 3 2 3 2 2 4 4" xfId="36041" xr:uid="{D994C532-8AE7-4F67-B89C-14F845EC2EC4}"/>
    <cellStyle name="Comma 3 2 3 2 3 2 2 5" xfId="7313" xr:uid="{BC24FE32-2E82-45C4-BE0F-6D2D25D46DC1}"/>
    <cellStyle name="Comma 3 2 3 2 3 2 2 5 2" xfId="22433" xr:uid="{4231E9B2-FE58-46F7-A056-6A0F9DCD9AA2}"/>
    <cellStyle name="Comma 3 2 3 2 3 2 2 5 2 2" xfId="52673" xr:uid="{9DED518D-47C8-4B00-9442-AF2EC97D56E6}"/>
    <cellStyle name="Comma 3 2 3 2 3 2 2 5 3" xfId="37553" xr:uid="{8C8C323F-AED1-468B-8B63-86F64622424B}"/>
    <cellStyle name="Comma 3 2 3 2 3 2 2 6" xfId="8825" xr:uid="{E089C757-6C7E-4815-B16C-6DA35BD6987B}"/>
    <cellStyle name="Comma 3 2 3 2 3 2 2 6 2" xfId="23945" xr:uid="{BCA32212-846F-491B-B289-9675BA1AAA9F}"/>
    <cellStyle name="Comma 3 2 3 2 3 2 2 6 2 2" xfId="54185" xr:uid="{D148B94C-FFC5-4469-A2AA-49FFA4404283}"/>
    <cellStyle name="Comma 3 2 3 2 3 2 2 6 3" xfId="39065" xr:uid="{0800B065-01E2-4A2E-9D40-036F8F0527A1}"/>
    <cellStyle name="Comma 3 2 3 2 3 2 2 7" xfId="10337" xr:uid="{EA9735DA-3AFF-4447-8833-9DB50EE2DF14}"/>
    <cellStyle name="Comma 3 2 3 2 3 2 2 7 2" xfId="25457" xr:uid="{55BCB228-4C75-44E3-9FE9-2B6A3F681510}"/>
    <cellStyle name="Comma 3 2 3 2 3 2 2 7 2 2" xfId="55697" xr:uid="{02EC1841-08F5-4189-8A07-CDD48BAD63CF}"/>
    <cellStyle name="Comma 3 2 3 2 3 2 2 7 3" xfId="40577" xr:uid="{32D62C50-9E8A-4662-8FC5-CC807A672C0E}"/>
    <cellStyle name="Comma 3 2 3 2 3 2 2 8" xfId="16385" xr:uid="{0FC31B7F-75D4-4105-9D6B-42A4AEB3313F}"/>
    <cellStyle name="Comma 3 2 3 2 3 2 2 8 2" xfId="46625" xr:uid="{492187C2-4894-47C9-AC6B-9C2A3D4041AB}"/>
    <cellStyle name="Comma 3 2 3 2 3 2 2 9" xfId="31505" xr:uid="{019664C8-D53F-4611-8BED-44CAEEA897B8}"/>
    <cellStyle name="Comma 3 2 3 2 3 2 3" xfId="2021" xr:uid="{04701590-193F-4980-87C1-EF5DF22561DC}"/>
    <cellStyle name="Comma 3 2 3 2 3 2 3 2" xfId="11093" xr:uid="{2C0F7D4C-EAFC-499A-81ED-983E02B5DA7A}"/>
    <cellStyle name="Comma 3 2 3 2 3 2 3 2 2" xfId="26213" xr:uid="{49692BEF-3189-4C33-931F-AED3D0486DC9}"/>
    <cellStyle name="Comma 3 2 3 2 3 2 3 2 2 2" xfId="56453" xr:uid="{9A0F876C-44F7-4D48-B34B-3235FC182B1A}"/>
    <cellStyle name="Comma 3 2 3 2 3 2 3 2 3" xfId="41333" xr:uid="{0B70F198-074F-4892-AB97-3A8A3FE5D157}"/>
    <cellStyle name="Comma 3 2 3 2 3 2 3 3" xfId="17141" xr:uid="{75669542-327A-4BE3-90F0-5A7D887D6FEF}"/>
    <cellStyle name="Comma 3 2 3 2 3 2 3 3 2" xfId="47381" xr:uid="{EACE97F0-3FB8-4447-8C6E-A681CEE564CB}"/>
    <cellStyle name="Comma 3 2 3 2 3 2 3 4" xfId="32261" xr:uid="{65DD632B-D81D-426E-811C-E188FC6BF78A}"/>
    <cellStyle name="Comma 3 2 3 2 3 2 4" xfId="3533" xr:uid="{3B8CEB40-F713-4C3B-ADC6-EC2A49AA5B0D}"/>
    <cellStyle name="Comma 3 2 3 2 3 2 4 2" xfId="12605" xr:uid="{D581FCB7-4005-4762-998D-31FCF35A330B}"/>
    <cellStyle name="Comma 3 2 3 2 3 2 4 2 2" xfId="27725" xr:uid="{7F81B2A6-714D-43FF-A542-9BC35CF94608}"/>
    <cellStyle name="Comma 3 2 3 2 3 2 4 2 2 2" xfId="57965" xr:uid="{1A043D37-FD69-4E72-8175-AA292F807D9B}"/>
    <cellStyle name="Comma 3 2 3 2 3 2 4 2 3" xfId="42845" xr:uid="{D5D88023-2E82-41D9-8DA1-9B08059B69D5}"/>
    <cellStyle name="Comma 3 2 3 2 3 2 4 3" xfId="18653" xr:uid="{3FA14527-1DAB-43E4-8EF3-FAD595D23BC2}"/>
    <cellStyle name="Comma 3 2 3 2 3 2 4 3 2" xfId="48893" xr:uid="{6E1B1761-F205-4CBE-9888-0338FA22A9D8}"/>
    <cellStyle name="Comma 3 2 3 2 3 2 4 4" xfId="33773" xr:uid="{291C9D77-FA4A-4398-BDFD-B85C4E0D971B}"/>
    <cellStyle name="Comma 3 2 3 2 3 2 5" xfId="5045" xr:uid="{B618E00D-A20D-431B-8386-A64DDFE9A4B7}"/>
    <cellStyle name="Comma 3 2 3 2 3 2 5 2" xfId="14117" xr:uid="{4C50AFF7-F3D2-45DF-9608-BDA6F991DFC6}"/>
    <cellStyle name="Comma 3 2 3 2 3 2 5 2 2" xfId="29237" xr:uid="{579533E1-D6DC-49D6-A31B-64ACDFD20683}"/>
    <cellStyle name="Comma 3 2 3 2 3 2 5 2 2 2" xfId="59477" xr:uid="{5D275AF6-7418-4CD3-BF21-E8453BFBDFB1}"/>
    <cellStyle name="Comma 3 2 3 2 3 2 5 2 3" xfId="44357" xr:uid="{4A428BB6-8B0D-4F0B-96A9-DAC990BE8A2D}"/>
    <cellStyle name="Comma 3 2 3 2 3 2 5 3" xfId="20165" xr:uid="{6965C1E2-5624-48EB-804B-5A126CBD9E01}"/>
    <cellStyle name="Comma 3 2 3 2 3 2 5 3 2" xfId="50405" xr:uid="{E86CFCFE-1E25-4F42-AB21-3D4F3EEBE02E}"/>
    <cellStyle name="Comma 3 2 3 2 3 2 5 4" xfId="35285" xr:uid="{FA73496E-EEDD-49EC-90EE-1740A0ABD25D}"/>
    <cellStyle name="Comma 3 2 3 2 3 2 6" xfId="6557" xr:uid="{F2B5351E-F6BA-45D7-8100-9A5A69AE0E6F}"/>
    <cellStyle name="Comma 3 2 3 2 3 2 6 2" xfId="21677" xr:uid="{ACA96EA6-9B3C-4C71-92E5-67923ABFB335}"/>
    <cellStyle name="Comma 3 2 3 2 3 2 6 2 2" xfId="51917" xr:uid="{E1EFEAEF-196C-44D2-8FF0-72DB9F9CEF00}"/>
    <cellStyle name="Comma 3 2 3 2 3 2 6 3" xfId="36797" xr:uid="{11F106EE-B760-49DA-8D68-D0B99C58B48F}"/>
    <cellStyle name="Comma 3 2 3 2 3 2 7" xfId="8069" xr:uid="{3C45DF8F-F733-4E5B-9D4A-167B0C7FD310}"/>
    <cellStyle name="Comma 3 2 3 2 3 2 7 2" xfId="23189" xr:uid="{548F599B-38FE-497A-BF44-41950535C5BA}"/>
    <cellStyle name="Comma 3 2 3 2 3 2 7 2 2" xfId="53429" xr:uid="{231363D0-5368-4386-9B3F-3A796631FC73}"/>
    <cellStyle name="Comma 3 2 3 2 3 2 7 3" xfId="38309" xr:uid="{29A211F1-3A78-43D1-842C-F356C37A39E1}"/>
    <cellStyle name="Comma 3 2 3 2 3 2 8" xfId="9581" xr:uid="{1FA8BA71-A293-4D16-A5CF-AA32D83E1440}"/>
    <cellStyle name="Comma 3 2 3 2 3 2 8 2" xfId="24701" xr:uid="{65B8163F-F0E4-44F2-91EA-A56546822505}"/>
    <cellStyle name="Comma 3 2 3 2 3 2 8 2 2" xfId="54941" xr:uid="{4DFF37D2-59F3-4986-B87B-62F15D767C1E}"/>
    <cellStyle name="Comma 3 2 3 2 3 2 8 3" xfId="39821" xr:uid="{CFACA7DB-7049-473E-8B82-22459B6996CF}"/>
    <cellStyle name="Comma 3 2 3 2 3 2 9" xfId="15629" xr:uid="{EE91EFDE-827E-41C4-86BC-AAD9364C8D8E}"/>
    <cellStyle name="Comma 3 2 3 2 3 2 9 2" xfId="45869" xr:uid="{0247EC34-15C8-4155-AD2E-A3D4664AB4D1}"/>
    <cellStyle name="Comma 3 2 3 2 3 3" xfId="761" xr:uid="{9B8D1902-688B-4327-B119-32AB981917F4}"/>
    <cellStyle name="Comma 3 2 3 2 3 3 10" xfId="31001" xr:uid="{21A8C828-CBDC-4B17-B581-31324DE33EC4}"/>
    <cellStyle name="Comma 3 2 3 2 3 3 2" xfId="1517" xr:uid="{8870A1B1-CB4E-430E-90D4-2A8C3D95F0EA}"/>
    <cellStyle name="Comma 3 2 3 2 3 3 2 2" xfId="3029" xr:uid="{9031B614-91E0-485A-9CBE-09EC8F43B2E5}"/>
    <cellStyle name="Comma 3 2 3 2 3 3 2 2 2" xfId="12101" xr:uid="{56999C5C-2AFC-4D79-BCE1-F832E0734DCF}"/>
    <cellStyle name="Comma 3 2 3 2 3 3 2 2 2 2" xfId="27221" xr:uid="{6756414C-0693-47A2-8DE1-A59BA17135F9}"/>
    <cellStyle name="Comma 3 2 3 2 3 3 2 2 2 2 2" xfId="57461" xr:uid="{7E6A137F-3920-40DB-9DE8-7D6188A359A9}"/>
    <cellStyle name="Comma 3 2 3 2 3 3 2 2 2 3" xfId="42341" xr:uid="{6DD03A9D-2651-49B6-B96F-3FC451504AF3}"/>
    <cellStyle name="Comma 3 2 3 2 3 3 2 2 3" xfId="18149" xr:uid="{BC6D91F6-1E75-4CA8-8B02-E179428CECF9}"/>
    <cellStyle name="Comma 3 2 3 2 3 3 2 2 3 2" xfId="48389" xr:uid="{7564EC92-1031-4896-91CA-DB3AA66F5FAB}"/>
    <cellStyle name="Comma 3 2 3 2 3 3 2 2 4" xfId="33269" xr:uid="{FCCF584F-E9D7-4032-920F-60FDE4722B08}"/>
    <cellStyle name="Comma 3 2 3 2 3 3 2 3" xfId="4541" xr:uid="{6EC80E69-6D9A-4165-9288-00C4350FDDBC}"/>
    <cellStyle name="Comma 3 2 3 2 3 3 2 3 2" xfId="13613" xr:uid="{92B04158-ACB6-445B-8046-45DC965295AE}"/>
    <cellStyle name="Comma 3 2 3 2 3 3 2 3 2 2" xfId="28733" xr:uid="{C61461EB-F4EB-4109-8DF3-D125774A6C6E}"/>
    <cellStyle name="Comma 3 2 3 2 3 3 2 3 2 2 2" xfId="58973" xr:uid="{7A5894E1-69AE-4D28-8B8D-2A74E1021BE4}"/>
    <cellStyle name="Comma 3 2 3 2 3 3 2 3 2 3" xfId="43853" xr:uid="{99641BCE-D4E8-401A-B4F6-E1BBEBBF25B4}"/>
    <cellStyle name="Comma 3 2 3 2 3 3 2 3 3" xfId="19661" xr:uid="{638CF352-57A3-4978-954A-89B888C66E8B}"/>
    <cellStyle name="Comma 3 2 3 2 3 3 2 3 3 2" xfId="49901" xr:uid="{580CA677-362A-47AC-920C-5AF903625632}"/>
    <cellStyle name="Comma 3 2 3 2 3 3 2 3 4" xfId="34781" xr:uid="{2A6A04F0-48E9-4517-8D9E-394EA9D5CE7A}"/>
    <cellStyle name="Comma 3 2 3 2 3 3 2 4" xfId="6053" xr:uid="{44C8248D-3ECA-4A73-BB9C-631086155AAD}"/>
    <cellStyle name="Comma 3 2 3 2 3 3 2 4 2" xfId="15125" xr:uid="{B20BAE03-9FDB-4AAF-8399-AD23454DF682}"/>
    <cellStyle name="Comma 3 2 3 2 3 3 2 4 2 2" xfId="30245" xr:uid="{5C804078-A857-440B-BF48-3037D230214B}"/>
    <cellStyle name="Comma 3 2 3 2 3 3 2 4 2 2 2" xfId="60485" xr:uid="{AA914029-8F8F-4AC5-9787-4D3ED1813817}"/>
    <cellStyle name="Comma 3 2 3 2 3 3 2 4 2 3" xfId="45365" xr:uid="{92C4BB1D-3266-41F2-8AE9-89944F052D83}"/>
    <cellStyle name="Comma 3 2 3 2 3 3 2 4 3" xfId="21173" xr:uid="{A2291EDA-BAF8-42C8-B514-25F4A5607ACD}"/>
    <cellStyle name="Comma 3 2 3 2 3 3 2 4 3 2" xfId="51413" xr:uid="{C6C26588-9CF1-4BED-B0F1-E9E0FB880244}"/>
    <cellStyle name="Comma 3 2 3 2 3 3 2 4 4" xfId="36293" xr:uid="{E4264CFC-53FC-4F24-8E90-230AF5E6E6CC}"/>
    <cellStyle name="Comma 3 2 3 2 3 3 2 5" xfId="7565" xr:uid="{0BFE9FC4-80AD-4A53-8F50-6D94F8F2D01E}"/>
    <cellStyle name="Comma 3 2 3 2 3 3 2 5 2" xfId="22685" xr:uid="{34FCECD2-8BC8-425C-A09E-7B878CEE3BCA}"/>
    <cellStyle name="Comma 3 2 3 2 3 3 2 5 2 2" xfId="52925" xr:uid="{71CB4EAD-B3BD-46C6-9FA5-5387C39955DE}"/>
    <cellStyle name="Comma 3 2 3 2 3 3 2 5 3" xfId="37805" xr:uid="{CFBCBA0D-4CF0-4B46-9E54-30BE79E96EB0}"/>
    <cellStyle name="Comma 3 2 3 2 3 3 2 6" xfId="9077" xr:uid="{3A72A773-2F0B-4220-989B-12023F1A2939}"/>
    <cellStyle name="Comma 3 2 3 2 3 3 2 6 2" xfId="24197" xr:uid="{6820EA55-FC3D-4796-8B1B-B88C1A23D5C5}"/>
    <cellStyle name="Comma 3 2 3 2 3 3 2 6 2 2" xfId="54437" xr:uid="{84EE94C8-8BAE-424A-ABCA-DC8A6D09B26E}"/>
    <cellStyle name="Comma 3 2 3 2 3 3 2 6 3" xfId="39317" xr:uid="{B8A339B1-13D7-4C82-951E-3F1D8D8D3232}"/>
    <cellStyle name="Comma 3 2 3 2 3 3 2 7" xfId="10589" xr:uid="{36F664DD-6551-4D96-BC99-B2D60EE476F8}"/>
    <cellStyle name="Comma 3 2 3 2 3 3 2 7 2" xfId="25709" xr:uid="{CDA3E231-4EA0-4E7C-88F3-37CD0A20B599}"/>
    <cellStyle name="Comma 3 2 3 2 3 3 2 7 2 2" xfId="55949" xr:uid="{6696E9B2-5FD9-4C80-93C2-DA7B8F224581}"/>
    <cellStyle name="Comma 3 2 3 2 3 3 2 7 3" xfId="40829" xr:uid="{FC48A722-5B9A-4E73-9242-4A300839167C}"/>
    <cellStyle name="Comma 3 2 3 2 3 3 2 8" xfId="16637" xr:uid="{E9287EC1-AB19-4C0F-B8AE-18F97FB9528C}"/>
    <cellStyle name="Comma 3 2 3 2 3 3 2 8 2" xfId="46877" xr:uid="{DB2E3785-08B1-4951-ABD3-69F3EBBB7F88}"/>
    <cellStyle name="Comma 3 2 3 2 3 3 2 9" xfId="31757" xr:uid="{4531FE28-E8A8-4A64-B25F-91F38E7933B1}"/>
    <cellStyle name="Comma 3 2 3 2 3 3 3" xfId="2273" xr:uid="{3461EF81-2732-408B-AE9F-1BBED6C95160}"/>
    <cellStyle name="Comma 3 2 3 2 3 3 3 2" xfId="11345" xr:uid="{34661EE3-E060-4C57-A998-03020DFD71E7}"/>
    <cellStyle name="Comma 3 2 3 2 3 3 3 2 2" xfId="26465" xr:uid="{BEF65B3B-3521-4CB1-84E5-A57166F820D6}"/>
    <cellStyle name="Comma 3 2 3 2 3 3 3 2 2 2" xfId="56705" xr:uid="{09A1C55A-A62F-4742-8089-159E7D18093D}"/>
    <cellStyle name="Comma 3 2 3 2 3 3 3 2 3" xfId="41585" xr:uid="{E10AC923-6CEE-41AF-BEEA-A699FBAF94AF}"/>
    <cellStyle name="Comma 3 2 3 2 3 3 3 3" xfId="17393" xr:uid="{613BD35E-A10F-4BFD-ABF3-4FD91A892C3E}"/>
    <cellStyle name="Comma 3 2 3 2 3 3 3 3 2" xfId="47633" xr:uid="{AB0855DB-8EF9-49BB-884E-96A6159597CE}"/>
    <cellStyle name="Comma 3 2 3 2 3 3 3 4" xfId="32513" xr:uid="{8AAF2597-8DD8-49A9-A31E-8E9FD5E1E3FC}"/>
    <cellStyle name="Comma 3 2 3 2 3 3 4" xfId="3785" xr:uid="{583E479F-C209-4103-8308-85AC9AF37239}"/>
    <cellStyle name="Comma 3 2 3 2 3 3 4 2" xfId="12857" xr:uid="{DF661381-D718-472F-A319-166A558D98CB}"/>
    <cellStyle name="Comma 3 2 3 2 3 3 4 2 2" xfId="27977" xr:uid="{71943E65-5FE3-4FC6-90C5-1ACFBD9A1399}"/>
    <cellStyle name="Comma 3 2 3 2 3 3 4 2 2 2" xfId="58217" xr:uid="{862962C3-D892-44CE-8A85-58C8334D4840}"/>
    <cellStyle name="Comma 3 2 3 2 3 3 4 2 3" xfId="43097" xr:uid="{1E4D1603-AA09-41E1-8D3B-EB165DBCF43F}"/>
    <cellStyle name="Comma 3 2 3 2 3 3 4 3" xfId="18905" xr:uid="{D12DD375-220E-4458-9F0D-F2645426C1C7}"/>
    <cellStyle name="Comma 3 2 3 2 3 3 4 3 2" xfId="49145" xr:uid="{F2EECF26-A94C-4935-9ED6-9C059DC89692}"/>
    <cellStyle name="Comma 3 2 3 2 3 3 4 4" xfId="34025" xr:uid="{C7FE8144-88FE-4BDD-8C06-7AE5350ABCBE}"/>
    <cellStyle name="Comma 3 2 3 2 3 3 5" xfId="5297" xr:uid="{C1548943-089E-404C-B1AA-4AB3C4762069}"/>
    <cellStyle name="Comma 3 2 3 2 3 3 5 2" xfId="14369" xr:uid="{CD9B4D1D-ACFE-48AC-9420-5512819CDA75}"/>
    <cellStyle name="Comma 3 2 3 2 3 3 5 2 2" xfId="29489" xr:uid="{1E76B83A-091A-4864-926B-61DB0F9E1382}"/>
    <cellStyle name="Comma 3 2 3 2 3 3 5 2 2 2" xfId="59729" xr:uid="{AC2A6BAB-254B-42E4-BFB1-0144CE8328EA}"/>
    <cellStyle name="Comma 3 2 3 2 3 3 5 2 3" xfId="44609" xr:uid="{356B9AFE-AF92-408B-9164-64FAED85BD6B}"/>
    <cellStyle name="Comma 3 2 3 2 3 3 5 3" xfId="20417" xr:uid="{97914413-8476-4A7B-AAB5-4EC1A7A53008}"/>
    <cellStyle name="Comma 3 2 3 2 3 3 5 3 2" xfId="50657" xr:uid="{0C9C86E7-3CAE-4421-A1F4-CE84318E8A3E}"/>
    <cellStyle name="Comma 3 2 3 2 3 3 5 4" xfId="35537" xr:uid="{B0608425-B9DF-46FB-A4C5-C42D8D70FE2B}"/>
    <cellStyle name="Comma 3 2 3 2 3 3 6" xfId="6809" xr:uid="{4DEF7A3A-EE2B-47B3-A028-9555D92B481C}"/>
    <cellStyle name="Comma 3 2 3 2 3 3 6 2" xfId="21929" xr:uid="{C14F456F-DEFC-4E9A-B5C6-9C74A74FF377}"/>
    <cellStyle name="Comma 3 2 3 2 3 3 6 2 2" xfId="52169" xr:uid="{8AEE7694-D23E-4E8A-B8C5-CC5B3B826058}"/>
    <cellStyle name="Comma 3 2 3 2 3 3 6 3" xfId="37049" xr:uid="{148074E3-3B07-46B4-9052-731C6FFB49C3}"/>
    <cellStyle name="Comma 3 2 3 2 3 3 7" xfId="8321" xr:uid="{311D47CB-898C-4CD0-AEAF-D01D5A31DD5F}"/>
    <cellStyle name="Comma 3 2 3 2 3 3 7 2" xfId="23441" xr:uid="{C052C554-CCDB-4CF5-9AB0-9A12A4271A94}"/>
    <cellStyle name="Comma 3 2 3 2 3 3 7 2 2" xfId="53681" xr:uid="{EEF6F0A4-79A3-471C-913E-0221C734B0B6}"/>
    <cellStyle name="Comma 3 2 3 2 3 3 7 3" xfId="38561" xr:uid="{5328023F-5F55-46D5-BB21-AAB0CF062B42}"/>
    <cellStyle name="Comma 3 2 3 2 3 3 8" xfId="9833" xr:uid="{608D23EE-4D04-477F-8D6C-6D6663A0360F}"/>
    <cellStyle name="Comma 3 2 3 2 3 3 8 2" xfId="24953" xr:uid="{F6914D1F-978D-46B3-8A71-5E57E161C50A}"/>
    <cellStyle name="Comma 3 2 3 2 3 3 8 2 2" xfId="55193" xr:uid="{9C510C7C-F066-4A21-AE7E-C8A474110F02}"/>
    <cellStyle name="Comma 3 2 3 2 3 3 8 3" xfId="40073" xr:uid="{F65C35D6-614D-4868-8EB0-B0999883CF28}"/>
    <cellStyle name="Comma 3 2 3 2 3 3 9" xfId="15881" xr:uid="{0AD2A18A-F29C-458A-A84A-ECCA75AAF39B}"/>
    <cellStyle name="Comma 3 2 3 2 3 3 9 2" xfId="46121" xr:uid="{583580B7-8155-440A-A32F-5BC624290196}"/>
    <cellStyle name="Comma 3 2 3 2 3 4" xfId="1013" xr:uid="{BBFD6552-0D57-4539-9809-17506E647337}"/>
    <cellStyle name="Comma 3 2 3 2 3 4 2" xfId="2525" xr:uid="{BEEE544A-1B19-47B8-AB68-A3CF6D7D041A}"/>
    <cellStyle name="Comma 3 2 3 2 3 4 2 2" xfId="11597" xr:uid="{336E66CF-BE15-44F5-B85D-C52C888B4624}"/>
    <cellStyle name="Comma 3 2 3 2 3 4 2 2 2" xfId="26717" xr:uid="{DC273061-1E31-4EC1-8CBD-D271B397F4F4}"/>
    <cellStyle name="Comma 3 2 3 2 3 4 2 2 2 2" xfId="56957" xr:uid="{05F4184A-FA9A-437B-A091-2F4ED31D29FE}"/>
    <cellStyle name="Comma 3 2 3 2 3 4 2 2 3" xfId="41837" xr:uid="{520D8242-D2A8-4737-AFDD-E4328EACA4DE}"/>
    <cellStyle name="Comma 3 2 3 2 3 4 2 3" xfId="17645" xr:uid="{232F573D-ECE2-40D7-9635-C5167DAEA9EB}"/>
    <cellStyle name="Comma 3 2 3 2 3 4 2 3 2" xfId="47885" xr:uid="{97D5006D-FE0A-4D8B-B371-2347106ECB65}"/>
    <cellStyle name="Comma 3 2 3 2 3 4 2 4" xfId="32765" xr:uid="{724B5F0C-D441-4A40-B58C-88E35C8A6572}"/>
    <cellStyle name="Comma 3 2 3 2 3 4 3" xfId="4037" xr:uid="{84A0237E-9F27-471B-8354-95B44725BA87}"/>
    <cellStyle name="Comma 3 2 3 2 3 4 3 2" xfId="13109" xr:uid="{5C08230D-CD08-44C7-8EE1-42626043DCBA}"/>
    <cellStyle name="Comma 3 2 3 2 3 4 3 2 2" xfId="28229" xr:uid="{2A7129A9-53A4-498D-9DE0-B7A47C07F937}"/>
    <cellStyle name="Comma 3 2 3 2 3 4 3 2 2 2" xfId="58469" xr:uid="{3C2F9C77-638E-43DC-B4E4-3BA9E8FFE5DF}"/>
    <cellStyle name="Comma 3 2 3 2 3 4 3 2 3" xfId="43349" xr:uid="{148C22A0-1A6B-4FC2-A524-AADCED9BAA62}"/>
    <cellStyle name="Comma 3 2 3 2 3 4 3 3" xfId="19157" xr:uid="{9854DACE-1D59-4077-851F-F1C8B5272F5B}"/>
    <cellStyle name="Comma 3 2 3 2 3 4 3 3 2" xfId="49397" xr:uid="{5D565227-CBB6-4E14-862B-03FD39711C18}"/>
    <cellStyle name="Comma 3 2 3 2 3 4 3 4" xfId="34277" xr:uid="{AEE386E5-55E3-4EC6-8755-D5C4E4ADEB7F}"/>
    <cellStyle name="Comma 3 2 3 2 3 4 4" xfId="5549" xr:uid="{5051FBB1-7C6C-4856-977C-865B7D8DA30E}"/>
    <cellStyle name="Comma 3 2 3 2 3 4 4 2" xfId="14621" xr:uid="{BC851125-2BD7-457A-8DE3-B241373FC6A1}"/>
    <cellStyle name="Comma 3 2 3 2 3 4 4 2 2" xfId="29741" xr:uid="{3B99ABE0-34DD-424A-93D9-7E5823EC55F8}"/>
    <cellStyle name="Comma 3 2 3 2 3 4 4 2 2 2" xfId="59981" xr:uid="{1AC30C1C-3820-46ED-93A1-DEE471FADD9C}"/>
    <cellStyle name="Comma 3 2 3 2 3 4 4 2 3" xfId="44861" xr:uid="{A79F4303-BEE7-4DB3-B891-085F6940D7E3}"/>
    <cellStyle name="Comma 3 2 3 2 3 4 4 3" xfId="20669" xr:uid="{DFC520C5-E89C-48C9-AD63-2356DAC26D56}"/>
    <cellStyle name="Comma 3 2 3 2 3 4 4 3 2" xfId="50909" xr:uid="{DEF10DB1-75BB-47FD-A496-F63348B7C9B4}"/>
    <cellStyle name="Comma 3 2 3 2 3 4 4 4" xfId="35789" xr:uid="{E0CBB63A-BD92-44AF-89D5-3D931D4F2DCF}"/>
    <cellStyle name="Comma 3 2 3 2 3 4 5" xfId="7061" xr:uid="{D4AF8D72-54FD-4A92-B5B6-B9760CFAE31F}"/>
    <cellStyle name="Comma 3 2 3 2 3 4 5 2" xfId="22181" xr:uid="{1973FDA8-6FE0-45AB-91F3-CB277B8A6ACF}"/>
    <cellStyle name="Comma 3 2 3 2 3 4 5 2 2" xfId="52421" xr:uid="{CFD2A640-6E2C-429D-8FE7-B683678F7E4A}"/>
    <cellStyle name="Comma 3 2 3 2 3 4 5 3" xfId="37301" xr:uid="{AC4AC825-7215-4B79-95B7-71B546F374EB}"/>
    <cellStyle name="Comma 3 2 3 2 3 4 6" xfId="8573" xr:uid="{EA6EC094-6DE8-4E12-9FF7-922EFA9B17AA}"/>
    <cellStyle name="Comma 3 2 3 2 3 4 6 2" xfId="23693" xr:uid="{0C0E5BBD-2348-4983-BC5C-584FFD8B45C0}"/>
    <cellStyle name="Comma 3 2 3 2 3 4 6 2 2" xfId="53933" xr:uid="{59EFC397-7D8B-48EC-ACD1-5117B518AE77}"/>
    <cellStyle name="Comma 3 2 3 2 3 4 6 3" xfId="38813" xr:uid="{A4EBBDA2-5DD5-4D15-8861-99FAD3856AAB}"/>
    <cellStyle name="Comma 3 2 3 2 3 4 7" xfId="10085" xr:uid="{F1CA0688-7810-4EC4-A4F0-F633D64E4F09}"/>
    <cellStyle name="Comma 3 2 3 2 3 4 7 2" xfId="25205" xr:uid="{C4D87574-F1FD-4B72-8F7D-5F8C5FEE187B}"/>
    <cellStyle name="Comma 3 2 3 2 3 4 7 2 2" xfId="55445" xr:uid="{80DD4B19-CE9E-4C9E-A091-8C2F12F155B9}"/>
    <cellStyle name="Comma 3 2 3 2 3 4 7 3" xfId="40325" xr:uid="{1FE1269B-5921-4E64-A67B-91915287A212}"/>
    <cellStyle name="Comma 3 2 3 2 3 4 8" xfId="16133" xr:uid="{22A201F9-7CAE-4221-9A4D-281F9BFF4B72}"/>
    <cellStyle name="Comma 3 2 3 2 3 4 8 2" xfId="46373" xr:uid="{4A46FE6C-F95F-4D25-A038-2E136B476F4B}"/>
    <cellStyle name="Comma 3 2 3 2 3 4 9" xfId="31253" xr:uid="{A4A84519-2E34-4BE6-BCE4-D2F8DF237982}"/>
    <cellStyle name="Comma 3 2 3 2 3 5" xfId="1769" xr:uid="{B10E8B35-ED53-4CFE-B9C2-6C62DA017756}"/>
    <cellStyle name="Comma 3 2 3 2 3 5 2" xfId="10841" xr:uid="{486637A3-216F-44DF-985A-9F048FF50CFD}"/>
    <cellStyle name="Comma 3 2 3 2 3 5 2 2" xfId="25961" xr:uid="{FF9539D7-47A6-427A-A291-4B79245A0431}"/>
    <cellStyle name="Comma 3 2 3 2 3 5 2 2 2" xfId="56201" xr:uid="{6D3F386D-EBCE-4667-B63E-0F5CDCB2B23F}"/>
    <cellStyle name="Comma 3 2 3 2 3 5 2 3" xfId="41081" xr:uid="{0E6D51DF-FD83-4400-B4EB-0F65C472D894}"/>
    <cellStyle name="Comma 3 2 3 2 3 5 3" xfId="16889" xr:uid="{8C8F7C6B-9ED4-4387-BB80-0C6B97EAF25C}"/>
    <cellStyle name="Comma 3 2 3 2 3 5 3 2" xfId="47129" xr:uid="{FB156111-02D9-4089-85C2-54E727FC5CBF}"/>
    <cellStyle name="Comma 3 2 3 2 3 5 4" xfId="32009" xr:uid="{0C00683F-EF6D-472C-A8FE-2971A29B2876}"/>
    <cellStyle name="Comma 3 2 3 2 3 6" xfId="3281" xr:uid="{55158C96-B281-48D1-8F19-A663EBCAF416}"/>
    <cellStyle name="Comma 3 2 3 2 3 6 2" xfId="12353" xr:uid="{F6C1AC5D-0189-45AF-BC0D-06AD53ADDB84}"/>
    <cellStyle name="Comma 3 2 3 2 3 6 2 2" xfId="27473" xr:uid="{8CC95FB2-9821-4D72-8BDF-71C249E8607A}"/>
    <cellStyle name="Comma 3 2 3 2 3 6 2 2 2" xfId="57713" xr:uid="{55BB742D-12F2-43BE-BDCB-B6C20F7BD089}"/>
    <cellStyle name="Comma 3 2 3 2 3 6 2 3" xfId="42593" xr:uid="{F46BF41D-0872-4271-84AF-4E37E37FEFAD}"/>
    <cellStyle name="Comma 3 2 3 2 3 6 3" xfId="18401" xr:uid="{65A9A1D1-A8F9-4778-8D14-8AFAB6475E5C}"/>
    <cellStyle name="Comma 3 2 3 2 3 6 3 2" xfId="48641" xr:uid="{AF14B518-9C77-437A-A96A-65EDBB4FB68D}"/>
    <cellStyle name="Comma 3 2 3 2 3 6 4" xfId="33521" xr:uid="{2B3ACD0B-FF91-4989-BE4E-984C3E0AA2D1}"/>
    <cellStyle name="Comma 3 2 3 2 3 7" xfId="4793" xr:uid="{240F8FE4-4324-4702-B156-E6721FBE5C64}"/>
    <cellStyle name="Comma 3 2 3 2 3 7 2" xfId="13865" xr:uid="{0FC87E84-193A-4C4E-A2F5-D180DF7E339C}"/>
    <cellStyle name="Comma 3 2 3 2 3 7 2 2" xfId="28985" xr:uid="{3F4E7ED6-8D9A-46A2-9612-D2F52B428F72}"/>
    <cellStyle name="Comma 3 2 3 2 3 7 2 2 2" xfId="59225" xr:uid="{BA9EDF9E-77AA-41DF-85B6-2C0A97F52405}"/>
    <cellStyle name="Comma 3 2 3 2 3 7 2 3" xfId="44105" xr:uid="{539253B4-E6E7-49C6-9072-CB83ECBC6357}"/>
    <cellStyle name="Comma 3 2 3 2 3 7 3" xfId="19913" xr:uid="{1F2EBA47-1999-4EA6-BB8B-88780A8613BA}"/>
    <cellStyle name="Comma 3 2 3 2 3 7 3 2" xfId="50153" xr:uid="{125503F4-2ACF-4ED9-8148-B638DA78ACF1}"/>
    <cellStyle name="Comma 3 2 3 2 3 7 4" xfId="35033" xr:uid="{F85946DE-AFC8-4940-91A4-2C644602AE1E}"/>
    <cellStyle name="Comma 3 2 3 2 3 8" xfId="6305" xr:uid="{1A0BA65B-4FE7-4AFA-984A-68305138066B}"/>
    <cellStyle name="Comma 3 2 3 2 3 8 2" xfId="21425" xr:uid="{7475C943-E691-416B-A726-0D3EC468A179}"/>
    <cellStyle name="Comma 3 2 3 2 3 8 2 2" xfId="51665" xr:uid="{7224DC20-5AD9-425E-ABDA-DB8E0D264FF7}"/>
    <cellStyle name="Comma 3 2 3 2 3 8 3" xfId="36545" xr:uid="{E543A240-4269-4E2B-8AD4-64EAA7EF2232}"/>
    <cellStyle name="Comma 3 2 3 2 3 9" xfId="7817" xr:uid="{99D93811-5682-4685-8E73-DE6799A31EAD}"/>
    <cellStyle name="Comma 3 2 3 2 3 9 2" xfId="22937" xr:uid="{F0304987-EA2F-43A1-9592-252D47B4CA6A}"/>
    <cellStyle name="Comma 3 2 3 2 3 9 2 2" xfId="53177" xr:uid="{A16C2E77-96A4-49A6-A7BD-DBB51294DC6B}"/>
    <cellStyle name="Comma 3 2 3 2 3 9 3" xfId="38057" xr:uid="{E1499D14-F368-4A23-B40A-951608A6669E}"/>
    <cellStyle name="Comma 3 2 3 2 4" xfId="341" xr:uid="{9482F571-EC02-4271-94C9-F7E8D63A9794}"/>
    <cellStyle name="Comma 3 2 3 2 4 10" xfId="30581" xr:uid="{6ACE11FA-2208-43D6-8D6B-A660E724C7BB}"/>
    <cellStyle name="Comma 3 2 3 2 4 2" xfId="1097" xr:uid="{CA1FC107-FB6F-440B-A6FC-30375076E244}"/>
    <cellStyle name="Comma 3 2 3 2 4 2 2" xfId="2609" xr:uid="{1934748F-D6CA-4EFC-9A80-8D155E5302E3}"/>
    <cellStyle name="Comma 3 2 3 2 4 2 2 2" xfId="11681" xr:uid="{8444C8A9-A18F-4E97-B270-788B40D3F16D}"/>
    <cellStyle name="Comma 3 2 3 2 4 2 2 2 2" xfId="26801" xr:uid="{B21AAFFE-55F6-4EAD-B886-F43B27F2C58B}"/>
    <cellStyle name="Comma 3 2 3 2 4 2 2 2 2 2" xfId="57041" xr:uid="{45BBA954-5CAE-4FFD-8E59-66F39DD5B31E}"/>
    <cellStyle name="Comma 3 2 3 2 4 2 2 2 3" xfId="41921" xr:uid="{C42BE153-3DC1-4AFC-85CD-BF3CF43CD7A7}"/>
    <cellStyle name="Comma 3 2 3 2 4 2 2 3" xfId="17729" xr:uid="{AD108F8F-4C7F-47CB-B425-DD494F0A3FDE}"/>
    <cellStyle name="Comma 3 2 3 2 4 2 2 3 2" xfId="47969" xr:uid="{75C87F88-40B6-4C37-BE9F-36C8444D40D6}"/>
    <cellStyle name="Comma 3 2 3 2 4 2 2 4" xfId="32849" xr:uid="{8A0ABC35-EAD1-4092-B2BE-0897A047EBFC}"/>
    <cellStyle name="Comma 3 2 3 2 4 2 3" xfId="4121" xr:uid="{241A66D7-3830-45AC-A521-C53CC2A88207}"/>
    <cellStyle name="Comma 3 2 3 2 4 2 3 2" xfId="13193" xr:uid="{80600543-92CF-438C-B3D2-1B850CA7B02C}"/>
    <cellStyle name="Comma 3 2 3 2 4 2 3 2 2" xfId="28313" xr:uid="{6E4F49C2-192A-45D8-B7CF-D56AAC42F6A1}"/>
    <cellStyle name="Comma 3 2 3 2 4 2 3 2 2 2" xfId="58553" xr:uid="{31119749-58F9-42B8-831A-4FF327BC2764}"/>
    <cellStyle name="Comma 3 2 3 2 4 2 3 2 3" xfId="43433" xr:uid="{D3D5E7AF-5242-4325-90DE-04AF5C0C702E}"/>
    <cellStyle name="Comma 3 2 3 2 4 2 3 3" xfId="19241" xr:uid="{7B1D7581-6045-45BB-999D-0BFBABA14786}"/>
    <cellStyle name="Comma 3 2 3 2 4 2 3 3 2" xfId="49481" xr:uid="{1EED7A62-BDA1-4ECB-9E27-650676B9C800}"/>
    <cellStyle name="Comma 3 2 3 2 4 2 3 4" xfId="34361" xr:uid="{44FE288C-4FBD-47B3-BEBF-4B58D11AB19E}"/>
    <cellStyle name="Comma 3 2 3 2 4 2 4" xfId="5633" xr:uid="{79211877-ED71-4995-9A21-5DD2D49E9226}"/>
    <cellStyle name="Comma 3 2 3 2 4 2 4 2" xfId="14705" xr:uid="{BFF23BA4-617C-4822-A444-9CB3B2D41D4C}"/>
    <cellStyle name="Comma 3 2 3 2 4 2 4 2 2" xfId="29825" xr:uid="{C9B4CD64-CC26-4B7D-BDCD-4992C79A6190}"/>
    <cellStyle name="Comma 3 2 3 2 4 2 4 2 2 2" xfId="60065" xr:uid="{40DD3817-9C3B-4D4C-89B1-447DA86B462D}"/>
    <cellStyle name="Comma 3 2 3 2 4 2 4 2 3" xfId="44945" xr:uid="{E7954E86-BE6E-474B-A615-506139489C91}"/>
    <cellStyle name="Comma 3 2 3 2 4 2 4 3" xfId="20753" xr:uid="{5969986A-69D9-4388-BD52-74A17BA384DB}"/>
    <cellStyle name="Comma 3 2 3 2 4 2 4 3 2" xfId="50993" xr:uid="{667CA33F-773A-4C81-AA71-102F9D4CF203}"/>
    <cellStyle name="Comma 3 2 3 2 4 2 4 4" xfId="35873" xr:uid="{799AA05D-B0BD-473E-8CA0-0144DAA5E618}"/>
    <cellStyle name="Comma 3 2 3 2 4 2 5" xfId="7145" xr:uid="{55AF2D28-EC1F-4AF2-8026-7AD4AEF5FAF0}"/>
    <cellStyle name="Comma 3 2 3 2 4 2 5 2" xfId="22265" xr:uid="{998A7E5C-0BC0-4127-8CD0-24C4F156FAF1}"/>
    <cellStyle name="Comma 3 2 3 2 4 2 5 2 2" xfId="52505" xr:uid="{0FEA1637-9F69-4B0B-A525-F083486C7F25}"/>
    <cellStyle name="Comma 3 2 3 2 4 2 5 3" xfId="37385" xr:uid="{7754EFEF-A1F4-42E9-AD56-9797E6D8EFF8}"/>
    <cellStyle name="Comma 3 2 3 2 4 2 6" xfId="8657" xr:uid="{2EDE931D-532D-449E-81E9-97F9C5208627}"/>
    <cellStyle name="Comma 3 2 3 2 4 2 6 2" xfId="23777" xr:uid="{47267706-38D7-4EEC-84F1-016FF1EBF7F5}"/>
    <cellStyle name="Comma 3 2 3 2 4 2 6 2 2" xfId="54017" xr:uid="{82AEF321-2A1E-4F4F-A94F-143C0FDCA040}"/>
    <cellStyle name="Comma 3 2 3 2 4 2 6 3" xfId="38897" xr:uid="{113D6038-74B7-43C1-B792-D40F38EED128}"/>
    <cellStyle name="Comma 3 2 3 2 4 2 7" xfId="10169" xr:uid="{7ED63CBD-6516-4CCE-A5BA-397528F265A3}"/>
    <cellStyle name="Comma 3 2 3 2 4 2 7 2" xfId="25289" xr:uid="{BB9974B6-0C34-4F38-AA5C-FD32D101DF68}"/>
    <cellStyle name="Comma 3 2 3 2 4 2 7 2 2" xfId="55529" xr:uid="{A9D7DFB4-69FD-48F3-85F6-E4FC082FCB42}"/>
    <cellStyle name="Comma 3 2 3 2 4 2 7 3" xfId="40409" xr:uid="{956650CB-3B2E-4888-A433-B09A15430FA7}"/>
    <cellStyle name="Comma 3 2 3 2 4 2 8" xfId="16217" xr:uid="{F9021317-7BD4-4516-B365-357190FEA8EB}"/>
    <cellStyle name="Comma 3 2 3 2 4 2 8 2" xfId="46457" xr:uid="{538B15E9-D589-494E-A1DB-9E1EFEE5AFE4}"/>
    <cellStyle name="Comma 3 2 3 2 4 2 9" xfId="31337" xr:uid="{B4ABE3A9-3C40-4104-AF0F-92903268960D}"/>
    <cellStyle name="Comma 3 2 3 2 4 3" xfId="1853" xr:uid="{A24CC890-42E1-4C83-8D52-3FB4D59B5587}"/>
    <cellStyle name="Comma 3 2 3 2 4 3 2" xfId="10925" xr:uid="{1EB3C048-E7BA-43B4-B995-6FFDCABCE561}"/>
    <cellStyle name="Comma 3 2 3 2 4 3 2 2" xfId="26045" xr:uid="{C78FFE1E-C114-495C-8A60-D714F0272913}"/>
    <cellStyle name="Comma 3 2 3 2 4 3 2 2 2" xfId="56285" xr:uid="{BF67CC5B-4014-4F59-8B8A-AB38202D43BB}"/>
    <cellStyle name="Comma 3 2 3 2 4 3 2 3" xfId="41165" xr:uid="{839CE164-15C4-42DA-B9A9-1A0B917DCC28}"/>
    <cellStyle name="Comma 3 2 3 2 4 3 3" xfId="16973" xr:uid="{269EFB2E-B5A3-4F3C-8028-4FD1A4A94079}"/>
    <cellStyle name="Comma 3 2 3 2 4 3 3 2" xfId="47213" xr:uid="{FCC47C7F-37F7-42C6-8D0B-76EC8DBDF688}"/>
    <cellStyle name="Comma 3 2 3 2 4 3 4" xfId="32093" xr:uid="{DA740509-BDAC-44E9-8BF1-748D0B9CC80E}"/>
    <cellStyle name="Comma 3 2 3 2 4 4" xfId="3365" xr:uid="{8E4FD33B-BAD9-4F7D-87D6-18D86FBEC776}"/>
    <cellStyle name="Comma 3 2 3 2 4 4 2" xfId="12437" xr:uid="{CF03087E-FEF9-4345-80DC-E5052D189703}"/>
    <cellStyle name="Comma 3 2 3 2 4 4 2 2" xfId="27557" xr:uid="{6831BC79-AB6D-4127-9B80-6E53C8B10127}"/>
    <cellStyle name="Comma 3 2 3 2 4 4 2 2 2" xfId="57797" xr:uid="{FAF69821-7EE3-467D-AD0A-8B0F187DA6CA}"/>
    <cellStyle name="Comma 3 2 3 2 4 4 2 3" xfId="42677" xr:uid="{A53149FA-5C52-4DFE-91DE-7C406DF28788}"/>
    <cellStyle name="Comma 3 2 3 2 4 4 3" xfId="18485" xr:uid="{578573AB-4BDB-4462-BCC5-2C00A5FBA3EB}"/>
    <cellStyle name="Comma 3 2 3 2 4 4 3 2" xfId="48725" xr:uid="{E481F330-B4FA-4753-A5BD-E2449F99AA1D}"/>
    <cellStyle name="Comma 3 2 3 2 4 4 4" xfId="33605" xr:uid="{1F0F2FD8-1EC9-4C5E-B24A-7FED02B6DAD8}"/>
    <cellStyle name="Comma 3 2 3 2 4 5" xfId="4877" xr:uid="{B6003639-FC76-4CCF-B594-E691BD04D046}"/>
    <cellStyle name="Comma 3 2 3 2 4 5 2" xfId="13949" xr:uid="{942413B3-AAC0-4B3B-97AA-2F61FD7794DB}"/>
    <cellStyle name="Comma 3 2 3 2 4 5 2 2" xfId="29069" xr:uid="{47769E13-5B6A-4C1F-99ED-3CAEE6FBE219}"/>
    <cellStyle name="Comma 3 2 3 2 4 5 2 2 2" xfId="59309" xr:uid="{F47D41DC-5C6A-4F43-ACAF-C8415E1670BB}"/>
    <cellStyle name="Comma 3 2 3 2 4 5 2 3" xfId="44189" xr:uid="{E4F0F601-0218-409F-A78E-9A1F9DF59C48}"/>
    <cellStyle name="Comma 3 2 3 2 4 5 3" xfId="19997" xr:uid="{C78624B3-A9E6-46E6-A5CF-16072337CCEE}"/>
    <cellStyle name="Comma 3 2 3 2 4 5 3 2" xfId="50237" xr:uid="{8269C4D8-693B-4498-A6C3-D816BA2C3563}"/>
    <cellStyle name="Comma 3 2 3 2 4 5 4" xfId="35117" xr:uid="{84256CF5-7E28-458A-A7AB-CA5D896AD998}"/>
    <cellStyle name="Comma 3 2 3 2 4 6" xfId="6389" xr:uid="{42EC131C-7FB4-4B8E-AE6B-FF15CB707DB7}"/>
    <cellStyle name="Comma 3 2 3 2 4 6 2" xfId="21509" xr:uid="{A99D6A50-0026-41B7-8E91-E132EE73390F}"/>
    <cellStyle name="Comma 3 2 3 2 4 6 2 2" xfId="51749" xr:uid="{1EFE0444-C6CA-4B82-A48A-A1423052D4DD}"/>
    <cellStyle name="Comma 3 2 3 2 4 6 3" xfId="36629" xr:uid="{79C92966-3B02-48B0-9AC1-911EE790E828}"/>
    <cellStyle name="Comma 3 2 3 2 4 7" xfId="7901" xr:uid="{3FE8C9F3-F767-42C2-A4AF-F707A757F67A}"/>
    <cellStyle name="Comma 3 2 3 2 4 7 2" xfId="23021" xr:uid="{41C8B070-39F8-40D5-87D7-49C3F5807D41}"/>
    <cellStyle name="Comma 3 2 3 2 4 7 2 2" xfId="53261" xr:uid="{B4E9FF5B-B37F-4D4C-94D2-87209A3227AC}"/>
    <cellStyle name="Comma 3 2 3 2 4 7 3" xfId="38141" xr:uid="{9D0D6098-E661-4B4E-95ED-F01B9D626690}"/>
    <cellStyle name="Comma 3 2 3 2 4 8" xfId="9413" xr:uid="{1CBE13B6-3C85-42CC-AE42-4897C31E4B74}"/>
    <cellStyle name="Comma 3 2 3 2 4 8 2" xfId="24533" xr:uid="{C4A85E4A-0C84-4963-A6D3-B9BC716FF4DE}"/>
    <cellStyle name="Comma 3 2 3 2 4 8 2 2" xfId="54773" xr:uid="{5CCF3983-6B46-49BE-9F0B-CAE8F94E2C5D}"/>
    <cellStyle name="Comma 3 2 3 2 4 8 3" xfId="39653" xr:uid="{7C005382-0E7F-41A1-A409-74589B3172F7}"/>
    <cellStyle name="Comma 3 2 3 2 4 9" xfId="15461" xr:uid="{21BA5733-B2EB-42A4-AB86-2AFAB86141EB}"/>
    <cellStyle name="Comma 3 2 3 2 4 9 2" xfId="45701" xr:uid="{6B10D90D-CF8F-42CA-958D-CE2D021FCD70}"/>
    <cellStyle name="Comma 3 2 3 2 5" xfId="593" xr:uid="{3B6894A0-9361-4741-BFC9-5B36B68BC125}"/>
    <cellStyle name="Comma 3 2 3 2 5 10" xfId="30833" xr:uid="{6D26DD7D-874F-4C2C-A2E8-4BF98F304D57}"/>
    <cellStyle name="Comma 3 2 3 2 5 2" xfId="1349" xr:uid="{6DDDECD2-D7EB-4F78-9189-2A2DC4293E98}"/>
    <cellStyle name="Comma 3 2 3 2 5 2 2" xfId="2861" xr:uid="{7EA6BF22-5BD5-477A-807A-E2D8E14F811F}"/>
    <cellStyle name="Comma 3 2 3 2 5 2 2 2" xfId="11933" xr:uid="{EDC8FA41-864D-4D6C-9EDE-19E652134355}"/>
    <cellStyle name="Comma 3 2 3 2 5 2 2 2 2" xfId="27053" xr:uid="{D2AFED6C-0199-47C6-BD8C-AC1D7AD3F1A8}"/>
    <cellStyle name="Comma 3 2 3 2 5 2 2 2 2 2" xfId="57293" xr:uid="{83B2A7DB-B1E7-4B96-BE48-73744C553CCB}"/>
    <cellStyle name="Comma 3 2 3 2 5 2 2 2 3" xfId="42173" xr:uid="{314AF76B-41D9-4057-B223-B17D08375FE0}"/>
    <cellStyle name="Comma 3 2 3 2 5 2 2 3" xfId="17981" xr:uid="{39C02F60-7E2D-4FA8-8198-E5A569CACDAF}"/>
    <cellStyle name="Comma 3 2 3 2 5 2 2 3 2" xfId="48221" xr:uid="{E12AB03F-7735-40CE-B60A-124B1F0BFFAB}"/>
    <cellStyle name="Comma 3 2 3 2 5 2 2 4" xfId="33101" xr:uid="{26E1CA29-3D02-4752-BB55-70CCF058EB13}"/>
    <cellStyle name="Comma 3 2 3 2 5 2 3" xfId="4373" xr:uid="{3B8490C3-1D3C-4100-AA9F-5D841A6C6F62}"/>
    <cellStyle name="Comma 3 2 3 2 5 2 3 2" xfId="13445" xr:uid="{5C9C566B-A0DA-49CA-BAD0-45AD2B9F3C1B}"/>
    <cellStyle name="Comma 3 2 3 2 5 2 3 2 2" xfId="28565" xr:uid="{1357BD07-D2BA-4C0F-B9AB-3D46017D51A2}"/>
    <cellStyle name="Comma 3 2 3 2 5 2 3 2 2 2" xfId="58805" xr:uid="{FB73C120-5137-4180-8A67-64AA368C88A1}"/>
    <cellStyle name="Comma 3 2 3 2 5 2 3 2 3" xfId="43685" xr:uid="{A8ECDDFB-96BA-4C8C-B8DD-9F3D7CAC9AC0}"/>
    <cellStyle name="Comma 3 2 3 2 5 2 3 3" xfId="19493" xr:uid="{7EE048B7-0301-4687-8C4A-91826E8056CD}"/>
    <cellStyle name="Comma 3 2 3 2 5 2 3 3 2" xfId="49733" xr:uid="{639EB81C-EC36-40A2-B1D6-6DAD5B25168B}"/>
    <cellStyle name="Comma 3 2 3 2 5 2 3 4" xfId="34613" xr:uid="{354856DD-4565-46DE-8A01-D0B015669C3D}"/>
    <cellStyle name="Comma 3 2 3 2 5 2 4" xfId="5885" xr:uid="{98902D56-44A5-419E-BF66-CC1499169590}"/>
    <cellStyle name="Comma 3 2 3 2 5 2 4 2" xfId="14957" xr:uid="{B23E15F8-70E2-4563-BD4A-E9309FEBE69F}"/>
    <cellStyle name="Comma 3 2 3 2 5 2 4 2 2" xfId="30077" xr:uid="{0C0BEB69-9C1C-4EA8-8329-92B855765B64}"/>
    <cellStyle name="Comma 3 2 3 2 5 2 4 2 2 2" xfId="60317" xr:uid="{6EF81E5C-448B-4F9C-973B-6ADEF2FB65D1}"/>
    <cellStyle name="Comma 3 2 3 2 5 2 4 2 3" xfId="45197" xr:uid="{19E1B0DF-8FFC-4DBF-9463-8AB11A4191F2}"/>
    <cellStyle name="Comma 3 2 3 2 5 2 4 3" xfId="21005" xr:uid="{459D8FFD-9D97-4D4D-A047-DC60703A5D5F}"/>
    <cellStyle name="Comma 3 2 3 2 5 2 4 3 2" xfId="51245" xr:uid="{70F1E2A4-AB84-4E0C-814B-1A19E882FB66}"/>
    <cellStyle name="Comma 3 2 3 2 5 2 4 4" xfId="36125" xr:uid="{724E216E-409E-40A7-8E8F-90EFED9A4872}"/>
    <cellStyle name="Comma 3 2 3 2 5 2 5" xfId="7397" xr:uid="{68712530-AD49-4864-880E-E8E0C3B9A02D}"/>
    <cellStyle name="Comma 3 2 3 2 5 2 5 2" xfId="22517" xr:uid="{5599CE8E-998A-4FFA-A5BB-878B1FB710EE}"/>
    <cellStyle name="Comma 3 2 3 2 5 2 5 2 2" xfId="52757" xr:uid="{1CA3076F-5226-483E-BE04-10252266E09E}"/>
    <cellStyle name="Comma 3 2 3 2 5 2 5 3" xfId="37637" xr:uid="{34619A50-686C-44D7-8836-0ED1F71AC1F5}"/>
    <cellStyle name="Comma 3 2 3 2 5 2 6" xfId="8909" xr:uid="{8270A132-6D6B-43B8-9100-10C4AE09AFF4}"/>
    <cellStyle name="Comma 3 2 3 2 5 2 6 2" xfId="24029" xr:uid="{36D7A0AC-693A-4561-85C3-965C5FEB2AA1}"/>
    <cellStyle name="Comma 3 2 3 2 5 2 6 2 2" xfId="54269" xr:uid="{E9EDD524-FD51-4171-AAF7-2250E78CD3ED}"/>
    <cellStyle name="Comma 3 2 3 2 5 2 6 3" xfId="39149" xr:uid="{555BCA36-605C-486B-BCB7-47CFE302D599}"/>
    <cellStyle name="Comma 3 2 3 2 5 2 7" xfId="10421" xr:uid="{84A32796-720E-4B80-97E0-15CD6E60A5DA}"/>
    <cellStyle name="Comma 3 2 3 2 5 2 7 2" xfId="25541" xr:uid="{7A207E8F-E6E9-4C90-A300-D8043E5B9FB9}"/>
    <cellStyle name="Comma 3 2 3 2 5 2 7 2 2" xfId="55781" xr:uid="{D30EAD1B-3637-40C0-AAE4-FA7671CA871A}"/>
    <cellStyle name="Comma 3 2 3 2 5 2 7 3" xfId="40661" xr:uid="{D995243B-F075-4B3D-BBBE-6D76BE48DA52}"/>
    <cellStyle name="Comma 3 2 3 2 5 2 8" xfId="16469" xr:uid="{12C56DFA-252D-41E6-AEC1-92D1E395135D}"/>
    <cellStyle name="Comma 3 2 3 2 5 2 8 2" xfId="46709" xr:uid="{66857C07-DF87-4845-8E7C-904B7B1760B6}"/>
    <cellStyle name="Comma 3 2 3 2 5 2 9" xfId="31589" xr:uid="{526AD800-8EA3-4B88-B6C5-0FC01D500988}"/>
    <cellStyle name="Comma 3 2 3 2 5 3" xfId="2105" xr:uid="{1C265B92-C903-498B-B352-9E3433B7C7A6}"/>
    <cellStyle name="Comma 3 2 3 2 5 3 2" xfId="11177" xr:uid="{D81DC880-E6B2-4EF3-8939-EABBF5F6F8D6}"/>
    <cellStyle name="Comma 3 2 3 2 5 3 2 2" xfId="26297" xr:uid="{4A84812D-B0A6-4AD0-B6F8-3AE16820F525}"/>
    <cellStyle name="Comma 3 2 3 2 5 3 2 2 2" xfId="56537" xr:uid="{2C80509C-9279-4790-8036-83F4C1522A63}"/>
    <cellStyle name="Comma 3 2 3 2 5 3 2 3" xfId="41417" xr:uid="{2F895CFA-AAF6-4EF6-B3B7-EBCC129EBB0E}"/>
    <cellStyle name="Comma 3 2 3 2 5 3 3" xfId="17225" xr:uid="{BBA5E149-4E66-4683-905C-9F1E12D61B76}"/>
    <cellStyle name="Comma 3 2 3 2 5 3 3 2" xfId="47465" xr:uid="{4EE25333-78EB-43DA-98F3-059E85476E4D}"/>
    <cellStyle name="Comma 3 2 3 2 5 3 4" xfId="32345" xr:uid="{3B0E44A2-0DF4-4681-93D8-3838B5E88580}"/>
    <cellStyle name="Comma 3 2 3 2 5 4" xfId="3617" xr:uid="{CF61A99B-FEBB-41C8-B029-BED1B1CE4909}"/>
    <cellStyle name="Comma 3 2 3 2 5 4 2" xfId="12689" xr:uid="{D00F0ABE-EC5F-4E6C-AEEE-920EB0312078}"/>
    <cellStyle name="Comma 3 2 3 2 5 4 2 2" xfId="27809" xr:uid="{F6C57C50-86E3-469A-BFC4-01CFB00FC53D}"/>
    <cellStyle name="Comma 3 2 3 2 5 4 2 2 2" xfId="58049" xr:uid="{6A83E263-2A55-4807-BF63-7BE0C7AB41BD}"/>
    <cellStyle name="Comma 3 2 3 2 5 4 2 3" xfId="42929" xr:uid="{E0BBF0EE-E182-4C7D-ADB5-4575372975C6}"/>
    <cellStyle name="Comma 3 2 3 2 5 4 3" xfId="18737" xr:uid="{E56CCA4E-1BED-4A03-8AC3-8414A7FAD198}"/>
    <cellStyle name="Comma 3 2 3 2 5 4 3 2" xfId="48977" xr:uid="{3A721AF9-8B6F-400D-9375-3E4A9F3CF372}"/>
    <cellStyle name="Comma 3 2 3 2 5 4 4" xfId="33857" xr:uid="{0A3A2C1A-4332-4AA6-9270-189AE46E5A76}"/>
    <cellStyle name="Comma 3 2 3 2 5 5" xfId="5129" xr:uid="{5F656832-8022-47B5-89DA-F638F614ABE9}"/>
    <cellStyle name="Comma 3 2 3 2 5 5 2" xfId="14201" xr:uid="{13F611C7-588F-4D5F-BE11-A4B9DA1D8FD4}"/>
    <cellStyle name="Comma 3 2 3 2 5 5 2 2" xfId="29321" xr:uid="{D3F9E952-32E8-4F43-A995-8A8C245D84CA}"/>
    <cellStyle name="Comma 3 2 3 2 5 5 2 2 2" xfId="59561" xr:uid="{89970B7E-5B4B-4609-B245-5F86BD6E5612}"/>
    <cellStyle name="Comma 3 2 3 2 5 5 2 3" xfId="44441" xr:uid="{C3A5B67C-85CE-4274-AEEE-65B186EA6E11}"/>
    <cellStyle name="Comma 3 2 3 2 5 5 3" xfId="20249" xr:uid="{8B430E69-86C0-4D1A-9E26-F2B5BF4DD416}"/>
    <cellStyle name="Comma 3 2 3 2 5 5 3 2" xfId="50489" xr:uid="{8DE72AD4-C3AC-4514-87D6-8D144B8512CB}"/>
    <cellStyle name="Comma 3 2 3 2 5 5 4" xfId="35369" xr:uid="{EF0C77BF-B820-47E6-ACD2-894692D8D071}"/>
    <cellStyle name="Comma 3 2 3 2 5 6" xfId="6641" xr:uid="{FC7F5951-8ED7-4814-8404-5F29611FA685}"/>
    <cellStyle name="Comma 3 2 3 2 5 6 2" xfId="21761" xr:uid="{B57C9C3D-BD76-419A-8436-340206FD999F}"/>
    <cellStyle name="Comma 3 2 3 2 5 6 2 2" xfId="52001" xr:uid="{BF656835-D5CA-412D-8760-680C1107EA36}"/>
    <cellStyle name="Comma 3 2 3 2 5 6 3" xfId="36881" xr:uid="{5F7631A3-0540-473B-8392-E0DA424E0970}"/>
    <cellStyle name="Comma 3 2 3 2 5 7" xfId="8153" xr:uid="{290F1FD0-5E8F-4A3C-BC88-4F065C48B1BD}"/>
    <cellStyle name="Comma 3 2 3 2 5 7 2" xfId="23273" xr:uid="{F2E2C7F8-7472-4234-8F16-DBD4F358D124}"/>
    <cellStyle name="Comma 3 2 3 2 5 7 2 2" xfId="53513" xr:uid="{97162AAE-1864-4E4C-A153-01F8A0831F71}"/>
    <cellStyle name="Comma 3 2 3 2 5 7 3" xfId="38393" xr:uid="{71A94EBB-63A0-4FA1-92B1-97267B39D528}"/>
    <cellStyle name="Comma 3 2 3 2 5 8" xfId="9665" xr:uid="{88D911AB-F932-447A-AB19-8D1A949F681E}"/>
    <cellStyle name="Comma 3 2 3 2 5 8 2" xfId="24785" xr:uid="{85CDEDD5-FEF5-45E4-B516-AD990628EA4B}"/>
    <cellStyle name="Comma 3 2 3 2 5 8 2 2" xfId="55025" xr:uid="{51BDA846-F946-460B-8FA0-E9C3F48ECA50}"/>
    <cellStyle name="Comma 3 2 3 2 5 8 3" xfId="39905" xr:uid="{3073D9DF-742C-4E2F-8DCF-B29B767803E4}"/>
    <cellStyle name="Comma 3 2 3 2 5 9" xfId="15713" xr:uid="{524FAAB4-3FC7-43C3-B306-C926A7C4DFFA}"/>
    <cellStyle name="Comma 3 2 3 2 5 9 2" xfId="45953" xr:uid="{4218EDE3-AE22-45C2-BA86-80B2883D6219}"/>
    <cellStyle name="Comma 3 2 3 2 6" xfId="845" xr:uid="{E8110299-8512-4624-A2BF-5E729D681464}"/>
    <cellStyle name="Comma 3 2 3 2 6 2" xfId="2357" xr:uid="{1E5BBDFD-37A7-4112-971C-421E191DC566}"/>
    <cellStyle name="Comma 3 2 3 2 6 2 2" xfId="11429" xr:uid="{D257DF0F-E5EC-489F-B402-5C3CC7A61F9E}"/>
    <cellStyle name="Comma 3 2 3 2 6 2 2 2" xfId="26549" xr:uid="{252BE8D5-2440-499D-AA81-DD122598C773}"/>
    <cellStyle name="Comma 3 2 3 2 6 2 2 2 2" xfId="56789" xr:uid="{179AB498-80CB-43FB-9826-0159F943DC3B}"/>
    <cellStyle name="Comma 3 2 3 2 6 2 2 3" xfId="41669" xr:uid="{058FCEB6-2121-45AE-BCFE-A5A2A1829635}"/>
    <cellStyle name="Comma 3 2 3 2 6 2 3" xfId="17477" xr:uid="{0BCE13DE-AEFA-4C86-95B7-A55138D3503E}"/>
    <cellStyle name="Comma 3 2 3 2 6 2 3 2" xfId="47717" xr:uid="{068A6BC2-D2C5-4027-B023-B2ECC8A1E454}"/>
    <cellStyle name="Comma 3 2 3 2 6 2 4" xfId="32597" xr:uid="{92C60A8F-547D-49DD-9E91-B4C3B5D22E35}"/>
    <cellStyle name="Comma 3 2 3 2 6 3" xfId="3869" xr:uid="{4CA95015-6AE2-4FDB-951F-17A91C08A962}"/>
    <cellStyle name="Comma 3 2 3 2 6 3 2" xfId="12941" xr:uid="{B34B9180-ED7F-40D8-AB72-DBA887640FA0}"/>
    <cellStyle name="Comma 3 2 3 2 6 3 2 2" xfId="28061" xr:uid="{E0B54D67-98AE-4B91-9C07-0F7290D4F832}"/>
    <cellStyle name="Comma 3 2 3 2 6 3 2 2 2" xfId="58301" xr:uid="{15536D02-95BC-4F9E-8C2A-06D8C8964256}"/>
    <cellStyle name="Comma 3 2 3 2 6 3 2 3" xfId="43181" xr:uid="{33FF65D2-CD61-46D7-B287-870F4B594B0D}"/>
    <cellStyle name="Comma 3 2 3 2 6 3 3" xfId="18989" xr:uid="{5E4DF306-71E9-4FF1-8015-0A1E3934A59C}"/>
    <cellStyle name="Comma 3 2 3 2 6 3 3 2" xfId="49229" xr:uid="{E4BF2CF0-9D56-4A12-993E-D910403ED9CC}"/>
    <cellStyle name="Comma 3 2 3 2 6 3 4" xfId="34109" xr:uid="{93EDD049-286E-4FEF-8100-56E2D4750A4F}"/>
    <cellStyle name="Comma 3 2 3 2 6 4" xfId="5381" xr:uid="{1401D8DE-3FC3-4DE5-A08B-C35DCD69AB43}"/>
    <cellStyle name="Comma 3 2 3 2 6 4 2" xfId="14453" xr:uid="{D5B49BD6-9732-42C5-A9A9-8A545F8BCC5D}"/>
    <cellStyle name="Comma 3 2 3 2 6 4 2 2" xfId="29573" xr:uid="{4F8E97C4-31E4-4569-B99F-62F680D9CB57}"/>
    <cellStyle name="Comma 3 2 3 2 6 4 2 2 2" xfId="59813" xr:uid="{5603CA65-7BD5-4E82-B688-BA1C6035EE38}"/>
    <cellStyle name="Comma 3 2 3 2 6 4 2 3" xfId="44693" xr:uid="{1A49E6A3-E7B5-4CB2-B880-DD0DAA7A9313}"/>
    <cellStyle name="Comma 3 2 3 2 6 4 3" xfId="20501" xr:uid="{2CCDB942-5FE9-40F5-A1AD-DD162DE0DFA2}"/>
    <cellStyle name="Comma 3 2 3 2 6 4 3 2" xfId="50741" xr:uid="{721A623F-F9F2-46F8-863F-6471490FC757}"/>
    <cellStyle name="Comma 3 2 3 2 6 4 4" xfId="35621" xr:uid="{1356B840-B05D-47C9-B31B-768057404CE1}"/>
    <cellStyle name="Comma 3 2 3 2 6 5" xfId="6893" xr:uid="{6A44DAD6-C318-406D-8FAD-390D8CD94F05}"/>
    <cellStyle name="Comma 3 2 3 2 6 5 2" xfId="22013" xr:uid="{63462D57-4A74-41FD-90A5-4707759A9A88}"/>
    <cellStyle name="Comma 3 2 3 2 6 5 2 2" xfId="52253" xr:uid="{9148A5DF-91A6-4517-9D31-14078B326F11}"/>
    <cellStyle name="Comma 3 2 3 2 6 5 3" xfId="37133" xr:uid="{BCB1AB8A-FB1E-4513-A48E-2C5763EF113A}"/>
    <cellStyle name="Comma 3 2 3 2 6 6" xfId="8405" xr:uid="{69DAAB8C-3219-48B4-81A0-EC3E6B684121}"/>
    <cellStyle name="Comma 3 2 3 2 6 6 2" xfId="23525" xr:uid="{96BCCEB8-1DC8-448C-AFE8-33FB8C849710}"/>
    <cellStyle name="Comma 3 2 3 2 6 6 2 2" xfId="53765" xr:uid="{BC9EFA21-FBA9-4A62-AC06-397802A68A8C}"/>
    <cellStyle name="Comma 3 2 3 2 6 6 3" xfId="38645" xr:uid="{5691C89D-89DF-48B0-BA4C-432D3F8390EB}"/>
    <cellStyle name="Comma 3 2 3 2 6 7" xfId="9917" xr:uid="{E55117B2-3F15-4BCB-AD31-16B0E43E5A7B}"/>
    <cellStyle name="Comma 3 2 3 2 6 7 2" xfId="25037" xr:uid="{1D934DC3-AAF5-43BF-86F4-4FD7D2954480}"/>
    <cellStyle name="Comma 3 2 3 2 6 7 2 2" xfId="55277" xr:uid="{86EB72A2-F8D5-425E-B60D-43E194497224}"/>
    <cellStyle name="Comma 3 2 3 2 6 7 3" xfId="40157" xr:uid="{0BADDA1F-39C1-4622-A020-8DAB08D1A11F}"/>
    <cellStyle name="Comma 3 2 3 2 6 8" xfId="15965" xr:uid="{27CFDC10-31A3-4E6D-A9E8-52D3045A0148}"/>
    <cellStyle name="Comma 3 2 3 2 6 8 2" xfId="46205" xr:uid="{390665C5-363B-4BFC-8F5C-F9A058DDAE7A}"/>
    <cellStyle name="Comma 3 2 3 2 6 9" xfId="31085" xr:uid="{7C03C5AA-4131-4ECE-865B-53E94378C990}"/>
    <cellStyle name="Comma 3 2 3 2 7" xfId="1601" xr:uid="{3A919964-7C4D-4E14-A157-0F3EB2A150CC}"/>
    <cellStyle name="Comma 3 2 3 2 7 2" xfId="10673" xr:uid="{340ECFE6-4EDF-4A3B-936A-3BAA38F25573}"/>
    <cellStyle name="Comma 3 2 3 2 7 2 2" xfId="25793" xr:uid="{CE6E5C6C-3EF8-4227-801A-90B4AECA55AB}"/>
    <cellStyle name="Comma 3 2 3 2 7 2 2 2" xfId="56033" xr:uid="{0A1EE57D-45B9-4432-871A-3DCF24575624}"/>
    <cellStyle name="Comma 3 2 3 2 7 2 3" xfId="40913" xr:uid="{55B6C3E0-98CC-4BF3-A04C-246F92FFEE99}"/>
    <cellStyle name="Comma 3 2 3 2 7 3" xfId="16721" xr:uid="{2505E91B-BF3F-455F-A9E1-6EE2CAC6F373}"/>
    <cellStyle name="Comma 3 2 3 2 7 3 2" xfId="46961" xr:uid="{884ABF09-645E-4C3D-9398-20714FE11BDE}"/>
    <cellStyle name="Comma 3 2 3 2 7 4" xfId="31841" xr:uid="{60C8CA4B-C7CF-454C-AF78-BD07F08DD983}"/>
    <cellStyle name="Comma 3 2 3 2 8" xfId="3113" xr:uid="{D7289F85-1DED-448D-B729-9F5964702D68}"/>
    <cellStyle name="Comma 3 2 3 2 8 2" xfId="12185" xr:uid="{36B39A47-E83D-41BC-8DFA-AB0B5EADCF23}"/>
    <cellStyle name="Comma 3 2 3 2 8 2 2" xfId="27305" xr:uid="{597BA650-9E25-4854-8CD8-B1CE08733190}"/>
    <cellStyle name="Comma 3 2 3 2 8 2 2 2" xfId="57545" xr:uid="{0812542D-7A9F-44F3-B476-E96B96338250}"/>
    <cellStyle name="Comma 3 2 3 2 8 2 3" xfId="42425" xr:uid="{7913F037-666A-40FF-B523-13B602DF2D00}"/>
    <cellStyle name="Comma 3 2 3 2 8 3" xfId="18233" xr:uid="{443B97A2-2801-4171-89C4-059F33F69971}"/>
    <cellStyle name="Comma 3 2 3 2 8 3 2" xfId="48473" xr:uid="{9DD45572-C11D-49E3-93E6-76799FD6E20F}"/>
    <cellStyle name="Comma 3 2 3 2 8 4" xfId="33353" xr:uid="{4B0B7516-A9BA-4E26-8CB3-D80A8129C1D3}"/>
    <cellStyle name="Comma 3 2 3 2 9" xfId="4625" xr:uid="{8D3759AE-0B64-41B6-AB86-2761A9FA11A8}"/>
    <cellStyle name="Comma 3 2 3 2 9 2" xfId="13697" xr:uid="{979D2EA5-0A69-4E3A-9DEC-B1F19F6AC2F6}"/>
    <cellStyle name="Comma 3 2 3 2 9 2 2" xfId="28817" xr:uid="{7E256FFA-C237-41A7-85F4-F29D8F5355EF}"/>
    <cellStyle name="Comma 3 2 3 2 9 2 2 2" xfId="59057" xr:uid="{4E045004-7391-404F-A9C5-46AA71B255C5}"/>
    <cellStyle name="Comma 3 2 3 2 9 2 3" xfId="43937" xr:uid="{562D2F02-10C9-4F59-8F8C-84D8F220C2C8}"/>
    <cellStyle name="Comma 3 2 3 2 9 3" xfId="19745" xr:uid="{BCA89C31-D1D7-405E-8290-8931BA97E6EA}"/>
    <cellStyle name="Comma 3 2 3 2 9 3 2" xfId="49985" xr:uid="{B3EFC774-168B-4F6C-A690-03F5A79ACF2B}"/>
    <cellStyle name="Comma 3 2 3 2 9 4" xfId="34865" xr:uid="{FF29C0F9-790C-4390-BBA7-7D96DBCCE478}"/>
    <cellStyle name="Comma 3 2 3 3" xfId="131" xr:uid="{906EDE76-AE2C-48A4-BF20-FB929D1ED520}"/>
    <cellStyle name="Comma 3 2 3 3 10" xfId="9203" xr:uid="{7E3AE323-35CF-4AFA-ACE5-5998ADA6FE13}"/>
    <cellStyle name="Comma 3 2 3 3 10 2" xfId="24323" xr:uid="{E3E2DA91-A159-46B1-94A1-2C7D74B2315C}"/>
    <cellStyle name="Comma 3 2 3 3 10 2 2" xfId="54563" xr:uid="{7E80E2AD-F042-471B-A002-223AECBB1021}"/>
    <cellStyle name="Comma 3 2 3 3 10 3" xfId="39443" xr:uid="{6A8D50CF-7B85-4D11-BECC-0BB2EE24B81C}"/>
    <cellStyle name="Comma 3 2 3 3 11" xfId="15251" xr:uid="{FE9D9886-ECAD-452D-9FD2-24FB7EBD9075}"/>
    <cellStyle name="Comma 3 2 3 3 11 2" xfId="45491" xr:uid="{E68CA037-F27E-4C41-B678-DBF4E86EBDF0}"/>
    <cellStyle name="Comma 3 2 3 3 12" xfId="30371" xr:uid="{392B69DF-957D-43B0-A074-0F378779E5EB}"/>
    <cellStyle name="Comma 3 2 3 3 2" xfId="383" xr:uid="{1791DE21-6C8B-4306-B8B4-D5D526DBED9F}"/>
    <cellStyle name="Comma 3 2 3 3 2 10" xfId="30623" xr:uid="{E4E25391-054C-42AC-A436-7DF0931B47D3}"/>
    <cellStyle name="Comma 3 2 3 3 2 2" xfId="1139" xr:uid="{12891CDD-C5A2-4EE9-B154-4EB7BE897228}"/>
    <cellStyle name="Comma 3 2 3 3 2 2 2" xfId="2651" xr:uid="{CBA7214A-6A85-44AC-A47C-4D628EAC957E}"/>
    <cellStyle name="Comma 3 2 3 3 2 2 2 2" xfId="11723" xr:uid="{2D881072-F1B3-4A50-BB95-EA8D4363C4E6}"/>
    <cellStyle name="Comma 3 2 3 3 2 2 2 2 2" xfId="26843" xr:uid="{BECDD6D2-77C6-47F0-A547-55737FD631F2}"/>
    <cellStyle name="Comma 3 2 3 3 2 2 2 2 2 2" xfId="57083" xr:uid="{56EB6F64-454B-4C7C-A19F-20295AB44F6B}"/>
    <cellStyle name="Comma 3 2 3 3 2 2 2 2 3" xfId="41963" xr:uid="{5500C8DB-CE12-44E0-8843-1FFE28389AED}"/>
    <cellStyle name="Comma 3 2 3 3 2 2 2 3" xfId="17771" xr:uid="{31A743C8-F649-4EA8-8918-FB2AB509E5F7}"/>
    <cellStyle name="Comma 3 2 3 3 2 2 2 3 2" xfId="48011" xr:uid="{D14A3E35-315A-457D-9F66-130C4588CA6A}"/>
    <cellStyle name="Comma 3 2 3 3 2 2 2 4" xfId="32891" xr:uid="{8211C5E6-0FDF-41FF-8C6E-E0A8ECA6C8F2}"/>
    <cellStyle name="Comma 3 2 3 3 2 2 3" xfId="4163" xr:uid="{13106340-8E68-4B9D-940F-A43BAE7E2B27}"/>
    <cellStyle name="Comma 3 2 3 3 2 2 3 2" xfId="13235" xr:uid="{A3DA055B-7122-42F4-B58F-1602AC1B6356}"/>
    <cellStyle name="Comma 3 2 3 3 2 2 3 2 2" xfId="28355" xr:uid="{295F4F7B-DE52-48AE-B7D6-153395AA1D42}"/>
    <cellStyle name="Comma 3 2 3 3 2 2 3 2 2 2" xfId="58595" xr:uid="{07915E2A-8634-463D-B7FF-E99C5E9FF920}"/>
    <cellStyle name="Comma 3 2 3 3 2 2 3 2 3" xfId="43475" xr:uid="{B43882E0-CEB2-4439-BEB6-51E4686ECCA1}"/>
    <cellStyle name="Comma 3 2 3 3 2 2 3 3" xfId="19283" xr:uid="{E5F6A322-D6D1-459C-B64F-2E7FB28D0B09}"/>
    <cellStyle name="Comma 3 2 3 3 2 2 3 3 2" xfId="49523" xr:uid="{E0A9E155-B709-4B67-AAB3-72CECFDBF462}"/>
    <cellStyle name="Comma 3 2 3 3 2 2 3 4" xfId="34403" xr:uid="{DA3B616F-7C23-4B38-809B-89D04B1BF0F7}"/>
    <cellStyle name="Comma 3 2 3 3 2 2 4" xfId="5675" xr:uid="{5B43CB9B-90DD-409D-B20E-414321E2554C}"/>
    <cellStyle name="Comma 3 2 3 3 2 2 4 2" xfId="14747" xr:uid="{1BBCCB01-4781-4407-9735-EADFB69074DD}"/>
    <cellStyle name="Comma 3 2 3 3 2 2 4 2 2" xfId="29867" xr:uid="{D31F911A-7432-4C6A-BD75-317E67595086}"/>
    <cellStyle name="Comma 3 2 3 3 2 2 4 2 2 2" xfId="60107" xr:uid="{D0F7A9FB-F983-4A54-9B8B-16E794F76EB6}"/>
    <cellStyle name="Comma 3 2 3 3 2 2 4 2 3" xfId="44987" xr:uid="{E51B87E5-5CDB-4C1F-8E11-BDDE9B420F8F}"/>
    <cellStyle name="Comma 3 2 3 3 2 2 4 3" xfId="20795" xr:uid="{1E6D8F33-1DC5-4AC8-B231-77C1018DC649}"/>
    <cellStyle name="Comma 3 2 3 3 2 2 4 3 2" xfId="51035" xr:uid="{50F784E4-2D12-4C2A-AA12-DFA590D811C1}"/>
    <cellStyle name="Comma 3 2 3 3 2 2 4 4" xfId="35915" xr:uid="{2228122E-4B5D-4DD5-94FD-C56F2046F8CD}"/>
    <cellStyle name="Comma 3 2 3 3 2 2 5" xfId="7187" xr:uid="{FCB7F081-C4CA-45DF-B3EF-337010035D03}"/>
    <cellStyle name="Comma 3 2 3 3 2 2 5 2" xfId="22307" xr:uid="{2B0CA6A2-C716-4728-BD36-E5C75276A51B}"/>
    <cellStyle name="Comma 3 2 3 3 2 2 5 2 2" xfId="52547" xr:uid="{7DE0FC8C-2807-4CAE-9468-F6E7C1EF58A8}"/>
    <cellStyle name="Comma 3 2 3 3 2 2 5 3" xfId="37427" xr:uid="{B25C46C5-EAC5-44D3-AAE3-08D3EEEE0FAA}"/>
    <cellStyle name="Comma 3 2 3 3 2 2 6" xfId="8699" xr:uid="{47C79302-64F0-46C8-AFAE-BC3A4D7052DA}"/>
    <cellStyle name="Comma 3 2 3 3 2 2 6 2" xfId="23819" xr:uid="{8196F18C-166E-4433-86AC-894D33BB0018}"/>
    <cellStyle name="Comma 3 2 3 3 2 2 6 2 2" xfId="54059" xr:uid="{46DE40CF-F09C-4F0A-92EA-5145B6D37DEC}"/>
    <cellStyle name="Comma 3 2 3 3 2 2 6 3" xfId="38939" xr:uid="{8E313469-3939-47ED-B0CE-5E9BE6DAC4CF}"/>
    <cellStyle name="Comma 3 2 3 3 2 2 7" xfId="10211" xr:uid="{BA52DD3A-AA15-4BC8-92BF-30FC2B773438}"/>
    <cellStyle name="Comma 3 2 3 3 2 2 7 2" xfId="25331" xr:uid="{2FA2746B-E522-4D30-8CA2-B89F0EBD1646}"/>
    <cellStyle name="Comma 3 2 3 3 2 2 7 2 2" xfId="55571" xr:uid="{75807383-CA16-464B-BD6A-33B475B14C8F}"/>
    <cellStyle name="Comma 3 2 3 3 2 2 7 3" xfId="40451" xr:uid="{D14F1F75-7311-4BCD-B52D-A6A82398ACFF}"/>
    <cellStyle name="Comma 3 2 3 3 2 2 8" xfId="16259" xr:uid="{CD09A849-2BD5-493D-AD0E-B4A03B303C2B}"/>
    <cellStyle name="Comma 3 2 3 3 2 2 8 2" xfId="46499" xr:uid="{A76CB730-B75D-408E-A677-1EFCF4016CBE}"/>
    <cellStyle name="Comma 3 2 3 3 2 2 9" xfId="31379" xr:uid="{47AC0864-3874-4035-AF50-25D68D7DBBE4}"/>
    <cellStyle name="Comma 3 2 3 3 2 3" xfId="1895" xr:uid="{9E35A13B-961A-416E-95D1-C0C4C15F0F0A}"/>
    <cellStyle name="Comma 3 2 3 3 2 3 2" xfId="10967" xr:uid="{9E440643-DABD-4B3F-8990-8EE97974A70B}"/>
    <cellStyle name="Comma 3 2 3 3 2 3 2 2" xfId="26087" xr:uid="{2F0056FE-C171-457B-B44A-D9718F0F2C4F}"/>
    <cellStyle name="Comma 3 2 3 3 2 3 2 2 2" xfId="56327" xr:uid="{B9A96E2E-4468-4824-9E17-660E085EEF43}"/>
    <cellStyle name="Comma 3 2 3 3 2 3 2 3" xfId="41207" xr:uid="{0E24475C-4604-485E-9CBA-96CC27772A99}"/>
    <cellStyle name="Comma 3 2 3 3 2 3 3" xfId="17015" xr:uid="{29EA94AD-30BB-4B95-BBC6-8AEC5228E72A}"/>
    <cellStyle name="Comma 3 2 3 3 2 3 3 2" xfId="47255" xr:uid="{5326F837-FA15-4A45-98D2-D1EB2A57256F}"/>
    <cellStyle name="Comma 3 2 3 3 2 3 4" xfId="32135" xr:uid="{3D3EF9C7-8235-4D2A-9592-52230AEB9D29}"/>
    <cellStyle name="Comma 3 2 3 3 2 4" xfId="3407" xr:uid="{63366C1E-C5AB-44AD-9C58-355EC1B5AE37}"/>
    <cellStyle name="Comma 3 2 3 3 2 4 2" xfId="12479" xr:uid="{928E738A-DB93-471E-8DF6-B577D51E9369}"/>
    <cellStyle name="Comma 3 2 3 3 2 4 2 2" xfId="27599" xr:uid="{933C31B4-1164-4967-8075-B624616211A0}"/>
    <cellStyle name="Comma 3 2 3 3 2 4 2 2 2" xfId="57839" xr:uid="{8C2D0EFF-EDAA-4369-A80E-55B461474F2E}"/>
    <cellStyle name="Comma 3 2 3 3 2 4 2 3" xfId="42719" xr:uid="{41A24077-3D61-430A-8463-913D2AB7E516}"/>
    <cellStyle name="Comma 3 2 3 3 2 4 3" xfId="18527" xr:uid="{AB09F88F-A494-4B4F-83EF-8CD08F89048D}"/>
    <cellStyle name="Comma 3 2 3 3 2 4 3 2" xfId="48767" xr:uid="{7C35813D-3C41-448F-A7C8-2417EC5B9C93}"/>
    <cellStyle name="Comma 3 2 3 3 2 4 4" xfId="33647" xr:uid="{E23A04B0-B57E-45DB-8701-5F7C52EC6084}"/>
    <cellStyle name="Comma 3 2 3 3 2 5" xfId="4919" xr:uid="{B6D56425-5828-4E95-B684-9946D688216C}"/>
    <cellStyle name="Comma 3 2 3 3 2 5 2" xfId="13991" xr:uid="{756D411D-3951-4F4E-95CD-83120717BA57}"/>
    <cellStyle name="Comma 3 2 3 3 2 5 2 2" xfId="29111" xr:uid="{B5C71C8C-846F-4B93-94A2-C2B70BF59BBE}"/>
    <cellStyle name="Comma 3 2 3 3 2 5 2 2 2" xfId="59351" xr:uid="{AB435BCD-3DF3-43FD-8C10-06BB2E865002}"/>
    <cellStyle name="Comma 3 2 3 3 2 5 2 3" xfId="44231" xr:uid="{C355DEDB-1B42-4CB9-9DF8-29C9A6826DE3}"/>
    <cellStyle name="Comma 3 2 3 3 2 5 3" xfId="20039" xr:uid="{093C00C7-37EC-4F08-8931-EFECDDDD4545}"/>
    <cellStyle name="Comma 3 2 3 3 2 5 3 2" xfId="50279" xr:uid="{6157818F-B863-499A-8C3E-4789B1467873}"/>
    <cellStyle name="Comma 3 2 3 3 2 5 4" xfId="35159" xr:uid="{950E8685-BBDD-47CD-BED6-79F72711567E}"/>
    <cellStyle name="Comma 3 2 3 3 2 6" xfId="6431" xr:uid="{4D87A139-2378-4A8A-82B4-79AC2CC4578E}"/>
    <cellStyle name="Comma 3 2 3 3 2 6 2" xfId="21551" xr:uid="{7166C8E4-8FBA-4084-B53D-8F9313F09F92}"/>
    <cellStyle name="Comma 3 2 3 3 2 6 2 2" xfId="51791" xr:uid="{EFEB0C62-CB2F-46EF-A44D-95AB562AA4A7}"/>
    <cellStyle name="Comma 3 2 3 3 2 6 3" xfId="36671" xr:uid="{DA82AE7F-D7F6-4893-9332-F713110EA459}"/>
    <cellStyle name="Comma 3 2 3 3 2 7" xfId="7943" xr:uid="{51B0907D-E6D3-4373-B615-DEEE6310EC4C}"/>
    <cellStyle name="Comma 3 2 3 3 2 7 2" xfId="23063" xr:uid="{B783994E-F5D6-467C-AF93-87B50E8F41F7}"/>
    <cellStyle name="Comma 3 2 3 3 2 7 2 2" xfId="53303" xr:uid="{8C44C716-84AB-48E6-A299-EE58A8B9A85E}"/>
    <cellStyle name="Comma 3 2 3 3 2 7 3" xfId="38183" xr:uid="{54945177-1B00-4273-ADA0-0B37C14C016B}"/>
    <cellStyle name="Comma 3 2 3 3 2 8" xfId="9455" xr:uid="{E7DBA28E-C83F-4F2F-8DF8-B8D83786E9AA}"/>
    <cellStyle name="Comma 3 2 3 3 2 8 2" xfId="24575" xr:uid="{F05CA2E1-FB43-4742-BDCC-8C8E0A84A5C1}"/>
    <cellStyle name="Comma 3 2 3 3 2 8 2 2" xfId="54815" xr:uid="{B7A3C1BB-8A84-4BE2-B6AA-0ED4CB93480A}"/>
    <cellStyle name="Comma 3 2 3 3 2 8 3" xfId="39695" xr:uid="{4486542D-6916-412B-9212-A5F76FE08017}"/>
    <cellStyle name="Comma 3 2 3 3 2 9" xfId="15503" xr:uid="{A26D36EA-35A4-4E45-B872-714E65E307F0}"/>
    <cellStyle name="Comma 3 2 3 3 2 9 2" xfId="45743" xr:uid="{7106C6FD-6837-4162-BCE4-1C23F75D02ED}"/>
    <cellStyle name="Comma 3 2 3 3 3" xfId="635" xr:uid="{CC794CFF-96C9-4796-AA7A-E507C942C02B}"/>
    <cellStyle name="Comma 3 2 3 3 3 10" xfId="30875" xr:uid="{A909D1C8-4E7A-4120-BCFC-22DA89835E2F}"/>
    <cellStyle name="Comma 3 2 3 3 3 2" xfId="1391" xr:uid="{1FBA9250-1CDA-4386-9E60-19B81A65FB11}"/>
    <cellStyle name="Comma 3 2 3 3 3 2 2" xfId="2903" xr:uid="{ADE2AAF0-63EC-407E-9B05-FDFB9F36A427}"/>
    <cellStyle name="Comma 3 2 3 3 3 2 2 2" xfId="11975" xr:uid="{713F1EE7-8926-4872-90BC-F42A9279BB11}"/>
    <cellStyle name="Comma 3 2 3 3 3 2 2 2 2" xfId="27095" xr:uid="{FCD1E1CA-E9BB-4C77-8F4E-23942F45DFA9}"/>
    <cellStyle name="Comma 3 2 3 3 3 2 2 2 2 2" xfId="57335" xr:uid="{6476FE1E-5ECA-47B3-9704-2FEAF52A832E}"/>
    <cellStyle name="Comma 3 2 3 3 3 2 2 2 3" xfId="42215" xr:uid="{8CA43183-8BE6-4E2B-A54E-6F47F8ED9792}"/>
    <cellStyle name="Comma 3 2 3 3 3 2 2 3" xfId="18023" xr:uid="{623880D5-24C9-47EE-B7BA-87B5DA8AE768}"/>
    <cellStyle name="Comma 3 2 3 3 3 2 2 3 2" xfId="48263" xr:uid="{5A4FD584-3B88-4FEC-B807-261BD3B2624F}"/>
    <cellStyle name="Comma 3 2 3 3 3 2 2 4" xfId="33143" xr:uid="{C0417CC3-5AFD-4AAA-BEF3-36B679F815C2}"/>
    <cellStyle name="Comma 3 2 3 3 3 2 3" xfId="4415" xr:uid="{1CCCFCE0-892F-4CE3-B280-92AFA14EDF49}"/>
    <cellStyle name="Comma 3 2 3 3 3 2 3 2" xfId="13487" xr:uid="{76098200-2F5F-469C-B02D-9ECDB4D7F031}"/>
    <cellStyle name="Comma 3 2 3 3 3 2 3 2 2" xfId="28607" xr:uid="{5778CC2D-4F8A-4313-92DB-AE67D9CF90FC}"/>
    <cellStyle name="Comma 3 2 3 3 3 2 3 2 2 2" xfId="58847" xr:uid="{693ACE0E-DAA4-461C-9096-A1792CF3D83F}"/>
    <cellStyle name="Comma 3 2 3 3 3 2 3 2 3" xfId="43727" xr:uid="{1C4E4F7A-1D58-43FE-81A0-4207C8ABD92F}"/>
    <cellStyle name="Comma 3 2 3 3 3 2 3 3" xfId="19535" xr:uid="{355386F3-3272-4768-B82A-EAC3BD0E92D4}"/>
    <cellStyle name="Comma 3 2 3 3 3 2 3 3 2" xfId="49775" xr:uid="{A4899B55-B01E-4273-ABA9-CE6E29926E5D}"/>
    <cellStyle name="Comma 3 2 3 3 3 2 3 4" xfId="34655" xr:uid="{DB54B04F-535A-4124-9F1C-D7C4F535DEE5}"/>
    <cellStyle name="Comma 3 2 3 3 3 2 4" xfId="5927" xr:uid="{98D3E547-6787-4694-B65A-9A6B5E0F9416}"/>
    <cellStyle name="Comma 3 2 3 3 3 2 4 2" xfId="14999" xr:uid="{BEBD2CDC-8F91-41C7-A8A6-54A6FC428FC0}"/>
    <cellStyle name="Comma 3 2 3 3 3 2 4 2 2" xfId="30119" xr:uid="{9BCED76E-EDB9-43E6-834F-010DA7A1AEBE}"/>
    <cellStyle name="Comma 3 2 3 3 3 2 4 2 2 2" xfId="60359" xr:uid="{D4637492-B3D3-478C-B4AC-39178AC7EF51}"/>
    <cellStyle name="Comma 3 2 3 3 3 2 4 2 3" xfId="45239" xr:uid="{A39D6626-7ADC-4312-A690-19B5A443A12D}"/>
    <cellStyle name="Comma 3 2 3 3 3 2 4 3" xfId="21047" xr:uid="{7775D8E4-F133-4CEB-A195-CA901CE95793}"/>
    <cellStyle name="Comma 3 2 3 3 3 2 4 3 2" xfId="51287" xr:uid="{176E61D2-493F-4D5E-901A-9BE2354BF8CE}"/>
    <cellStyle name="Comma 3 2 3 3 3 2 4 4" xfId="36167" xr:uid="{21658ACF-5D71-4603-A604-E12D283C6E48}"/>
    <cellStyle name="Comma 3 2 3 3 3 2 5" xfId="7439" xr:uid="{55F6C18D-2DA6-44CD-BF11-A184714BFF33}"/>
    <cellStyle name="Comma 3 2 3 3 3 2 5 2" xfId="22559" xr:uid="{8518917F-9B05-48C1-9E60-69161F9F426B}"/>
    <cellStyle name="Comma 3 2 3 3 3 2 5 2 2" xfId="52799" xr:uid="{425DAE38-024A-40A0-ADAA-7A5423BBE3D1}"/>
    <cellStyle name="Comma 3 2 3 3 3 2 5 3" xfId="37679" xr:uid="{65E1E88C-61EE-4164-8AA4-0744167B6F7E}"/>
    <cellStyle name="Comma 3 2 3 3 3 2 6" xfId="8951" xr:uid="{1C6F76E1-6CC5-438F-9F32-4F4EEFC52976}"/>
    <cellStyle name="Comma 3 2 3 3 3 2 6 2" xfId="24071" xr:uid="{F7B46E64-4B84-4843-AA4B-AE023989981B}"/>
    <cellStyle name="Comma 3 2 3 3 3 2 6 2 2" xfId="54311" xr:uid="{83FFE2F6-01B5-4C7C-B36E-B4C8800E9B96}"/>
    <cellStyle name="Comma 3 2 3 3 3 2 6 3" xfId="39191" xr:uid="{BC324576-7168-44A2-A929-32E2E320AD93}"/>
    <cellStyle name="Comma 3 2 3 3 3 2 7" xfId="10463" xr:uid="{0D03C4A5-45C7-434D-89B2-42C6BC79A6AC}"/>
    <cellStyle name="Comma 3 2 3 3 3 2 7 2" xfId="25583" xr:uid="{F70AA9F6-CDBE-4CD5-8C55-3DFDACEB29CA}"/>
    <cellStyle name="Comma 3 2 3 3 3 2 7 2 2" xfId="55823" xr:uid="{CD3B02F9-3CAC-404E-85DA-DE41A6E5BAA1}"/>
    <cellStyle name="Comma 3 2 3 3 3 2 7 3" xfId="40703" xr:uid="{E6787CA9-4C8A-400A-9FBC-750887223382}"/>
    <cellStyle name="Comma 3 2 3 3 3 2 8" xfId="16511" xr:uid="{A8DEA80C-E35F-44D8-8467-8D64078C12CF}"/>
    <cellStyle name="Comma 3 2 3 3 3 2 8 2" xfId="46751" xr:uid="{B783ED15-86BE-4670-B3E7-9CC716412BB4}"/>
    <cellStyle name="Comma 3 2 3 3 3 2 9" xfId="31631" xr:uid="{41A1DED1-44B9-4C4E-BD8F-EC432E602B18}"/>
    <cellStyle name="Comma 3 2 3 3 3 3" xfId="2147" xr:uid="{7ADDC641-A81C-4F4B-8980-E224042199AA}"/>
    <cellStyle name="Comma 3 2 3 3 3 3 2" xfId="11219" xr:uid="{60A39240-4429-4E4B-8DDC-22A9E0FD5779}"/>
    <cellStyle name="Comma 3 2 3 3 3 3 2 2" xfId="26339" xr:uid="{22103C32-FAA5-4233-BBAD-9BE90A1B6289}"/>
    <cellStyle name="Comma 3 2 3 3 3 3 2 2 2" xfId="56579" xr:uid="{0B0CED5C-9A75-405A-BB55-EE241E0192AD}"/>
    <cellStyle name="Comma 3 2 3 3 3 3 2 3" xfId="41459" xr:uid="{97BA7BC6-8764-4069-A4DB-BE04C22AF757}"/>
    <cellStyle name="Comma 3 2 3 3 3 3 3" xfId="17267" xr:uid="{CB19DE6E-BB52-4B92-90CE-BAEE8CF44F65}"/>
    <cellStyle name="Comma 3 2 3 3 3 3 3 2" xfId="47507" xr:uid="{47339A3F-6D38-46A8-89B7-7E8CBB7E304D}"/>
    <cellStyle name="Comma 3 2 3 3 3 3 4" xfId="32387" xr:uid="{6FF7A07A-20FF-49BD-A659-7FF7CAD0683D}"/>
    <cellStyle name="Comma 3 2 3 3 3 4" xfId="3659" xr:uid="{A12E027C-6328-48F9-AB03-84A038405566}"/>
    <cellStyle name="Comma 3 2 3 3 3 4 2" xfId="12731" xr:uid="{D70E1B13-2E04-4DD2-8C6F-B8FCA1A20095}"/>
    <cellStyle name="Comma 3 2 3 3 3 4 2 2" xfId="27851" xr:uid="{4F6FC217-C9A5-4E9E-87B2-0EB300D91958}"/>
    <cellStyle name="Comma 3 2 3 3 3 4 2 2 2" xfId="58091" xr:uid="{7DC5E51F-E61E-484B-8977-9765545B08D0}"/>
    <cellStyle name="Comma 3 2 3 3 3 4 2 3" xfId="42971" xr:uid="{0E5B586D-5843-44F1-BF38-AF4FE5996D8C}"/>
    <cellStyle name="Comma 3 2 3 3 3 4 3" xfId="18779" xr:uid="{26107AC5-D430-4F8C-9C33-16F38876D3DF}"/>
    <cellStyle name="Comma 3 2 3 3 3 4 3 2" xfId="49019" xr:uid="{BFA3EC6C-A2AA-484E-AC75-3DA58B542DED}"/>
    <cellStyle name="Comma 3 2 3 3 3 4 4" xfId="33899" xr:uid="{EF4CDCFE-A9E1-4520-A479-58369F52BFD0}"/>
    <cellStyle name="Comma 3 2 3 3 3 5" xfId="5171" xr:uid="{F619AF9C-9C3C-41DB-883E-C4B5F18130A1}"/>
    <cellStyle name="Comma 3 2 3 3 3 5 2" xfId="14243" xr:uid="{9C911CAD-31F2-4B1D-A166-8879CB19C1A4}"/>
    <cellStyle name="Comma 3 2 3 3 3 5 2 2" xfId="29363" xr:uid="{35B2B189-51D4-4F0B-AE25-E63FBF4BD7CC}"/>
    <cellStyle name="Comma 3 2 3 3 3 5 2 2 2" xfId="59603" xr:uid="{FF1274A5-AA5F-453E-9EBD-B9F01DECA6E3}"/>
    <cellStyle name="Comma 3 2 3 3 3 5 2 3" xfId="44483" xr:uid="{E5905879-E81B-48CB-9649-72F4B374AB2E}"/>
    <cellStyle name="Comma 3 2 3 3 3 5 3" xfId="20291" xr:uid="{AE9AF0EC-0507-4952-B4CF-47F222F2D3BA}"/>
    <cellStyle name="Comma 3 2 3 3 3 5 3 2" xfId="50531" xr:uid="{566377D9-3952-446F-84ED-13425A8B7783}"/>
    <cellStyle name="Comma 3 2 3 3 3 5 4" xfId="35411" xr:uid="{CE5977F2-3797-4752-85C6-1645BA328EC4}"/>
    <cellStyle name="Comma 3 2 3 3 3 6" xfId="6683" xr:uid="{AF00B5F7-080E-4669-AA08-B67A64E58EA9}"/>
    <cellStyle name="Comma 3 2 3 3 3 6 2" xfId="21803" xr:uid="{F97CE7AB-F0F8-49D9-98F2-D2AEB214E464}"/>
    <cellStyle name="Comma 3 2 3 3 3 6 2 2" xfId="52043" xr:uid="{B8895C08-59A4-45D6-9A95-A8EC313BAB85}"/>
    <cellStyle name="Comma 3 2 3 3 3 6 3" xfId="36923" xr:uid="{DC3BF45D-0B2D-4770-B92D-F133BCDE2CD9}"/>
    <cellStyle name="Comma 3 2 3 3 3 7" xfId="8195" xr:uid="{3BEC9510-2156-46C7-BE61-393A5B3A5D25}"/>
    <cellStyle name="Comma 3 2 3 3 3 7 2" xfId="23315" xr:uid="{EF831F13-5EFB-432F-A747-3C201C2720B4}"/>
    <cellStyle name="Comma 3 2 3 3 3 7 2 2" xfId="53555" xr:uid="{EEED986D-982B-47CD-B578-C4B784AD152D}"/>
    <cellStyle name="Comma 3 2 3 3 3 7 3" xfId="38435" xr:uid="{6061E7AE-CFAC-45C2-BC0B-700C2C635FE0}"/>
    <cellStyle name="Comma 3 2 3 3 3 8" xfId="9707" xr:uid="{6D2D09FA-437B-4FF0-AC8D-BBA94A478641}"/>
    <cellStyle name="Comma 3 2 3 3 3 8 2" xfId="24827" xr:uid="{10F50229-95FB-47E4-8993-1A1AA5BD483D}"/>
    <cellStyle name="Comma 3 2 3 3 3 8 2 2" xfId="55067" xr:uid="{77FD960A-3A5C-435F-90FE-7264B2C2C1C4}"/>
    <cellStyle name="Comma 3 2 3 3 3 8 3" xfId="39947" xr:uid="{58256506-2A4C-4B96-A20A-3C4F4ECA1C6E}"/>
    <cellStyle name="Comma 3 2 3 3 3 9" xfId="15755" xr:uid="{D73F7E02-A9DE-4212-9C4C-1F429B9D3FA6}"/>
    <cellStyle name="Comma 3 2 3 3 3 9 2" xfId="45995" xr:uid="{F5038AF6-C359-4BD4-B086-86D397EE2CDD}"/>
    <cellStyle name="Comma 3 2 3 3 4" xfId="887" xr:uid="{95195104-CDB9-4682-98B3-B88E9428CFE7}"/>
    <cellStyle name="Comma 3 2 3 3 4 2" xfId="2399" xr:uid="{6599A1D7-6ACD-4E6D-8793-B17C16422A96}"/>
    <cellStyle name="Comma 3 2 3 3 4 2 2" xfId="11471" xr:uid="{F952DD7B-5E85-477D-9F06-2019FDA9BBA4}"/>
    <cellStyle name="Comma 3 2 3 3 4 2 2 2" xfId="26591" xr:uid="{CE004B21-E4C7-42B6-BB84-35938EDC65AA}"/>
    <cellStyle name="Comma 3 2 3 3 4 2 2 2 2" xfId="56831" xr:uid="{8F065620-6BCD-4A76-8FB2-15204827DE33}"/>
    <cellStyle name="Comma 3 2 3 3 4 2 2 3" xfId="41711" xr:uid="{D091C3F3-8DE0-4A25-9CC3-9FF375D8ADEC}"/>
    <cellStyle name="Comma 3 2 3 3 4 2 3" xfId="17519" xr:uid="{F463687A-9EB8-4D0E-829C-D853B84E25AD}"/>
    <cellStyle name="Comma 3 2 3 3 4 2 3 2" xfId="47759" xr:uid="{AA73EE73-03A1-4D98-A611-61355282E185}"/>
    <cellStyle name="Comma 3 2 3 3 4 2 4" xfId="32639" xr:uid="{94C9C59E-5E40-4186-98D9-AC0740308F86}"/>
    <cellStyle name="Comma 3 2 3 3 4 3" xfId="3911" xr:uid="{676E6C3A-B3F0-4CBC-B405-36A03A36807F}"/>
    <cellStyle name="Comma 3 2 3 3 4 3 2" xfId="12983" xr:uid="{1F69E19E-4903-4F4D-8E84-AC6BCBD3B4A7}"/>
    <cellStyle name="Comma 3 2 3 3 4 3 2 2" xfId="28103" xr:uid="{9C300CF9-0813-46D4-9B66-467A2CCFAB98}"/>
    <cellStyle name="Comma 3 2 3 3 4 3 2 2 2" xfId="58343" xr:uid="{4771842B-7E54-46D1-B53F-E6B3D6E09067}"/>
    <cellStyle name="Comma 3 2 3 3 4 3 2 3" xfId="43223" xr:uid="{FB2C985D-0AB7-4489-9669-536148763C41}"/>
    <cellStyle name="Comma 3 2 3 3 4 3 3" xfId="19031" xr:uid="{A6FD9BB4-1F6B-45B1-BE0B-42C0DDDD9E3F}"/>
    <cellStyle name="Comma 3 2 3 3 4 3 3 2" xfId="49271" xr:uid="{285011AE-D337-4446-A26E-9A0C8102C59C}"/>
    <cellStyle name="Comma 3 2 3 3 4 3 4" xfId="34151" xr:uid="{FFD554EB-DECD-450F-A735-74E6753F43E7}"/>
    <cellStyle name="Comma 3 2 3 3 4 4" xfId="5423" xr:uid="{D0E9CE09-8520-4B0C-9F61-95BF90D46496}"/>
    <cellStyle name="Comma 3 2 3 3 4 4 2" xfId="14495" xr:uid="{E7F215B1-0738-40D6-A8BD-009F6F13C6BF}"/>
    <cellStyle name="Comma 3 2 3 3 4 4 2 2" xfId="29615" xr:uid="{0D9174CF-8139-47AB-ADE7-FA1205A0057B}"/>
    <cellStyle name="Comma 3 2 3 3 4 4 2 2 2" xfId="59855" xr:uid="{7CEDCC02-E40F-41B7-85E7-EE5F1F8DEE2F}"/>
    <cellStyle name="Comma 3 2 3 3 4 4 2 3" xfId="44735" xr:uid="{4DCBF714-F62E-41CA-8EC8-647D571A437F}"/>
    <cellStyle name="Comma 3 2 3 3 4 4 3" xfId="20543" xr:uid="{E0978836-97F1-4F4E-9363-4FC20928785A}"/>
    <cellStyle name="Comma 3 2 3 3 4 4 3 2" xfId="50783" xr:uid="{038AA613-5F47-47F4-BB0C-7E699C57CFFC}"/>
    <cellStyle name="Comma 3 2 3 3 4 4 4" xfId="35663" xr:uid="{B48C48DA-8863-4B4E-978B-A509CB0077A0}"/>
    <cellStyle name="Comma 3 2 3 3 4 5" xfId="6935" xr:uid="{A213D61D-3105-45FA-9A00-2D945EA52513}"/>
    <cellStyle name="Comma 3 2 3 3 4 5 2" xfId="22055" xr:uid="{FAD2D5EA-F988-463E-8BB9-08F4FB5D57C3}"/>
    <cellStyle name="Comma 3 2 3 3 4 5 2 2" xfId="52295" xr:uid="{2A2FB15B-8DB4-4B72-9291-53BDE128E8A6}"/>
    <cellStyle name="Comma 3 2 3 3 4 5 3" xfId="37175" xr:uid="{20D4F646-264A-4C65-9283-F0BA918C86BB}"/>
    <cellStyle name="Comma 3 2 3 3 4 6" xfId="8447" xr:uid="{755A44D9-8961-40BF-874D-3F3FB2AAF14E}"/>
    <cellStyle name="Comma 3 2 3 3 4 6 2" xfId="23567" xr:uid="{ED8CA7C5-4D8C-4A28-A5FA-F72863DCC6F8}"/>
    <cellStyle name="Comma 3 2 3 3 4 6 2 2" xfId="53807" xr:uid="{F0E56DEE-C5FD-4846-BE87-5FFFE78DE443}"/>
    <cellStyle name="Comma 3 2 3 3 4 6 3" xfId="38687" xr:uid="{074A5970-9C50-47F9-A9A2-185A5607D956}"/>
    <cellStyle name="Comma 3 2 3 3 4 7" xfId="9959" xr:uid="{3F1F5C03-3385-46E7-B7F3-926B1A704540}"/>
    <cellStyle name="Comma 3 2 3 3 4 7 2" xfId="25079" xr:uid="{5CFA9F71-E543-41EF-B138-22436122D125}"/>
    <cellStyle name="Comma 3 2 3 3 4 7 2 2" xfId="55319" xr:uid="{F42ECD27-CD9B-4356-86DA-C59C933F7FF6}"/>
    <cellStyle name="Comma 3 2 3 3 4 7 3" xfId="40199" xr:uid="{E69BDFAB-BB46-4BBE-8B56-36B17ED64DA3}"/>
    <cellStyle name="Comma 3 2 3 3 4 8" xfId="16007" xr:uid="{2FC50275-6397-4423-8CDF-93D4687025EA}"/>
    <cellStyle name="Comma 3 2 3 3 4 8 2" xfId="46247" xr:uid="{03A5FCBA-84C3-4320-AAE1-253F407BD5DA}"/>
    <cellStyle name="Comma 3 2 3 3 4 9" xfId="31127" xr:uid="{03453306-E61B-4FC4-8AE7-49463444CF54}"/>
    <cellStyle name="Comma 3 2 3 3 5" xfId="1643" xr:uid="{5276C24B-05A2-4AFF-AF4B-9259AEAD24BF}"/>
    <cellStyle name="Comma 3 2 3 3 5 2" xfId="10715" xr:uid="{2D625AA1-742D-45F9-8F6E-1AE13F007F6F}"/>
    <cellStyle name="Comma 3 2 3 3 5 2 2" xfId="25835" xr:uid="{3561823A-45AB-4F61-AA89-F2A1206C8BF8}"/>
    <cellStyle name="Comma 3 2 3 3 5 2 2 2" xfId="56075" xr:uid="{C569A0CF-EACC-4553-8FD2-D008A3D0E9F4}"/>
    <cellStyle name="Comma 3 2 3 3 5 2 3" xfId="40955" xr:uid="{DD45367E-CD47-487B-86FB-D56D559B9C40}"/>
    <cellStyle name="Comma 3 2 3 3 5 3" xfId="16763" xr:uid="{07D2C69C-85B9-4F87-B8D9-E76E38349A72}"/>
    <cellStyle name="Comma 3 2 3 3 5 3 2" xfId="47003" xr:uid="{612C4D2A-0FA4-4AFA-8747-CEF1919389C0}"/>
    <cellStyle name="Comma 3 2 3 3 5 4" xfId="31883" xr:uid="{DBC241B0-5DB3-4BFB-B95F-E21F96A6A367}"/>
    <cellStyle name="Comma 3 2 3 3 6" xfId="3155" xr:uid="{594334E6-B963-4358-9711-B67229A3570B}"/>
    <cellStyle name="Comma 3 2 3 3 6 2" xfId="12227" xr:uid="{0B1A88E5-2DC2-472C-B210-8B0E6DEFFF8D}"/>
    <cellStyle name="Comma 3 2 3 3 6 2 2" xfId="27347" xr:uid="{B5D20622-B642-411D-95D1-53ECB4B15DB9}"/>
    <cellStyle name="Comma 3 2 3 3 6 2 2 2" xfId="57587" xr:uid="{E28D3298-DF69-4EEB-B555-C35E4BD246A0}"/>
    <cellStyle name="Comma 3 2 3 3 6 2 3" xfId="42467" xr:uid="{AA1E3073-24CF-4B50-BA48-5E7FF2A6580B}"/>
    <cellStyle name="Comma 3 2 3 3 6 3" xfId="18275" xr:uid="{A204AD4F-962B-4F29-BB7F-15562E2679B6}"/>
    <cellStyle name="Comma 3 2 3 3 6 3 2" xfId="48515" xr:uid="{B28B7F78-88D2-470B-B7AF-DF99F21B6330}"/>
    <cellStyle name="Comma 3 2 3 3 6 4" xfId="33395" xr:uid="{AD22AF9F-EADF-480A-973D-0A2E6E42F5EC}"/>
    <cellStyle name="Comma 3 2 3 3 7" xfId="4667" xr:uid="{3B699FDD-3C02-4439-B4D9-363FD01A6043}"/>
    <cellStyle name="Comma 3 2 3 3 7 2" xfId="13739" xr:uid="{1E8866C7-6249-45AC-BEF3-19D0F93107F0}"/>
    <cellStyle name="Comma 3 2 3 3 7 2 2" xfId="28859" xr:uid="{656869E9-0B2A-4929-9641-613B6DCC1817}"/>
    <cellStyle name="Comma 3 2 3 3 7 2 2 2" xfId="59099" xr:uid="{C745044A-F03D-45B2-A2AA-61285053F636}"/>
    <cellStyle name="Comma 3 2 3 3 7 2 3" xfId="43979" xr:uid="{ED6B0535-C29B-4509-8C20-379B05331E7E}"/>
    <cellStyle name="Comma 3 2 3 3 7 3" xfId="19787" xr:uid="{4F959850-47F1-4502-A337-ABF3F61CE5A6}"/>
    <cellStyle name="Comma 3 2 3 3 7 3 2" xfId="50027" xr:uid="{270BC5FB-D6E4-40C7-93D0-01ABF171C28F}"/>
    <cellStyle name="Comma 3 2 3 3 7 4" xfId="34907" xr:uid="{4B08BD6E-DBD8-43F5-8AB8-EFABDE118B90}"/>
    <cellStyle name="Comma 3 2 3 3 8" xfId="6179" xr:uid="{58F6F6BC-1BA9-46D2-9B98-74AA8585FC35}"/>
    <cellStyle name="Comma 3 2 3 3 8 2" xfId="21299" xr:uid="{6814C032-E5E4-4F44-AE85-B4BFEF527180}"/>
    <cellStyle name="Comma 3 2 3 3 8 2 2" xfId="51539" xr:uid="{B1AE4DB4-851A-4849-8021-DF24C964556E}"/>
    <cellStyle name="Comma 3 2 3 3 8 3" xfId="36419" xr:uid="{86AC8488-2400-4E9B-AAB1-66B1CE823031}"/>
    <cellStyle name="Comma 3 2 3 3 9" xfId="7691" xr:uid="{1E7947AA-8A60-4BCC-B9AD-6572B5C4DE1A}"/>
    <cellStyle name="Comma 3 2 3 3 9 2" xfId="22811" xr:uid="{5A0A9B6F-2C64-4144-A75D-970D78079F0F}"/>
    <cellStyle name="Comma 3 2 3 3 9 2 2" xfId="53051" xr:uid="{29BFB13E-BF13-4433-98DF-09ED828C275B}"/>
    <cellStyle name="Comma 3 2 3 3 9 3" xfId="37931" xr:uid="{3CBE3B2B-93D8-4903-BF5C-8C6B805A05EA}"/>
    <cellStyle name="Comma 3 2 3 4" xfId="215" xr:uid="{7A698E63-D79D-475F-BAB3-909E6A1D20B1}"/>
    <cellStyle name="Comma 3 2 3 4 10" xfId="9287" xr:uid="{B58DFB70-5406-4371-9C02-30C96B5E99AB}"/>
    <cellStyle name="Comma 3 2 3 4 10 2" xfId="24407" xr:uid="{56391D0C-2C29-4791-99C4-9A3044D1331C}"/>
    <cellStyle name="Comma 3 2 3 4 10 2 2" xfId="54647" xr:uid="{50A35BF5-A66E-4465-BED2-5C53EE801882}"/>
    <cellStyle name="Comma 3 2 3 4 10 3" xfId="39527" xr:uid="{97B1B9B3-50E3-44EA-B82E-6D541684D26F}"/>
    <cellStyle name="Comma 3 2 3 4 11" xfId="15335" xr:uid="{714B8BC7-A1AD-4BF5-B245-38CD5E1CFBF5}"/>
    <cellStyle name="Comma 3 2 3 4 11 2" xfId="45575" xr:uid="{3B2F0D26-8706-40B6-9F64-2C00BB6E504B}"/>
    <cellStyle name="Comma 3 2 3 4 12" xfId="30455" xr:uid="{326233C0-8EDB-46FF-9D14-1F4EC87DCAD7}"/>
    <cellStyle name="Comma 3 2 3 4 2" xfId="467" xr:uid="{A44E3576-0C3D-4607-BB2C-E80FF6A1E69A}"/>
    <cellStyle name="Comma 3 2 3 4 2 10" xfId="30707" xr:uid="{0E005B55-3DC1-4EA2-82F6-7CB6F8B84A5A}"/>
    <cellStyle name="Comma 3 2 3 4 2 2" xfId="1223" xr:uid="{D8916CB7-745D-4956-B5E7-0B8EE9781EF4}"/>
    <cellStyle name="Comma 3 2 3 4 2 2 2" xfId="2735" xr:uid="{61A1CB0A-532A-4447-9555-F916FFCF0CEB}"/>
    <cellStyle name="Comma 3 2 3 4 2 2 2 2" xfId="11807" xr:uid="{C53C4E7E-9135-4BC1-916F-4CB2D1AEF947}"/>
    <cellStyle name="Comma 3 2 3 4 2 2 2 2 2" xfId="26927" xr:uid="{D6802EA1-CCFA-4DBD-B9BE-A25D595FDD4E}"/>
    <cellStyle name="Comma 3 2 3 4 2 2 2 2 2 2" xfId="57167" xr:uid="{BE47B7F7-6271-4302-858D-2AB85E5EC6A4}"/>
    <cellStyle name="Comma 3 2 3 4 2 2 2 2 3" xfId="42047" xr:uid="{E67006E5-49E2-413F-AEC8-85E0714BEF26}"/>
    <cellStyle name="Comma 3 2 3 4 2 2 2 3" xfId="17855" xr:uid="{F1FD38F1-84A4-4B17-AA0C-80B7A4D2E329}"/>
    <cellStyle name="Comma 3 2 3 4 2 2 2 3 2" xfId="48095" xr:uid="{A7A60104-F92F-4767-8DBF-A449820E29C0}"/>
    <cellStyle name="Comma 3 2 3 4 2 2 2 4" xfId="32975" xr:uid="{626BB123-307A-4B2B-84E0-604870ED2357}"/>
    <cellStyle name="Comma 3 2 3 4 2 2 3" xfId="4247" xr:uid="{DABB8FEC-3067-45D2-BF0E-FFE49C644485}"/>
    <cellStyle name="Comma 3 2 3 4 2 2 3 2" xfId="13319" xr:uid="{84CEE1FE-22FF-46FA-9FFD-279C97A2D7B5}"/>
    <cellStyle name="Comma 3 2 3 4 2 2 3 2 2" xfId="28439" xr:uid="{2A899810-0F07-4528-9668-C1E286A99FB3}"/>
    <cellStyle name="Comma 3 2 3 4 2 2 3 2 2 2" xfId="58679" xr:uid="{26A0A746-FDB6-4BB9-83EB-47F1E5745F8A}"/>
    <cellStyle name="Comma 3 2 3 4 2 2 3 2 3" xfId="43559" xr:uid="{48B46C96-A401-4E53-BE58-51FC23037BCC}"/>
    <cellStyle name="Comma 3 2 3 4 2 2 3 3" xfId="19367" xr:uid="{3825D251-970C-485F-8B74-CD3E025394B9}"/>
    <cellStyle name="Comma 3 2 3 4 2 2 3 3 2" xfId="49607" xr:uid="{F4420145-2DBA-4374-829D-E36B3DD5D017}"/>
    <cellStyle name="Comma 3 2 3 4 2 2 3 4" xfId="34487" xr:uid="{B4B9CBE1-D3DB-4D34-AC12-25ABBE09C386}"/>
    <cellStyle name="Comma 3 2 3 4 2 2 4" xfId="5759" xr:uid="{4BBBC3C1-4640-4D61-970B-31569E850446}"/>
    <cellStyle name="Comma 3 2 3 4 2 2 4 2" xfId="14831" xr:uid="{B4083081-4D70-4AC1-83F0-D9F9B9033AF1}"/>
    <cellStyle name="Comma 3 2 3 4 2 2 4 2 2" xfId="29951" xr:uid="{1AC4AFDA-A4E0-48FB-9B08-62868DDB989E}"/>
    <cellStyle name="Comma 3 2 3 4 2 2 4 2 2 2" xfId="60191" xr:uid="{DEF5B7C2-809A-4C3E-8767-9955171522B6}"/>
    <cellStyle name="Comma 3 2 3 4 2 2 4 2 3" xfId="45071" xr:uid="{9B41426D-A7F3-49A0-BE60-F3140FC7D55D}"/>
    <cellStyle name="Comma 3 2 3 4 2 2 4 3" xfId="20879" xr:uid="{385D79BA-4C45-4AA7-87E1-EF370D4DDFD0}"/>
    <cellStyle name="Comma 3 2 3 4 2 2 4 3 2" xfId="51119" xr:uid="{4D9A28D1-A986-4326-A215-7B3F94C3310B}"/>
    <cellStyle name="Comma 3 2 3 4 2 2 4 4" xfId="35999" xr:uid="{933177F3-B9C5-4CEF-9BB8-5201A217CD98}"/>
    <cellStyle name="Comma 3 2 3 4 2 2 5" xfId="7271" xr:uid="{E19B7D75-C5E3-4BAB-AE6E-B0530927E89B}"/>
    <cellStyle name="Comma 3 2 3 4 2 2 5 2" xfId="22391" xr:uid="{7164EE9B-4D36-4E9B-97F7-37A659A13287}"/>
    <cellStyle name="Comma 3 2 3 4 2 2 5 2 2" xfId="52631" xr:uid="{E632605B-5589-4E59-9AC1-01A1F704C564}"/>
    <cellStyle name="Comma 3 2 3 4 2 2 5 3" xfId="37511" xr:uid="{131EFBC9-C2BB-449E-9C3D-98430484C51A}"/>
    <cellStyle name="Comma 3 2 3 4 2 2 6" xfId="8783" xr:uid="{27ABC30A-A0E7-42B9-B0C6-94E46D01DF45}"/>
    <cellStyle name="Comma 3 2 3 4 2 2 6 2" xfId="23903" xr:uid="{4954B65E-508E-4DBC-BB39-60D660623DC2}"/>
    <cellStyle name="Comma 3 2 3 4 2 2 6 2 2" xfId="54143" xr:uid="{1C888B74-B5A7-40F6-8E8D-BF8E6AA7C3A8}"/>
    <cellStyle name="Comma 3 2 3 4 2 2 6 3" xfId="39023" xr:uid="{20AF562A-6608-4C27-909B-E480CBB7603B}"/>
    <cellStyle name="Comma 3 2 3 4 2 2 7" xfId="10295" xr:uid="{5E7270EA-A27C-4211-9E80-6CE8EBCE6069}"/>
    <cellStyle name="Comma 3 2 3 4 2 2 7 2" xfId="25415" xr:uid="{68017DA6-180C-4DDE-AD22-A6D0011B5904}"/>
    <cellStyle name="Comma 3 2 3 4 2 2 7 2 2" xfId="55655" xr:uid="{758BA688-C348-47F8-A4AA-70B3D6B52B35}"/>
    <cellStyle name="Comma 3 2 3 4 2 2 7 3" xfId="40535" xr:uid="{DC8BCE72-F757-4D0A-9C9C-6EC82006CE5F}"/>
    <cellStyle name="Comma 3 2 3 4 2 2 8" xfId="16343" xr:uid="{B8DA9728-5B7D-41F8-8D1F-D43EBD14D1F7}"/>
    <cellStyle name="Comma 3 2 3 4 2 2 8 2" xfId="46583" xr:uid="{B93BBCCF-8D28-4DEE-9893-57AFB50E7995}"/>
    <cellStyle name="Comma 3 2 3 4 2 2 9" xfId="31463" xr:uid="{CADC9535-92F7-47BC-A3BA-344B88766E3B}"/>
    <cellStyle name="Comma 3 2 3 4 2 3" xfId="1979" xr:uid="{1B325AB5-3A86-43E0-A290-8FB3B381F279}"/>
    <cellStyle name="Comma 3 2 3 4 2 3 2" xfId="11051" xr:uid="{8C4206B7-ED00-44A8-AD0B-C665CE9B794D}"/>
    <cellStyle name="Comma 3 2 3 4 2 3 2 2" xfId="26171" xr:uid="{E96084D2-C8EB-4D0D-8B7C-FDB76F80F00D}"/>
    <cellStyle name="Comma 3 2 3 4 2 3 2 2 2" xfId="56411" xr:uid="{8EB437AB-1991-4349-AFF6-CB86566D0EE6}"/>
    <cellStyle name="Comma 3 2 3 4 2 3 2 3" xfId="41291" xr:uid="{9FD3F29F-A246-41A7-9E0B-1FD82C4CD1DE}"/>
    <cellStyle name="Comma 3 2 3 4 2 3 3" xfId="17099" xr:uid="{26D70A8A-453C-43D9-885F-5A21DB4AFD21}"/>
    <cellStyle name="Comma 3 2 3 4 2 3 3 2" xfId="47339" xr:uid="{534BA4F8-2F27-4C1E-B11A-8F789E6851CD}"/>
    <cellStyle name="Comma 3 2 3 4 2 3 4" xfId="32219" xr:uid="{35622AC6-2773-4F6E-9A94-1ED4A6E57E40}"/>
    <cellStyle name="Comma 3 2 3 4 2 4" xfId="3491" xr:uid="{88752A04-51AB-4AF9-A4C2-2A8EBF529D12}"/>
    <cellStyle name="Comma 3 2 3 4 2 4 2" xfId="12563" xr:uid="{C8A69992-38CD-412C-9AEB-A8AE26EEA9B6}"/>
    <cellStyle name="Comma 3 2 3 4 2 4 2 2" xfId="27683" xr:uid="{1EEB2E90-D6FE-42B0-8B0A-4575DCA36680}"/>
    <cellStyle name="Comma 3 2 3 4 2 4 2 2 2" xfId="57923" xr:uid="{2B4E5E33-37FA-49BE-854F-64122B82ED6F}"/>
    <cellStyle name="Comma 3 2 3 4 2 4 2 3" xfId="42803" xr:uid="{39224702-7402-4A54-9AF0-C76D479CF673}"/>
    <cellStyle name="Comma 3 2 3 4 2 4 3" xfId="18611" xr:uid="{78D74966-D240-4A98-9A57-DEBAA2C2336B}"/>
    <cellStyle name="Comma 3 2 3 4 2 4 3 2" xfId="48851" xr:uid="{C128688B-6363-4958-90F5-416D89162102}"/>
    <cellStyle name="Comma 3 2 3 4 2 4 4" xfId="33731" xr:uid="{9FD8B413-FE24-4F09-9129-888D6B6AFA50}"/>
    <cellStyle name="Comma 3 2 3 4 2 5" xfId="5003" xr:uid="{9A57CB23-11FA-467B-B01C-3CCD9A2EC790}"/>
    <cellStyle name="Comma 3 2 3 4 2 5 2" xfId="14075" xr:uid="{A2A27BF3-4A2A-4112-8F50-9E201BBD9C17}"/>
    <cellStyle name="Comma 3 2 3 4 2 5 2 2" xfId="29195" xr:uid="{E8979B68-6C5C-41A6-95E8-3B0717B710D4}"/>
    <cellStyle name="Comma 3 2 3 4 2 5 2 2 2" xfId="59435" xr:uid="{17621615-0898-4A08-A93D-0506F1008F58}"/>
    <cellStyle name="Comma 3 2 3 4 2 5 2 3" xfId="44315" xr:uid="{837F5F2E-161C-4D1E-AC5E-AE3679198775}"/>
    <cellStyle name="Comma 3 2 3 4 2 5 3" xfId="20123" xr:uid="{CBD5F6BA-8349-451B-9BA3-7BDCDF166C29}"/>
    <cellStyle name="Comma 3 2 3 4 2 5 3 2" xfId="50363" xr:uid="{EA239A96-B066-4B13-8376-F8EF3550EA61}"/>
    <cellStyle name="Comma 3 2 3 4 2 5 4" xfId="35243" xr:uid="{4A6628FF-9FDF-43B8-98CA-C4CC40C31097}"/>
    <cellStyle name="Comma 3 2 3 4 2 6" xfId="6515" xr:uid="{3491CCCD-C20D-4A8F-AD89-6D1427CA1770}"/>
    <cellStyle name="Comma 3 2 3 4 2 6 2" xfId="21635" xr:uid="{73A76F99-0D73-4F43-8890-0D3409242FEA}"/>
    <cellStyle name="Comma 3 2 3 4 2 6 2 2" xfId="51875" xr:uid="{DFE8E4DD-1CC5-4FE9-B040-6BFDA7A68ADB}"/>
    <cellStyle name="Comma 3 2 3 4 2 6 3" xfId="36755" xr:uid="{5AB39A6D-B162-4C32-9DDC-05992164D447}"/>
    <cellStyle name="Comma 3 2 3 4 2 7" xfId="8027" xr:uid="{A1D370A1-C3E5-46C8-AE4E-CF188D613B39}"/>
    <cellStyle name="Comma 3 2 3 4 2 7 2" xfId="23147" xr:uid="{DD4C0455-303D-4994-895B-DF36D54B8042}"/>
    <cellStyle name="Comma 3 2 3 4 2 7 2 2" xfId="53387" xr:uid="{DC3D9741-AA1D-4709-B511-FDC6CE4F785E}"/>
    <cellStyle name="Comma 3 2 3 4 2 7 3" xfId="38267" xr:uid="{3CCABF96-C36D-4D82-8B27-49E80BA8D157}"/>
    <cellStyle name="Comma 3 2 3 4 2 8" xfId="9539" xr:uid="{B7C41A32-6A04-4E3E-92DA-E42551E576CB}"/>
    <cellStyle name="Comma 3 2 3 4 2 8 2" xfId="24659" xr:uid="{104C0DCC-8131-4F88-9A71-9C3B0E33056D}"/>
    <cellStyle name="Comma 3 2 3 4 2 8 2 2" xfId="54899" xr:uid="{B589D685-A0B0-492D-A02B-11D5A9E8E1B5}"/>
    <cellStyle name="Comma 3 2 3 4 2 8 3" xfId="39779" xr:uid="{AE5F6196-8D14-4927-BDD3-547E15B7A110}"/>
    <cellStyle name="Comma 3 2 3 4 2 9" xfId="15587" xr:uid="{82C13ADC-CACE-4B4C-92F6-9D83364D5E89}"/>
    <cellStyle name="Comma 3 2 3 4 2 9 2" xfId="45827" xr:uid="{C6C2BA4A-945C-490F-AED6-EF8B7F4D9F12}"/>
    <cellStyle name="Comma 3 2 3 4 3" xfId="719" xr:uid="{D15F0A5F-06C6-47B7-8F18-CCFE85C4C3F0}"/>
    <cellStyle name="Comma 3 2 3 4 3 10" xfId="30959" xr:uid="{9C609F4F-D472-476D-A606-5446D1128B16}"/>
    <cellStyle name="Comma 3 2 3 4 3 2" xfId="1475" xr:uid="{1173C3A0-C31F-4E2B-A9C6-1AB6A8D0B662}"/>
    <cellStyle name="Comma 3 2 3 4 3 2 2" xfId="2987" xr:uid="{49DAE139-6D70-42F6-BC4E-ED08C8042742}"/>
    <cellStyle name="Comma 3 2 3 4 3 2 2 2" xfId="12059" xr:uid="{7459A834-3F3B-44E8-B035-C7858BE47176}"/>
    <cellStyle name="Comma 3 2 3 4 3 2 2 2 2" xfId="27179" xr:uid="{5D2328C3-2EE9-4A9D-BB45-B7B8EE53F871}"/>
    <cellStyle name="Comma 3 2 3 4 3 2 2 2 2 2" xfId="57419" xr:uid="{4F19DCD5-AAFD-4B46-B5D2-026A58FED515}"/>
    <cellStyle name="Comma 3 2 3 4 3 2 2 2 3" xfId="42299" xr:uid="{6C8FDA1F-536F-4223-919B-50E1F003A258}"/>
    <cellStyle name="Comma 3 2 3 4 3 2 2 3" xfId="18107" xr:uid="{1B279112-24B9-4B38-A6AA-DC790E9B4209}"/>
    <cellStyle name="Comma 3 2 3 4 3 2 2 3 2" xfId="48347" xr:uid="{A3B1F4B9-3546-4EDA-99FA-6D0938C8B7B8}"/>
    <cellStyle name="Comma 3 2 3 4 3 2 2 4" xfId="33227" xr:uid="{B338887E-22F0-4B92-9402-3E92562322AC}"/>
    <cellStyle name="Comma 3 2 3 4 3 2 3" xfId="4499" xr:uid="{BCAA6F9E-F370-42BE-B977-9364CE6C6B6B}"/>
    <cellStyle name="Comma 3 2 3 4 3 2 3 2" xfId="13571" xr:uid="{82C3A437-4A38-4E8F-AEAC-DEAB06E6CECF}"/>
    <cellStyle name="Comma 3 2 3 4 3 2 3 2 2" xfId="28691" xr:uid="{26945ADB-BFE7-411F-9E23-CA54E909CB38}"/>
    <cellStyle name="Comma 3 2 3 4 3 2 3 2 2 2" xfId="58931" xr:uid="{229DB1EC-4F04-4E94-8BEB-D532B5CCE65A}"/>
    <cellStyle name="Comma 3 2 3 4 3 2 3 2 3" xfId="43811" xr:uid="{76FC7B3E-5C92-4D53-BA87-982F4AAFC68F}"/>
    <cellStyle name="Comma 3 2 3 4 3 2 3 3" xfId="19619" xr:uid="{3D1EE7DA-BA1A-44E3-A479-F6A61AE790A1}"/>
    <cellStyle name="Comma 3 2 3 4 3 2 3 3 2" xfId="49859" xr:uid="{68FA094F-E051-4749-BB29-543040DA8D70}"/>
    <cellStyle name="Comma 3 2 3 4 3 2 3 4" xfId="34739" xr:uid="{3DCCC009-E29F-4FDB-9024-40982B35B395}"/>
    <cellStyle name="Comma 3 2 3 4 3 2 4" xfId="6011" xr:uid="{7216EE47-A126-49BE-A69A-BEF899B883A3}"/>
    <cellStyle name="Comma 3 2 3 4 3 2 4 2" xfId="15083" xr:uid="{978624BC-F40D-4A80-ABED-9E5ECF690193}"/>
    <cellStyle name="Comma 3 2 3 4 3 2 4 2 2" xfId="30203" xr:uid="{9A3DEB94-DBF9-47FE-AFB3-84A84D30CC4E}"/>
    <cellStyle name="Comma 3 2 3 4 3 2 4 2 2 2" xfId="60443" xr:uid="{2EDAB43B-9C50-47ED-ADF5-B2FA7AEB1AC4}"/>
    <cellStyle name="Comma 3 2 3 4 3 2 4 2 3" xfId="45323" xr:uid="{A624FE13-F60C-4CC3-B138-EDA2DDD0B614}"/>
    <cellStyle name="Comma 3 2 3 4 3 2 4 3" xfId="21131" xr:uid="{13D18600-66AC-4FC6-B7AE-8E2B364120F7}"/>
    <cellStyle name="Comma 3 2 3 4 3 2 4 3 2" xfId="51371" xr:uid="{35EB15BB-8704-43DE-AD42-4F683F7A5630}"/>
    <cellStyle name="Comma 3 2 3 4 3 2 4 4" xfId="36251" xr:uid="{9EFD1429-15CD-4988-8427-4961584082EC}"/>
    <cellStyle name="Comma 3 2 3 4 3 2 5" xfId="7523" xr:uid="{55C28BB0-77E5-458E-9732-B87739A422C6}"/>
    <cellStyle name="Comma 3 2 3 4 3 2 5 2" xfId="22643" xr:uid="{00A4ED29-2E6C-4FD4-844D-03D7F04E9F83}"/>
    <cellStyle name="Comma 3 2 3 4 3 2 5 2 2" xfId="52883" xr:uid="{D0778481-9E3E-46F2-8B70-4529FE237718}"/>
    <cellStyle name="Comma 3 2 3 4 3 2 5 3" xfId="37763" xr:uid="{84185B9C-5439-4B0D-ABB4-722ABD08EED4}"/>
    <cellStyle name="Comma 3 2 3 4 3 2 6" xfId="9035" xr:uid="{1CE2E006-C30C-492F-9C2C-F9B03675B096}"/>
    <cellStyle name="Comma 3 2 3 4 3 2 6 2" xfId="24155" xr:uid="{3BF47A43-6534-4B9A-AE8C-5191E7972C2D}"/>
    <cellStyle name="Comma 3 2 3 4 3 2 6 2 2" xfId="54395" xr:uid="{52F40C30-C1DD-4281-BC8F-9C3BFEECF8CC}"/>
    <cellStyle name="Comma 3 2 3 4 3 2 6 3" xfId="39275" xr:uid="{E84C29AF-2D6E-4E39-9F00-75805BF1F62D}"/>
    <cellStyle name="Comma 3 2 3 4 3 2 7" xfId="10547" xr:uid="{F2B839D3-8D80-49CC-9A8D-E5888EBC73CC}"/>
    <cellStyle name="Comma 3 2 3 4 3 2 7 2" xfId="25667" xr:uid="{3E8A3E85-2C79-471B-800C-5FAE268ECD24}"/>
    <cellStyle name="Comma 3 2 3 4 3 2 7 2 2" xfId="55907" xr:uid="{948A5E18-CFDF-4251-B649-4CFC226E55B1}"/>
    <cellStyle name="Comma 3 2 3 4 3 2 7 3" xfId="40787" xr:uid="{6D8CA733-FF0F-41D9-9B10-EACAD6864D9E}"/>
    <cellStyle name="Comma 3 2 3 4 3 2 8" xfId="16595" xr:uid="{CD47D75C-5885-4744-A1CB-0CB7B0299BFC}"/>
    <cellStyle name="Comma 3 2 3 4 3 2 8 2" xfId="46835" xr:uid="{312F039D-4571-4839-8915-5577762F29CE}"/>
    <cellStyle name="Comma 3 2 3 4 3 2 9" xfId="31715" xr:uid="{31AE99DA-92C2-499D-9D58-96F641670A37}"/>
    <cellStyle name="Comma 3 2 3 4 3 3" xfId="2231" xr:uid="{802B874B-1348-464C-913C-72D3CCE7D59E}"/>
    <cellStyle name="Comma 3 2 3 4 3 3 2" xfId="11303" xr:uid="{E18779F5-BB67-4824-8020-030866183418}"/>
    <cellStyle name="Comma 3 2 3 4 3 3 2 2" xfId="26423" xr:uid="{19E68085-1F69-40A1-B5A7-3C8FBAEF620E}"/>
    <cellStyle name="Comma 3 2 3 4 3 3 2 2 2" xfId="56663" xr:uid="{3E4E5B8A-3323-4DBA-891B-8BA1CBE6EAC8}"/>
    <cellStyle name="Comma 3 2 3 4 3 3 2 3" xfId="41543" xr:uid="{988E4D59-C010-491E-9AC4-FFB4DD920683}"/>
    <cellStyle name="Comma 3 2 3 4 3 3 3" xfId="17351" xr:uid="{735B76B5-8288-4695-ADB9-3328AC79794E}"/>
    <cellStyle name="Comma 3 2 3 4 3 3 3 2" xfId="47591" xr:uid="{310421B1-3F54-437B-A177-B0D20F5010C0}"/>
    <cellStyle name="Comma 3 2 3 4 3 3 4" xfId="32471" xr:uid="{C75CC255-6D04-4C4A-9F52-05FFB352757A}"/>
    <cellStyle name="Comma 3 2 3 4 3 4" xfId="3743" xr:uid="{428BD381-A5EF-4295-A9E3-4A26AC0D051F}"/>
    <cellStyle name="Comma 3 2 3 4 3 4 2" xfId="12815" xr:uid="{D41EADDA-5B06-4F43-83E2-5E004B8163D4}"/>
    <cellStyle name="Comma 3 2 3 4 3 4 2 2" xfId="27935" xr:uid="{0455C766-A3F5-4158-B8D6-4A59C94E035A}"/>
    <cellStyle name="Comma 3 2 3 4 3 4 2 2 2" xfId="58175" xr:uid="{F14FB4FB-D02F-4F5E-B5F0-FC4A9808092D}"/>
    <cellStyle name="Comma 3 2 3 4 3 4 2 3" xfId="43055" xr:uid="{BF89CDC2-ED6D-442C-A6ED-0A8447A18DB8}"/>
    <cellStyle name="Comma 3 2 3 4 3 4 3" xfId="18863" xr:uid="{4ED02BD8-4CFC-40EA-A782-06986240F7BA}"/>
    <cellStyle name="Comma 3 2 3 4 3 4 3 2" xfId="49103" xr:uid="{84BC39A5-B04C-452E-8B61-A5478F87AF17}"/>
    <cellStyle name="Comma 3 2 3 4 3 4 4" xfId="33983" xr:uid="{BC79828F-4E50-479E-8B9F-DD565F0EB749}"/>
    <cellStyle name="Comma 3 2 3 4 3 5" xfId="5255" xr:uid="{1C1ED0FB-75E8-4AB3-96C8-6564C5E253DA}"/>
    <cellStyle name="Comma 3 2 3 4 3 5 2" xfId="14327" xr:uid="{75C49C00-A34A-48FF-94F2-88F2B54E435B}"/>
    <cellStyle name="Comma 3 2 3 4 3 5 2 2" xfId="29447" xr:uid="{5066969C-3D5B-4975-8028-BA4A5DACBF2E}"/>
    <cellStyle name="Comma 3 2 3 4 3 5 2 2 2" xfId="59687" xr:uid="{42AB2956-F70E-43F0-AB1D-FBDDB7285A9B}"/>
    <cellStyle name="Comma 3 2 3 4 3 5 2 3" xfId="44567" xr:uid="{85129FD7-83B1-4F40-AD50-D244F2AAF052}"/>
    <cellStyle name="Comma 3 2 3 4 3 5 3" xfId="20375" xr:uid="{7D75A2FD-2901-45FF-B20E-76AE4E0572AC}"/>
    <cellStyle name="Comma 3 2 3 4 3 5 3 2" xfId="50615" xr:uid="{6D8CA200-C21F-4C20-8FF8-92381106FE5C}"/>
    <cellStyle name="Comma 3 2 3 4 3 5 4" xfId="35495" xr:uid="{1BE98EB0-40D8-4D91-8B95-F46691D45393}"/>
    <cellStyle name="Comma 3 2 3 4 3 6" xfId="6767" xr:uid="{EAD87232-B77A-4224-B6F3-FE3F4645655B}"/>
    <cellStyle name="Comma 3 2 3 4 3 6 2" xfId="21887" xr:uid="{2D496784-C78B-4DE8-B256-BBB7F3C2B048}"/>
    <cellStyle name="Comma 3 2 3 4 3 6 2 2" xfId="52127" xr:uid="{8B4E8018-558E-4BF9-8C50-4F57C02B01E1}"/>
    <cellStyle name="Comma 3 2 3 4 3 6 3" xfId="37007" xr:uid="{A6E0F454-FD7F-40F9-8798-65AAD6D8A131}"/>
    <cellStyle name="Comma 3 2 3 4 3 7" xfId="8279" xr:uid="{560FAA31-E7BE-4DC2-8128-B5E9E0D87F0E}"/>
    <cellStyle name="Comma 3 2 3 4 3 7 2" xfId="23399" xr:uid="{4BC797A1-6641-4C00-B7C2-E8968B082C65}"/>
    <cellStyle name="Comma 3 2 3 4 3 7 2 2" xfId="53639" xr:uid="{C31A111F-7373-4DAC-AFE5-82D2FD7F02ED}"/>
    <cellStyle name="Comma 3 2 3 4 3 7 3" xfId="38519" xr:uid="{1660BBFD-4516-4F02-8951-1520A4FF13D6}"/>
    <cellStyle name="Comma 3 2 3 4 3 8" xfId="9791" xr:uid="{84A0B0EE-ED6F-47C4-8A8E-280C137EDD8D}"/>
    <cellStyle name="Comma 3 2 3 4 3 8 2" xfId="24911" xr:uid="{B66431CB-3779-4F3C-BD3E-C66D6EAF9490}"/>
    <cellStyle name="Comma 3 2 3 4 3 8 2 2" xfId="55151" xr:uid="{ADB4D840-FEC5-4232-976C-6ADF5B1780F7}"/>
    <cellStyle name="Comma 3 2 3 4 3 8 3" xfId="40031" xr:uid="{53087470-B48A-4095-99A0-41148F8EA7B2}"/>
    <cellStyle name="Comma 3 2 3 4 3 9" xfId="15839" xr:uid="{7707E442-4461-4CFE-BA58-E8390F9168F2}"/>
    <cellStyle name="Comma 3 2 3 4 3 9 2" xfId="46079" xr:uid="{6C0ACBAF-81D8-4876-8982-60D7A9683A8C}"/>
    <cellStyle name="Comma 3 2 3 4 4" xfId="971" xr:uid="{C5A6CEAB-89C6-49EB-80BB-ED8E7F897EFB}"/>
    <cellStyle name="Comma 3 2 3 4 4 2" xfId="2483" xr:uid="{23D319D4-AD25-4111-8AF7-0AF814320B37}"/>
    <cellStyle name="Comma 3 2 3 4 4 2 2" xfId="11555" xr:uid="{BE936E4D-4A6F-4360-9CC8-29E0971713FF}"/>
    <cellStyle name="Comma 3 2 3 4 4 2 2 2" xfId="26675" xr:uid="{97F097D1-9446-4BC5-995B-6D8C6331F6E0}"/>
    <cellStyle name="Comma 3 2 3 4 4 2 2 2 2" xfId="56915" xr:uid="{22A84F3C-4873-4509-A014-98D1B2ADCB8D}"/>
    <cellStyle name="Comma 3 2 3 4 4 2 2 3" xfId="41795" xr:uid="{065950D8-6901-451D-AA5A-12E615CA068D}"/>
    <cellStyle name="Comma 3 2 3 4 4 2 3" xfId="17603" xr:uid="{859563C2-7E53-4FA0-BD67-AD3AD841EF21}"/>
    <cellStyle name="Comma 3 2 3 4 4 2 3 2" xfId="47843" xr:uid="{B62ACB96-AE94-4F8D-8FDF-64BC28A61E04}"/>
    <cellStyle name="Comma 3 2 3 4 4 2 4" xfId="32723" xr:uid="{B5E904F7-8E9C-453E-ADE3-AECDD7198BE9}"/>
    <cellStyle name="Comma 3 2 3 4 4 3" xfId="3995" xr:uid="{4469499A-D9F6-489A-99DA-8D5D30FFCE8C}"/>
    <cellStyle name="Comma 3 2 3 4 4 3 2" xfId="13067" xr:uid="{9ACF8207-7C1F-4E3C-A5F7-A14EEA389CE3}"/>
    <cellStyle name="Comma 3 2 3 4 4 3 2 2" xfId="28187" xr:uid="{BD78FF7A-6423-423E-8DDA-5D6C318349ED}"/>
    <cellStyle name="Comma 3 2 3 4 4 3 2 2 2" xfId="58427" xr:uid="{2DE71A5A-63E4-42F7-8E7D-9E49F8883D82}"/>
    <cellStyle name="Comma 3 2 3 4 4 3 2 3" xfId="43307" xr:uid="{F020E321-43D6-46CB-8072-388798B1FE42}"/>
    <cellStyle name="Comma 3 2 3 4 4 3 3" xfId="19115" xr:uid="{464C968A-0AEB-44B9-AE25-74A63CA49BFE}"/>
    <cellStyle name="Comma 3 2 3 4 4 3 3 2" xfId="49355" xr:uid="{0646D396-9851-4D4A-AD31-EB44BFF96E2F}"/>
    <cellStyle name="Comma 3 2 3 4 4 3 4" xfId="34235" xr:uid="{E681511F-6719-4D7A-930A-A4F6038C90DF}"/>
    <cellStyle name="Comma 3 2 3 4 4 4" xfId="5507" xr:uid="{E3194A17-E96C-41E8-853F-B12CBA15A974}"/>
    <cellStyle name="Comma 3 2 3 4 4 4 2" xfId="14579" xr:uid="{FABF24F5-61CD-4BA0-9074-45CDEDD28E19}"/>
    <cellStyle name="Comma 3 2 3 4 4 4 2 2" xfId="29699" xr:uid="{D8CC973A-B0D5-4F59-A6C4-88E91F2819D1}"/>
    <cellStyle name="Comma 3 2 3 4 4 4 2 2 2" xfId="59939" xr:uid="{72EB1D7C-9043-41F7-930C-FEBF3D7095DD}"/>
    <cellStyle name="Comma 3 2 3 4 4 4 2 3" xfId="44819" xr:uid="{75B93901-20BA-46E0-96F1-A7769B4428E1}"/>
    <cellStyle name="Comma 3 2 3 4 4 4 3" xfId="20627" xr:uid="{2059B7DC-F7F6-4744-9C7D-46235D9CA9AF}"/>
    <cellStyle name="Comma 3 2 3 4 4 4 3 2" xfId="50867" xr:uid="{EB829B8B-BBE8-476D-B2B8-42B66D425FE7}"/>
    <cellStyle name="Comma 3 2 3 4 4 4 4" xfId="35747" xr:uid="{153FCBE8-B292-44DD-88CF-01474C43AA55}"/>
    <cellStyle name="Comma 3 2 3 4 4 5" xfId="7019" xr:uid="{41C38E3E-D555-4E91-8B0F-20C003C98117}"/>
    <cellStyle name="Comma 3 2 3 4 4 5 2" xfId="22139" xr:uid="{2121F708-FDA7-4E12-8C8D-89E3ADEBB329}"/>
    <cellStyle name="Comma 3 2 3 4 4 5 2 2" xfId="52379" xr:uid="{FC3147EF-D7BE-4C0F-A711-B5C6188570B2}"/>
    <cellStyle name="Comma 3 2 3 4 4 5 3" xfId="37259" xr:uid="{4528940B-0586-489A-AE55-565168E7331E}"/>
    <cellStyle name="Comma 3 2 3 4 4 6" xfId="8531" xr:uid="{13DE2484-214D-4918-8C84-F7B57D2B076E}"/>
    <cellStyle name="Comma 3 2 3 4 4 6 2" xfId="23651" xr:uid="{F011B112-8159-444F-8EA4-271CFD642A8C}"/>
    <cellStyle name="Comma 3 2 3 4 4 6 2 2" xfId="53891" xr:uid="{B9DE056F-ECFF-4B31-B079-62EE25306A5D}"/>
    <cellStyle name="Comma 3 2 3 4 4 6 3" xfId="38771" xr:uid="{2A2A99D2-1FAE-4F09-A478-2694DFF88113}"/>
    <cellStyle name="Comma 3 2 3 4 4 7" xfId="10043" xr:uid="{49F585D0-160D-41E7-8720-360F911C0AF6}"/>
    <cellStyle name="Comma 3 2 3 4 4 7 2" xfId="25163" xr:uid="{FED5EEDF-D3B1-4C05-AC18-7C4A2BB47B8E}"/>
    <cellStyle name="Comma 3 2 3 4 4 7 2 2" xfId="55403" xr:uid="{FEEE4DAE-002F-4D9F-BC82-3C7EF0F20717}"/>
    <cellStyle name="Comma 3 2 3 4 4 7 3" xfId="40283" xr:uid="{DB20A3A9-1867-459E-8B3C-1D397F252D7F}"/>
    <cellStyle name="Comma 3 2 3 4 4 8" xfId="16091" xr:uid="{8A2F9DFB-413F-424A-AF18-24F165A828D4}"/>
    <cellStyle name="Comma 3 2 3 4 4 8 2" xfId="46331" xr:uid="{EA11F7D9-2890-4E20-ADA7-781185588368}"/>
    <cellStyle name="Comma 3 2 3 4 4 9" xfId="31211" xr:uid="{963919FD-C10C-4E8A-A5C4-5479A15EF99D}"/>
    <cellStyle name="Comma 3 2 3 4 5" xfId="1727" xr:uid="{3AE916B1-E10D-4920-AFEB-EEE83DE5C82D}"/>
    <cellStyle name="Comma 3 2 3 4 5 2" xfId="10799" xr:uid="{744E0C35-EB49-4978-BA85-1E57CFA66035}"/>
    <cellStyle name="Comma 3 2 3 4 5 2 2" xfId="25919" xr:uid="{7248409E-D3A2-4999-A6CD-9138B0D9B1FB}"/>
    <cellStyle name="Comma 3 2 3 4 5 2 2 2" xfId="56159" xr:uid="{A1D813A2-3C54-4830-9CC5-F708F7029EC4}"/>
    <cellStyle name="Comma 3 2 3 4 5 2 3" xfId="41039" xr:uid="{F228B0F1-0910-48AC-A022-E6B178B4D33E}"/>
    <cellStyle name="Comma 3 2 3 4 5 3" xfId="16847" xr:uid="{E3CDC257-5A63-484C-84AD-61830BBDC49C}"/>
    <cellStyle name="Comma 3 2 3 4 5 3 2" xfId="47087" xr:uid="{4D3FB4AF-43FD-4AB0-9DE4-C82AA87E17D8}"/>
    <cellStyle name="Comma 3 2 3 4 5 4" xfId="31967" xr:uid="{6D217D2A-667B-46E5-A82F-F859BDDE4F26}"/>
    <cellStyle name="Comma 3 2 3 4 6" xfId="3239" xr:uid="{DB30DF45-BD17-41C0-8D3C-DC7181062AFE}"/>
    <cellStyle name="Comma 3 2 3 4 6 2" xfId="12311" xr:uid="{357610D2-2213-49EC-A526-9F9928D1F515}"/>
    <cellStyle name="Comma 3 2 3 4 6 2 2" xfId="27431" xr:uid="{2AEEDF62-2D3D-4C6C-A8A7-1CB0E7BD203F}"/>
    <cellStyle name="Comma 3 2 3 4 6 2 2 2" xfId="57671" xr:uid="{2D9F2D3C-CBB7-49CD-802F-78BCF3266A36}"/>
    <cellStyle name="Comma 3 2 3 4 6 2 3" xfId="42551" xr:uid="{58FDF732-765C-4AA8-95A2-0C18E1413BEB}"/>
    <cellStyle name="Comma 3 2 3 4 6 3" xfId="18359" xr:uid="{C18101DA-5D8C-4E84-B1DB-DFB24818A7C4}"/>
    <cellStyle name="Comma 3 2 3 4 6 3 2" xfId="48599" xr:uid="{9F851BB3-7DA1-4446-B212-74848D6E3202}"/>
    <cellStyle name="Comma 3 2 3 4 6 4" xfId="33479" xr:uid="{4BC1FDF0-7882-4CD6-BF4A-00A7B9B61389}"/>
    <cellStyle name="Comma 3 2 3 4 7" xfId="4751" xr:uid="{A1021F21-F3C6-4F58-92CD-39FF0BB056B4}"/>
    <cellStyle name="Comma 3 2 3 4 7 2" xfId="13823" xr:uid="{D33E0283-2F01-4807-93E2-D86E50C5161B}"/>
    <cellStyle name="Comma 3 2 3 4 7 2 2" xfId="28943" xr:uid="{BFF254F3-0623-4835-9E5A-0E1E2C7855E5}"/>
    <cellStyle name="Comma 3 2 3 4 7 2 2 2" xfId="59183" xr:uid="{95AA4030-3642-4AA8-9690-97779D315C4F}"/>
    <cellStyle name="Comma 3 2 3 4 7 2 3" xfId="44063" xr:uid="{A7C936CE-157F-4ECC-A7F2-CC8535A4DB18}"/>
    <cellStyle name="Comma 3 2 3 4 7 3" xfId="19871" xr:uid="{D82E961C-72A5-4C2B-8D11-7B3A27287B0E}"/>
    <cellStyle name="Comma 3 2 3 4 7 3 2" xfId="50111" xr:uid="{D4053C20-1D98-4E72-AE73-1133B00AF498}"/>
    <cellStyle name="Comma 3 2 3 4 7 4" xfId="34991" xr:uid="{6B078CC2-0536-4E58-9361-EED46DFE74E8}"/>
    <cellStyle name="Comma 3 2 3 4 8" xfId="6263" xr:uid="{D1407EB8-4947-4ADE-B730-3017635CF074}"/>
    <cellStyle name="Comma 3 2 3 4 8 2" xfId="21383" xr:uid="{0CA6C752-21E1-4C41-A875-9C0D5F3FF02A}"/>
    <cellStyle name="Comma 3 2 3 4 8 2 2" xfId="51623" xr:uid="{5C6C9230-39D9-4683-93C6-B1FE46D278F6}"/>
    <cellStyle name="Comma 3 2 3 4 8 3" xfId="36503" xr:uid="{6A6510A1-3198-447F-8323-1B09E1B8AA89}"/>
    <cellStyle name="Comma 3 2 3 4 9" xfId="7775" xr:uid="{0B3CFBC5-7A3B-45CF-9094-40AAF892EDD5}"/>
    <cellStyle name="Comma 3 2 3 4 9 2" xfId="22895" xr:uid="{EE3E84C2-9087-4270-8C82-E0D6CFC67282}"/>
    <cellStyle name="Comma 3 2 3 4 9 2 2" xfId="53135" xr:uid="{F893D1A6-B33D-436C-A7B6-51BCCF34540B}"/>
    <cellStyle name="Comma 3 2 3 4 9 3" xfId="38015" xr:uid="{0A0DA35B-4116-435F-9012-7C51C5613172}"/>
    <cellStyle name="Comma 3 2 3 5" xfId="299" xr:uid="{E433045E-4CBA-4302-9C2C-38FF4CA81B75}"/>
    <cellStyle name="Comma 3 2 3 5 10" xfId="30539" xr:uid="{AC0CBED3-F72B-4F68-897E-4CD2BB9F2CA6}"/>
    <cellStyle name="Comma 3 2 3 5 2" xfId="1055" xr:uid="{6C22F19D-035F-4C18-A4C4-35F6E24F09CC}"/>
    <cellStyle name="Comma 3 2 3 5 2 2" xfId="2567" xr:uid="{F3DC4748-F25F-4916-A74C-3436CDEC913D}"/>
    <cellStyle name="Comma 3 2 3 5 2 2 2" xfId="11639" xr:uid="{4FA46E2F-F667-4597-8349-C97D4460060B}"/>
    <cellStyle name="Comma 3 2 3 5 2 2 2 2" xfId="26759" xr:uid="{3AA87D19-4DEA-4BF3-8A6D-6503D5382168}"/>
    <cellStyle name="Comma 3 2 3 5 2 2 2 2 2" xfId="56999" xr:uid="{D13198D2-EB3C-4630-9357-DCAF2D2C5892}"/>
    <cellStyle name="Comma 3 2 3 5 2 2 2 3" xfId="41879" xr:uid="{608A3D91-E119-42A6-B58F-E82EE8301A00}"/>
    <cellStyle name="Comma 3 2 3 5 2 2 3" xfId="17687" xr:uid="{1FAE2071-128A-4F21-B7BE-FE7C2565656A}"/>
    <cellStyle name="Comma 3 2 3 5 2 2 3 2" xfId="47927" xr:uid="{22FADDC2-7504-49A9-9A20-9E5ED06E582C}"/>
    <cellStyle name="Comma 3 2 3 5 2 2 4" xfId="32807" xr:uid="{6E9C47C4-8F8A-47E1-BAF0-20D5A744CA4F}"/>
    <cellStyle name="Comma 3 2 3 5 2 3" xfId="4079" xr:uid="{FB80D2B7-6CB6-41D9-ABA4-4DA2ED143034}"/>
    <cellStyle name="Comma 3 2 3 5 2 3 2" xfId="13151" xr:uid="{F224823B-97D2-4250-8BEE-68B14C8D8469}"/>
    <cellStyle name="Comma 3 2 3 5 2 3 2 2" xfId="28271" xr:uid="{036BCC37-F41C-412B-B21E-7745DAAD6FBD}"/>
    <cellStyle name="Comma 3 2 3 5 2 3 2 2 2" xfId="58511" xr:uid="{52719982-D44F-4326-A1C3-65A373CE55E7}"/>
    <cellStyle name="Comma 3 2 3 5 2 3 2 3" xfId="43391" xr:uid="{6CD56AA5-8071-4CF8-8619-62C0B1BC9F2F}"/>
    <cellStyle name="Comma 3 2 3 5 2 3 3" xfId="19199" xr:uid="{C1AF38D5-210B-49CB-97D8-0B099E066A15}"/>
    <cellStyle name="Comma 3 2 3 5 2 3 3 2" xfId="49439" xr:uid="{DDD4B32C-34E1-44C4-B880-F7F9220C7C69}"/>
    <cellStyle name="Comma 3 2 3 5 2 3 4" xfId="34319" xr:uid="{D3717F87-8D15-4CC2-9E91-D779739B7F9C}"/>
    <cellStyle name="Comma 3 2 3 5 2 4" xfId="5591" xr:uid="{29A0C8D8-AEC9-4869-8436-8F0F9822BCA0}"/>
    <cellStyle name="Comma 3 2 3 5 2 4 2" xfId="14663" xr:uid="{336721AF-6081-45AE-9A13-B245520E42B3}"/>
    <cellStyle name="Comma 3 2 3 5 2 4 2 2" xfId="29783" xr:uid="{D54C0AAF-C136-4DCC-921D-31ECB8826B16}"/>
    <cellStyle name="Comma 3 2 3 5 2 4 2 2 2" xfId="60023" xr:uid="{3DCCD948-9A57-4610-82F9-387ECE69B8F3}"/>
    <cellStyle name="Comma 3 2 3 5 2 4 2 3" xfId="44903" xr:uid="{C958C31A-F38C-487E-97AB-8FAACCE862CB}"/>
    <cellStyle name="Comma 3 2 3 5 2 4 3" xfId="20711" xr:uid="{7AC6550F-247D-4CF7-96E1-51E6904143D0}"/>
    <cellStyle name="Comma 3 2 3 5 2 4 3 2" xfId="50951" xr:uid="{6A486398-7482-4D1A-B240-65D591777B34}"/>
    <cellStyle name="Comma 3 2 3 5 2 4 4" xfId="35831" xr:uid="{2F12B792-1A8F-4556-AE23-E283C47926AA}"/>
    <cellStyle name="Comma 3 2 3 5 2 5" xfId="7103" xr:uid="{9BCA78E2-0614-4185-98EF-A21050DD9F8F}"/>
    <cellStyle name="Comma 3 2 3 5 2 5 2" xfId="22223" xr:uid="{D5BAEC6B-8906-4F96-975F-7449A40BDED5}"/>
    <cellStyle name="Comma 3 2 3 5 2 5 2 2" xfId="52463" xr:uid="{B18E72ED-B6EB-45FB-AC6C-7B249F64AE0C}"/>
    <cellStyle name="Comma 3 2 3 5 2 5 3" xfId="37343" xr:uid="{890A67B2-4CF1-4A65-A77A-AE815F08F336}"/>
    <cellStyle name="Comma 3 2 3 5 2 6" xfId="8615" xr:uid="{1AC6C611-FC10-496A-83F2-7EC7E5366F4B}"/>
    <cellStyle name="Comma 3 2 3 5 2 6 2" xfId="23735" xr:uid="{9300E119-3689-4F6C-B69B-755D12DC009C}"/>
    <cellStyle name="Comma 3 2 3 5 2 6 2 2" xfId="53975" xr:uid="{52DA1554-09C3-4AD4-8EBF-DCC75ED2588C}"/>
    <cellStyle name="Comma 3 2 3 5 2 6 3" xfId="38855" xr:uid="{30C29379-E981-46EF-90BF-1D78AAAEB130}"/>
    <cellStyle name="Comma 3 2 3 5 2 7" xfId="10127" xr:uid="{ADFA5137-13B1-4979-AB1F-3406A579C1F4}"/>
    <cellStyle name="Comma 3 2 3 5 2 7 2" xfId="25247" xr:uid="{F5C872AC-5C64-46F9-B800-D1F3728106F0}"/>
    <cellStyle name="Comma 3 2 3 5 2 7 2 2" xfId="55487" xr:uid="{B01779E1-4FDE-4045-A103-AB452D4C18AC}"/>
    <cellStyle name="Comma 3 2 3 5 2 7 3" xfId="40367" xr:uid="{A3D1AF9F-DEC1-461A-88C1-5C9FFB7B6D96}"/>
    <cellStyle name="Comma 3 2 3 5 2 8" xfId="16175" xr:uid="{F84FEFC6-5B4B-4287-BAD5-8A9A7F26326B}"/>
    <cellStyle name="Comma 3 2 3 5 2 8 2" xfId="46415" xr:uid="{696CDEB9-690D-49B7-8DA0-E5C58758F43C}"/>
    <cellStyle name="Comma 3 2 3 5 2 9" xfId="31295" xr:uid="{2E3DF0A1-405C-4297-9BAE-5EE1236E3CB7}"/>
    <cellStyle name="Comma 3 2 3 5 3" xfId="1811" xr:uid="{D9B18FD9-BE43-4D03-9CE4-73459BE43158}"/>
    <cellStyle name="Comma 3 2 3 5 3 2" xfId="10883" xr:uid="{B36EC523-82F8-464D-B261-A9D49E44F2A8}"/>
    <cellStyle name="Comma 3 2 3 5 3 2 2" xfId="26003" xr:uid="{56E9FA50-D500-4808-8EF7-F180DEF36CD3}"/>
    <cellStyle name="Comma 3 2 3 5 3 2 2 2" xfId="56243" xr:uid="{2E0FA459-A11D-4132-8863-0986E147C401}"/>
    <cellStyle name="Comma 3 2 3 5 3 2 3" xfId="41123" xr:uid="{3D06F43C-45BF-4028-B500-5A0D141A1858}"/>
    <cellStyle name="Comma 3 2 3 5 3 3" xfId="16931" xr:uid="{2F7FCC9C-335C-4394-86E2-76F6904D0C43}"/>
    <cellStyle name="Comma 3 2 3 5 3 3 2" xfId="47171" xr:uid="{E215B61E-BA79-4F5D-9A50-2BE384FC1711}"/>
    <cellStyle name="Comma 3 2 3 5 3 4" xfId="32051" xr:uid="{43666421-9229-4B0A-85F5-0999FFC521CF}"/>
    <cellStyle name="Comma 3 2 3 5 4" xfId="3323" xr:uid="{0D5D7884-1C41-40E2-8FCC-28418534887D}"/>
    <cellStyle name="Comma 3 2 3 5 4 2" xfId="12395" xr:uid="{37449549-AE95-4A3B-A07B-4FBF75AB1E9F}"/>
    <cellStyle name="Comma 3 2 3 5 4 2 2" xfId="27515" xr:uid="{FA3D86C6-08A5-449D-984C-A604BC80C6B1}"/>
    <cellStyle name="Comma 3 2 3 5 4 2 2 2" xfId="57755" xr:uid="{111F2A16-CCFE-40DA-8C62-6F22EB01BD36}"/>
    <cellStyle name="Comma 3 2 3 5 4 2 3" xfId="42635" xr:uid="{5FDFEF28-1CEB-4A72-A6BD-95DD1FEA255B}"/>
    <cellStyle name="Comma 3 2 3 5 4 3" xfId="18443" xr:uid="{DAAC5820-9136-4EC3-8201-F9F473CEFAF1}"/>
    <cellStyle name="Comma 3 2 3 5 4 3 2" xfId="48683" xr:uid="{DF6BB40D-5497-4761-A334-185472770086}"/>
    <cellStyle name="Comma 3 2 3 5 4 4" xfId="33563" xr:uid="{050D8199-6BE0-4C92-AD28-C214BE79C0DC}"/>
    <cellStyle name="Comma 3 2 3 5 5" xfId="4835" xr:uid="{D0F4E460-6C0F-45BD-A4C0-3EC8E486BB86}"/>
    <cellStyle name="Comma 3 2 3 5 5 2" xfId="13907" xr:uid="{DF382025-5032-42FF-B543-DCFB7E927799}"/>
    <cellStyle name="Comma 3 2 3 5 5 2 2" xfId="29027" xr:uid="{C6678820-9B26-4947-AEF4-DE28071E49B7}"/>
    <cellStyle name="Comma 3 2 3 5 5 2 2 2" xfId="59267" xr:uid="{D1E7228E-6CCF-4D77-98A9-3A73B18A8BD9}"/>
    <cellStyle name="Comma 3 2 3 5 5 2 3" xfId="44147" xr:uid="{098986B4-B3A5-437A-B305-E9F28B799CB2}"/>
    <cellStyle name="Comma 3 2 3 5 5 3" xfId="19955" xr:uid="{B8655CB5-60C1-4057-91E4-6C68E7A6A430}"/>
    <cellStyle name="Comma 3 2 3 5 5 3 2" xfId="50195" xr:uid="{6ACE94ED-11D4-4135-9293-4E67CF610ECD}"/>
    <cellStyle name="Comma 3 2 3 5 5 4" xfId="35075" xr:uid="{A54E23A6-D230-4322-B59F-7D55B1E2488B}"/>
    <cellStyle name="Comma 3 2 3 5 6" xfId="6347" xr:uid="{81657360-DCAB-4DFA-B4AD-0E7383E5BF82}"/>
    <cellStyle name="Comma 3 2 3 5 6 2" xfId="21467" xr:uid="{D095FC97-CEB1-4AFC-92F2-592C88D86EFB}"/>
    <cellStyle name="Comma 3 2 3 5 6 2 2" xfId="51707" xr:uid="{748B17BC-E242-417C-892A-9B40472A7AE6}"/>
    <cellStyle name="Comma 3 2 3 5 6 3" xfId="36587" xr:uid="{956305F8-A463-4F2F-82BF-FE8B239ED89F}"/>
    <cellStyle name="Comma 3 2 3 5 7" xfId="7859" xr:uid="{5434C902-4993-477B-ABAB-D90F2072FC35}"/>
    <cellStyle name="Comma 3 2 3 5 7 2" xfId="22979" xr:uid="{2811F75B-2290-49CE-9118-FA0ABE99548F}"/>
    <cellStyle name="Comma 3 2 3 5 7 2 2" xfId="53219" xr:uid="{3E034A2F-E391-4B9F-A53F-2570E7D21F28}"/>
    <cellStyle name="Comma 3 2 3 5 7 3" xfId="38099" xr:uid="{41456AC7-C2EE-4A32-9532-B582136B8ACF}"/>
    <cellStyle name="Comma 3 2 3 5 8" xfId="9371" xr:uid="{716324EC-C3F1-442B-BC3B-340679A2616F}"/>
    <cellStyle name="Comma 3 2 3 5 8 2" xfId="24491" xr:uid="{A28369A5-FE92-41D1-9500-8F3197075160}"/>
    <cellStyle name="Comma 3 2 3 5 8 2 2" xfId="54731" xr:uid="{0B9545DD-7F49-49EB-8E0E-47198D92381F}"/>
    <cellStyle name="Comma 3 2 3 5 8 3" xfId="39611" xr:uid="{16FBB47C-FE13-4414-945A-A5BA8420DD09}"/>
    <cellStyle name="Comma 3 2 3 5 9" xfId="15419" xr:uid="{5FD4A1DA-C8C2-472E-AE7A-1AAC7E7D766A}"/>
    <cellStyle name="Comma 3 2 3 5 9 2" xfId="45659" xr:uid="{507C2726-B9D6-485E-B383-6EEED0AA3D8C}"/>
    <cellStyle name="Comma 3 2 3 6" xfId="551" xr:uid="{BC7D3110-C94B-43F5-A3AB-2715E0EBEF29}"/>
    <cellStyle name="Comma 3 2 3 6 10" xfId="30791" xr:uid="{97649B38-E703-4F62-BFCD-546EBBBA6761}"/>
    <cellStyle name="Comma 3 2 3 6 2" xfId="1307" xr:uid="{ADA2F32D-575D-4AC7-B0C6-7CEEA2CA867A}"/>
    <cellStyle name="Comma 3 2 3 6 2 2" xfId="2819" xr:uid="{55039FB7-330D-4F42-8453-1AE5A5D7BC68}"/>
    <cellStyle name="Comma 3 2 3 6 2 2 2" xfId="11891" xr:uid="{F802965E-3E97-4412-B648-E33FB6680A06}"/>
    <cellStyle name="Comma 3 2 3 6 2 2 2 2" xfId="27011" xr:uid="{F45D3570-06A3-42CA-9776-1A5465E22886}"/>
    <cellStyle name="Comma 3 2 3 6 2 2 2 2 2" xfId="57251" xr:uid="{E2F840BD-77C8-401A-86F3-C43F20A2B6E0}"/>
    <cellStyle name="Comma 3 2 3 6 2 2 2 3" xfId="42131" xr:uid="{6EA670E4-138F-4ADD-BD9A-1BC78A2F8230}"/>
    <cellStyle name="Comma 3 2 3 6 2 2 3" xfId="17939" xr:uid="{B8BD5AEC-EB85-4BE5-8E64-7B5D1BEF8DB1}"/>
    <cellStyle name="Comma 3 2 3 6 2 2 3 2" xfId="48179" xr:uid="{BC8516B5-96C8-4E01-9C16-7A6B4FFC2E9F}"/>
    <cellStyle name="Comma 3 2 3 6 2 2 4" xfId="33059" xr:uid="{70CFEB7E-2C6E-45CD-A791-B7390C7E8682}"/>
    <cellStyle name="Comma 3 2 3 6 2 3" xfId="4331" xr:uid="{361AC625-A340-4965-9F0D-CD46771BBB02}"/>
    <cellStyle name="Comma 3 2 3 6 2 3 2" xfId="13403" xr:uid="{16B07612-E8CB-4629-95EB-C5A66D2E5873}"/>
    <cellStyle name="Comma 3 2 3 6 2 3 2 2" xfId="28523" xr:uid="{CB40B6E0-3362-468D-9E06-9260113644E9}"/>
    <cellStyle name="Comma 3 2 3 6 2 3 2 2 2" xfId="58763" xr:uid="{E7610A1B-67FD-4E7D-B5D7-5993D2793447}"/>
    <cellStyle name="Comma 3 2 3 6 2 3 2 3" xfId="43643" xr:uid="{001D9962-93FF-45AD-B169-52776C200196}"/>
    <cellStyle name="Comma 3 2 3 6 2 3 3" xfId="19451" xr:uid="{5935AF9A-DF90-42F4-B141-3A805D184AB4}"/>
    <cellStyle name="Comma 3 2 3 6 2 3 3 2" xfId="49691" xr:uid="{FA3798CD-1689-43DB-A32D-AA7625651429}"/>
    <cellStyle name="Comma 3 2 3 6 2 3 4" xfId="34571" xr:uid="{4D4293C9-689E-4CAA-8552-13EDD48691B0}"/>
    <cellStyle name="Comma 3 2 3 6 2 4" xfId="5843" xr:uid="{34689CCD-D0A6-482B-B2DF-01EF7EBC090D}"/>
    <cellStyle name="Comma 3 2 3 6 2 4 2" xfId="14915" xr:uid="{DB91BC92-16F6-48B0-BFDD-6E6AC8AE4A73}"/>
    <cellStyle name="Comma 3 2 3 6 2 4 2 2" xfId="30035" xr:uid="{83EBFD19-5C42-49E2-AFD6-37C5B394414A}"/>
    <cellStyle name="Comma 3 2 3 6 2 4 2 2 2" xfId="60275" xr:uid="{E63548A3-0018-48D2-BB69-EA63CD0823BB}"/>
    <cellStyle name="Comma 3 2 3 6 2 4 2 3" xfId="45155" xr:uid="{F8ECE8F3-57E5-414E-96BB-6BEC83F64291}"/>
    <cellStyle name="Comma 3 2 3 6 2 4 3" xfId="20963" xr:uid="{37FC971C-DE7E-47F9-A554-281A403CBF83}"/>
    <cellStyle name="Comma 3 2 3 6 2 4 3 2" xfId="51203" xr:uid="{334EAF00-5189-45AA-B13E-33564299E0F0}"/>
    <cellStyle name="Comma 3 2 3 6 2 4 4" xfId="36083" xr:uid="{EA1B665B-9BBE-43F2-B7CE-F4ECB9BDFA3E}"/>
    <cellStyle name="Comma 3 2 3 6 2 5" xfId="7355" xr:uid="{1B040139-7081-4C82-885D-53B23B067808}"/>
    <cellStyle name="Comma 3 2 3 6 2 5 2" xfId="22475" xr:uid="{898E4E11-7802-46E7-9759-8C550A7BE754}"/>
    <cellStyle name="Comma 3 2 3 6 2 5 2 2" xfId="52715" xr:uid="{D410659A-6638-40E6-B41A-7BCD204D9FD7}"/>
    <cellStyle name="Comma 3 2 3 6 2 5 3" xfId="37595" xr:uid="{931AD48F-743A-4A4E-A150-8D4099C5CE63}"/>
    <cellStyle name="Comma 3 2 3 6 2 6" xfId="8867" xr:uid="{7CA2B5A4-32AC-4885-94C1-B912FE040FEE}"/>
    <cellStyle name="Comma 3 2 3 6 2 6 2" xfId="23987" xr:uid="{D5FA7080-2A09-4046-B00D-B1630A6FBCF6}"/>
    <cellStyle name="Comma 3 2 3 6 2 6 2 2" xfId="54227" xr:uid="{46BF6C4B-14F8-4686-91B1-AEB9EDEC4B28}"/>
    <cellStyle name="Comma 3 2 3 6 2 6 3" xfId="39107" xr:uid="{03E0099F-CC5F-4794-9EB2-157A9E517D47}"/>
    <cellStyle name="Comma 3 2 3 6 2 7" xfId="10379" xr:uid="{46BD0C27-E84C-477E-9D0E-DECFADF48EEB}"/>
    <cellStyle name="Comma 3 2 3 6 2 7 2" xfId="25499" xr:uid="{E1D3499A-F05F-4C59-A01A-24F8E1DCE3CD}"/>
    <cellStyle name="Comma 3 2 3 6 2 7 2 2" xfId="55739" xr:uid="{93B7D301-4160-4DF6-AB43-6EB7B4234DAB}"/>
    <cellStyle name="Comma 3 2 3 6 2 7 3" xfId="40619" xr:uid="{814D8C48-0C89-4EF6-9AC6-D77D6BF7BF50}"/>
    <cellStyle name="Comma 3 2 3 6 2 8" xfId="16427" xr:uid="{8303A19A-C141-45CA-A250-4865091DF743}"/>
    <cellStyle name="Comma 3 2 3 6 2 8 2" xfId="46667" xr:uid="{B548F37B-16EE-46E7-A61C-04504420FA67}"/>
    <cellStyle name="Comma 3 2 3 6 2 9" xfId="31547" xr:uid="{898F9F6E-17C9-4EF5-A6B1-2A70360B103A}"/>
    <cellStyle name="Comma 3 2 3 6 3" xfId="2063" xr:uid="{958332DB-964C-4A85-AC44-A611D7E2B478}"/>
    <cellStyle name="Comma 3 2 3 6 3 2" xfId="11135" xr:uid="{13AFAAB7-B72C-45D2-BBE0-75B40F73CE24}"/>
    <cellStyle name="Comma 3 2 3 6 3 2 2" xfId="26255" xr:uid="{46733889-A9A5-469F-913C-1B48EDF3F522}"/>
    <cellStyle name="Comma 3 2 3 6 3 2 2 2" xfId="56495" xr:uid="{EF6F89F8-3A5C-457D-BCC9-884299B80A15}"/>
    <cellStyle name="Comma 3 2 3 6 3 2 3" xfId="41375" xr:uid="{10EC601C-8FE2-4A91-898E-A93FBE107FFC}"/>
    <cellStyle name="Comma 3 2 3 6 3 3" xfId="17183" xr:uid="{343619E3-D03A-4416-A80F-110BDBAD576E}"/>
    <cellStyle name="Comma 3 2 3 6 3 3 2" xfId="47423" xr:uid="{F0371721-77EC-480B-991B-4E87442246CA}"/>
    <cellStyle name="Comma 3 2 3 6 3 4" xfId="32303" xr:uid="{CF8F1C6B-5AF2-47ED-8A5C-054C19346176}"/>
    <cellStyle name="Comma 3 2 3 6 4" xfId="3575" xr:uid="{2A2B1180-3A65-428E-B0BD-C440342EE4B1}"/>
    <cellStyle name="Comma 3 2 3 6 4 2" xfId="12647" xr:uid="{55831397-E4B7-4C98-AA52-62F0B281B8B2}"/>
    <cellStyle name="Comma 3 2 3 6 4 2 2" xfId="27767" xr:uid="{9568B2F6-612E-4EA8-8CFD-FC7C4D2626DF}"/>
    <cellStyle name="Comma 3 2 3 6 4 2 2 2" xfId="58007" xr:uid="{BE67DDC1-59AE-4A62-AD4B-6827A8543967}"/>
    <cellStyle name="Comma 3 2 3 6 4 2 3" xfId="42887" xr:uid="{63BCF93E-4340-4372-B35E-0925A1E991DB}"/>
    <cellStyle name="Comma 3 2 3 6 4 3" xfId="18695" xr:uid="{590C649B-DAC5-4FBE-9CF4-DCF5F6BB9AFA}"/>
    <cellStyle name="Comma 3 2 3 6 4 3 2" xfId="48935" xr:uid="{79FBA813-89C3-4036-A78E-79714482E571}"/>
    <cellStyle name="Comma 3 2 3 6 4 4" xfId="33815" xr:uid="{BD99D1D0-8F37-4DF3-A56E-C64B8ED35968}"/>
    <cellStyle name="Comma 3 2 3 6 5" xfId="5087" xr:uid="{819120E1-2A78-4AF7-9269-58457B5FBB45}"/>
    <cellStyle name="Comma 3 2 3 6 5 2" xfId="14159" xr:uid="{CDB9A861-D0AC-498A-BAFD-B85682D63DC2}"/>
    <cellStyle name="Comma 3 2 3 6 5 2 2" xfId="29279" xr:uid="{3CCC5C72-C890-4BA3-8057-9D38998C3EF2}"/>
    <cellStyle name="Comma 3 2 3 6 5 2 2 2" xfId="59519" xr:uid="{B95A80DB-23CA-447F-9EAA-64EAC92BD0EA}"/>
    <cellStyle name="Comma 3 2 3 6 5 2 3" xfId="44399" xr:uid="{073BBCA2-4DE1-429E-A8B4-11376BF8EE23}"/>
    <cellStyle name="Comma 3 2 3 6 5 3" xfId="20207" xr:uid="{AFEB88CE-4187-4703-B142-7A3F4B91EB0F}"/>
    <cellStyle name="Comma 3 2 3 6 5 3 2" xfId="50447" xr:uid="{2E722978-3AD1-419A-A5DD-6EF4DD985B43}"/>
    <cellStyle name="Comma 3 2 3 6 5 4" xfId="35327" xr:uid="{7FAF75DC-9E91-4BB5-8625-AF7929AAF2BE}"/>
    <cellStyle name="Comma 3 2 3 6 6" xfId="6599" xr:uid="{42E66E11-0E35-41CF-87FE-51CFA907FFD5}"/>
    <cellStyle name="Comma 3 2 3 6 6 2" xfId="21719" xr:uid="{8B2FF913-9A46-4985-9EF4-75506FF9411F}"/>
    <cellStyle name="Comma 3 2 3 6 6 2 2" xfId="51959" xr:uid="{3B03E952-F683-42CE-851F-7B4EA20FAA6F}"/>
    <cellStyle name="Comma 3 2 3 6 6 3" xfId="36839" xr:uid="{E682FB7C-7808-4E90-B56B-C074BEE34B0A}"/>
    <cellStyle name="Comma 3 2 3 6 7" xfId="8111" xr:uid="{77FA5311-C658-49E3-BA47-F32DE6AFBC35}"/>
    <cellStyle name="Comma 3 2 3 6 7 2" xfId="23231" xr:uid="{D215D265-DC2D-4A7F-9A1E-F08B3495A517}"/>
    <cellStyle name="Comma 3 2 3 6 7 2 2" xfId="53471" xr:uid="{EB3B19D5-8B2F-4ABA-AD5F-DB678469B31A}"/>
    <cellStyle name="Comma 3 2 3 6 7 3" xfId="38351" xr:uid="{ECFE94BF-6E78-4EBA-AFF3-6F1B0D4D808C}"/>
    <cellStyle name="Comma 3 2 3 6 8" xfId="9623" xr:uid="{59E03DE9-276A-418C-98B6-D7ABF0C79736}"/>
    <cellStyle name="Comma 3 2 3 6 8 2" xfId="24743" xr:uid="{0E230A0B-E833-435E-BDFC-AEB2138D9B30}"/>
    <cellStyle name="Comma 3 2 3 6 8 2 2" xfId="54983" xr:uid="{1ECF1D80-BBF3-49BC-8D92-1474CC25A8F6}"/>
    <cellStyle name="Comma 3 2 3 6 8 3" xfId="39863" xr:uid="{4A872DA9-4AC1-4268-AED0-D427E8759FEA}"/>
    <cellStyle name="Comma 3 2 3 6 9" xfId="15671" xr:uid="{19FF1E31-6327-49AE-B82E-B0F90C583BBE}"/>
    <cellStyle name="Comma 3 2 3 6 9 2" xfId="45911" xr:uid="{C2C2CBCB-ABBF-4BF0-B024-21A290E6256C}"/>
    <cellStyle name="Comma 3 2 3 7" xfId="803" xr:uid="{AC73F177-9A4C-4E2B-8FD7-660FA831AC50}"/>
    <cellStyle name="Comma 3 2 3 7 2" xfId="2315" xr:uid="{3ED5DAFF-AE3B-4F2D-9E64-A951B4438636}"/>
    <cellStyle name="Comma 3 2 3 7 2 2" xfId="11387" xr:uid="{09379064-24C5-4E7E-AD03-507B57F7262F}"/>
    <cellStyle name="Comma 3 2 3 7 2 2 2" xfId="26507" xr:uid="{6520B60F-9546-4CB9-9C19-A63DDF2DFBE7}"/>
    <cellStyle name="Comma 3 2 3 7 2 2 2 2" xfId="56747" xr:uid="{30556362-61DE-49CF-958C-7B44D8264FFC}"/>
    <cellStyle name="Comma 3 2 3 7 2 2 3" xfId="41627" xr:uid="{20CAD1FA-D70E-4341-A5D9-5E774606C36B}"/>
    <cellStyle name="Comma 3 2 3 7 2 3" xfId="17435" xr:uid="{23D2C793-BD4A-4991-B6C6-117D57E55F9D}"/>
    <cellStyle name="Comma 3 2 3 7 2 3 2" xfId="47675" xr:uid="{2C80B1C0-2A72-47A2-8787-D75F500D8933}"/>
    <cellStyle name="Comma 3 2 3 7 2 4" xfId="32555" xr:uid="{33B4F41A-8474-41F4-9B96-DE296115549C}"/>
    <cellStyle name="Comma 3 2 3 7 3" xfId="3827" xr:uid="{B53E2DD2-2188-45B4-8980-F2C5C3BFB1FB}"/>
    <cellStyle name="Comma 3 2 3 7 3 2" xfId="12899" xr:uid="{8BD8EEBC-75B8-4040-BBB3-1ED29786B180}"/>
    <cellStyle name="Comma 3 2 3 7 3 2 2" xfId="28019" xr:uid="{FA6DF537-A7EC-4979-BA57-08CF3D9F66E4}"/>
    <cellStyle name="Comma 3 2 3 7 3 2 2 2" xfId="58259" xr:uid="{1BAE5575-FC10-487B-AA8C-59ECEEFADF8D}"/>
    <cellStyle name="Comma 3 2 3 7 3 2 3" xfId="43139" xr:uid="{4D9236DF-4D5E-4849-8B41-D282E24D90C9}"/>
    <cellStyle name="Comma 3 2 3 7 3 3" xfId="18947" xr:uid="{A043B967-BCA6-4CF5-90FC-4D205604CEDC}"/>
    <cellStyle name="Comma 3 2 3 7 3 3 2" xfId="49187" xr:uid="{478DF556-7D70-42CA-9257-284774646E05}"/>
    <cellStyle name="Comma 3 2 3 7 3 4" xfId="34067" xr:uid="{1F129DA3-6687-403C-A9B3-FC9B4FB7372D}"/>
    <cellStyle name="Comma 3 2 3 7 4" xfId="5339" xr:uid="{51B475DC-C8C6-44C2-9C1C-E3B1F7A1081C}"/>
    <cellStyle name="Comma 3 2 3 7 4 2" xfId="14411" xr:uid="{10B9495C-56D2-461C-9AA8-2452861C3E36}"/>
    <cellStyle name="Comma 3 2 3 7 4 2 2" xfId="29531" xr:uid="{D3A42BEE-FA30-4CC9-BF6A-7B808F7CCC02}"/>
    <cellStyle name="Comma 3 2 3 7 4 2 2 2" xfId="59771" xr:uid="{B3FC60AC-B6C9-41CF-9312-844CB44A45EC}"/>
    <cellStyle name="Comma 3 2 3 7 4 2 3" xfId="44651" xr:uid="{6BBA0181-5A85-48FB-AA0A-0F5C285DB07A}"/>
    <cellStyle name="Comma 3 2 3 7 4 3" xfId="20459" xr:uid="{A6BA03F4-78F1-4F78-853B-15B06AB51624}"/>
    <cellStyle name="Comma 3 2 3 7 4 3 2" xfId="50699" xr:uid="{BE9A6EC0-2734-4ED7-9CFA-920B00AF84F4}"/>
    <cellStyle name="Comma 3 2 3 7 4 4" xfId="35579" xr:uid="{587B04CD-4857-4DD2-9E53-E1BA631C39D3}"/>
    <cellStyle name="Comma 3 2 3 7 5" xfId="6851" xr:uid="{00BD48CE-845A-4383-BE63-EDE4C5921576}"/>
    <cellStyle name="Comma 3 2 3 7 5 2" xfId="21971" xr:uid="{0C10ADFF-DF5D-4813-A73A-6C863F5FEEA6}"/>
    <cellStyle name="Comma 3 2 3 7 5 2 2" xfId="52211" xr:uid="{D54D37AF-3E18-453A-AF4E-283569AD8A12}"/>
    <cellStyle name="Comma 3 2 3 7 5 3" xfId="37091" xr:uid="{A13C82BB-F140-47BF-BDEE-1CA50654B1AD}"/>
    <cellStyle name="Comma 3 2 3 7 6" xfId="8363" xr:uid="{9ACBD317-13DC-454F-9F91-B3E6EC69880A}"/>
    <cellStyle name="Comma 3 2 3 7 6 2" xfId="23483" xr:uid="{27C35B9E-8E51-4339-9B32-9F8F89EE10BE}"/>
    <cellStyle name="Comma 3 2 3 7 6 2 2" xfId="53723" xr:uid="{78423B01-2B7D-4D1E-B9CC-9EE3BB5D8026}"/>
    <cellStyle name="Comma 3 2 3 7 6 3" xfId="38603" xr:uid="{7AE22C44-9E83-4EE9-A66E-A47185E2E0F3}"/>
    <cellStyle name="Comma 3 2 3 7 7" xfId="9875" xr:uid="{F5FBE7D4-7D1E-43CB-84F2-17CE2952CAFB}"/>
    <cellStyle name="Comma 3 2 3 7 7 2" xfId="24995" xr:uid="{515F0AF3-AA8E-4AAC-BC0C-5D14F3373B0B}"/>
    <cellStyle name="Comma 3 2 3 7 7 2 2" xfId="55235" xr:uid="{80AF3E99-7E81-426C-948E-B1C3279CDFB2}"/>
    <cellStyle name="Comma 3 2 3 7 7 3" xfId="40115" xr:uid="{0C1B697E-4542-4B82-AFE9-F33FF9755B3A}"/>
    <cellStyle name="Comma 3 2 3 7 8" xfId="15923" xr:uid="{8B76DD61-140A-470C-AE90-9CDE84319BE8}"/>
    <cellStyle name="Comma 3 2 3 7 8 2" xfId="46163" xr:uid="{01534997-636E-4565-A7AA-F4481CBE6704}"/>
    <cellStyle name="Comma 3 2 3 7 9" xfId="31043" xr:uid="{B03C742D-065A-41B4-95EF-2535D14C7982}"/>
    <cellStyle name="Comma 3 2 3 8" xfId="1559" xr:uid="{CC719210-ED35-438E-AD9E-5444940CACC2}"/>
    <cellStyle name="Comma 3 2 3 8 2" xfId="10631" xr:uid="{58E424CD-1113-491E-8933-31C4A770D5B0}"/>
    <cellStyle name="Comma 3 2 3 8 2 2" xfId="25751" xr:uid="{21CA5C44-9B57-4D12-9CEE-77D6ED2F9E14}"/>
    <cellStyle name="Comma 3 2 3 8 2 2 2" xfId="55991" xr:uid="{7C315BF6-A49F-442E-9A6C-04071AFC187A}"/>
    <cellStyle name="Comma 3 2 3 8 2 3" xfId="40871" xr:uid="{8376C3AF-30D3-42D8-9D27-1C06A15A8C75}"/>
    <cellStyle name="Comma 3 2 3 8 3" xfId="16679" xr:uid="{030057B6-1A45-41D8-AD13-8A0FB5558818}"/>
    <cellStyle name="Comma 3 2 3 8 3 2" xfId="46919" xr:uid="{8A158ADE-CADD-4243-8823-3FA020F5D837}"/>
    <cellStyle name="Comma 3 2 3 8 4" xfId="31799" xr:uid="{BB231E9B-3038-4DE1-9C14-800C6A96336C}"/>
    <cellStyle name="Comma 3 2 3 9" xfId="3071" xr:uid="{318886C1-394E-49C8-B284-B5948AE073FA}"/>
    <cellStyle name="Comma 3 2 3 9 2" xfId="12143" xr:uid="{9741C0E6-3F3B-437B-8FC8-3FB74E646AAD}"/>
    <cellStyle name="Comma 3 2 3 9 2 2" xfId="27263" xr:uid="{EED153C6-523D-4185-8900-05009AF89DCA}"/>
    <cellStyle name="Comma 3 2 3 9 2 2 2" xfId="57503" xr:uid="{3358751E-CCC0-4E36-A319-C6020910F2DA}"/>
    <cellStyle name="Comma 3 2 3 9 2 3" xfId="42383" xr:uid="{09976D79-4CB9-4C1B-B515-2D9B56BA6A83}"/>
    <cellStyle name="Comma 3 2 3 9 3" xfId="18191" xr:uid="{1752E6DC-BDEB-4A7D-864D-22A60FFEEAA9}"/>
    <cellStyle name="Comma 3 2 3 9 3 2" xfId="48431" xr:uid="{8E554DEF-0BC4-47F6-8018-6C8DFE86AAE6}"/>
    <cellStyle name="Comma 3 2 3 9 4" xfId="33311" xr:uid="{116DB711-3BE1-4D4E-AD69-AB6A1BA0FCC7}"/>
    <cellStyle name="Comma 3 2 4" xfId="61" xr:uid="{BA4AA19E-B8FE-469A-8E5E-352FB54DEDE1}"/>
    <cellStyle name="Comma 3 2 4 10" xfId="6109" xr:uid="{A4FE0BFC-9C06-432C-AC30-9F1963E2F4FC}"/>
    <cellStyle name="Comma 3 2 4 10 2" xfId="21229" xr:uid="{4D99EE8F-2030-4141-AB3E-E2B162406A5F}"/>
    <cellStyle name="Comma 3 2 4 10 2 2" xfId="51469" xr:uid="{88BD898A-CB01-49E9-99B3-AF5A107D4506}"/>
    <cellStyle name="Comma 3 2 4 10 3" xfId="36349" xr:uid="{519FD7B0-9B0F-4E13-9C3D-015B3D82EFFD}"/>
    <cellStyle name="Comma 3 2 4 11" xfId="7621" xr:uid="{B4C91C8D-F93B-407C-8B69-C0A0E656B44C}"/>
    <cellStyle name="Comma 3 2 4 11 2" xfId="22741" xr:uid="{D987B1B5-F28E-4759-837B-C90AA69D2DDB}"/>
    <cellStyle name="Comma 3 2 4 11 2 2" xfId="52981" xr:uid="{3B153B67-27AA-4D3B-9BB1-EB1CC9B84656}"/>
    <cellStyle name="Comma 3 2 4 11 3" xfId="37861" xr:uid="{1E2F09D3-2D78-42FB-AC89-A4CDF80AB646}"/>
    <cellStyle name="Comma 3 2 4 12" xfId="9133" xr:uid="{4401577F-C678-4AE5-9FCA-1AAB362BC74D}"/>
    <cellStyle name="Comma 3 2 4 12 2" xfId="24253" xr:uid="{0B73234E-4729-49EA-8D99-3C99F88B991C}"/>
    <cellStyle name="Comma 3 2 4 12 2 2" xfId="54493" xr:uid="{2E98B3E2-D92E-44FD-A226-BB95F9454215}"/>
    <cellStyle name="Comma 3 2 4 12 3" xfId="39373" xr:uid="{1DFAD09C-0DFB-4BCE-9EF6-D98849D4A402}"/>
    <cellStyle name="Comma 3 2 4 13" xfId="15181" xr:uid="{1F6969C6-4793-41E2-862A-8981F5E09AE3}"/>
    <cellStyle name="Comma 3 2 4 13 2" xfId="45421" xr:uid="{55BA1D61-E41B-4C59-B708-A4ECE6D8A2D2}"/>
    <cellStyle name="Comma 3 2 4 14" xfId="30301" xr:uid="{B73DFF0D-E537-4F9D-B908-DCD389B80994}"/>
    <cellStyle name="Comma 3 2 4 2" xfId="145" xr:uid="{321C2DB5-CF83-4DCD-A504-53C424BF1B4A}"/>
    <cellStyle name="Comma 3 2 4 2 10" xfId="9217" xr:uid="{EC80A3EA-8C4F-4FB4-81EC-38083B05E9D3}"/>
    <cellStyle name="Comma 3 2 4 2 10 2" xfId="24337" xr:uid="{5FA8135D-5704-4415-AD66-922D97AF5511}"/>
    <cellStyle name="Comma 3 2 4 2 10 2 2" xfId="54577" xr:uid="{9B5E0BC6-1F25-42EB-A3DE-A9812D8CE83C}"/>
    <cellStyle name="Comma 3 2 4 2 10 3" xfId="39457" xr:uid="{381AFF07-4F98-42CC-ACF0-6B0F1CCF53C3}"/>
    <cellStyle name="Comma 3 2 4 2 11" xfId="15265" xr:uid="{7A19FC7A-6682-4FE0-9840-383BF15EE358}"/>
    <cellStyle name="Comma 3 2 4 2 11 2" xfId="45505" xr:uid="{F3DE67AB-D9D3-402C-AF89-9F39B67159D8}"/>
    <cellStyle name="Comma 3 2 4 2 12" xfId="30385" xr:uid="{7464B5F3-26E8-40A2-A5B1-7A1A83B00586}"/>
    <cellStyle name="Comma 3 2 4 2 2" xfId="397" xr:uid="{EF133501-F21E-405B-A32A-BD14029588D3}"/>
    <cellStyle name="Comma 3 2 4 2 2 10" xfId="30637" xr:uid="{D3395D28-9FBF-40BA-901A-5180FAC43A49}"/>
    <cellStyle name="Comma 3 2 4 2 2 2" xfId="1153" xr:uid="{CFD34A0D-84C2-4BA3-92A8-F085869B8B1A}"/>
    <cellStyle name="Comma 3 2 4 2 2 2 2" xfId="2665" xr:uid="{94A69CAA-81FF-4A15-A8DC-07FB6FA5C6A4}"/>
    <cellStyle name="Comma 3 2 4 2 2 2 2 2" xfId="11737" xr:uid="{B912D3B0-D19A-4F0F-989A-544AC4441631}"/>
    <cellStyle name="Comma 3 2 4 2 2 2 2 2 2" xfId="26857" xr:uid="{E84CB96E-2348-4E0B-A729-9DD468C23DE7}"/>
    <cellStyle name="Comma 3 2 4 2 2 2 2 2 2 2" xfId="57097" xr:uid="{F89FE3E4-1D30-4FA1-9FCA-B5693B4AB954}"/>
    <cellStyle name="Comma 3 2 4 2 2 2 2 2 3" xfId="41977" xr:uid="{B72C1F8F-50C2-461C-95CB-AD23F50555F3}"/>
    <cellStyle name="Comma 3 2 4 2 2 2 2 3" xfId="17785" xr:uid="{F5516882-34B1-463B-AB71-4DA65F5C46E3}"/>
    <cellStyle name="Comma 3 2 4 2 2 2 2 3 2" xfId="48025" xr:uid="{AD03C214-06AC-4944-B5F4-7C27E2B5F4F0}"/>
    <cellStyle name="Comma 3 2 4 2 2 2 2 4" xfId="32905" xr:uid="{8D7DF7F6-7F83-4569-B591-D6B57C7A62D4}"/>
    <cellStyle name="Comma 3 2 4 2 2 2 3" xfId="4177" xr:uid="{2646FC1F-51FA-41BE-80D1-B3318A676646}"/>
    <cellStyle name="Comma 3 2 4 2 2 2 3 2" xfId="13249" xr:uid="{4A67529D-1F63-41CA-B30E-5D539C7A42BE}"/>
    <cellStyle name="Comma 3 2 4 2 2 2 3 2 2" xfId="28369" xr:uid="{B0CC5500-1F3E-484B-B47A-83E8706DEC8F}"/>
    <cellStyle name="Comma 3 2 4 2 2 2 3 2 2 2" xfId="58609" xr:uid="{CB9266C2-7529-4E54-AE9D-9CEE471DB241}"/>
    <cellStyle name="Comma 3 2 4 2 2 2 3 2 3" xfId="43489" xr:uid="{BEF5001C-8ECA-4C9C-BABA-043ECC45DDE1}"/>
    <cellStyle name="Comma 3 2 4 2 2 2 3 3" xfId="19297" xr:uid="{4C38CA5C-E3E3-4F34-BCFA-9750A2D0723C}"/>
    <cellStyle name="Comma 3 2 4 2 2 2 3 3 2" xfId="49537" xr:uid="{837AB8B5-D64E-4724-A90A-38B9FE0CF84E}"/>
    <cellStyle name="Comma 3 2 4 2 2 2 3 4" xfId="34417" xr:uid="{64ED7A15-367E-4B37-ABD9-EA9DE25B5FA5}"/>
    <cellStyle name="Comma 3 2 4 2 2 2 4" xfId="5689" xr:uid="{C25E253C-A9F5-4B4E-A04C-6A79AC26810C}"/>
    <cellStyle name="Comma 3 2 4 2 2 2 4 2" xfId="14761" xr:uid="{9E18061A-91CE-4A95-9C49-F2554D01E593}"/>
    <cellStyle name="Comma 3 2 4 2 2 2 4 2 2" xfId="29881" xr:uid="{DED8A7EE-5EF1-4696-8811-D53B72A18234}"/>
    <cellStyle name="Comma 3 2 4 2 2 2 4 2 2 2" xfId="60121" xr:uid="{313C7B46-FF84-4232-8BB0-912EF0EA8C37}"/>
    <cellStyle name="Comma 3 2 4 2 2 2 4 2 3" xfId="45001" xr:uid="{DDC6A3C5-6920-4F5C-82FE-97C5B605B974}"/>
    <cellStyle name="Comma 3 2 4 2 2 2 4 3" xfId="20809" xr:uid="{E0B2AF49-432C-49F9-8CAB-A853E3597ADA}"/>
    <cellStyle name="Comma 3 2 4 2 2 2 4 3 2" xfId="51049" xr:uid="{CF9FEA6F-41A6-459A-A174-2823B458B416}"/>
    <cellStyle name="Comma 3 2 4 2 2 2 4 4" xfId="35929" xr:uid="{26A13F39-C21C-4EFF-9FF9-F574EA0BFF4B}"/>
    <cellStyle name="Comma 3 2 4 2 2 2 5" xfId="7201" xr:uid="{D0BD5A7B-D25D-4901-95BE-BC7709D37CAE}"/>
    <cellStyle name="Comma 3 2 4 2 2 2 5 2" xfId="22321" xr:uid="{6ECF72F1-6CF9-4102-A69F-9229BB52604D}"/>
    <cellStyle name="Comma 3 2 4 2 2 2 5 2 2" xfId="52561" xr:uid="{BD00527F-DB34-440B-BC92-DCA67CA06789}"/>
    <cellStyle name="Comma 3 2 4 2 2 2 5 3" xfId="37441" xr:uid="{0EE3F111-1F49-459F-A164-4DCE37A9CEC6}"/>
    <cellStyle name="Comma 3 2 4 2 2 2 6" xfId="8713" xr:uid="{FFC61422-D83D-44F8-81F7-B489E52151DA}"/>
    <cellStyle name="Comma 3 2 4 2 2 2 6 2" xfId="23833" xr:uid="{BFD19AFF-8484-4052-A3C5-D9F963FFDACD}"/>
    <cellStyle name="Comma 3 2 4 2 2 2 6 2 2" xfId="54073" xr:uid="{21800020-B0BF-47E8-91AB-48468ED17377}"/>
    <cellStyle name="Comma 3 2 4 2 2 2 6 3" xfId="38953" xr:uid="{7CAC6AC3-6BE1-4A0B-BED8-BA68996BA0B1}"/>
    <cellStyle name="Comma 3 2 4 2 2 2 7" xfId="10225" xr:uid="{9BEE1D96-042A-40AE-AC67-69768BA1F3C8}"/>
    <cellStyle name="Comma 3 2 4 2 2 2 7 2" xfId="25345" xr:uid="{E7B0B923-B3B1-41F7-8892-37DE202A4E4A}"/>
    <cellStyle name="Comma 3 2 4 2 2 2 7 2 2" xfId="55585" xr:uid="{E304EB2F-34D6-452B-AB95-39322704D91D}"/>
    <cellStyle name="Comma 3 2 4 2 2 2 7 3" xfId="40465" xr:uid="{F98E66ED-9A9C-44F8-A6A9-D001BC5EA66E}"/>
    <cellStyle name="Comma 3 2 4 2 2 2 8" xfId="16273" xr:uid="{606DE7B4-6DBD-4CC5-95CB-68E1B5ABD58E}"/>
    <cellStyle name="Comma 3 2 4 2 2 2 8 2" xfId="46513" xr:uid="{BCE437DB-D0FF-4D9B-BA92-06033DBC343D}"/>
    <cellStyle name="Comma 3 2 4 2 2 2 9" xfId="31393" xr:uid="{242DF121-4C8D-4668-A3BA-CEF8C98E856A}"/>
    <cellStyle name="Comma 3 2 4 2 2 3" xfId="1909" xr:uid="{53EB530A-DFBE-4176-874B-A853D7110514}"/>
    <cellStyle name="Comma 3 2 4 2 2 3 2" xfId="10981" xr:uid="{E4A27307-E040-4286-8283-69758CC8F224}"/>
    <cellStyle name="Comma 3 2 4 2 2 3 2 2" xfId="26101" xr:uid="{E364E436-EB1D-41BF-BD39-A59648754F34}"/>
    <cellStyle name="Comma 3 2 4 2 2 3 2 2 2" xfId="56341" xr:uid="{5922E9FC-9116-4504-8BB2-DBF571C3D0D7}"/>
    <cellStyle name="Comma 3 2 4 2 2 3 2 3" xfId="41221" xr:uid="{C84F5C6E-FD1B-47B0-80F6-6D52151148AC}"/>
    <cellStyle name="Comma 3 2 4 2 2 3 3" xfId="17029" xr:uid="{DE95E561-7FA5-4A02-A8FA-553453E18DF0}"/>
    <cellStyle name="Comma 3 2 4 2 2 3 3 2" xfId="47269" xr:uid="{B5024331-FD92-402F-AB73-4A93D410CF54}"/>
    <cellStyle name="Comma 3 2 4 2 2 3 4" xfId="32149" xr:uid="{9505B214-D5CB-4455-A0F7-B7FAFF729AC4}"/>
    <cellStyle name="Comma 3 2 4 2 2 4" xfId="3421" xr:uid="{3FDDCBC7-3EE9-4A34-83A9-80EEAE06F770}"/>
    <cellStyle name="Comma 3 2 4 2 2 4 2" xfId="12493" xr:uid="{CF3F0F9F-FF5F-4AE1-8FAA-307C865FBEFF}"/>
    <cellStyle name="Comma 3 2 4 2 2 4 2 2" xfId="27613" xr:uid="{6404EFCE-144E-48D6-A819-A4B9358D6689}"/>
    <cellStyle name="Comma 3 2 4 2 2 4 2 2 2" xfId="57853" xr:uid="{052298E1-CB8C-4AD5-B28F-9D1D52E9A9F1}"/>
    <cellStyle name="Comma 3 2 4 2 2 4 2 3" xfId="42733" xr:uid="{A47706F0-1386-4FAA-94EC-AC09AF0A3FF3}"/>
    <cellStyle name="Comma 3 2 4 2 2 4 3" xfId="18541" xr:uid="{F6D81412-F3DF-4191-BD8F-751CFF967378}"/>
    <cellStyle name="Comma 3 2 4 2 2 4 3 2" xfId="48781" xr:uid="{7D62C9FB-0C79-4046-AF0A-1C968CD7B06A}"/>
    <cellStyle name="Comma 3 2 4 2 2 4 4" xfId="33661" xr:uid="{ADD8DB08-E80E-4AB4-9C03-FEF4CBA78D53}"/>
    <cellStyle name="Comma 3 2 4 2 2 5" xfId="4933" xr:uid="{C7E9989D-9A29-4739-B2BF-3A9D7B73D942}"/>
    <cellStyle name="Comma 3 2 4 2 2 5 2" xfId="14005" xr:uid="{A29AD5CD-ACE3-4A97-A5A5-2D9991CE9A21}"/>
    <cellStyle name="Comma 3 2 4 2 2 5 2 2" xfId="29125" xr:uid="{26DC4242-CCA3-4E2D-A579-1BAFCE697574}"/>
    <cellStyle name="Comma 3 2 4 2 2 5 2 2 2" xfId="59365" xr:uid="{17EFF88A-12F2-4DE1-98E2-31411C6A2DAF}"/>
    <cellStyle name="Comma 3 2 4 2 2 5 2 3" xfId="44245" xr:uid="{49A12E7B-892C-4341-9505-2C6A05695DDC}"/>
    <cellStyle name="Comma 3 2 4 2 2 5 3" xfId="20053" xr:uid="{0507C4A1-9E01-446D-AE28-FDA7CDBAA168}"/>
    <cellStyle name="Comma 3 2 4 2 2 5 3 2" xfId="50293" xr:uid="{CB5F1331-9F49-4658-AB8B-BA957CBE83E1}"/>
    <cellStyle name="Comma 3 2 4 2 2 5 4" xfId="35173" xr:uid="{DEE5DA65-26D0-476C-AA28-B7592DEA2611}"/>
    <cellStyle name="Comma 3 2 4 2 2 6" xfId="6445" xr:uid="{A2340073-7D09-4C87-975F-919CC0BB6371}"/>
    <cellStyle name="Comma 3 2 4 2 2 6 2" xfId="21565" xr:uid="{9E8699C5-5471-4C66-91F7-BCD59000D387}"/>
    <cellStyle name="Comma 3 2 4 2 2 6 2 2" xfId="51805" xr:uid="{E8F72413-5E44-436F-88D6-71BE5A2205CA}"/>
    <cellStyle name="Comma 3 2 4 2 2 6 3" xfId="36685" xr:uid="{2002BA9D-1406-4452-943B-2407E8F6ED19}"/>
    <cellStyle name="Comma 3 2 4 2 2 7" xfId="7957" xr:uid="{24B9DD9B-169A-40DB-B4A0-D42479EC0CA4}"/>
    <cellStyle name="Comma 3 2 4 2 2 7 2" xfId="23077" xr:uid="{D691C26B-D334-4705-B088-70DD1A4E07E5}"/>
    <cellStyle name="Comma 3 2 4 2 2 7 2 2" xfId="53317" xr:uid="{018744AA-F005-4589-8AB0-15014A5ECFBE}"/>
    <cellStyle name="Comma 3 2 4 2 2 7 3" xfId="38197" xr:uid="{288551DD-0D35-4B08-A8FC-A75132F6E8B0}"/>
    <cellStyle name="Comma 3 2 4 2 2 8" xfId="9469" xr:uid="{2F3FECA8-8F12-4880-A2E9-88FE6F8F6A4F}"/>
    <cellStyle name="Comma 3 2 4 2 2 8 2" xfId="24589" xr:uid="{B82308D8-3471-466F-A72F-CFAE874FAE91}"/>
    <cellStyle name="Comma 3 2 4 2 2 8 2 2" xfId="54829" xr:uid="{432ED6F9-DBBE-433C-B04F-54B137DA5213}"/>
    <cellStyle name="Comma 3 2 4 2 2 8 3" xfId="39709" xr:uid="{25182BD5-1B3E-4BDB-AD8E-1A4BE5D53747}"/>
    <cellStyle name="Comma 3 2 4 2 2 9" xfId="15517" xr:uid="{BA1D2E41-E0E6-4345-95AB-CDF2ADAE2299}"/>
    <cellStyle name="Comma 3 2 4 2 2 9 2" xfId="45757" xr:uid="{22890FC5-AC66-4A82-BF27-DB80C78B7ED4}"/>
    <cellStyle name="Comma 3 2 4 2 3" xfId="649" xr:uid="{CF4E9D42-9EB9-4BAA-BE0A-8627491A94E9}"/>
    <cellStyle name="Comma 3 2 4 2 3 10" xfId="30889" xr:uid="{AAA669C0-59AB-4CD6-80AA-45F659C37C52}"/>
    <cellStyle name="Comma 3 2 4 2 3 2" xfId="1405" xr:uid="{51CD7180-D750-4BCA-B3EA-B3676439C2BB}"/>
    <cellStyle name="Comma 3 2 4 2 3 2 2" xfId="2917" xr:uid="{FFFAFB5B-39F7-46D3-B75E-B27EF802C8F8}"/>
    <cellStyle name="Comma 3 2 4 2 3 2 2 2" xfId="11989" xr:uid="{6AB6B0B4-9C16-4CAF-84C3-FBCC715C1593}"/>
    <cellStyle name="Comma 3 2 4 2 3 2 2 2 2" xfId="27109" xr:uid="{EF47FE4D-FB06-4C86-B116-7C81B7F5E182}"/>
    <cellStyle name="Comma 3 2 4 2 3 2 2 2 2 2" xfId="57349" xr:uid="{71134FA9-C126-48CD-A399-572D1C4ED208}"/>
    <cellStyle name="Comma 3 2 4 2 3 2 2 2 3" xfId="42229" xr:uid="{079A93F7-69A2-4281-A040-05738B4C149E}"/>
    <cellStyle name="Comma 3 2 4 2 3 2 2 3" xfId="18037" xr:uid="{ED6A8B28-872B-46E8-943E-CC94D66627C5}"/>
    <cellStyle name="Comma 3 2 4 2 3 2 2 3 2" xfId="48277" xr:uid="{6567A1E6-0026-4E92-8827-6B67423D5C74}"/>
    <cellStyle name="Comma 3 2 4 2 3 2 2 4" xfId="33157" xr:uid="{8B8D57DB-1822-4404-8418-70D3DE5E64C1}"/>
    <cellStyle name="Comma 3 2 4 2 3 2 3" xfId="4429" xr:uid="{7D6E0C14-FC6C-4C43-BE8B-D8C141AEBBF4}"/>
    <cellStyle name="Comma 3 2 4 2 3 2 3 2" xfId="13501" xr:uid="{85C6D8C7-81EC-4BA2-B71F-F68687D9593D}"/>
    <cellStyle name="Comma 3 2 4 2 3 2 3 2 2" xfId="28621" xr:uid="{3AC8BAC7-0A42-40E3-BD4F-000FA84C1AC8}"/>
    <cellStyle name="Comma 3 2 4 2 3 2 3 2 2 2" xfId="58861" xr:uid="{B58E9BCA-59ED-435E-87B4-0E9E3AD43581}"/>
    <cellStyle name="Comma 3 2 4 2 3 2 3 2 3" xfId="43741" xr:uid="{5AA83D75-E384-43C7-BEF6-006E89EC5ACD}"/>
    <cellStyle name="Comma 3 2 4 2 3 2 3 3" xfId="19549" xr:uid="{D5475BF9-FF78-4A88-9E76-D8353C7744F9}"/>
    <cellStyle name="Comma 3 2 4 2 3 2 3 3 2" xfId="49789" xr:uid="{D549932D-511D-49DF-8DD9-AE924FB73BC5}"/>
    <cellStyle name="Comma 3 2 4 2 3 2 3 4" xfId="34669" xr:uid="{F303FF29-B960-48D4-ADD0-F646C66D471B}"/>
    <cellStyle name="Comma 3 2 4 2 3 2 4" xfId="5941" xr:uid="{D92F4A14-C860-4336-914C-79EEFA62D0E9}"/>
    <cellStyle name="Comma 3 2 4 2 3 2 4 2" xfId="15013" xr:uid="{63457045-241F-441F-BECB-4AD2F38A40F1}"/>
    <cellStyle name="Comma 3 2 4 2 3 2 4 2 2" xfId="30133" xr:uid="{01862506-57F4-441E-927E-8578BA8DF749}"/>
    <cellStyle name="Comma 3 2 4 2 3 2 4 2 2 2" xfId="60373" xr:uid="{23C87E7E-8280-4227-BAA8-A97ED394D157}"/>
    <cellStyle name="Comma 3 2 4 2 3 2 4 2 3" xfId="45253" xr:uid="{441B3827-F3A4-4ACC-9A8F-5809F170237E}"/>
    <cellStyle name="Comma 3 2 4 2 3 2 4 3" xfId="21061" xr:uid="{75D0CE12-A7D4-4A81-89B7-BB0AD850AAED}"/>
    <cellStyle name="Comma 3 2 4 2 3 2 4 3 2" xfId="51301" xr:uid="{E41F2FEA-92D8-4D44-94B8-62D971FE9CF4}"/>
    <cellStyle name="Comma 3 2 4 2 3 2 4 4" xfId="36181" xr:uid="{57115B34-48D2-4A2E-BC40-70CA67791F92}"/>
    <cellStyle name="Comma 3 2 4 2 3 2 5" xfId="7453" xr:uid="{C4664569-FF29-4B3F-8786-C8F8E19F827F}"/>
    <cellStyle name="Comma 3 2 4 2 3 2 5 2" xfId="22573" xr:uid="{A8D75E2D-E2C8-4A16-852F-BB84BFC0800A}"/>
    <cellStyle name="Comma 3 2 4 2 3 2 5 2 2" xfId="52813" xr:uid="{6F47D7ED-CB7A-4414-86E8-C1174DB5C58D}"/>
    <cellStyle name="Comma 3 2 4 2 3 2 5 3" xfId="37693" xr:uid="{B6D76DE0-9663-4632-94C1-14AE63172078}"/>
    <cellStyle name="Comma 3 2 4 2 3 2 6" xfId="8965" xr:uid="{86C900F5-2377-43C8-87FC-8D95763DF281}"/>
    <cellStyle name="Comma 3 2 4 2 3 2 6 2" xfId="24085" xr:uid="{C4CDCD8B-772C-4CBF-8DEE-1B92EE3550D4}"/>
    <cellStyle name="Comma 3 2 4 2 3 2 6 2 2" xfId="54325" xr:uid="{D9CB7FE6-2047-431E-AA61-8CB7D3D4601C}"/>
    <cellStyle name="Comma 3 2 4 2 3 2 6 3" xfId="39205" xr:uid="{11D839C4-0993-4952-98C7-5A4B577744A4}"/>
    <cellStyle name="Comma 3 2 4 2 3 2 7" xfId="10477" xr:uid="{B8114E69-12D3-43F2-9A8F-D55ECE614B5C}"/>
    <cellStyle name="Comma 3 2 4 2 3 2 7 2" xfId="25597" xr:uid="{1F61BDBB-7CFF-4857-8125-0D94D6497B0A}"/>
    <cellStyle name="Comma 3 2 4 2 3 2 7 2 2" xfId="55837" xr:uid="{4F2B565D-D540-4765-8325-4FB40D974EA6}"/>
    <cellStyle name="Comma 3 2 4 2 3 2 7 3" xfId="40717" xr:uid="{9AA55DDF-40FB-4DB8-98D7-FDE79B2E1518}"/>
    <cellStyle name="Comma 3 2 4 2 3 2 8" xfId="16525" xr:uid="{50695165-C235-45AF-94D3-322A93F2F6F3}"/>
    <cellStyle name="Comma 3 2 4 2 3 2 8 2" xfId="46765" xr:uid="{F46BFA29-83A2-401C-9CD8-73379F5A89D1}"/>
    <cellStyle name="Comma 3 2 4 2 3 2 9" xfId="31645" xr:uid="{8F91AE41-908A-4734-9951-915C657ECFEE}"/>
    <cellStyle name="Comma 3 2 4 2 3 3" xfId="2161" xr:uid="{7D4DC98B-F3EC-40CF-8551-FCA786CB51F2}"/>
    <cellStyle name="Comma 3 2 4 2 3 3 2" xfId="11233" xr:uid="{34BD5C27-9B07-452D-AA1A-4CFBD8BEDFAD}"/>
    <cellStyle name="Comma 3 2 4 2 3 3 2 2" xfId="26353" xr:uid="{14A355F5-49F4-4550-BD39-EFA3E604432A}"/>
    <cellStyle name="Comma 3 2 4 2 3 3 2 2 2" xfId="56593" xr:uid="{A956C155-31A5-43FE-8C82-028C3D661FAE}"/>
    <cellStyle name="Comma 3 2 4 2 3 3 2 3" xfId="41473" xr:uid="{20E4C60F-F321-4388-AC39-DC03A04ECBC3}"/>
    <cellStyle name="Comma 3 2 4 2 3 3 3" xfId="17281" xr:uid="{F0735E1E-61F5-496A-BD7B-D5436A7197C6}"/>
    <cellStyle name="Comma 3 2 4 2 3 3 3 2" xfId="47521" xr:uid="{C30672CF-1115-4434-8802-A387CFB122E9}"/>
    <cellStyle name="Comma 3 2 4 2 3 3 4" xfId="32401" xr:uid="{9B05BF70-18A2-4E4E-8C5F-FD3768A0E8ED}"/>
    <cellStyle name="Comma 3 2 4 2 3 4" xfId="3673" xr:uid="{A982E30F-79D2-424A-B558-EE19F620045C}"/>
    <cellStyle name="Comma 3 2 4 2 3 4 2" xfId="12745" xr:uid="{E83CE700-65E5-44FB-B4AB-535949DAA00F}"/>
    <cellStyle name="Comma 3 2 4 2 3 4 2 2" xfId="27865" xr:uid="{E6A2221D-6067-48AF-AD3E-4DF213E79FB1}"/>
    <cellStyle name="Comma 3 2 4 2 3 4 2 2 2" xfId="58105" xr:uid="{53C98B69-F6B9-4E9A-BD00-32F08F9BE734}"/>
    <cellStyle name="Comma 3 2 4 2 3 4 2 3" xfId="42985" xr:uid="{6CCE8506-87F7-4120-B264-99F0E33EEB5F}"/>
    <cellStyle name="Comma 3 2 4 2 3 4 3" xfId="18793" xr:uid="{3C7D4428-6311-45CE-8529-2812555509AF}"/>
    <cellStyle name="Comma 3 2 4 2 3 4 3 2" xfId="49033" xr:uid="{E465A4ED-7BA9-4EC0-BC06-1C706FEDC59A}"/>
    <cellStyle name="Comma 3 2 4 2 3 4 4" xfId="33913" xr:uid="{00FFE0A4-6254-42D7-9A72-E2C31CD19DDE}"/>
    <cellStyle name="Comma 3 2 4 2 3 5" xfId="5185" xr:uid="{B57178F7-752D-4E46-B70A-CF810D2DE41F}"/>
    <cellStyle name="Comma 3 2 4 2 3 5 2" xfId="14257" xr:uid="{77A6A43B-8CB3-4ADC-AD89-EDA928654102}"/>
    <cellStyle name="Comma 3 2 4 2 3 5 2 2" xfId="29377" xr:uid="{8CB323FD-E6D7-41FD-9893-320310A505AA}"/>
    <cellStyle name="Comma 3 2 4 2 3 5 2 2 2" xfId="59617" xr:uid="{9F6C7942-C5FE-42E0-92A1-49F2DC17A0C8}"/>
    <cellStyle name="Comma 3 2 4 2 3 5 2 3" xfId="44497" xr:uid="{FED970D3-C737-4144-821D-9CDD332D16CB}"/>
    <cellStyle name="Comma 3 2 4 2 3 5 3" xfId="20305" xr:uid="{85239823-AA96-41F5-95FA-1F9F5B25D26C}"/>
    <cellStyle name="Comma 3 2 4 2 3 5 3 2" xfId="50545" xr:uid="{68231377-26FC-473E-9078-18C0D21BD91E}"/>
    <cellStyle name="Comma 3 2 4 2 3 5 4" xfId="35425" xr:uid="{7650CEDC-E288-4ACE-BAC0-0479D9572784}"/>
    <cellStyle name="Comma 3 2 4 2 3 6" xfId="6697" xr:uid="{0CE5AE79-1FE5-47CB-86E2-759591401F18}"/>
    <cellStyle name="Comma 3 2 4 2 3 6 2" xfId="21817" xr:uid="{708A6DDA-F940-4F04-8B37-E6C47D1CD4BB}"/>
    <cellStyle name="Comma 3 2 4 2 3 6 2 2" xfId="52057" xr:uid="{C649A5EF-BAB1-4D80-B074-856D7DC5DBC3}"/>
    <cellStyle name="Comma 3 2 4 2 3 6 3" xfId="36937" xr:uid="{D3556CBD-26E6-4952-84D5-EA73F0D4FE2C}"/>
    <cellStyle name="Comma 3 2 4 2 3 7" xfId="8209" xr:uid="{AB66EA3C-5383-43DF-8A22-BAF84153DD3A}"/>
    <cellStyle name="Comma 3 2 4 2 3 7 2" xfId="23329" xr:uid="{8EE8F88D-4AAC-44E5-BB17-1B306B017A8A}"/>
    <cellStyle name="Comma 3 2 4 2 3 7 2 2" xfId="53569" xr:uid="{7C0AF7E7-7538-4757-9ACE-79DC41357DAC}"/>
    <cellStyle name="Comma 3 2 4 2 3 7 3" xfId="38449" xr:uid="{831CBC13-F6F2-4EA4-AC7C-6733FB00B92D}"/>
    <cellStyle name="Comma 3 2 4 2 3 8" xfId="9721" xr:uid="{9E521903-6A28-4E92-A08E-79A327DB64A1}"/>
    <cellStyle name="Comma 3 2 4 2 3 8 2" xfId="24841" xr:uid="{4ABCF94F-5741-455C-BC23-7F66DB250F8A}"/>
    <cellStyle name="Comma 3 2 4 2 3 8 2 2" xfId="55081" xr:uid="{6924E058-77E3-4463-9E85-79385B577BE7}"/>
    <cellStyle name="Comma 3 2 4 2 3 8 3" xfId="39961" xr:uid="{6AE8A54D-64A4-44E6-A94A-82FFC96A2004}"/>
    <cellStyle name="Comma 3 2 4 2 3 9" xfId="15769" xr:uid="{0A35FE9A-D998-4BC8-8BBF-28E3704ADE74}"/>
    <cellStyle name="Comma 3 2 4 2 3 9 2" xfId="46009" xr:uid="{FB5EEADC-E4DD-4C00-BF10-40665943B196}"/>
    <cellStyle name="Comma 3 2 4 2 4" xfId="901" xr:uid="{E7136209-5AA3-4CF7-83DB-180F4A2EF627}"/>
    <cellStyle name="Comma 3 2 4 2 4 2" xfId="2413" xr:uid="{A41F3A12-18AB-4DF7-B45A-B344A42EDD9F}"/>
    <cellStyle name="Comma 3 2 4 2 4 2 2" xfId="11485" xr:uid="{B89CD382-9450-4153-A085-1C8CCFB84D99}"/>
    <cellStyle name="Comma 3 2 4 2 4 2 2 2" xfId="26605" xr:uid="{E4E861E8-B55C-4BFB-B2B4-6DFAFA5B17BD}"/>
    <cellStyle name="Comma 3 2 4 2 4 2 2 2 2" xfId="56845" xr:uid="{0C55477B-5694-432C-A209-D6A5D81856D5}"/>
    <cellStyle name="Comma 3 2 4 2 4 2 2 3" xfId="41725" xr:uid="{6527C372-3EB9-4F04-87E7-D56A11C1C79E}"/>
    <cellStyle name="Comma 3 2 4 2 4 2 3" xfId="17533" xr:uid="{23DCB2F3-E0D5-4705-ABC9-B9C652A8B063}"/>
    <cellStyle name="Comma 3 2 4 2 4 2 3 2" xfId="47773" xr:uid="{5511BEB2-64E0-4890-9BFC-80C8D3732B50}"/>
    <cellStyle name="Comma 3 2 4 2 4 2 4" xfId="32653" xr:uid="{70F6D909-4FFB-42AD-87BD-98894E1C9211}"/>
    <cellStyle name="Comma 3 2 4 2 4 3" xfId="3925" xr:uid="{2189E313-BA74-4C64-91E5-F4BAD4369B22}"/>
    <cellStyle name="Comma 3 2 4 2 4 3 2" xfId="12997" xr:uid="{4A272A02-72E0-480D-8657-C3C6AF523D25}"/>
    <cellStyle name="Comma 3 2 4 2 4 3 2 2" xfId="28117" xr:uid="{C41F30BB-B6E7-4825-9B64-14F8D49EF585}"/>
    <cellStyle name="Comma 3 2 4 2 4 3 2 2 2" xfId="58357" xr:uid="{A58F55BC-B85C-408F-832F-7FADA632A74C}"/>
    <cellStyle name="Comma 3 2 4 2 4 3 2 3" xfId="43237" xr:uid="{093C1458-F830-47B2-824D-A48FF6DFD69B}"/>
    <cellStyle name="Comma 3 2 4 2 4 3 3" xfId="19045" xr:uid="{4E73779D-C20C-437E-9CE2-9A8671CEC558}"/>
    <cellStyle name="Comma 3 2 4 2 4 3 3 2" xfId="49285" xr:uid="{465DC45C-305B-4C8C-955A-89EE37EC1D5A}"/>
    <cellStyle name="Comma 3 2 4 2 4 3 4" xfId="34165" xr:uid="{DEC56EA9-A993-48F6-BDDA-8E7914FFE7B3}"/>
    <cellStyle name="Comma 3 2 4 2 4 4" xfId="5437" xr:uid="{D1AC638B-0843-4FB1-A083-002433970519}"/>
    <cellStyle name="Comma 3 2 4 2 4 4 2" xfId="14509" xr:uid="{516E01D2-78AD-47AD-8E61-0B64335BFFAE}"/>
    <cellStyle name="Comma 3 2 4 2 4 4 2 2" xfId="29629" xr:uid="{23E07A6B-EAA8-4E43-AB31-3E91E2627BAC}"/>
    <cellStyle name="Comma 3 2 4 2 4 4 2 2 2" xfId="59869" xr:uid="{E83906DE-B2E6-41A9-81C6-18C6A1138F44}"/>
    <cellStyle name="Comma 3 2 4 2 4 4 2 3" xfId="44749" xr:uid="{45CA2D28-32B7-407E-86DF-4B6E81CA03D4}"/>
    <cellStyle name="Comma 3 2 4 2 4 4 3" xfId="20557" xr:uid="{C8D95EF8-29D0-45C2-BDCB-764A0797D438}"/>
    <cellStyle name="Comma 3 2 4 2 4 4 3 2" xfId="50797" xr:uid="{0FA48DF3-5665-475A-B83C-194BC70E0CF7}"/>
    <cellStyle name="Comma 3 2 4 2 4 4 4" xfId="35677" xr:uid="{D63060DC-1529-4E1C-9BD0-9F88DFB8428B}"/>
    <cellStyle name="Comma 3 2 4 2 4 5" xfId="6949" xr:uid="{B51C2603-1F1D-4873-B7CE-A2C0EFA6A624}"/>
    <cellStyle name="Comma 3 2 4 2 4 5 2" xfId="22069" xr:uid="{97C9A9AA-997C-4AD1-A4B3-13DF83A284ED}"/>
    <cellStyle name="Comma 3 2 4 2 4 5 2 2" xfId="52309" xr:uid="{0CC165E8-3B34-4B71-BAEA-7ADCD2B18938}"/>
    <cellStyle name="Comma 3 2 4 2 4 5 3" xfId="37189" xr:uid="{82949CF1-24FA-452A-B883-A3D86168F48D}"/>
    <cellStyle name="Comma 3 2 4 2 4 6" xfId="8461" xr:uid="{8FB88295-B6D3-483B-BF9B-9E2969D60B78}"/>
    <cellStyle name="Comma 3 2 4 2 4 6 2" xfId="23581" xr:uid="{343D1631-F9EB-4BDE-B85A-4209CC49F8CA}"/>
    <cellStyle name="Comma 3 2 4 2 4 6 2 2" xfId="53821" xr:uid="{617F6F9B-2A44-4E18-9261-6A819973D238}"/>
    <cellStyle name="Comma 3 2 4 2 4 6 3" xfId="38701" xr:uid="{842D5433-7CC5-4386-8C22-5EFD5E584F5A}"/>
    <cellStyle name="Comma 3 2 4 2 4 7" xfId="9973" xr:uid="{95091B1B-9B0C-4E57-BDA7-29F80D6DB1BF}"/>
    <cellStyle name="Comma 3 2 4 2 4 7 2" xfId="25093" xr:uid="{EF56F489-9733-4FBD-BF1F-FA14E87AB754}"/>
    <cellStyle name="Comma 3 2 4 2 4 7 2 2" xfId="55333" xr:uid="{D32B18C1-2958-4CF5-8B33-91A453B51D28}"/>
    <cellStyle name="Comma 3 2 4 2 4 7 3" xfId="40213" xr:uid="{7122838D-D4E6-46FC-8CDE-CA4DF2EBF5A6}"/>
    <cellStyle name="Comma 3 2 4 2 4 8" xfId="16021" xr:uid="{745AAD3B-76A4-4E84-A884-3F77C5A90F24}"/>
    <cellStyle name="Comma 3 2 4 2 4 8 2" xfId="46261" xr:uid="{EF83BF27-AC03-488F-85FD-9757FFFDB170}"/>
    <cellStyle name="Comma 3 2 4 2 4 9" xfId="31141" xr:uid="{8C8A2030-E238-48FD-9866-B5C7EB2EC16F}"/>
    <cellStyle name="Comma 3 2 4 2 5" xfId="1657" xr:uid="{5FD2839C-9D2D-444F-A9E9-A743125D2C12}"/>
    <cellStyle name="Comma 3 2 4 2 5 2" xfId="10729" xr:uid="{0E4C3181-CF8C-44AB-AFF2-2F8A0256B3C5}"/>
    <cellStyle name="Comma 3 2 4 2 5 2 2" xfId="25849" xr:uid="{3C7304E4-AA25-424D-978E-5BBF8087A517}"/>
    <cellStyle name="Comma 3 2 4 2 5 2 2 2" xfId="56089" xr:uid="{99EBABE5-4F8E-49C0-94FD-376ED98CA6ED}"/>
    <cellStyle name="Comma 3 2 4 2 5 2 3" xfId="40969" xr:uid="{4D0BEFAE-E92D-443C-B69F-220D66005B98}"/>
    <cellStyle name="Comma 3 2 4 2 5 3" xfId="16777" xr:uid="{D5B45067-E72F-4298-9067-FFEC12532293}"/>
    <cellStyle name="Comma 3 2 4 2 5 3 2" xfId="47017" xr:uid="{43182607-AD2B-48BB-B672-2DE5E21E3610}"/>
    <cellStyle name="Comma 3 2 4 2 5 4" xfId="31897" xr:uid="{12DCA416-ED1B-4368-843B-8B88DDA4D1EC}"/>
    <cellStyle name="Comma 3 2 4 2 6" xfId="3169" xr:uid="{1C20B186-56B3-4E9D-A18D-CCD80AB73161}"/>
    <cellStyle name="Comma 3 2 4 2 6 2" xfId="12241" xr:uid="{D175A2C2-143F-4FC0-81EB-D267B88F4941}"/>
    <cellStyle name="Comma 3 2 4 2 6 2 2" xfId="27361" xr:uid="{07A6A901-7E91-40F1-A8D4-0412970170F8}"/>
    <cellStyle name="Comma 3 2 4 2 6 2 2 2" xfId="57601" xr:uid="{644F9427-A4D9-40A5-9A76-11DBF2A0C9A1}"/>
    <cellStyle name="Comma 3 2 4 2 6 2 3" xfId="42481" xr:uid="{D4F7CE0D-2FD7-4D41-B2C7-0B9B2057BDDE}"/>
    <cellStyle name="Comma 3 2 4 2 6 3" xfId="18289" xr:uid="{AA4C59B2-8F40-4EC8-A634-18C65686CA5C}"/>
    <cellStyle name="Comma 3 2 4 2 6 3 2" xfId="48529" xr:uid="{C4ACF7CB-3B30-4F8A-9D69-831BDB92BCD1}"/>
    <cellStyle name="Comma 3 2 4 2 6 4" xfId="33409" xr:uid="{B4691153-D843-40D9-9A2B-3D4E1E66E682}"/>
    <cellStyle name="Comma 3 2 4 2 7" xfId="4681" xr:uid="{43C35BCA-9D6E-44A8-9699-CEE252E15E95}"/>
    <cellStyle name="Comma 3 2 4 2 7 2" xfId="13753" xr:uid="{BF8DC382-BE9B-4EA8-BE25-46E3751E71D4}"/>
    <cellStyle name="Comma 3 2 4 2 7 2 2" xfId="28873" xr:uid="{D71C30A8-E718-4B94-A997-B6106D121D55}"/>
    <cellStyle name="Comma 3 2 4 2 7 2 2 2" xfId="59113" xr:uid="{7229F7B9-5269-4DBB-8432-4611049D800C}"/>
    <cellStyle name="Comma 3 2 4 2 7 2 3" xfId="43993" xr:uid="{C2EED4DF-1EA1-47F2-B717-48CE755ECDE4}"/>
    <cellStyle name="Comma 3 2 4 2 7 3" xfId="19801" xr:uid="{B3C7D4A2-67B4-4EA3-9D43-5CFD593414D8}"/>
    <cellStyle name="Comma 3 2 4 2 7 3 2" xfId="50041" xr:uid="{DD82B619-A7F3-493D-9250-796B0BA06776}"/>
    <cellStyle name="Comma 3 2 4 2 7 4" xfId="34921" xr:uid="{BD1B4809-9A9E-4022-92A9-050A05B4E90E}"/>
    <cellStyle name="Comma 3 2 4 2 8" xfId="6193" xr:uid="{1099AA93-A937-4A70-9B4D-C2F6757498D4}"/>
    <cellStyle name="Comma 3 2 4 2 8 2" xfId="21313" xr:uid="{AB4CA8CE-A286-4AD2-BEA5-7E37E29B75E0}"/>
    <cellStyle name="Comma 3 2 4 2 8 2 2" xfId="51553" xr:uid="{CA27CE75-9ED6-483E-ACE3-B3C7327885DD}"/>
    <cellStyle name="Comma 3 2 4 2 8 3" xfId="36433" xr:uid="{069CD8EA-024C-4098-975D-125EB453C06B}"/>
    <cellStyle name="Comma 3 2 4 2 9" xfId="7705" xr:uid="{CA384C97-C7EC-4344-B994-667AC0ECAEF4}"/>
    <cellStyle name="Comma 3 2 4 2 9 2" xfId="22825" xr:uid="{8F06F1A0-B45A-469E-BB5B-DE6D8504DE31}"/>
    <cellStyle name="Comma 3 2 4 2 9 2 2" xfId="53065" xr:uid="{4D274FA7-86CB-48F9-821E-E1BDFDBA600E}"/>
    <cellStyle name="Comma 3 2 4 2 9 3" xfId="37945" xr:uid="{EB578192-FBF5-40D1-886E-26BCDB7D2820}"/>
    <cellStyle name="Comma 3 2 4 3" xfId="229" xr:uid="{17B9B3C7-D8B1-4E75-9E82-645FECDEFE3D}"/>
    <cellStyle name="Comma 3 2 4 3 10" xfId="9301" xr:uid="{90EAAA69-E922-4DFA-B9A1-71FC03F85DD4}"/>
    <cellStyle name="Comma 3 2 4 3 10 2" xfId="24421" xr:uid="{8E212415-D97D-4CF0-9BAE-8C53CC5490B2}"/>
    <cellStyle name="Comma 3 2 4 3 10 2 2" xfId="54661" xr:uid="{F401F9A5-32BC-4E19-B0CD-31CDBAB78A44}"/>
    <cellStyle name="Comma 3 2 4 3 10 3" xfId="39541" xr:uid="{E5D95743-67CD-4D34-BBC5-9E734CC548D7}"/>
    <cellStyle name="Comma 3 2 4 3 11" xfId="15349" xr:uid="{7BC34478-5D22-49C9-8F30-D95E38F51F72}"/>
    <cellStyle name="Comma 3 2 4 3 11 2" xfId="45589" xr:uid="{EB5AB887-F0EC-4843-8A26-F2835C6B53CD}"/>
    <cellStyle name="Comma 3 2 4 3 12" xfId="30469" xr:uid="{8FB87C70-CBDC-4311-B546-C53DD3762331}"/>
    <cellStyle name="Comma 3 2 4 3 2" xfId="481" xr:uid="{5FBF0D52-FA0F-4EC5-9204-9232D58B2BE0}"/>
    <cellStyle name="Comma 3 2 4 3 2 10" xfId="30721" xr:uid="{CA0AF8E8-5ECC-4BF0-98B2-F42125C353C1}"/>
    <cellStyle name="Comma 3 2 4 3 2 2" xfId="1237" xr:uid="{657F6BA6-20B1-4B29-A1C7-B23EA59A9DCD}"/>
    <cellStyle name="Comma 3 2 4 3 2 2 2" xfId="2749" xr:uid="{25A9FFAA-4CDE-4487-8F08-179C1E1B28AC}"/>
    <cellStyle name="Comma 3 2 4 3 2 2 2 2" xfId="11821" xr:uid="{115B648D-979D-4154-B384-2DE85ECCA8D0}"/>
    <cellStyle name="Comma 3 2 4 3 2 2 2 2 2" xfId="26941" xr:uid="{FB606576-BC95-43F7-B2A3-E89FAFC1FAC9}"/>
    <cellStyle name="Comma 3 2 4 3 2 2 2 2 2 2" xfId="57181" xr:uid="{21A06525-CD2E-4CD2-BA11-DF5D9C425B46}"/>
    <cellStyle name="Comma 3 2 4 3 2 2 2 2 3" xfId="42061" xr:uid="{93475C03-60E7-4C78-B041-BFB27DD26774}"/>
    <cellStyle name="Comma 3 2 4 3 2 2 2 3" xfId="17869" xr:uid="{89863101-FA58-4136-84FD-C2277BD63F09}"/>
    <cellStyle name="Comma 3 2 4 3 2 2 2 3 2" xfId="48109" xr:uid="{63F3C84E-04B2-436B-87FF-9D34685E05D7}"/>
    <cellStyle name="Comma 3 2 4 3 2 2 2 4" xfId="32989" xr:uid="{132A6AFD-0C16-4ECC-B889-417F1E8C2FCD}"/>
    <cellStyle name="Comma 3 2 4 3 2 2 3" xfId="4261" xr:uid="{80445D54-4E92-4B5C-A4D9-7879C5CF8AE9}"/>
    <cellStyle name="Comma 3 2 4 3 2 2 3 2" xfId="13333" xr:uid="{F6EA8237-A8E2-4FCA-8667-6F66E331FB0D}"/>
    <cellStyle name="Comma 3 2 4 3 2 2 3 2 2" xfId="28453" xr:uid="{4B759472-F9B3-4AF7-9E4F-C1B47FD40366}"/>
    <cellStyle name="Comma 3 2 4 3 2 2 3 2 2 2" xfId="58693" xr:uid="{E4499392-D22E-4404-95E7-D9C0BDA91924}"/>
    <cellStyle name="Comma 3 2 4 3 2 2 3 2 3" xfId="43573" xr:uid="{3A21C4C3-A253-4463-A946-C44D7031B70A}"/>
    <cellStyle name="Comma 3 2 4 3 2 2 3 3" xfId="19381" xr:uid="{A5078163-6EE4-4BF4-A6CA-E24251D6C12B}"/>
    <cellStyle name="Comma 3 2 4 3 2 2 3 3 2" xfId="49621" xr:uid="{56A8C633-A220-4B46-AD53-4FC1BE3EF53A}"/>
    <cellStyle name="Comma 3 2 4 3 2 2 3 4" xfId="34501" xr:uid="{D1A14B52-62C1-41ED-BD72-C05E7116508F}"/>
    <cellStyle name="Comma 3 2 4 3 2 2 4" xfId="5773" xr:uid="{A64E2068-E07D-410D-BA8B-C222B6923452}"/>
    <cellStyle name="Comma 3 2 4 3 2 2 4 2" xfId="14845" xr:uid="{45E46C91-EA9D-454E-BD34-B0910E73D619}"/>
    <cellStyle name="Comma 3 2 4 3 2 2 4 2 2" xfId="29965" xr:uid="{196A8C6D-B307-43F5-994D-2139D4207DD1}"/>
    <cellStyle name="Comma 3 2 4 3 2 2 4 2 2 2" xfId="60205" xr:uid="{DAA01239-F88B-4A6B-AF9F-A425FDDD6BB3}"/>
    <cellStyle name="Comma 3 2 4 3 2 2 4 2 3" xfId="45085" xr:uid="{53F75D5F-C3C4-446F-BB08-B4DE003CD8D5}"/>
    <cellStyle name="Comma 3 2 4 3 2 2 4 3" xfId="20893" xr:uid="{CFCEAAB4-5CA8-4AB0-8287-478A32285751}"/>
    <cellStyle name="Comma 3 2 4 3 2 2 4 3 2" xfId="51133" xr:uid="{7455A9BE-843C-4225-83FF-CC3303BD8F77}"/>
    <cellStyle name="Comma 3 2 4 3 2 2 4 4" xfId="36013" xr:uid="{CE5695AD-24B3-4BC0-91FC-FDA6D085A0AB}"/>
    <cellStyle name="Comma 3 2 4 3 2 2 5" xfId="7285" xr:uid="{0462ABB7-8402-4553-98B0-6C05D64E3731}"/>
    <cellStyle name="Comma 3 2 4 3 2 2 5 2" xfId="22405" xr:uid="{A7E7CF80-6DC1-478F-9B5B-26BBF985479B}"/>
    <cellStyle name="Comma 3 2 4 3 2 2 5 2 2" xfId="52645" xr:uid="{2464CF7B-53F0-4652-A55E-CDEE55DDABC2}"/>
    <cellStyle name="Comma 3 2 4 3 2 2 5 3" xfId="37525" xr:uid="{2824CC4B-0E18-4002-9F36-CC8301428CAE}"/>
    <cellStyle name="Comma 3 2 4 3 2 2 6" xfId="8797" xr:uid="{1126ADB7-852C-44BC-9039-AA856557D64E}"/>
    <cellStyle name="Comma 3 2 4 3 2 2 6 2" xfId="23917" xr:uid="{B58F2316-5AA6-4852-9BF3-CC763FF8D61C}"/>
    <cellStyle name="Comma 3 2 4 3 2 2 6 2 2" xfId="54157" xr:uid="{10690041-18B0-49A6-95B0-E463AE90276D}"/>
    <cellStyle name="Comma 3 2 4 3 2 2 6 3" xfId="39037" xr:uid="{F3C59C8D-83F1-4355-903A-1FD76406DB59}"/>
    <cellStyle name="Comma 3 2 4 3 2 2 7" xfId="10309" xr:uid="{54260551-4887-4842-BD73-CBEAA31EBE85}"/>
    <cellStyle name="Comma 3 2 4 3 2 2 7 2" xfId="25429" xr:uid="{B7FB9160-4776-4FA4-B6BC-0331D967A0E0}"/>
    <cellStyle name="Comma 3 2 4 3 2 2 7 2 2" xfId="55669" xr:uid="{48E34EB0-D422-4354-9C13-B932CF7C16EC}"/>
    <cellStyle name="Comma 3 2 4 3 2 2 7 3" xfId="40549" xr:uid="{9C7C61F3-BF2E-4316-B46A-F9061AF70202}"/>
    <cellStyle name="Comma 3 2 4 3 2 2 8" xfId="16357" xr:uid="{ED9D5389-2626-4291-AF78-8A86C22CF488}"/>
    <cellStyle name="Comma 3 2 4 3 2 2 8 2" xfId="46597" xr:uid="{C0B86649-05F5-44AC-9A45-B137C79B97B6}"/>
    <cellStyle name="Comma 3 2 4 3 2 2 9" xfId="31477" xr:uid="{8B7E52B7-78AF-4DEF-8439-6E23A5A0F2CD}"/>
    <cellStyle name="Comma 3 2 4 3 2 3" xfId="1993" xr:uid="{E95FFEB2-2382-4982-9DFC-83BE13062D2C}"/>
    <cellStyle name="Comma 3 2 4 3 2 3 2" xfId="11065" xr:uid="{F142DC19-C34B-46B2-8A7D-87EC56C55FEC}"/>
    <cellStyle name="Comma 3 2 4 3 2 3 2 2" xfId="26185" xr:uid="{20689510-4BC6-40F0-9EB3-7CE24092D942}"/>
    <cellStyle name="Comma 3 2 4 3 2 3 2 2 2" xfId="56425" xr:uid="{69F1796F-79E2-4108-99D2-4B4CAC3D6A18}"/>
    <cellStyle name="Comma 3 2 4 3 2 3 2 3" xfId="41305" xr:uid="{48434A95-35FB-405E-B466-5C669E07BF20}"/>
    <cellStyle name="Comma 3 2 4 3 2 3 3" xfId="17113" xr:uid="{D4471028-A51B-4892-B9F3-691C2C82C3D3}"/>
    <cellStyle name="Comma 3 2 4 3 2 3 3 2" xfId="47353" xr:uid="{782C6F98-CE38-4AD7-A849-FE0B0350D2EE}"/>
    <cellStyle name="Comma 3 2 4 3 2 3 4" xfId="32233" xr:uid="{D05425B6-99B4-459F-8E78-1ACF8CB642AF}"/>
    <cellStyle name="Comma 3 2 4 3 2 4" xfId="3505" xr:uid="{8AB36355-70AD-473D-B77C-949665B2D798}"/>
    <cellStyle name="Comma 3 2 4 3 2 4 2" xfId="12577" xr:uid="{A4816E4E-A9CA-4819-8970-4BF14AEE4CF0}"/>
    <cellStyle name="Comma 3 2 4 3 2 4 2 2" xfId="27697" xr:uid="{A65DAFFB-A96A-4FA0-84A3-447B6176B597}"/>
    <cellStyle name="Comma 3 2 4 3 2 4 2 2 2" xfId="57937" xr:uid="{5E59EE8C-667B-4401-B3F5-DA60CC4BB3A9}"/>
    <cellStyle name="Comma 3 2 4 3 2 4 2 3" xfId="42817" xr:uid="{D3AE8822-AA78-4018-A062-1E0AC9901676}"/>
    <cellStyle name="Comma 3 2 4 3 2 4 3" xfId="18625" xr:uid="{DF9FC6A1-413F-4286-9F18-FB7137F94BE1}"/>
    <cellStyle name="Comma 3 2 4 3 2 4 3 2" xfId="48865" xr:uid="{43A42219-7E1E-496C-892A-12673733B5BB}"/>
    <cellStyle name="Comma 3 2 4 3 2 4 4" xfId="33745" xr:uid="{B5F617BF-E74C-4B41-9E6A-DAE6362016FF}"/>
    <cellStyle name="Comma 3 2 4 3 2 5" xfId="5017" xr:uid="{33127549-F0A0-4FCF-8455-5BCA64A8A558}"/>
    <cellStyle name="Comma 3 2 4 3 2 5 2" xfId="14089" xr:uid="{B4502DD7-C5EB-4996-9EAA-39AA81069D10}"/>
    <cellStyle name="Comma 3 2 4 3 2 5 2 2" xfId="29209" xr:uid="{B4C7E707-E002-44B0-A991-33723A46357D}"/>
    <cellStyle name="Comma 3 2 4 3 2 5 2 2 2" xfId="59449" xr:uid="{2FEE9222-EB41-4319-90C4-11B102CA414B}"/>
    <cellStyle name="Comma 3 2 4 3 2 5 2 3" xfId="44329" xr:uid="{94083F6E-78E2-4BC1-A995-B1E8552093F7}"/>
    <cellStyle name="Comma 3 2 4 3 2 5 3" xfId="20137" xr:uid="{1EAA8BF9-E718-49C6-A8A0-A426EA9C6890}"/>
    <cellStyle name="Comma 3 2 4 3 2 5 3 2" xfId="50377" xr:uid="{84B48984-32FE-472F-B041-F7933BB182FA}"/>
    <cellStyle name="Comma 3 2 4 3 2 5 4" xfId="35257" xr:uid="{91DC1A00-76BA-465E-826D-D7E23C11CF0F}"/>
    <cellStyle name="Comma 3 2 4 3 2 6" xfId="6529" xr:uid="{3506F6EF-F93F-4F14-92E8-5EDA38CC6218}"/>
    <cellStyle name="Comma 3 2 4 3 2 6 2" xfId="21649" xr:uid="{F1C95542-A59C-4FB2-B046-B40E6A6DCA3A}"/>
    <cellStyle name="Comma 3 2 4 3 2 6 2 2" xfId="51889" xr:uid="{E5D45DC8-EB85-48CB-94A7-A9468DF65F44}"/>
    <cellStyle name="Comma 3 2 4 3 2 6 3" xfId="36769" xr:uid="{B8DE72BB-366C-4B86-A663-D6E6FB3D5D7B}"/>
    <cellStyle name="Comma 3 2 4 3 2 7" xfId="8041" xr:uid="{DE2D2F11-8144-41F3-8AE3-4B8E69A45ACB}"/>
    <cellStyle name="Comma 3 2 4 3 2 7 2" xfId="23161" xr:uid="{9C00C748-1B41-484E-B0B6-D3F9CFD662BF}"/>
    <cellStyle name="Comma 3 2 4 3 2 7 2 2" xfId="53401" xr:uid="{3C937C5E-B1A2-4D88-B8D9-E6CB35E842B9}"/>
    <cellStyle name="Comma 3 2 4 3 2 7 3" xfId="38281" xr:uid="{145BE1CF-5972-4396-A9CE-A68C52CC9294}"/>
    <cellStyle name="Comma 3 2 4 3 2 8" xfId="9553" xr:uid="{AE1B7524-9DD6-469D-8361-1455E103AB4F}"/>
    <cellStyle name="Comma 3 2 4 3 2 8 2" xfId="24673" xr:uid="{75515C73-91C4-435F-A971-15FE733C7AF6}"/>
    <cellStyle name="Comma 3 2 4 3 2 8 2 2" xfId="54913" xr:uid="{29BB1ADB-DF65-48F8-8789-C44B164AFD03}"/>
    <cellStyle name="Comma 3 2 4 3 2 8 3" xfId="39793" xr:uid="{8B32E4C2-F5FF-45A3-A64C-51DF2629F126}"/>
    <cellStyle name="Comma 3 2 4 3 2 9" xfId="15601" xr:uid="{A3C7CB69-CE81-4AB4-A147-DDE36E056689}"/>
    <cellStyle name="Comma 3 2 4 3 2 9 2" xfId="45841" xr:uid="{B02B12BB-AD80-4185-825F-996F2469B9B7}"/>
    <cellStyle name="Comma 3 2 4 3 3" xfId="733" xr:uid="{4506E272-4D66-4962-A73D-06D11CF969FB}"/>
    <cellStyle name="Comma 3 2 4 3 3 10" xfId="30973" xr:uid="{433C40CD-1FF6-4417-9891-903770EA7883}"/>
    <cellStyle name="Comma 3 2 4 3 3 2" xfId="1489" xr:uid="{700B1CFF-6937-44E1-91E1-7C8C5E795D03}"/>
    <cellStyle name="Comma 3 2 4 3 3 2 2" xfId="3001" xr:uid="{D6DB347B-0489-40EC-A754-127BB6720D6B}"/>
    <cellStyle name="Comma 3 2 4 3 3 2 2 2" xfId="12073" xr:uid="{3F66E293-6C7A-4F0C-B5F0-2F3456D9FC29}"/>
    <cellStyle name="Comma 3 2 4 3 3 2 2 2 2" xfId="27193" xr:uid="{52D6F3D0-D639-4A9D-A7B2-55CEE1197D58}"/>
    <cellStyle name="Comma 3 2 4 3 3 2 2 2 2 2" xfId="57433" xr:uid="{05317D88-4C04-49A1-A85B-025A24EE5755}"/>
    <cellStyle name="Comma 3 2 4 3 3 2 2 2 3" xfId="42313" xr:uid="{EF94A388-5C61-4EF8-B9C7-F5D61514EFF9}"/>
    <cellStyle name="Comma 3 2 4 3 3 2 2 3" xfId="18121" xr:uid="{CB894AA9-F3E6-4C03-BB27-BF6BB1F40A99}"/>
    <cellStyle name="Comma 3 2 4 3 3 2 2 3 2" xfId="48361" xr:uid="{EE94ADF6-D8F7-423B-8066-987F4385B9F2}"/>
    <cellStyle name="Comma 3 2 4 3 3 2 2 4" xfId="33241" xr:uid="{C419F92A-930A-4812-8F83-DE39E49E2EF4}"/>
    <cellStyle name="Comma 3 2 4 3 3 2 3" xfId="4513" xr:uid="{CACE4AB2-8AFA-4BB0-B182-E517195FFF65}"/>
    <cellStyle name="Comma 3 2 4 3 3 2 3 2" xfId="13585" xr:uid="{953F0CD0-A85B-4DDD-97E9-2337D0830520}"/>
    <cellStyle name="Comma 3 2 4 3 3 2 3 2 2" xfId="28705" xr:uid="{C918EF62-762C-448B-899F-1EBFB9988E49}"/>
    <cellStyle name="Comma 3 2 4 3 3 2 3 2 2 2" xfId="58945" xr:uid="{2557B3DE-DE4C-464B-AFFE-DA2C1054BE45}"/>
    <cellStyle name="Comma 3 2 4 3 3 2 3 2 3" xfId="43825" xr:uid="{3BB3CA37-39B7-4C37-9FB8-0497ECA25CE7}"/>
    <cellStyle name="Comma 3 2 4 3 3 2 3 3" xfId="19633" xr:uid="{0759990E-DD94-4076-A629-42064AD0564E}"/>
    <cellStyle name="Comma 3 2 4 3 3 2 3 3 2" xfId="49873" xr:uid="{B56F5D2D-2268-40A0-A595-9304B85DDE58}"/>
    <cellStyle name="Comma 3 2 4 3 3 2 3 4" xfId="34753" xr:uid="{B2D67D02-1D83-4683-94BF-906E86514B48}"/>
    <cellStyle name="Comma 3 2 4 3 3 2 4" xfId="6025" xr:uid="{DF3E2176-AC21-487B-8915-95636E2E4F7E}"/>
    <cellStyle name="Comma 3 2 4 3 3 2 4 2" xfId="15097" xr:uid="{CC8CFA5B-ABDF-4B2D-B8C9-D5D0A43BF337}"/>
    <cellStyle name="Comma 3 2 4 3 3 2 4 2 2" xfId="30217" xr:uid="{1CBB4283-92A4-4955-8A19-12DE149FBBD5}"/>
    <cellStyle name="Comma 3 2 4 3 3 2 4 2 2 2" xfId="60457" xr:uid="{0DC8C091-84F8-4ABA-B176-8C7AF47F9890}"/>
    <cellStyle name="Comma 3 2 4 3 3 2 4 2 3" xfId="45337" xr:uid="{6DBACAD7-0A30-48D7-B125-F7616F6267F6}"/>
    <cellStyle name="Comma 3 2 4 3 3 2 4 3" xfId="21145" xr:uid="{C7D2088F-54FB-4993-BA18-B43E7CC55C42}"/>
    <cellStyle name="Comma 3 2 4 3 3 2 4 3 2" xfId="51385" xr:uid="{1A3DCFDF-37BE-4962-B5C0-72031FE35639}"/>
    <cellStyle name="Comma 3 2 4 3 3 2 4 4" xfId="36265" xr:uid="{F8330356-46B3-4006-ABF5-83385031CBCC}"/>
    <cellStyle name="Comma 3 2 4 3 3 2 5" xfId="7537" xr:uid="{578498B7-037F-462C-A25C-44B7481013E4}"/>
    <cellStyle name="Comma 3 2 4 3 3 2 5 2" xfId="22657" xr:uid="{B1A4BCC0-652A-4BDB-B1AB-FA7A0B0400DA}"/>
    <cellStyle name="Comma 3 2 4 3 3 2 5 2 2" xfId="52897" xr:uid="{0BA890F5-6F73-4325-8857-664795928AC2}"/>
    <cellStyle name="Comma 3 2 4 3 3 2 5 3" xfId="37777" xr:uid="{DC7F4328-3440-4AEE-BBF7-E9E183C7BAFE}"/>
    <cellStyle name="Comma 3 2 4 3 3 2 6" xfId="9049" xr:uid="{1B0BF72F-66C2-46EE-811E-AE4A5E41E317}"/>
    <cellStyle name="Comma 3 2 4 3 3 2 6 2" xfId="24169" xr:uid="{DAA669A3-979E-41B3-B8FA-33A5569DDDD4}"/>
    <cellStyle name="Comma 3 2 4 3 3 2 6 2 2" xfId="54409" xr:uid="{294F7FA9-B6E7-4D69-B99A-B5DF114D5510}"/>
    <cellStyle name="Comma 3 2 4 3 3 2 6 3" xfId="39289" xr:uid="{A85B2C91-182D-4975-9651-BFFD04E40406}"/>
    <cellStyle name="Comma 3 2 4 3 3 2 7" xfId="10561" xr:uid="{D186D367-AFAA-40E2-9895-41C930C67187}"/>
    <cellStyle name="Comma 3 2 4 3 3 2 7 2" xfId="25681" xr:uid="{E14ECC76-DBD8-4FE3-ABEC-4C7D425E07F2}"/>
    <cellStyle name="Comma 3 2 4 3 3 2 7 2 2" xfId="55921" xr:uid="{82605A93-93C3-4107-AFA3-1720810C4CA6}"/>
    <cellStyle name="Comma 3 2 4 3 3 2 7 3" xfId="40801" xr:uid="{34423C6A-2F93-4EE5-B72B-E7C830651B6A}"/>
    <cellStyle name="Comma 3 2 4 3 3 2 8" xfId="16609" xr:uid="{22527CB7-FD3F-4718-9B23-E4347DD2D348}"/>
    <cellStyle name="Comma 3 2 4 3 3 2 8 2" xfId="46849" xr:uid="{14A166A3-B6F8-4B27-B59E-D0223A39826C}"/>
    <cellStyle name="Comma 3 2 4 3 3 2 9" xfId="31729" xr:uid="{4AD344F1-F439-429D-856F-A92C30551655}"/>
    <cellStyle name="Comma 3 2 4 3 3 3" xfId="2245" xr:uid="{AD73688B-C94C-45A1-8083-8E85AA50C069}"/>
    <cellStyle name="Comma 3 2 4 3 3 3 2" xfId="11317" xr:uid="{4CB8F484-DA78-472B-86FE-897FB5426CC5}"/>
    <cellStyle name="Comma 3 2 4 3 3 3 2 2" xfId="26437" xr:uid="{B09DD646-C213-4C4C-A592-8E53FED7AC05}"/>
    <cellStyle name="Comma 3 2 4 3 3 3 2 2 2" xfId="56677" xr:uid="{4C77DF0D-CE31-42A8-8AA5-1956D204E66C}"/>
    <cellStyle name="Comma 3 2 4 3 3 3 2 3" xfId="41557" xr:uid="{ACE72B22-5AFB-4382-8D80-27BC6EC846C0}"/>
    <cellStyle name="Comma 3 2 4 3 3 3 3" xfId="17365" xr:uid="{D63D98B9-B98A-4345-AEFA-D590F4BB07E8}"/>
    <cellStyle name="Comma 3 2 4 3 3 3 3 2" xfId="47605" xr:uid="{AA8CC9E2-EBC3-4C19-96C7-6A9724E7069D}"/>
    <cellStyle name="Comma 3 2 4 3 3 3 4" xfId="32485" xr:uid="{E3A8C53C-C54D-44D8-9070-54232EBC5A96}"/>
    <cellStyle name="Comma 3 2 4 3 3 4" xfId="3757" xr:uid="{CFAC0716-50B6-4EC5-B237-CEA6E49485D2}"/>
    <cellStyle name="Comma 3 2 4 3 3 4 2" xfId="12829" xr:uid="{FCAB0AEF-B2BA-48D6-9510-D79254D2F83F}"/>
    <cellStyle name="Comma 3 2 4 3 3 4 2 2" xfId="27949" xr:uid="{991B70B5-6C18-46A2-BD98-A248320B1589}"/>
    <cellStyle name="Comma 3 2 4 3 3 4 2 2 2" xfId="58189" xr:uid="{2DD5B59F-49B7-4A08-A310-34A3348163B4}"/>
    <cellStyle name="Comma 3 2 4 3 3 4 2 3" xfId="43069" xr:uid="{D9EF899C-5F74-49D0-8333-213BCE5262BF}"/>
    <cellStyle name="Comma 3 2 4 3 3 4 3" xfId="18877" xr:uid="{207C3336-C909-4DD1-8333-4AD1964601B7}"/>
    <cellStyle name="Comma 3 2 4 3 3 4 3 2" xfId="49117" xr:uid="{8A8303D8-E5A9-419D-81B3-7DF24279C9FB}"/>
    <cellStyle name="Comma 3 2 4 3 3 4 4" xfId="33997" xr:uid="{7D68F7D0-7A28-4F92-BFFC-4232390FAD8D}"/>
    <cellStyle name="Comma 3 2 4 3 3 5" xfId="5269" xr:uid="{28EBAB6A-16F0-4D76-8BCE-A7733CBE6681}"/>
    <cellStyle name="Comma 3 2 4 3 3 5 2" xfId="14341" xr:uid="{E2DFB79E-70A9-49EC-9081-921F65BB2C18}"/>
    <cellStyle name="Comma 3 2 4 3 3 5 2 2" xfId="29461" xr:uid="{3F58C6D9-3F3C-48A3-8564-2CDFBB76DF61}"/>
    <cellStyle name="Comma 3 2 4 3 3 5 2 2 2" xfId="59701" xr:uid="{38E414D8-D6BC-4231-8DD7-599C217FE747}"/>
    <cellStyle name="Comma 3 2 4 3 3 5 2 3" xfId="44581" xr:uid="{BA73210B-033D-422A-AF14-062653A8361F}"/>
    <cellStyle name="Comma 3 2 4 3 3 5 3" xfId="20389" xr:uid="{9858DEF0-E00B-4FC7-82FF-B4A7952FD9B4}"/>
    <cellStyle name="Comma 3 2 4 3 3 5 3 2" xfId="50629" xr:uid="{D29021B0-242A-4117-ADD8-54CBF3EA4CC5}"/>
    <cellStyle name="Comma 3 2 4 3 3 5 4" xfId="35509" xr:uid="{F2B09B23-DA8F-4CA0-9032-3C849EE598B1}"/>
    <cellStyle name="Comma 3 2 4 3 3 6" xfId="6781" xr:uid="{E488806A-A886-4E06-B2DB-159206E55751}"/>
    <cellStyle name="Comma 3 2 4 3 3 6 2" xfId="21901" xr:uid="{01E8DE1F-1D1D-432B-9ABF-F38D615FED31}"/>
    <cellStyle name="Comma 3 2 4 3 3 6 2 2" xfId="52141" xr:uid="{CB39F5A5-ACC8-4461-86E2-03AE1E4EFB43}"/>
    <cellStyle name="Comma 3 2 4 3 3 6 3" xfId="37021" xr:uid="{9A451830-6411-4039-BBD4-F4715795DEB1}"/>
    <cellStyle name="Comma 3 2 4 3 3 7" xfId="8293" xr:uid="{7857565E-4172-424F-9BEB-6C090AD491DF}"/>
    <cellStyle name="Comma 3 2 4 3 3 7 2" xfId="23413" xr:uid="{CD6D9974-5F17-4601-BCF0-7AB5DDDDC176}"/>
    <cellStyle name="Comma 3 2 4 3 3 7 2 2" xfId="53653" xr:uid="{46685257-64B1-4CBE-AF0F-144D5885E27B}"/>
    <cellStyle name="Comma 3 2 4 3 3 7 3" xfId="38533" xr:uid="{DA74C3AB-E7EE-4E99-AA68-2FAF4032F668}"/>
    <cellStyle name="Comma 3 2 4 3 3 8" xfId="9805" xr:uid="{660A0538-6149-46AF-94E7-2D997513A088}"/>
    <cellStyle name="Comma 3 2 4 3 3 8 2" xfId="24925" xr:uid="{C360740A-911F-443B-BF50-C2EEFC3F0FEE}"/>
    <cellStyle name="Comma 3 2 4 3 3 8 2 2" xfId="55165" xr:uid="{A09EDD68-F240-4FF3-8DB1-357C39698907}"/>
    <cellStyle name="Comma 3 2 4 3 3 8 3" xfId="40045" xr:uid="{50E9125C-4308-4422-82A9-3637CC207936}"/>
    <cellStyle name="Comma 3 2 4 3 3 9" xfId="15853" xr:uid="{DC2ADAF2-643C-40C5-B11E-A8915F4E51CB}"/>
    <cellStyle name="Comma 3 2 4 3 3 9 2" xfId="46093" xr:uid="{574DC4B0-881D-402B-9545-6B921BBBB04B}"/>
    <cellStyle name="Comma 3 2 4 3 4" xfId="985" xr:uid="{35590C44-CB5B-4F90-8DAD-F91F7963EC8A}"/>
    <cellStyle name="Comma 3 2 4 3 4 2" xfId="2497" xr:uid="{FE86F710-5E39-4C66-A50F-F9A918E06352}"/>
    <cellStyle name="Comma 3 2 4 3 4 2 2" xfId="11569" xr:uid="{9F9CDC7D-5124-4DBD-B7FB-10BC5B3A3CC8}"/>
    <cellStyle name="Comma 3 2 4 3 4 2 2 2" xfId="26689" xr:uid="{641E3D8D-B2EE-46D8-A92B-5F9E3EA3F8D6}"/>
    <cellStyle name="Comma 3 2 4 3 4 2 2 2 2" xfId="56929" xr:uid="{92C9468F-6EC0-46C1-BAA2-5DE14B69BEC8}"/>
    <cellStyle name="Comma 3 2 4 3 4 2 2 3" xfId="41809" xr:uid="{330134A8-B176-4146-82CC-160EBA68DAB3}"/>
    <cellStyle name="Comma 3 2 4 3 4 2 3" xfId="17617" xr:uid="{9CEE50CD-3402-479F-8945-0B7620AF10A7}"/>
    <cellStyle name="Comma 3 2 4 3 4 2 3 2" xfId="47857" xr:uid="{4BD64305-953E-43B3-95F1-F60CE92B1091}"/>
    <cellStyle name="Comma 3 2 4 3 4 2 4" xfId="32737" xr:uid="{79A02164-66F9-4B5F-B9DE-433865D29666}"/>
    <cellStyle name="Comma 3 2 4 3 4 3" xfId="4009" xr:uid="{2B055A21-3837-4789-9EF3-273E297BD3FC}"/>
    <cellStyle name="Comma 3 2 4 3 4 3 2" xfId="13081" xr:uid="{E172AE53-559A-4677-A99D-5E2C5E8C93B4}"/>
    <cellStyle name="Comma 3 2 4 3 4 3 2 2" xfId="28201" xr:uid="{C4B5987D-FE2A-4B30-9377-2C508E308D9F}"/>
    <cellStyle name="Comma 3 2 4 3 4 3 2 2 2" xfId="58441" xr:uid="{70049AFA-A260-41EC-809D-114E1089A91B}"/>
    <cellStyle name="Comma 3 2 4 3 4 3 2 3" xfId="43321" xr:uid="{CE1BE85D-0224-4094-A7F5-A27DA18EF7A8}"/>
    <cellStyle name="Comma 3 2 4 3 4 3 3" xfId="19129" xr:uid="{0218353A-A266-4E1D-B55F-929481EFF026}"/>
    <cellStyle name="Comma 3 2 4 3 4 3 3 2" xfId="49369" xr:uid="{1A9D64D6-1103-4A7F-9661-8B4023A84CDF}"/>
    <cellStyle name="Comma 3 2 4 3 4 3 4" xfId="34249" xr:uid="{CF20B140-01DA-4AD1-98DB-5C90A07B3DFD}"/>
    <cellStyle name="Comma 3 2 4 3 4 4" xfId="5521" xr:uid="{41634B43-E826-4D46-85BB-B9A9B7A95B13}"/>
    <cellStyle name="Comma 3 2 4 3 4 4 2" xfId="14593" xr:uid="{55DE6FF9-2E39-467E-AC7D-F8D7635555F0}"/>
    <cellStyle name="Comma 3 2 4 3 4 4 2 2" xfId="29713" xr:uid="{4E0EE52F-49D5-40E1-A6B8-214827332A0E}"/>
    <cellStyle name="Comma 3 2 4 3 4 4 2 2 2" xfId="59953" xr:uid="{0A6E9735-AD2C-45AF-B373-CF170065F5F8}"/>
    <cellStyle name="Comma 3 2 4 3 4 4 2 3" xfId="44833" xr:uid="{40D29DF8-6545-47A4-ACEE-C6048FAC56CA}"/>
    <cellStyle name="Comma 3 2 4 3 4 4 3" xfId="20641" xr:uid="{99669E63-7952-4E60-A685-3D6B8348842F}"/>
    <cellStyle name="Comma 3 2 4 3 4 4 3 2" xfId="50881" xr:uid="{D9D193D5-AF73-48F0-9329-6578E382D4AB}"/>
    <cellStyle name="Comma 3 2 4 3 4 4 4" xfId="35761" xr:uid="{765B735C-361B-4E76-95A5-C768D1B794AC}"/>
    <cellStyle name="Comma 3 2 4 3 4 5" xfId="7033" xr:uid="{67257517-971B-41CE-842C-03C55E5CB37D}"/>
    <cellStyle name="Comma 3 2 4 3 4 5 2" xfId="22153" xr:uid="{BF3C51D2-8992-41BC-847B-7D1CFCC4245D}"/>
    <cellStyle name="Comma 3 2 4 3 4 5 2 2" xfId="52393" xr:uid="{C161B186-3817-4D12-B539-784233866CBC}"/>
    <cellStyle name="Comma 3 2 4 3 4 5 3" xfId="37273" xr:uid="{CABBBA76-AB8E-4874-80D4-D28ECD7C5CB2}"/>
    <cellStyle name="Comma 3 2 4 3 4 6" xfId="8545" xr:uid="{566E8EE8-618B-4F56-9A9F-086DC236BBA5}"/>
    <cellStyle name="Comma 3 2 4 3 4 6 2" xfId="23665" xr:uid="{24F40585-3DCA-460B-9E4A-2D0A1AFBBC53}"/>
    <cellStyle name="Comma 3 2 4 3 4 6 2 2" xfId="53905" xr:uid="{B632C56B-156D-430A-8948-AB6CB00C3B6B}"/>
    <cellStyle name="Comma 3 2 4 3 4 6 3" xfId="38785" xr:uid="{94A262DD-F80F-4097-AD12-8F6470452D3E}"/>
    <cellStyle name="Comma 3 2 4 3 4 7" xfId="10057" xr:uid="{1EBDAF03-9BE2-4EE8-9A3F-B9F8BC11DD2C}"/>
    <cellStyle name="Comma 3 2 4 3 4 7 2" xfId="25177" xr:uid="{AF1CE61C-BC95-4304-8510-1D1DC3E8ADD4}"/>
    <cellStyle name="Comma 3 2 4 3 4 7 2 2" xfId="55417" xr:uid="{5F581644-C4AE-4439-A1D5-826A208E871D}"/>
    <cellStyle name="Comma 3 2 4 3 4 7 3" xfId="40297" xr:uid="{03CBB745-86EC-4363-A77B-D7F6EBD2B954}"/>
    <cellStyle name="Comma 3 2 4 3 4 8" xfId="16105" xr:uid="{62266381-A5AC-455F-8372-FA6820065678}"/>
    <cellStyle name="Comma 3 2 4 3 4 8 2" xfId="46345" xr:uid="{41D30201-E310-48AA-ABDC-201E4ED2CFCE}"/>
    <cellStyle name="Comma 3 2 4 3 4 9" xfId="31225" xr:uid="{FDA5D4B7-04B2-4ED3-B8FF-F3EE1D19DE3C}"/>
    <cellStyle name="Comma 3 2 4 3 5" xfId="1741" xr:uid="{31DA3A0C-05B6-4948-A4DE-C314C22EC486}"/>
    <cellStyle name="Comma 3 2 4 3 5 2" xfId="10813" xr:uid="{0659200E-9CFD-4D3E-962F-81643EEAF55B}"/>
    <cellStyle name="Comma 3 2 4 3 5 2 2" xfId="25933" xr:uid="{DC5A5DC3-632A-4325-824C-C8F024CDBCD0}"/>
    <cellStyle name="Comma 3 2 4 3 5 2 2 2" xfId="56173" xr:uid="{3D654970-556D-49FA-8C4A-5A6FA77E5B8E}"/>
    <cellStyle name="Comma 3 2 4 3 5 2 3" xfId="41053" xr:uid="{8A164D6C-1900-49CB-A0C5-0386DA4AD213}"/>
    <cellStyle name="Comma 3 2 4 3 5 3" xfId="16861" xr:uid="{F2753686-9F88-4063-8020-9E9AEBC65774}"/>
    <cellStyle name="Comma 3 2 4 3 5 3 2" xfId="47101" xr:uid="{BAFC7899-D839-4474-8118-B62F8E49D9B6}"/>
    <cellStyle name="Comma 3 2 4 3 5 4" xfId="31981" xr:uid="{4ECFC87F-F9DC-4E21-9152-CF2456C3B60C}"/>
    <cellStyle name="Comma 3 2 4 3 6" xfId="3253" xr:uid="{1A6678FA-6F18-4F98-8923-E1C35DA5F29A}"/>
    <cellStyle name="Comma 3 2 4 3 6 2" xfId="12325" xr:uid="{EA99A2D9-AFFD-46D6-9B8A-F5C33D57AD5D}"/>
    <cellStyle name="Comma 3 2 4 3 6 2 2" xfId="27445" xr:uid="{8846DD92-6609-44F9-B297-813F15DB5B01}"/>
    <cellStyle name="Comma 3 2 4 3 6 2 2 2" xfId="57685" xr:uid="{5D8BB0F7-8B32-479F-8E10-5AFB4CA8AFC1}"/>
    <cellStyle name="Comma 3 2 4 3 6 2 3" xfId="42565" xr:uid="{EA39BDC5-9A09-4EB0-A2F1-B58937F08C1F}"/>
    <cellStyle name="Comma 3 2 4 3 6 3" xfId="18373" xr:uid="{BF450B7D-5504-4807-919E-EB6EB49B64DD}"/>
    <cellStyle name="Comma 3 2 4 3 6 3 2" xfId="48613" xr:uid="{26A9DA1A-CB31-4100-B8BC-0FE7B1754367}"/>
    <cellStyle name="Comma 3 2 4 3 6 4" xfId="33493" xr:uid="{51CF8C7A-4AE7-4B01-8370-06B7190BB0A3}"/>
    <cellStyle name="Comma 3 2 4 3 7" xfId="4765" xr:uid="{18BC7F59-8798-45DC-899D-5B7B3CD32651}"/>
    <cellStyle name="Comma 3 2 4 3 7 2" xfId="13837" xr:uid="{C86DD6CB-D2AF-40B4-9FFD-AE952A3EE7D0}"/>
    <cellStyle name="Comma 3 2 4 3 7 2 2" xfId="28957" xr:uid="{949C0E9F-96BC-4438-94FB-A394BBBFA5FA}"/>
    <cellStyle name="Comma 3 2 4 3 7 2 2 2" xfId="59197" xr:uid="{894435BD-137C-4C85-A253-4A0F41B228C2}"/>
    <cellStyle name="Comma 3 2 4 3 7 2 3" xfId="44077" xr:uid="{D545ED6E-B57D-4634-A922-4FD32F7B21BE}"/>
    <cellStyle name="Comma 3 2 4 3 7 3" xfId="19885" xr:uid="{5870027E-0440-4DEA-A314-B862C1F062E3}"/>
    <cellStyle name="Comma 3 2 4 3 7 3 2" xfId="50125" xr:uid="{82D25EDD-01A6-4146-BD3E-491CCE962A30}"/>
    <cellStyle name="Comma 3 2 4 3 7 4" xfId="35005" xr:uid="{DD3A5DCE-5023-4A52-8271-EF59CE8E9255}"/>
    <cellStyle name="Comma 3 2 4 3 8" xfId="6277" xr:uid="{0F73CFA2-6AF6-4B43-8090-1487670E97E8}"/>
    <cellStyle name="Comma 3 2 4 3 8 2" xfId="21397" xr:uid="{BDCC4457-318B-4F33-9BC5-745D40EFFD84}"/>
    <cellStyle name="Comma 3 2 4 3 8 2 2" xfId="51637" xr:uid="{BFBDC757-FD74-4A9D-8A7E-6528A30CDA2A}"/>
    <cellStyle name="Comma 3 2 4 3 8 3" xfId="36517" xr:uid="{8F319F59-58F9-4409-8764-C0C15E2535D6}"/>
    <cellStyle name="Comma 3 2 4 3 9" xfId="7789" xr:uid="{FFA0A1F7-6C94-40D4-8A99-1AB99DA61492}"/>
    <cellStyle name="Comma 3 2 4 3 9 2" xfId="22909" xr:uid="{BF0126F6-14F8-436C-B1B4-AD254418C759}"/>
    <cellStyle name="Comma 3 2 4 3 9 2 2" xfId="53149" xr:uid="{112DD47A-3D35-4D26-AC27-643882BE86B2}"/>
    <cellStyle name="Comma 3 2 4 3 9 3" xfId="38029" xr:uid="{15389A00-3235-455B-8179-179746FB2A98}"/>
    <cellStyle name="Comma 3 2 4 4" xfId="313" xr:uid="{4FA38A61-2120-4A01-BAB5-2C12FE29FD5D}"/>
    <cellStyle name="Comma 3 2 4 4 10" xfId="30553" xr:uid="{5804927C-8B54-4CA2-BAFA-BAC85A24C7CF}"/>
    <cellStyle name="Comma 3 2 4 4 2" xfId="1069" xr:uid="{F9D1B754-35C1-4941-BD5E-D6EF2B9C2D9A}"/>
    <cellStyle name="Comma 3 2 4 4 2 2" xfId="2581" xr:uid="{6446870C-A753-4F12-8D80-645C8590BB9E}"/>
    <cellStyle name="Comma 3 2 4 4 2 2 2" xfId="11653" xr:uid="{2A5FC074-DF92-44E9-B8A4-E9ACF8C32F1B}"/>
    <cellStyle name="Comma 3 2 4 4 2 2 2 2" xfId="26773" xr:uid="{59B1BE5E-FA1D-48ED-A666-ABBEB1AE63B4}"/>
    <cellStyle name="Comma 3 2 4 4 2 2 2 2 2" xfId="57013" xr:uid="{BA0BBDAC-EEB3-491C-B764-F8C741DF5B4A}"/>
    <cellStyle name="Comma 3 2 4 4 2 2 2 3" xfId="41893" xr:uid="{6B6191B6-D260-4A56-BE41-012696E39D08}"/>
    <cellStyle name="Comma 3 2 4 4 2 2 3" xfId="17701" xr:uid="{C439D685-D15A-46EB-9D71-02664BB6896A}"/>
    <cellStyle name="Comma 3 2 4 4 2 2 3 2" xfId="47941" xr:uid="{79EF6729-45F9-49E7-9F42-33A40D348A64}"/>
    <cellStyle name="Comma 3 2 4 4 2 2 4" xfId="32821" xr:uid="{5C66771F-22AE-472B-9659-E281A2252E0C}"/>
    <cellStyle name="Comma 3 2 4 4 2 3" xfId="4093" xr:uid="{AA723D59-A6B8-43AD-9291-A8E3DB671784}"/>
    <cellStyle name="Comma 3 2 4 4 2 3 2" xfId="13165" xr:uid="{439CEDF2-D224-4F9F-975C-1CFC9F3098E7}"/>
    <cellStyle name="Comma 3 2 4 4 2 3 2 2" xfId="28285" xr:uid="{A36ACFD7-29BC-4855-9C37-DD5BA85450E0}"/>
    <cellStyle name="Comma 3 2 4 4 2 3 2 2 2" xfId="58525" xr:uid="{339FA164-2EC7-4250-9556-913D9E173033}"/>
    <cellStyle name="Comma 3 2 4 4 2 3 2 3" xfId="43405" xr:uid="{313FC152-B0A5-4193-B639-89510FD30F59}"/>
    <cellStyle name="Comma 3 2 4 4 2 3 3" xfId="19213" xr:uid="{78A900F0-FBE1-422F-A91F-38611F06495B}"/>
    <cellStyle name="Comma 3 2 4 4 2 3 3 2" xfId="49453" xr:uid="{934F3FF1-2E09-4540-B294-1990A8338EEA}"/>
    <cellStyle name="Comma 3 2 4 4 2 3 4" xfId="34333" xr:uid="{53CEC84A-4DFC-49CE-8880-1C1A5F39F988}"/>
    <cellStyle name="Comma 3 2 4 4 2 4" xfId="5605" xr:uid="{9F834244-15FA-4BD8-9548-4E5C4549C913}"/>
    <cellStyle name="Comma 3 2 4 4 2 4 2" xfId="14677" xr:uid="{CB1719CD-0783-45FE-B915-FB44138C0F03}"/>
    <cellStyle name="Comma 3 2 4 4 2 4 2 2" xfId="29797" xr:uid="{BCB3A49C-B23E-434E-9DFB-7ED492D7B41B}"/>
    <cellStyle name="Comma 3 2 4 4 2 4 2 2 2" xfId="60037" xr:uid="{07B762EB-F5FD-40FC-A70C-9FCC1A4499F2}"/>
    <cellStyle name="Comma 3 2 4 4 2 4 2 3" xfId="44917" xr:uid="{75A79174-ABB0-4153-B74A-05713438B014}"/>
    <cellStyle name="Comma 3 2 4 4 2 4 3" xfId="20725" xr:uid="{5A91764D-A1F5-4AC7-905E-961854A38834}"/>
    <cellStyle name="Comma 3 2 4 4 2 4 3 2" xfId="50965" xr:uid="{A3B30250-0E2F-4D9F-8898-CE7ED86223FA}"/>
    <cellStyle name="Comma 3 2 4 4 2 4 4" xfId="35845" xr:uid="{9C256076-9FEA-4D12-B224-27EEB589686E}"/>
    <cellStyle name="Comma 3 2 4 4 2 5" xfId="7117" xr:uid="{12326047-E14D-48B1-A228-41D3C29AEE63}"/>
    <cellStyle name="Comma 3 2 4 4 2 5 2" xfId="22237" xr:uid="{BCAB2E8D-153B-4D5C-971D-CCF61983B138}"/>
    <cellStyle name="Comma 3 2 4 4 2 5 2 2" xfId="52477" xr:uid="{CE79C2B9-E78F-4F44-9498-53773FB0BFFF}"/>
    <cellStyle name="Comma 3 2 4 4 2 5 3" xfId="37357" xr:uid="{D4689A87-6D43-45BC-89D9-58B76B238BB5}"/>
    <cellStyle name="Comma 3 2 4 4 2 6" xfId="8629" xr:uid="{9FD29ADA-02DD-480F-8E1A-A1824F999DCA}"/>
    <cellStyle name="Comma 3 2 4 4 2 6 2" xfId="23749" xr:uid="{18447CAD-2D7E-410A-AA5C-373A386B462F}"/>
    <cellStyle name="Comma 3 2 4 4 2 6 2 2" xfId="53989" xr:uid="{4A296A3C-B945-4474-9AD5-AE0F1310EC6F}"/>
    <cellStyle name="Comma 3 2 4 4 2 6 3" xfId="38869" xr:uid="{EB30A308-C5BC-4262-9D15-4C43647805A4}"/>
    <cellStyle name="Comma 3 2 4 4 2 7" xfId="10141" xr:uid="{5093197D-0C2F-4A69-9415-D5F75645E007}"/>
    <cellStyle name="Comma 3 2 4 4 2 7 2" xfId="25261" xr:uid="{B0522FE4-1E75-485B-A1DE-D7F8822667E3}"/>
    <cellStyle name="Comma 3 2 4 4 2 7 2 2" xfId="55501" xr:uid="{8BC6D0BD-FA98-452C-A7A9-EA66EACAD96C}"/>
    <cellStyle name="Comma 3 2 4 4 2 7 3" xfId="40381" xr:uid="{8E9015C2-AE3A-414E-AFF0-EA92D6A69F41}"/>
    <cellStyle name="Comma 3 2 4 4 2 8" xfId="16189" xr:uid="{FD00B894-0D89-44A6-B406-1CCECED3195F}"/>
    <cellStyle name="Comma 3 2 4 4 2 8 2" xfId="46429" xr:uid="{D5CA4EA5-EA86-49D3-8691-1512CE68631A}"/>
    <cellStyle name="Comma 3 2 4 4 2 9" xfId="31309" xr:uid="{2DD8CE54-E22A-4C1F-AD68-2E68B00AB10D}"/>
    <cellStyle name="Comma 3 2 4 4 3" xfId="1825" xr:uid="{0B538537-F392-440F-BD0D-A35CB5B91DF2}"/>
    <cellStyle name="Comma 3 2 4 4 3 2" xfId="10897" xr:uid="{5E15113E-F063-4D1D-8CD1-B2B37A46490D}"/>
    <cellStyle name="Comma 3 2 4 4 3 2 2" xfId="26017" xr:uid="{4FC4EBF7-F601-4E0E-AEAB-886D1EA7FA12}"/>
    <cellStyle name="Comma 3 2 4 4 3 2 2 2" xfId="56257" xr:uid="{9E5A2C2B-B494-4351-A8F7-41CCEA85680A}"/>
    <cellStyle name="Comma 3 2 4 4 3 2 3" xfId="41137" xr:uid="{ACF15DFE-2581-4531-8358-15E681B9F91C}"/>
    <cellStyle name="Comma 3 2 4 4 3 3" xfId="16945" xr:uid="{9CD990B4-6ECE-4DE6-B342-904A5E91BA66}"/>
    <cellStyle name="Comma 3 2 4 4 3 3 2" xfId="47185" xr:uid="{1851AF48-60DB-41BD-85B3-77EFE93B0356}"/>
    <cellStyle name="Comma 3 2 4 4 3 4" xfId="32065" xr:uid="{AF721B5C-A9F0-4836-A7CA-90BC89035586}"/>
    <cellStyle name="Comma 3 2 4 4 4" xfId="3337" xr:uid="{3FC186E2-F656-4295-895A-DF89CDFFFE72}"/>
    <cellStyle name="Comma 3 2 4 4 4 2" xfId="12409" xr:uid="{7293C33F-C983-4E78-80BC-3D40DC896548}"/>
    <cellStyle name="Comma 3 2 4 4 4 2 2" xfId="27529" xr:uid="{0BF01B64-39CF-4858-84B1-F7CFA04D1E56}"/>
    <cellStyle name="Comma 3 2 4 4 4 2 2 2" xfId="57769" xr:uid="{3EC2EEBE-D236-47CA-B69B-163BFCDD60D6}"/>
    <cellStyle name="Comma 3 2 4 4 4 2 3" xfId="42649" xr:uid="{E0282D71-F7F2-46B7-9882-6731A56F7097}"/>
    <cellStyle name="Comma 3 2 4 4 4 3" xfId="18457" xr:uid="{6312295C-F2A5-4302-AAB6-E954A083B9F5}"/>
    <cellStyle name="Comma 3 2 4 4 4 3 2" xfId="48697" xr:uid="{9D58DC8F-459B-42E7-9576-522E38003663}"/>
    <cellStyle name="Comma 3 2 4 4 4 4" xfId="33577" xr:uid="{FC578CA4-1582-463D-9AEB-5643A76139A0}"/>
    <cellStyle name="Comma 3 2 4 4 5" xfId="4849" xr:uid="{41652D43-C0F8-4DAE-B500-28FB66597AD8}"/>
    <cellStyle name="Comma 3 2 4 4 5 2" xfId="13921" xr:uid="{01D7EDE6-76F0-4491-A9E9-C477771DC89C}"/>
    <cellStyle name="Comma 3 2 4 4 5 2 2" xfId="29041" xr:uid="{BA5FBAD4-166E-4051-A74F-E8A02E73CBDF}"/>
    <cellStyle name="Comma 3 2 4 4 5 2 2 2" xfId="59281" xr:uid="{6715141A-C52B-42D7-BD09-EB48D589E3F8}"/>
    <cellStyle name="Comma 3 2 4 4 5 2 3" xfId="44161" xr:uid="{E1418A66-A35E-474B-8F99-D350C75EDB57}"/>
    <cellStyle name="Comma 3 2 4 4 5 3" xfId="19969" xr:uid="{0C76E7DC-61F7-49BE-9073-248F1D5DE941}"/>
    <cellStyle name="Comma 3 2 4 4 5 3 2" xfId="50209" xr:uid="{98FFBB97-3FC9-4C4A-8089-831004F9B06A}"/>
    <cellStyle name="Comma 3 2 4 4 5 4" xfId="35089" xr:uid="{1EB83097-EC4F-45DA-8804-3B5D2E312481}"/>
    <cellStyle name="Comma 3 2 4 4 6" xfId="6361" xr:uid="{13C97D17-9435-4167-B268-8D695ED74DB8}"/>
    <cellStyle name="Comma 3 2 4 4 6 2" xfId="21481" xr:uid="{0ED35DAF-059E-4DFD-82D4-E84586E9FAF8}"/>
    <cellStyle name="Comma 3 2 4 4 6 2 2" xfId="51721" xr:uid="{AF478310-E6F9-4E93-947C-C387D9FFE751}"/>
    <cellStyle name="Comma 3 2 4 4 6 3" xfId="36601" xr:uid="{07FC3A09-D2B0-4866-8F9D-A4ECDE9C3A9D}"/>
    <cellStyle name="Comma 3 2 4 4 7" xfId="7873" xr:uid="{1BEF99BC-4AE3-48A4-9822-8D4DC7F348B1}"/>
    <cellStyle name="Comma 3 2 4 4 7 2" xfId="22993" xr:uid="{EDAE0FE1-F1F8-45D8-A859-A52E11665F3D}"/>
    <cellStyle name="Comma 3 2 4 4 7 2 2" xfId="53233" xr:uid="{CDC8FD1F-28ED-4E85-9487-73D1D5ADD0BE}"/>
    <cellStyle name="Comma 3 2 4 4 7 3" xfId="38113" xr:uid="{AD6839E1-C01C-45EF-B4D0-3900E3462CE8}"/>
    <cellStyle name="Comma 3 2 4 4 8" xfId="9385" xr:uid="{0FC17495-71B5-484C-A444-8BB84FFE9FE9}"/>
    <cellStyle name="Comma 3 2 4 4 8 2" xfId="24505" xr:uid="{9022CA5F-85DF-4323-8DF0-A24CF546E313}"/>
    <cellStyle name="Comma 3 2 4 4 8 2 2" xfId="54745" xr:uid="{0FD29FD5-0A1C-4A57-8941-F35C24D5C599}"/>
    <cellStyle name="Comma 3 2 4 4 8 3" xfId="39625" xr:uid="{789DB45A-BF15-4386-AA7F-185DCA6C5109}"/>
    <cellStyle name="Comma 3 2 4 4 9" xfId="15433" xr:uid="{62AF4C7A-789E-4B17-8C7D-590E05941ADC}"/>
    <cellStyle name="Comma 3 2 4 4 9 2" xfId="45673" xr:uid="{A4043B18-16F1-4FAB-9E07-FE827D4B6533}"/>
    <cellStyle name="Comma 3 2 4 5" xfId="565" xr:uid="{92277C18-C6F4-4898-B65E-C77F17D54B7A}"/>
    <cellStyle name="Comma 3 2 4 5 10" xfId="30805" xr:uid="{9296142C-6C98-4A8E-9D90-0A922ED8529B}"/>
    <cellStyle name="Comma 3 2 4 5 2" xfId="1321" xr:uid="{63ED48FA-E234-408D-9535-930949032B44}"/>
    <cellStyle name="Comma 3 2 4 5 2 2" xfId="2833" xr:uid="{00AE355B-C485-49FF-9ACD-AF7F55FF825A}"/>
    <cellStyle name="Comma 3 2 4 5 2 2 2" xfId="11905" xr:uid="{328A7785-2541-41A0-9342-97B481C1946E}"/>
    <cellStyle name="Comma 3 2 4 5 2 2 2 2" xfId="27025" xr:uid="{D7203769-DBB7-4F1C-93CE-B4978B1D5F65}"/>
    <cellStyle name="Comma 3 2 4 5 2 2 2 2 2" xfId="57265" xr:uid="{47F42857-2348-490F-84D3-482FFB49EED0}"/>
    <cellStyle name="Comma 3 2 4 5 2 2 2 3" xfId="42145" xr:uid="{07925535-97AD-4E90-81EE-7B54E593DFD1}"/>
    <cellStyle name="Comma 3 2 4 5 2 2 3" xfId="17953" xr:uid="{01D30783-542C-44A2-9DA1-C60ECF56C6E1}"/>
    <cellStyle name="Comma 3 2 4 5 2 2 3 2" xfId="48193" xr:uid="{29DBB21B-33FB-499B-AFF9-BF0F595F7C79}"/>
    <cellStyle name="Comma 3 2 4 5 2 2 4" xfId="33073" xr:uid="{87E32EC3-3B37-465A-AF0A-70D62BB8A3E1}"/>
    <cellStyle name="Comma 3 2 4 5 2 3" xfId="4345" xr:uid="{9BB89ABB-4408-4E0B-952D-CE4E1BD115C6}"/>
    <cellStyle name="Comma 3 2 4 5 2 3 2" xfId="13417" xr:uid="{BE4CD7B6-D4CE-46C5-993D-1FFCD2B2BCE9}"/>
    <cellStyle name="Comma 3 2 4 5 2 3 2 2" xfId="28537" xr:uid="{7E585079-53CC-4E2A-96F7-A27C35FD2464}"/>
    <cellStyle name="Comma 3 2 4 5 2 3 2 2 2" xfId="58777" xr:uid="{BB611232-D69D-4262-8F72-11014F249E27}"/>
    <cellStyle name="Comma 3 2 4 5 2 3 2 3" xfId="43657" xr:uid="{7A91E389-B2FE-4046-AC39-7EC5666D2496}"/>
    <cellStyle name="Comma 3 2 4 5 2 3 3" xfId="19465" xr:uid="{A0EADE13-5DFC-479A-995A-058A147A77D5}"/>
    <cellStyle name="Comma 3 2 4 5 2 3 3 2" xfId="49705" xr:uid="{F7933CFD-04A0-4892-81BF-D30E737F9181}"/>
    <cellStyle name="Comma 3 2 4 5 2 3 4" xfId="34585" xr:uid="{B91CF9CF-BFDE-4213-BF00-812F25EF26E4}"/>
    <cellStyle name="Comma 3 2 4 5 2 4" xfId="5857" xr:uid="{7FB662F7-A955-42C6-A87A-97A8B22E236A}"/>
    <cellStyle name="Comma 3 2 4 5 2 4 2" xfId="14929" xr:uid="{D3AC0519-2C37-4624-A119-C6195344BDBD}"/>
    <cellStyle name="Comma 3 2 4 5 2 4 2 2" xfId="30049" xr:uid="{9AE30E3C-4E60-406D-A0BC-864AF1BFB160}"/>
    <cellStyle name="Comma 3 2 4 5 2 4 2 2 2" xfId="60289" xr:uid="{94EE4A4A-35C5-4415-9021-358D9E911CAC}"/>
    <cellStyle name="Comma 3 2 4 5 2 4 2 3" xfId="45169" xr:uid="{BD227D8B-A6A8-492B-BEB7-31D2BA280690}"/>
    <cellStyle name="Comma 3 2 4 5 2 4 3" xfId="20977" xr:uid="{BB1566E8-5C17-4D94-9FEA-629D9A0E2516}"/>
    <cellStyle name="Comma 3 2 4 5 2 4 3 2" xfId="51217" xr:uid="{108F4131-E21C-4134-ADD3-C52F67391FED}"/>
    <cellStyle name="Comma 3 2 4 5 2 4 4" xfId="36097" xr:uid="{F49442C6-9B69-4C43-8C2B-02E305FBA5FD}"/>
    <cellStyle name="Comma 3 2 4 5 2 5" xfId="7369" xr:uid="{7D1ACEFC-D21A-47CA-BF91-E8D1F8F44822}"/>
    <cellStyle name="Comma 3 2 4 5 2 5 2" xfId="22489" xr:uid="{185EE7D0-F695-406B-BC69-71C26EF1D67B}"/>
    <cellStyle name="Comma 3 2 4 5 2 5 2 2" xfId="52729" xr:uid="{1A2199F7-EB43-4300-8ABB-B0CBE458B12E}"/>
    <cellStyle name="Comma 3 2 4 5 2 5 3" xfId="37609" xr:uid="{ADAE3DDE-D640-424C-8BA9-DC2EFFBB953C}"/>
    <cellStyle name="Comma 3 2 4 5 2 6" xfId="8881" xr:uid="{CF9E87C9-32AA-4DE5-B9D7-FC6BB3257659}"/>
    <cellStyle name="Comma 3 2 4 5 2 6 2" xfId="24001" xr:uid="{64EF4B39-C834-4BBA-9DD9-E4C4FCAC2922}"/>
    <cellStyle name="Comma 3 2 4 5 2 6 2 2" xfId="54241" xr:uid="{BAF194F2-B3FB-4CDE-8057-CA841C9A5D47}"/>
    <cellStyle name="Comma 3 2 4 5 2 6 3" xfId="39121" xr:uid="{3D788F15-C4FE-4B1B-ACB4-4A2FC324341B}"/>
    <cellStyle name="Comma 3 2 4 5 2 7" xfId="10393" xr:uid="{EA7CC645-09C9-40DB-89E1-680A6A1535F5}"/>
    <cellStyle name="Comma 3 2 4 5 2 7 2" xfId="25513" xr:uid="{EEE72624-FF58-49ED-9053-2BD890BE7E54}"/>
    <cellStyle name="Comma 3 2 4 5 2 7 2 2" xfId="55753" xr:uid="{460E6262-95D3-40E6-9CEF-276282B35178}"/>
    <cellStyle name="Comma 3 2 4 5 2 7 3" xfId="40633" xr:uid="{BB0BDBDE-9AFD-4463-A9E6-83057C4FEA7D}"/>
    <cellStyle name="Comma 3 2 4 5 2 8" xfId="16441" xr:uid="{76D85DA4-DC1D-4E24-BE0A-0D1ADC3B3B22}"/>
    <cellStyle name="Comma 3 2 4 5 2 8 2" xfId="46681" xr:uid="{B8D2A321-B1E1-494B-828A-D75582475305}"/>
    <cellStyle name="Comma 3 2 4 5 2 9" xfId="31561" xr:uid="{DCC16BA4-00D3-43E9-9514-3A5E6C180D99}"/>
    <cellStyle name="Comma 3 2 4 5 3" xfId="2077" xr:uid="{B3121317-7178-42CB-94BD-6FBA644AFC02}"/>
    <cellStyle name="Comma 3 2 4 5 3 2" xfId="11149" xr:uid="{024E4CF5-93D4-4521-8F45-D872156EC6D8}"/>
    <cellStyle name="Comma 3 2 4 5 3 2 2" xfId="26269" xr:uid="{07BC3E24-91FD-4913-8B30-930379102D61}"/>
    <cellStyle name="Comma 3 2 4 5 3 2 2 2" xfId="56509" xr:uid="{635B1971-8C73-41D1-98D6-BCD44506EE28}"/>
    <cellStyle name="Comma 3 2 4 5 3 2 3" xfId="41389" xr:uid="{F37F294D-01A4-4CEA-81C1-3B1F6A3B97E8}"/>
    <cellStyle name="Comma 3 2 4 5 3 3" xfId="17197" xr:uid="{48352EFC-58DD-4AAA-8FA9-40E3F4526336}"/>
    <cellStyle name="Comma 3 2 4 5 3 3 2" xfId="47437" xr:uid="{83E055D2-B5B6-4C74-8299-F3DC6A500232}"/>
    <cellStyle name="Comma 3 2 4 5 3 4" xfId="32317" xr:uid="{2E0F4717-2140-4FC9-97C2-FAAC27A7329C}"/>
    <cellStyle name="Comma 3 2 4 5 4" xfId="3589" xr:uid="{DBBB0EEE-44B2-4659-8A44-5073A4BF4AB8}"/>
    <cellStyle name="Comma 3 2 4 5 4 2" xfId="12661" xr:uid="{CB0F7F68-2E45-4A75-97EE-93988E2000FB}"/>
    <cellStyle name="Comma 3 2 4 5 4 2 2" xfId="27781" xr:uid="{0E65B0F9-2113-4A81-B90B-72C3095B1C51}"/>
    <cellStyle name="Comma 3 2 4 5 4 2 2 2" xfId="58021" xr:uid="{1C46D1C8-C18B-4850-A72B-EB6A612119CF}"/>
    <cellStyle name="Comma 3 2 4 5 4 2 3" xfId="42901" xr:uid="{EF5D8CD4-B3A3-44C1-A504-2D062B53A7CC}"/>
    <cellStyle name="Comma 3 2 4 5 4 3" xfId="18709" xr:uid="{98E8A73F-D0FE-42DA-A389-222DC074FE66}"/>
    <cellStyle name="Comma 3 2 4 5 4 3 2" xfId="48949" xr:uid="{237BBFA4-8624-46F5-B33A-FA2B02BB8421}"/>
    <cellStyle name="Comma 3 2 4 5 4 4" xfId="33829" xr:uid="{EDE3D6DE-C1B8-4D25-B14D-BB09718879C6}"/>
    <cellStyle name="Comma 3 2 4 5 5" xfId="5101" xr:uid="{B29DFF72-0A63-4B72-9460-CDF7AF9BBD4A}"/>
    <cellStyle name="Comma 3 2 4 5 5 2" xfId="14173" xr:uid="{2F2D6EE8-10A2-4542-92E2-74FE6C1FE4E2}"/>
    <cellStyle name="Comma 3 2 4 5 5 2 2" xfId="29293" xr:uid="{5FBEFD23-83D5-4E35-BB9A-99D67BB8BD82}"/>
    <cellStyle name="Comma 3 2 4 5 5 2 2 2" xfId="59533" xr:uid="{AD159AC4-0D16-420A-B068-558D9600CC1F}"/>
    <cellStyle name="Comma 3 2 4 5 5 2 3" xfId="44413" xr:uid="{1C9FCB0F-5E56-411D-9F4B-B4BFDB2EF833}"/>
    <cellStyle name="Comma 3 2 4 5 5 3" xfId="20221" xr:uid="{AB61F52C-2114-432A-800F-4524B04969A7}"/>
    <cellStyle name="Comma 3 2 4 5 5 3 2" xfId="50461" xr:uid="{5B81DB9C-B77F-4DE4-BBE2-00482CA8CAB4}"/>
    <cellStyle name="Comma 3 2 4 5 5 4" xfId="35341" xr:uid="{B712F887-942F-4C37-B41C-05CAD10EF2C0}"/>
    <cellStyle name="Comma 3 2 4 5 6" xfId="6613" xr:uid="{CD53FFB8-FDFA-48BB-9F5E-95B8C1DDE37A}"/>
    <cellStyle name="Comma 3 2 4 5 6 2" xfId="21733" xr:uid="{AD92D0AA-A39D-4EEE-BEE0-035E7F696004}"/>
    <cellStyle name="Comma 3 2 4 5 6 2 2" xfId="51973" xr:uid="{AC78EBE8-213A-41CE-B15A-0843FB2CBD03}"/>
    <cellStyle name="Comma 3 2 4 5 6 3" xfId="36853" xr:uid="{6CBBCAE3-B385-492A-A1D1-E221E07852CD}"/>
    <cellStyle name="Comma 3 2 4 5 7" xfId="8125" xr:uid="{4D679A15-1363-4741-BB5E-08D2810B2353}"/>
    <cellStyle name="Comma 3 2 4 5 7 2" xfId="23245" xr:uid="{7B52E18B-A681-41FB-B748-49735B5A5651}"/>
    <cellStyle name="Comma 3 2 4 5 7 2 2" xfId="53485" xr:uid="{FAFD1BD9-1F21-46A1-B90A-4CEC0F4CEB55}"/>
    <cellStyle name="Comma 3 2 4 5 7 3" xfId="38365" xr:uid="{06C06699-0F7A-48F1-AD71-74516067FF0F}"/>
    <cellStyle name="Comma 3 2 4 5 8" xfId="9637" xr:uid="{87D13405-42D5-4578-B85C-52B425B6A558}"/>
    <cellStyle name="Comma 3 2 4 5 8 2" xfId="24757" xr:uid="{BB616F62-F14E-48C4-B9AE-8E88FC9CB487}"/>
    <cellStyle name="Comma 3 2 4 5 8 2 2" xfId="54997" xr:uid="{ACCE584E-BD92-405C-81B5-EECC9BB33371}"/>
    <cellStyle name="Comma 3 2 4 5 8 3" xfId="39877" xr:uid="{83563B65-3918-4C23-A2A2-E2C99B023974}"/>
    <cellStyle name="Comma 3 2 4 5 9" xfId="15685" xr:uid="{D6DB6787-33EF-49FD-AACA-319AB9208FA4}"/>
    <cellStyle name="Comma 3 2 4 5 9 2" xfId="45925" xr:uid="{03D4010D-7ABE-4522-8BEE-CF56C24FB719}"/>
    <cellStyle name="Comma 3 2 4 6" xfId="817" xr:uid="{13C0B076-4264-4418-9029-2DF3B3BFC786}"/>
    <cellStyle name="Comma 3 2 4 6 2" xfId="2329" xr:uid="{F25718F9-1C33-4CD3-8729-6D69E78F8708}"/>
    <cellStyle name="Comma 3 2 4 6 2 2" xfId="11401" xr:uid="{279522D9-68D4-4828-86D2-D5D4F62498CE}"/>
    <cellStyle name="Comma 3 2 4 6 2 2 2" xfId="26521" xr:uid="{3EB2728E-3742-435E-9E8C-BFE6314D9353}"/>
    <cellStyle name="Comma 3 2 4 6 2 2 2 2" xfId="56761" xr:uid="{637A91ED-4A1A-43BC-91C7-DC2B48DFE52B}"/>
    <cellStyle name="Comma 3 2 4 6 2 2 3" xfId="41641" xr:uid="{FD2CFBC2-8242-475D-900E-F8D37D774DE8}"/>
    <cellStyle name="Comma 3 2 4 6 2 3" xfId="17449" xr:uid="{2BCBAD07-02CC-4B46-8BC6-7C66F6BB73F6}"/>
    <cellStyle name="Comma 3 2 4 6 2 3 2" xfId="47689" xr:uid="{6D0F20DD-1BF5-41BF-861A-51B72F98503C}"/>
    <cellStyle name="Comma 3 2 4 6 2 4" xfId="32569" xr:uid="{FE26309C-0AAA-4576-86ED-9869C0F02A6C}"/>
    <cellStyle name="Comma 3 2 4 6 3" xfId="3841" xr:uid="{2FE202D6-F092-4EB2-B0B5-0B5872331BC8}"/>
    <cellStyle name="Comma 3 2 4 6 3 2" xfId="12913" xr:uid="{C09DB1D6-8182-49B3-8CB6-A367FECEE06F}"/>
    <cellStyle name="Comma 3 2 4 6 3 2 2" xfId="28033" xr:uid="{CB7EFACB-C710-4AD6-B7CC-9B1633A4D8E2}"/>
    <cellStyle name="Comma 3 2 4 6 3 2 2 2" xfId="58273" xr:uid="{3F2E28B0-D7F5-4B4C-99EC-B7E68F6AF236}"/>
    <cellStyle name="Comma 3 2 4 6 3 2 3" xfId="43153" xr:uid="{006AC20C-9DDD-47C5-8F31-3F7DFF596D0A}"/>
    <cellStyle name="Comma 3 2 4 6 3 3" xfId="18961" xr:uid="{2B587DA7-F541-414E-9F6A-7DC0748734B6}"/>
    <cellStyle name="Comma 3 2 4 6 3 3 2" xfId="49201" xr:uid="{4DB432CB-9F59-4882-9EDB-51C9C2F5E53B}"/>
    <cellStyle name="Comma 3 2 4 6 3 4" xfId="34081" xr:uid="{3633CF93-6B59-4A56-AEA6-5A11E627F690}"/>
    <cellStyle name="Comma 3 2 4 6 4" xfId="5353" xr:uid="{78EC1894-9B59-4F0A-8C31-E8509CE17967}"/>
    <cellStyle name="Comma 3 2 4 6 4 2" xfId="14425" xr:uid="{7056335F-472B-41FB-9C0C-AA65B2F938B0}"/>
    <cellStyle name="Comma 3 2 4 6 4 2 2" xfId="29545" xr:uid="{A15D1054-FF19-4441-9E41-25DD9A0110EF}"/>
    <cellStyle name="Comma 3 2 4 6 4 2 2 2" xfId="59785" xr:uid="{37558D04-C640-428F-98CD-26452A4C6B3D}"/>
    <cellStyle name="Comma 3 2 4 6 4 2 3" xfId="44665" xr:uid="{FA9D7696-E7C2-4DDF-B30C-806658872FFC}"/>
    <cellStyle name="Comma 3 2 4 6 4 3" xfId="20473" xr:uid="{D042C57B-FFEE-4859-A88E-7A8EA4D5EDEA}"/>
    <cellStyle name="Comma 3 2 4 6 4 3 2" xfId="50713" xr:uid="{8D945359-7DB0-433E-BECA-6F0FA3AD447A}"/>
    <cellStyle name="Comma 3 2 4 6 4 4" xfId="35593" xr:uid="{EA818650-56EF-444F-B2BC-0DC514E2D0A5}"/>
    <cellStyle name="Comma 3 2 4 6 5" xfId="6865" xr:uid="{81B21E50-2E3F-467F-B997-7BA8568ED528}"/>
    <cellStyle name="Comma 3 2 4 6 5 2" xfId="21985" xr:uid="{1E447E5D-2499-4C97-A7BB-1EFD20DF42BE}"/>
    <cellStyle name="Comma 3 2 4 6 5 2 2" xfId="52225" xr:uid="{4623F350-6922-4C2B-83E9-0DFA65943040}"/>
    <cellStyle name="Comma 3 2 4 6 5 3" xfId="37105" xr:uid="{927CCE5E-0B19-4152-8D17-539CD2344377}"/>
    <cellStyle name="Comma 3 2 4 6 6" xfId="8377" xr:uid="{FCC33E33-271E-4C31-A88A-9AF6CD156117}"/>
    <cellStyle name="Comma 3 2 4 6 6 2" xfId="23497" xr:uid="{D740C596-8D81-4FEC-9EDD-81CBB7F5AF72}"/>
    <cellStyle name="Comma 3 2 4 6 6 2 2" xfId="53737" xr:uid="{3CB436B0-A657-49D0-99C1-45E58234AC0D}"/>
    <cellStyle name="Comma 3 2 4 6 6 3" xfId="38617" xr:uid="{17371DC9-E076-4570-B862-E0E9957BF121}"/>
    <cellStyle name="Comma 3 2 4 6 7" xfId="9889" xr:uid="{1213B1AD-2F8E-43F6-BF28-08F99FD66489}"/>
    <cellStyle name="Comma 3 2 4 6 7 2" xfId="25009" xr:uid="{F16715AD-C17F-45EA-9413-8657686F025E}"/>
    <cellStyle name="Comma 3 2 4 6 7 2 2" xfId="55249" xr:uid="{63D25A6F-C274-4D72-8F3A-BD47B581948F}"/>
    <cellStyle name="Comma 3 2 4 6 7 3" xfId="40129" xr:uid="{D2BCBD85-2C9E-4E97-A4FF-92B08DAC8188}"/>
    <cellStyle name="Comma 3 2 4 6 8" xfId="15937" xr:uid="{961F527E-459C-41A9-B33C-99121057FA5A}"/>
    <cellStyle name="Comma 3 2 4 6 8 2" xfId="46177" xr:uid="{E56DCBA7-4FC0-4194-9906-936E3D31A189}"/>
    <cellStyle name="Comma 3 2 4 6 9" xfId="31057" xr:uid="{9D681D72-6A1C-4FE6-88F5-D299FBB7DF5E}"/>
    <cellStyle name="Comma 3 2 4 7" xfId="1573" xr:uid="{64D786D9-FB37-42FB-97F1-B215A3723BE7}"/>
    <cellStyle name="Comma 3 2 4 7 2" xfId="10645" xr:uid="{62C39321-FA8F-443B-8360-CBAA4D50890B}"/>
    <cellStyle name="Comma 3 2 4 7 2 2" xfId="25765" xr:uid="{F6B7B913-5FFA-495D-8DB4-5F4D80455BDE}"/>
    <cellStyle name="Comma 3 2 4 7 2 2 2" xfId="56005" xr:uid="{7C2E98A7-A947-48E4-9F45-49AECC9FEF64}"/>
    <cellStyle name="Comma 3 2 4 7 2 3" xfId="40885" xr:uid="{EBDBEBB3-C7E0-4288-897C-25B31A4F72CC}"/>
    <cellStyle name="Comma 3 2 4 7 3" xfId="16693" xr:uid="{6BAA8251-DD52-4A67-A123-4C2C978CFB54}"/>
    <cellStyle name="Comma 3 2 4 7 3 2" xfId="46933" xr:uid="{286837DB-7887-457C-BF6D-D25ACD47895C}"/>
    <cellStyle name="Comma 3 2 4 7 4" xfId="31813" xr:uid="{F0BFDFFC-50FD-4753-9673-7800FBDF490E}"/>
    <cellStyle name="Comma 3 2 4 8" xfId="3085" xr:uid="{57F7642A-1E0D-4D90-9913-F4CA6A214C75}"/>
    <cellStyle name="Comma 3 2 4 8 2" xfId="12157" xr:uid="{F4752F9F-FA89-4AF7-B458-DCFFEAEFFCDC}"/>
    <cellStyle name="Comma 3 2 4 8 2 2" xfId="27277" xr:uid="{770E81C1-ED5E-4945-94B4-D14114A6CC64}"/>
    <cellStyle name="Comma 3 2 4 8 2 2 2" xfId="57517" xr:uid="{CD448E97-D2A2-46E5-911F-A40775BCCC1D}"/>
    <cellStyle name="Comma 3 2 4 8 2 3" xfId="42397" xr:uid="{EF69844F-8A91-4B8B-95D4-22940ADED4C5}"/>
    <cellStyle name="Comma 3 2 4 8 3" xfId="18205" xr:uid="{A7306DFC-998E-41D8-B905-DE9EC7523DD3}"/>
    <cellStyle name="Comma 3 2 4 8 3 2" xfId="48445" xr:uid="{38ECD5BC-AE02-412A-B48F-D0C420216B6C}"/>
    <cellStyle name="Comma 3 2 4 8 4" xfId="33325" xr:uid="{22E53DE7-C70F-4F26-8555-77F259B8CA65}"/>
    <cellStyle name="Comma 3 2 4 9" xfId="4597" xr:uid="{DBBFBDC2-10B1-41EC-A346-AB0F5C5CEEE1}"/>
    <cellStyle name="Comma 3 2 4 9 2" xfId="13669" xr:uid="{72D001CE-9EA0-4BD4-B810-7E40766F5F41}"/>
    <cellStyle name="Comma 3 2 4 9 2 2" xfId="28789" xr:uid="{D2E5CE03-B27B-4FFA-B8E7-893FB9531DA2}"/>
    <cellStyle name="Comma 3 2 4 9 2 2 2" xfId="59029" xr:uid="{98A84F7F-2565-4B73-BD8F-87E23B8941E1}"/>
    <cellStyle name="Comma 3 2 4 9 2 3" xfId="43909" xr:uid="{F57CA573-4436-4959-96EC-AFF04243468C}"/>
    <cellStyle name="Comma 3 2 4 9 3" xfId="19717" xr:uid="{5AE11E48-764A-427C-A2D8-7B4DBFD140FE}"/>
    <cellStyle name="Comma 3 2 4 9 3 2" xfId="49957" xr:uid="{30F3E0D5-0BA8-4710-A8F6-A9171D3A458F}"/>
    <cellStyle name="Comma 3 2 4 9 4" xfId="34837" xr:uid="{3774A775-4A18-4107-A382-F9F4FBAEEEF5}"/>
    <cellStyle name="Comma 3 2 5" xfId="103" xr:uid="{2C82374E-5B99-496B-B1CB-39707BE24F7B}"/>
    <cellStyle name="Comma 3 2 5 10" xfId="9175" xr:uid="{637E3741-7883-46A5-B89A-F2880297D503}"/>
    <cellStyle name="Comma 3 2 5 10 2" xfId="24295" xr:uid="{9DACFB71-D145-4CC4-BEB1-6780391A899A}"/>
    <cellStyle name="Comma 3 2 5 10 2 2" xfId="54535" xr:uid="{32F9092F-20B2-4CFB-9C46-5180BEFC0C53}"/>
    <cellStyle name="Comma 3 2 5 10 3" xfId="39415" xr:uid="{BBCE4C62-5EE2-4F6E-B913-00BA364334AA}"/>
    <cellStyle name="Comma 3 2 5 11" xfId="15223" xr:uid="{D9C0D1DC-D958-4E57-B16A-7A168BC955AF}"/>
    <cellStyle name="Comma 3 2 5 11 2" xfId="45463" xr:uid="{DA7A2376-A3FD-48CF-86D8-5CC69F632C80}"/>
    <cellStyle name="Comma 3 2 5 12" xfId="30343" xr:uid="{6C767E02-802E-4F71-A0C4-99FDC4E70533}"/>
    <cellStyle name="Comma 3 2 5 2" xfId="355" xr:uid="{5CCC6649-4260-49C3-B468-71F0AEEE5F5C}"/>
    <cellStyle name="Comma 3 2 5 2 10" xfId="30595" xr:uid="{5A3DE054-4918-404A-B7FA-905A6B7ED897}"/>
    <cellStyle name="Comma 3 2 5 2 2" xfId="1111" xr:uid="{D2C14363-740E-49A6-B58C-32839B1875B6}"/>
    <cellStyle name="Comma 3 2 5 2 2 2" xfId="2623" xr:uid="{10B8239C-4BA4-4956-A776-D0FB5BC27810}"/>
    <cellStyle name="Comma 3 2 5 2 2 2 2" xfId="11695" xr:uid="{596470C5-78C6-4A65-AE1B-C92A950D52C2}"/>
    <cellStyle name="Comma 3 2 5 2 2 2 2 2" xfId="26815" xr:uid="{2429A972-A15E-4F9F-B01D-D8B05F9B809D}"/>
    <cellStyle name="Comma 3 2 5 2 2 2 2 2 2" xfId="57055" xr:uid="{75954C48-6BD4-490E-9332-137637EF7B9B}"/>
    <cellStyle name="Comma 3 2 5 2 2 2 2 3" xfId="41935" xr:uid="{913E284A-CCC5-4DAA-BE8C-324736F48A15}"/>
    <cellStyle name="Comma 3 2 5 2 2 2 3" xfId="17743" xr:uid="{35116A86-8237-4F45-9116-C3FCF646CD76}"/>
    <cellStyle name="Comma 3 2 5 2 2 2 3 2" xfId="47983" xr:uid="{84CBDCE8-8F52-4940-97EC-9103632470AE}"/>
    <cellStyle name="Comma 3 2 5 2 2 2 4" xfId="32863" xr:uid="{BDE68B31-2E5B-4A71-90D2-61C011EEB49F}"/>
    <cellStyle name="Comma 3 2 5 2 2 3" xfId="4135" xr:uid="{2A25DB0F-E6B9-4DA7-A50E-61006797D1FF}"/>
    <cellStyle name="Comma 3 2 5 2 2 3 2" xfId="13207" xr:uid="{5E317224-D54E-4EA9-9493-206E138532A8}"/>
    <cellStyle name="Comma 3 2 5 2 2 3 2 2" xfId="28327" xr:uid="{E51A0C00-111B-44F9-849C-79453C182420}"/>
    <cellStyle name="Comma 3 2 5 2 2 3 2 2 2" xfId="58567" xr:uid="{94A666AA-0B4A-4875-BE5C-8C2FE7F0D09C}"/>
    <cellStyle name="Comma 3 2 5 2 2 3 2 3" xfId="43447" xr:uid="{F22E9301-0B15-455F-BCC1-05B677269683}"/>
    <cellStyle name="Comma 3 2 5 2 2 3 3" xfId="19255" xr:uid="{6D06F85A-1CBC-42F8-AACF-2C53FC2075A3}"/>
    <cellStyle name="Comma 3 2 5 2 2 3 3 2" xfId="49495" xr:uid="{0A05AA82-0A3E-437D-8416-17619409D236}"/>
    <cellStyle name="Comma 3 2 5 2 2 3 4" xfId="34375" xr:uid="{A8E14538-26A2-4B7A-AC96-1FF80A2B0FC7}"/>
    <cellStyle name="Comma 3 2 5 2 2 4" xfId="5647" xr:uid="{B11F568F-790D-4C7D-92A2-779E1CFA5C14}"/>
    <cellStyle name="Comma 3 2 5 2 2 4 2" xfId="14719" xr:uid="{38332737-5CCA-4761-AEBE-CCE046186216}"/>
    <cellStyle name="Comma 3 2 5 2 2 4 2 2" xfId="29839" xr:uid="{16144C61-4D0B-47A3-9EA5-C7D07026FF08}"/>
    <cellStyle name="Comma 3 2 5 2 2 4 2 2 2" xfId="60079" xr:uid="{B4A2A293-056F-4C94-83ED-F08C4FE94E50}"/>
    <cellStyle name="Comma 3 2 5 2 2 4 2 3" xfId="44959" xr:uid="{0C2DB8EA-155C-47B1-97B9-125FCC555666}"/>
    <cellStyle name="Comma 3 2 5 2 2 4 3" xfId="20767" xr:uid="{F9191EA1-F085-4EFE-8FF4-273504E936AD}"/>
    <cellStyle name="Comma 3 2 5 2 2 4 3 2" xfId="51007" xr:uid="{1C83F927-A048-436C-92EE-8A5D085A0790}"/>
    <cellStyle name="Comma 3 2 5 2 2 4 4" xfId="35887" xr:uid="{3020876B-E384-4B16-BB17-55931D17EFF9}"/>
    <cellStyle name="Comma 3 2 5 2 2 5" xfId="7159" xr:uid="{7D52C8BF-0F01-45D2-A05A-37988B34273A}"/>
    <cellStyle name="Comma 3 2 5 2 2 5 2" xfId="22279" xr:uid="{AD8153A7-E1DC-42C8-9943-F4044582F1A7}"/>
    <cellStyle name="Comma 3 2 5 2 2 5 2 2" xfId="52519" xr:uid="{F99058B2-4F02-4FF2-A369-4DB428E5C39C}"/>
    <cellStyle name="Comma 3 2 5 2 2 5 3" xfId="37399" xr:uid="{5F67DCE3-2DCA-49C3-9CFD-4F2CDF0350E5}"/>
    <cellStyle name="Comma 3 2 5 2 2 6" xfId="8671" xr:uid="{25F5B95C-FE3C-4E93-94FF-4D1DF31ACA32}"/>
    <cellStyle name="Comma 3 2 5 2 2 6 2" xfId="23791" xr:uid="{4A3BDC76-88FE-4BF2-8931-D4B0DE7DF957}"/>
    <cellStyle name="Comma 3 2 5 2 2 6 2 2" xfId="54031" xr:uid="{7D5A670A-98D1-41DD-A048-2D72509EBC94}"/>
    <cellStyle name="Comma 3 2 5 2 2 6 3" xfId="38911" xr:uid="{F12A8B22-4B7A-4E0D-91D5-D29977AB56BC}"/>
    <cellStyle name="Comma 3 2 5 2 2 7" xfId="10183" xr:uid="{A4338B1E-5A85-4EA5-B344-523B4514C0B2}"/>
    <cellStyle name="Comma 3 2 5 2 2 7 2" xfId="25303" xr:uid="{BB7457B9-900F-4455-B020-FBAF5792F82E}"/>
    <cellStyle name="Comma 3 2 5 2 2 7 2 2" xfId="55543" xr:uid="{5048C3D6-0C65-4A4D-9283-5E28463A6DAF}"/>
    <cellStyle name="Comma 3 2 5 2 2 7 3" xfId="40423" xr:uid="{CF43CD0D-7157-41EB-9966-38907A100C57}"/>
    <cellStyle name="Comma 3 2 5 2 2 8" xfId="16231" xr:uid="{71C80ADD-B1DF-497D-B0B3-DD861062B0A6}"/>
    <cellStyle name="Comma 3 2 5 2 2 8 2" xfId="46471" xr:uid="{56B2D2B1-562E-4E22-BF20-422EE18AA6A5}"/>
    <cellStyle name="Comma 3 2 5 2 2 9" xfId="31351" xr:uid="{7030EE31-CCFC-4480-9F1D-D10DF4CC5728}"/>
    <cellStyle name="Comma 3 2 5 2 3" xfId="1867" xr:uid="{0841584A-7320-453E-9951-6DAEF6492180}"/>
    <cellStyle name="Comma 3 2 5 2 3 2" xfId="10939" xr:uid="{82AEE565-4195-4A5A-AC30-8A566CCAF6F2}"/>
    <cellStyle name="Comma 3 2 5 2 3 2 2" xfId="26059" xr:uid="{9991112F-BB85-4989-AC2F-40368810C1E4}"/>
    <cellStyle name="Comma 3 2 5 2 3 2 2 2" xfId="56299" xr:uid="{27146E68-F0D7-46B3-9279-56156547C6CD}"/>
    <cellStyle name="Comma 3 2 5 2 3 2 3" xfId="41179" xr:uid="{587FB034-8469-4A13-95EC-12C1F4E46871}"/>
    <cellStyle name="Comma 3 2 5 2 3 3" xfId="16987" xr:uid="{EB18981E-8E2D-4676-86CD-126B1B1E4CC6}"/>
    <cellStyle name="Comma 3 2 5 2 3 3 2" xfId="47227" xr:uid="{1B1F81A4-74B1-460C-A562-6614492FA11A}"/>
    <cellStyle name="Comma 3 2 5 2 3 4" xfId="32107" xr:uid="{02CCDD85-2029-41BF-9C4A-C15541CB99EC}"/>
    <cellStyle name="Comma 3 2 5 2 4" xfId="3379" xr:uid="{D1CFE724-7E8A-46CC-8013-33E11ED28065}"/>
    <cellStyle name="Comma 3 2 5 2 4 2" xfId="12451" xr:uid="{BE1A00F1-A8A1-4323-8D90-F48A611C1CEE}"/>
    <cellStyle name="Comma 3 2 5 2 4 2 2" xfId="27571" xr:uid="{E27B9032-45F7-4E2D-9A87-36DA4149E7CA}"/>
    <cellStyle name="Comma 3 2 5 2 4 2 2 2" xfId="57811" xr:uid="{9A2BE982-E36C-44FE-8A34-6A8934A2BB83}"/>
    <cellStyle name="Comma 3 2 5 2 4 2 3" xfId="42691" xr:uid="{15A3D40D-7571-4037-A62E-5A33099C4D68}"/>
    <cellStyle name="Comma 3 2 5 2 4 3" xfId="18499" xr:uid="{7B1C7B18-6289-4573-8ED2-FBB5D4D2E475}"/>
    <cellStyle name="Comma 3 2 5 2 4 3 2" xfId="48739" xr:uid="{156BF69C-B0AF-48DF-BC0D-3CE491E9D33D}"/>
    <cellStyle name="Comma 3 2 5 2 4 4" xfId="33619" xr:uid="{3A4BF9AB-1182-4458-9837-79E37F3C4277}"/>
    <cellStyle name="Comma 3 2 5 2 5" xfId="4891" xr:uid="{F60E84F1-E5F4-424C-A31E-29670F522318}"/>
    <cellStyle name="Comma 3 2 5 2 5 2" xfId="13963" xr:uid="{88B5EE65-3F32-4D26-B991-A2D52A016460}"/>
    <cellStyle name="Comma 3 2 5 2 5 2 2" xfId="29083" xr:uid="{DB9B7F87-119C-4D59-AA11-FDA583C97CB3}"/>
    <cellStyle name="Comma 3 2 5 2 5 2 2 2" xfId="59323" xr:uid="{56659258-C7F9-46FB-A9B1-50304C6CC9A5}"/>
    <cellStyle name="Comma 3 2 5 2 5 2 3" xfId="44203" xr:uid="{1817F28E-9073-4928-A1FF-4FF686C70C35}"/>
    <cellStyle name="Comma 3 2 5 2 5 3" xfId="20011" xr:uid="{93857AC1-6DA9-4F88-A258-951F21611FD2}"/>
    <cellStyle name="Comma 3 2 5 2 5 3 2" xfId="50251" xr:uid="{4317F1EB-9191-4DEB-94AB-6F900CA7E1FC}"/>
    <cellStyle name="Comma 3 2 5 2 5 4" xfId="35131" xr:uid="{2BAAA694-4E8A-4675-8B65-8FD2F004B8F8}"/>
    <cellStyle name="Comma 3 2 5 2 6" xfId="6403" xr:uid="{80EC2EF3-0177-417B-A81A-AAE0BF3E7245}"/>
    <cellStyle name="Comma 3 2 5 2 6 2" xfId="21523" xr:uid="{534CD37C-2138-4B33-AD6A-EBE40BC4FB3F}"/>
    <cellStyle name="Comma 3 2 5 2 6 2 2" xfId="51763" xr:uid="{098200A8-783E-4CEE-8308-ABE83F3C4287}"/>
    <cellStyle name="Comma 3 2 5 2 6 3" xfId="36643" xr:uid="{252177E3-5F12-41B1-A512-738AB7218799}"/>
    <cellStyle name="Comma 3 2 5 2 7" xfId="7915" xr:uid="{669CE3AF-E5BA-4E70-94DD-C4B1C6DD39F8}"/>
    <cellStyle name="Comma 3 2 5 2 7 2" xfId="23035" xr:uid="{962EDD6E-495C-4842-B426-B70A19A156E7}"/>
    <cellStyle name="Comma 3 2 5 2 7 2 2" xfId="53275" xr:uid="{6B38DE9C-710A-47E3-9396-29B84046B65E}"/>
    <cellStyle name="Comma 3 2 5 2 7 3" xfId="38155" xr:uid="{B5DC47E3-991F-4F00-92A1-37E4126E717D}"/>
    <cellStyle name="Comma 3 2 5 2 8" xfId="9427" xr:uid="{93F08DB7-AFFC-4767-BFD2-05F22388CF2D}"/>
    <cellStyle name="Comma 3 2 5 2 8 2" xfId="24547" xr:uid="{2942A7FA-B71F-4E1B-96C4-325EFE7A18D3}"/>
    <cellStyle name="Comma 3 2 5 2 8 2 2" xfId="54787" xr:uid="{FEB4DD19-1BC0-4741-9FD7-C8EAF6E1931E}"/>
    <cellStyle name="Comma 3 2 5 2 8 3" xfId="39667" xr:uid="{C7B2ED46-646D-4154-BDD2-2824E3A81DB7}"/>
    <cellStyle name="Comma 3 2 5 2 9" xfId="15475" xr:uid="{D12CC934-17F1-4D91-99DD-35EE41EDB012}"/>
    <cellStyle name="Comma 3 2 5 2 9 2" xfId="45715" xr:uid="{BCEAD8DB-4C4D-461A-AF41-273CFC013D24}"/>
    <cellStyle name="Comma 3 2 5 3" xfId="607" xr:uid="{E1C3D965-9834-4282-BB4F-D2D4D3543C49}"/>
    <cellStyle name="Comma 3 2 5 3 10" xfId="30847" xr:uid="{D685E6B7-B35F-4697-B49D-AB97B0A4640A}"/>
    <cellStyle name="Comma 3 2 5 3 2" xfId="1363" xr:uid="{81BDA9B7-C39E-49E4-856A-EDC1C28009D7}"/>
    <cellStyle name="Comma 3 2 5 3 2 2" xfId="2875" xr:uid="{A9689813-C0CA-4248-B70E-4E9DB1B7B8CB}"/>
    <cellStyle name="Comma 3 2 5 3 2 2 2" xfId="11947" xr:uid="{9002AAC4-57DE-458C-8B1D-DC79BD56ED72}"/>
    <cellStyle name="Comma 3 2 5 3 2 2 2 2" xfId="27067" xr:uid="{D40C732A-D592-4355-A3BA-D5FBC35FC14A}"/>
    <cellStyle name="Comma 3 2 5 3 2 2 2 2 2" xfId="57307" xr:uid="{F7799589-6CDF-48C0-A553-DD44167130C3}"/>
    <cellStyle name="Comma 3 2 5 3 2 2 2 3" xfId="42187" xr:uid="{3FC1044B-5603-437A-98F2-1A4F3EDFCC86}"/>
    <cellStyle name="Comma 3 2 5 3 2 2 3" xfId="17995" xr:uid="{855BB679-EF02-4AE2-85D4-BBCAA1C1EB7A}"/>
    <cellStyle name="Comma 3 2 5 3 2 2 3 2" xfId="48235" xr:uid="{F08C3FF0-E866-440B-BC99-2959567D349D}"/>
    <cellStyle name="Comma 3 2 5 3 2 2 4" xfId="33115" xr:uid="{45C13D34-51CA-4083-A022-0411B8850B2A}"/>
    <cellStyle name="Comma 3 2 5 3 2 3" xfId="4387" xr:uid="{8C6293B8-B626-4DCB-A324-C971C0C74B3E}"/>
    <cellStyle name="Comma 3 2 5 3 2 3 2" xfId="13459" xr:uid="{A01644F9-12BD-4D4B-A7AF-16E169690120}"/>
    <cellStyle name="Comma 3 2 5 3 2 3 2 2" xfId="28579" xr:uid="{D3116DE9-000B-429D-8D05-7ED9747F2FFD}"/>
    <cellStyle name="Comma 3 2 5 3 2 3 2 2 2" xfId="58819" xr:uid="{E2DDEF37-943C-470D-9A07-D03C1E13FF42}"/>
    <cellStyle name="Comma 3 2 5 3 2 3 2 3" xfId="43699" xr:uid="{56552118-142E-4DC1-84CA-8BFB0DC78997}"/>
    <cellStyle name="Comma 3 2 5 3 2 3 3" xfId="19507" xr:uid="{9E1EE61D-9D3C-4543-BA09-15779AABE6FA}"/>
    <cellStyle name="Comma 3 2 5 3 2 3 3 2" xfId="49747" xr:uid="{3977DEFB-D847-4ED4-AE21-731D5D5B555B}"/>
    <cellStyle name="Comma 3 2 5 3 2 3 4" xfId="34627" xr:uid="{75603C57-554F-4203-9E0C-8A8C8BFF348F}"/>
    <cellStyle name="Comma 3 2 5 3 2 4" xfId="5899" xr:uid="{3C1F18F6-139E-4912-A6D2-EA986CF91268}"/>
    <cellStyle name="Comma 3 2 5 3 2 4 2" xfId="14971" xr:uid="{D0B20C62-66AD-490F-A744-8097A71CAEE7}"/>
    <cellStyle name="Comma 3 2 5 3 2 4 2 2" xfId="30091" xr:uid="{7F907FAD-F905-4AAB-AAD3-4AB4A256A365}"/>
    <cellStyle name="Comma 3 2 5 3 2 4 2 2 2" xfId="60331" xr:uid="{3CBDB7CE-2EC7-45A4-B98B-6FD9E89DCC2B}"/>
    <cellStyle name="Comma 3 2 5 3 2 4 2 3" xfId="45211" xr:uid="{F296D0B7-EEC3-468C-83FE-CFB820637FEC}"/>
    <cellStyle name="Comma 3 2 5 3 2 4 3" xfId="21019" xr:uid="{1B7303CE-E0EE-4A08-830C-FA9377EE2C6D}"/>
    <cellStyle name="Comma 3 2 5 3 2 4 3 2" xfId="51259" xr:uid="{C640A4C2-F503-4D33-BDD2-550CCE1C62CA}"/>
    <cellStyle name="Comma 3 2 5 3 2 4 4" xfId="36139" xr:uid="{EE407A20-8D6A-4F4B-8DFB-5A239049DA23}"/>
    <cellStyle name="Comma 3 2 5 3 2 5" xfId="7411" xr:uid="{0224EDE4-DC5B-49A8-BEFF-7B3D9DBD05B3}"/>
    <cellStyle name="Comma 3 2 5 3 2 5 2" xfId="22531" xr:uid="{CC3DAAA5-535B-4BF6-8E68-A8FD5E1FDAC8}"/>
    <cellStyle name="Comma 3 2 5 3 2 5 2 2" xfId="52771" xr:uid="{5C320FCF-0657-4770-8FDA-3F8F58D942AC}"/>
    <cellStyle name="Comma 3 2 5 3 2 5 3" xfId="37651" xr:uid="{EEBF8A52-FBD8-4FA5-97FC-1CDB6DF828FD}"/>
    <cellStyle name="Comma 3 2 5 3 2 6" xfId="8923" xr:uid="{111B4DFB-82CE-4310-859A-91622D680816}"/>
    <cellStyle name="Comma 3 2 5 3 2 6 2" xfId="24043" xr:uid="{507EE3BB-55D4-42DE-A377-A921940D1953}"/>
    <cellStyle name="Comma 3 2 5 3 2 6 2 2" xfId="54283" xr:uid="{70E9B393-3480-416F-A863-9750B0DC054F}"/>
    <cellStyle name="Comma 3 2 5 3 2 6 3" xfId="39163" xr:uid="{232E3A6D-159B-4DDE-BC17-1785E68AD050}"/>
    <cellStyle name="Comma 3 2 5 3 2 7" xfId="10435" xr:uid="{E0E4759E-0DB0-400F-9EC4-C38474D2BC5B}"/>
    <cellStyle name="Comma 3 2 5 3 2 7 2" xfId="25555" xr:uid="{6BBAC2E3-61EA-489F-8109-BE9B4B1A1E89}"/>
    <cellStyle name="Comma 3 2 5 3 2 7 2 2" xfId="55795" xr:uid="{A70AA0AE-C548-4B1C-86BE-DD7C1269ADD2}"/>
    <cellStyle name="Comma 3 2 5 3 2 7 3" xfId="40675" xr:uid="{2E4C7A95-C977-463D-B53B-91C87A6B3D41}"/>
    <cellStyle name="Comma 3 2 5 3 2 8" xfId="16483" xr:uid="{7346EDE1-FA59-41D2-91B1-AA4FD0AB45F0}"/>
    <cellStyle name="Comma 3 2 5 3 2 8 2" xfId="46723" xr:uid="{02EF8EFF-47C3-4D96-906F-99D3E9B75E43}"/>
    <cellStyle name="Comma 3 2 5 3 2 9" xfId="31603" xr:uid="{40513F8D-E394-41FE-B050-7FF35B07B542}"/>
    <cellStyle name="Comma 3 2 5 3 3" xfId="2119" xr:uid="{0537BE22-8415-4FF6-BD2E-116F42DF9F32}"/>
    <cellStyle name="Comma 3 2 5 3 3 2" xfId="11191" xr:uid="{3E27EFB2-DECF-4070-A1EA-A64793E11FE2}"/>
    <cellStyle name="Comma 3 2 5 3 3 2 2" xfId="26311" xr:uid="{221FC272-3187-4669-A61F-1F7505A1B944}"/>
    <cellStyle name="Comma 3 2 5 3 3 2 2 2" xfId="56551" xr:uid="{B9B83103-DC82-4D45-B6E8-72EF8A7A3F98}"/>
    <cellStyle name="Comma 3 2 5 3 3 2 3" xfId="41431" xr:uid="{3C515A5E-222F-409E-A1DF-00A13A2366AC}"/>
    <cellStyle name="Comma 3 2 5 3 3 3" xfId="17239" xr:uid="{36BECC28-5F16-4234-9D83-3DCB6F15E1A8}"/>
    <cellStyle name="Comma 3 2 5 3 3 3 2" xfId="47479" xr:uid="{9A743A70-B439-486F-BD47-537059A3C983}"/>
    <cellStyle name="Comma 3 2 5 3 3 4" xfId="32359" xr:uid="{3F1101E1-3B67-44F0-A338-7D3D36C7C74B}"/>
    <cellStyle name="Comma 3 2 5 3 4" xfId="3631" xr:uid="{D11D77AD-390D-47B5-8448-091142C7C419}"/>
    <cellStyle name="Comma 3 2 5 3 4 2" xfId="12703" xr:uid="{102CED8E-5464-46DA-9E8F-4E6B3402E8E7}"/>
    <cellStyle name="Comma 3 2 5 3 4 2 2" xfId="27823" xr:uid="{EDDBB410-991F-4562-9820-1558AF36B05D}"/>
    <cellStyle name="Comma 3 2 5 3 4 2 2 2" xfId="58063" xr:uid="{C3BDE2EA-C1EA-426B-A1D5-08093DB238CA}"/>
    <cellStyle name="Comma 3 2 5 3 4 2 3" xfId="42943" xr:uid="{16B45143-5ED9-4EAB-97CC-43CE25D1F680}"/>
    <cellStyle name="Comma 3 2 5 3 4 3" xfId="18751" xr:uid="{B31A4CF1-5DE1-4D0D-9A7A-551874DEE5FC}"/>
    <cellStyle name="Comma 3 2 5 3 4 3 2" xfId="48991" xr:uid="{729E58B4-2C84-43DC-B586-7EFF4DAEBFCD}"/>
    <cellStyle name="Comma 3 2 5 3 4 4" xfId="33871" xr:uid="{0AE7BFCB-52A0-421B-9ACD-047854FA4350}"/>
    <cellStyle name="Comma 3 2 5 3 5" xfId="5143" xr:uid="{A58CC0CA-7401-4222-949B-DB6EE20D95CD}"/>
    <cellStyle name="Comma 3 2 5 3 5 2" xfId="14215" xr:uid="{1B7B02AF-0F02-4AE7-8E3A-88817FAA262F}"/>
    <cellStyle name="Comma 3 2 5 3 5 2 2" xfId="29335" xr:uid="{66F080AF-AAF1-4B65-9EAA-2AC0B4AC0059}"/>
    <cellStyle name="Comma 3 2 5 3 5 2 2 2" xfId="59575" xr:uid="{FA97E555-2D0D-4161-B53F-F114DC1B5172}"/>
    <cellStyle name="Comma 3 2 5 3 5 2 3" xfId="44455" xr:uid="{3EE8C72D-918E-4F9C-B71B-8C6FA07D30A3}"/>
    <cellStyle name="Comma 3 2 5 3 5 3" xfId="20263" xr:uid="{0A3F6188-F7C6-4593-B828-F81754FF5883}"/>
    <cellStyle name="Comma 3 2 5 3 5 3 2" xfId="50503" xr:uid="{8CEB0E18-DDC8-41FC-B6E4-660862F89A4B}"/>
    <cellStyle name="Comma 3 2 5 3 5 4" xfId="35383" xr:uid="{CAEF6F55-1460-451D-A4CA-E41379E72319}"/>
    <cellStyle name="Comma 3 2 5 3 6" xfId="6655" xr:uid="{1DB5E414-C825-43E0-A7B4-4BF0C8F156D6}"/>
    <cellStyle name="Comma 3 2 5 3 6 2" xfId="21775" xr:uid="{F3F95868-A40B-40EA-954F-74F84ECA3477}"/>
    <cellStyle name="Comma 3 2 5 3 6 2 2" xfId="52015" xr:uid="{B1AF596D-1C95-4924-87B4-5520444CEAEB}"/>
    <cellStyle name="Comma 3 2 5 3 6 3" xfId="36895" xr:uid="{A8B53615-B75E-4AD0-BC40-3479B44322CC}"/>
    <cellStyle name="Comma 3 2 5 3 7" xfId="8167" xr:uid="{7CA9C8ED-4190-40F3-BF84-EAEE422523EC}"/>
    <cellStyle name="Comma 3 2 5 3 7 2" xfId="23287" xr:uid="{2B797CEA-2939-4440-B6DC-0807AF93D586}"/>
    <cellStyle name="Comma 3 2 5 3 7 2 2" xfId="53527" xr:uid="{D86B078D-7956-4798-AD9C-6252BF2020F6}"/>
    <cellStyle name="Comma 3 2 5 3 7 3" xfId="38407" xr:uid="{6398FD2A-DD57-4AFB-A96A-A422477F31B7}"/>
    <cellStyle name="Comma 3 2 5 3 8" xfId="9679" xr:uid="{7D85D6A6-75C2-4635-BC72-2D4E4A9C7B70}"/>
    <cellStyle name="Comma 3 2 5 3 8 2" xfId="24799" xr:uid="{0CE45628-019D-4EC6-81E5-EBE7A34B9E9E}"/>
    <cellStyle name="Comma 3 2 5 3 8 2 2" xfId="55039" xr:uid="{A742FEA6-D08F-42CB-BF12-E6A0FAFE8DCE}"/>
    <cellStyle name="Comma 3 2 5 3 8 3" xfId="39919" xr:uid="{E1E553B4-83F8-4287-92B6-318D13F3F642}"/>
    <cellStyle name="Comma 3 2 5 3 9" xfId="15727" xr:uid="{9A6D26EE-AF31-48A5-9194-92A6A7EB7DC5}"/>
    <cellStyle name="Comma 3 2 5 3 9 2" xfId="45967" xr:uid="{D81172A7-0B9B-4C6F-8F93-CF8521E48DE4}"/>
    <cellStyle name="Comma 3 2 5 4" xfId="859" xr:uid="{DD6D1D79-530B-41B0-BCA5-D2DE79586973}"/>
    <cellStyle name="Comma 3 2 5 4 2" xfId="2371" xr:uid="{A5F9B026-286D-4C93-B679-5BCC16AF7CBD}"/>
    <cellStyle name="Comma 3 2 5 4 2 2" xfId="11443" xr:uid="{4F9883FA-615F-4068-A171-30F05C4415E9}"/>
    <cellStyle name="Comma 3 2 5 4 2 2 2" xfId="26563" xr:uid="{C48DFF94-8AEA-41DF-81F8-8181573F8675}"/>
    <cellStyle name="Comma 3 2 5 4 2 2 2 2" xfId="56803" xr:uid="{B1524CA9-CA3D-416C-8C44-0D39D244982B}"/>
    <cellStyle name="Comma 3 2 5 4 2 2 3" xfId="41683" xr:uid="{7C53D4CA-321F-42CE-B456-814915B6693C}"/>
    <cellStyle name="Comma 3 2 5 4 2 3" xfId="17491" xr:uid="{C006297A-2F1D-4AAF-91A5-50E9ECB075EB}"/>
    <cellStyle name="Comma 3 2 5 4 2 3 2" xfId="47731" xr:uid="{BAD30CC9-214C-46FE-83E1-4F8C218E311E}"/>
    <cellStyle name="Comma 3 2 5 4 2 4" xfId="32611" xr:uid="{9E45E5FF-B414-4C8F-9C50-1F84569D1A99}"/>
    <cellStyle name="Comma 3 2 5 4 3" xfId="3883" xr:uid="{EF86848B-BFA5-4AA0-9191-2C7264CA3726}"/>
    <cellStyle name="Comma 3 2 5 4 3 2" xfId="12955" xr:uid="{D2D2EADE-476C-48CE-8DBE-FC939033C1CC}"/>
    <cellStyle name="Comma 3 2 5 4 3 2 2" xfId="28075" xr:uid="{59B6A6A3-482B-4F09-A7E3-60F98C2AE594}"/>
    <cellStyle name="Comma 3 2 5 4 3 2 2 2" xfId="58315" xr:uid="{636EB28B-3634-4315-BBDF-9AB849B26FD3}"/>
    <cellStyle name="Comma 3 2 5 4 3 2 3" xfId="43195" xr:uid="{5C6F64E1-14C6-4342-BA1C-0F16D58C1B9C}"/>
    <cellStyle name="Comma 3 2 5 4 3 3" xfId="19003" xr:uid="{913C6EC7-B548-4637-A35B-A83BFD652C95}"/>
    <cellStyle name="Comma 3 2 5 4 3 3 2" xfId="49243" xr:uid="{3A23ED4E-0044-45E8-B27F-60F98587B94A}"/>
    <cellStyle name="Comma 3 2 5 4 3 4" xfId="34123" xr:uid="{EAC376C3-9A0C-4A3A-A846-B47CA98A63AE}"/>
    <cellStyle name="Comma 3 2 5 4 4" xfId="5395" xr:uid="{8E027B25-90A8-4CE8-BAE1-98307638D4A0}"/>
    <cellStyle name="Comma 3 2 5 4 4 2" xfId="14467" xr:uid="{FABD151C-3D41-478B-9678-880E44D72AC0}"/>
    <cellStyle name="Comma 3 2 5 4 4 2 2" xfId="29587" xr:uid="{6F669261-92F3-43FE-B0A5-FF3E472012CA}"/>
    <cellStyle name="Comma 3 2 5 4 4 2 2 2" xfId="59827" xr:uid="{81871695-01A9-40EB-915A-6E86FCC5B037}"/>
    <cellStyle name="Comma 3 2 5 4 4 2 3" xfId="44707" xr:uid="{BF4D9549-CE14-4F77-B00D-8F567A3E3822}"/>
    <cellStyle name="Comma 3 2 5 4 4 3" xfId="20515" xr:uid="{FDEC75CD-2DD0-4FCA-92BA-70D4A5668CD9}"/>
    <cellStyle name="Comma 3 2 5 4 4 3 2" xfId="50755" xr:uid="{6AAA881F-26F2-48A9-A6A2-8CAD0114D076}"/>
    <cellStyle name="Comma 3 2 5 4 4 4" xfId="35635" xr:uid="{67068805-8D92-488E-A4F2-46071DBB4FEE}"/>
    <cellStyle name="Comma 3 2 5 4 5" xfId="6907" xr:uid="{7D8C5913-22DC-408D-94C0-009EA8BCE04B}"/>
    <cellStyle name="Comma 3 2 5 4 5 2" xfId="22027" xr:uid="{3D67ED90-5537-4C3B-9266-D782F8EE7336}"/>
    <cellStyle name="Comma 3 2 5 4 5 2 2" xfId="52267" xr:uid="{ED21234D-758E-420B-8B56-2A77A08A8E37}"/>
    <cellStyle name="Comma 3 2 5 4 5 3" xfId="37147" xr:uid="{5904A95C-2DAC-4870-B421-CE3BFF03940B}"/>
    <cellStyle name="Comma 3 2 5 4 6" xfId="8419" xr:uid="{96DB907E-C2C1-4D5D-ACEE-70CBE810A4E5}"/>
    <cellStyle name="Comma 3 2 5 4 6 2" xfId="23539" xr:uid="{F963AB25-4350-41CD-8AB0-3DAA1D238CCB}"/>
    <cellStyle name="Comma 3 2 5 4 6 2 2" xfId="53779" xr:uid="{BB48825D-6D74-4E4B-A491-E81B629C151A}"/>
    <cellStyle name="Comma 3 2 5 4 6 3" xfId="38659" xr:uid="{101B15FD-3EEC-4892-B7C4-2E6DEEAEDB6B}"/>
    <cellStyle name="Comma 3 2 5 4 7" xfId="9931" xr:uid="{609B4135-BDBE-407C-B888-CB9BEEFE35A0}"/>
    <cellStyle name="Comma 3 2 5 4 7 2" xfId="25051" xr:uid="{6035966B-5CC3-45E2-B04D-DBE876286F9E}"/>
    <cellStyle name="Comma 3 2 5 4 7 2 2" xfId="55291" xr:uid="{F2107E67-822C-4BC8-9249-AF2BE62E4D7A}"/>
    <cellStyle name="Comma 3 2 5 4 7 3" xfId="40171" xr:uid="{00DA9922-7302-4758-B022-017F514A7511}"/>
    <cellStyle name="Comma 3 2 5 4 8" xfId="15979" xr:uid="{8A1D534E-B96B-4A42-B987-0AD8E31C77C3}"/>
    <cellStyle name="Comma 3 2 5 4 8 2" xfId="46219" xr:uid="{EE46081D-9792-41EB-AD78-119B2585AB97}"/>
    <cellStyle name="Comma 3 2 5 4 9" xfId="31099" xr:uid="{60DB2CAA-FAE3-40C9-8391-B2EC81AE214C}"/>
    <cellStyle name="Comma 3 2 5 5" xfId="1615" xr:uid="{A2D8B657-A54B-470F-9C03-1C51F6C67888}"/>
    <cellStyle name="Comma 3 2 5 5 2" xfId="10687" xr:uid="{D8011D68-D59A-4F8E-93EE-0FB63476417A}"/>
    <cellStyle name="Comma 3 2 5 5 2 2" xfId="25807" xr:uid="{7AA004A0-8FAA-41C5-9CA6-7CE5BED662D2}"/>
    <cellStyle name="Comma 3 2 5 5 2 2 2" xfId="56047" xr:uid="{F51EAB5D-2D06-45F5-A68D-CBDF874647A9}"/>
    <cellStyle name="Comma 3 2 5 5 2 3" xfId="40927" xr:uid="{E8FD0AD6-35C8-4AB0-9419-90B51DAE0F86}"/>
    <cellStyle name="Comma 3 2 5 5 3" xfId="16735" xr:uid="{DE842D43-9496-4628-B7A3-829D6A09EAC4}"/>
    <cellStyle name="Comma 3 2 5 5 3 2" xfId="46975" xr:uid="{7EF65DD0-557D-4437-91CF-4D6F6BFB10B2}"/>
    <cellStyle name="Comma 3 2 5 5 4" xfId="31855" xr:uid="{49DE3B2F-3374-4697-8482-92A02CACB08C}"/>
    <cellStyle name="Comma 3 2 5 6" xfId="3127" xr:uid="{E612E697-24EF-4532-AD81-D9755869F475}"/>
    <cellStyle name="Comma 3 2 5 6 2" xfId="12199" xr:uid="{D9B90DFF-A66D-4E93-8075-49373D611081}"/>
    <cellStyle name="Comma 3 2 5 6 2 2" xfId="27319" xr:uid="{5FD7B8B6-8F36-43A7-B962-E705408A3289}"/>
    <cellStyle name="Comma 3 2 5 6 2 2 2" xfId="57559" xr:uid="{308DEAAE-0520-4F51-9B82-F71E25283AA1}"/>
    <cellStyle name="Comma 3 2 5 6 2 3" xfId="42439" xr:uid="{6A8E757E-8505-482D-BF09-596EF1248256}"/>
    <cellStyle name="Comma 3 2 5 6 3" xfId="18247" xr:uid="{E2027ACD-4328-4D1A-BB36-8F9FFDE32FA5}"/>
    <cellStyle name="Comma 3 2 5 6 3 2" xfId="48487" xr:uid="{85ED27DA-EBED-4C25-855C-BE1479A05FB8}"/>
    <cellStyle name="Comma 3 2 5 6 4" xfId="33367" xr:uid="{D99652A9-9C0C-4927-A427-38712ADDC786}"/>
    <cellStyle name="Comma 3 2 5 7" xfId="4639" xr:uid="{ECDA0EB8-5562-4603-B58D-09FF97238B7C}"/>
    <cellStyle name="Comma 3 2 5 7 2" xfId="13711" xr:uid="{F4E7714E-1916-4A93-A2A1-20570539E22F}"/>
    <cellStyle name="Comma 3 2 5 7 2 2" xfId="28831" xr:uid="{47CC8B54-5263-42B8-8F48-6094DE8E2B81}"/>
    <cellStyle name="Comma 3 2 5 7 2 2 2" xfId="59071" xr:uid="{20C2EAE3-068C-4760-9F17-532D0E002E51}"/>
    <cellStyle name="Comma 3 2 5 7 2 3" xfId="43951" xr:uid="{35713B7D-6D39-4C31-A0A5-ED6CD083B8A1}"/>
    <cellStyle name="Comma 3 2 5 7 3" xfId="19759" xr:uid="{09E362B8-3E44-4357-9C5A-BDF4BC6713E7}"/>
    <cellStyle name="Comma 3 2 5 7 3 2" xfId="49999" xr:uid="{779352FD-2933-4B52-AE8A-AF224E14DD49}"/>
    <cellStyle name="Comma 3 2 5 7 4" xfId="34879" xr:uid="{16C15B08-D346-4422-BEA3-8A7B7BFA1E98}"/>
    <cellStyle name="Comma 3 2 5 8" xfId="6151" xr:uid="{40DE4CC4-1523-48D5-9DD6-7D6858EF8816}"/>
    <cellStyle name="Comma 3 2 5 8 2" xfId="21271" xr:uid="{C7646493-47FC-48B7-928A-CCEA9F034695}"/>
    <cellStyle name="Comma 3 2 5 8 2 2" xfId="51511" xr:uid="{ECA49572-0712-4036-B1C3-293F00D7D765}"/>
    <cellStyle name="Comma 3 2 5 8 3" xfId="36391" xr:uid="{F702117E-5A60-4E2C-819A-8DD695EE162F}"/>
    <cellStyle name="Comma 3 2 5 9" xfId="7663" xr:uid="{D35E88BE-2A65-4D2D-970E-623694B624C2}"/>
    <cellStyle name="Comma 3 2 5 9 2" xfId="22783" xr:uid="{A31E1B51-9CE3-4C11-A55B-A80DB3018F88}"/>
    <cellStyle name="Comma 3 2 5 9 2 2" xfId="53023" xr:uid="{602FEC1A-CF51-4C81-A8B8-98011986C975}"/>
    <cellStyle name="Comma 3 2 5 9 3" xfId="37903" xr:uid="{D05E91B7-23E6-40B5-9A54-25DDE43FB015}"/>
    <cellStyle name="Comma 3 2 6" xfId="187" xr:uid="{D96A50FD-659A-4E14-A94C-0ADE5115FA28}"/>
    <cellStyle name="Comma 3 2 6 10" xfId="9259" xr:uid="{D5243791-F22D-41E3-AFCE-483A9ADE6300}"/>
    <cellStyle name="Comma 3 2 6 10 2" xfId="24379" xr:uid="{925BBF29-6787-480B-8310-8DC874A618C7}"/>
    <cellStyle name="Comma 3 2 6 10 2 2" xfId="54619" xr:uid="{E5088AAD-562F-417B-BD25-32C68C7A932B}"/>
    <cellStyle name="Comma 3 2 6 10 3" xfId="39499" xr:uid="{CFC6BA7F-C83C-472B-BCEC-8D65576BD634}"/>
    <cellStyle name="Comma 3 2 6 11" xfId="15307" xr:uid="{180BF1A2-B456-4D28-B362-CA71E88836EA}"/>
    <cellStyle name="Comma 3 2 6 11 2" xfId="45547" xr:uid="{AA34E9EC-077A-4330-9609-FB7F12A89B3F}"/>
    <cellStyle name="Comma 3 2 6 12" xfId="30427" xr:uid="{CA81B30F-1D91-4A5F-A851-EE45101D19C6}"/>
    <cellStyle name="Comma 3 2 6 2" xfId="439" xr:uid="{AA77D99A-F6B1-43C7-82D4-A15B7792E482}"/>
    <cellStyle name="Comma 3 2 6 2 10" xfId="30679" xr:uid="{9B8305E7-56D9-44D1-9DAA-1F89ED472F53}"/>
    <cellStyle name="Comma 3 2 6 2 2" xfId="1195" xr:uid="{01204868-7D68-4940-9E26-5552FD609A22}"/>
    <cellStyle name="Comma 3 2 6 2 2 2" xfId="2707" xr:uid="{1C4366D1-992E-4050-87F0-EA38FB18E937}"/>
    <cellStyle name="Comma 3 2 6 2 2 2 2" xfId="11779" xr:uid="{FE8250F9-D826-4941-A3CA-5C24F41228E7}"/>
    <cellStyle name="Comma 3 2 6 2 2 2 2 2" xfId="26899" xr:uid="{4F882F4B-B8D9-4359-B133-1B03DC94E00D}"/>
    <cellStyle name="Comma 3 2 6 2 2 2 2 2 2" xfId="57139" xr:uid="{59CA1EE5-3854-46D0-941C-AE7A6573965F}"/>
    <cellStyle name="Comma 3 2 6 2 2 2 2 3" xfId="42019" xr:uid="{D1CDC96A-9FAD-4003-BDD7-16DDE78EF196}"/>
    <cellStyle name="Comma 3 2 6 2 2 2 3" xfId="17827" xr:uid="{773556D2-CAB0-4882-9BD7-A5C9F3F0C5C9}"/>
    <cellStyle name="Comma 3 2 6 2 2 2 3 2" xfId="48067" xr:uid="{7F69700A-7F40-488E-B3EC-B5F67664D1FC}"/>
    <cellStyle name="Comma 3 2 6 2 2 2 4" xfId="32947" xr:uid="{F9B02EAF-BB52-4FC5-AD5F-D64B7CD0BA40}"/>
    <cellStyle name="Comma 3 2 6 2 2 3" xfId="4219" xr:uid="{F453AF7C-FCF5-474C-9A7D-670587357DCE}"/>
    <cellStyle name="Comma 3 2 6 2 2 3 2" xfId="13291" xr:uid="{47FE738D-063A-4F86-9838-A1D9B0577D50}"/>
    <cellStyle name="Comma 3 2 6 2 2 3 2 2" xfId="28411" xr:uid="{D7271135-9649-4C92-B639-D3593EE2A486}"/>
    <cellStyle name="Comma 3 2 6 2 2 3 2 2 2" xfId="58651" xr:uid="{9B591E75-0E59-4E8E-B6D2-E3D125213487}"/>
    <cellStyle name="Comma 3 2 6 2 2 3 2 3" xfId="43531" xr:uid="{63329D4B-E02D-489B-A642-0F57FB543D0F}"/>
    <cellStyle name="Comma 3 2 6 2 2 3 3" xfId="19339" xr:uid="{7034A060-FA3C-4631-AEBD-7521D2619DF3}"/>
    <cellStyle name="Comma 3 2 6 2 2 3 3 2" xfId="49579" xr:uid="{119C3F76-DFC8-486A-AA45-061317B532EC}"/>
    <cellStyle name="Comma 3 2 6 2 2 3 4" xfId="34459" xr:uid="{112E5D16-C4F3-4DFD-99CD-770C3FC9CBFA}"/>
    <cellStyle name="Comma 3 2 6 2 2 4" xfId="5731" xr:uid="{97D032F2-6292-461D-A6A7-B95357627B2C}"/>
    <cellStyle name="Comma 3 2 6 2 2 4 2" xfId="14803" xr:uid="{7008CAF2-8D03-4519-B5AB-CE311781C09A}"/>
    <cellStyle name="Comma 3 2 6 2 2 4 2 2" xfId="29923" xr:uid="{87F35C82-3142-408A-9A2D-9D664FB0EBE3}"/>
    <cellStyle name="Comma 3 2 6 2 2 4 2 2 2" xfId="60163" xr:uid="{C6392903-0752-4923-8797-40F5D44AB99B}"/>
    <cellStyle name="Comma 3 2 6 2 2 4 2 3" xfId="45043" xr:uid="{8FABD459-00A3-450A-9CD0-BFF1BFB65EB0}"/>
    <cellStyle name="Comma 3 2 6 2 2 4 3" xfId="20851" xr:uid="{70E7745D-922C-4B08-81A3-E6A448908EAC}"/>
    <cellStyle name="Comma 3 2 6 2 2 4 3 2" xfId="51091" xr:uid="{66FB7379-3D15-43E4-8098-E8D873041B1E}"/>
    <cellStyle name="Comma 3 2 6 2 2 4 4" xfId="35971" xr:uid="{B3644345-0C67-4C02-B987-D56DF0CB34BA}"/>
    <cellStyle name="Comma 3 2 6 2 2 5" xfId="7243" xr:uid="{10F2D479-8E33-458E-A7D9-B1AB281067EB}"/>
    <cellStyle name="Comma 3 2 6 2 2 5 2" xfId="22363" xr:uid="{C6C98A9C-313E-4D9A-82D5-2FDE689FA5BA}"/>
    <cellStyle name="Comma 3 2 6 2 2 5 2 2" xfId="52603" xr:uid="{6FB2F27B-5C32-4C28-B796-7CDC5D3D682A}"/>
    <cellStyle name="Comma 3 2 6 2 2 5 3" xfId="37483" xr:uid="{70F9610F-1784-42B7-9B33-23087345F5B8}"/>
    <cellStyle name="Comma 3 2 6 2 2 6" xfId="8755" xr:uid="{CA1AA362-F9E6-432D-97BC-AFD279E3081D}"/>
    <cellStyle name="Comma 3 2 6 2 2 6 2" xfId="23875" xr:uid="{7CA39732-2409-4520-B8F8-B95979F53A63}"/>
    <cellStyle name="Comma 3 2 6 2 2 6 2 2" xfId="54115" xr:uid="{697C3538-2433-4FAE-A4A6-03062DCE01AD}"/>
    <cellStyle name="Comma 3 2 6 2 2 6 3" xfId="38995" xr:uid="{84C18B50-A7BA-4D48-9E6F-A756C697DA48}"/>
    <cellStyle name="Comma 3 2 6 2 2 7" xfId="10267" xr:uid="{A5B552A1-7FC3-473F-97B3-E5C70751B8C5}"/>
    <cellStyle name="Comma 3 2 6 2 2 7 2" xfId="25387" xr:uid="{39E68051-7AF0-464B-8D63-9B66B59ECC26}"/>
    <cellStyle name="Comma 3 2 6 2 2 7 2 2" xfId="55627" xr:uid="{87742C8A-083C-454A-A3BD-8B4885FEAA02}"/>
    <cellStyle name="Comma 3 2 6 2 2 7 3" xfId="40507" xr:uid="{0DD48453-4A6A-4BAF-AF6D-A4F7C1CF3611}"/>
    <cellStyle name="Comma 3 2 6 2 2 8" xfId="16315" xr:uid="{3405E6BC-A08C-4B11-B27E-94739034A067}"/>
    <cellStyle name="Comma 3 2 6 2 2 8 2" xfId="46555" xr:uid="{DD6C58D4-80D2-4442-938D-B93E3B1D17DD}"/>
    <cellStyle name="Comma 3 2 6 2 2 9" xfId="31435" xr:uid="{B3B41DC4-A5C7-41DE-84A3-61F642602272}"/>
    <cellStyle name="Comma 3 2 6 2 3" xfId="1951" xr:uid="{EDB69BC3-D05A-4BFC-9A8E-95F8E2EAB277}"/>
    <cellStyle name="Comma 3 2 6 2 3 2" xfId="11023" xr:uid="{10A18EA9-697B-408D-A318-2F24905EB7D2}"/>
    <cellStyle name="Comma 3 2 6 2 3 2 2" xfId="26143" xr:uid="{51222181-41B3-4DAF-B11A-F0CE3D8506C8}"/>
    <cellStyle name="Comma 3 2 6 2 3 2 2 2" xfId="56383" xr:uid="{14D76B0F-DBE4-46F3-ADD2-1BE845F1450D}"/>
    <cellStyle name="Comma 3 2 6 2 3 2 3" xfId="41263" xr:uid="{7636A19C-5EAD-4FDD-BD91-01785A182FCC}"/>
    <cellStyle name="Comma 3 2 6 2 3 3" xfId="17071" xr:uid="{72042EA5-E58A-4E6D-B59C-77E74887F2BF}"/>
    <cellStyle name="Comma 3 2 6 2 3 3 2" xfId="47311" xr:uid="{77BC09A7-0454-426E-B997-0F3FCAD181DB}"/>
    <cellStyle name="Comma 3 2 6 2 3 4" xfId="32191" xr:uid="{DF9077F3-B42B-47F5-9835-509B255149A5}"/>
    <cellStyle name="Comma 3 2 6 2 4" xfId="3463" xr:uid="{3DC184A3-787C-4BA0-87E6-5F26201624C2}"/>
    <cellStyle name="Comma 3 2 6 2 4 2" xfId="12535" xr:uid="{803D6124-E667-4492-84E4-3E7532EA6066}"/>
    <cellStyle name="Comma 3 2 6 2 4 2 2" xfId="27655" xr:uid="{39D19F09-9735-4BC5-8AF3-C3F9EB4DB1BD}"/>
    <cellStyle name="Comma 3 2 6 2 4 2 2 2" xfId="57895" xr:uid="{EE0350D7-E8B4-437E-8215-A593091C4A8E}"/>
    <cellStyle name="Comma 3 2 6 2 4 2 3" xfId="42775" xr:uid="{E0BB5E27-108D-45EA-9903-58F41923BF50}"/>
    <cellStyle name="Comma 3 2 6 2 4 3" xfId="18583" xr:uid="{49C1DB62-EF37-45C5-A360-31BC1C460DAA}"/>
    <cellStyle name="Comma 3 2 6 2 4 3 2" xfId="48823" xr:uid="{BCC4B643-B4F6-42D5-B6A6-23A82A013B75}"/>
    <cellStyle name="Comma 3 2 6 2 4 4" xfId="33703" xr:uid="{C82DF257-B73C-45BE-8E36-554D1C7D9DF4}"/>
    <cellStyle name="Comma 3 2 6 2 5" xfId="4975" xr:uid="{02F036DA-C477-44CE-A4A1-B1E702F48D5D}"/>
    <cellStyle name="Comma 3 2 6 2 5 2" xfId="14047" xr:uid="{BF68F3DF-112B-414A-94C4-C3333290F748}"/>
    <cellStyle name="Comma 3 2 6 2 5 2 2" xfId="29167" xr:uid="{C41A30FE-7FF0-42F1-8E44-D04C86E30AAB}"/>
    <cellStyle name="Comma 3 2 6 2 5 2 2 2" xfId="59407" xr:uid="{B624A621-F89F-48AD-A8C9-1EE09211EE54}"/>
    <cellStyle name="Comma 3 2 6 2 5 2 3" xfId="44287" xr:uid="{0006A4E0-257F-405B-BEB2-F2A5C12B9112}"/>
    <cellStyle name="Comma 3 2 6 2 5 3" xfId="20095" xr:uid="{CFFE7557-9EC8-4798-AD1E-930F8B4E811D}"/>
    <cellStyle name="Comma 3 2 6 2 5 3 2" xfId="50335" xr:uid="{9D60B5E1-18AD-4881-8539-A9D709F48005}"/>
    <cellStyle name="Comma 3 2 6 2 5 4" xfId="35215" xr:uid="{D3189FCB-445C-427F-B905-11E544C59B59}"/>
    <cellStyle name="Comma 3 2 6 2 6" xfId="6487" xr:uid="{1D270D15-4B1C-4497-9BF1-D9489C271D18}"/>
    <cellStyle name="Comma 3 2 6 2 6 2" xfId="21607" xr:uid="{158B945A-0300-4ACB-A7A3-DED3E7841A1F}"/>
    <cellStyle name="Comma 3 2 6 2 6 2 2" xfId="51847" xr:uid="{56A88480-F6D7-4D5F-B11D-6FA9F43203F8}"/>
    <cellStyle name="Comma 3 2 6 2 6 3" xfId="36727" xr:uid="{6E98E697-1015-4533-963C-C5AFDB90871A}"/>
    <cellStyle name="Comma 3 2 6 2 7" xfId="7999" xr:uid="{903833FB-2088-4871-84D6-A8F46139C72A}"/>
    <cellStyle name="Comma 3 2 6 2 7 2" xfId="23119" xr:uid="{3BC5148D-6ABD-4726-ACD3-61078135405F}"/>
    <cellStyle name="Comma 3 2 6 2 7 2 2" xfId="53359" xr:uid="{D79F78D2-9C84-4889-9260-46869A71C340}"/>
    <cellStyle name="Comma 3 2 6 2 7 3" xfId="38239" xr:uid="{34D973D8-A50D-428E-8E69-26B758078698}"/>
    <cellStyle name="Comma 3 2 6 2 8" xfId="9511" xr:uid="{146A6E82-1128-457F-86E1-29348527257F}"/>
    <cellStyle name="Comma 3 2 6 2 8 2" xfId="24631" xr:uid="{BD136EB5-095E-4AC4-9420-8D7E89DC844C}"/>
    <cellStyle name="Comma 3 2 6 2 8 2 2" xfId="54871" xr:uid="{688B7ECE-0B72-4CC3-A497-B5FE5FF0CE6C}"/>
    <cellStyle name="Comma 3 2 6 2 8 3" xfId="39751" xr:uid="{6AA88D1A-E758-4991-A82D-46302BDEB107}"/>
    <cellStyle name="Comma 3 2 6 2 9" xfId="15559" xr:uid="{B27DFF18-D402-4995-A397-AFA424AC28AF}"/>
    <cellStyle name="Comma 3 2 6 2 9 2" xfId="45799" xr:uid="{79DA71F7-075B-4FDF-997B-5B4A66326372}"/>
    <cellStyle name="Comma 3 2 6 3" xfId="691" xr:uid="{FB6B18B6-0BB0-45C1-9A00-6DED3E56F0F3}"/>
    <cellStyle name="Comma 3 2 6 3 10" xfId="30931" xr:uid="{58A26672-2CC1-4FD0-809B-3A2CBCF20700}"/>
    <cellStyle name="Comma 3 2 6 3 2" xfId="1447" xr:uid="{BBA5B1B3-9091-44C7-9347-E9F88C8DA8C4}"/>
    <cellStyle name="Comma 3 2 6 3 2 2" xfId="2959" xr:uid="{134625FB-8A55-4985-807F-E899F222957E}"/>
    <cellStyle name="Comma 3 2 6 3 2 2 2" xfId="12031" xr:uid="{B92BD0E1-EF86-4E47-BB10-44C67766CC64}"/>
    <cellStyle name="Comma 3 2 6 3 2 2 2 2" xfId="27151" xr:uid="{3661BFBC-5125-479E-BF11-2F23CC9D33EB}"/>
    <cellStyle name="Comma 3 2 6 3 2 2 2 2 2" xfId="57391" xr:uid="{67B268C9-A3A0-4166-BE1A-207F28FAE0BD}"/>
    <cellStyle name="Comma 3 2 6 3 2 2 2 3" xfId="42271" xr:uid="{D9604A2B-BD3A-46FD-BD41-E2A54B69AD63}"/>
    <cellStyle name="Comma 3 2 6 3 2 2 3" xfId="18079" xr:uid="{A9BF3C8D-3D2E-466E-96E5-49C3FBB14C94}"/>
    <cellStyle name="Comma 3 2 6 3 2 2 3 2" xfId="48319" xr:uid="{78D52433-A65C-4BE9-8E58-30AE341410E1}"/>
    <cellStyle name="Comma 3 2 6 3 2 2 4" xfId="33199" xr:uid="{914F0685-07B6-480A-B6BD-349363634D9E}"/>
    <cellStyle name="Comma 3 2 6 3 2 3" xfId="4471" xr:uid="{BCC6D49D-96AA-4742-AF66-604580D52FC9}"/>
    <cellStyle name="Comma 3 2 6 3 2 3 2" xfId="13543" xr:uid="{D4D35203-A36E-4BDD-A58E-224EF5C45175}"/>
    <cellStyle name="Comma 3 2 6 3 2 3 2 2" xfId="28663" xr:uid="{41EA6EA5-10A8-4BC3-9D74-079214AED4B8}"/>
    <cellStyle name="Comma 3 2 6 3 2 3 2 2 2" xfId="58903" xr:uid="{29C78602-0DB1-445B-908C-35E9E7B345D8}"/>
    <cellStyle name="Comma 3 2 6 3 2 3 2 3" xfId="43783" xr:uid="{46ADB2BD-E59B-4E86-A802-9CEB4D7CFF1A}"/>
    <cellStyle name="Comma 3 2 6 3 2 3 3" xfId="19591" xr:uid="{57BD5D18-8144-4A26-9417-BA772C80ACE6}"/>
    <cellStyle name="Comma 3 2 6 3 2 3 3 2" xfId="49831" xr:uid="{5B8DD6D4-EBFB-4B86-B909-78FD0CBCB9A6}"/>
    <cellStyle name="Comma 3 2 6 3 2 3 4" xfId="34711" xr:uid="{177CF406-8035-4C38-B3E5-BF73A7456469}"/>
    <cellStyle name="Comma 3 2 6 3 2 4" xfId="5983" xr:uid="{E13DC825-8FFD-4062-99DC-D643BD9EFB82}"/>
    <cellStyle name="Comma 3 2 6 3 2 4 2" xfId="15055" xr:uid="{418C75AF-0185-4EDE-BDEB-6649CC8B305A}"/>
    <cellStyle name="Comma 3 2 6 3 2 4 2 2" xfId="30175" xr:uid="{D41FB440-D960-4108-B799-4044C5D803DE}"/>
    <cellStyle name="Comma 3 2 6 3 2 4 2 2 2" xfId="60415" xr:uid="{3F79E33F-C956-4A89-8E38-D52CB41D21B0}"/>
    <cellStyle name="Comma 3 2 6 3 2 4 2 3" xfId="45295" xr:uid="{A6624783-1A23-4EFD-B1F1-6572324228FB}"/>
    <cellStyle name="Comma 3 2 6 3 2 4 3" xfId="21103" xr:uid="{EF3D8C6C-D792-4388-919D-0869C8FEC58A}"/>
    <cellStyle name="Comma 3 2 6 3 2 4 3 2" xfId="51343" xr:uid="{E11F3118-A3B4-447C-8618-FD7176A447C4}"/>
    <cellStyle name="Comma 3 2 6 3 2 4 4" xfId="36223" xr:uid="{00AE36F2-804B-426D-9E5D-1C4075033DB0}"/>
    <cellStyle name="Comma 3 2 6 3 2 5" xfId="7495" xr:uid="{3F567326-886B-42AE-8100-1F3DCAD9FE22}"/>
    <cellStyle name="Comma 3 2 6 3 2 5 2" xfId="22615" xr:uid="{41C2AF11-49A5-42F0-B248-D75AC64252A0}"/>
    <cellStyle name="Comma 3 2 6 3 2 5 2 2" xfId="52855" xr:uid="{C3E8A03E-4014-4EC6-AB48-8B27E5B88479}"/>
    <cellStyle name="Comma 3 2 6 3 2 5 3" xfId="37735" xr:uid="{39A2B97B-12E8-4BEB-8945-51C657943E49}"/>
    <cellStyle name="Comma 3 2 6 3 2 6" xfId="9007" xr:uid="{5B8BD795-A250-4B6A-A5B9-A2F28C9BF617}"/>
    <cellStyle name="Comma 3 2 6 3 2 6 2" xfId="24127" xr:uid="{39AEB14D-4400-4433-9332-5A12C5AF4D60}"/>
    <cellStyle name="Comma 3 2 6 3 2 6 2 2" xfId="54367" xr:uid="{4939D92C-757E-443C-BCE2-DB595A11A4E9}"/>
    <cellStyle name="Comma 3 2 6 3 2 6 3" xfId="39247" xr:uid="{B0B0ADA8-FD85-4E92-B481-4AEABACCCE28}"/>
    <cellStyle name="Comma 3 2 6 3 2 7" xfId="10519" xr:uid="{BAF46C11-B90B-4C7E-9201-8FED00834B0C}"/>
    <cellStyle name="Comma 3 2 6 3 2 7 2" xfId="25639" xr:uid="{614630D7-AF3F-4682-8B5F-86A37869EF2F}"/>
    <cellStyle name="Comma 3 2 6 3 2 7 2 2" xfId="55879" xr:uid="{FB7AADA8-891E-4E6C-A449-98EF6A88F73A}"/>
    <cellStyle name="Comma 3 2 6 3 2 7 3" xfId="40759" xr:uid="{A8140697-3CB7-41C0-8F90-635A8A6002FC}"/>
    <cellStyle name="Comma 3 2 6 3 2 8" xfId="16567" xr:uid="{79D7C71B-B3E9-4226-980C-ED94948E96AB}"/>
    <cellStyle name="Comma 3 2 6 3 2 8 2" xfId="46807" xr:uid="{9A849C13-ABB5-4D62-A4B9-E4329BBD9C20}"/>
    <cellStyle name="Comma 3 2 6 3 2 9" xfId="31687" xr:uid="{F75B1417-191C-48E3-A58E-7CECF9F0B309}"/>
    <cellStyle name="Comma 3 2 6 3 3" xfId="2203" xr:uid="{034895B1-89F7-4A9C-BF67-E0C38FAF2712}"/>
    <cellStyle name="Comma 3 2 6 3 3 2" xfId="11275" xr:uid="{06C54299-7C1D-4D53-997F-D8CBB81D9E9E}"/>
    <cellStyle name="Comma 3 2 6 3 3 2 2" xfId="26395" xr:uid="{21C3D4B3-345A-40CC-8100-BD7C2C7ACABB}"/>
    <cellStyle name="Comma 3 2 6 3 3 2 2 2" xfId="56635" xr:uid="{A3CE7203-AC59-41D3-A304-9701ED10B433}"/>
    <cellStyle name="Comma 3 2 6 3 3 2 3" xfId="41515" xr:uid="{85943460-897D-42AF-A1D5-314D0F60788B}"/>
    <cellStyle name="Comma 3 2 6 3 3 3" xfId="17323" xr:uid="{1C6B76B3-AC8A-49B1-910B-53C430CA7D2D}"/>
    <cellStyle name="Comma 3 2 6 3 3 3 2" xfId="47563" xr:uid="{0D890A22-2F6F-4D7B-969A-2BCBDD608A1E}"/>
    <cellStyle name="Comma 3 2 6 3 3 4" xfId="32443" xr:uid="{22CE8262-F763-47D7-9C19-36B565B21E64}"/>
    <cellStyle name="Comma 3 2 6 3 4" xfId="3715" xr:uid="{BBDB8E18-DCF8-433B-833E-8852539FE1A7}"/>
    <cellStyle name="Comma 3 2 6 3 4 2" xfId="12787" xr:uid="{BE2945FA-B272-4D87-AA38-29781E009344}"/>
    <cellStyle name="Comma 3 2 6 3 4 2 2" xfId="27907" xr:uid="{88910274-E529-4D37-98E7-83E1BEDDEED2}"/>
    <cellStyle name="Comma 3 2 6 3 4 2 2 2" xfId="58147" xr:uid="{2AB630BF-BF61-48DC-BEDC-E423CF3BA6EF}"/>
    <cellStyle name="Comma 3 2 6 3 4 2 3" xfId="43027" xr:uid="{D912983E-F209-41A8-B74F-436B2B874E0E}"/>
    <cellStyle name="Comma 3 2 6 3 4 3" xfId="18835" xr:uid="{28187BAE-8AEE-4755-85CB-094658547227}"/>
    <cellStyle name="Comma 3 2 6 3 4 3 2" xfId="49075" xr:uid="{F64B8AD0-4DB7-45B9-A7F2-08B0D54D3685}"/>
    <cellStyle name="Comma 3 2 6 3 4 4" xfId="33955" xr:uid="{ECF211DF-77D9-4CB1-ABAE-5BBB1A63F2EB}"/>
    <cellStyle name="Comma 3 2 6 3 5" xfId="5227" xr:uid="{FEFF0FA9-FAF5-4524-BE5A-10C96D3C19FC}"/>
    <cellStyle name="Comma 3 2 6 3 5 2" xfId="14299" xr:uid="{5CC97226-EAA5-47DE-9F9D-E0AE620998F9}"/>
    <cellStyle name="Comma 3 2 6 3 5 2 2" xfId="29419" xr:uid="{59A9D346-BC09-4CCC-85FF-8DA0843882FB}"/>
    <cellStyle name="Comma 3 2 6 3 5 2 2 2" xfId="59659" xr:uid="{065FADAB-DA0E-44E9-90C4-1B9962A98F5B}"/>
    <cellStyle name="Comma 3 2 6 3 5 2 3" xfId="44539" xr:uid="{33EEF6B6-EFF4-4EC0-A283-9AC3373258B4}"/>
    <cellStyle name="Comma 3 2 6 3 5 3" xfId="20347" xr:uid="{7503E92B-F13F-4FCD-B722-83A68BE12D25}"/>
    <cellStyle name="Comma 3 2 6 3 5 3 2" xfId="50587" xr:uid="{CF1E0826-6832-4502-8AF8-8DB3CAAC7116}"/>
    <cellStyle name="Comma 3 2 6 3 5 4" xfId="35467" xr:uid="{013519D4-2204-47D3-86ED-A8B9BAFEE4CD}"/>
    <cellStyle name="Comma 3 2 6 3 6" xfId="6739" xr:uid="{CF36B467-0B1B-4CA1-B90F-E25DB259B361}"/>
    <cellStyle name="Comma 3 2 6 3 6 2" xfId="21859" xr:uid="{BD4C0632-BF8B-401D-9390-5CE51B2B48B0}"/>
    <cellStyle name="Comma 3 2 6 3 6 2 2" xfId="52099" xr:uid="{8341ED64-A423-4B69-AE1E-894C1DAB83B3}"/>
    <cellStyle name="Comma 3 2 6 3 6 3" xfId="36979" xr:uid="{FA1983B6-8AAF-44DF-951A-4DD6D6D6B5F0}"/>
    <cellStyle name="Comma 3 2 6 3 7" xfId="8251" xr:uid="{BEF0182A-85E8-4272-A26D-98321D74E821}"/>
    <cellStyle name="Comma 3 2 6 3 7 2" xfId="23371" xr:uid="{142FF159-C8A3-4199-A20D-CF939D9E301B}"/>
    <cellStyle name="Comma 3 2 6 3 7 2 2" xfId="53611" xr:uid="{7EF5FB76-3265-49DE-AF25-05126013AA65}"/>
    <cellStyle name="Comma 3 2 6 3 7 3" xfId="38491" xr:uid="{2A904C39-A038-4917-B5F9-7F84EF24F219}"/>
    <cellStyle name="Comma 3 2 6 3 8" xfId="9763" xr:uid="{733B4D07-9B17-4625-97F5-B2AC6C311E4A}"/>
    <cellStyle name="Comma 3 2 6 3 8 2" xfId="24883" xr:uid="{DBAAC4CE-C532-42C7-824A-E28081B21AF1}"/>
    <cellStyle name="Comma 3 2 6 3 8 2 2" xfId="55123" xr:uid="{88E49153-DE1B-4277-9263-D7DB58DD1625}"/>
    <cellStyle name="Comma 3 2 6 3 8 3" xfId="40003" xr:uid="{0253C4B1-5748-45C8-B513-0B1E20AC803E}"/>
    <cellStyle name="Comma 3 2 6 3 9" xfId="15811" xr:uid="{3325A177-85FA-4F51-9D24-9E8C709EC900}"/>
    <cellStyle name="Comma 3 2 6 3 9 2" xfId="46051" xr:uid="{70BE6106-1B06-4376-A232-81FADEA74EFD}"/>
    <cellStyle name="Comma 3 2 6 4" xfId="943" xr:uid="{36CA05A7-9348-4D50-BF42-735224C947AA}"/>
    <cellStyle name="Comma 3 2 6 4 2" xfId="2455" xr:uid="{0493FE3D-B0A6-451A-89DB-4C8A258D7D9D}"/>
    <cellStyle name="Comma 3 2 6 4 2 2" xfId="11527" xr:uid="{A7151C13-E61E-4062-8A6B-274119D797B3}"/>
    <cellStyle name="Comma 3 2 6 4 2 2 2" xfId="26647" xr:uid="{01A0AD28-7932-4EB2-891B-12D6BB657BC1}"/>
    <cellStyle name="Comma 3 2 6 4 2 2 2 2" xfId="56887" xr:uid="{C45F57D1-E83A-4400-9A56-CBB18DA829CB}"/>
    <cellStyle name="Comma 3 2 6 4 2 2 3" xfId="41767" xr:uid="{875635A7-C87B-4E50-A76F-F9B8520FA357}"/>
    <cellStyle name="Comma 3 2 6 4 2 3" xfId="17575" xr:uid="{CB67D40B-CF3B-4D58-844C-EC4377C1B87B}"/>
    <cellStyle name="Comma 3 2 6 4 2 3 2" xfId="47815" xr:uid="{D37B34E6-1B04-4DE0-855C-6EE0D9CBCE81}"/>
    <cellStyle name="Comma 3 2 6 4 2 4" xfId="32695" xr:uid="{150C8158-C417-4E47-9D94-A886757C8447}"/>
    <cellStyle name="Comma 3 2 6 4 3" xfId="3967" xr:uid="{AB99E825-3EE5-42F5-99D0-F4B5B4A94CB0}"/>
    <cellStyle name="Comma 3 2 6 4 3 2" xfId="13039" xr:uid="{D95CE33F-F8D5-44B3-A298-DDFF50205A27}"/>
    <cellStyle name="Comma 3 2 6 4 3 2 2" xfId="28159" xr:uid="{EB3EAC24-B651-4D0A-B7E9-7F0C54628C54}"/>
    <cellStyle name="Comma 3 2 6 4 3 2 2 2" xfId="58399" xr:uid="{23E2283E-F4E9-493C-A886-A044A71670F9}"/>
    <cellStyle name="Comma 3 2 6 4 3 2 3" xfId="43279" xr:uid="{D22CFB72-2211-4B13-9175-578D974C4B92}"/>
    <cellStyle name="Comma 3 2 6 4 3 3" xfId="19087" xr:uid="{7D69F68B-85DA-4F3E-92F1-91EC1AA6EB1D}"/>
    <cellStyle name="Comma 3 2 6 4 3 3 2" xfId="49327" xr:uid="{FC856074-E1DC-4FA1-BFC3-E8DBC96DD5A5}"/>
    <cellStyle name="Comma 3 2 6 4 3 4" xfId="34207" xr:uid="{CCF1AF96-0C92-43CD-9FD2-577D47F4528E}"/>
    <cellStyle name="Comma 3 2 6 4 4" xfId="5479" xr:uid="{50861FDE-6DF8-449C-AC46-941E3639397F}"/>
    <cellStyle name="Comma 3 2 6 4 4 2" xfId="14551" xr:uid="{9AB07EC2-9B31-4FB4-899E-D43719A00339}"/>
    <cellStyle name="Comma 3 2 6 4 4 2 2" xfId="29671" xr:uid="{BA927011-330E-4068-99C6-22909A1DA5DC}"/>
    <cellStyle name="Comma 3 2 6 4 4 2 2 2" xfId="59911" xr:uid="{B072104E-B8C0-4BC6-87C3-0266C9123783}"/>
    <cellStyle name="Comma 3 2 6 4 4 2 3" xfId="44791" xr:uid="{70F99418-AE56-4120-A990-CB1E634108DC}"/>
    <cellStyle name="Comma 3 2 6 4 4 3" xfId="20599" xr:uid="{DD2B3780-F480-4628-8B20-D550C30C526E}"/>
    <cellStyle name="Comma 3 2 6 4 4 3 2" xfId="50839" xr:uid="{55424D4D-194A-4DA2-933D-63F34FD712D5}"/>
    <cellStyle name="Comma 3 2 6 4 4 4" xfId="35719" xr:uid="{FB1537C5-B6C7-4272-81EC-508BBFF17F00}"/>
    <cellStyle name="Comma 3 2 6 4 5" xfId="6991" xr:uid="{4A509D06-5E35-465C-AC74-F5EEE7103FB9}"/>
    <cellStyle name="Comma 3 2 6 4 5 2" xfId="22111" xr:uid="{8D5E08FE-42E8-40DF-B94E-FBC30DE91190}"/>
    <cellStyle name="Comma 3 2 6 4 5 2 2" xfId="52351" xr:uid="{734FE213-369F-46F8-97DE-B271EF8EBDD0}"/>
    <cellStyle name="Comma 3 2 6 4 5 3" xfId="37231" xr:uid="{6C238DC2-48B8-41FA-AF15-204B7A3B075D}"/>
    <cellStyle name="Comma 3 2 6 4 6" xfId="8503" xr:uid="{62DFE012-FD92-4488-B65A-713CF7B1FBFD}"/>
    <cellStyle name="Comma 3 2 6 4 6 2" xfId="23623" xr:uid="{BB0D15D1-66B1-4627-B239-EF350976C96D}"/>
    <cellStyle name="Comma 3 2 6 4 6 2 2" xfId="53863" xr:uid="{662F8669-EDE4-461D-9F64-966E3ED21C3B}"/>
    <cellStyle name="Comma 3 2 6 4 6 3" xfId="38743" xr:uid="{A39D589B-8713-418C-9973-59F595E90650}"/>
    <cellStyle name="Comma 3 2 6 4 7" xfId="10015" xr:uid="{7F313F42-A912-49A1-8575-37A093E36FB7}"/>
    <cellStyle name="Comma 3 2 6 4 7 2" xfId="25135" xr:uid="{9D05C261-CD09-4253-905D-B5710BFFA09D}"/>
    <cellStyle name="Comma 3 2 6 4 7 2 2" xfId="55375" xr:uid="{754A7CEE-4918-4A81-824E-53A9BB8E3F4A}"/>
    <cellStyle name="Comma 3 2 6 4 7 3" xfId="40255" xr:uid="{D65D88ED-384F-4AB7-8737-5B6449C5DC46}"/>
    <cellStyle name="Comma 3 2 6 4 8" xfId="16063" xr:uid="{1142C5EA-30B8-472B-86A9-B738AE7DD327}"/>
    <cellStyle name="Comma 3 2 6 4 8 2" xfId="46303" xr:uid="{FDD95BF7-A607-47C8-8B62-D7B2E18BB3F6}"/>
    <cellStyle name="Comma 3 2 6 4 9" xfId="31183" xr:uid="{3B813990-D03E-40CA-9491-7E2AF6001AA8}"/>
    <cellStyle name="Comma 3 2 6 5" xfId="1699" xr:uid="{B3077333-23CD-45DC-A273-AE7331D9A7B6}"/>
    <cellStyle name="Comma 3 2 6 5 2" xfId="10771" xr:uid="{B4B8C53B-3C53-42EE-BB08-720629D0F398}"/>
    <cellStyle name="Comma 3 2 6 5 2 2" xfId="25891" xr:uid="{5784C0F4-BA99-4382-B532-D43C6E682367}"/>
    <cellStyle name="Comma 3 2 6 5 2 2 2" xfId="56131" xr:uid="{E0291A97-4E60-4175-8854-2ECAC44260E7}"/>
    <cellStyle name="Comma 3 2 6 5 2 3" xfId="41011" xr:uid="{D1EBF31C-9DE8-4DBD-A9EC-46397788101B}"/>
    <cellStyle name="Comma 3 2 6 5 3" xfId="16819" xr:uid="{3621CE54-7418-417F-A567-62F5A61F8B7B}"/>
    <cellStyle name="Comma 3 2 6 5 3 2" xfId="47059" xr:uid="{57A63E58-BF6E-49F3-9B9B-CB9831FED2E5}"/>
    <cellStyle name="Comma 3 2 6 5 4" xfId="31939" xr:uid="{4798A05C-CEBF-4300-A702-2C706E153D12}"/>
    <cellStyle name="Comma 3 2 6 6" xfId="3211" xr:uid="{D943AD5B-BF4A-4EA3-821A-572980228085}"/>
    <cellStyle name="Comma 3 2 6 6 2" xfId="12283" xr:uid="{ED37F87F-79D7-41E3-AF93-FE79C62FE71A}"/>
    <cellStyle name="Comma 3 2 6 6 2 2" xfId="27403" xr:uid="{597FE187-A113-4ABC-8AA9-193406077ED1}"/>
    <cellStyle name="Comma 3 2 6 6 2 2 2" xfId="57643" xr:uid="{C6729363-FA97-40B0-A234-5B2B25E264FF}"/>
    <cellStyle name="Comma 3 2 6 6 2 3" xfId="42523" xr:uid="{7B072CE8-5BB5-4DDB-94E8-E63D25AAC9FA}"/>
    <cellStyle name="Comma 3 2 6 6 3" xfId="18331" xr:uid="{DD0EB4D0-2E09-4CC6-B8C5-501C0200F038}"/>
    <cellStyle name="Comma 3 2 6 6 3 2" xfId="48571" xr:uid="{123C22D4-169C-40FC-AF08-FDDE3EEA9C82}"/>
    <cellStyle name="Comma 3 2 6 6 4" xfId="33451" xr:uid="{6752C2B1-2EDD-4A83-B544-2CE40C012CBD}"/>
    <cellStyle name="Comma 3 2 6 7" xfId="4723" xr:uid="{9595DCEC-390F-4CB6-A320-32CEFE80A5B7}"/>
    <cellStyle name="Comma 3 2 6 7 2" xfId="13795" xr:uid="{90A97E05-45F9-44F8-9C32-DA4726315344}"/>
    <cellStyle name="Comma 3 2 6 7 2 2" xfId="28915" xr:uid="{B1DC45EA-E8CE-4B5D-BAEB-4DFB9D9081CA}"/>
    <cellStyle name="Comma 3 2 6 7 2 2 2" xfId="59155" xr:uid="{8C5F7B2B-AFE2-41FF-93B1-1DA4EBF714F1}"/>
    <cellStyle name="Comma 3 2 6 7 2 3" xfId="44035" xr:uid="{951193E4-8752-41BF-812F-632C0468BCB8}"/>
    <cellStyle name="Comma 3 2 6 7 3" xfId="19843" xr:uid="{731BAED6-9CB8-428C-9C85-A2AEF6CD3DDE}"/>
    <cellStyle name="Comma 3 2 6 7 3 2" xfId="50083" xr:uid="{49564F3F-0B0F-49B8-9AEB-02144A137406}"/>
    <cellStyle name="Comma 3 2 6 7 4" xfId="34963" xr:uid="{8F14908E-FAA4-4A74-B6EB-C27282DB797F}"/>
    <cellStyle name="Comma 3 2 6 8" xfId="6235" xr:uid="{7BCAC47D-4764-4C3A-A8AB-CEC418453689}"/>
    <cellStyle name="Comma 3 2 6 8 2" xfId="21355" xr:uid="{64D44299-C610-459D-A356-A61750A6EB68}"/>
    <cellStyle name="Comma 3 2 6 8 2 2" xfId="51595" xr:uid="{82A83615-B3D7-427D-97B7-B722F788A32A}"/>
    <cellStyle name="Comma 3 2 6 8 3" xfId="36475" xr:uid="{D3BB4A61-1C67-4814-BFEA-3E30499664EB}"/>
    <cellStyle name="Comma 3 2 6 9" xfId="7747" xr:uid="{A6B9D2D8-2113-43A9-8203-3CAAC9DE3158}"/>
    <cellStyle name="Comma 3 2 6 9 2" xfId="22867" xr:uid="{19DA186E-13D8-44FB-B068-107AC9FC720B}"/>
    <cellStyle name="Comma 3 2 6 9 2 2" xfId="53107" xr:uid="{5DDE0E57-6B58-4EFC-88D1-212CA6A3D710}"/>
    <cellStyle name="Comma 3 2 6 9 3" xfId="37987" xr:uid="{59309C09-6382-40C6-BF36-46D780613544}"/>
    <cellStyle name="Comma 3 2 7" xfId="271" xr:uid="{B084E337-708D-46E2-B74D-0CD8B6481B10}"/>
    <cellStyle name="Comma 3 2 7 10" xfId="30511" xr:uid="{1BB138C5-E971-4C77-867A-86B899D727DA}"/>
    <cellStyle name="Comma 3 2 7 2" xfId="1027" xr:uid="{EC8D16B0-B328-429F-8231-52CCF0E74E8E}"/>
    <cellStyle name="Comma 3 2 7 2 2" xfId="2539" xr:uid="{A9C00BB1-F237-47DB-AF38-D7B65DA1BF90}"/>
    <cellStyle name="Comma 3 2 7 2 2 2" xfId="11611" xr:uid="{D33D68BD-6A1B-42AA-B6FA-BE0F10CD9D25}"/>
    <cellStyle name="Comma 3 2 7 2 2 2 2" xfId="26731" xr:uid="{C221B4A2-FBC8-4190-99B5-7732881B28C8}"/>
    <cellStyle name="Comma 3 2 7 2 2 2 2 2" xfId="56971" xr:uid="{84338AE8-CC52-4F48-9257-5DFA70E7BEAA}"/>
    <cellStyle name="Comma 3 2 7 2 2 2 3" xfId="41851" xr:uid="{22D360A7-9D64-46A4-8C5E-D162252C8316}"/>
    <cellStyle name="Comma 3 2 7 2 2 3" xfId="17659" xr:uid="{1851838D-6127-46AC-BAC2-B31650233E8C}"/>
    <cellStyle name="Comma 3 2 7 2 2 3 2" xfId="47899" xr:uid="{8D6EC4BC-1A8B-4DB6-BC45-AE057F319718}"/>
    <cellStyle name="Comma 3 2 7 2 2 4" xfId="32779" xr:uid="{480BD31D-09AD-424B-9BCA-21B8EF74739C}"/>
    <cellStyle name="Comma 3 2 7 2 3" xfId="4051" xr:uid="{7D428039-C061-4DDB-AF26-52A772EFABF9}"/>
    <cellStyle name="Comma 3 2 7 2 3 2" xfId="13123" xr:uid="{3295C35A-1919-4D36-8DA4-954BB56DF4D4}"/>
    <cellStyle name="Comma 3 2 7 2 3 2 2" xfId="28243" xr:uid="{35297A5A-7AE9-4684-9F47-B94F9D32F483}"/>
    <cellStyle name="Comma 3 2 7 2 3 2 2 2" xfId="58483" xr:uid="{944D1E5A-639B-4B66-8E57-FFA95F568859}"/>
    <cellStyle name="Comma 3 2 7 2 3 2 3" xfId="43363" xr:uid="{51A1A462-7055-46C9-B205-03EFAEF20EA9}"/>
    <cellStyle name="Comma 3 2 7 2 3 3" xfId="19171" xr:uid="{8110D0D0-A826-42DB-B59B-B2683763D1D9}"/>
    <cellStyle name="Comma 3 2 7 2 3 3 2" xfId="49411" xr:uid="{395B0492-A49A-4A87-9B20-CF14DD66A27A}"/>
    <cellStyle name="Comma 3 2 7 2 3 4" xfId="34291" xr:uid="{BA4CB599-9CCE-44DA-ABB1-499BD25D4496}"/>
    <cellStyle name="Comma 3 2 7 2 4" xfId="5563" xr:uid="{3B17C97E-5D52-4C45-8322-50E79706B1FB}"/>
    <cellStyle name="Comma 3 2 7 2 4 2" xfId="14635" xr:uid="{AB2FD32E-2BEA-4B85-8B7A-703870BD9401}"/>
    <cellStyle name="Comma 3 2 7 2 4 2 2" xfId="29755" xr:uid="{200E8975-8191-4F12-982B-8939B7CDE1AD}"/>
    <cellStyle name="Comma 3 2 7 2 4 2 2 2" xfId="59995" xr:uid="{F37B64FB-B1DF-42C0-B960-5456899BB233}"/>
    <cellStyle name="Comma 3 2 7 2 4 2 3" xfId="44875" xr:uid="{90FD76EC-7D43-4BAC-A542-B30A4457A0D6}"/>
    <cellStyle name="Comma 3 2 7 2 4 3" xfId="20683" xr:uid="{9B6BBF44-C2CB-4EBC-9BF6-8F14C4DB3293}"/>
    <cellStyle name="Comma 3 2 7 2 4 3 2" xfId="50923" xr:uid="{B35BB950-B516-44CB-B8B4-6BD9FBE91157}"/>
    <cellStyle name="Comma 3 2 7 2 4 4" xfId="35803" xr:uid="{A60058E5-924E-4AB6-8C60-F349D1FD570A}"/>
    <cellStyle name="Comma 3 2 7 2 5" xfId="7075" xr:uid="{FECCEC05-5FF2-4A20-A1AF-B571EE1145DF}"/>
    <cellStyle name="Comma 3 2 7 2 5 2" xfId="22195" xr:uid="{1D05DDE7-DB4C-499D-BDB0-88DE93600FCD}"/>
    <cellStyle name="Comma 3 2 7 2 5 2 2" xfId="52435" xr:uid="{4D58BADF-A45B-4FFA-83D6-B8C79759B7DF}"/>
    <cellStyle name="Comma 3 2 7 2 5 3" xfId="37315" xr:uid="{4B5269B3-3588-4A36-ADEB-3D409C679909}"/>
    <cellStyle name="Comma 3 2 7 2 6" xfId="8587" xr:uid="{74D630FD-12F8-458A-8F7E-FC85B6FD61BA}"/>
    <cellStyle name="Comma 3 2 7 2 6 2" xfId="23707" xr:uid="{E74A0E99-24B0-4556-B3E3-3C51A9F79CFF}"/>
    <cellStyle name="Comma 3 2 7 2 6 2 2" xfId="53947" xr:uid="{426186C6-6786-40FF-89DE-D4CB5672932F}"/>
    <cellStyle name="Comma 3 2 7 2 6 3" xfId="38827" xr:uid="{B7CB84E4-6728-4A4D-8B86-5462E27B8FAA}"/>
    <cellStyle name="Comma 3 2 7 2 7" xfId="10099" xr:uid="{5211582F-5476-40F5-B978-FEC153DF05B2}"/>
    <cellStyle name="Comma 3 2 7 2 7 2" xfId="25219" xr:uid="{2233622F-394C-42A6-82FB-760C423531A9}"/>
    <cellStyle name="Comma 3 2 7 2 7 2 2" xfId="55459" xr:uid="{619A0E2C-5E26-4F93-9C6F-ADE0559029CD}"/>
    <cellStyle name="Comma 3 2 7 2 7 3" xfId="40339" xr:uid="{9989F0E2-FF0B-4A3F-95B6-F2A004129BC1}"/>
    <cellStyle name="Comma 3 2 7 2 8" xfId="16147" xr:uid="{B001ECB5-3660-4C2C-9790-9E0813B05B69}"/>
    <cellStyle name="Comma 3 2 7 2 8 2" xfId="46387" xr:uid="{32E187BD-EB6B-44E8-98D4-3D2EAB343D95}"/>
    <cellStyle name="Comma 3 2 7 2 9" xfId="31267" xr:uid="{1D5FDA06-669A-420C-921F-EC5FDDBF3AAE}"/>
    <cellStyle name="Comma 3 2 7 3" xfId="1783" xr:uid="{34B4B659-C93C-4308-95A0-4B98DC545C2E}"/>
    <cellStyle name="Comma 3 2 7 3 2" xfId="10855" xr:uid="{BB0C9E73-D717-4421-A5A8-AC81342B427F}"/>
    <cellStyle name="Comma 3 2 7 3 2 2" xfId="25975" xr:uid="{74491F0C-634E-496B-A645-03CCE5CABDD8}"/>
    <cellStyle name="Comma 3 2 7 3 2 2 2" xfId="56215" xr:uid="{AC865DEA-0949-4C65-8DF1-07D35790F302}"/>
    <cellStyle name="Comma 3 2 7 3 2 3" xfId="41095" xr:uid="{8CDDC1AF-B896-4C81-A510-916D9575E52E}"/>
    <cellStyle name="Comma 3 2 7 3 3" xfId="16903" xr:uid="{7EB35978-7694-4C1B-8049-FB0DD639C21A}"/>
    <cellStyle name="Comma 3 2 7 3 3 2" xfId="47143" xr:uid="{99429E6E-A231-4E42-A05C-E38DC2552062}"/>
    <cellStyle name="Comma 3 2 7 3 4" xfId="32023" xr:uid="{660ACAA6-65CB-4DFB-B0B0-CAF6282C2BAE}"/>
    <cellStyle name="Comma 3 2 7 4" xfId="3295" xr:uid="{2473D313-9548-49BC-8A07-50AFF10AC82F}"/>
    <cellStyle name="Comma 3 2 7 4 2" xfId="12367" xr:uid="{7DD4C95E-8819-499D-A6F6-BB21E1B17E1D}"/>
    <cellStyle name="Comma 3 2 7 4 2 2" xfId="27487" xr:uid="{7509894A-8DAB-43DE-867A-0C83420EACC4}"/>
    <cellStyle name="Comma 3 2 7 4 2 2 2" xfId="57727" xr:uid="{29653DCF-9800-4A3A-A020-E6AEDC812C4E}"/>
    <cellStyle name="Comma 3 2 7 4 2 3" xfId="42607" xr:uid="{A54D71FB-9B53-473D-A915-D33181BB9CDC}"/>
    <cellStyle name="Comma 3 2 7 4 3" xfId="18415" xr:uid="{DABD0733-3705-4985-B947-0CD04D4D7D2B}"/>
    <cellStyle name="Comma 3 2 7 4 3 2" xfId="48655" xr:uid="{F641313D-ED24-48C9-87D0-3A39D5F6FC48}"/>
    <cellStyle name="Comma 3 2 7 4 4" xfId="33535" xr:uid="{4F16A994-D420-44FF-A96A-7E3E103E6FAA}"/>
    <cellStyle name="Comma 3 2 7 5" xfId="4807" xr:uid="{D145D1AD-533A-43E8-8004-AA86521621F6}"/>
    <cellStyle name="Comma 3 2 7 5 2" xfId="13879" xr:uid="{12740AAD-F194-47B0-8EDF-C4EE5CAD7BC2}"/>
    <cellStyle name="Comma 3 2 7 5 2 2" xfId="28999" xr:uid="{9B8A29AD-34D7-4C9C-8BEA-55096E46CEBF}"/>
    <cellStyle name="Comma 3 2 7 5 2 2 2" xfId="59239" xr:uid="{80437C93-C4FC-4707-A788-2B9366D68DD6}"/>
    <cellStyle name="Comma 3 2 7 5 2 3" xfId="44119" xr:uid="{E49B5A6B-F7BB-47CA-8F4D-8A4E3DCE7B1E}"/>
    <cellStyle name="Comma 3 2 7 5 3" xfId="19927" xr:uid="{BAB6F921-447F-471B-B948-C9FF8CBF3B1E}"/>
    <cellStyle name="Comma 3 2 7 5 3 2" xfId="50167" xr:uid="{ADF76258-FDD6-44F9-8E16-31D068134F4A}"/>
    <cellStyle name="Comma 3 2 7 5 4" xfId="35047" xr:uid="{10E3A00F-030F-4797-B6E0-7174344166A2}"/>
    <cellStyle name="Comma 3 2 7 6" xfId="6319" xr:uid="{11641285-F6FB-4A6F-85E4-4B4C5B681A22}"/>
    <cellStyle name="Comma 3 2 7 6 2" xfId="21439" xr:uid="{22AA67C1-29AE-44A4-BE0E-7B0141FDD754}"/>
    <cellStyle name="Comma 3 2 7 6 2 2" xfId="51679" xr:uid="{D3385137-BA5C-421F-A692-ED7748F1B7BB}"/>
    <cellStyle name="Comma 3 2 7 6 3" xfId="36559" xr:uid="{BBBD8BCF-C027-4DB0-BBC3-0AC99BC030DD}"/>
    <cellStyle name="Comma 3 2 7 7" xfId="7831" xr:uid="{7C6BE3BB-2C80-4A76-A68B-E4D328844170}"/>
    <cellStyle name="Comma 3 2 7 7 2" xfId="22951" xr:uid="{4C30638E-AEF4-451A-859C-F8EABDA9CB77}"/>
    <cellStyle name="Comma 3 2 7 7 2 2" xfId="53191" xr:uid="{115C373F-62CB-4DC2-ACFE-AB0518C664C0}"/>
    <cellStyle name="Comma 3 2 7 7 3" xfId="38071" xr:uid="{B1ED6582-077B-4BE2-B585-1FBB7D242B8F}"/>
    <cellStyle name="Comma 3 2 7 8" xfId="9343" xr:uid="{65BE827A-12DA-41DD-AEAA-659F011CD53E}"/>
    <cellStyle name="Comma 3 2 7 8 2" xfId="24463" xr:uid="{0F5CA4BE-3C09-40DC-8653-20F765811456}"/>
    <cellStyle name="Comma 3 2 7 8 2 2" xfId="54703" xr:uid="{44E06C9C-268E-4F30-A65B-C5753E7533B8}"/>
    <cellStyle name="Comma 3 2 7 8 3" xfId="39583" xr:uid="{415C9DF7-7EC5-4104-8E50-08F70A7F1DDB}"/>
    <cellStyle name="Comma 3 2 7 9" xfId="15391" xr:uid="{1D65586D-3E41-4263-925B-A5D868CBCFA8}"/>
    <cellStyle name="Comma 3 2 7 9 2" xfId="45631" xr:uid="{48E915C7-2C46-4180-858A-EB3D05F03374}"/>
    <cellStyle name="Comma 3 2 8" xfId="523" xr:uid="{C1BB9E8B-A54F-4FDE-A05B-E4161669D512}"/>
    <cellStyle name="Comma 3 2 8 10" xfId="30763" xr:uid="{045D3E2D-2D97-4B17-BD15-1908FBF1C940}"/>
    <cellStyle name="Comma 3 2 8 2" xfId="1279" xr:uid="{B6DF0392-0669-4390-B79E-A04E798E8B30}"/>
    <cellStyle name="Comma 3 2 8 2 2" xfId="2791" xr:uid="{3F3F7028-17C2-475D-BC75-99EBCFB0E47A}"/>
    <cellStyle name="Comma 3 2 8 2 2 2" xfId="11863" xr:uid="{956F2EF4-A11B-4035-8263-612C107564DE}"/>
    <cellStyle name="Comma 3 2 8 2 2 2 2" xfId="26983" xr:uid="{B2B872FF-45C7-4FF1-B132-0371648D3B87}"/>
    <cellStyle name="Comma 3 2 8 2 2 2 2 2" xfId="57223" xr:uid="{A6C52529-7394-4450-A295-95E03F297FC6}"/>
    <cellStyle name="Comma 3 2 8 2 2 2 3" xfId="42103" xr:uid="{2E747EF7-6C7F-4C8A-8F02-43A2314700B4}"/>
    <cellStyle name="Comma 3 2 8 2 2 3" xfId="17911" xr:uid="{3F82A1F2-4C4C-4C24-8EA2-0FFB027BB95C}"/>
    <cellStyle name="Comma 3 2 8 2 2 3 2" xfId="48151" xr:uid="{348CB03E-A8B1-402D-9EB4-D9C931EFADF1}"/>
    <cellStyle name="Comma 3 2 8 2 2 4" xfId="33031" xr:uid="{27A82931-35EC-4FC5-B203-30B623281A20}"/>
    <cellStyle name="Comma 3 2 8 2 3" xfId="4303" xr:uid="{13ABD126-609A-4DE2-8938-40C737321B11}"/>
    <cellStyle name="Comma 3 2 8 2 3 2" xfId="13375" xr:uid="{B7EFC995-9F46-4DA2-9E7B-F4DBDF156523}"/>
    <cellStyle name="Comma 3 2 8 2 3 2 2" xfId="28495" xr:uid="{A714BDAB-B356-41C5-9A06-780A10EA89BE}"/>
    <cellStyle name="Comma 3 2 8 2 3 2 2 2" xfId="58735" xr:uid="{3195ADC9-0389-44BC-97D5-F39AAC065A59}"/>
    <cellStyle name="Comma 3 2 8 2 3 2 3" xfId="43615" xr:uid="{DCE3BCF5-C34B-4A49-B8FA-58EFB0180F79}"/>
    <cellStyle name="Comma 3 2 8 2 3 3" xfId="19423" xr:uid="{2D8B7C94-81A3-4AA2-B0A6-F4B5CCCEBD23}"/>
    <cellStyle name="Comma 3 2 8 2 3 3 2" xfId="49663" xr:uid="{77D93523-D7EA-40E7-8571-8687A65EC744}"/>
    <cellStyle name="Comma 3 2 8 2 3 4" xfId="34543" xr:uid="{89A46A2E-3B56-4265-A681-44ADA93AE82F}"/>
    <cellStyle name="Comma 3 2 8 2 4" xfId="5815" xr:uid="{79E835EA-9FE9-4A1B-B76F-213DA38B3E93}"/>
    <cellStyle name="Comma 3 2 8 2 4 2" xfId="14887" xr:uid="{94B7BA23-EE45-4187-862C-ED6A6DA07F18}"/>
    <cellStyle name="Comma 3 2 8 2 4 2 2" xfId="30007" xr:uid="{A25A6579-D8FF-48F8-8183-C908456DBADE}"/>
    <cellStyle name="Comma 3 2 8 2 4 2 2 2" xfId="60247" xr:uid="{BCFF445E-1962-422B-B729-52285FCB71D9}"/>
    <cellStyle name="Comma 3 2 8 2 4 2 3" xfId="45127" xr:uid="{66ADF887-8F27-4B85-98CA-946AEAC02211}"/>
    <cellStyle name="Comma 3 2 8 2 4 3" xfId="20935" xr:uid="{A92918F6-2C4C-42B3-85B0-AF68C24E9893}"/>
    <cellStyle name="Comma 3 2 8 2 4 3 2" xfId="51175" xr:uid="{D0E56026-1410-4CF1-A0F6-CE0C55FF1748}"/>
    <cellStyle name="Comma 3 2 8 2 4 4" xfId="36055" xr:uid="{78E9951A-D44F-403D-89BD-C9AF1260354D}"/>
    <cellStyle name="Comma 3 2 8 2 5" xfId="7327" xr:uid="{AF6A9D9D-CAF1-4595-B1A7-A2613A2759BC}"/>
    <cellStyle name="Comma 3 2 8 2 5 2" xfId="22447" xr:uid="{45C2D87B-E839-4193-B651-435581165CD2}"/>
    <cellStyle name="Comma 3 2 8 2 5 2 2" xfId="52687" xr:uid="{539A5BA0-9572-4C8A-8EFE-D6DF82AD5758}"/>
    <cellStyle name="Comma 3 2 8 2 5 3" xfId="37567" xr:uid="{D48396AA-EFA5-41F7-910A-737AF48F609A}"/>
    <cellStyle name="Comma 3 2 8 2 6" xfId="8839" xr:uid="{7ED776A3-A065-473D-80D4-D0E239A7C913}"/>
    <cellStyle name="Comma 3 2 8 2 6 2" xfId="23959" xr:uid="{295A6E63-3726-49A8-B9E0-19915179402D}"/>
    <cellStyle name="Comma 3 2 8 2 6 2 2" xfId="54199" xr:uid="{0D0D7CE7-776A-4B3B-8856-2A53D23106A7}"/>
    <cellStyle name="Comma 3 2 8 2 6 3" xfId="39079" xr:uid="{498EA6CF-609C-4813-A6E0-9005079C9145}"/>
    <cellStyle name="Comma 3 2 8 2 7" xfId="10351" xr:uid="{45685BDA-172B-4D11-B2CE-7BB947A030F0}"/>
    <cellStyle name="Comma 3 2 8 2 7 2" xfId="25471" xr:uid="{CFFDF37E-975F-4F72-BBA9-BA3964B06357}"/>
    <cellStyle name="Comma 3 2 8 2 7 2 2" xfId="55711" xr:uid="{0CC02F0C-7C6C-44A6-919E-9A4852DCDF96}"/>
    <cellStyle name="Comma 3 2 8 2 7 3" xfId="40591" xr:uid="{634B79EC-2A3F-4F52-8F8B-45A2E68C1B87}"/>
    <cellStyle name="Comma 3 2 8 2 8" xfId="16399" xr:uid="{FD817290-DAED-4AD6-9045-1D4564B6604A}"/>
    <cellStyle name="Comma 3 2 8 2 8 2" xfId="46639" xr:uid="{D5061152-6480-4F27-8637-005D13B9170F}"/>
    <cellStyle name="Comma 3 2 8 2 9" xfId="31519" xr:uid="{19590694-AFC9-49CA-A338-A67C81593637}"/>
    <cellStyle name="Comma 3 2 8 3" xfId="2035" xr:uid="{ACE9B81C-3455-4E07-93A6-75D5ED426855}"/>
    <cellStyle name="Comma 3 2 8 3 2" xfId="11107" xr:uid="{FAFF63CB-8B44-4169-96E5-069D5C9199E5}"/>
    <cellStyle name="Comma 3 2 8 3 2 2" xfId="26227" xr:uid="{EDEE26C6-9A86-4D4D-8509-FF8DC49E4214}"/>
    <cellStyle name="Comma 3 2 8 3 2 2 2" xfId="56467" xr:uid="{9B789CEC-8332-4B43-B51E-36B18AC71F05}"/>
    <cellStyle name="Comma 3 2 8 3 2 3" xfId="41347" xr:uid="{168BAF15-89C1-4380-A80E-BFDA191CA42C}"/>
    <cellStyle name="Comma 3 2 8 3 3" xfId="17155" xr:uid="{B559749F-AF9B-480B-AEF9-A055E3FFF302}"/>
    <cellStyle name="Comma 3 2 8 3 3 2" xfId="47395" xr:uid="{D6505B7A-88C6-4F87-9950-1A704C12C9E7}"/>
    <cellStyle name="Comma 3 2 8 3 4" xfId="32275" xr:uid="{F610091B-05DA-4972-A93A-49142AB0AC3D}"/>
    <cellStyle name="Comma 3 2 8 4" xfId="3547" xr:uid="{54C21C31-6581-455B-A0FF-95F6140C6A21}"/>
    <cellStyle name="Comma 3 2 8 4 2" xfId="12619" xr:uid="{89EF1F61-4CDA-40A0-9B74-175BD5E02E1C}"/>
    <cellStyle name="Comma 3 2 8 4 2 2" xfId="27739" xr:uid="{E7DA2711-8F5E-45DD-BADA-E0BCE912B8C3}"/>
    <cellStyle name="Comma 3 2 8 4 2 2 2" xfId="57979" xr:uid="{06D944BC-338D-4D09-9BAF-8AD480DC2269}"/>
    <cellStyle name="Comma 3 2 8 4 2 3" xfId="42859" xr:uid="{4F354064-FD17-4A92-BF9F-E43C3FAC3C6C}"/>
    <cellStyle name="Comma 3 2 8 4 3" xfId="18667" xr:uid="{60125E6F-B796-4E20-8D07-EE629E8114E9}"/>
    <cellStyle name="Comma 3 2 8 4 3 2" xfId="48907" xr:uid="{4EBA8D6B-DE78-4333-BDF9-EDCAC8A897C0}"/>
    <cellStyle name="Comma 3 2 8 4 4" xfId="33787" xr:uid="{78CF321A-F038-4008-8B91-1D7A807EF05E}"/>
    <cellStyle name="Comma 3 2 8 5" xfId="5059" xr:uid="{582AA037-71C2-4C27-AFAB-DC558B9D8F1C}"/>
    <cellStyle name="Comma 3 2 8 5 2" xfId="14131" xr:uid="{C21F2C4F-142D-42CD-96E3-1FE4E587F632}"/>
    <cellStyle name="Comma 3 2 8 5 2 2" xfId="29251" xr:uid="{FDCA069E-75E1-4B0E-9BF9-FE420C752B8E}"/>
    <cellStyle name="Comma 3 2 8 5 2 2 2" xfId="59491" xr:uid="{DF2599EA-BF27-4516-8E19-DD30B46C564D}"/>
    <cellStyle name="Comma 3 2 8 5 2 3" xfId="44371" xr:uid="{691ED202-86C0-4222-BB47-337F5FD187EE}"/>
    <cellStyle name="Comma 3 2 8 5 3" xfId="20179" xr:uid="{B7FFB4D4-02C2-48C0-BA16-EC3BDA4CD990}"/>
    <cellStyle name="Comma 3 2 8 5 3 2" xfId="50419" xr:uid="{3B4D9326-F528-4B32-BE2B-6E538683A9B1}"/>
    <cellStyle name="Comma 3 2 8 5 4" xfId="35299" xr:uid="{F441CE9F-AE77-47BB-A7C3-9FAF149A5189}"/>
    <cellStyle name="Comma 3 2 8 6" xfId="6571" xr:uid="{2E431D45-ECE6-4A56-8F32-59F693F429A7}"/>
    <cellStyle name="Comma 3 2 8 6 2" xfId="21691" xr:uid="{FC3A60E0-3076-48E1-9CF6-3195914F8EC9}"/>
    <cellStyle name="Comma 3 2 8 6 2 2" xfId="51931" xr:uid="{D8F22DA2-2803-4376-AF10-E61696C225EA}"/>
    <cellStyle name="Comma 3 2 8 6 3" xfId="36811" xr:uid="{1DB16F53-9A53-4877-9010-27A0D4CFECEE}"/>
    <cellStyle name="Comma 3 2 8 7" xfId="8083" xr:uid="{E5E3B255-F71F-41DF-A285-40B900CAC416}"/>
    <cellStyle name="Comma 3 2 8 7 2" xfId="23203" xr:uid="{63C76893-4377-4A20-9134-612D36FEBC34}"/>
    <cellStyle name="Comma 3 2 8 7 2 2" xfId="53443" xr:uid="{EF54E5C5-FBD5-4256-B1B2-E9E133610B8C}"/>
    <cellStyle name="Comma 3 2 8 7 3" xfId="38323" xr:uid="{6AEA7BD8-788B-4253-BC93-AC3D9357A813}"/>
    <cellStyle name="Comma 3 2 8 8" xfId="9595" xr:uid="{4DC20EE0-4765-4CCB-AF91-554AC3DBD9CD}"/>
    <cellStyle name="Comma 3 2 8 8 2" xfId="24715" xr:uid="{58B5684D-80DC-4C4F-B9A5-4453F6B5A8FC}"/>
    <cellStyle name="Comma 3 2 8 8 2 2" xfId="54955" xr:uid="{0B341CB8-5F4A-4465-87AA-1570D879ECD5}"/>
    <cellStyle name="Comma 3 2 8 8 3" xfId="39835" xr:uid="{CF7B489D-2935-4196-9FFD-7133E250D061}"/>
    <cellStyle name="Comma 3 2 8 9" xfId="15643" xr:uid="{0C1AA4E6-9642-4AC4-B4EB-860BA69273C3}"/>
    <cellStyle name="Comma 3 2 8 9 2" xfId="45883" xr:uid="{F0CE6EFE-60C1-4421-8C16-D1003800D11B}"/>
    <cellStyle name="Comma 3 2 9" xfId="775" xr:uid="{DD331779-E956-4183-81C5-3E7691BBF8CD}"/>
    <cellStyle name="Comma 3 2 9 2" xfId="2287" xr:uid="{73CE5246-11CB-4B46-9455-A4CD9DF02712}"/>
    <cellStyle name="Comma 3 2 9 2 2" xfId="11359" xr:uid="{997D0605-B263-4F33-A302-F7BC1C5D73B2}"/>
    <cellStyle name="Comma 3 2 9 2 2 2" xfId="26479" xr:uid="{7B22D07C-009F-441E-AF83-A9F6B079BEFD}"/>
    <cellStyle name="Comma 3 2 9 2 2 2 2" xfId="56719" xr:uid="{9EBEF547-69E8-47AE-8AED-239BFE085F7B}"/>
    <cellStyle name="Comma 3 2 9 2 2 3" xfId="41599" xr:uid="{CB8109D0-D0D0-46B1-B1EB-E1E6EE70A0CA}"/>
    <cellStyle name="Comma 3 2 9 2 3" xfId="17407" xr:uid="{D50E289C-ABFB-403F-B4DF-DB6A48304D31}"/>
    <cellStyle name="Comma 3 2 9 2 3 2" xfId="47647" xr:uid="{F738A082-E459-4899-83C4-C5386E14CA81}"/>
    <cellStyle name="Comma 3 2 9 2 4" xfId="32527" xr:uid="{A55E42A2-183A-499B-890C-2DC8E325797C}"/>
    <cellStyle name="Comma 3 2 9 3" xfId="3799" xr:uid="{38B80D9C-4931-4256-BF33-0906E8E3D194}"/>
    <cellStyle name="Comma 3 2 9 3 2" xfId="12871" xr:uid="{7C490234-12B0-4CE9-A16D-2609491429DE}"/>
    <cellStyle name="Comma 3 2 9 3 2 2" xfId="27991" xr:uid="{F2B4B26E-C1C9-4C89-A71B-88523A5FFAA5}"/>
    <cellStyle name="Comma 3 2 9 3 2 2 2" xfId="58231" xr:uid="{2AF24898-A110-433D-ADA2-B6AFAA3E5CD2}"/>
    <cellStyle name="Comma 3 2 9 3 2 3" xfId="43111" xr:uid="{C25A91C0-6D08-4217-B904-73DA1C6586A4}"/>
    <cellStyle name="Comma 3 2 9 3 3" xfId="18919" xr:uid="{4E3CC928-59BB-4E21-968D-868283F37168}"/>
    <cellStyle name="Comma 3 2 9 3 3 2" xfId="49159" xr:uid="{58ABCE6A-AFF8-45C0-A687-925C403730CF}"/>
    <cellStyle name="Comma 3 2 9 3 4" xfId="34039" xr:uid="{B9EDFB8E-17C6-432A-833C-05CA0005258C}"/>
    <cellStyle name="Comma 3 2 9 4" xfId="5311" xr:uid="{D9F4700B-E956-4F84-9228-97BD7F3A7E1D}"/>
    <cellStyle name="Comma 3 2 9 4 2" xfId="14383" xr:uid="{4C638144-F642-4EA4-9E71-E5CB688A025B}"/>
    <cellStyle name="Comma 3 2 9 4 2 2" xfId="29503" xr:uid="{5F7FFBFA-2EC8-4223-9E45-D4D2EDA70C29}"/>
    <cellStyle name="Comma 3 2 9 4 2 2 2" xfId="59743" xr:uid="{67B93DB1-B427-4D6E-8566-2A6318CA94FB}"/>
    <cellStyle name="Comma 3 2 9 4 2 3" xfId="44623" xr:uid="{9DB834F5-E0BF-44AC-92A2-9822BAEC11A6}"/>
    <cellStyle name="Comma 3 2 9 4 3" xfId="20431" xr:uid="{AE84F222-E521-4A0D-BBE4-9EAC5F7687FC}"/>
    <cellStyle name="Comma 3 2 9 4 3 2" xfId="50671" xr:uid="{88B58F72-BD22-4EDB-A502-B45B7AFC189E}"/>
    <cellStyle name="Comma 3 2 9 4 4" xfId="35551" xr:uid="{FB0F615E-B303-4BAE-9424-BC267A7C5E23}"/>
    <cellStyle name="Comma 3 2 9 5" xfId="6823" xr:uid="{CB2ED58D-0065-439E-AB56-9C8D290B6FC0}"/>
    <cellStyle name="Comma 3 2 9 5 2" xfId="21943" xr:uid="{DE0EC218-8723-4F94-9D57-C596BC4EC6EE}"/>
    <cellStyle name="Comma 3 2 9 5 2 2" xfId="52183" xr:uid="{9AF042FA-0A0D-4666-8F1C-2F250D6EC71D}"/>
    <cellStyle name="Comma 3 2 9 5 3" xfId="37063" xr:uid="{78E95D56-66F9-4584-86A3-E8F79483BF0C}"/>
    <cellStyle name="Comma 3 2 9 6" xfId="8335" xr:uid="{D647CA29-5A04-4390-B8CA-56F7B9F0BD3E}"/>
    <cellStyle name="Comma 3 2 9 6 2" xfId="23455" xr:uid="{7AD37079-4FC2-449A-9466-D7311064B67E}"/>
    <cellStyle name="Comma 3 2 9 6 2 2" xfId="53695" xr:uid="{27C1D287-01E4-439C-8C18-9BC9A1463E81}"/>
    <cellStyle name="Comma 3 2 9 6 3" xfId="38575" xr:uid="{813D6645-E7C4-4735-A4DF-B374E74AC002}"/>
    <cellStyle name="Comma 3 2 9 7" xfId="9847" xr:uid="{4AEFB55E-E75F-46F2-807B-7AB5C2FFFA63}"/>
    <cellStyle name="Comma 3 2 9 7 2" xfId="24967" xr:uid="{30399239-2C0E-4F28-A581-2FEAED08C6AF}"/>
    <cellStyle name="Comma 3 2 9 7 2 2" xfId="55207" xr:uid="{7679736F-815D-425A-8FF3-0D77AF3D6D2D}"/>
    <cellStyle name="Comma 3 2 9 7 3" xfId="40087" xr:uid="{F49B1783-BE41-432F-B064-DE997BB320C0}"/>
    <cellStyle name="Comma 3 2 9 8" xfId="15895" xr:uid="{341359FB-12AA-4405-AF6A-0819943303A2}"/>
    <cellStyle name="Comma 3 2 9 8 2" xfId="46135" xr:uid="{20257193-335F-41B7-B564-4C2F7EF2C85E}"/>
    <cellStyle name="Comma 3 2 9 9" xfId="31015" xr:uid="{196DD21F-5DB1-4286-BAC5-CF0DA15EDFB5}"/>
    <cellStyle name="Comma 3 20" xfId="60496" xr:uid="{EAECA405-9C17-4F11-816D-F52BC418E466}"/>
    <cellStyle name="Comma 3 21" xfId="60502" xr:uid="{C651D21B-BEB0-4A0A-B7BF-9ADDBD351E0C}"/>
    <cellStyle name="Comma 3 22" xfId="60506" xr:uid="{BD4A2E6A-4161-488E-B6D3-1794007F3800}"/>
    <cellStyle name="Comma 3 23" xfId="8" xr:uid="{A5D9F577-98B5-4D27-984E-F312B2648E76}"/>
    <cellStyle name="Comma 3 3" xfId="30" xr:uid="{D7CB07B5-5831-455F-9180-A9B7F2073DE4}"/>
    <cellStyle name="Comma 3 3 10" xfId="4566" xr:uid="{A34C8DB8-4A47-4F7E-A6D6-5AAF7C770050}"/>
    <cellStyle name="Comma 3 3 10 2" xfId="13638" xr:uid="{6758E057-3639-4BC0-BB9F-796B30CF94DF}"/>
    <cellStyle name="Comma 3 3 10 2 2" xfId="28758" xr:uid="{76632A12-EC3C-4EA6-9EEF-CE3A836A6D4F}"/>
    <cellStyle name="Comma 3 3 10 2 2 2" xfId="58998" xr:uid="{523DA7E2-3360-47D5-8B8A-79E5DD339094}"/>
    <cellStyle name="Comma 3 3 10 2 3" xfId="43878" xr:uid="{78C0DF77-7F70-4D90-A401-F34A81F87278}"/>
    <cellStyle name="Comma 3 3 10 3" xfId="19686" xr:uid="{C0FFF72E-8885-4E96-8AD5-2A0C161F7077}"/>
    <cellStyle name="Comma 3 3 10 3 2" xfId="49926" xr:uid="{C255E5DB-1BE6-46C6-A17C-B2A71C559B88}"/>
    <cellStyle name="Comma 3 3 10 4" xfId="34806" xr:uid="{3A6FD80A-A6D9-4BA9-ACE7-C49D02D70388}"/>
    <cellStyle name="Comma 3 3 11" xfId="6078" xr:uid="{76E799C2-C29B-44A5-A6B7-E718A6C4636E}"/>
    <cellStyle name="Comma 3 3 11 2" xfId="21198" xr:uid="{6D151282-8491-4ADF-8511-8610F44EB364}"/>
    <cellStyle name="Comma 3 3 11 2 2" xfId="51438" xr:uid="{BC2868F7-7A9D-47D7-AF58-2BFCC08DED51}"/>
    <cellStyle name="Comma 3 3 11 3" xfId="36318" xr:uid="{21476232-812D-4456-B7DC-75F38B8344EE}"/>
    <cellStyle name="Comma 3 3 12" xfId="7590" xr:uid="{D68A10BD-8F29-40C0-84DD-BF28318E554B}"/>
    <cellStyle name="Comma 3 3 12 2" xfId="22710" xr:uid="{A8DCB82D-CA69-4819-9346-68195EC9F903}"/>
    <cellStyle name="Comma 3 3 12 2 2" xfId="52950" xr:uid="{EFEAD704-9111-40B0-A13E-040416C31E35}"/>
    <cellStyle name="Comma 3 3 12 3" xfId="37830" xr:uid="{71C68775-CA77-481A-A922-50743AF697F8}"/>
    <cellStyle name="Comma 3 3 13" xfId="9102" xr:uid="{839EE68D-2B21-4690-A259-27A939753D85}"/>
    <cellStyle name="Comma 3 3 13 2" xfId="24222" xr:uid="{B03D148A-35DD-464E-8478-F455B237F51E}"/>
    <cellStyle name="Comma 3 3 13 2 2" xfId="54462" xr:uid="{E7029439-3CD8-4F38-A29C-1A4ADE5761D9}"/>
    <cellStyle name="Comma 3 3 13 3" xfId="39342" xr:uid="{60D9D38A-C3B5-4EC3-909D-223205F85810}"/>
    <cellStyle name="Comma 3 3 14" xfId="15150" xr:uid="{E90E0B26-CF1C-4AC2-B05E-FC1D2D0F107E}"/>
    <cellStyle name="Comma 3 3 14 2" xfId="45390" xr:uid="{0B8FD3E7-AD23-45CA-BCE7-4B5140F741AE}"/>
    <cellStyle name="Comma 3 3 15" xfId="30270" xr:uid="{406E9E93-B220-4703-BC53-8B9F5CB04A5F}"/>
    <cellStyle name="Comma 3 3 2" xfId="72" xr:uid="{8EDA0217-0C17-4C17-B12A-BB6FFE03C8D9}"/>
    <cellStyle name="Comma 3 3 2 10" xfId="6120" xr:uid="{B0309775-69DA-49D1-908A-66220B992DC5}"/>
    <cellStyle name="Comma 3 3 2 10 2" xfId="21240" xr:uid="{2627A5D4-7ABF-4D67-B235-DB1F8016B3EE}"/>
    <cellStyle name="Comma 3 3 2 10 2 2" xfId="51480" xr:uid="{B8BA7710-F656-4EA2-BC37-71BB964E1700}"/>
    <cellStyle name="Comma 3 3 2 10 3" xfId="36360" xr:uid="{4C2D17D4-0A7B-4AE5-844D-556CCDE3995C}"/>
    <cellStyle name="Comma 3 3 2 11" xfId="7632" xr:uid="{DF1FCE5D-81DF-429C-9C7A-779A9EC78134}"/>
    <cellStyle name="Comma 3 3 2 11 2" xfId="22752" xr:uid="{982C2BA4-0A5B-4989-B62D-C321B0E0CDC5}"/>
    <cellStyle name="Comma 3 3 2 11 2 2" xfId="52992" xr:uid="{801E88A9-770A-4E65-A99B-CBBE8CA814B9}"/>
    <cellStyle name="Comma 3 3 2 11 3" xfId="37872" xr:uid="{7275A494-0DDC-4762-9D77-E9300900BD2D}"/>
    <cellStyle name="Comma 3 3 2 12" xfId="9144" xr:uid="{D0A5FC3B-2864-40CC-BBB8-6F64916B6716}"/>
    <cellStyle name="Comma 3 3 2 12 2" xfId="24264" xr:uid="{EECAA571-6F67-4E88-8F3D-E9C96F5D44BA}"/>
    <cellStyle name="Comma 3 3 2 12 2 2" xfId="54504" xr:uid="{BDB66C7C-2072-41DB-955F-58B8DB401766}"/>
    <cellStyle name="Comma 3 3 2 12 3" xfId="39384" xr:uid="{2883B61C-3016-4BF0-B9A1-23C16F15F28F}"/>
    <cellStyle name="Comma 3 3 2 13" xfId="15192" xr:uid="{4388FFA4-9FE1-421B-A74E-EB092AAA53D4}"/>
    <cellStyle name="Comma 3 3 2 13 2" xfId="45432" xr:uid="{8B583C88-99C5-47EF-A7AA-B557AA0A5410}"/>
    <cellStyle name="Comma 3 3 2 14" xfId="30312" xr:uid="{9E585C87-5B27-41C8-BDE2-8CEDF4F08106}"/>
    <cellStyle name="Comma 3 3 2 2" xfId="156" xr:uid="{4FD644B5-9392-47B1-8C40-C248CFC02BF5}"/>
    <cellStyle name="Comma 3 3 2 2 10" xfId="9228" xr:uid="{1E0ABD32-6618-4B8E-8FD8-4E26F7EAED2A}"/>
    <cellStyle name="Comma 3 3 2 2 10 2" xfId="24348" xr:uid="{BAB1041A-CC99-4F13-85D3-9852786A88F0}"/>
    <cellStyle name="Comma 3 3 2 2 10 2 2" xfId="54588" xr:uid="{1AA18402-F023-4CA0-935C-1CD0555ADABB}"/>
    <cellStyle name="Comma 3 3 2 2 10 3" xfId="39468" xr:uid="{2B4E7DD0-8EAD-4F5D-A48D-73BE1780C92F}"/>
    <cellStyle name="Comma 3 3 2 2 11" xfId="15276" xr:uid="{7EF0F8A7-F3C6-4848-AF5D-A2F36EBCF6CC}"/>
    <cellStyle name="Comma 3 3 2 2 11 2" xfId="45516" xr:uid="{2A0BE869-60AA-4192-A97F-2ADEF2531F4E}"/>
    <cellStyle name="Comma 3 3 2 2 12" xfId="30396" xr:uid="{73FCF821-68F8-4638-965F-689CEBD73EE8}"/>
    <cellStyle name="Comma 3 3 2 2 2" xfId="408" xr:uid="{419E2A13-D1C7-4E9E-83F0-AD183B9EC788}"/>
    <cellStyle name="Comma 3 3 2 2 2 10" xfId="30648" xr:uid="{8684CE0F-186C-49D5-ABA1-79A174146AFB}"/>
    <cellStyle name="Comma 3 3 2 2 2 2" xfId="1164" xr:uid="{3A3E2667-1F4F-4F65-AA42-CA8EFC8E4D20}"/>
    <cellStyle name="Comma 3 3 2 2 2 2 2" xfId="2676" xr:uid="{28EB2051-A087-426F-B566-0A6D8F9D7D35}"/>
    <cellStyle name="Comma 3 3 2 2 2 2 2 2" xfId="11748" xr:uid="{FC28A9D7-BB43-487F-AF71-25DCFF397F6B}"/>
    <cellStyle name="Comma 3 3 2 2 2 2 2 2 2" xfId="26868" xr:uid="{B23272F6-D33C-4F39-9971-95A6614B3C40}"/>
    <cellStyle name="Comma 3 3 2 2 2 2 2 2 2 2" xfId="57108" xr:uid="{A4C3548C-8311-4785-B716-E2F1CD6DE544}"/>
    <cellStyle name="Comma 3 3 2 2 2 2 2 2 3" xfId="41988" xr:uid="{532B2845-4456-4C05-BB35-85217997B64D}"/>
    <cellStyle name="Comma 3 3 2 2 2 2 2 3" xfId="17796" xr:uid="{520E3E19-ED9D-4C60-AD72-4290F80CE96C}"/>
    <cellStyle name="Comma 3 3 2 2 2 2 2 3 2" xfId="48036" xr:uid="{291BBA57-EB55-45EF-8C0F-0A4A3965B247}"/>
    <cellStyle name="Comma 3 3 2 2 2 2 2 4" xfId="32916" xr:uid="{AE9200B9-9E3E-402D-B0D1-9D6AEBCFC506}"/>
    <cellStyle name="Comma 3 3 2 2 2 2 3" xfId="4188" xr:uid="{40BB1E51-8450-4352-BB6B-15F51906628D}"/>
    <cellStyle name="Comma 3 3 2 2 2 2 3 2" xfId="13260" xr:uid="{E489C783-FB99-4E1F-A654-B827D218D9BC}"/>
    <cellStyle name="Comma 3 3 2 2 2 2 3 2 2" xfId="28380" xr:uid="{06B71A84-59E1-416A-B733-0A3442DC7BF3}"/>
    <cellStyle name="Comma 3 3 2 2 2 2 3 2 2 2" xfId="58620" xr:uid="{B854B42E-6CF2-4360-8BC2-1A09899CEDA9}"/>
    <cellStyle name="Comma 3 3 2 2 2 2 3 2 3" xfId="43500" xr:uid="{D9799128-7A61-48B1-B59B-B18CD969F872}"/>
    <cellStyle name="Comma 3 3 2 2 2 2 3 3" xfId="19308" xr:uid="{BB6BEE52-ED79-464A-8847-C0966F9FDEC3}"/>
    <cellStyle name="Comma 3 3 2 2 2 2 3 3 2" xfId="49548" xr:uid="{39D8C1D9-4A42-444E-9B75-14626C0E5D88}"/>
    <cellStyle name="Comma 3 3 2 2 2 2 3 4" xfId="34428" xr:uid="{22C39795-D117-4AE5-9667-6EA13384A456}"/>
    <cellStyle name="Comma 3 3 2 2 2 2 4" xfId="5700" xr:uid="{100D3C83-68B9-4313-A4CD-0379DDE91276}"/>
    <cellStyle name="Comma 3 3 2 2 2 2 4 2" xfId="14772" xr:uid="{277C3B0F-7F94-4D51-8A8E-A9DE58E1B398}"/>
    <cellStyle name="Comma 3 3 2 2 2 2 4 2 2" xfId="29892" xr:uid="{7C5A16CF-84FE-4534-A7C7-315350AC8A05}"/>
    <cellStyle name="Comma 3 3 2 2 2 2 4 2 2 2" xfId="60132" xr:uid="{AFDC87A1-0529-40DA-A576-B2E811A6F936}"/>
    <cellStyle name="Comma 3 3 2 2 2 2 4 2 3" xfId="45012" xr:uid="{EC73AF2D-5538-4F66-843D-FEFC99095552}"/>
    <cellStyle name="Comma 3 3 2 2 2 2 4 3" xfId="20820" xr:uid="{30E4FDFD-818B-4133-B6A8-688F3129BEEE}"/>
    <cellStyle name="Comma 3 3 2 2 2 2 4 3 2" xfId="51060" xr:uid="{40AF97F0-4F27-45F8-BE27-AC1B3C3980F1}"/>
    <cellStyle name="Comma 3 3 2 2 2 2 4 4" xfId="35940" xr:uid="{A5609777-48E4-413E-A8B6-0C722EA57F92}"/>
    <cellStyle name="Comma 3 3 2 2 2 2 5" xfId="7212" xr:uid="{3EEF38F9-07B6-480E-8778-859CE341BC56}"/>
    <cellStyle name="Comma 3 3 2 2 2 2 5 2" xfId="22332" xr:uid="{AA4C9C0D-BA74-4842-9AC6-D17071464106}"/>
    <cellStyle name="Comma 3 3 2 2 2 2 5 2 2" xfId="52572" xr:uid="{504FF0B5-0031-41AC-871C-7F38E8BF5034}"/>
    <cellStyle name="Comma 3 3 2 2 2 2 5 3" xfId="37452" xr:uid="{39BB5579-B6F7-400E-9942-221031D1A08E}"/>
    <cellStyle name="Comma 3 3 2 2 2 2 6" xfId="8724" xr:uid="{3EE43A50-F028-42D0-8FC2-B75C9E691FA7}"/>
    <cellStyle name="Comma 3 3 2 2 2 2 6 2" xfId="23844" xr:uid="{31119653-266C-41D9-B8E1-863492192C54}"/>
    <cellStyle name="Comma 3 3 2 2 2 2 6 2 2" xfId="54084" xr:uid="{3132C5EC-20E7-4734-B3C6-06FD99BEF462}"/>
    <cellStyle name="Comma 3 3 2 2 2 2 6 3" xfId="38964" xr:uid="{E71403EC-2029-4C8E-BE73-FEA4DBA05EDC}"/>
    <cellStyle name="Comma 3 3 2 2 2 2 7" xfId="10236" xr:uid="{308E9586-DDE4-46F5-BAFF-77EEE33B0953}"/>
    <cellStyle name="Comma 3 3 2 2 2 2 7 2" xfId="25356" xr:uid="{D9459BEC-FF55-4D94-9DFE-D550A403BB4D}"/>
    <cellStyle name="Comma 3 3 2 2 2 2 7 2 2" xfId="55596" xr:uid="{4A0F9877-FFCF-41EC-B597-FF81F2E60EA8}"/>
    <cellStyle name="Comma 3 3 2 2 2 2 7 3" xfId="40476" xr:uid="{CF051050-5A40-42E4-944A-C28D02F0DD0D}"/>
    <cellStyle name="Comma 3 3 2 2 2 2 8" xfId="16284" xr:uid="{8FE60887-E371-43F9-83A2-D80F0812A253}"/>
    <cellStyle name="Comma 3 3 2 2 2 2 8 2" xfId="46524" xr:uid="{118B91A5-7450-47F6-BC29-4EDB429C1189}"/>
    <cellStyle name="Comma 3 3 2 2 2 2 9" xfId="31404" xr:uid="{9201226D-A3D9-44BA-A1F7-15C7B25149BE}"/>
    <cellStyle name="Comma 3 3 2 2 2 3" xfId="1920" xr:uid="{186B2AA9-F377-4EFE-A35A-DA24597ADBB4}"/>
    <cellStyle name="Comma 3 3 2 2 2 3 2" xfId="10992" xr:uid="{415325F5-91E9-4D05-9CE7-CBD8673D2947}"/>
    <cellStyle name="Comma 3 3 2 2 2 3 2 2" xfId="26112" xr:uid="{0F0810D8-8E72-47F6-A4AC-18A2456154AA}"/>
    <cellStyle name="Comma 3 3 2 2 2 3 2 2 2" xfId="56352" xr:uid="{3F69DAFD-2988-4914-979F-4F2857BFF195}"/>
    <cellStyle name="Comma 3 3 2 2 2 3 2 3" xfId="41232" xr:uid="{596B7CF2-B52D-409F-8F42-8BC3B2796BF9}"/>
    <cellStyle name="Comma 3 3 2 2 2 3 3" xfId="17040" xr:uid="{26DDB17C-E2EB-4012-913B-5823C410779E}"/>
    <cellStyle name="Comma 3 3 2 2 2 3 3 2" xfId="47280" xr:uid="{770F7A63-EB03-4BBD-ACA0-469DB40F4E6A}"/>
    <cellStyle name="Comma 3 3 2 2 2 3 4" xfId="32160" xr:uid="{98D7BE81-6200-4614-AE09-2F7B7E9D6160}"/>
    <cellStyle name="Comma 3 3 2 2 2 4" xfId="3432" xr:uid="{EF9D0019-A7A2-4EB8-8BFC-C1DC556D41EF}"/>
    <cellStyle name="Comma 3 3 2 2 2 4 2" xfId="12504" xr:uid="{C9981DFD-ED53-4F07-8FCB-EBF315B823F4}"/>
    <cellStyle name="Comma 3 3 2 2 2 4 2 2" xfId="27624" xr:uid="{26E5B46F-9B2F-41C2-8F6F-2DA4167B6F0C}"/>
    <cellStyle name="Comma 3 3 2 2 2 4 2 2 2" xfId="57864" xr:uid="{C8A26D8F-16A8-434F-9D25-4508F44C5AFD}"/>
    <cellStyle name="Comma 3 3 2 2 2 4 2 3" xfId="42744" xr:uid="{767310C7-55B7-40BC-B4CC-96E7856990C5}"/>
    <cellStyle name="Comma 3 3 2 2 2 4 3" xfId="18552" xr:uid="{694C2133-77A3-4460-8578-DB377F111694}"/>
    <cellStyle name="Comma 3 3 2 2 2 4 3 2" xfId="48792" xr:uid="{097F8BA7-019D-4BB0-BA49-603DF8B1DD61}"/>
    <cellStyle name="Comma 3 3 2 2 2 4 4" xfId="33672" xr:uid="{0051AB18-0038-48B3-8723-0B3DFFA1BCFE}"/>
    <cellStyle name="Comma 3 3 2 2 2 5" xfId="4944" xr:uid="{0EECD7C5-E79E-4087-8AC5-2582C8959400}"/>
    <cellStyle name="Comma 3 3 2 2 2 5 2" xfId="14016" xr:uid="{3797DF2B-86A0-476D-B1CE-F0E58F035822}"/>
    <cellStyle name="Comma 3 3 2 2 2 5 2 2" xfId="29136" xr:uid="{0153CAC5-6C3F-4991-8797-452EF4AB2C9E}"/>
    <cellStyle name="Comma 3 3 2 2 2 5 2 2 2" xfId="59376" xr:uid="{43FA4831-CD32-478F-8DCE-BC8BAAF3A6DE}"/>
    <cellStyle name="Comma 3 3 2 2 2 5 2 3" xfId="44256" xr:uid="{DD4486DB-41B2-481C-BA51-FC5421C06D68}"/>
    <cellStyle name="Comma 3 3 2 2 2 5 3" xfId="20064" xr:uid="{4B3B6BD4-DC5D-4FD3-A4D2-B8D5CE32A4DF}"/>
    <cellStyle name="Comma 3 3 2 2 2 5 3 2" xfId="50304" xr:uid="{AEAD24B7-B046-4267-A2FA-CF8BD1FDE154}"/>
    <cellStyle name="Comma 3 3 2 2 2 5 4" xfId="35184" xr:uid="{354BCA47-927F-45C3-97F2-AB2A05712C9D}"/>
    <cellStyle name="Comma 3 3 2 2 2 6" xfId="6456" xr:uid="{F6954267-8D8B-4568-92C7-5C735CC7E428}"/>
    <cellStyle name="Comma 3 3 2 2 2 6 2" xfId="21576" xr:uid="{BF45D750-1732-4013-A0ED-2F6FEC341CC4}"/>
    <cellStyle name="Comma 3 3 2 2 2 6 2 2" xfId="51816" xr:uid="{D2D28FF1-6907-435A-B281-8B67740581B6}"/>
    <cellStyle name="Comma 3 3 2 2 2 6 3" xfId="36696" xr:uid="{8B74038E-6B02-4541-B9BE-44E28EDDAF02}"/>
    <cellStyle name="Comma 3 3 2 2 2 7" xfId="7968" xr:uid="{31FE76DC-41DC-49E7-A9DA-C28E30EADA21}"/>
    <cellStyle name="Comma 3 3 2 2 2 7 2" xfId="23088" xr:uid="{FE1F1A40-693F-4046-BE41-7F6498D2F8C9}"/>
    <cellStyle name="Comma 3 3 2 2 2 7 2 2" xfId="53328" xr:uid="{AB47F8B8-1DF4-44DB-9B7F-B83FBDFCA33C}"/>
    <cellStyle name="Comma 3 3 2 2 2 7 3" xfId="38208" xr:uid="{CEB6EFAC-23D0-4DE4-A161-6CC734039C8B}"/>
    <cellStyle name="Comma 3 3 2 2 2 8" xfId="9480" xr:uid="{6978F682-CF88-4B3C-BA7E-96F3F27665D7}"/>
    <cellStyle name="Comma 3 3 2 2 2 8 2" xfId="24600" xr:uid="{A1BB99CF-7F5A-46AC-A7C5-015239B548F6}"/>
    <cellStyle name="Comma 3 3 2 2 2 8 2 2" xfId="54840" xr:uid="{868006D2-295E-45A2-A610-E3E94313CD9B}"/>
    <cellStyle name="Comma 3 3 2 2 2 8 3" xfId="39720" xr:uid="{FE3E60C1-7659-4076-86BB-066BE3B73AEC}"/>
    <cellStyle name="Comma 3 3 2 2 2 9" xfId="15528" xr:uid="{F6FC0B7F-A1AE-459F-9A16-5399ADD983B1}"/>
    <cellStyle name="Comma 3 3 2 2 2 9 2" xfId="45768" xr:uid="{AA085735-8C11-443A-9048-E662B0143379}"/>
    <cellStyle name="Comma 3 3 2 2 3" xfId="660" xr:uid="{0A87EB49-EFBD-4BED-8E70-A8FBB9BE18F2}"/>
    <cellStyle name="Comma 3 3 2 2 3 10" xfId="30900" xr:uid="{EA88D159-C37C-4438-911F-9CD6CE45F26E}"/>
    <cellStyle name="Comma 3 3 2 2 3 2" xfId="1416" xr:uid="{0E3648C2-58D9-457D-A2B8-C2D0410CB7B0}"/>
    <cellStyle name="Comma 3 3 2 2 3 2 2" xfId="2928" xr:uid="{0A68FDD0-634F-4CDB-AF69-0C19C3A352DD}"/>
    <cellStyle name="Comma 3 3 2 2 3 2 2 2" xfId="12000" xr:uid="{889FA5CD-F750-48CC-A8D4-8B54119BA2FF}"/>
    <cellStyle name="Comma 3 3 2 2 3 2 2 2 2" xfId="27120" xr:uid="{546C60A6-8751-4FF2-9D33-B404A0846A7A}"/>
    <cellStyle name="Comma 3 3 2 2 3 2 2 2 2 2" xfId="57360" xr:uid="{E435240D-CEC6-4C0F-A3DA-85396CB64AB3}"/>
    <cellStyle name="Comma 3 3 2 2 3 2 2 2 3" xfId="42240" xr:uid="{50142FEC-25F7-420D-A73F-95D0822A3F2F}"/>
    <cellStyle name="Comma 3 3 2 2 3 2 2 3" xfId="18048" xr:uid="{88214701-3EDE-4C1E-A12A-76892AAE69AC}"/>
    <cellStyle name="Comma 3 3 2 2 3 2 2 3 2" xfId="48288" xr:uid="{D73C4051-3DAE-4CB3-A924-3DB4A93854FD}"/>
    <cellStyle name="Comma 3 3 2 2 3 2 2 4" xfId="33168" xr:uid="{1EE7A40D-1DF8-465C-9A0B-D4F211875692}"/>
    <cellStyle name="Comma 3 3 2 2 3 2 3" xfId="4440" xr:uid="{0B061034-A3D3-49A5-8F61-C52259D6AAFE}"/>
    <cellStyle name="Comma 3 3 2 2 3 2 3 2" xfId="13512" xr:uid="{D9C54FF3-685F-4A01-954B-2F94CEF60247}"/>
    <cellStyle name="Comma 3 3 2 2 3 2 3 2 2" xfId="28632" xr:uid="{020D9777-D40B-4348-8567-6DF26F9862D0}"/>
    <cellStyle name="Comma 3 3 2 2 3 2 3 2 2 2" xfId="58872" xr:uid="{757E7F36-9869-4976-9402-FD3C1BAA1FCA}"/>
    <cellStyle name="Comma 3 3 2 2 3 2 3 2 3" xfId="43752" xr:uid="{5EBD0894-2774-492A-A0DD-D2E09CDFE45C}"/>
    <cellStyle name="Comma 3 3 2 2 3 2 3 3" xfId="19560" xr:uid="{B3FBEBD8-4D56-4405-80F5-7C4CFED5D922}"/>
    <cellStyle name="Comma 3 3 2 2 3 2 3 3 2" xfId="49800" xr:uid="{E492E15E-9DE8-4311-BC26-BE3EC2094C70}"/>
    <cellStyle name="Comma 3 3 2 2 3 2 3 4" xfId="34680" xr:uid="{440864E2-556C-48EA-83F9-74C151927346}"/>
    <cellStyle name="Comma 3 3 2 2 3 2 4" xfId="5952" xr:uid="{6E1252E5-39DE-4068-9966-046AD6B228B0}"/>
    <cellStyle name="Comma 3 3 2 2 3 2 4 2" xfId="15024" xr:uid="{5118328D-72A3-47B6-AC94-62933DE61EDD}"/>
    <cellStyle name="Comma 3 3 2 2 3 2 4 2 2" xfId="30144" xr:uid="{08C7FB81-1259-4D22-BFE8-F6F9A8B1B13C}"/>
    <cellStyle name="Comma 3 3 2 2 3 2 4 2 2 2" xfId="60384" xr:uid="{B369FCCA-4A77-4989-88FC-720511405818}"/>
    <cellStyle name="Comma 3 3 2 2 3 2 4 2 3" xfId="45264" xr:uid="{CABDEC6E-355C-447E-ABFE-0B8F6478ED68}"/>
    <cellStyle name="Comma 3 3 2 2 3 2 4 3" xfId="21072" xr:uid="{980DDBB5-6709-4E46-816E-E956C7468619}"/>
    <cellStyle name="Comma 3 3 2 2 3 2 4 3 2" xfId="51312" xr:uid="{5D87F480-EEE7-4419-8787-C8A41216163C}"/>
    <cellStyle name="Comma 3 3 2 2 3 2 4 4" xfId="36192" xr:uid="{F1C89285-D648-498A-860C-78047E32972A}"/>
    <cellStyle name="Comma 3 3 2 2 3 2 5" xfId="7464" xr:uid="{500EBA0F-3C8C-4C33-9B3A-695709224F65}"/>
    <cellStyle name="Comma 3 3 2 2 3 2 5 2" xfId="22584" xr:uid="{94C94DC3-5819-4709-A253-90ACF9BA45A9}"/>
    <cellStyle name="Comma 3 3 2 2 3 2 5 2 2" xfId="52824" xr:uid="{DB418F33-496B-46B8-9D03-E783656B6C16}"/>
    <cellStyle name="Comma 3 3 2 2 3 2 5 3" xfId="37704" xr:uid="{1724939A-6BA4-4EF9-9AF3-678018EB1B91}"/>
    <cellStyle name="Comma 3 3 2 2 3 2 6" xfId="8976" xr:uid="{1C034D83-7874-44B2-BDEC-768B2D55D6A1}"/>
    <cellStyle name="Comma 3 3 2 2 3 2 6 2" xfId="24096" xr:uid="{B991DEE5-67C2-4B7D-9EDF-17D7AE8C59A3}"/>
    <cellStyle name="Comma 3 3 2 2 3 2 6 2 2" xfId="54336" xr:uid="{915A0C51-C685-4ABB-92C5-65E8E62DAE49}"/>
    <cellStyle name="Comma 3 3 2 2 3 2 6 3" xfId="39216" xr:uid="{DD492C29-19CB-4106-A467-D6329417B163}"/>
    <cellStyle name="Comma 3 3 2 2 3 2 7" xfId="10488" xr:uid="{77EC5EDF-CAE1-4B97-B61F-9CD0D7307FC1}"/>
    <cellStyle name="Comma 3 3 2 2 3 2 7 2" xfId="25608" xr:uid="{45893F2B-2C58-43C9-B8DD-7A810D4812E6}"/>
    <cellStyle name="Comma 3 3 2 2 3 2 7 2 2" xfId="55848" xr:uid="{D978604C-1562-46D0-B23F-4790467210BA}"/>
    <cellStyle name="Comma 3 3 2 2 3 2 7 3" xfId="40728" xr:uid="{01E5591D-AD2C-49BF-85B7-E3E84C49DCEC}"/>
    <cellStyle name="Comma 3 3 2 2 3 2 8" xfId="16536" xr:uid="{5910B289-9F91-4FE9-AB9D-8EE2AC5A7030}"/>
    <cellStyle name="Comma 3 3 2 2 3 2 8 2" xfId="46776" xr:uid="{0192953E-E567-4F32-BFD5-FB85791BFA9D}"/>
    <cellStyle name="Comma 3 3 2 2 3 2 9" xfId="31656" xr:uid="{2DFCDBDA-DA8A-4595-B9FB-6F3541E62C10}"/>
    <cellStyle name="Comma 3 3 2 2 3 3" xfId="2172" xr:uid="{D7E69ADD-06CF-4419-BFB0-7A588025FBEA}"/>
    <cellStyle name="Comma 3 3 2 2 3 3 2" xfId="11244" xr:uid="{8DA49D58-490E-45E1-8C66-AF25E0761024}"/>
    <cellStyle name="Comma 3 3 2 2 3 3 2 2" xfId="26364" xr:uid="{38BF5502-0392-4BD4-92DA-905EB2FFD099}"/>
    <cellStyle name="Comma 3 3 2 2 3 3 2 2 2" xfId="56604" xr:uid="{A803F4C3-D027-43A4-9EE2-AE65BB5DB59C}"/>
    <cellStyle name="Comma 3 3 2 2 3 3 2 3" xfId="41484" xr:uid="{6F18C0DB-716F-4004-89D8-6169752819CA}"/>
    <cellStyle name="Comma 3 3 2 2 3 3 3" xfId="17292" xr:uid="{2B209F2F-9C37-49A9-A053-B1C1B92E0909}"/>
    <cellStyle name="Comma 3 3 2 2 3 3 3 2" xfId="47532" xr:uid="{B0B21D23-C12A-440A-BEAC-44C111334EF4}"/>
    <cellStyle name="Comma 3 3 2 2 3 3 4" xfId="32412" xr:uid="{D03139BA-7740-413B-8BF0-54CFD4254629}"/>
    <cellStyle name="Comma 3 3 2 2 3 4" xfId="3684" xr:uid="{922695CE-55D5-4074-B756-159FB0C39801}"/>
    <cellStyle name="Comma 3 3 2 2 3 4 2" xfId="12756" xr:uid="{51B7CA52-4AFA-47B3-B395-4F5EFADA62B4}"/>
    <cellStyle name="Comma 3 3 2 2 3 4 2 2" xfId="27876" xr:uid="{D584CA93-E1CF-4577-A4AD-0E293ACC8014}"/>
    <cellStyle name="Comma 3 3 2 2 3 4 2 2 2" xfId="58116" xr:uid="{8511B4AE-2551-4FC9-91B2-E9E81C9B5B08}"/>
    <cellStyle name="Comma 3 3 2 2 3 4 2 3" xfId="42996" xr:uid="{B583C449-E0BE-44EF-B9E9-8D8AF4BABCA1}"/>
    <cellStyle name="Comma 3 3 2 2 3 4 3" xfId="18804" xr:uid="{0090F96F-7DB3-4392-9F6F-B9A665B5CB5B}"/>
    <cellStyle name="Comma 3 3 2 2 3 4 3 2" xfId="49044" xr:uid="{672FD44D-D40E-4C4D-A62D-9D27B1359B4F}"/>
    <cellStyle name="Comma 3 3 2 2 3 4 4" xfId="33924" xr:uid="{58A168F3-F351-4C7E-827C-953227779B4C}"/>
    <cellStyle name="Comma 3 3 2 2 3 5" xfId="5196" xr:uid="{40D112BB-80CA-4310-ACF1-790625C6FF88}"/>
    <cellStyle name="Comma 3 3 2 2 3 5 2" xfId="14268" xr:uid="{6709038C-5D9B-454D-93BF-7CFDC7D4CA29}"/>
    <cellStyle name="Comma 3 3 2 2 3 5 2 2" xfId="29388" xr:uid="{BF1F82EB-59D4-4D58-89E7-CE80F10623BE}"/>
    <cellStyle name="Comma 3 3 2 2 3 5 2 2 2" xfId="59628" xr:uid="{51297C64-EA3B-4A3F-A158-A37D0DA11DEF}"/>
    <cellStyle name="Comma 3 3 2 2 3 5 2 3" xfId="44508" xr:uid="{E8BDA01F-7178-4BA8-B133-B3C618B7F7CE}"/>
    <cellStyle name="Comma 3 3 2 2 3 5 3" xfId="20316" xr:uid="{8A11601E-A521-4712-B9ED-AA8D7116EB7F}"/>
    <cellStyle name="Comma 3 3 2 2 3 5 3 2" xfId="50556" xr:uid="{D1DE1741-26C7-4FA0-861A-C5265A8E2722}"/>
    <cellStyle name="Comma 3 3 2 2 3 5 4" xfId="35436" xr:uid="{59E28A4E-9D1B-483B-999D-2BA3DAF61EB6}"/>
    <cellStyle name="Comma 3 3 2 2 3 6" xfId="6708" xr:uid="{F6D0E371-F25D-4C2A-BD6D-9FCA89E5539B}"/>
    <cellStyle name="Comma 3 3 2 2 3 6 2" xfId="21828" xr:uid="{D1483D34-77A5-4EC8-9054-5AAC86D83676}"/>
    <cellStyle name="Comma 3 3 2 2 3 6 2 2" xfId="52068" xr:uid="{1FBFDBC7-5FE1-4432-8411-D60D7A5EA3EF}"/>
    <cellStyle name="Comma 3 3 2 2 3 6 3" xfId="36948" xr:uid="{32C65AA4-5054-4EF7-B3B7-A2A834F2B343}"/>
    <cellStyle name="Comma 3 3 2 2 3 7" xfId="8220" xr:uid="{C1B648F3-7FAE-481A-9AB3-902B7C68F436}"/>
    <cellStyle name="Comma 3 3 2 2 3 7 2" xfId="23340" xr:uid="{F22DD1DD-31B6-44EB-A43A-4502AEED456D}"/>
    <cellStyle name="Comma 3 3 2 2 3 7 2 2" xfId="53580" xr:uid="{CF04BB85-F42B-4D02-8997-1AC9732A7A96}"/>
    <cellStyle name="Comma 3 3 2 2 3 7 3" xfId="38460" xr:uid="{D4C535D9-CA71-4EA9-9936-3DB141693CC7}"/>
    <cellStyle name="Comma 3 3 2 2 3 8" xfId="9732" xr:uid="{E17C3A46-7A04-432A-BBBA-5E6D8370D2A2}"/>
    <cellStyle name="Comma 3 3 2 2 3 8 2" xfId="24852" xr:uid="{FA121889-48BE-48F4-8206-7E88CB53DAB3}"/>
    <cellStyle name="Comma 3 3 2 2 3 8 2 2" xfId="55092" xr:uid="{5366EBE4-C9D4-40E4-9C49-16B246E16420}"/>
    <cellStyle name="Comma 3 3 2 2 3 8 3" xfId="39972" xr:uid="{7BD26B66-6FA4-479C-8DEE-4E37B1735ACE}"/>
    <cellStyle name="Comma 3 3 2 2 3 9" xfId="15780" xr:uid="{9781EBF5-3C89-4356-8C42-E9760FD0E199}"/>
    <cellStyle name="Comma 3 3 2 2 3 9 2" xfId="46020" xr:uid="{D1A6DEB8-FC4B-40FC-AE67-E55968B4C8AF}"/>
    <cellStyle name="Comma 3 3 2 2 4" xfId="912" xr:uid="{3390BC47-17E0-4E15-A6F3-420C5F14524B}"/>
    <cellStyle name="Comma 3 3 2 2 4 2" xfId="2424" xr:uid="{10A5E770-5DA0-49F6-B70D-F896D74DE404}"/>
    <cellStyle name="Comma 3 3 2 2 4 2 2" xfId="11496" xr:uid="{80AB4A5C-8011-430A-AD14-439E6DE87F68}"/>
    <cellStyle name="Comma 3 3 2 2 4 2 2 2" xfId="26616" xr:uid="{DB5150FD-0212-4818-B5EB-E3F9E1D27698}"/>
    <cellStyle name="Comma 3 3 2 2 4 2 2 2 2" xfId="56856" xr:uid="{122D1613-91BA-4B10-BECA-AF554856FE5D}"/>
    <cellStyle name="Comma 3 3 2 2 4 2 2 3" xfId="41736" xr:uid="{7CC44942-2766-4DE0-8416-76E665990DB3}"/>
    <cellStyle name="Comma 3 3 2 2 4 2 3" xfId="17544" xr:uid="{8D2A663B-FA06-4852-9818-5264AE7276CA}"/>
    <cellStyle name="Comma 3 3 2 2 4 2 3 2" xfId="47784" xr:uid="{825F0A54-ED29-4CEA-BF19-6143D1645BAC}"/>
    <cellStyle name="Comma 3 3 2 2 4 2 4" xfId="32664" xr:uid="{2B3F3062-065F-4453-A606-178F29E4BE0B}"/>
    <cellStyle name="Comma 3 3 2 2 4 3" xfId="3936" xr:uid="{881FBF0F-4772-4D15-A3AE-D51C8BC2AE59}"/>
    <cellStyle name="Comma 3 3 2 2 4 3 2" xfId="13008" xr:uid="{E8CDCB79-8594-4188-95E1-7F473A67F15E}"/>
    <cellStyle name="Comma 3 3 2 2 4 3 2 2" xfId="28128" xr:uid="{CE66D7C0-6C38-47E2-A23C-AE9794BF3355}"/>
    <cellStyle name="Comma 3 3 2 2 4 3 2 2 2" xfId="58368" xr:uid="{EC566AD1-4158-48EF-B9E1-7272DA858094}"/>
    <cellStyle name="Comma 3 3 2 2 4 3 2 3" xfId="43248" xr:uid="{C698430D-C755-4291-9F74-1B391E05701E}"/>
    <cellStyle name="Comma 3 3 2 2 4 3 3" xfId="19056" xr:uid="{EEBFFAE9-AE84-4379-88DC-A93C9C3C3A71}"/>
    <cellStyle name="Comma 3 3 2 2 4 3 3 2" xfId="49296" xr:uid="{2677A53C-B475-4E44-BAA6-B655D98365C1}"/>
    <cellStyle name="Comma 3 3 2 2 4 3 4" xfId="34176" xr:uid="{82FC4486-4956-45C8-AF52-7F70BF6366DB}"/>
    <cellStyle name="Comma 3 3 2 2 4 4" xfId="5448" xr:uid="{2A0F135C-DA8D-46CE-A1CC-30C3ADBF3796}"/>
    <cellStyle name="Comma 3 3 2 2 4 4 2" xfId="14520" xr:uid="{24DA374D-52BC-4063-A0FD-7FD1738B0DC3}"/>
    <cellStyle name="Comma 3 3 2 2 4 4 2 2" xfId="29640" xr:uid="{32F6D10D-BBA7-4401-B607-1D4E45313619}"/>
    <cellStyle name="Comma 3 3 2 2 4 4 2 2 2" xfId="59880" xr:uid="{E2F51456-ECB5-4360-A9F5-BA461B48CBAB}"/>
    <cellStyle name="Comma 3 3 2 2 4 4 2 3" xfId="44760" xr:uid="{F7D0DA49-E4FB-4D60-98C4-604E5229CECD}"/>
    <cellStyle name="Comma 3 3 2 2 4 4 3" xfId="20568" xr:uid="{14FEBC13-175D-4E9D-AA4E-1194167D4D0F}"/>
    <cellStyle name="Comma 3 3 2 2 4 4 3 2" xfId="50808" xr:uid="{3DECFC2D-8ED9-4858-AA5B-5A86E3353F64}"/>
    <cellStyle name="Comma 3 3 2 2 4 4 4" xfId="35688" xr:uid="{7471E0A5-EB55-461A-92BF-0FBBB6F22717}"/>
    <cellStyle name="Comma 3 3 2 2 4 5" xfId="6960" xr:uid="{3BD17F14-1DE5-4E95-985E-928CD814A082}"/>
    <cellStyle name="Comma 3 3 2 2 4 5 2" xfId="22080" xr:uid="{AA9F66AF-4896-43CB-B861-C4554A5E9EC2}"/>
    <cellStyle name="Comma 3 3 2 2 4 5 2 2" xfId="52320" xr:uid="{950A2F05-DF79-484C-86B6-747B6A571F37}"/>
    <cellStyle name="Comma 3 3 2 2 4 5 3" xfId="37200" xr:uid="{FF368240-D5F6-41EE-9B8A-071C61C406BE}"/>
    <cellStyle name="Comma 3 3 2 2 4 6" xfId="8472" xr:uid="{299147D8-83A1-4D99-AA23-1C34979AD393}"/>
    <cellStyle name="Comma 3 3 2 2 4 6 2" xfId="23592" xr:uid="{BFA11AAB-B677-47F0-8461-FF0CD81FA269}"/>
    <cellStyle name="Comma 3 3 2 2 4 6 2 2" xfId="53832" xr:uid="{4DCAA08A-F1F8-4477-A20A-3891996C636F}"/>
    <cellStyle name="Comma 3 3 2 2 4 6 3" xfId="38712" xr:uid="{47279723-593D-4BE0-B1B0-B304EB96EF23}"/>
    <cellStyle name="Comma 3 3 2 2 4 7" xfId="9984" xr:uid="{7B7FB77E-7961-44D9-9659-BE12E4130D06}"/>
    <cellStyle name="Comma 3 3 2 2 4 7 2" xfId="25104" xr:uid="{578C32FF-B3DB-4831-B04F-172BA4EE5D39}"/>
    <cellStyle name="Comma 3 3 2 2 4 7 2 2" xfId="55344" xr:uid="{B1824BF5-FC43-4DBF-BA7B-85CD84C2633B}"/>
    <cellStyle name="Comma 3 3 2 2 4 7 3" xfId="40224" xr:uid="{D1119EBD-D819-48B0-A4F3-A1AFB18DA342}"/>
    <cellStyle name="Comma 3 3 2 2 4 8" xfId="16032" xr:uid="{63F53C31-6A7E-4F95-94B8-B2658DF48681}"/>
    <cellStyle name="Comma 3 3 2 2 4 8 2" xfId="46272" xr:uid="{C66D95B3-12AF-43EE-BC60-59C6AAB8E59E}"/>
    <cellStyle name="Comma 3 3 2 2 4 9" xfId="31152" xr:uid="{62228E7F-9B8E-4BCF-857F-1A05997A4692}"/>
    <cellStyle name="Comma 3 3 2 2 5" xfId="1668" xr:uid="{6CC455E8-D0B9-47BC-AF5D-52453620B3E9}"/>
    <cellStyle name="Comma 3 3 2 2 5 2" xfId="10740" xr:uid="{9BC1208B-EE2C-403C-B03A-534297A82536}"/>
    <cellStyle name="Comma 3 3 2 2 5 2 2" xfId="25860" xr:uid="{61890E97-3E36-4B8B-BE76-BE7D8490D6A8}"/>
    <cellStyle name="Comma 3 3 2 2 5 2 2 2" xfId="56100" xr:uid="{0EFEC3A9-505A-4196-A35D-A65AE2034B8E}"/>
    <cellStyle name="Comma 3 3 2 2 5 2 3" xfId="40980" xr:uid="{C5E0337B-F661-44BF-B653-C7BC061AEAD3}"/>
    <cellStyle name="Comma 3 3 2 2 5 3" xfId="16788" xr:uid="{BC705FB6-3841-4C5F-BA05-8252BE1AE164}"/>
    <cellStyle name="Comma 3 3 2 2 5 3 2" xfId="47028" xr:uid="{08AD6709-90CF-407F-8A11-41ECD4803489}"/>
    <cellStyle name="Comma 3 3 2 2 5 4" xfId="31908" xr:uid="{876082E1-275B-45A1-B904-66B2A8E5B936}"/>
    <cellStyle name="Comma 3 3 2 2 6" xfId="3180" xr:uid="{7F6D9AEC-6606-454A-A2CB-C2FB57CED8BC}"/>
    <cellStyle name="Comma 3 3 2 2 6 2" xfId="12252" xr:uid="{E3A94908-B159-4CA1-8355-128D6C31359D}"/>
    <cellStyle name="Comma 3 3 2 2 6 2 2" xfId="27372" xr:uid="{8F7AFAD1-10A1-4A31-AFD3-5C125936D06F}"/>
    <cellStyle name="Comma 3 3 2 2 6 2 2 2" xfId="57612" xr:uid="{7F3D4F71-22A6-4F90-AA52-04E078B65A00}"/>
    <cellStyle name="Comma 3 3 2 2 6 2 3" xfId="42492" xr:uid="{E0E5E7BF-EA4D-4584-AA1D-F18DD666C273}"/>
    <cellStyle name="Comma 3 3 2 2 6 3" xfId="18300" xr:uid="{BA0C7207-569B-4066-915B-4ECDC41B612B}"/>
    <cellStyle name="Comma 3 3 2 2 6 3 2" xfId="48540" xr:uid="{F8D9A678-9EDE-479B-9D01-69468246322C}"/>
    <cellStyle name="Comma 3 3 2 2 6 4" xfId="33420" xr:uid="{E1751AD5-22DE-4C23-B605-FC36750A7C3E}"/>
    <cellStyle name="Comma 3 3 2 2 7" xfId="4692" xr:uid="{76678771-09D6-479E-9CF5-6CF7AD55164E}"/>
    <cellStyle name="Comma 3 3 2 2 7 2" xfId="13764" xr:uid="{0343F7CF-B1FC-4CCC-9F0A-E51CABCA82AA}"/>
    <cellStyle name="Comma 3 3 2 2 7 2 2" xfId="28884" xr:uid="{9059E1BA-75E3-451C-825C-9D3584C40DBB}"/>
    <cellStyle name="Comma 3 3 2 2 7 2 2 2" xfId="59124" xr:uid="{5C02C2C9-ECA1-4A14-85FC-F919651C96C0}"/>
    <cellStyle name="Comma 3 3 2 2 7 2 3" xfId="44004" xr:uid="{445B285C-295C-4ABF-A368-393FC2257D2E}"/>
    <cellStyle name="Comma 3 3 2 2 7 3" xfId="19812" xr:uid="{DA0B131C-19E4-4046-AD9A-10DED05B8F8A}"/>
    <cellStyle name="Comma 3 3 2 2 7 3 2" xfId="50052" xr:uid="{FCE70DCC-6512-41F7-A3F6-24D84D51FFE9}"/>
    <cellStyle name="Comma 3 3 2 2 7 4" xfId="34932" xr:uid="{4C9EB410-3CFB-4306-B531-80C4547D9A11}"/>
    <cellStyle name="Comma 3 3 2 2 8" xfId="6204" xr:uid="{303C8955-6A65-422E-B0E0-4060B224AC27}"/>
    <cellStyle name="Comma 3 3 2 2 8 2" xfId="21324" xr:uid="{1DDED37A-1874-4610-A53A-B811DC6541B9}"/>
    <cellStyle name="Comma 3 3 2 2 8 2 2" xfId="51564" xr:uid="{6762B0ED-EBB1-4298-B7DE-642F5F5EC261}"/>
    <cellStyle name="Comma 3 3 2 2 8 3" xfId="36444" xr:uid="{D60112E3-DACC-4682-8A83-441AA516B985}"/>
    <cellStyle name="Comma 3 3 2 2 9" xfId="7716" xr:uid="{4BAFEB73-CDC2-41EF-A800-7B885EC76463}"/>
    <cellStyle name="Comma 3 3 2 2 9 2" xfId="22836" xr:uid="{C56A74A8-AD78-4492-9B56-0B413752EE91}"/>
    <cellStyle name="Comma 3 3 2 2 9 2 2" xfId="53076" xr:uid="{CD74BD2A-E226-4562-A664-CB4EE412E7AD}"/>
    <cellStyle name="Comma 3 3 2 2 9 3" xfId="37956" xr:uid="{1EE552F7-2C13-4B80-A9F7-9EC64936EAD6}"/>
    <cellStyle name="Comma 3 3 2 3" xfId="240" xr:uid="{7C9B1820-9F13-4523-8A20-54FE06509E4B}"/>
    <cellStyle name="Comma 3 3 2 3 10" xfId="9312" xr:uid="{69C70EEF-B487-493E-ABAF-58F8F6538273}"/>
    <cellStyle name="Comma 3 3 2 3 10 2" xfId="24432" xr:uid="{66733327-6E46-4CBF-BF81-9F3557224C33}"/>
    <cellStyle name="Comma 3 3 2 3 10 2 2" xfId="54672" xr:uid="{C72C225A-51FD-4CA6-BFF5-E2885DC062B7}"/>
    <cellStyle name="Comma 3 3 2 3 10 3" xfId="39552" xr:uid="{BBBE68E2-FFC4-4CDE-9D30-B358239D7A11}"/>
    <cellStyle name="Comma 3 3 2 3 11" xfId="15360" xr:uid="{126BDAB2-28AD-4122-9826-5627BB9F9D36}"/>
    <cellStyle name="Comma 3 3 2 3 11 2" xfId="45600" xr:uid="{BA3D0988-8FEA-471C-A405-1B6686D24418}"/>
    <cellStyle name="Comma 3 3 2 3 12" xfId="30480" xr:uid="{D128C4D4-F0A6-4CA6-9B95-1D30B5608104}"/>
    <cellStyle name="Comma 3 3 2 3 2" xfId="492" xr:uid="{9CEABA97-E428-467A-AE70-F1E74F4C2EA9}"/>
    <cellStyle name="Comma 3 3 2 3 2 10" xfId="30732" xr:uid="{C227A95A-4341-46FE-BBF9-8DC37B988427}"/>
    <cellStyle name="Comma 3 3 2 3 2 2" xfId="1248" xr:uid="{1A35CC80-6828-477C-96DD-85E0CC1868AA}"/>
    <cellStyle name="Comma 3 3 2 3 2 2 2" xfId="2760" xr:uid="{85F77E36-D1CC-46A6-ACE1-7DE9389E4A83}"/>
    <cellStyle name="Comma 3 3 2 3 2 2 2 2" xfId="11832" xr:uid="{0F6F8B9E-4C7E-4EDA-A9EA-338F93399312}"/>
    <cellStyle name="Comma 3 3 2 3 2 2 2 2 2" xfId="26952" xr:uid="{426143ED-C9AD-45FC-9624-2056C6559182}"/>
    <cellStyle name="Comma 3 3 2 3 2 2 2 2 2 2" xfId="57192" xr:uid="{A91482C2-E27A-439E-AD33-6AFE962EB1BB}"/>
    <cellStyle name="Comma 3 3 2 3 2 2 2 2 3" xfId="42072" xr:uid="{B4DAA6C1-04D8-4BEF-9E5F-8002CA1472C7}"/>
    <cellStyle name="Comma 3 3 2 3 2 2 2 3" xfId="17880" xr:uid="{F41BCC43-5CF2-4B34-9D24-E6C2B8CA35CC}"/>
    <cellStyle name="Comma 3 3 2 3 2 2 2 3 2" xfId="48120" xr:uid="{7C0D0AEB-953F-452F-9D74-2080AB008B95}"/>
    <cellStyle name="Comma 3 3 2 3 2 2 2 4" xfId="33000" xr:uid="{DD31AF65-11C5-4141-B17A-45BC4AE2F7A1}"/>
    <cellStyle name="Comma 3 3 2 3 2 2 3" xfId="4272" xr:uid="{06AA13BD-310C-4F49-ADE7-FC857FB76BF7}"/>
    <cellStyle name="Comma 3 3 2 3 2 2 3 2" xfId="13344" xr:uid="{AF38E6AA-ABD7-421E-B339-084E30BF0238}"/>
    <cellStyle name="Comma 3 3 2 3 2 2 3 2 2" xfId="28464" xr:uid="{9494C30B-DB15-4947-91FB-E50817BC482B}"/>
    <cellStyle name="Comma 3 3 2 3 2 2 3 2 2 2" xfId="58704" xr:uid="{4AAC40F1-438A-43ED-B8C2-8739C056B943}"/>
    <cellStyle name="Comma 3 3 2 3 2 2 3 2 3" xfId="43584" xr:uid="{160C4C05-554F-49D2-BF56-092796F75D0C}"/>
    <cellStyle name="Comma 3 3 2 3 2 2 3 3" xfId="19392" xr:uid="{363A17AD-1664-4F9F-83DA-7A2BB28CC742}"/>
    <cellStyle name="Comma 3 3 2 3 2 2 3 3 2" xfId="49632" xr:uid="{122FA855-A84D-44EF-A7EE-7B4579F4BFFC}"/>
    <cellStyle name="Comma 3 3 2 3 2 2 3 4" xfId="34512" xr:uid="{AF314B34-99B7-43F1-876E-0D01EF3C07A3}"/>
    <cellStyle name="Comma 3 3 2 3 2 2 4" xfId="5784" xr:uid="{49CF559B-E4DD-4084-9C9C-CD76B6B1D718}"/>
    <cellStyle name="Comma 3 3 2 3 2 2 4 2" xfId="14856" xr:uid="{8E048C6E-85B4-45E1-A8D4-3A0CFC6495D9}"/>
    <cellStyle name="Comma 3 3 2 3 2 2 4 2 2" xfId="29976" xr:uid="{E576FC59-3E59-4434-926F-EE1ABF8D8737}"/>
    <cellStyle name="Comma 3 3 2 3 2 2 4 2 2 2" xfId="60216" xr:uid="{B4134DD9-2B04-4D24-B3EA-D2789B7526AF}"/>
    <cellStyle name="Comma 3 3 2 3 2 2 4 2 3" xfId="45096" xr:uid="{EF39A49D-04C9-4445-916D-384D45D4C781}"/>
    <cellStyle name="Comma 3 3 2 3 2 2 4 3" xfId="20904" xr:uid="{524C49FA-4436-49E3-AC15-57302501F4E9}"/>
    <cellStyle name="Comma 3 3 2 3 2 2 4 3 2" xfId="51144" xr:uid="{69E504D9-C7D8-43A6-8B12-12A75ECA736F}"/>
    <cellStyle name="Comma 3 3 2 3 2 2 4 4" xfId="36024" xr:uid="{834D2483-08A2-4EBF-8A2E-C17B1D4682AD}"/>
    <cellStyle name="Comma 3 3 2 3 2 2 5" xfId="7296" xr:uid="{7B5AB95B-9EE3-41C6-B169-0D77AFFAC58E}"/>
    <cellStyle name="Comma 3 3 2 3 2 2 5 2" xfId="22416" xr:uid="{01EF2B59-9E85-4D08-AEDB-D178949427F1}"/>
    <cellStyle name="Comma 3 3 2 3 2 2 5 2 2" xfId="52656" xr:uid="{A3D90576-C495-4367-AA0A-705F8802100B}"/>
    <cellStyle name="Comma 3 3 2 3 2 2 5 3" xfId="37536" xr:uid="{03585C3D-93F2-4E94-8243-B18CFCB0E14C}"/>
    <cellStyle name="Comma 3 3 2 3 2 2 6" xfId="8808" xr:uid="{BCDBEE69-B13A-4CF2-8560-D2E9173F7B87}"/>
    <cellStyle name="Comma 3 3 2 3 2 2 6 2" xfId="23928" xr:uid="{77D6ED01-5C03-4CE9-ABE4-A3EB85BF180B}"/>
    <cellStyle name="Comma 3 3 2 3 2 2 6 2 2" xfId="54168" xr:uid="{F0A2572D-1AEE-488D-BB0D-31F907BC24AB}"/>
    <cellStyle name="Comma 3 3 2 3 2 2 6 3" xfId="39048" xr:uid="{D0686BDE-F67C-400D-AE78-6C3197D9904C}"/>
    <cellStyle name="Comma 3 3 2 3 2 2 7" xfId="10320" xr:uid="{2C756F18-1D7F-4652-A8DB-4BA200A793F1}"/>
    <cellStyle name="Comma 3 3 2 3 2 2 7 2" xfId="25440" xr:uid="{A0A2B493-773D-4C95-91E0-8A81F9ECAD85}"/>
    <cellStyle name="Comma 3 3 2 3 2 2 7 2 2" xfId="55680" xr:uid="{E8B2C95F-4068-42CB-A353-0AE4BD434D71}"/>
    <cellStyle name="Comma 3 3 2 3 2 2 7 3" xfId="40560" xr:uid="{A034949C-7304-4006-9819-FAC5795810FF}"/>
    <cellStyle name="Comma 3 3 2 3 2 2 8" xfId="16368" xr:uid="{DF7FF48A-AD1A-4FAC-83A2-2A6F9AA77BCA}"/>
    <cellStyle name="Comma 3 3 2 3 2 2 8 2" xfId="46608" xr:uid="{DA667ED0-0956-409C-8ABF-E7440377C914}"/>
    <cellStyle name="Comma 3 3 2 3 2 2 9" xfId="31488" xr:uid="{80B5DF92-6BC3-43AE-9DBF-CBBD91A28049}"/>
    <cellStyle name="Comma 3 3 2 3 2 3" xfId="2004" xr:uid="{37E9A4F5-4CF9-49A4-B0B5-E78064651E1A}"/>
    <cellStyle name="Comma 3 3 2 3 2 3 2" xfId="11076" xr:uid="{D6483E10-E018-4AD4-836D-292088FE16C8}"/>
    <cellStyle name="Comma 3 3 2 3 2 3 2 2" xfId="26196" xr:uid="{8C504D53-BC23-4B33-B668-B736A4969D90}"/>
    <cellStyle name="Comma 3 3 2 3 2 3 2 2 2" xfId="56436" xr:uid="{4175438C-8F7A-48A6-B382-A59A6EF73A23}"/>
    <cellStyle name="Comma 3 3 2 3 2 3 2 3" xfId="41316" xr:uid="{9279A326-B8BD-40D8-868E-32F635E2ACC2}"/>
    <cellStyle name="Comma 3 3 2 3 2 3 3" xfId="17124" xr:uid="{6AE8B7DB-F736-4176-9232-BD31A4970A97}"/>
    <cellStyle name="Comma 3 3 2 3 2 3 3 2" xfId="47364" xr:uid="{5598566A-E506-44B0-B95C-BDE13168518A}"/>
    <cellStyle name="Comma 3 3 2 3 2 3 4" xfId="32244" xr:uid="{C864EE5C-F6FB-4754-85E5-424B6B12CD32}"/>
    <cellStyle name="Comma 3 3 2 3 2 4" xfId="3516" xr:uid="{BCB00961-0D3E-42DE-9316-9C4F0DB86F22}"/>
    <cellStyle name="Comma 3 3 2 3 2 4 2" xfId="12588" xr:uid="{96317932-5F9A-4D6E-8099-DFE3DE69FB76}"/>
    <cellStyle name="Comma 3 3 2 3 2 4 2 2" xfId="27708" xr:uid="{49C3B018-6DAE-435A-93BA-5E2814E6BCC6}"/>
    <cellStyle name="Comma 3 3 2 3 2 4 2 2 2" xfId="57948" xr:uid="{E1656E08-0243-438E-BF25-B2CF9C2E968E}"/>
    <cellStyle name="Comma 3 3 2 3 2 4 2 3" xfId="42828" xr:uid="{8585430E-7FDF-484F-93E9-B6D70AF90536}"/>
    <cellStyle name="Comma 3 3 2 3 2 4 3" xfId="18636" xr:uid="{E4A01AED-867A-483C-8F62-436216F47FAB}"/>
    <cellStyle name="Comma 3 3 2 3 2 4 3 2" xfId="48876" xr:uid="{4F412E45-848C-49A2-93DD-2AC91FDADB37}"/>
    <cellStyle name="Comma 3 3 2 3 2 4 4" xfId="33756" xr:uid="{BAA13A49-E47E-40E7-8BF8-F061E0ECB4B3}"/>
    <cellStyle name="Comma 3 3 2 3 2 5" xfId="5028" xr:uid="{49F98B26-3B8E-489A-BC67-1853021DD0F7}"/>
    <cellStyle name="Comma 3 3 2 3 2 5 2" xfId="14100" xr:uid="{C972A216-903C-4864-BCCC-1DF3804AB602}"/>
    <cellStyle name="Comma 3 3 2 3 2 5 2 2" xfId="29220" xr:uid="{DF2431EA-9477-450D-8201-46F7D64F0974}"/>
    <cellStyle name="Comma 3 3 2 3 2 5 2 2 2" xfId="59460" xr:uid="{8C396C4B-C6AF-4B2F-B4EE-08406DAD8191}"/>
    <cellStyle name="Comma 3 3 2 3 2 5 2 3" xfId="44340" xr:uid="{A71F63A0-7F59-496A-B2B3-800114E971BA}"/>
    <cellStyle name="Comma 3 3 2 3 2 5 3" xfId="20148" xr:uid="{B3F9A14D-CC60-4388-A0B6-CF4AF1A30A5A}"/>
    <cellStyle name="Comma 3 3 2 3 2 5 3 2" xfId="50388" xr:uid="{8D8E8CDA-4DBA-4E8A-83FD-FC304C249803}"/>
    <cellStyle name="Comma 3 3 2 3 2 5 4" xfId="35268" xr:uid="{38D93814-C743-44D2-9EED-7E457ABFFFBE}"/>
    <cellStyle name="Comma 3 3 2 3 2 6" xfId="6540" xr:uid="{B9C4D94C-415B-4B21-91BC-D134569B0658}"/>
    <cellStyle name="Comma 3 3 2 3 2 6 2" xfId="21660" xr:uid="{69E1DD76-BF16-4E0F-9C7B-99974AA4D41C}"/>
    <cellStyle name="Comma 3 3 2 3 2 6 2 2" xfId="51900" xr:uid="{2027C991-4A39-405C-9778-68AE077069CE}"/>
    <cellStyle name="Comma 3 3 2 3 2 6 3" xfId="36780" xr:uid="{F86E7EA2-49FC-48D0-9E34-E9F611BC4C40}"/>
    <cellStyle name="Comma 3 3 2 3 2 7" xfId="8052" xr:uid="{4EC0B610-48BB-4106-BCEC-896F7D630892}"/>
    <cellStyle name="Comma 3 3 2 3 2 7 2" xfId="23172" xr:uid="{883DC975-C111-4B6C-8A5B-A95309E43BB8}"/>
    <cellStyle name="Comma 3 3 2 3 2 7 2 2" xfId="53412" xr:uid="{6A7EC998-1CE0-456F-BA8F-3FF5EA4923B5}"/>
    <cellStyle name="Comma 3 3 2 3 2 7 3" xfId="38292" xr:uid="{565D201D-1C09-4337-9E0D-D0F1F49E0C79}"/>
    <cellStyle name="Comma 3 3 2 3 2 8" xfId="9564" xr:uid="{B98A0ADF-585A-4798-A3D3-2A0F1BE82144}"/>
    <cellStyle name="Comma 3 3 2 3 2 8 2" xfId="24684" xr:uid="{A0781806-96FC-4F6B-8030-7F2E4EAFE981}"/>
    <cellStyle name="Comma 3 3 2 3 2 8 2 2" xfId="54924" xr:uid="{95BF9903-8295-4443-B8F3-F98236046F00}"/>
    <cellStyle name="Comma 3 3 2 3 2 8 3" xfId="39804" xr:uid="{E6563388-2CBC-477B-A1E9-A6F120132BD1}"/>
    <cellStyle name="Comma 3 3 2 3 2 9" xfId="15612" xr:uid="{5E8C6019-3544-45B1-9830-795BA137DFE9}"/>
    <cellStyle name="Comma 3 3 2 3 2 9 2" xfId="45852" xr:uid="{D9D18317-18D4-4793-8804-70D5BB29E8F6}"/>
    <cellStyle name="Comma 3 3 2 3 3" xfId="744" xr:uid="{A5D342C0-AF06-470B-BFEB-B749C7F19507}"/>
    <cellStyle name="Comma 3 3 2 3 3 10" xfId="30984" xr:uid="{2D6BC8C9-EACE-4DE9-9E6C-AA2E5AB33D50}"/>
    <cellStyle name="Comma 3 3 2 3 3 2" xfId="1500" xr:uid="{CA9D6C2F-F8D6-4C00-ACC6-29DBD55FD42B}"/>
    <cellStyle name="Comma 3 3 2 3 3 2 2" xfId="3012" xr:uid="{0AC7D07B-0545-434A-9C2D-BCB5CD33C7F6}"/>
    <cellStyle name="Comma 3 3 2 3 3 2 2 2" xfId="12084" xr:uid="{5C5230B8-318F-4DDC-990D-6EB442B79831}"/>
    <cellStyle name="Comma 3 3 2 3 3 2 2 2 2" xfId="27204" xr:uid="{2E2F141B-E25B-4763-B920-3B087F5F7A94}"/>
    <cellStyle name="Comma 3 3 2 3 3 2 2 2 2 2" xfId="57444" xr:uid="{B5319D28-7E8A-47F9-88B6-FB1E7A0E4182}"/>
    <cellStyle name="Comma 3 3 2 3 3 2 2 2 3" xfId="42324" xr:uid="{3164921D-4117-4DAA-90DA-8082567E8D2F}"/>
    <cellStyle name="Comma 3 3 2 3 3 2 2 3" xfId="18132" xr:uid="{B54FC1BA-4E9D-41CA-A6E7-C5C9A0295947}"/>
    <cellStyle name="Comma 3 3 2 3 3 2 2 3 2" xfId="48372" xr:uid="{4D7545C8-6F97-4E54-AADD-7DEDABA68DCD}"/>
    <cellStyle name="Comma 3 3 2 3 3 2 2 4" xfId="33252" xr:uid="{FCF194C4-75F0-41AD-AB24-88C35BA8EA15}"/>
    <cellStyle name="Comma 3 3 2 3 3 2 3" xfId="4524" xr:uid="{5E69D046-928D-45DE-B3AD-DA8D6E261C8C}"/>
    <cellStyle name="Comma 3 3 2 3 3 2 3 2" xfId="13596" xr:uid="{A0FA1112-26E5-44B2-B9B9-2789ADDE1301}"/>
    <cellStyle name="Comma 3 3 2 3 3 2 3 2 2" xfId="28716" xr:uid="{C23D4CA0-2DFA-47B8-B0DE-5C8CD9858465}"/>
    <cellStyle name="Comma 3 3 2 3 3 2 3 2 2 2" xfId="58956" xr:uid="{B48CAF30-4405-46E8-B99D-639D7A8FA47D}"/>
    <cellStyle name="Comma 3 3 2 3 3 2 3 2 3" xfId="43836" xr:uid="{F2A71E27-C7A8-4455-8682-C31BA373DA3C}"/>
    <cellStyle name="Comma 3 3 2 3 3 2 3 3" xfId="19644" xr:uid="{3A33431C-D065-4F24-8FCA-7348AC215642}"/>
    <cellStyle name="Comma 3 3 2 3 3 2 3 3 2" xfId="49884" xr:uid="{C3BAF105-856E-4920-B095-59F28B954D66}"/>
    <cellStyle name="Comma 3 3 2 3 3 2 3 4" xfId="34764" xr:uid="{C0001F53-D5B3-44B9-B65A-8D07C25241E8}"/>
    <cellStyle name="Comma 3 3 2 3 3 2 4" xfId="6036" xr:uid="{F695A6CC-FAFB-4F0A-B11A-B5335B8938F2}"/>
    <cellStyle name="Comma 3 3 2 3 3 2 4 2" xfId="15108" xr:uid="{4F8F1CAB-B37A-41EB-B680-DE164403AC10}"/>
    <cellStyle name="Comma 3 3 2 3 3 2 4 2 2" xfId="30228" xr:uid="{55A2B8D4-A3A6-4A32-99BB-BA97F3C8F039}"/>
    <cellStyle name="Comma 3 3 2 3 3 2 4 2 2 2" xfId="60468" xr:uid="{F2678A06-95B6-42E6-81C9-26E6B50DFC48}"/>
    <cellStyle name="Comma 3 3 2 3 3 2 4 2 3" xfId="45348" xr:uid="{C4F60BA3-CEA6-4FC2-8FD1-BA1BD4D3D6BB}"/>
    <cellStyle name="Comma 3 3 2 3 3 2 4 3" xfId="21156" xr:uid="{5F956033-C2D1-4CD4-8238-5BBEF746EE18}"/>
    <cellStyle name="Comma 3 3 2 3 3 2 4 3 2" xfId="51396" xr:uid="{BFBCF1E3-EC73-43A4-9962-E99D8541BF0F}"/>
    <cellStyle name="Comma 3 3 2 3 3 2 4 4" xfId="36276" xr:uid="{3812706A-F12C-4490-83A5-E00B30DA9588}"/>
    <cellStyle name="Comma 3 3 2 3 3 2 5" xfId="7548" xr:uid="{5E94793A-8E06-4487-8CC9-149315751DE6}"/>
    <cellStyle name="Comma 3 3 2 3 3 2 5 2" xfId="22668" xr:uid="{E5E1226E-4431-4D81-A111-51D958D50862}"/>
    <cellStyle name="Comma 3 3 2 3 3 2 5 2 2" xfId="52908" xr:uid="{256C1F59-38BF-4548-9E79-CE979C9B8D36}"/>
    <cellStyle name="Comma 3 3 2 3 3 2 5 3" xfId="37788" xr:uid="{44C81B7B-745C-4153-8670-DE3883FEFE04}"/>
    <cellStyle name="Comma 3 3 2 3 3 2 6" xfId="9060" xr:uid="{2733CA95-5B52-44BA-85AF-4D6CC332CFFB}"/>
    <cellStyle name="Comma 3 3 2 3 3 2 6 2" xfId="24180" xr:uid="{B5CE4C0E-01BB-43A8-A6F2-130DADCA97F8}"/>
    <cellStyle name="Comma 3 3 2 3 3 2 6 2 2" xfId="54420" xr:uid="{ECAA98EE-B6DF-4E7C-953A-094EAEA1F398}"/>
    <cellStyle name="Comma 3 3 2 3 3 2 6 3" xfId="39300" xr:uid="{AD19EF29-6500-40A8-A3F9-E0923447A2C4}"/>
    <cellStyle name="Comma 3 3 2 3 3 2 7" xfId="10572" xr:uid="{3A545FE7-335D-4A32-826D-0B3E06CA6722}"/>
    <cellStyle name="Comma 3 3 2 3 3 2 7 2" xfId="25692" xr:uid="{FA98120E-640A-4DEA-BF8E-FCD038D3AFDA}"/>
    <cellStyle name="Comma 3 3 2 3 3 2 7 2 2" xfId="55932" xr:uid="{8DE3A294-A79B-4D71-8718-4845943271A1}"/>
    <cellStyle name="Comma 3 3 2 3 3 2 7 3" xfId="40812" xr:uid="{BCCB10D0-2321-4941-979E-157C73D6D0A0}"/>
    <cellStyle name="Comma 3 3 2 3 3 2 8" xfId="16620" xr:uid="{5571FD09-203D-491F-B5C4-C39F30E4EC4E}"/>
    <cellStyle name="Comma 3 3 2 3 3 2 8 2" xfId="46860" xr:uid="{0C020DFE-11DF-4FEF-A736-98DF17C5B625}"/>
    <cellStyle name="Comma 3 3 2 3 3 2 9" xfId="31740" xr:uid="{C5AF332F-CB78-4702-A70F-DD9F58F4033E}"/>
    <cellStyle name="Comma 3 3 2 3 3 3" xfId="2256" xr:uid="{E67EA7A3-643F-4846-85FB-541686CF0420}"/>
    <cellStyle name="Comma 3 3 2 3 3 3 2" xfId="11328" xr:uid="{9EDC3B88-FCED-4400-A5F8-274D67952DB2}"/>
    <cellStyle name="Comma 3 3 2 3 3 3 2 2" xfId="26448" xr:uid="{872402C0-F55B-4EA0-9650-2F408389703B}"/>
    <cellStyle name="Comma 3 3 2 3 3 3 2 2 2" xfId="56688" xr:uid="{0166BD71-ABC5-4E69-95A8-C7D2E6133677}"/>
    <cellStyle name="Comma 3 3 2 3 3 3 2 3" xfId="41568" xr:uid="{5321060A-F6C3-4535-BFEC-551FFEDD81C1}"/>
    <cellStyle name="Comma 3 3 2 3 3 3 3" xfId="17376" xr:uid="{C38F6F1F-735C-40A0-B3B8-0657B7DB5F3A}"/>
    <cellStyle name="Comma 3 3 2 3 3 3 3 2" xfId="47616" xr:uid="{430B0B3F-BA9F-42B3-9DCC-BD6A1153C01C}"/>
    <cellStyle name="Comma 3 3 2 3 3 3 4" xfId="32496" xr:uid="{6AC4ECF0-60BF-4D9B-BE19-26486F2E51C7}"/>
    <cellStyle name="Comma 3 3 2 3 3 4" xfId="3768" xr:uid="{92707E51-AE59-4AD2-9970-4FE037682349}"/>
    <cellStyle name="Comma 3 3 2 3 3 4 2" xfId="12840" xr:uid="{C1CD87F8-E07D-49A5-BF85-D9CAD72708C5}"/>
    <cellStyle name="Comma 3 3 2 3 3 4 2 2" xfId="27960" xr:uid="{A2D94962-28A1-4046-8DE0-B62D2832594A}"/>
    <cellStyle name="Comma 3 3 2 3 3 4 2 2 2" xfId="58200" xr:uid="{62DF2DDB-BAAF-40F7-9152-FEBDA6D3058A}"/>
    <cellStyle name="Comma 3 3 2 3 3 4 2 3" xfId="43080" xr:uid="{9C477854-08C9-4C39-9034-AAE95BBAEA8A}"/>
    <cellStyle name="Comma 3 3 2 3 3 4 3" xfId="18888" xr:uid="{9D85F776-7467-4E4A-B5B1-3CAA0E24CBE6}"/>
    <cellStyle name="Comma 3 3 2 3 3 4 3 2" xfId="49128" xr:uid="{3570A5EE-316F-4AA9-907E-E07E2A6D753A}"/>
    <cellStyle name="Comma 3 3 2 3 3 4 4" xfId="34008" xr:uid="{6A7979A1-C088-4736-910E-A24B0B2F18CC}"/>
    <cellStyle name="Comma 3 3 2 3 3 5" xfId="5280" xr:uid="{2F951C69-7311-4F49-93E7-89561FE78D59}"/>
    <cellStyle name="Comma 3 3 2 3 3 5 2" xfId="14352" xr:uid="{2E147C15-6715-4D16-A3C4-1B9DA8309AE3}"/>
    <cellStyle name="Comma 3 3 2 3 3 5 2 2" xfId="29472" xr:uid="{D219FFA5-7FA3-4559-830F-3F9F38C231A6}"/>
    <cellStyle name="Comma 3 3 2 3 3 5 2 2 2" xfId="59712" xr:uid="{42158F86-4051-4BD4-A291-207810E30B1A}"/>
    <cellStyle name="Comma 3 3 2 3 3 5 2 3" xfId="44592" xr:uid="{8DC2980C-DB6E-449A-BC3F-01F053D8D18A}"/>
    <cellStyle name="Comma 3 3 2 3 3 5 3" xfId="20400" xr:uid="{D28D0285-6383-40E4-A552-DBE2A33A3902}"/>
    <cellStyle name="Comma 3 3 2 3 3 5 3 2" xfId="50640" xr:uid="{7D824F0E-94B3-4EBF-B2F0-59D96B2F2CC6}"/>
    <cellStyle name="Comma 3 3 2 3 3 5 4" xfId="35520" xr:uid="{B6861774-C259-4370-8468-30717E7C4BE0}"/>
    <cellStyle name="Comma 3 3 2 3 3 6" xfId="6792" xr:uid="{76CAE60D-D103-4272-9E5F-1D9F0479E87E}"/>
    <cellStyle name="Comma 3 3 2 3 3 6 2" xfId="21912" xr:uid="{FCC7AE8B-33D2-4162-9423-687A489DE616}"/>
    <cellStyle name="Comma 3 3 2 3 3 6 2 2" xfId="52152" xr:uid="{835DF98B-E7B4-4943-B833-884772FC90D1}"/>
    <cellStyle name="Comma 3 3 2 3 3 6 3" xfId="37032" xr:uid="{7574E73F-5B74-4664-9EC9-876DE7ACE66A}"/>
    <cellStyle name="Comma 3 3 2 3 3 7" xfId="8304" xr:uid="{E9F31CAD-F290-43CC-B5E8-B3DF644A7969}"/>
    <cellStyle name="Comma 3 3 2 3 3 7 2" xfId="23424" xr:uid="{8BF0A729-95D5-46D3-B9BB-C8878F395CFD}"/>
    <cellStyle name="Comma 3 3 2 3 3 7 2 2" xfId="53664" xr:uid="{7878467A-0A77-4ECC-88C2-3955FB6CE65E}"/>
    <cellStyle name="Comma 3 3 2 3 3 7 3" xfId="38544" xr:uid="{2F3F5016-C283-4016-B4CA-BCDAB765B27B}"/>
    <cellStyle name="Comma 3 3 2 3 3 8" xfId="9816" xr:uid="{1F39E65C-B858-4C1D-B93C-CD51BED8E453}"/>
    <cellStyle name="Comma 3 3 2 3 3 8 2" xfId="24936" xr:uid="{F074B673-5779-4484-A085-74D3347CB0C5}"/>
    <cellStyle name="Comma 3 3 2 3 3 8 2 2" xfId="55176" xr:uid="{E82E0EB2-D1B0-42EF-8638-3F1C0F3BE5C7}"/>
    <cellStyle name="Comma 3 3 2 3 3 8 3" xfId="40056" xr:uid="{B9202D4D-8E85-4A3B-802E-FFB7954388AF}"/>
    <cellStyle name="Comma 3 3 2 3 3 9" xfId="15864" xr:uid="{FC8EA74D-CC7F-4C70-A5EE-9D49774A0F6E}"/>
    <cellStyle name="Comma 3 3 2 3 3 9 2" xfId="46104" xr:uid="{4F147EAD-66FF-45F3-9E9C-16C9B13628FA}"/>
    <cellStyle name="Comma 3 3 2 3 4" xfId="996" xr:uid="{3FD4D15C-52B9-4ED2-AE3F-C3C683849DBD}"/>
    <cellStyle name="Comma 3 3 2 3 4 2" xfId="2508" xr:uid="{BC8B55CD-657E-4E69-AE86-59CDB94B2658}"/>
    <cellStyle name="Comma 3 3 2 3 4 2 2" xfId="11580" xr:uid="{339A482A-3884-4FE2-927F-66BA78293CB3}"/>
    <cellStyle name="Comma 3 3 2 3 4 2 2 2" xfId="26700" xr:uid="{789C9564-0C0E-4660-AA87-7D71947DC5F8}"/>
    <cellStyle name="Comma 3 3 2 3 4 2 2 2 2" xfId="56940" xr:uid="{B8D01C3D-CFB8-4076-BCCA-224357EDAAD1}"/>
    <cellStyle name="Comma 3 3 2 3 4 2 2 3" xfId="41820" xr:uid="{CFF14357-0645-497F-93B9-FA91F1E1ED29}"/>
    <cellStyle name="Comma 3 3 2 3 4 2 3" xfId="17628" xr:uid="{720352D6-9D38-4825-9D88-F0E4277C2033}"/>
    <cellStyle name="Comma 3 3 2 3 4 2 3 2" xfId="47868" xr:uid="{4E28EC85-F4E3-41BA-9833-B06FABB43AF6}"/>
    <cellStyle name="Comma 3 3 2 3 4 2 4" xfId="32748" xr:uid="{30D3F92C-587D-4EFD-AAC5-ED725A384C77}"/>
    <cellStyle name="Comma 3 3 2 3 4 3" xfId="4020" xr:uid="{E834028C-DB04-429B-98CF-0A702480667D}"/>
    <cellStyle name="Comma 3 3 2 3 4 3 2" xfId="13092" xr:uid="{CFE892FD-7601-4439-A739-38BED38447AF}"/>
    <cellStyle name="Comma 3 3 2 3 4 3 2 2" xfId="28212" xr:uid="{4B783E36-796A-4DC4-9B41-C30906854692}"/>
    <cellStyle name="Comma 3 3 2 3 4 3 2 2 2" xfId="58452" xr:uid="{3C48802D-4D6D-413F-BF62-A8986A5CD4D7}"/>
    <cellStyle name="Comma 3 3 2 3 4 3 2 3" xfId="43332" xr:uid="{AD12E9E7-5AD9-4AED-AFD7-81008BC271B8}"/>
    <cellStyle name="Comma 3 3 2 3 4 3 3" xfId="19140" xr:uid="{210006F4-647C-4A04-9EB3-27B2E6BE8583}"/>
    <cellStyle name="Comma 3 3 2 3 4 3 3 2" xfId="49380" xr:uid="{639F24B9-5A5F-4953-9DDC-5CE609A005E7}"/>
    <cellStyle name="Comma 3 3 2 3 4 3 4" xfId="34260" xr:uid="{4ED68D22-6BB5-40E0-8EB6-558AC1B0F6B6}"/>
    <cellStyle name="Comma 3 3 2 3 4 4" xfId="5532" xr:uid="{3F647B3B-F78B-44B4-9CC9-4E11FA1E5A5C}"/>
    <cellStyle name="Comma 3 3 2 3 4 4 2" xfId="14604" xr:uid="{9CE7F350-F62A-42CA-816B-3DDA448F8BC0}"/>
    <cellStyle name="Comma 3 3 2 3 4 4 2 2" xfId="29724" xr:uid="{6CD1A81E-E708-4F29-8C38-EE5F72BEA8F9}"/>
    <cellStyle name="Comma 3 3 2 3 4 4 2 2 2" xfId="59964" xr:uid="{C8CD229C-9346-4C40-BED4-2E471AF42A17}"/>
    <cellStyle name="Comma 3 3 2 3 4 4 2 3" xfId="44844" xr:uid="{688EF51B-6710-478F-B78F-BF3DF01D029C}"/>
    <cellStyle name="Comma 3 3 2 3 4 4 3" xfId="20652" xr:uid="{6099692E-7C44-41FE-9CDE-F45415ADD558}"/>
    <cellStyle name="Comma 3 3 2 3 4 4 3 2" xfId="50892" xr:uid="{C1307313-932E-44BA-9227-8E9ADE26C207}"/>
    <cellStyle name="Comma 3 3 2 3 4 4 4" xfId="35772" xr:uid="{F63C60CF-5AD2-4150-B178-F9418C3B632E}"/>
    <cellStyle name="Comma 3 3 2 3 4 5" xfId="7044" xr:uid="{5246C070-7D6D-466A-96FE-D6256FAA1005}"/>
    <cellStyle name="Comma 3 3 2 3 4 5 2" xfId="22164" xr:uid="{63EA6FE3-19C9-469E-AF92-21D0CFA2616F}"/>
    <cellStyle name="Comma 3 3 2 3 4 5 2 2" xfId="52404" xr:uid="{0B850B4F-1ACF-47B1-AB89-6036770F661B}"/>
    <cellStyle name="Comma 3 3 2 3 4 5 3" xfId="37284" xr:uid="{B5F2FFFC-3636-4980-BB90-F19B214CE154}"/>
    <cellStyle name="Comma 3 3 2 3 4 6" xfId="8556" xr:uid="{EE09FFB7-54D3-4BDC-B42E-F07575C40A8B}"/>
    <cellStyle name="Comma 3 3 2 3 4 6 2" xfId="23676" xr:uid="{29EF0AB7-576B-4A42-B46C-ACEC2ABCCD9B}"/>
    <cellStyle name="Comma 3 3 2 3 4 6 2 2" xfId="53916" xr:uid="{C9A91259-EA88-405D-92BF-50E84B7CE8A8}"/>
    <cellStyle name="Comma 3 3 2 3 4 6 3" xfId="38796" xr:uid="{8AD93B7A-EED0-4974-A034-19DCE9C8DA8B}"/>
    <cellStyle name="Comma 3 3 2 3 4 7" xfId="10068" xr:uid="{C7AB402D-265B-492A-91D8-F72ECFCA096A}"/>
    <cellStyle name="Comma 3 3 2 3 4 7 2" xfId="25188" xr:uid="{8A6193A1-9AEA-4154-B59E-5EDB6B8FAA93}"/>
    <cellStyle name="Comma 3 3 2 3 4 7 2 2" xfId="55428" xr:uid="{8698A617-5AF6-467D-A81E-17F5B2782966}"/>
    <cellStyle name="Comma 3 3 2 3 4 7 3" xfId="40308" xr:uid="{021630BB-C6EC-40C0-94F5-8A315B86E57E}"/>
    <cellStyle name="Comma 3 3 2 3 4 8" xfId="16116" xr:uid="{9578F99E-348A-40C5-B632-C7648C3E1255}"/>
    <cellStyle name="Comma 3 3 2 3 4 8 2" xfId="46356" xr:uid="{7703F30E-B1DC-4B81-BBF7-76758A664A2E}"/>
    <cellStyle name="Comma 3 3 2 3 4 9" xfId="31236" xr:uid="{32727497-6229-4696-88B5-50248370225A}"/>
    <cellStyle name="Comma 3 3 2 3 5" xfId="1752" xr:uid="{2BD84C47-97D7-4C77-9C17-9A70487BF146}"/>
    <cellStyle name="Comma 3 3 2 3 5 2" xfId="10824" xr:uid="{3B57A168-460E-4E4D-A75D-08EB8A89AB00}"/>
    <cellStyle name="Comma 3 3 2 3 5 2 2" xfId="25944" xr:uid="{4E1D155B-98A0-4786-A38E-CE3B29EB88B7}"/>
    <cellStyle name="Comma 3 3 2 3 5 2 2 2" xfId="56184" xr:uid="{168C0F70-4A59-440D-B831-3354C7EC327E}"/>
    <cellStyle name="Comma 3 3 2 3 5 2 3" xfId="41064" xr:uid="{A9BB2019-72A2-4865-9B90-3B0C673BB6D4}"/>
    <cellStyle name="Comma 3 3 2 3 5 3" xfId="16872" xr:uid="{1DCC50BF-A0CE-43C0-A07B-75A07256F337}"/>
    <cellStyle name="Comma 3 3 2 3 5 3 2" xfId="47112" xr:uid="{FAC24566-ED83-49B9-91A6-D820731C7453}"/>
    <cellStyle name="Comma 3 3 2 3 5 4" xfId="31992" xr:uid="{27F10161-05B1-42FB-BECD-63DE5DEB1800}"/>
    <cellStyle name="Comma 3 3 2 3 6" xfId="3264" xr:uid="{E0D61A58-E67F-4A76-93BB-77F40B158C49}"/>
    <cellStyle name="Comma 3 3 2 3 6 2" xfId="12336" xr:uid="{A3DC6FA6-2641-488A-A0ED-2F6F4DFC633B}"/>
    <cellStyle name="Comma 3 3 2 3 6 2 2" xfId="27456" xr:uid="{14FAFEC5-65ED-4A2D-B802-D0ECB0116895}"/>
    <cellStyle name="Comma 3 3 2 3 6 2 2 2" xfId="57696" xr:uid="{3F32A843-056D-4FC1-BB90-1103EA901B4C}"/>
    <cellStyle name="Comma 3 3 2 3 6 2 3" xfId="42576" xr:uid="{9D1FBB4F-A3AD-4E79-A181-E0650C7848A7}"/>
    <cellStyle name="Comma 3 3 2 3 6 3" xfId="18384" xr:uid="{C2EBA2A5-306E-47AD-AC88-F6299BFECE73}"/>
    <cellStyle name="Comma 3 3 2 3 6 3 2" xfId="48624" xr:uid="{D58D4D1E-7B12-4E87-B34A-DC08778739E0}"/>
    <cellStyle name="Comma 3 3 2 3 6 4" xfId="33504" xr:uid="{6C6141FD-4467-4BED-B7BD-66A8BD996504}"/>
    <cellStyle name="Comma 3 3 2 3 7" xfId="4776" xr:uid="{40862307-1DC2-4E06-B7FF-E42E42E615CC}"/>
    <cellStyle name="Comma 3 3 2 3 7 2" xfId="13848" xr:uid="{59C1470B-D5F1-425A-9D40-78D801231C18}"/>
    <cellStyle name="Comma 3 3 2 3 7 2 2" xfId="28968" xr:uid="{71FF9806-7AC9-40EA-8336-C3A5FF7ED121}"/>
    <cellStyle name="Comma 3 3 2 3 7 2 2 2" xfId="59208" xr:uid="{409B98AB-0408-44F5-99CB-031773702608}"/>
    <cellStyle name="Comma 3 3 2 3 7 2 3" xfId="44088" xr:uid="{8ABE1828-5A42-4C3C-B18E-C7ED991E9808}"/>
    <cellStyle name="Comma 3 3 2 3 7 3" xfId="19896" xr:uid="{DB6450E2-D200-446A-A855-31598FAF7199}"/>
    <cellStyle name="Comma 3 3 2 3 7 3 2" xfId="50136" xr:uid="{3C1094CD-562C-42CF-A0AA-F4F26F0424E5}"/>
    <cellStyle name="Comma 3 3 2 3 7 4" xfId="35016" xr:uid="{601349CD-E438-4E43-8056-0962887824C2}"/>
    <cellStyle name="Comma 3 3 2 3 8" xfId="6288" xr:uid="{9F9F3702-0C93-41C0-8005-6BF968FC4E26}"/>
    <cellStyle name="Comma 3 3 2 3 8 2" xfId="21408" xr:uid="{CFB04495-15B4-416D-BBB6-E1EA587AF0BC}"/>
    <cellStyle name="Comma 3 3 2 3 8 2 2" xfId="51648" xr:uid="{27AEBF1B-4078-402E-85C2-4409B41DF025}"/>
    <cellStyle name="Comma 3 3 2 3 8 3" xfId="36528" xr:uid="{23C73904-0E2A-4CC7-BA16-D6B8E817745B}"/>
    <cellStyle name="Comma 3 3 2 3 9" xfId="7800" xr:uid="{E2A90F60-9DC5-4CEF-9EFF-6AFCF3AD7C4E}"/>
    <cellStyle name="Comma 3 3 2 3 9 2" xfId="22920" xr:uid="{00FB2E54-96A7-4A4B-AACE-1C0DFAB640B4}"/>
    <cellStyle name="Comma 3 3 2 3 9 2 2" xfId="53160" xr:uid="{285EF8CD-05CE-423A-B8E1-DD465EE47CB3}"/>
    <cellStyle name="Comma 3 3 2 3 9 3" xfId="38040" xr:uid="{A29E30A1-0A3B-4BA8-9C85-D1736A553633}"/>
    <cellStyle name="Comma 3 3 2 4" xfId="324" xr:uid="{C9006577-FE46-4C1A-996C-72CCB43D8FED}"/>
    <cellStyle name="Comma 3 3 2 4 10" xfId="30564" xr:uid="{7D89CEC7-D61F-4BFB-B78A-63BF971E71D6}"/>
    <cellStyle name="Comma 3 3 2 4 2" xfId="1080" xr:uid="{C4F27A6B-381B-4F8B-AB69-8D41B0928171}"/>
    <cellStyle name="Comma 3 3 2 4 2 2" xfId="2592" xr:uid="{0817D884-495A-4643-9525-C36CE7AA77F4}"/>
    <cellStyle name="Comma 3 3 2 4 2 2 2" xfId="11664" xr:uid="{10176D99-D311-4E7A-A4A0-BAC5C1F0D5A5}"/>
    <cellStyle name="Comma 3 3 2 4 2 2 2 2" xfId="26784" xr:uid="{3C5F7D69-1737-4AC7-8A21-65B8207D49CC}"/>
    <cellStyle name="Comma 3 3 2 4 2 2 2 2 2" xfId="57024" xr:uid="{096E9B84-62DE-45F1-A188-687A5AF4D149}"/>
    <cellStyle name="Comma 3 3 2 4 2 2 2 3" xfId="41904" xr:uid="{B132FFAC-AA5F-4533-A6EE-295519814728}"/>
    <cellStyle name="Comma 3 3 2 4 2 2 3" xfId="17712" xr:uid="{81E0A524-C232-4048-9D77-FA38927F57FF}"/>
    <cellStyle name="Comma 3 3 2 4 2 2 3 2" xfId="47952" xr:uid="{F43EF1FB-5367-42C1-A659-6E25F307C16D}"/>
    <cellStyle name="Comma 3 3 2 4 2 2 4" xfId="32832" xr:uid="{7B3A9596-2002-4432-AB74-510E9769FC84}"/>
    <cellStyle name="Comma 3 3 2 4 2 3" xfId="4104" xr:uid="{8B02899B-14EF-4E2E-BF32-48AB40DAD397}"/>
    <cellStyle name="Comma 3 3 2 4 2 3 2" xfId="13176" xr:uid="{C42EB521-5E3D-48E5-B019-667147435FD1}"/>
    <cellStyle name="Comma 3 3 2 4 2 3 2 2" xfId="28296" xr:uid="{2E4E761F-6C6A-4352-A792-E6DFE1DF86AB}"/>
    <cellStyle name="Comma 3 3 2 4 2 3 2 2 2" xfId="58536" xr:uid="{711706EB-7B5F-4471-A407-D46336D777A2}"/>
    <cellStyle name="Comma 3 3 2 4 2 3 2 3" xfId="43416" xr:uid="{5B914944-5271-4208-816A-C4DA0F1A7307}"/>
    <cellStyle name="Comma 3 3 2 4 2 3 3" xfId="19224" xr:uid="{302AA62F-BE13-4236-B8C2-239D4B420CF1}"/>
    <cellStyle name="Comma 3 3 2 4 2 3 3 2" xfId="49464" xr:uid="{8EF9C2EC-8ED2-4FD7-9329-3705AD9F8D1F}"/>
    <cellStyle name="Comma 3 3 2 4 2 3 4" xfId="34344" xr:uid="{3CB6BC2C-E898-4E6A-9F97-D9504B07E662}"/>
    <cellStyle name="Comma 3 3 2 4 2 4" xfId="5616" xr:uid="{37E7EA8E-E496-4E54-B1FB-E948AF7BD061}"/>
    <cellStyle name="Comma 3 3 2 4 2 4 2" xfId="14688" xr:uid="{D696B9CC-61DE-4283-B75B-1B84380B69F5}"/>
    <cellStyle name="Comma 3 3 2 4 2 4 2 2" xfId="29808" xr:uid="{EA7B3322-2FC4-47B1-9B16-84A15EE0C150}"/>
    <cellStyle name="Comma 3 3 2 4 2 4 2 2 2" xfId="60048" xr:uid="{9433F275-47B7-4BD1-B8A1-F074EFA2966F}"/>
    <cellStyle name="Comma 3 3 2 4 2 4 2 3" xfId="44928" xr:uid="{2DB03964-654B-49EB-BEB4-E7BC143241FC}"/>
    <cellStyle name="Comma 3 3 2 4 2 4 3" xfId="20736" xr:uid="{2A8D0D1E-07B9-49DF-A62F-4E09B97D795D}"/>
    <cellStyle name="Comma 3 3 2 4 2 4 3 2" xfId="50976" xr:uid="{F3CAA267-1567-4D05-9727-91B91A447CDB}"/>
    <cellStyle name="Comma 3 3 2 4 2 4 4" xfId="35856" xr:uid="{09C949CF-7934-449A-94BC-C9EBF0704954}"/>
    <cellStyle name="Comma 3 3 2 4 2 5" xfId="7128" xr:uid="{7E11A98C-37E5-40C9-A8FE-33FBFDABFA1B}"/>
    <cellStyle name="Comma 3 3 2 4 2 5 2" xfId="22248" xr:uid="{69241CE0-1F44-4961-B702-E194C1B854F9}"/>
    <cellStyle name="Comma 3 3 2 4 2 5 2 2" xfId="52488" xr:uid="{EDD9974E-267E-41DB-8663-4C23C40F210A}"/>
    <cellStyle name="Comma 3 3 2 4 2 5 3" xfId="37368" xr:uid="{C181B75D-940F-4A51-9174-9AAA389E7BA1}"/>
    <cellStyle name="Comma 3 3 2 4 2 6" xfId="8640" xr:uid="{C98EF3B8-69AA-48D5-821E-027A447028EC}"/>
    <cellStyle name="Comma 3 3 2 4 2 6 2" xfId="23760" xr:uid="{6DA6EF75-0B47-45FE-B001-DC8DDADC8A59}"/>
    <cellStyle name="Comma 3 3 2 4 2 6 2 2" xfId="54000" xr:uid="{3ECC901F-C62F-4BA8-B89A-681148223CBA}"/>
    <cellStyle name="Comma 3 3 2 4 2 6 3" xfId="38880" xr:uid="{5C988758-25FF-4BF0-B20A-85955051F413}"/>
    <cellStyle name="Comma 3 3 2 4 2 7" xfId="10152" xr:uid="{7D61A7A8-698F-43B0-9CF7-E4A50289CF50}"/>
    <cellStyle name="Comma 3 3 2 4 2 7 2" xfId="25272" xr:uid="{6FC815B8-0AD4-445D-9823-5AEC01F20502}"/>
    <cellStyle name="Comma 3 3 2 4 2 7 2 2" xfId="55512" xr:uid="{7621A772-EB52-4075-9EB3-64EB8EF85E21}"/>
    <cellStyle name="Comma 3 3 2 4 2 7 3" xfId="40392" xr:uid="{84D0C9DF-0336-4B01-A3B6-ABF9D9B20661}"/>
    <cellStyle name="Comma 3 3 2 4 2 8" xfId="16200" xr:uid="{D22E6190-56D5-4F01-9478-254AEA4483C7}"/>
    <cellStyle name="Comma 3 3 2 4 2 8 2" xfId="46440" xr:uid="{F8CC37EE-25AE-4947-AB3F-118EEF1A8CD3}"/>
    <cellStyle name="Comma 3 3 2 4 2 9" xfId="31320" xr:uid="{48DBDCD9-B899-484A-B371-6CDBCB1E1763}"/>
    <cellStyle name="Comma 3 3 2 4 3" xfId="1836" xr:uid="{5FA32D4D-C6B2-417B-BD06-F1CF49151FCD}"/>
    <cellStyle name="Comma 3 3 2 4 3 2" xfId="10908" xr:uid="{6407B592-A39A-4FE7-B5A9-98ACBCE009A1}"/>
    <cellStyle name="Comma 3 3 2 4 3 2 2" xfId="26028" xr:uid="{4C0EEC88-70A5-4497-B957-1218F04F6E6C}"/>
    <cellStyle name="Comma 3 3 2 4 3 2 2 2" xfId="56268" xr:uid="{CF8E0241-6948-417A-8A38-74A3A7ABBFC9}"/>
    <cellStyle name="Comma 3 3 2 4 3 2 3" xfId="41148" xr:uid="{68D53647-08B2-4FB4-B341-C728DBA8C413}"/>
    <cellStyle name="Comma 3 3 2 4 3 3" xfId="16956" xr:uid="{A95CA3E7-8D5C-4B3B-B49F-F6D56096E32D}"/>
    <cellStyle name="Comma 3 3 2 4 3 3 2" xfId="47196" xr:uid="{F3958005-7C18-448C-B6EA-CDBF36604FB2}"/>
    <cellStyle name="Comma 3 3 2 4 3 4" xfId="32076" xr:uid="{3540A862-7FB4-46EF-A7A2-C391162C55ED}"/>
    <cellStyle name="Comma 3 3 2 4 4" xfId="3348" xr:uid="{84287882-5E4F-4C3A-964D-B24AC2916444}"/>
    <cellStyle name="Comma 3 3 2 4 4 2" xfId="12420" xr:uid="{84ECE55F-A7ED-48F7-AB8F-5028EF0AE8C3}"/>
    <cellStyle name="Comma 3 3 2 4 4 2 2" xfId="27540" xr:uid="{94879784-93F2-43A4-A01A-D0A26046F03B}"/>
    <cellStyle name="Comma 3 3 2 4 4 2 2 2" xfId="57780" xr:uid="{8318736C-BD21-4BCA-BE57-FB06CB6974F6}"/>
    <cellStyle name="Comma 3 3 2 4 4 2 3" xfId="42660" xr:uid="{85811D61-2497-4052-B031-11AD6EA75AB6}"/>
    <cellStyle name="Comma 3 3 2 4 4 3" xfId="18468" xr:uid="{FAD2462F-6CE3-4614-B92C-4FB4E5C06952}"/>
    <cellStyle name="Comma 3 3 2 4 4 3 2" xfId="48708" xr:uid="{150B9512-5EC3-4A99-B478-F9F2FB8ED219}"/>
    <cellStyle name="Comma 3 3 2 4 4 4" xfId="33588" xr:uid="{21776329-E857-4DAB-97A4-56DB980E1147}"/>
    <cellStyle name="Comma 3 3 2 4 5" xfId="4860" xr:uid="{6A1375B6-E3C8-4ADC-B0C4-167C9AC24D6B}"/>
    <cellStyle name="Comma 3 3 2 4 5 2" xfId="13932" xr:uid="{4C391799-F3BA-43A7-B732-F2760FDA7830}"/>
    <cellStyle name="Comma 3 3 2 4 5 2 2" xfId="29052" xr:uid="{0825F1C6-E5A3-4EF8-8783-B08D895A4064}"/>
    <cellStyle name="Comma 3 3 2 4 5 2 2 2" xfId="59292" xr:uid="{9F85E193-389E-4583-88C5-53BBE64144AA}"/>
    <cellStyle name="Comma 3 3 2 4 5 2 3" xfId="44172" xr:uid="{044EEBAA-B25F-40D1-8950-C1DA7AEFC713}"/>
    <cellStyle name="Comma 3 3 2 4 5 3" xfId="19980" xr:uid="{E723FBD3-2DA9-49B9-BCF9-B289DC6DF5D6}"/>
    <cellStyle name="Comma 3 3 2 4 5 3 2" xfId="50220" xr:uid="{6189619C-EBBE-4A7D-8453-B2B4950B0BDE}"/>
    <cellStyle name="Comma 3 3 2 4 5 4" xfId="35100" xr:uid="{AC2554CD-5306-46FA-917E-405243409A3F}"/>
    <cellStyle name="Comma 3 3 2 4 6" xfId="6372" xr:uid="{487903B8-F0BB-42A4-9E3E-2ABB74473024}"/>
    <cellStyle name="Comma 3 3 2 4 6 2" xfId="21492" xr:uid="{551FCCA5-7418-4282-9762-383C6B328B88}"/>
    <cellStyle name="Comma 3 3 2 4 6 2 2" xfId="51732" xr:uid="{19323E33-1D5D-4156-96C9-6240B94A2B12}"/>
    <cellStyle name="Comma 3 3 2 4 6 3" xfId="36612" xr:uid="{EBB8B3ED-31AD-4F63-B369-32F51DCEC3D1}"/>
    <cellStyle name="Comma 3 3 2 4 7" xfId="7884" xr:uid="{DE3200D1-3049-49FE-BC93-30B38E8413CE}"/>
    <cellStyle name="Comma 3 3 2 4 7 2" xfId="23004" xr:uid="{423DAA2B-2E2D-4C0E-93AD-A54171863D46}"/>
    <cellStyle name="Comma 3 3 2 4 7 2 2" xfId="53244" xr:uid="{631C31F5-7991-486A-B93C-064189DAD03C}"/>
    <cellStyle name="Comma 3 3 2 4 7 3" xfId="38124" xr:uid="{61A00817-4645-459B-9EA5-97ADCB69E6B0}"/>
    <cellStyle name="Comma 3 3 2 4 8" xfId="9396" xr:uid="{418F709A-1B7B-438E-94F5-182B791C87DF}"/>
    <cellStyle name="Comma 3 3 2 4 8 2" xfId="24516" xr:uid="{CB7459EF-00B5-40CD-93F0-ED8120BCED19}"/>
    <cellStyle name="Comma 3 3 2 4 8 2 2" xfId="54756" xr:uid="{3E794581-2617-4673-9607-DAA209EE37F5}"/>
    <cellStyle name="Comma 3 3 2 4 8 3" xfId="39636" xr:uid="{5C25B590-3BBA-4AF2-838C-F3CFCD264E84}"/>
    <cellStyle name="Comma 3 3 2 4 9" xfId="15444" xr:uid="{FD328A86-5211-4511-BB8D-F5507FBE674E}"/>
    <cellStyle name="Comma 3 3 2 4 9 2" xfId="45684" xr:uid="{704F883A-99B1-4385-B26A-164AEF551A12}"/>
    <cellStyle name="Comma 3 3 2 5" xfId="576" xr:uid="{C822230F-76DE-4904-B157-7AAA3A151B13}"/>
    <cellStyle name="Comma 3 3 2 5 10" xfId="30816" xr:uid="{346700E1-6C19-4559-ACF0-73CC69486AF6}"/>
    <cellStyle name="Comma 3 3 2 5 2" xfId="1332" xr:uid="{41A7EC74-FFAF-4790-B440-3BC5E45C79AA}"/>
    <cellStyle name="Comma 3 3 2 5 2 2" xfId="2844" xr:uid="{19328EA5-23DA-4FA4-AF00-7A7B39B3D5FB}"/>
    <cellStyle name="Comma 3 3 2 5 2 2 2" xfId="11916" xr:uid="{1E038F7F-B16F-4EE9-BEFB-3841AE89DF8F}"/>
    <cellStyle name="Comma 3 3 2 5 2 2 2 2" xfId="27036" xr:uid="{AEE62DAE-28D4-4F87-B8A1-3DC4C2529EBD}"/>
    <cellStyle name="Comma 3 3 2 5 2 2 2 2 2" xfId="57276" xr:uid="{2082AC91-206C-40A2-B222-AF0CC198591D}"/>
    <cellStyle name="Comma 3 3 2 5 2 2 2 3" xfId="42156" xr:uid="{57998A54-510A-4E2C-AC37-A05B73873964}"/>
    <cellStyle name="Comma 3 3 2 5 2 2 3" xfId="17964" xr:uid="{B079E626-389C-4D3E-BB28-EC8C07B00A09}"/>
    <cellStyle name="Comma 3 3 2 5 2 2 3 2" xfId="48204" xr:uid="{4AA54425-EA1D-48D8-870A-1C15ED91BC1D}"/>
    <cellStyle name="Comma 3 3 2 5 2 2 4" xfId="33084" xr:uid="{0D4F3BBB-3571-400A-8569-749260E555F5}"/>
    <cellStyle name="Comma 3 3 2 5 2 3" xfId="4356" xr:uid="{7D67EFCA-6BF4-4714-B1A0-698FDD8A34F4}"/>
    <cellStyle name="Comma 3 3 2 5 2 3 2" xfId="13428" xr:uid="{026FD458-7086-468F-8C2F-A7EFBB7BF6D5}"/>
    <cellStyle name="Comma 3 3 2 5 2 3 2 2" xfId="28548" xr:uid="{292BE4D2-B509-4EDE-8C67-F44179800C6E}"/>
    <cellStyle name="Comma 3 3 2 5 2 3 2 2 2" xfId="58788" xr:uid="{5F2CAC11-DBC5-489B-9A3D-0EB553C752ED}"/>
    <cellStyle name="Comma 3 3 2 5 2 3 2 3" xfId="43668" xr:uid="{719E5E58-0DD5-45D7-9364-0A092645BA02}"/>
    <cellStyle name="Comma 3 3 2 5 2 3 3" xfId="19476" xr:uid="{5439611A-B91C-4FC7-B7B5-58D72121BD5F}"/>
    <cellStyle name="Comma 3 3 2 5 2 3 3 2" xfId="49716" xr:uid="{E2C33A8B-1287-4E46-BE3E-75F6C99EB218}"/>
    <cellStyle name="Comma 3 3 2 5 2 3 4" xfId="34596" xr:uid="{B69E3FCC-2842-49F8-B535-B82B183FAC01}"/>
    <cellStyle name="Comma 3 3 2 5 2 4" xfId="5868" xr:uid="{9D7B7E16-BB9B-4A9B-ABC4-37CC34AB9480}"/>
    <cellStyle name="Comma 3 3 2 5 2 4 2" xfId="14940" xr:uid="{9B91718F-DD1B-43D3-BA9D-A6BB36693925}"/>
    <cellStyle name="Comma 3 3 2 5 2 4 2 2" xfId="30060" xr:uid="{9F0D5E61-2C10-4C3F-879D-3B1F31A18BC0}"/>
    <cellStyle name="Comma 3 3 2 5 2 4 2 2 2" xfId="60300" xr:uid="{C66710D9-FFB9-4199-9A5C-60808F2D58CF}"/>
    <cellStyle name="Comma 3 3 2 5 2 4 2 3" xfId="45180" xr:uid="{738F0D7C-08A7-46A9-88E7-5C37AB606C65}"/>
    <cellStyle name="Comma 3 3 2 5 2 4 3" xfId="20988" xr:uid="{8A6360B4-472E-4C19-BC91-709B10CBCA90}"/>
    <cellStyle name="Comma 3 3 2 5 2 4 3 2" xfId="51228" xr:uid="{D98FB609-48BF-4FCB-AC68-D3C9FF44C2BC}"/>
    <cellStyle name="Comma 3 3 2 5 2 4 4" xfId="36108" xr:uid="{94A13135-4F14-4C5F-A2D8-C3450004F511}"/>
    <cellStyle name="Comma 3 3 2 5 2 5" xfId="7380" xr:uid="{55E1DEE5-1C66-4570-8B2C-627969D93ABD}"/>
    <cellStyle name="Comma 3 3 2 5 2 5 2" xfId="22500" xr:uid="{4A0B5979-4F05-4D34-840E-F9F347D00C99}"/>
    <cellStyle name="Comma 3 3 2 5 2 5 2 2" xfId="52740" xr:uid="{0E676323-A855-4A5F-BCFF-49DCCD03FF7A}"/>
    <cellStyle name="Comma 3 3 2 5 2 5 3" xfId="37620" xr:uid="{C759D81B-4FAE-47D1-9585-47AB6941189C}"/>
    <cellStyle name="Comma 3 3 2 5 2 6" xfId="8892" xr:uid="{5A081AAD-09D1-43B1-967A-5756AA521540}"/>
    <cellStyle name="Comma 3 3 2 5 2 6 2" xfId="24012" xr:uid="{4896D51F-42B2-463A-ACF7-6D3D95032423}"/>
    <cellStyle name="Comma 3 3 2 5 2 6 2 2" xfId="54252" xr:uid="{9F2D45AD-0BB4-4CB4-9BE8-2F7546C81D51}"/>
    <cellStyle name="Comma 3 3 2 5 2 6 3" xfId="39132" xr:uid="{5AFD3A44-8FAB-4190-8615-5D1E5D981250}"/>
    <cellStyle name="Comma 3 3 2 5 2 7" xfId="10404" xr:uid="{78AB87A4-ACC0-44F0-8564-F6063F744981}"/>
    <cellStyle name="Comma 3 3 2 5 2 7 2" xfId="25524" xr:uid="{D9D416ED-5207-4ECE-91E0-1810A147E102}"/>
    <cellStyle name="Comma 3 3 2 5 2 7 2 2" xfId="55764" xr:uid="{CB2308A7-1AFD-49A5-BFD3-DF324C27230D}"/>
    <cellStyle name="Comma 3 3 2 5 2 7 3" xfId="40644" xr:uid="{282D70E1-B6FA-42B4-B795-4BB33B8064D6}"/>
    <cellStyle name="Comma 3 3 2 5 2 8" xfId="16452" xr:uid="{27085EA7-FF4B-4032-9563-73177F758095}"/>
    <cellStyle name="Comma 3 3 2 5 2 8 2" xfId="46692" xr:uid="{58773DD1-4524-4E25-843A-2D8B5666B234}"/>
    <cellStyle name="Comma 3 3 2 5 2 9" xfId="31572" xr:uid="{8108A767-5C09-4C55-A768-0A93B1E57A29}"/>
    <cellStyle name="Comma 3 3 2 5 3" xfId="2088" xr:uid="{FFCABF81-8CC0-4484-B2E6-A9FA4DE34A43}"/>
    <cellStyle name="Comma 3 3 2 5 3 2" xfId="11160" xr:uid="{DD71D021-DF3D-4E1B-8D9F-61B9847927E7}"/>
    <cellStyle name="Comma 3 3 2 5 3 2 2" xfId="26280" xr:uid="{51D17E42-B51D-4AF5-A8FF-A0C3CAC01AED}"/>
    <cellStyle name="Comma 3 3 2 5 3 2 2 2" xfId="56520" xr:uid="{30D55E95-1470-40DC-84AD-238E72E6CB34}"/>
    <cellStyle name="Comma 3 3 2 5 3 2 3" xfId="41400" xr:uid="{0D4C5806-A4C5-4BC3-B978-347BEEF66B6A}"/>
    <cellStyle name="Comma 3 3 2 5 3 3" xfId="17208" xr:uid="{43BAE6AD-DD35-44D4-815D-4F4B49388700}"/>
    <cellStyle name="Comma 3 3 2 5 3 3 2" xfId="47448" xr:uid="{1DD717B8-DFA3-4C12-9FD0-5365D56CE00E}"/>
    <cellStyle name="Comma 3 3 2 5 3 4" xfId="32328" xr:uid="{4FF78FE4-8E85-4D25-8955-444D1DCC5E7C}"/>
    <cellStyle name="Comma 3 3 2 5 4" xfId="3600" xr:uid="{DB9D1D84-B7D4-42D1-A4CC-658113547A65}"/>
    <cellStyle name="Comma 3 3 2 5 4 2" xfId="12672" xr:uid="{490BD836-FF57-477A-877D-BCA5FB6994B6}"/>
    <cellStyle name="Comma 3 3 2 5 4 2 2" xfId="27792" xr:uid="{F2B34F07-A9F0-4FC7-A3C7-5C463CAA9FB9}"/>
    <cellStyle name="Comma 3 3 2 5 4 2 2 2" xfId="58032" xr:uid="{37A69281-B338-4C09-B6F2-3B4F37AB9ECA}"/>
    <cellStyle name="Comma 3 3 2 5 4 2 3" xfId="42912" xr:uid="{CF5FD473-9F54-4C85-AC8F-EE709ED607A6}"/>
    <cellStyle name="Comma 3 3 2 5 4 3" xfId="18720" xr:uid="{F459AD6C-DA1B-4D23-BB14-B1EA62A080F3}"/>
    <cellStyle name="Comma 3 3 2 5 4 3 2" xfId="48960" xr:uid="{8F488DB1-A640-4D96-AD6F-8BCBBECC8F3A}"/>
    <cellStyle name="Comma 3 3 2 5 4 4" xfId="33840" xr:uid="{B4ADE30E-8C3D-4E66-AAC9-FB1CB027B1C3}"/>
    <cellStyle name="Comma 3 3 2 5 5" xfId="5112" xr:uid="{8FB1EF16-ADD4-4E9F-89BC-90D37860FF4B}"/>
    <cellStyle name="Comma 3 3 2 5 5 2" xfId="14184" xr:uid="{8BED9311-C1E1-491E-BD65-C63D3879C9CA}"/>
    <cellStyle name="Comma 3 3 2 5 5 2 2" xfId="29304" xr:uid="{5098B087-649D-4CF3-ACF3-A7113203E75A}"/>
    <cellStyle name="Comma 3 3 2 5 5 2 2 2" xfId="59544" xr:uid="{0C57B723-33C6-47D7-8032-357897DE2143}"/>
    <cellStyle name="Comma 3 3 2 5 5 2 3" xfId="44424" xr:uid="{DC3477E5-15A6-4C73-B8DC-BAA8B99CD624}"/>
    <cellStyle name="Comma 3 3 2 5 5 3" xfId="20232" xr:uid="{1B9FB782-EDA1-4310-B11C-4A75937CBF35}"/>
    <cellStyle name="Comma 3 3 2 5 5 3 2" xfId="50472" xr:uid="{E918AA43-EF91-4116-8147-631DAF63C7AA}"/>
    <cellStyle name="Comma 3 3 2 5 5 4" xfId="35352" xr:uid="{8DA8B631-7B17-46CD-AD17-144F4F9FE59C}"/>
    <cellStyle name="Comma 3 3 2 5 6" xfId="6624" xr:uid="{87EB8126-F046-43EA-AA24-9D269849CD4B}"/>
    <cellStyle name="Comma 3 3 2 5 6 2" xfId="21744" xr:uid="{71C6AB95-C113-43D3-842E-580BE1C760F5}"/>
    <cellStyle name="Comma 3 3 2 5 6 2 2" xfId="51984" xr:uid="{3E1D516F-7DB0-4803-B6F3-38E567CC2F20}"/>
    <cellStyle name="Comma 3 3 2 5 6 3" xfId="36864" xr:uid="{E71B6809-185E-47DD-83F4-B53179502197}"/>
    <cellStyle name="Comma 3 3 2 5 7" xfId="8136" xr:uid="{AF7577FE-5F7A-4836-BF84-ECC46DB1F47D}"/>
    <cellStyle name="Comma 3 3 2 5 7 2" xfId="23256" xr:uid="{C06D262F-D16B-4DA3-8AF4-F23E6D4379F1}"/>
    <cellStyle name="Comma 3 3 2 5 7 2 2" xfId="53496" xr:uid="{EF3601B0-4C1A-4F63-83F7-CC1840A41D30}"/>
    <cellStyle name="Comma 3 3 2 5 7 3" xfId="38376" xr:uid="{1D53D53E-528F-406D-AC06-D3F3D617B519}"/>
    <cellStyle name="Comma 3 3 2 5 8" xfId="9648" xr:uid="{6D15A815-70DF-4F8F-A116-E2723F621DFC}"/>
    <cellStyle name="Comma 3 3 2 5 8 2" xfId="24768" xr:uid="{F1C30D20-29AE-4700-A068-D16D73532E76}"/>
    <cellStyle name="Comma 3 3 2 5 8 2 2" xfId="55008" xr:uid="{603ACB66-B2F9-4531-9594-4EBAABEC9BE7}"/>
    <cellStyle name="Comma 3 3 2 5 8 3" xfId="39888" xr:uid="{F0A87FAF-C591-41AC-BD58-5187A03DFD04}"/>
    <cellStyle name="Comma 3 3 2 5 9" xfId="15696" xr:uid="{C742076B-B75B-4484-95AA-338FA48F395A}"/>
    <cellStyle name="Comma 3 3 2 5 9 2" xfId="45936" xr:uid="{872D243F-A1A0-441D-BABC-9AB7FEA00B98}"/>
    <cellStyle name="Comma 3 3 2 6" xfId="828" xr:uid="{8DC18CC4-506F-4010-9DFE-680208AC74F2}"/>
    <cellStyle name="Comma 3 3 2 6 2" xfId="2340" xr:uid="{96D7F3D8-69A4-403A-AECD-D42722740045}"/>
    <cellStyle name="Comma 3 3 2 6 2 2" xfId="11412" xr:uid="{F6F6BB6E-C855-4C27-837C-9195C02C7682}"/>
    <cellStyle name="Comma 3 3 2 6 2 2 2" xfId="26532" xr:uid="{AADA5238-637C-4682-9159-B91CB032E2F7}"/>
    <cellStyle name="Comma 3 3 2 6 2 2 2 2" xfId="56772" xr:uid="{0920B69A-5537-409D-8B74-B7AF8F623B99}"/>
    <cellStyle name="Comma 3 3 2 6 2 2 3" xfId="41652" xr:uid="{2AA09CDB-6D48-4375-A2F4-0B78774E732F}"/>
    <cellStyle name="Comma 3 3 2 6 2 3" xfId="17460" xr:uid="{E79ADB1E-A0E4-4074-93F2-F6230A0D36C6}"/>
    <cellStyle name="Comma 3 3 2 6 2 3 2" xfId="47700" xr:uid="{C659BEF4-8292-4DDB-8795-FC5B481A347F}"/>
    <cellStyle name="Comma 3 3 2 6 2 4" xfId="32580" xr:uid="{0A17769D-D956-406A-88F2-3D0697156AC2}"/>
    <cellStyle name="Comma 3 3 2 6 3" xfId="3852" xr:uid="{3172FAB4-B040-4F98-A4F8-E775475C433F}"/>
    <cellStyle name="Comma 3 3 2 6 3 2" xfId="12924" xr:uid="{010C43C5-734E-4AD1-9165-5866B054ADA5}"/>
    <cellStyle name="Comma 3 3 2 6 3 2 2" xfId="28044" xr:uid="{3D68E0D5-11F3-41C9-9C9F-2FFC931DF5A2}"/>
    <cellStyle name="Comma 3 3 2 6 3 2 2 2" xfId="58284" xr:uid="{036EE2A4-4A04-4432-91AF-709536E17945}"/>
    <cellStyle name="Comma 3 3 2 6 3 2 3" xfId="43164" xr:uid="{348F8752-681F-4627-96B4-2FCF2D82D595}"/>
    <cellStyle name="Comma 3 3 2 6 3 3" xfId="18972" xr:uid="{2C7C1539-7256-4298-9BD5-CB3372B5E870}"/>
    <cellStyle name="Comma 3 3 2 6 3 3 2" xfId="49212" xr:uid="{F8A34D35-1A3B-44C7-A1F6-8DB9861B04B0}"/>
    <cellStyle name="Comma 3 3 2 6 3 4" xfId="34092" xr:uid="{61448852-344D-4773-B712-D42A5E975B52}"/>
    <cellStyle name="Comma 3 3 2 6 4" xfId="5364" xr:uid="{40E45FCC-8515-4FCA-BCF2-7228B0B5C7F1}"/>
    <cellStyle name="Comma 3 3 2 6 4 2" xfId="14436" xr:uid="{F1E3796B-C30A-4088-899B-495DB93F70F9}"/>
    <cellStyle name="Comma 3 3 2 6 4 2 2" xfId="29556" xr:uid="{79643B54-6F61-4B58-A5A6-D1C2E1D38B2D}"/>
    <cellStyle name="Comma 3 3 2 6 4 2 2 2" xfId="59796" xr:uid="{42926A6E-21FC-4916-A1D9-6B44AB8633DE}"/>
    <cellStyle name="Comma 3 3 2 6 4 2 3" xfId="44676" xr:uid="{44022FE8-25A0-4961-A55E-D16729D3C049}"/>
    <cellStyle name="Comma 3 3 2 6 4 3" xfId="20484" xr:uid="{25E76A5A-782B-400F-8337-55B5BBAF3A33}"/>
    <cellStyle name="Comma 3 3 2 6 4 3 2" xfId="50724" xr:uid="{71B38328-D8FA-4333-A09C-D35B7395E94B}"/>
    <cellStyle name="Comma 3 3 2 6 4 4" xfId="35604" xr:uid="{65B5A169-6E53-46AE-B50C-0D6A44C70E31}"/>
    <cellStyle name="Comma 3 3 2 6 5" xfId="6876" xr:uid="{946A9362-7012-406A-A4AC-32F127E6783B}"/>
    <cellStyle name="Comma 3 3 2 6 5 2" xfId="21996" xr:uid="{A2ECC696-E766-4647-91A0-5B65D924C13C}"/>
    <cellStyle name="Comma 3 3 2 6 5 2 2" xfId="52236" xr:uid="{336442DD-1C83-496A-BF64-4853A4348252}"/>
    <cellStyle name="Comma 3 3 2 6 5 3" xfId="37116" xr:uid="{0E100CFF-F9A8-458C-B878-228552C1973C}"/>
    <cellStyle name="Comma 3 3 2 6 6" xfId="8388" xr:uid="{973A09C4-4781-433E-BD31-C5BDB329F441}"/>
    <cellStyle name="Comma 3 3 2 6 6 2" xfId="23508" xr:uid="{6AC61E05-E5B6-4C44-BA1E-67A905DD9EE4}"/>
    <cellStyle name="Comma 3 3 2 6 6 2 2" xfId="53748" xr:uid="{98A5B756-A16D-4A52-B904-A8FD0D9929AA}"/>
    <cellStyle name="Comma 3 3 2 6 6 3" xfId="38628" xr:uid="{B141F412-0BEF-47ED-8E64-88B0E3B4E93C}"/>
    <cellStyle name="Comma 3 3 2 6 7" xfId="9900" xr:uid="{F01470D6-4198-4637-9909-BD343FE31031}"/>
    <cellStyle name="Comma 3 3 2 6 7 2" xfId="25020" xr:uid="{C4E77E1F-755E-4F3B-9999-700C5938506B}"/>
    <cellStyle name="Comma 3 3 2 6 7 2 2" xfId="55260" xr:uid="{E9F2DCE8-E679-4F48-954C-9777991B1740}"/>
    <cellStyle name="Comma 3 3 2 6 7 3" xfId="40140" xr:uid="{4EF6B970-C332-4892-A790-8000B02AC7AB}"/>
    <cellStyle name="Comma 3 3 2 6 8" xfId="15948" xr:uid="{989A8CBC-167A-4A6D-96A1-DBC1AC6E9A22}"/>
    <cellStyle name="Comma 3 3 2 6 8 2" xfId="46188" xr:uid="{71C42046-FAA1-472F-940E-8FE90DAC9C17}"/>
    <cellStyle name="Comma 3 3 2 6 9" xfId="31068" xr:uid="{160D1703-30D7-4F1A-BBF3-383BB34ADEE2}"/>
    <cellStyle name="Comma 3 3 2 7" xfId="1584" xr:uid="{6F174222-A48C-4466-8783-416E58EE9733}"/>
    <cellStyle name="Comma 3 3 2 7 2" xfId="10656" xr:uid="{4CBA0401-63B2-4C8D-AD18-C2F046F2C256}"/>
    <cellStyle name="Comma 3 3 2 7 2 2" xfId="25776" xr:uid="{B618FCB7-3693-47B8-A3EE-9723F0011C74}"/>
    <cellStyle name="Comma 3 3 2 7 2 2 2" xfId="56016" xr:uid="{5B71673E-E8E0-4D54-BF33-73250D5F0E4D}"/>
    <cellStyle name="Comma 3 3 2 7 2 3" xfId="40896" xr:uid="{4BD0BFE6-3762-48A2-9DB4-176CB20EE323}"/>
    <cellStyle name="Comma 3 3 2 7 3" xfId="16704" xr:uid="{F1C8FF53-691E-43A2-8B9B-C50CEE085DD4}"/>
    <cellStyle name="Comma 3 3 2 7 3 2" xfId="46944" xr:uid="{E43C7DC3-7058-4CFD-A6FE-F850A8F39B96}"/>
    <cellStyle name="Comma 3 3 2 7 4" xfId="31824" xr:uid="{56D533CD-0D02-4298-8ADC-2790EEEDBC30}"/>
    <cellStyle name="Comma 3 3 2 8" xfId="3096" xr:uid="{516E7B98-3D4F-4339-BF2B-A76C90EA434D}"/>
    <cellStyle name="Comma 3 3 2 8 2" xfId="12168" xr:uid="{8D48DE80-1CCD-4311-905D-857D77519962}"/>
    <cellStyle name="Comma 3 3 2 8 2 2" xfId="27288" xr:uid="{3BC6B96A-668D-4127-A1F7-2E1492DA8747}"/>
    <cellStyle name="Comma 3 3 2 8 2 2 2" xfId="57528" xr:uid="{074EA7F7-F7A4-454C-AC7D-DE50B8381A38}"/>
    <cellStyle name="Comma 3 3 2 8 2 3" xfId="42408" xr:uid="{8ECEA771-3A66-4982-9181-26462DBD4AC8}"/>
    <cellStyle name="Comma 3 3 2 8 3" xfId="18216" xr:uid="{E2D5832E-6277-4A4C-A92A-4C2919076970}"/>
    <cellStyle name="Comma 3 3 2 8 3 2" xfId="48456" xr:uid="{185092E6-EE51-4BA4-A37D-32C3C9D774E2}"/>
    <cellStyle name="Comma 3 3 2 8 4" xfId="33336" xr:uid="{224DC9C0-194D-4E42-8B3F-6D71F1D8F450}"/>
    <cellStyle name="Comma 3 3 2 9" xfId="4608" xr:uid="{5234E894-C22E-48B7-B194-E53982033C5F}"/>
    <cellStyle name="Comma 3 3 2 9 2" xfId="13680" xr:uid="{D79D83C9-C3F6-4AB9-AE63-CCA064A75F13}"/>
    <cellStyle name="Comma 3 3 2 9 2 2" xfId="28800" xr:uid="{1B5250AA-DA72-48E9-92FF-CE35927D3EF4}"/>
    <cellStyle name="Comma 3 3 2 9 2 2 2" xfId="59040" xr:uid="{9FF5DDC2-7956-4A65-B8A2-4C15E36DC462}"/>
    <cellStyle name="Comma 3 3 2 9 2 3" xfId="43920" xr:uid="{BF1C1E5F-FF44-4032-A5E9-44C3C519B0FF}"/>
    <cellStyle name="Comma 3 3 2 9 3" xfId="19728" xr:uid="{AC44E70B-0917-4105-B2F2-57236D374A7F}"/>
    <cellStyle name="Comma 3 3 2 9 3 2" xfId="49968" xr:uid="{33D63002-3A1A-4C57-9B34-9957045843E3}"/>
    <cellStyle name="Comma 3 3 2 9 4" xfId="34848" xr:uid="{16961361-3413-4D3F-A7CB-F202D26DC0E4}"/>
    <cellStyle name="Comma 3 3 3" xfId="114" xr:uid="{4F65130F-3FFE-4697-9AB3-61A1D1DEC845}"/>
    <cellStyle name="Comma 3 3 3 10" xfId="9186" xr:uid="{48962634-9DBD-4C97-BC75-078873D7C3E2}"/>
    <cellStyle name="Comma 3 3 3 10 2" xfId="24306" xr:uid="{E7527A15-F92B-470D-8442-D3C19254EA66}"/>
    <cellStyle name="Comma 3 3 3 10 2 2" xfId="54546" xr:uid="{5DC3DB89-0A55-4808-96AD-10A471B46CB0}"/>
    <cellStyle name="Comma 3 3 3 10 3" xfId="39426" xr:uid="{C59F066D-D340-489D-AF15-67AFCD6B45D0}"/>
    <cellStyle name="Comma 3 3 3 11" xfId="15234" xr:uid="{7AE1D999-0375-4CAC-8250-4FCCCF3A3DF1}"/>
    <cellStyle name="Comma 3 3 3 11 2" xfId="45474" xr:uid="{079580D2-2A1E-4F85-80BF-1AD81CB6964B}"/>
    <cellStyle name="Comma 3 3 3 12" xfId="30354" xr:uid="{4DDC2742-DD2D-4DAE-93B3-706A94F7F5B9}"/>
    <cellStyle name="Comma 3 3 3 2" xfId="366" xr:uid="{D7E3BF78-7F00-4728-B1CF-B5DEA6BF464C}"/>
    <cellStyle name="Comma 3 3 3 2 10" xfId="30606" xr:uid="{382F9ACB-90C4-40DD-A5DA-3D4D851677BE}"/>
    <cellStyle name="Comma 3 3 3 2 2" xfId="1122" xr:uid="{3817B3F4-EEE7-498C-AF24-6380306684EB}"/>
    <cellStyle name="Comma 3 3 3 2 2 2" xfId="2634" xr:uid="{BCF5E6EB-DD3E-4167-A4C8-25F20A7769CF}"/>
    <cellStyle name="Comma 3 3 3 2 2 2 2" xfId="11706" xr:uid="{02C97CB8-2F6C-4DB1-A0FC-9F09D744D8BF}"/>
    <cellStyle name="Comma 3 3 3 2 2 2 2 2" xfId="26826" xr:uid="{CBBA395D-7201-401E-838F-945B7C6BDCF0}"/>
    <cellStyle name="Comma 3 3 3 2 2 2 2 2 2" xfId="57066" xr:uid="{972D80AC-473A-4679-A236-0580B262BE8B}"/>
    <cellStyle name="Comma 3 3 3 2 2 2 2 3" xfId="41946" xr:uid="{CC297F25-8DA2-4DA0-BFFC-181D3888D3A6}"/>
    <cellStyle name="Comma 3 3 3 2 2 2 3" xfId="17754" xr:uid="{9EED5F70-8F76-4D02-AF77-4DCABFB7D91E}"/>
    <cellStyle name="Comma 3 3 3 2 2 2 3 2" xfId="47994" xr:uid="{52E4856A-E920-4235-A82B-06264782C144}"/>
    <cellStyle name="Comma 3 3 3 2 2 2 4" xfId="32874" xr:uid="{C3DDC198-5DDF-4143-BBD8-6EFC99A7EBC1}"/>
    <cellStyle name="Comma 3 3 3 2 2 3" xfId="4146" xr:uid="{AB52F7B8-ACB9-48C3-912C-C3EA76AE60AA}"/>
    <cellStyle name="Comma 3 3 3 2 2 3 2" xfId="13218" xr:uid="{4C18CF4C-C1E4-4D5D-94E2-1ECAEA053EAE}"/>
    <cellStyle name="Comma 3 3 3 2 2 3 2 2" xfId="28338" xr:uid="{B8545294-340C-469B-8C45-C2F4C8080FF6}"/>
    <cellStyle name="Comma 3 3 3 2 2 3 2 2 2" xfId="58578" xr:uid="{8731EA35-E7CA-470B-A4CB-2A752838018E}"/>
    <cellStyle name="Comma 3 3 3 2 2 3 2 3" xfId="43458" xr:uid="{D05622B4-C862-41C4-B658-15430B905722}"/>
    <cellStyle name="Comma 3 3 3 2 2 3 3" xfId="19266" xr:uid="{CF9F44DC-D859-4875-9175-6FC4383AC9B1}"/>
    <cellStyle name="Comma 3 3 3 2 2 3 3 2" xfId="49506" xr:uid="{29FA6FAD-5A78-493E-87BF-739F5E729847}"/>
    <cellStyle name="Comma 3 3 3 2 2 3 4" xfId="34386" xr:uid="{808D8FCA-BE2F-4881-83AE-2A1638A45200}"/>
    <cellStyle name="Comma 3 3 3 2 2 4" xfId="5658" xr:uid="{8243A49D-8EB1-48ED-BFC0-EB0744E87487}"/>
    <cellStyle name="Comma 3 3 3 2 2 4 2" xfId="14730" xr:uid="{0DD11517-11BB-4E7E-A33D-1F780DFB68A6}"/>
    <cellStyle name="Comma 3 3 3 2 2 4 2 2" xfId="29850" xr:uid="{F3BC8AC1-DCDD-46B2-BB1A-D632734305DA}"/>
    <cellStyle name="Comma 3 3 3 2 2 4 2 2 2" xfId="60090" xr:uid="{118AA1D0-3ABD-4C1A-A416-E9B47A532BBE}"/>
    <cellStyle name="Comma 3 3 3 2 2 4 2 3" xfId="44970" xr:uid="{65D8774A-6F74-40A5-99B0-7A2FF84E4278}"/>
    <cellStyle name="Comma 3 3 3 2 2 4 3" xfId="20778" xr:uid="{70E85D53-F2E9-48BC-92F4-CDD361FCBA3D}"/>
    <cellStyle name="Comma 3 3 3 2 2 4 3 2" xfId="51018" xr:uid="{2179C7B4-84E4-4F0F-B7FF-D54EEFC0719F}"/>
    <cellStyle name="Comma 3 3 3 2 2 4 4" xfId="35898" xr:uid="{3132C680-F1FA-4040-939B-229745C0D387}"/>
    <cellStyle name="Comma 3 3 3 2 2 5" xfId="7170" xr:uid="{783CD548-5DEB-4D3F-B643-063E992570E1}"/>
    <cellStyle name="Comma 3 3 3 2 2 5 2" xfId="22290" xr:uid="{8E23254E-2879-422E-8EAD-5E0EA3A3CA8F}"/>
    <cellStyle name="Comma 3 3 3 2 2 5 2 2" xfId="52530" xr:uid="{AE443088-5660-4AB5-A6EB-5E09C329B192}"/>
    <cellStyle name="Comma 3 3 3 2 2 5 3" xfId="37410" xr:uid="{49FAD883-F50C-4665-B28A-383088B60E70}"/>
    <cellStyle name="Comma 3 3 3 2 2 6" xfId="8682" xr:uid="{E0E704E0-6B9E-4960-9E5A-E0903375F29C}"/>
    <cellStyle name="Comma 3 3 3 2 2 6 2" xfId="23802" xr:uid="{0CF16AE3-734B-4E1E-BB7C-8194EC7A45DC}"/>
    <cellStyle name="Comma 3 3 3 2 2 6 2 2" xfId="54042" xr:uid="{75EF04D0-7CD9-4820-8A2F-C662B0523162}"/>
    <cellStyle name="Comma 3 3 3 2 2 6 3" xfId="38922" xr:uid="{027DEAEF-5B3E-4A33-BE5F-D3177AE03C57}"/>
    <cellStyle name="Comma 3 3 3 2 2 7" xfId="10194" xr:uid="{1CEF1F62-6172-4DC1-ACF5-7DA8FCCED47F}"/>
    <cellStyle name="Comma 3 3 3 2 2 7 2" xfId="25314" xr:uid="{87250142-4413-417C-922B-14AEA2937957}"/>
    <cellStyle name="Comma 3 3 3 2 2 7 2 2" xfId="55554" xr:uid="{2CD705BE-E27E-4830-A496-1E6944293C00}"/>
    <cellStyle name="Comma 3 3 3 2 2 7 3" xfId="40434" xr:uid="{5E6AA34B-63F5-4332-A07B-DE8464A15FC8}"/>
    <cellStyle name="Comma 3 3 3 2 2 8" xfId="16242" xr:uid="{4CF08E66-55A9-4059-8990-F2CE6190FA64}"/>
    <cellStyle name="Comma 3 3 3 2 2 8 2" xfId="46482" xr:uid="{F279CFD7-EB84-43BE-BA93-21701B487239}"/>
    <cellStyle name="Comma 3 3 3 2 2 9" xfId="31362" xr:uid="{9DB71EFC-992B-45CB-B363-DF9F24CF5861}"/>
    <cellStyle name="Comma 3 3 3 2 3" xfId="1878" xr:uid="{8D42F357-AFDF-45CA-B195-C9C957218B21}"/>
    <cellStyle name="Comma 3 3 3 2 3 2" xfId="10950" xr:uid="{D130431A-B1FF-401F-A2AB-496822B3AF62}"/>
    <cellStyle name="Comma 3 3 3 2 3 2 2" xfId="26070" xr:uid="{32415101-41EB-461B-BDA9-5DFEB27165C5}"/>
    <cellStyle name="Comma 3 3 3 2 3 2 2 2" xfId="56310" xr:uid="{C7B2350C-0EDF-41D4-AF1D-74DE9168CC83}"/>
    <cellStyle name="Comma 3 3 3 2 3 2 3" xfId="41190" xr:uid="{CCAE3687-1DD7-4F05-BEBB-AA04A78EF5D7}"/>
    <cellStyle name="Comma 3 3 3 2 3 3" xfId="16998" xr:uid="{F8F3C491-B127-483F-B0DE-C073441E8E14}"/>
    <cellStyle name="Comma 3 3 3 2 3 3 2" xfId="47238" xr:uid="{4226CD3B-0CEC-4CF9-A6D3-81676AC180B8}"/>
    <cellStyle name="Comma 3 3 3 2 3 4" xfId="32118" xr:uid="{F213C887-5D09-48E5-AFA7-9698E0FDCC7C}"/>
    <cellStyle name="Comma 3 3 3 2 4" xfId="3390" xr:uid="{D44389DB-499E-4C1B-A4B3-38F9672AACFC}"/>
    <cellStyle name="Comma 3 3 3 2 4 2" xfId="12462" xr:uid="{788B42BA-B199-44DD-A16D-6292A2F51CAD}"/>
    <cellStyle name="Comma 3 3 3 2 4 2 2" xfId="27582" xr:uid="{12FC50EA-9D18-47AC-BD20-6A29903D0B7A}"/>
    <cellStyle name="Comma 3 3 3 2 4 2 2 2" xfId="57822" xr:uid="{634BDBFC-4F4E-4F8F-9512-A31F02A3C64B}"/>
    <cellStyle name="Comma 3 3 3 2 4 2 3" xfId="42702" xr:uid="{83CE238C-6AF4-4BF9-82A8-7521FC7AFCBA}"/>
    <cellStyle name="Comma 3 3 3 2 4 3" xfId="18510" xr:uid="{87A8598B-D1B6-446E-8332-BF7C786BADA5}"/>
    <cellStyle name="Comma 3 3 3 2 4 3 2" xfId="48750" xr:uid="{13362A19-5358-4676-AD55-1E67FED9859C}"/>
    <cellStyle name="Comma 3 3 3 2 4 4" xfId="33630" xr:uid="{4A0DDBD8-F2DA-4954-9146-32C90B0054F6}"/>
    <cellStyle name="Comma 3 3 3 2 5" xfId="4902" xr:uid="{515A313C-95EC-4A6B-B318-4F9D380584EE}"/>
    <cellStyle name="Comma 3 3 3 2 5 2" xfId="13974" xr:uid="{2650CE1C-A35A-475E-B5D4-B1CBA196EEA7}"/>
    <cellStyle name="Comma 3 3 3 2 5 2 2" xfId="29094" xr:uid="{ACA0D11F-C3A4-4B2E-8436-42A6BF1C4EED}"/>
    <cellStyle name="Comma 3 3 3 2 5 2 2 2" xfId="59334" xr:uid="{D249A731-F1F5-42B3-ADE3-45E2C840BC3F}"/>
    <cellStyle name="Comma 3 3 3 2 5 2 3" xfId="44214" xr:uid="{AB780352-DDC7-435D-ABDB-790A549F9089}"/>
    <cellStyle name="Comma 3 3 3 2 5 3" xfId="20022" xr:uid="{BBE96BA5-6EE0-4731-A405-10A82F7FC487}"/>
    <cellStyle name="Comma 3 3 3 2 5 3 2" xfId="50262" xr:uid="{79E0552F-73A1-4A5D-AA8F-BA11A766BE14}"/>
    <cellStyle name="Comma 3 3 3 2 5 4" xfId="35142" xr:uid="{FB0B9833-7290-4A4D-BD01-1C87E93FE8B9}"/>
    <cellStyle name="Comma 3 3 3 2 6" xfId="6414" xr:uid="{C867C5E8-3484-4B55-B0F8-9A3067AEE4ED}"/>
    <cellStyle name="Comma 3 3 3 2 6 2" xfId="21534" xr:uid="{B5499184-AAA7-47DB-B1AC-BA1BA56EE15B}"/>
    <cellStyle name="Comma 3 3 3 2 6 2 2" xfId="51774" xr:uid="{A0CE23B8-BEEE-41D2-AEA7-98BBF89BEF56}"/>
    <cellStyle name="Comma 3 3 3 2 6 3" xfId="36654" xr:uid="{EA6E1672-95DF-461E-BAFA-00F374DF1BB3}"/>
    <cellStyle name="Comma 3 3 3 2 7" xfId="7926" xr:uid="{6377A73F-8486-4C54-9E70-1E3DDA2C239E}"/>
    <cellStyle name="Comma 3 3 3 2 7 2" xfId="23046" xr:uid="{2ADD5E76-C122-4BAF-9688-19C2E58CD5CA}"/>
    <cellStyle name="Comma 3 3 3 2 7 2 2" xfId="53286" xr:uid="{AF354EF1-DB11-459D-905B-CE419CAEEF7F}"/>
    <cellStyle name="Comma 3 3 3 2 7 3" xfId="38166" xr:uid="{D4019C51-A93D-43D0-94E3-2C4FDBE5850B}"/>
    <cellStyle name="Comma 3 3 3 2 8" xfId="9438" xr:uid="{A071EFCD-7804-497B-82A9-A948DB6ED484}"/>
    <cellStyle name="Comma 3 3 3 2 8 2" xfId="24558" xr:uid="{046C50AE-308D-4980-BCF8-4947A5F9856B}"/>
    <cellStyle name="Comma 3 3 3 2 8 2 2" xfId="54798" xr:uid="{55CC126A-D27B-4978-B6EB-720182F10952}"/>
    <cellStyle name="Comma 3 3 3 2 8 3" xfId="39678" xr:uid="{DEA55047-88A4-4B12-9ABD-196B2FAA11E3}"/>
    <cellStyle name="Comma 3 3 3 2 9" xfId="15486" xr:uid="{6ED34DB2-724A-4A31-9BA8-D1BA874C52BB}"/>
    <cellStyle name="Comma 3 3 3 2 9 2" xfId="45726" xr:uid="{AADC921E-4E8F-4721-ADCA-18352E412E40}"/>
    <cellStyle name="Comma 3 3 3 3" xfId="618" xr:uid="{2B86F4CF-D4C8-491B-92A3-75811EEF6D80}"/>
    <cellStyle name="Comma 3 3 3 3 10" xfId="30858" xr:uid="{39C42895-E65B-438D-AEF9-B1AB79AA6935}"/>
    <cellStyle name="Comma 3 3 3 3 2" xfId="1374" xr:uid="{FAAA9542-6E3B-4F67-ABDF-9B4EA9917D01}"/>
    <cellStyle name="Comma 3 3 3 3 2 2" xfId="2886" xr:uid="{5EE2E0B4-8148-4AAE-AC55-BACA046E80A0}"/>
    <cellStyle name="Comma 3 3 3 3 2 2 2" xfId="11958" xr:uid="{FA3EF817-BA24-4884-846B-C0AC9E136BF2}"/>
    <cellStyle name="Comma 3 3 3 3 2 2 2 2" xfId="27078" xr:uid="{93FD62E5-04DF-43B7-86C1-44F180A3F1B2}"/>
    <cellStyle name="Comma 3 3 3 3 2 2 2 2 2" xfId="57318" xr:uid="{3C8C9E65-98DE-4870-AD2A-E3557826B3B9}"/>
    <cellStyle name="Comma 3 3 3 3 2 2 2 3" xfId="42198" xr:uid="{007411CA-DEEC-4610-A93A-511C96AAB81B}"/>
    <cellStyle name="Comma 3 3 3 3 2 2 3" xfId="18006" xr:uid="{4813715A-A3F8-4E9A-814D-F18DFD342B71}"/>
    <cellStyle name="Comma 3 3 3 3 2 2 3 2" xfId="48246" xr:uid="{7FB62BAD-976A-420B-90B9-031E59B744B1}"/>
    <cellStyle name="Comma 3 3 3 3 2 2 4" xfId="33126" xr:uid="{CD008345-E006-497C-A905-7F123F106FF5}"/>
    <cellStyle name="Comma 3 3 3 3 2 3" xfId="4398" xr:uid="{54F31954-1CFF-4C3F-9051-759EA44164D6}"/>
    <cellStyle name="Comma 3 3 3 3 2 3 2" xfId="13470" xr:uid="{8433D16F-8585-4515-A9D5-8D1AFE59A1F6}"/>
    <cellStyle name="Comma 3 3 3 3 2 3 2 2" xfId="28590" xr:uid="{90A0FE2D-8722-4FBA-A4D4-89F1D6311118}"/>
    <cellStyle name="Comma 3 3 3 3 2 3 2 2 2" xfId="58830" xr:uid="{75C18709-3FEE-43AB-947F-D6387021D94B}"/>
    <cellStyle name="Comma 3 3 3 3 2 3 2 3" xfId="43710" xr:uid="{CC3704A7-B625-41FA-AD87-2F8F696EC498}"/>
    <cellStyle name="Comma 3 3 3 3 2 3 3" xfId="19518" xr:uid="{FC4A7470-82D2-4D2E-8F01-15842D3A977F}"/>
    <cellStyle name="Comma 3 3 3 3 2 3 3 2" xfId="49758" xr:uid="{2FF73CC6-705C-4127-ABC0-5985E6F74DC3}"/>
    <cellStyle name="Comma 3 3 3 3 2 3 4" xfId="34638" xr:uid="{0A9015F0-FE83-4A29-B884-AE158867D6E7}"/>
    <cellStyle name="Comma 3 3 3 3 2 4" xfId="5910" xr:uid="{A89D9AA0-EA1F-4DD4-89C9-E9E0DD1699EA}"/>
    <cellStyle name="Comma 3 3 3 3 2 4 2" xfId="14982" xr:uid="{4607B7C9-1194-4364-9BAA-22949383454E}"/>
    <cellStyle name="Comma 3 3 3 3 2 4 2 2" xfId="30102" xr:uid="{58C5809F-C2E7-4156-988A-9CDC06A9677F}"/>
    <cellStyle name="Comma 3 3 3 3 2 4 2 2 2" xfId="60342" xr:uid="{16AC5612-D0C1-45C8-B3AA-3482C92FA1F9}"/>
    <cellStyle name="Comma 3 3 3 3 2 4 2 3" xfId="45222" xr:uid="{CBC4C2C8-65C1-4536-B685-124D069E6BD8}"/>
    <cellStyle name="Comma 3 3 3 3 2 4 3" xfId="21030" xr:uid="{E8636EF2-F3B0-469D-B327-512E2A36DD2A}"/>
    <cellStyle name="Comma 3 3 3 3 2 4 3 2" xfId="51270" xr:uid="{BE3A6619-7AA4-48B9-8A5D-575B832F1C1F}"/>
    <cellStyle name="Comma 3 3 3 3 2 4 4" xfId="36150" xr:uid="{32E53F4A-01AD-46E7-A16B-BE624499732C}"/>
    <cellStyle name="Comma 3 3 3 3 2 5" xfId="7422" xr:uid="{ADDECE2F-7D6F-4135-86AE-07DD20FFD352}"/>
    <cellStyle name="Comma 3 3 3 3 2 5 2" xfId="22542" xr:uid="{19403A8B-5C85-4597-92A4-E1059F9EF479}"/>
    <cellStyle name="Comma 3 3 3 3 2 5 2 2" xfId="52782" xr:uid="{6EA1A878-9D04-406D-BD74-E64CFDF6F3FA}"/>
    <cellStyle name="Comma 3 3 3 3 2 5 3" xfId="37662" xr:uid="{6A0F7123-5D8E-47D2-92D8-E06AE3F6E54A}"/>
    <cellStyle name="Comma 3 3 3 3 2 6" xfId="8934" xr:uid="{F4238D7D-6D0C-4B08-B404-9DB2291632C1}"/>
    <cellStyle name="Comma 3 3 3 3 2 6 2" xfId="24054" xr:uid="{7B5F1681-BE5E-4EE3-921F-839E55A9EB8C}"/>
    <cellStyle name="Comma 3 3 3 3 2 6 2 2" xfId="54294" xr:uid="{CA88152D-3BC3-4C1C-B895-1EEA4638D2B9}"/>
    <cellStyle name="Comma 3 3 3 3 2 6 3" xfId="39174" xr:uid="{C53D5692-2CC5-42CB-A6AC-E8DCBDC278AD}"/>
    <cellStyle name="Comma 3 3 3 3 2 7" xfId="10446" xr:uid="{E0F84A91-0855-4ACF-9B86-5ECE49363C1D}"/>
    <cellStyle name="Comma 3 3 3 3 2 7 2" xfId="25566" xr:uid="{70CE5752-0929-48D1-99EB-9EB3EA59AFC0}"/>
    <cellStyle name="Comma 3 3 3 3 2 7 2 2" xfId="55806" xr:uid="{936D0A6E-2051-4F15-A5A7-4D4761853D1F}"/>
    <cellStyle name="Comma 3 3 3 3 2 7 3" xfId="40686" xr:uid="{21D4C26F-D0DA-46C9-8893-629E802ADD04}"/>
    <cellStyle name="Comma 3 3 3 3 2 8" xfId="16494" xr:uid="{6499D964-E9D8-41AD-9C70-8063FF63EE4F}"/>
    <cellStyle name="Comma 3 3 3 3 2 8 2" xfId="46734" xr:uid="{06AAAA19-5E80-400D-BB2E-937480FAA282}"/>
    <cellStyle name="Comma 3 3 3 3 2 9" xfId="31614" xr:uid="{B71C5503-F9B7-4825-AE7A-AB1A00710B1C}"/>
    <cellStyle name="Comma 3 3 3 3 3" xfId="2130" xr:uid="{CD0D7583-9C62-42DD-89A9-1404AAAE05A5}"/>
    <cellStyle name="Comma 3 3 3 3 3 2" xfId="11202" xr:uid="{F949C9D1-4B44-4C74-91C0-48C4EBE378E2}"/>
    <cellStyle name="Comma 3 3 3 3 3 2 2" xfId="26322" xr:uid="{1B567E50-A20C-434B-80E4-80EBC4571E36}"/>
    <cellStyle name="Comma 3 3 3 3 3 2 2 2" xfId="56562" xr:uid="{86E50C2A-69EB-42DF-BF3C-C60E4317CCFD}"/>
    <cellStyle name="Comma 3 3 3 3 3 2 3" xfId="41442" xr:uid="{6C4D6D47-5EDC-4664-B48D-330CF7CC44FF}"/>
    <cellStyle name="Comma 3 3 3 3 3 3" xfId="17250" xr:uid="{3E4C405D-04B4-44AA-ABF9-DDB434C242DA}"/>
    <cellStyle name="Comma 3 3 3 3 3 3 2" xfId="47490" xr:uid="{314108A6-BFCF-4F89-8C82-C67F18D00A99}"/>
    <cellStyle name="Comma 3 3 3 3 3 4" xfId="32370" xr:uid="{BDD59DB3-6254-4D72-ABA4-AE9E68E00CD4}"/>
    <cellStyle name="Comma 3 3 3 3 4" xfId="3642" xr:uid="{C43345E3-2431-4F80-8A58-260A9ED977AC}"/>
    <cellStyle name="Comma 3 3 3 3 4 2" xfId="12714" xr:uid="{63DC886B-1A2F-42BB-B6D1-C399C5941508}"/>
    <cellStyle name="Comma 3 3 3 3 4 2 2" xfId="27834" xr:uid="{8CB10A57-EC74-46CD-978A-62CD9F50BD25}"/>
    <cellStyle name="Comma 3 3 3 3 4 2 2 2" xfId="58074" xr:uid="{DF7C3209-792B-4FF9-9C32-049CE1270CF4}"/>
    <cellStyle name="Comma 3 3 3 3 4 2 3" xfId="42954" xr:uid="{33132D99-1DE4-4A15-A921-B953D9DF8AC0}"/>
    <cellStyle name="Comma 3 3 3 3 4 3" xfId="18762" xr:uid="{2E63722A-A768-40AA-9042-800731F8ED5A}"/>
    <cellStyle name="Comma 3 3 3 3 4 3 2" xfId="49002" xr:uid="{CD884AE0-0B87-49B1-981A-A153962BB8C9}"/>
    <cellStyle name="Comma 3 3 3 3 4 4" xfId="33882" xr:uid="{A4800476-4786-4727-84F4-C5A3C835FC73}"/>
    <cellStyle name="Comma 3 3 3 3 5" xfId="5154" xr:uid="{EB0C3B65-EFB3-4406-95F5-3BF57A3FDA31}"/>
    <cellStyle name="Comma 3 3 3 3 5 2" xfId="14226" xr:uid="{F5097B2A-B52C-47A6-95C3-477977E8631D}"/>
    <cellStyle name="Comma 3 3 3 3 5 2 2" xfId="29346" xr:uid="{A1320083-4D2A-454C-BC08-769ED4F03A18}"/>
    <cellStyle name="Comma 3 3 3 3 5 2 2 2" xfId="59586" xr:uid="{ADA79D80-0642-4D9B-ABA4-6CB07614A848}"/>
    <cellStyle name="Comma 3 3 3 3 5 2 3" xfId="44466" xr:uid="{A8E96BEE-3985-480F-A74A-57CDB27E87BF}"/>
    <cellStyle name="Comma 3 3 3 3 5 3" xfId="20274" xr:uid="{8A6B8393-1E69-44BD-874E-684F035A88ED}"/>
    <cellStyle name="Comma 3 3 3 3 5 3 2" xfId="50514" xr:uid="{E231DFD5-28D4-4202-8FC8-D2934B379750}"/>
    <cellStyle name="Comma 3 3 3 3 5 4" xfId="35394" xr:uid="{92B5AA4E-9C12-4FC6-B5C1-06C084E62622}"/>
    <cellStyle name="Comma 3 3 3 3 6" xfId="6666" xr:uid="{F71759BB-BFF1-448B-AD1D-169D365A00BD}"/>
    <cellStyle name="Comma 3 3 3 3 6 2" xfId="21786" xr:uid="{2B33CFAC-6878-4348-81A3-EC1EABAEA952}"/>
    <cellStyle name="Comma 3 3 3 3 6 2 2" xfId="52026" xr:uid="{871E064D-FD18-426F-8B54-6EC0F9EAA973}"/>
    <cellStyle name="Comma 3 3 3 3 6 3" xfId="36906" xr:uid="{BB3AC9A2-941C-44C0-BFE8-3C4DA39A3484}"/>
    <cellStyle name="Comma 3 3 3 3 7" xfId="8178" xr:uid="{A2E4BA3E-D4D6-4FE6-BCF6-A44FE13507FA}"/>
    <cellStyle name="Comma 3 3 3 3 7 2" xfId="23298" xr:uid="{FD41EF20-368F-4367-86FA-E8AFE52EDA3D}"/>
    <cellStyle name="Comma 3 3 3 3 7 2 2" xfId="53538" xr:uid="{13ED2C8E-9132-4FA4-B04C-801D8180DE9E}"/>
    <cellStyle name="Comma 3 3 3 3 7 3" xfId="38418" xr:uid="{3B386654-1AFD-4570-9B6D-787F4565DF11}"/>
    <cellStyle name="Comma 3 3 3 3 8" xfId="9690" xr:uid="{C89981F9-19B0-4E2A-9AF2-8355AA769898}"/>
    <cellStyle name="Comma 3 3 3 3 8 2" xfId="24810" xr:uid="{59670440-C24F-48AC-B9B0-2D8662415FB0}"/>
    <cellStyle name="Comma 3 3 3 3 8 2 2" xfId="55050" xr:uid="{4E398996-F476-4649-B976-6A58B6818D2A}"/>
    <cellStyle name="Comma 3 3 3 3 8 3" xfId="39930" xr:uid="{E5CD928B-DFE5-469B-966F-BCEE1597EC19}"/>
    <cellStyle name="Comma 3 3 3 3 9" xfId="15738" xr:uid="{A22BFE85-A726-4A75-A9BF-D73C678A1B63}"/>
    <cellStyle name="Comma 3 3 3 3 9 2" xfId="45978" xr:uid="{A4E96EFA-B2F2-4C2C-BB4B-019329CAD8B8}"/>
    <cellStyle name="Comma 3 3 3 4" xfId="870" xr:uid="{9711D9C5-CCA7-420A-AE3C-245EEB006A57}"/>
    <cellStyle name="Comma 3 3 3 4 2" xfId="2382" xr:uid="{AD2FD087-6CE8-4431-99B2-649B86C7A1B1}"/>
    <cellStyle name="Comma 3 3 3 4 2 2" xfId="11454" xr:uid="{49D559A6-04B0-4C77-A04A-974DE83FC109}"/>
    <cellStyle name="Comma 3 3 3 4 2 2 2" xfId="26574" xr:uid="{02597514-5096-4FB0-AAFD-D3757EB3E538}"/>
    <cellStyle name="Comma 3 3 3 4 2 2 2 2" xfId="56814" xr:uid="{4E236568-F285-403D-8739-959F3388FBF3}"/>
    <cellStyle name="Comma 3 3 3 4 2 2 3" xfId="41694" xr:uid="{55DD415D-9ED4-428E-B357-565D657339E2}"/>
    <cellStyle name="Comma 3 3 3 4 2 3" xfId="17502" xr:uid="{359053EA-F825-4DCA-BD76-C924B69D2A1B}"/>
    <cellStyle name="Comma 3 3 3 4 2 3 2" xfId="47742" xr:uid="{78B2BCBE-3A35-41EC-9894-B0314906B6E2}"/>
    <cellStyle name="Comma 3 3 3 4 2 4" xfId="32622" xr:uid="{9E5A724A-22D0-4949-8334-CEF920832D3D}"/>
    <cellStyle name="Comma 3 3 3 4 3" xfId="3894" xr:uid="{33A5AF20-7913-455A-AB6A-A60FD6E9A07F}"/>
    <cellStyle name="Comma 3 3 3 4 3 2" xfId="12966" xr:uid="{C539EA5F-47BE-492C-94E9-43BF13187FB7}"/>
    <cellStyle name="Comma 3 3 3 4 3 2 2" xfId="28086" xr:uid="{5F7A4783-4449-409F-BE6F-D3DCB67979F4}"/>
    <cellStyle name="Comma 3 3 3 4 3 2 2 2" xfId="58326" xr:uid="{296A7AFF-8C49-4E37-9C38-588962F68B1C}"/>
    <cellStyle name="Comma 3 3 3 4 3 2 3" xfId="43206" xr:uid="{3527A8E3-4F4E-47C8-AE1D-1C6763BB627C}"/>
    <cellStyle name="Comma 3 3 3 4 3 3" xfId="19014" xr:uid="{C15A87B2-7C18-489A-B659-80A6F349B2CB}"/>
    <cellStyle name="Comma 3 3 3 4 3 3 2" xfId="49254" xr:uid="{40C85AEF-B67A-4525-BEC8-CDF0DC64A825}"/>
    <cellStyle name="Comma 3 3 3 4 3 4" xfId="34134" xr:uid="{124A3D0D-89AF-4B87-8A6E-F0DAF4C3968B}"/>
    <cellStyle name="Comma 3 3 3 4 4" xfId="5406" xr:uid="{58CFE988-427E-4FA8-A613-B0E30F7D7D94}"/>
    <cellStyle name="Comma 3 3 3 4 4 2" xfId="14478" xr:uid="{FB5BC1FE-4751-4CB6-9FF0-FBA442DB32E7}"/>
    <cellStyle name="Comma 3 3 3 4 4 2 2" xfId="29598" xr:uid="{D1F4A864-22EC-42C6-84FA-EADB7AF1891E}"/>
    <cellStyle name="Comma 3 3 3 4 4 2 2 2" xfId="59838" xr:uid="{A5D56EE4-8D9D-4E1F-B62A-D430ACBFBA5B}"/>
    <cellStyle name="Comma 3 3 3 4 4 2 3" xfId="44718" xr:uid="{883A7E3B-EDB7-4CF9-9E90-C8C39CA73346}"/>
    <cellStyle name="Comma 3 3 3 4 4 3" xfId="20526" xr:uid="{98DC7EA1-D866-45D0-B8D3-C8F45BB94112}"/>
    <cellStyle name="Comma 3 3 3 4 4 3 2" xfId="50766" xr:uid="{0999F5A2-6E7D-483A-BE04-A7B9DD7076D0}"/>
    <cellStyle name="Comma 3 3 3 4 4 4" xfId="35646" xr:uid="{1EA68B7D-63E4-438A-B947-CDC473D0E5AD}"/>
    <cellStyle name="Comma 3 3 3 4 5" xfId="6918" xr:uid="{FAF1D3E8-3CC6-48C9-8E4E-E90E9C0AB6D7}"/>
    <cellStyle name="Comma 3 3 3 4 5 2" xfId="22038" xr:uid="{EA17958C-E56D-4CEA-AAB2-F6A9FFF8C583}"/>
    <cellStyle name="Comma 3 3 3 4 5 2 2" xfId="52278" xr:uid="{AEB7C2B6-EA91-4846-A17C-2DC50F52BC15}"/>
    <cellStyle name="Comma 3 3 3 4 5 3" xfId="37158" xr:uid="{35D6F363-B2F6-40E2-872A-B17EE25AA77C}"/>
    <cellStyle name="Comma 3 3 3 4 6" xfId="8430" xr:uid="{ED79CB24-5E5A-46E5-9117-0266CCAE3634}"/>
    <cellStyle name="Comma 3 3 3 4 6 2" xfId="23550" xr:uid="{A1ECC021-C9F1-4943-9C66-51EAA25BE70D}"/>
    <cellStyle name="Comma 3 3 3 4 6 2 2" xfId="53790" xr:uid="{A9EB5BC9-CEC2-4B20-9FDD-2B41438CB13B}"/>
    <cellStyle name="Comma 3 3 3 4 6 3" xfId="38670" xr:uid="{131B4205-EA8A-41FA-BB57-95E98FA834E6}"/>
    <cellStyle name="Comma 3 3 3 4 7" xfId="9942" xr:uid="{207BB323-A842-4441-87CC-D8D81F3F34D5}"/>
    <cellStyle name="Comma 3 3 3 4 7 2" xfId="25062" xr:uid="{586DFD6B-EBDA-40BA-AABF-0D1469C2C719}"/>
    <cellStyle name="Comma 3 3 3 4 7 2 2" xfId="55302" xr:uid="{FC40DDBF-99B2-44E5-B9EB-551E06483DD5}"/>
    <cellStyle name="Comma 3 3 3 4 7 3" xfId="40182" xr:uid="{B95C6944-30BC-4D53-9A52-E89DCF912B1C}"/>
    <cellStyle name="Comma 3 3 3 4 8" xfId="15990" xr:uid="{C73E709C-1090-4EFD-A75D-4898008E825D}"/>
    <cellStyle name="Comma 3 3 3 4 8 2" xfId="46230" xr:uid="{297CCF51-856E-4890-900A-A84722B9C58B}"/>
    <cellStyle name="Comma 3 3 3 4 9" xfId="31110" xr:uid="{A233C597-1721-4E5A-A0E6-8CF38F387D37}"/>
    <cellStyle name="Comma 3 3 3 5" xfId="1626" xr:uid="{D82742F0-05FA-422B-8748-25AD7972C955}"/>
    <cellStyle name="Comma 3 3 3 5 2" xfId="10698" xr:uid="{5DB65554-22BC-474F-9152-C5049384EB05}"/>
    <cellStyle name="Comma 3 3 3 5 2 2" xfId="25818" xr:uid="{E586F7BC-21FC-413D-84D5-8F5B7663B750}"/>
    <cellStyle name="Comma 3 3 3 5 2 2 2" xfId="56058" xr:uid="{A1702F19-45C8-46EB-8A2D-43BAC44B5A54}"/>
    <cellStyle name="Comma 3 3 3 5 2 3" xfId="40938" xr:uid="{20CE0791-1A92-44FA-A0F7-871380772077}"/>
    <cellStyle name="Comma 3 3 3 5 3" xfId="16746" xr:uid="{F4BA5B7C-C28B-4EDE-A876-09002DE4DE58}"/>
    <cellStyle name="Comma 3 3 3 5 3 2" xfId="46986" xr:uid="{28EB93C2-A545-45FC-9D3F-84A01FCFBF01}"/>
    <cellStyle name="Comma 3 3 3 5 4" xfId="31866" xr:uid="{1C9ACD01-48A2-41D5-9048-8F5837ED3D04}"/>
    <cellStyle name="Comma 3 3 3 6" xfId="3138" xr:uid="{6BA73A2F-93D2-4F68-82D4-A3CE1B3714B5}"/>
    <cellStyle name="Comma 3 3 3 6 2" xfId="12210" xr:uid="{D8E803BC-BD0D-49A1-90BF-D4053A67130D}"/>
    <cellStyle name="Comma 3 3 3 6 2 2" xfId="27330" xr:uid="{6F9CB880-ABB9-4B73-8926-A71B6C864042}"/>
    <cellStyle name="Comma 3 3 3 6 2 2 2" xfId="57570" xr:uid="{7D42A373-D5BF-4649-81C8-50E40B2208D3}"/>
    <cellStyle name="Comma 3 3 3 6 2 3" xfId="42450" xr:uid="{E4885046-2E2A-4756-A774-38F7BDBA5FAF}"/>
    <cellStyle name="Comma 3 3 3 6 3" xfId="18258" xr:uid="{68B0F8FB-CB88-4892-A5C5-65E2C4A266B0}"/>
    <cellStyle name="Comma 3 3 3 6 3 2" xfId="48498" xr:uid="{F0D97E98-BE1B-44B9-9C00-97991E85DCB9}"/>
    <cellStyle name="Comma 3 3 3 6 4" xfId="33378" xr:uid="{7CBBB01E-B3B8-4C3F-8C2A-9B29E094C63B}"/>
    <cellStyle name="Comma 3 3 3 7" xfId="4650" xr:uid="{66051E57-8CF2-4F2D-ADFB-5D5998E17FA3}"/>
    <cellStyle name="Comma 3 3 3 7 2" xfId="13722" xr:uid="{0C070E7D-6E52-421F-B6F4-803D0DD2A491}"/>
    <cellStyle name="Comma 3 3 3 7 2 2" xfId="28842" xr:uid="{072D791F-7110-4E33-8D77-63D32F398585}"/>
    <cellStyle name="Comma 3 3 3 7 2 2 2" xfId="59082" xr:uid="{CA86BC38-D54E-4905-9F7C-CCF753776762}"/>
    <cellStyle name="Comma 3 3 3 7 2 3" xfId="43962" xr:uid="{B9DD4889-95F6-4F49-83EB-51669E5190C2}"/>
    <cellStyle name="Comma 3 3 3 7 3" xfId="19770" xr:uid="{34A58A32-5DAE-4119-9227-49993DD0EF15}"/>
    <cellStyle name="Comma 3 3 3 7 3 2" xfId="50010" xr:uid="{0F7006BB-ED55-4D95-83FF-CC60150C5993}"/>
    <cellStyle name="Comma 3 3 3 7 4" xfId="34890" xr:uid="{CFF5173C-12F3-4E78-8EAC-1CDBB9E25C87}"/>
    <cellStyle name="Comma 3 3 3 8" xfId="6162" xr:uid="{354C2993-4A52-4850-9491-382310CA9C4E}"/>
    <cellStyle name="Comma 3 3 3 8 2" xfId="21282" xr:uid="{404BA7B9-30CA-4149-9898-C4614414B9CA}"/>
    <cellStyle name="Comma 3 3 3 8 2 2" xfId="51522" xr:uid="{A72F7417-08E2-45BA-9D65-0CB7C4D42287}"/>
    <cellStyle name="Comma 3 3 3 8 3" xfId="36402" xr:uid="{14DA7B14-2F59-440B-B6EB-DA542B3F1789}"/>
    <cellStyle name="Comma 3 3 3 9" xfId="7674" xr:uid="{A6B585DC-9BC6-458C-AEEE-BAF7C699EF05}"/>
    <cellStyle name="Comma 3 3 3 9 2" xfId="22794" xr:uid="{62E1F247-7D99-4863-BCEF-9C2884A10DB5}"/>
    <cellStyle name="Comma 3 3 3 9 2 2" xfId="53034" xr:uid="{C0BE1C3B-10B6-41B4-911D-EE33BA8103B0}"/>
    <cellStyle name="Comma 3 3 3 9 3" xfId="37914" xr:uid="{FF082E46-1C79-4A60-B48B-9D880C49B7CB}"/>
    <cellStyle name="Comma 3 3 4" xfId="198" xr:uid="{0213AAD5-7558-4F0F-83A8-3019C45391D2}"/>
    <cellStyle name="Comma 3 3 4 10" xfId="9270" xr:uid="{DDD78FFB-E595-4CAC-81AE-51AB845E8141}"/>
    <cellStyle name="Comma 3 3 4 10 2" xfId="24390" xr:uid="{2C31B194-9F8F-4DAA-8F87-5F47B7D345E3}"/>
    <cellStyle name="Comma 3 3 4 10 2 2" xfId="54630" xr:uid="{DA0C70B9-3DFC-4412-8EBB-A18D339B5406}"/>
    <cellStyle name="Comma 3 3 4 10 3" xfId="39510" xr:uid="{BAF2A988-86B4-454B-9213-36083ACD4D85}"/>
    <cellStyle name="Comma 3 3 4 11" xfId="15318" xr:uid="{B1C88F5C-1090-4971-8FEB-0293D5BADC31}"/>
    <cellStyle name="Comma 3 3 4 11 2" xfId="45558" xr:uid="{2B6D9F2A-0584-462E-9219-18A0350EABD4}"/>
    <cellStyle name="Comma 3 3 4 12" xfId="30438" xr:uid="{2CB60789-734D-42AB-B62C-C9E52CEBF93E}"/>
    <cellStyle name="Comma 3 3 4 2" xfId="450" xr:uid="{CE70B0B7-5EB7-464E-B8C0-5D2513D86928}"/>
    <cellStyle name="Comma 3 3 4 2 10" xfId="30690" xr:uid="{B2E6B642-DB20-4B92-8EBA-51A734FF0182}"/>
    <cellStyle name="Comma 3 3 4 2 2" xfId="1206" xr:uid="{48D3D133-0600-4703-8A65-7CF7E5B66C31}"/>
    <cellStyle name="Comma 3 3 4 2 2 2" xfId="2718" xr:uid="{32ED0488-D8CB-47AA-904F-06EBDFA4985E}"/>
    <cellStyle name="Comma 3 3 4 2 2 2 2" xfId="11790" xr:uid="{5A247023-729B-4F07-A929-BF851CAFABEA}"/>
    <cellStyle name="Comma 3 3 4 2 2 2 2 2" xfId="26910" xr:uid="{23B77A20-E203-4C3D-A6AB-765C0E3BE12A}"/>
    <cellStyle name="Comma 3 3 4 2 2 2 2 2 2" xfId="57150" xr:uid="{4591B062-BFE0-433A-9F55-04A9F9BB7D44}"/>
    <cellStyle name="Comma 3 3 4 2 2 2 2 3" xfId="42030" xr:uid="{C5A0AC64-1AA4-4E91-A81C-3B858CB43D65}"/>
    <cellStyle name="Comma 3 3 4 2 2 2 3" xfId="17838" xr:uid="{47E9FB0F-9C15-4F20-B642-DBCDBBE874E3}"/>
    <cellStyle name="Comma 3 3 4 2 2 2 3 2" xfId="48078" xr:uid="{B22A110D-53C1-4876-B528-20CE97E334B2}"/>
    <cellStyle name="Comma 3 3 4 2 2 2 4" xfId="32958" xr:uid="{5BB9B176-541E-44CD-9F88-713BC8938DF4}"/>
    <cellStyle name="Comma 3 3 4 2 2 3" xfId="4230" xr:uid="{02CCF9F5-D214-44A3-BC4F-17223C8C5A2A}"/>
    <cellStyle name="Comma 3 3 4 2 2 3 2" xfId="13302" xr:uid="{17505CFA-D055-4856-AEA3-23D706C30BD9}"/>
    <cellStyle name="Comma 3 3 4 2 2 3 2 2" xfId="28422" xr:uid="{839437D8-A347-4F00-8166-BA05BEBCEA66}"/>
    <cellStyle name="Comma 3 3 4 2 2 3 2 2 2" xfId="58662" xr:uid="{A06D2972-0E74-436C-B9A0-847BC1AC66BA}"/>
    <cellStyle name="Comma 3 3 4 2 2 3 2 3" xfId="43542" xr:uid="{2E765D69-A13D-4BE6-845E-40347DB69426}"/>
    <cellStyle name="Comma 3 3 4 2 2 3 3" xfId="19350" xr:uid="{F91B74EA-80A6-44AC-AB37-DFF3B58E7B31}"/>
    <cellStyle name="Comma 3 3 4 2 2 3 3 2" xfId="49590" xr:uid="{A45D2251-9F45-43BA-BBBB-F4ABDED2E370}"/>
    <cellStyle name="Comma 3 3 4 2 2 3 4" xfId="34470" xr:uid="{569A08F8-5206-4978-83F0-66E5AF718A34}"/>
    <cellStyle name="Comma 3 3 4 2 2 4" xfId="5742" xr:uid="{23F5ECE1-5CDD-4593-9A71-279DD2D1D0D6}"/>
    <cellStyle name="Comma 3 3 4 2 2 4 2" xfId="14814" xr:uid="{C781FBA4-9F20-436D-8C2F-C07CD2D101E5}"/>
    <cellStyle name="Comma 3 3 4 2 2 4 2 2" xfId="29934" xr:uid="{BA903319-BA72-48AE-982E-6852CB319376}"/>
    <cellStyle name="Comma 3 3 4 2 2 4 2 2 2" xfId="60174" xr:uid="{0B511990-2B33-40CD-B49D-D6F68F452579}"/>
    <cellStyle name="Comma 3 3 4 2 2 4 2 3" xfId="45054" xr:uid="{45FE835C-AB3C-442D-BC4F-9118B55C0955}"/>
    <cellStyle name="Comma 3 3 4 2 2 4 3" xfId="20862" xr:uid="{ECD87443-CE1D-4365-BA25-F9BEA388D40B}"/>
    <cellStyle name="Comma 3 3 4 2 2 4 3 2" xfId="51102" xr:uid="{DFA3380A-23B9-4AD3-8593-23BF9AB664A1}"/>
    <cellStyle name="Comma 3 3 4 2 2 4 4" xfId="35982" xr:uid="{ED8A4C19-CC28-4712-A6D9-5E44F0A85CDD}"/>
    <cellStyle name="Comma 3 3 4 2 2 5" xfId="7254" xr:uid="{B690EE04-F94B-4AF5-9BCC-C704938994C1}"/>
    <cellStyle name="Comma 3 3 4 2 2 5 2" xfId="22374" xr:uid="{A8AECC4B-53A0-4DFF-8C7E-4C38AA9E0BA2}"/>
    <cellStyle name="Comma 3 3 4 2 2 5 2 2" xfId="52614" xr:uid="{6CFA5CFA-3E16-4E6C-A6EA-19877E1C53F4}"/>
    <cellStyle name="Comma 3 3 4 2 2 5 3" xfId="37494" xr:uid="{811BB18A-5C91-4E09-AC38-6B0588211628}"/>
    <cellStyle name="Comma 3 3 4 2 2 6" xfId="8766" xr:uid="{F512897A-1AF4-46DE-8E85-A8C86A74E3C1}"/>
    <cellStyle name="Comma 3 3 4 2 2 6 2" xfId="23886" xr:uid="{771E87B6-207D-4DE4-809A-12344B16DE24}"/>
    <cellStyle name="Comma 3 3 4 2 2 6 2 2" xfId="54126" xr:uid="{69D30BFF-46DF-490F-BD13-66830EDB574D}"/>
    <cellStyle name="Comma 3 3 4 2 2 6 3" xfId="39006" xr:uid="{332B3525-E940-42FD-9835-9A42579FA187}"/>
    <cellStyle name="Comma 3 3 4 2 2 7" xfId="10278" xr:uid="{C1C0F66C-DC60-40B5-B55C-F93D9217A405}"/>
    <cellStyle name="Comma 3 3 4 2 2 7 2" xfId="25398" xr:uid="{7855E0A8-2CF3-4D04-83BE-82E03ADA5BE9}"/>
    <cellStyle name="Comma 3 3 4 2 2 7 2 2" xfId="55638" xr:uid="{2D21B4AE-CCD9-46F9-BCD2-A333199EF2E9}"/>
    <cellStyle name="Comma 3 3 4 2 2 7 3" xfId="40518" xr:uid="{8F4C2A47-DF2F-4FAB-9B7F-B96EEC514243}"/>
    <cellStyle name="Comma 3 3 4 2 2 8" xfId="16326" xr:uid="{AC02A893-E3BF-405B-B782-6FDFC5B60A9B}"/>
    <cellStyle name="Comma 3 3 4 2 2 8 2" xfId="46566" xr:uid="{2CF21ECA-70A5-42C4-8E4B-FB16D19DA6C0}"/>
    <cellStyle name="Comma 3 3 4 2 2 9" xfId="31446" xr:uid="{F0BB47BD-C81C-4F1B-92B7-D9374FDBB2CF}"/>
    <cellStyle name="Comma 3 3 4 2 3" xfId="1962" xr:uid="{4845E740-9B06-40C7-BF23-50DD7B85FC33}"/>
    <cellStyle name="Comma 3 3 4 2 3 2" xfId="11034" xr:uid="{35334CFF-E407-4884-AC82-D231DEE9429A}"/>
    <cellStyle name="Comma 3 3 4 2 3 2 2" xfId="26154" xr:uid="{433862C2-FE77-4BA9-95A0-768A3EFF37FF}"/>
    <cellStyle name="Comma 3 3 4 2 3 2 2 2" xfId="56394" xr:uid="{27681408-E99D-4719-815B-95B1F2649ECF}"/>
    <cellStyle name="Comma 3 3 4 2 3 2 3" xfId="41274" xr:uid="{0F385164-D777-478F-A8E9-C98ABCDDABCE}"/>
    <cellStyle name="Comma 3 3 4 2 3 3" xfId="17082" xr:uid="{58F420C3-0084-4CE2-ADC2-649299001C6F}"/>
    <cellStyle name="Comma 3 3 4 2 3 3 2" xfId="47322" xr:uid="{38F75BE4-4A87-461B-9384-51B7C50DD111}"/>
    <cellStyle name="Comma 3 3 4 2 3 4" xfId="32202" xr:uid="{57F664A1-E348-4C75-9E24-CF7D638A5FFF}"/>
    <cellStyle name="Comma 3 3 4 2 4" xfId="3474" xr:uid="{BA87C550-8CCF-4272-8F64-F4856E386D4E}"/>
    <cellStyle name="Comma 3 3 4 2 4 2" xfId="12546" xr:uid="{35DEB21A-402B-4B50-8A21-C9D797D9784C}"/>
    <cellStyle name="Comma 3 3 4 2 4 2 2" xfId="27666" xr:uid="{107C2B77-E5FF-436A-A60A-A5FC5F9170D3}"/>
    <cellStyle name="Comma 3 3 4 2 4 2 2 2" xfId="57906" xr:uid="{57F35D0D-7614-4350-BE9A-43F9FE9448D4}"/>
    <cellStyle name="Comma 3 3 4 2 4 2 3" xfId="42786" xr:uid="{58265B02-1405-4574-B06D-761663938800}"/>
    <cellStyle name="Comma 3 3 4 2 4 3" xfId="18594" xr:uid="{ACF1CB05-D1E7-4D57-A384-60DF85CA62BC}"/>
    <cellStyle name="Comma 3 3 4 2 4 3 2" xfId="48834" xr:uid="{5CB691BE-43AF-4669-B6B8-00D0B0412E3F}"/>
    <cellStyle name="Comma 3 3 4 2 4 4" xfId="33714" xr:uid="{4834821F-2065-47AD-A239-BE5793DEB846}"/>
    <cellStyle name="Comma 3 3 4 2 5" xfId="4986" xr:uid="{3361A87F-581C-48F3-B913-CBC300FC7329}"/>
    <cellStyle name="Comma 3 3 4 2 5 2" xfId="14058" xr:uid="{8AC29CDE-79A4-4411-AD20-D23406059C3C}"/>
    <cellStyle name="Comma 3 3 4 2 5 2 2" xfId="29178" xr:uid="{FA2665A8-71AA-4BA6-898F-6385FB6F4718}"/>
    <cellStyle name="Comma 3 3 4 2 5 2 2 2" xfId="59418" xr:uid="{855D51D3-56A5-4369-9757-68A757220A35}"/>
    <cellStyle name="Comma 3 3 4 2 5 2 3" xfId="44298" xr:uid="{8947D782-E6A2-4D07-8E5B-307C5ABAD7DE}"/>
    <cellStyle name="Comma 3 3 4 2 5 3" xfId="20106" xr:uid="{08F1D9D3-34B0-4408-A392-47A0485DE65A}"/>
    <cellStyle name="Comma 3 3 4 2 5 3 2" xfId="50346" xr:uid="{551E3160-F65D-4E0F-80AA-DD2DD26E6F84}"/>
    <cellStyle name="Comma 3 3 4 2 5 4" xfId="35226" xr:uid="{B6C1DC9A-4A96-48DC-A255-851E9C774DE6}"/>
    <cellStyle name="Comma 3 3 4 2 6" xfId="6498" xr:uid="{2D9B10B0-D44B-4EE3-AD32-C16E7350A34E}"/>
    <cellStyle name="Comma 3 3 4 2 6 2" xfId="21618" xr:uid="{7750A38B-6F28-400E-AD63-5C112AD41D5E}"/>
    <cellStyle name="Comma 3 3 4 2 6 2 2" xfId="51858" xr:uid="{6C0C9461-F204-4B4C-B7F4-781A850F6120}"/>
    <cellStyle name="Comma 3 3 4 2 6 3" xfId="36738" xr:uid="{86C06265-7144-4660-8526-3FDC99F726D0}"/>
    <cellStyle name="Comma 3 3 4 2 7" xfId="8010" xr:uid="{EE4B34CE-95F1-4A88-A38E-32B0A1D0029C}"/>
    <cellStyle name="Comma 3 3 4 2 7 2" xfId="23130" xr:uid="{29601F0B-DBEA-4B96-B17A-A46224ADA95E}"/>
    <cellStyle name="Comma 3 3 4 2 7 2 2" xfId="53370" xr:uid="{FFD40B34-78FB-4D14-848F-D64759713423}"/>
    <cellStyle name="Comma 3 3 4 2 7 3" xfId="38250" xr:uid="{04FFA054-AF11-4D0C-8518-91A12333F230}"/>
    <cellStyle name="Comma 3 3 4 2 8" xfId="9522" xr:uid="{FC298F38-35BA-41D6-AAC6-6B553312926E}"/>
    <cellStyle name="Comma 3 3 4 2 8 2" xfId="24642" xr:uid="{4B0014FE-9F1F-4625-A863-F29F98C75F96}"/>
    <cellStyle name="Comma 3 3 4 2 8 2 2" xfId="54882" xr:uid="{FF3B46E6-486C-47CC-A8CB-33AE5ED2FFA0}"/>
    <cellStyle name="Comma 3 3 4 2 8 3" xfId="39762" xr:uid="{E3313120-7D61-4CB9-BB07-3544ED38CF4E}"/>
    <cellStyle name="Comma 3 3 4 2 9" xfId="15570" xr:uid="{1754A9F8-6570-4F47-B005-016F536B8BC0}"/>
    <cellStyle name="Comma 3 3 4 2 9 2" xfId="45810" xr:uid="{8AA9B650-987F-44D0-AF4D-9CFA56299047}"/>
    <cellStyle name="Comma 3 3 4 3" xfId="702" xr:uid="{3D9C45B6-7616-437D-9E03-810E19569320}"/>
    <cellStyle name="Comma 3 3 4 3 10" xfId="30942" xr:uid="{408E7F9E-BA3D-4BE7-8417-E8BF716C4953}"/>
    <cellStyle name="Comma 3 3 4 3 2" xfId="1458" xr:uid="{210AF18F-87B2-4954-853D-FEA561B1F7CF}"/>
    <cellStyle name="Comma 3 3 4 3 2 2" xfId="2970" xr:uid="{B07334FE-58D8-4104-BCB7-4A585B5AA3BA}"/>
    <cellStyle name="Comma 3 3 4 3 2 2 2" xfId="12042" xr:uid="{6698F3DF-EB22-4C20-889D-34396384C2F1}"/>
    <cellStyle name="Comma 3 3 4 3 2 2 2 2" xfId="27162" xr:uid="{484FA7CC-5C74-4CE7-812A-365D561A81FD}"/>
    <cellStyle name="Comma 3 3 4 3 2 2 2 2 2" xfId="57402" xr:uid="{E4941CE5-376D-402C-B668-E46E641D3DF5}"/>
    <cellStyle name="Comma 3 3 4 3 2 2 2 3" xfId="42282" xr:uid="{46BA5F1A-91BC-4F0E-AECE-4C348146006C}"/>
    <cellStyle name="Comma 3 3 4 3 2 2 3" xfId="18090" xr:uid="{B0A8BC6C-B1B3-4AF7-B0CC-4E38C6CE6EA0}"/>
    <cellStyle name="Comma 3 3 4 3 2 2 3 2" xfId="48330" xr:uid="{381DEF03-067D-4C5E-AE75-45E0FA701B6E}"/>
    <cellStyle name="Comma 3 3 4 3 2 2 4" xfId="33210" xr:uid="{DE82FB36-6A5F-49CB-B02E-2D28F909BEBA}"/>
    <cellStyle name="Comma 3 3 4 3 2 3" xfId="4482" xr:uid="{72A2BB5E-0EBD-4261-AF9D-F7FE15A8C7F6}"/>
    <cellStyle name="Comma 3 3 4 3 2 3 2" xfId="13554" xr:uid="{1C34F075-03E1-481C-AD97-7E8EDFCFCA85}"/>
    <cellStyle name="Comma 3 3 4 3 2 3 2 2" xfId="28674" xr:uid="{6293E197-DE49-40DD-AF4A-97286D675A03}"/>
    <cellStyle name="Comma 3 3 4 3 2 3 2 2 2" xfId="58914" xr:uid="{73D402CB-9F14-4494-AC77-AA725000068E}"/>
    <cellStyle name="Comma 3 3 4 3 2 3 2 3" xfId="43794" xr:uid="{4BF725EF-1894-454B-B547-B98254B2CE4B}"/>
    <cellStyle name="Comma 3 3 4 3 2 3 3" xfId="19602" xr:uid="{D4C4E281-6B12-4B9B-92C9-5B09EE23127F}"/>
    <cellStyle name="Comma 3 3 4 3 2 3 3 2" xfId="49842" xr:uid="{40015A7B-94DB-4496-B28B-363DAC9498FC}"/>
    <cellStyle name="Comma 3 3 4 3 2 3 4" xfId="34722" xr:uid="{13995A44-5423-4834-A96D-FCE347EDB2A4}"/>
    <cellStyle name="Comma 3 3 4 3 2 4" xfId="5994" xr:uid="{D560DEC5-E036-45FB-89D9-757D975F77D6}"/>
    <cellStyle name="Comma 3 3 4 3 2 4 2" xfId="15066" xr:uid="{B20B4ADB-1E2A-4043-BEE9-B9ECAF1C5F70}"/>
    <cellStyle name="Comma 3 3 4 3 2 4 2 2" xfId="30186" xr:uid="{0388FB0B-B144-435B-A0D1-0FD8F9A894F7}"/>
    <cellStyle name="Comma 3 3 4 3 2 4 2 2 2" xfId="60426" xr:uid="{076AAF50-4B32-43A6-93CD-BC7DAE79B4EB}"/>
    <cellStyle name="Comma 3 3 4 3 2 4 2 3" xfId="45306" xr:uid="{44D72ECF-CA1D-4389-B932-4F2FE5C8F045}"/>
    <cellStyle name="Comma 3 3 4 3 2 4 3" xfId="21114" xr:uid="{806EB7FC-6849-4F17-899F-3A0B5613D2FE}"/>
    <cellStyle name="Comma 3 3 4 3 2 4 3 2" xfId="51354" xr:uid="{ECCC8CDD-C8E0-4B99-8CFF-C7153E6ED1D6}"/>
    <cellStyle name="Comma 3 3 4 3 2 4 4" xfId="36234" xr:uid="{23390E65-1194-48B7-B1E5-738EB59C4530}"/>
    <cellStyle name="Comma 3 3 4 3 2 5" xfId="7506" xr:uid="{95ADED09-2392-44ED-91DF-E3F5932465F0}"/>
    <cellStyle name="Comma 3 3 4 3 2 5 2" xfId="22626" xr:uid="{A322E12E-DCEA-49CE-9FD6-7AAEDCBDA961}"/>
    <cellStyle name="Comma 3 3 4 3 2 5 2 2" xfId="52866" xr:uid="{D62DD18F-B54C-48B9-A7AB-1CC7C93B6E80}"/>
    <cellStyle name="Comma 3 3 4 3 2 5 3" xfId="37746" xr:uid="{18894819-EE4C-4899-B597-1B3B55A42441}"/>
    <cellStyle name="Comma 3 3 4 3 2 6" xfId="9018" xr:uid="{A5080CB3-2F75-4623-A6A9-DF6468C4D2BC}"/>
    <cellStyle name="Comma 3 3 4 3 2 6 2" xfId="24138" xr:uid="{74057FDA-32AF-4B01-AD1A-FECE08FF9C82}"/>
    <cellStyle name="Comma 3 3 4 3 2 6 2 2" xfId="54378" xr:uid="{DFB29DA2-8E0C-42B8-86CE-FD62237F220A}"/>
    <cellStyle name="Comma 3 3 4 3 2 6 3" xfId="39258" xr:uid="{A677A62E-0A84-4ED6-8AEE-6D99BFFEEC6A}"/>
    <cellStyle name="Comma 3 3 4 3 2 7" xfId="10530" xr:uid="{5F297147-5341-4DE9-89D9-152266BF66BD}"/>
    <cellStyle name="Comma 3 3 4 3 2 7 2" xfId="25650" xr:uid="{79DFADA1-8C2A-4963-B870-E6DF63033B4E}"/>
    <cellStyle name="Comma 3 3 4 3 2 7 2 2" xfId="55890" xr:uid="{6B4DC793-E601-467E-9047-0E3149AAFDBC}"/>
    <cellStyle name="Comma 3 3 4 3 2 7 3" xfId="40770" xr:uid="{DA60FA3D-36C8-4A5A-9D22-C2A3973AEC35}"/>
    <cellStyle name="Comma 3 3 4 3 2 8" xfId="16578" xr:uid="{586BAF33-D3E7-4AD3-ACC6-B024395191CB}"/>
    <cellStyle name="Comma 3 3 4 3 2 8 2" xfId="46818" xr:uid="{9F981714-4596-4B5F-A8A2-BB38385050C6}"/>
    <cellStyle name="Comma 3 3 4 3 2 9" xfId="31698" xr:uid="{0D9DB063-2A44-4563-9B06-97438E9A6969}"/>
    <cellStyle name="Comma 3 3 4 3 3" xfId="2214" xr:uid="{68BC3868-8004-4CC2-AB63-71E062615B19}"/>
    <cellStyle name="Comma 3 3 4 3 3 2" xfId="11286" xr:uid="{F18C2F19-86A1-4A1D-BC68-BE455D59F27B}"/>
    <cellStyle name="Comma 3 3 4 3 3 2 2" xfId="26406" xr:uid="{15DC4AE7-6557-46CD-8FAE-90A10FE7EAFA}"/>
    <cellStyle name="Comma 3 3 4 3 3 2 2 2" xfId="56646" xr:uid="{C02A71BA-CC41-4767-A491-3539C0C850C9}"/>
    <cellStyle name="Comma 3 3 4 3 3 2 3" xfId="41526" xr:uid="{546FA98B-72BA-48E1-B5F4-A97152E93628}"/>
    <cellStyle name="Comma 3 3 4 3 3 3" xfId="17334" xr:uid="{5C3070D8-1441-4C5C-A9C4-B2037AF2DA69}"/>
    <cellStyle name="Comma 3 3 4 3 3 3 2" xfId="47574" xr:uid="{873D8FD9-A191-456A-B9EA-416C1EE3D25E}"/>
    <cellStyle name="Comma 3 3 4 3 3 4" xfId="32454" xr:uid="{1B644FC4-C472-46AF-AC09-79F53DCE6655}"/>
    <cellStyle name="Comma 3 3 4 3 4" xfId="3726" xr:uid="{865D6672-993E-4248-A925-2BC4793F744D}"/>
    <cellStyle name="Comma 3 3 4 3 4 2" xfId="12798" xr:uid="{8DE75E29-28B5-44A3-A89E-D549F66AB303}"/>
    <cellStyle name="Comma 3 3 4 3 4 2 2" xfId="27918" xr:uid="{87454D58-C596-4EB6-884C-C56F51A1B84C}"/>
    <cellStyle name="Comma 3 3 4 3 4 2 2 2" xfId="58158" xr:uid="{19371A99-B473-4664-80A9-6D41603381A3}"/>
    <cellStyle name="Comma 3 3 4 3 4 2 3" xfId="43038" xr:uid="{6360F6B4-4157-4EFC-9BA1-62E42AAB29C5}"/>
    <cellStyle name="Comma 3 3 4 3 4 3" xfId="18846" xr:uid="{8B9A5588-46EC-4BC2-B104-A97681BAB2B4}"/>
    <cellStyle name="Comma 3 3 4 3 4 3 2" xfId="49086" xr:uid="{65C78101-94AB-4237-B280-A1F4B15B3BB4}"/>
    <cellStyle name="Comma 3 3 4 3 4 4" xfId="33966" xr:uid="{2E0184FD-C5E2-42A6-8D47-7BBD604154FF}"/>
    <cellStyle name="Comma 3 3 4 3 5" xfId="5238" xr:uid="{B4F98720-6B4D-48BE-BEFD-5D8455C54657}"/>
    <cellStyle name="Comma 3 3 4 3 5 2" xfId="14310" xr:uid="{F6E6C1FF-0CEA-4A5A-884D-1CF4FC7BCAC6}"/>
    <cellStyle name="Comma 3 3 4 3 5 2 2" xfId="29430" xr:uid="{E910CC7A-A29B-443C-8435-AF289C5D89EB}"/>
    <cellStyle name="Comma 3 3 4 3 5 2 2 2" xfId="59670" xr:uid="{79E7C1B5-6B4D-4B81-A8D6-2943ACF40534}"/>
    <cellStyle name="Comma 3 3 4 3 5 2 3" xfId="44550" xr:uid="{DDEBB774-CBB7-4FA4-A9D2-39736AE51A31}"/>
    <cellStyle name="Comma 3 3 4 3 5 3" xfId="20358" xr:uid="{3E3C339D-12DB-46DC-9EEC-1F1A324E3255}"/>
    <cellStyle name="Comma 3 3 4 3 5 3 2" xfId="50598" xr:uid="{4CEDEDC7-136F-4018-9776-311449056F3D}"/>
    <cellStyle name="Comma 3 3 4 3 5 4" xfId="35478" xr:uid="{36980996-058B-42AE-9DD4-B578BBF5008C}"/>
    <cellStyle name="Comma 3 3 4 3 6" xfId="6750" xr:uid="{16B1736B-6A1C-468B-9BFC-58D621EC458F}"/>
    <cellStyle name="Comma 3 3 4 3 6 2" xfId="21870" xr:uid="{2B488F07-CD6E-48E5-A3BF-71B28BEC94AE}"/>
    <cellStyle name="Comma 3 3 4 3 6 2 2" xfId="52110" xr:uid="{75B83FFF-64E2-4428-BD60-988072DF747B}"/>
    <cellStyle name="Comma 3 3 4 3 6 3" xfId="36990" xr:uid="{2ED9CEE8-D266-4A35-A855-39A1CAB1044D}"/>
    <cellStyle name="Comma 3 3 4 3 7" xfId="8262" xr:uid="{5CE9D6E5-8024-4A3D-A945-3C04F4B7E40D}"/>
    <cellStyle name="Comma 3 3 4 3 7 2" xfId="23382" xr:uid="{FBF04FA6-5261-4B60-9CD7-8CA31F457CC4}"/>
    <cellStyle name="Comma 3 3 4 3 7 2 2" xfId="53622" xr:uid="{71F26D92-C45D-45AC-ABA7-26EC5AFC3861}"/>
    <cellStyle name="Comma 3 3 4 3 7 3" xfId="38502" xr:uid="{0C76AE1D-B732-4C3A-9D3F-2994B37BD94C}"/>
    <cellStyle name="Comma 3 3 4 3 8" xfId="9774" xr:uid="{8C2297AB-EADE-4583-B20F-9725E20E5F60}"/>
    <cellStyle name="Comma 3 3 4 3 8 2" xfId="24894" xr:uid="{C179780C-4E63-4777-8EAB-4983039CE9C7}"/>
    <cellStyle name="Comma 3 3 4 3 8 2 2" xfId="55134" xr:uid="{9B1D9950-7503-4599-A994-FDC786189A2B}"/>
    <cellStyle name="Comma 3 3 4 3 8 3" xfId="40014" xr:uid="{C80E7C9D-AF3B-4F39-8F2D-1879529593B4}"/>
    <cellStyle name="Comma 3 3 4 3 9" xfId="15822" xr:uid="{9A510642-475E-4DF7-B9B6-F98CDC50A2C4}"/>
    <cellStyle name="Comma 3 3 4 3 9 2" xfId="46062" xr:uid="{28072449-A04D-4413-A2B6-55C9CFE5B1C7}"/>
    <cellStyle name="Comma 3 3 4 4" xfId="954" xr:uid="{1CF1BD64-15CB-4640-B763-68CD1F7DE695}"/>
    <cellStyle name="Comma 3 3 4 4 2" xfId="2466" xr:uid="{97E56377-168E-461E-88E4-81D425526E52}"/>
    <cellStyle name="Comma 3 3 4 4 2 2" xfId="11538" xr:uid="{188E29DF-932D-48B7-941B-31E0C12E1C9E}"/>
    <cellStyle name="Comma 3 3 4 4 2 2 2" xfId="26658" xr:uid="{8503AE63-27A0-4189-A547-ECC9E3A37371}"/>
    <cellStyle name="Comma 3 3 4 4 2 2 2 2" xfId="56898" xr:uid="{0EABB392-B47B-4168-8C3E-4922920B5F69}"/>
    <cellStyle name="Comma 3 3 4 4 2 2 3" xfId="41778" xr:uid="{AF04D21F-A747-4BCE-9190-3FE36C9D8A4A}"/>
    <cellStyle name="Comma 3 3 4 4 2 3" xfId="17586" xr:uid="{97D04B86-BF68-46F2-89E6-418DCE9F703E}"/>
    <cellStyle name="Comma 3 3 4 4 2 3 2" xfId="47826" xr:uid="{F4786070-B74B-400D-94CF-4EE5DA7CD301}"/>
    <cellStyle name="Comma 3 3 4 4 2 4" xfId="32706" xr:uid="{2D7A777B-8D73-442C-84F5-DAB4AF8B4889}"/>
    <cellStyle name="Comma 3 3 4 4 3" xfId="3978" xr:uid="{A7A22274-4133-4674-AE98-07F2F261C3A7}"/>
    <cellStyle name="Comma 3 3 4 4 3 2" xfId="13050" xr:uid="{315E8CDB-DF0B-4A9B-81C1-636B5064E0D2}"/>
    <cellStyle name="Comma 3 3 4 4 3 2 2" xfId="28170" xr:uid="{C9AAC054-3338-4E4F-8D14-758EF9C22A22}"/>
    <cellStyle name="Comma 3 3 4 4 3 2 2 2" xfId="58410" xr:uid="{16C1359D-3213-491E-8E95-51542621A219}"/>
    <cellStyle name="Comma 3 3 4 4 3 2 3" xfId="43290" xr:uid="{CFA551A5-9F58-46B4-9A02-3EAE498F6667}"/>
    <cellStyle name="Comma 3 3 4 4 3 3" xfId="19098" xr:uid="{45703AE6-4B32-4750-A70A-165F47E9FEBE}"/>
    <cellStyle name="Comma 3 3 4 4 3 3 2" xfId="49338" xr:uid="{C2FB3DF4-3093-4201-A6EA-CC86CE12AD32}"/>
    <cellStyle name="Comma 3 3 4 4 3 4" xfId="34218" xr:uid="{1D3D64EC-1EB3-44FB-A0A9-146F15E49B14}"/>
    <cellStyle name="Comma 3 3 4 4 4" xfId="5490" xr:uid="{813A84E4-7190-4852-92B7-2B8E9F08A556}"/>
    <cellStyle name="Comma 3 3 4 4 4 2" xfId="14562" xr:uid="{3EA8817D-D077-4E4F-B5F4-528DF19B1A5F}"/>
    <cellStyle name="Comma 3 3 4 4 4 2 2" xfId="29682" xr:uid="{7F0F4D75-37F3-4A2E-9DC7-435315260F06}"/>
    <cellStyle name="Comma 3 3 4 4 4 2 2 2" xfId="59922" xr:uid="{1B8EFE6D-952E-4F9A-9BF1-49EA2EFAC7DF}"/>
    <cellStyle name="Comma 3 3 4 4 4 2 3" xfId="44802" xr:uid="{87F69B91-898E-445A-B2C0-568CC1778511}"/>
    <cellStyle name="Comma 3 3 4 4 4 3" xfId="20610" xr:uid="{8A476894-779E-49A4-ADB5-3EF9DF0C30B4}"/>
    <cellStyle name="Comma 3 3 4 4 4 3 2" xfId="50850" xr:uid="{A1DAFDDF-D09D-43F9-A84F-28A64877F9BE}"/>
    <cellStyle name="Comma 3 3 4 4 4 4" xfId="35730" xr:uid="{BBBB2173-BCE2-47CA-AAAE-67D2A7BC0966}"/>
    <cellStyle name="Comma 3 3 4 4 5" xfId="7002" xr:uid="{24655C89-DED1-4871-A94E-A491C14DB119}"/>
    <cellStyle name="Comma 3 3 4 4 5 2" xfId="22122" xr:uid="{F18328DF-BA9A-478A-A511-DB13A7F19DA9}"/>
    <cellStyle name="Comma 3 3 4 4 5 2 2" xfId="52362" xr:uid="{3A9A9BE6-CF58-4BB5-8629-F2168E779CFD}"/>
    <cellStyle name="Comma 3 3 4 4 5 3" xfId="37242" xr:uid="{A0E8C679-C631-475C-9EB7-B9408408A096}"/>
    <cellStyle name="Comma 3 3 4 4 6" xfId="8514" xr:uid="{8584FDE9-A835-4176-B6D0-D1CA91848F41}"/>
    <cellStyle name="Comma 3 3 4 4 6 2" xfId="23634" xr:uid="{E8DFACD6-03F2-4BB6-ACE5-063F05A2BA86}"/>
    <cellStyle name="Comma 3 3 4 4 6 2 2" xfId="53874" xr:uid="{37255217-49D9-41FE-87A3-5037BD50C409}"/>
    <cellStyle name="Comma 3 3 4 4 6 3" xfId="38754" xr:uid="{F0E2122C-A928-47FF-B876-05400339B5BA}"/>
    <cellStyle name="Comma 3 3 4 4 7" xfId="10026" xr:uid="{E9D76ABE-AE35-4392-8067-8CFC94118397}"/>
    <cellStyle name="Comma 3 3 4 4 7 2" xfId="25146" xr:uid="{3199C4C3-EC0C-425D-A9CD-A12ACA7C5EE9}"/>
    <cellStyle name="Comma 3 3 4 4 7 2 2" xfId="55386" xr:uid="{37A9DD8D-B81E-47E2-8FCF-7E0139F3AB11}"/>
    <cellStyle name="Comma 3 3 4 4 7 3" xfId="40266" xr:uid="{7BF68FCE-F603-414A-8BFA-A4B80FB73035}"/>
    <cellStyle name="Comma 3 3 4 4 8" xfId="16074" xr:uid="{65455001-0E88-4C6C-BF44-25BC53E233AA}"/>
    <cellStyle name="Comma 3 3 4 4 8 2" xfId="46314" xr:uid="{4BFE8994-EFE9-4C90-B022-2C6C70B5F5F6}"/>
    <cellStyle name="Comma 3 3 4 4 9" xfId="31194" xr:uid="{0218BC64-E785-4B65-86BE-A97562B9E6B6}"/>
    <cellStyle name="Comma 3 3 4 5" xfId="1710" xr:uid="{99506167-AAD5-4ACB-9C28-1949AA886D26}"/>
    <cellStyle name="Comma 3 3 4 5 2" xfId="10782" xr:uid="{648C3166-23EC-46A5-B938-08F54FB7A32C}"/>
    <cellStyle name="Comma 3 3 4 5 2 2" xfId="25902" xr:uid="{88C517B2-F81E-4D07-9CCF-0FF9F1A77649}"/>
    <cellStyle name="Comma 3 3 4 5 2 2 2" xfId="56142" xr:uid="{1671899D-08F5-4B67-B9B2-3BBFD754B303}"/>
    <cellStyle name="Comma 3 3 4 5 2 3" xfId="41022" xr:uid="{BF645F17-BC87-4920-BA65-C1DD876C6DAD}"/>
    <cellStyle name="Comma 3 3 4 5 3" xfId="16830" xr:uid="{A126E146-BD39-49D8-96B1-5BB52D015DBC}"/>
    <cellStyle name="Comma 3 3 4 5 3 2" xfId="47070" xr:uid="{0AEFF9E7-4927-4C72-9175-157948256CC1}"/>
    <cellStyle name="Comma 3 3 4 5 4" xfId="31950" xr:uid="{7C9B099A-C560-4E99-BE3C-1F23BCA16014}"/>
    <cellStyle name="Comma 3 3 4 6" xfId="3222" xr:uid="{95FEC36A-D74F-44A5-9377-844273E0964A}"/>
    <cellStyle name="Comma 3 3 4 6 2" xfId="12294" xr:uid="{2E26AE4A-7A82-4FDD-8F00-28009B43929F}"/>
    <cellStyle name="Comma 3 3 4 6 2 2" xfId="27414" xr:uid="{C6621B3C-CAE8-42B0-8531-CD43FC34DAFA}"/>
    <cellStyle name="Comma 3 3 4 6 2 2 2" xfId="57654" xr:uid="{46C47CE8-AA7C-4E75-89C2-44BB2D2AF591}"/>
    <cellStyle name="Comma 3 3 4 6 2 3" xfId="42534" xr:uid="{8A2C8634-9F00-46BC-8FC9-8617C6AC6604}"/>
    <cellStyle name="Comma 3 3 4 6 3" xfId="18342" xr:uid="{4B2D95B7-C4F7-4ED7-A70C-5F140E093582}"/>
    <cellStyle name="Comma 3 3 4 6 3 2" xfId="48582" xr:uid="{19EAC2E2-F374-40DE-80C3-2D60230FB1E3}"/>
    <cellStyle name="Comma 3 3 4 6 4" xfId="33462" xr:uid="{D378EB38-C328-4A71-A16F-C62089DAF176}"/>
    <cellStyle name="Comma 3 3 4 7" xfId="4734" xr:uid="{0CAE96FB-D818-46A3-979A-499465E8F84F}"/>
    <cellStyle name="Comma 3 3 4 7 2" xfId="13806" xr:uid="{84686982-C404-4F63-9DBB-94801AAADCAD}"/>
    <cellStyle name="Comma 3 3 4 7 2 2" xfId="28926" xr:uid="{99BAEFB1-AE0B-4E7E-A35F-51155D7496A4}"/>
    <cellStyle name="Comma 3 3 4 7 2 2 2" xfId="59166" xr:uid="{E59AB81E-444A-4343-A03E-C635934937FB}"/>
    <cellStyle name="Comma 3 3 4 7 2 3" xfId="44046" xr:uid="{29AC6240-E676-40DD-8A5E-8CF168B505CE}"/>
    <cellStyle name="Comma 3 3 4 7 3" xfId="19854" xr:uid="{6E8CCA25-1552-40C4-AD06-E3D0EA952B36}"/>
    <cellStyle name="Comma 3 3 4 7 3 2" xfId="50094" xr:uid="{F5DA57F4-9C1E-49D8-B892-57EF47F5BE19}"/>
    <cellStyle name="Comma 3 3 4 7 4" xfId="34974" xr:uid="{292AEF9B-3BC2-4E56-A77F-77F516B76A51}"/>
    <cellStyle name="Comma 3 3 4 8" xfId="6246" xr:uid="{271BF735-4EF9-4415-9365-A6169FD4F32C}"/>
    <cellStyle name="Comma 3 3 4 8 2" xfId="21366" xr:uid="{E03D2AF2-ABF7-436A-B5B4-9C9A6B701AB5}"/>
    <cellStyle name="Comma 3 3 4 8 2 2" xfId="51606" xr:uid="{FC9167F9-F5F6-4C1C-9956-C5FC68476D48}"/>
    <cellStyle name="Comma 3 3 4 8 3" xfId="36486" xr:uid="{E19C23C7-6B8A-45CF-9631-39BC241D2570}"/>
    <cellStyle name="Comma 3 3 4 9" xfId="7758" xr:uid="{23A20C88-8450-4E3E-BBC3-85B8F7EB54B4}"/>
    <cellStyle name="Comma 3 3 4 9 2" xfId="22878" xr:uid="{A8DBFF90-11B2-4DB3-A3AF-73CA676FE0AF}"/>
    <cellStyle name="Comma 3 3 4 9 2 2" xfId="53118" xr:uid="{FBC71CBB-10F8-47D5-8907-79C781585BE4}"/>
    <cellStyle name="Comma 3 3 4 9 3" xfId="37998" xr:uid="{94F53A23-48AA-4CC6-A7AF-9DDE0DAC4DC2}"/>
    <cellStyle name="Comma 3 3 5" xfId="282" xr:uid="{EE6EC6CD-77B7-4B4F-ABC1-9C7C23AA4042}"/>
    <cellStyle name="Comma 3 3 5 10" xfId="30522" xr:uid="{15CBC21A-42AA-471A-BDC4-B38879B7650E}"/>
    <cellStyle name="Comma 3 3 5 2" xfId="1038" xr:uid="{6FAFE4AE-E238-4961-91A6-C36B59B4A3CA}"/>
    <cellStyle name="Comma 3 3 5 2 2" xfId="2550" xr:uid="{82C22341-1664-4D6E-A3B4-9C75A7F72E7C}"/>
    <cellStyle name="Comma 3 3 5 2 2 2" xfId="11622" xr:uid="{7867328B-256E-484B-9E33-6DF3724851B0}"/>
    <cellStyle name="Comma 3 3 5 2 2 2 2" xfId="26742" xr:uid="{793C0900-2499-46E4-B053-580CB8378EBB}"/>
    <cellStyle name="Comma 3 3 5 2 2 2 2 2" xfId="56982" xr:uid="{8CA0DF77-2028-40D7-8194-0C0A249F7D2E}"/>
    <cellStyle name="Comma 3 3 5 2 2 2 3" xfId="41862" xr:uid="{2C080E03-D014-4900-A72B-55891BA26C5D}"/>
    <cellStyle name="Comma 3 3 5 2 2 3" xfId="17670" xr:uid="{133E2F1D-D5C2-4DA2-B592-1FFE97523CCD}"/>
    <cellStyle name="Comma 3 3 5 2 2 3 2" xfId="47910" xr:uid="{B15341E3-CB7E-4479-ACA8-C05B2AFEFFC0}"/>
    <cellStyle name="Comma 3 3 5 2 2 4" xfId="32790" xr:uid="{3B3F2E18-0237-42CA-8105-3A29A04C15C9}"/>
    <cellStyle name="Comma 3 3 5 2 3" xfId="4062" xr:uid="{CB112F24-1BBC-45E7-9093-D458B7B8FAAA}"/>
    <cellStyle name="Comma 3 3 5 2 3 2" xfId="13134" xr:uid="{1C08FE56-23D5-43FB-9089-D5316A369E6B}"/>
    <cellStyle name="Comma 3 3 5 2 3 2 2" xfId="28254" xr:uid="{AD2C1D8E-2064-47D8-833A-1937C389CB43}"/>
    <cellStyle name="Comma 3 3 5 2 3 2 2 2" xfId="58494" xr:uid="{E49812F8-FE5C-4F5D-86CD-A29A75D5B914}"/>
    <cellStyle name="Comma 3 3 5 2 3 2 3" xfId="43374" xr:uid="{579BF262-3ABB-4DA6-957D-FCECECBC34CA}"/>
    <cellStyle name="Comma 3 3 5 2 3 3" xfId="19182" xr:uid="{F91C9B59-1CB4-4F8B-AA08-78F03224818D}"/>
    <cellStyle name="Comma 3 3 5 2 3 3 2" xfId="49422" xr:uid="{2285587F-4BEB-457C-B1C0-3D6CAA553DB2}"/>
    <cellStyle name="Comma 3 3 5 2 3 4" xfId="34302" xr:uid="{9D9F055F-54C7-4374-9021-33E7F6DDEDF2}"/>
    <cellStyle name="Comma 3 3 5 2 4" xfId="5574" xr:uid="{0B0CEEA8-0F24-4617-9BD9-718C45768C81}"/>
    <cellStyle name="Comma 3 3 5 2 4 2" xfId="14646" xr:uid="{F3DB7D03-4370-4751-847E-21E35F7AE287}"/>
    <cellStyle name="Comma 3 3 5 2 4 2 2" xfId="29766" xr:uid="{DFA91105-919F-4071-AFFB-B643003AA64D}"/>
    <cellStyle name="Comma 3 3 5 2 4 2 2 2" xfId="60006" xr:uid="{F28C5B8C-4421-462C-BBA6-850A33B15C0D}"/>
    <cellStyle name="Comma 3 3 5 2 4 2 3" xfId="44886" xr:uid="{138154DB-E4CA-4905-A002-2A6EB3FD0156}"/>
    <cellStyle name="Comma 3 3 5 2 4 3" xfId="20694" xr:uid="{6B56AD84-564A-480A-B5A3-357738B7EB73}"/>
    <cellStyle name="Comma 3 3 5 2 4 3 2" xfId="50934" xr:uid="{C5043EF3-76F7-4C61-9431-05EC821C538B}"/>
    <cellStyle name="Comma 3 3 5 2 4 4" xfId="35814" xr:uid="{879A0A1D-1516-409A-A712-44ABC692A8BE}"/>
    <cellStyle name="Comma 3 3 5 2 5" xfId="7086" xr:uid="{0C76BE1C-61CC-462A-AB61-C0B70CC9C5EA}"/>
    <cellStyle name="Comma 3 3 5 2 5 2" xfId="22206" xr:uid="{5E8F4900-BDC5-41F3-83F9-CCDB1BC393BE}"/>
    <cellStyle name="Comma 3 3 5 2 5 2 2" xfId="52446" xr:uid="{16591892-A5A4-432F-BA63-0996880B3E4A}"/>
    <cellStyle name="Comma 3 3 5 2 5 3" xfId="37326" xr:uid="{2D964E18-2076-4867-B728-9430946A60E5}"/>
    <cellStyle name="Comma 3 3 5 2 6" xfId="8598" xr:uid="{9399289C-694B-4353-B9D3-EE3398BB0283}"/>
    <cellStyle name="Comma 3 3 5 2 6 2" xfId="23718" xr:uid="{3EBBF6D8-FEE8-4B4B-BA36-A79F66AFAE4D}"/>
    <cellStyle name="Comma 3 3 5 2 6 2 2" xfId="53958" xr:uid="{3DA27BF0-C043-4333-82B5-1CB966DB21AF}"/>
    <cellStyle name="Comma 3 3 5 2 6 3" xfId="38838" xr:uid="{11899A9E-88D9-4893-B82A-DFDA2FFEFF9A}"/>
    <cellStyle name="Comma 3 3 5 2 7" xfId="10110" xr:uid="{4EDD8E53-4D1A-4E8C-AFF0-14415F348638}"/>
    <cellStyle name="Comma 3 3 5 2 7 2" xfId="25230" xr:uid="{D120852A-B13B-47E6-BF24-2E81B9E6D769}"/>
    <cellStyle name="Comma 3 3 5 2 7 2 2" xfId="55470" xr:uid="{36BA1754-3CF4-4E27-A006-1C1BB3DCF699}"/>
    <cellStyle name="Comma 3 3 5 2 7 3" xfId="40350" xr:uid="{2AD1FB3E-A179-48E1-98AD-E06C0ECEBBF1}"/>
    <cellStyle name="Comma 3 3 5 2 8" xfId="16158" xr:uid="{1B4E044A-CACC-482D-A389-E278EE433F4C}"/>
    <cellStyle name="Comma 3 3 5 2 8 2" xfId="46398" xr:uid="{0CC9DDE3-8F8F-4C02-8FEA-7ABAB4B63E5E}"/>
    <cellStyle name="Comma 3 3 5 2 9" xfId="31278" xr:uid="{A73E8695-8508-405D-945B-D8E36D1B4B4E}"/>
    <cellStyle name="Comma 3 3 5 3" xfId="1794" xr:uid="{0E0BD6E6-797B-49A0-A6C2-489503699EAC}"/>
    <cellStyle name="Comma 3 3 5 3 2" xfId="10866" xr:uid="{86422358-991C-4DB3-8A15-B31FCE2EAC80}"/>
    <cellStyle name="Comma 3 3 5 3 2 2" xfId="25986" xr:uid="{4D06EEF6-1DEA-4A7D-8D8A-AB5C0AFF36AF}"/>
    <cellStyle name="Comma 3 3 5 3 2 2 2" xfId="56226" xr:uid="{C342A4FB-A828-402D-BCA5-40745095FF9F}"/>
    <cellStyle name="Comma 3 3 5 3 2 3" xfId="41106" xr:uid="{4E859128-46D9-463D-9DC4-9666872621D0}"/>
    <cellStyle name="Comma 3 3 5 3 3" xfId="16914" xr:uid="{A30BE674-9E92-4497-90C7-B4BC76DCF39B}"/>
    <cellStyle name="Comma 3 3 5 3 3 2" xfId="47154" xr:uid="{3F1C159F-A0BC-4DE1-B1A8-F0398CD12C9F}"/>
    <cellStyle name="Comma 3 3 5 3 4" xfId="32034" xr:uid="{E8E9B24D-1DCF-453E-889E-EDCD80B76BB2}"/>
    <cellStyle name="Comma 3 3 5 4" xfId="3306" xr:uid="{77E7D876-C15F-4202-AA95-3646EA061B6F}"/>
    <cellStyle name="Comma 3 3 5 4 2" xfId="12378" xr:uid="{353F97B1-D1A7-4B9B-B452-5A13C0A0EF71}"/>
    <cellStyle name="Comma 3 3 5 4 2 2" xfId="27498" xr:uid="{BA98A2AF-6762-4EE6-8966-DEE2532E3ED0}"/>
    <cellStyle name="Comma 3 3 5 4 2 2 2" xfId="57738" xr:uid="{65D364F2-88AA-4593-A142-291351B82AFF}"/>
    <cellStyle name="Comma 3 3 5 4 2 3" xfId="42618" xr:uid="{4FD04415-DE89-4C41-9C61-BA5DDFAAE5FE}"/>
    <cellStyle name="Comma 3 3 5 4 3" xfId="18426" xr:uid="{251525A5-4232-4FE3-8E25-1A0120D4F088}"/>
    <cellStyle name="Comma 3 3 5 4 3 2" xfId="48666" xr:uid="{9F2D0054-EEA2-4BB2-8739-D9C8C21BF6F5}"/>
    <cellStyle name="Comma 3 3 5 4 4" xfId="33546" xr:uid="{2AA47019-EAF6-4DCA-BE71-3FB3A9EE2311}"/>
    <cellStyle name="Comma 3 3 5 5" xfId="4818" xr:uid="{5DC4DA7D-E579-41B9-A207-0520037951F2}"/>
    <cellStyle name="Comma 3 3 5 5 2" xfId="13890" xr:uid="{9C6BDEFF-374F-449C-9544-FB201EAFE0EE}"/>
    <cellStyle name="Comma 3 3 5 5 2 2" xfId="29010" xr:uid="{6176378D-1890-4564-B07B-01C69E2B2DDB}"/>
    <cellStyle name="Comma 3 3 5 5 2 2 2" xfId="59250" xr:uid="{415206D5-632E-4D09-8A50-AD1E5266525D}"/>
    <cellStyle name="Comma 3 3 5 5 2 3" xfId="44130" xr:uid="{26AA432C-740F-4455-BCE1-C9CFD29D73EE}"/>
    <cellStyle name="Comma 3 3 5 5 3" xfId="19938" xr:uid="{D5EFCB1F-6A8A-475F-AC39-E819681B443A}"/>
    <cellStyle name="Comma 3 3 5 5 3 2" xfId="50178" xr:uid="{F99F4BA3-A82A-4581-93DE-2B0A6E35063B}"/>
    <cellStyle name="Comma 3 3 5 5 4" xfId="35058" xr:uid="{ADCA47B8-7864-40E0-B5B5-2CFCB80FEBC2}"/>
    <cellStyle name="Comma 3 3 5 6" xfId="6330" xr:uid="{12B5B21B-1288-4428-842B-B81632742CEA}"/>
    <cellStyle name="Comma 3 3 5 6 2" xfId="21450" xr:uid="{7430E148-0D87-45D9-B1CB-BB62609BDDEF}"/>
    <cellStyle name="Comma 3 3 5 6 2 2" xfId="51690" xr:uid="{4D1A849C-5D72-444E-B433-867C970A33CF}"/>
    <cellStyle name="Comma 3 3 5 6 3" xfId="36570" xr:uid="{B3A42C05-1FE4-4908-8854-1127B3F98366}"/>
    <cellStyle name="Comma 3 3 5 7" xfId="7842" xr:uid="{E9BF046B-F7FA-4CEC-809B-23D3B2756F08}"/>
    <cellStyle name="Comma 3 3 5 7 2" xfId="22962" xr:uid="{552F62C5-E8A4-4083-83C2-FDD3F4EA9310}"/>
    <cellStyle name="Comma 3 3 5 7 2 2" xfId="53202" xr:uid="{433F0FFC-5D71-4469-BCEE-221CB5311571}"/>
    <cellStyle name="Comma 3 3 5 7 3" xfId="38082" xr:uid="{03573CE0-26A4-44A6-95AE-D224099E21D2}"/>
    <cellStyle name="Comma 3 3 5 8" xfId="9354" xr:uid="{F43354B3-B170-43E8-ACBA-FFF9DE473BEE}"/>
    <cellStyle name="Comma 3 3 5 8 2" xfId="24474" xr:uid="{4789B2A6-2340-4186-AC8B-B80F871A38E4}"/>
    <cellStyle name="Comma 3 3 5 8 2 2" xfId="54714" xr:uid="{8A2B99D5-2682-4CBF-8515-40BA3533DE29}"/>
    <cellStyle name="Comma 3 3 5 8 3" xfId="39594" xr:uid="{76DCFA0E-F191-47AC-AC87-02BD426B9803}"/>
    <cellStyle name="Comma 3 3 5 9" xfId="15402" xr:uid="{5B47C9DA-BC1B-47F8-B546-7EA43E520497}"/>
    <cellStyle name="Comma 3 3 5 9 2" xfId="45642" xr:uid="{5552450E-A49C-426A-9FE7-27E8D49993D9}"/>
    <cellStyle name="Comma 3 3 6" xfId="534" xr:uid="{DDCBEDA3-B305-4D16-890F-E21D6ECFA9BE}"/>
    <cellStyle name="Comma 3 3 6 10" xfId="30774" xr:uid="{E2E56AA1-9FBC-43EA-A332-5C73207191B4}"/>
    <cellStyle name="Comma 3 3 6 2" xfId="1290" xr:uid="{810B425D-28D0-4C4D-A4E8-6664BAD32462}"/>
    <cellStyle name="Comma 3 3 6 2 2" xfId="2802" xr:uid="{4A846F4C-FF4A-4DE8-9269-5D362A4D064C}"/>
    <cellStyle name="Comma 3 3 6 2 2 2" xfId="11874" xr:uid="{207D1AA4-2406-4E58-AF9B-99A05695F912}"/>
    <cellStyle name="Comma 3 3 6 2 2 2 2" xfId="26994" xr:uid="{A2303ADB-3A32-4988-9A35-88B5A3C386C3}"/>
    <cellStyle name="Comma 3 3 6 2 2 2 2 2" xfId="57234" xr:uid="{4AC9023B-EF7A-450D-95C6-C7787F0E9126}"/>
    <cellStyle name="Comma 3 3 6 2 2 2 3" xfId="42114" xr:uid="{F8078A34-59BA-45A1-BCC1-F2FD1C6C1C90}"/>
    <cellStyle name="Comma 3 3 6 2 2 3" xfId="17922" xr:uid="{EB43B53B-60E8-4375-8670-7388ABC44BF8}"/>
    <cellStyle name="Comma 3 3 6 2 2 3 2" xfId="48162" xr:uid="{574DC787-5690-401C-95D7-E70BC9557767}"/>
    <cellStyle name="Comma 3 3 6 2 2 4" xfId="33042" xr:uid="{6BA6876A-F413-428A-8CD4-CCDC474B2B0E}"/>
    <cellStyle name="Comma 3 3 6 2 3" xfId="4314" xr:uid="{FC83C72B-BB3A-4068-9E5F-70921B5DBECB}"/>
    <cellStyle name="Comma 3 3 6 2 3 2" xfId="13386" xr:uid="{34D50C3C-69D6-4D37-BCDB-97BF7D3B84C1}"/>
    <cellStyle name="Comma 3 3 6 2 3 2 2" xfId="28506" xr:uid="{C0A0171F-6B11-4A9C-AC1B-83BDC0AE4E6B}"/>
    <cellStyle name="Comma 3 3 6 2 3 2 2 2" xfId="58746" xr:uid="{AE56F385-23B4-468B-9DC0-6EB0582A1C3D}"/>
    <cellStyle name="Comma 3 3 6 2 3 2 3" xfId="43626" xr:uid="{E88A7BF7-D22B-4F8F-9AB0-C6E3C9DD270B}"/>
    <cellStyle name="Comma 3 3 6 2 3 3" xfId="19434" xr:uid="{3F3AC4C9-203D-40FF-B274-8A9B0BE2C0FD}"/>
    <cellStyle name="Comma 3 3 6 2 3 3 2" xfId="49674" xr:uid="{0A0359BF-AD25-4C74-958E-867DCAF7D626}"/>
    <cellStyle name="Comma 3 3 6 2 3 4" xfId="34554" xr:uid="{4898587C-2CC3-4737-8C05-D988F1FF69E8}"/>
    <cellStyle name="Comma 3 3 6 2 4" xfId="5826" xr:uid="{533CB37E-7E18-4AD6-9850-3EC9AF1AF83D}"/>
    <cellStyle name="Comma 3 3 6 2 4 2" xfId="14898" xr:uid="{CCDBD5BF-4B85-4F3D-9C54-CAC0F28BBA52}"/>
    <cellStyle name="Comma 3 3 6 2 4 2 2" xfId="30018" xr:uid="{EDFB9386-6F2C-4F68-8A18-41CE86FD471D}"/>
    <cellStyle name="Comma 3 3 6 2 4 2 2 2" xfId="60258" xr:uid="{E81423D5-8A78-4F01-9346-8A0180BED8D9}"/>
    <cellStyle name="Comma 3 3 6 2 4 2 3" xfId="45138" xr:uid="{6A645A52-EA16-4097-8883-5D5473A1795D}"/>
    <cellStyle name="Comma 3 3 6 2 4 3" xfId="20946" xr:uid="{3690D6C9-94FF-48F6-8B2E-B3C570C26993}"/>
    <cellStyle name="Comma 3 3 6 2 4 3 2" xfId="51186" xr:uid="{B50B64CA-9B50-4265-B44B-7B3721F1C964}"/>
    <cellStyle name="Comma 3 3 6 2 4 4" xfId="36066" xr:uid="{7ECE30C9-8F5B-4AC3-9FED-75701A59ACCE}"/>
    <cellStyle name="Comma 3 3 6 2 5" xfId="7338" xr:uid="{C96A32DA-6567-48BE-A53B-97FA7CD79D9B}"/>
    <cellStyle name="Comma 3 3 6 2 5 2" xfId="22458" xr:uid="{4C3F58F9-8821-42D5-BFEA-A580658E7C03}"/>
    <cellStyle name="Comma 3 3 6 2 5 2 2" xfId="52698" xr:uid="{381A3773-B8FF-483A-9655-1A12B58CB8C6}"/>
    <cellStyle name="Comma 3 3 6 2 5 3" xfId="37578" xr:uid="{258CEB88-D77A-4A2F-A2F6-3262967A6C2A}"/>
    <cellStyle name="Comma 3 3 6 2 6" xfId="8850" xr:uid="{41583272-C497-4DC9-A244-A55EE4512568}"/>
    <cellStyle name="Comma 3 3 6 2 6 2" xfId="23970" xr:uid="{8AA38771-27A8-4FF8-90F0-B88BBC598BF0}"/>
    <cellStyle name="Comma 3 3 6 2 6 2 2" xfId="54210" xr:uid="{5256D2BD-21A7-4353-90E0-BCB61DA13D17}"/>
    <cellStyle name="Comma 3 3 6 2 6 3" xfId="39090" xr:uid="{6EAF2E41-5FED-43C4-BCDF-DF6110ABBE33}"/>
    <cellStyle name="Comma 3 3 6 2 7" xfId="10362" xr:uid="{5E6B2B7C-9827-4A5E-97E2-2CE8BBFF95BF}"/>
    <cellStyle name="Comma 3 3 6 2 7 2" xfId="25482" xr:uid="{21C1A1DA-6410-4F5C-99C5-FE513F58A58A}"/>
    <cellStyle name="Comma 3 3 6 2 7 2 2" xfId="55722" xr:uid="{26AD1CB3-C762-4E04-92AD-11AB6EB5C898}"/>
    <cellStyle name="Comma 3 3 6 2 7 3" xfId="40602" xr:uid="{3F68F4EC-3ED0-4CEA-AB92-AB1CCEA5C355}"/>
    <cellStyle name="Comma 3 3 6 2 8" xfId="16410" xr:uid="{A5BD5A6B-F6CC-4CC1-B3F8-C7A7FE0490B6}"/>
    <cellStyle name="Comma 3 3 6 2 8 2" xfId="46650" xr:uid="{A9853C19-EA67-44ED-8356-1832E3E726C5}"/>
    <cellStyle name="Comma 3 3 6 2 9" xfId="31530" xr:uid="{CDD471C6-6B1A-45C8-B3CF-DCD86B2A886D}"/>
    <cellStyle name="Comma 3 3 6 3" xfId="2046" xr:uid="{DC069380-E2D3-40FB-A2FC-59458548C254}"/>
    <cellStyle name="Comma 3 3 6 3 2" xfId="11118" xr:uid="{6C0FB579-6635-45FC-8033-96EC61274928}"/>
    <cellStyle name="Comma 3 3 6 3 2 2" xfId="26238" xr:uid="{57D137D1-99CD-4361-B6AE-05391D8738D3}"/>
    <cellStyle name="Comma 3 3 6 3 2 2 2" xfId="56478" xr:uid="{B220C355-3C50-4DB6-8A98-B13F9A21E1EF}"/>
    <cellStyle name="Comma 3 3 6 3 2 3" xfId="41358" xr:uid="{BA309768-9F1A-498A-80A7-1A59539ED6A1}"/>
    <cellStyle name="Comma 3 3 6 3 3" xfId="17166" xr:uid="{8FD0B18D-D017-4C6F-95CD-2B01FD1C8DA3}"/>
    <cellStyle name="Comma 3 3 6 3 3 2" xfId="47406" xr:uid="{233E83D4-2EDD-4EE6-8E82-55198312EF19}"/>
    <cellStyle name="Comma 3 3 6 3 4" xfId="32286" xr:uid="{CBE52F99-AF35-434C-B776-285C3A464C4C}"/>
    <cellStyle name="Comma 3 3 6 4" xfId="3558" xr:uid="{8F91C8F8-D0BA-4037-8C83-F9EE3C5D7888}"/>
    <cellStyle name="Comma 3 3 6 4 2" xfId="12630" xr:uid="{EED82FE9-80BE-404F-9C15-A99166AC1934}"/>
    <cellStyle name="Comma 3 3 6 4 2 2" xfId="27750" xr:uid="{6847CCD1-E26C-4E44-90D3-1D65CF136AA3}"/>
    <cellStyle name="Comma 3 3 6 4 2 2 2" xfId="57990" xr:uid="{959AE2A4-E6E4-41CC-A89B-0C5D7CF4D99B}"/>
    <cellStyle name="Comma 3 3 6 4 2 3" xfId="42870" xr:uid="{F56C9B12-27B1-490B-A92F-A12869B9E5F0}"/>
    <cellStyle name="Comma 3 3 6 4 3" xfId="18678" xr:uid="{3B0BD9CC-F42E-4757-BE73-332537E62046}"/>
    <cellStyle name="Comma 3 3 6 4 3 2" xfId="48918" xr:uid="{5B13369F-C4A9-4D19-9B7E-D9FA7A5FA02D}"/>
    <cellStyle name="Comma 3 3 6 4 4" xfId="33798" xr:uid="{44329203-DC1F-4EEC-8A4A-0FFAB2EBE367}"/>
    <cellStyle name="Comma 3 3 6 5" xfId="5070" xr:uid="{7D141DB1-575C-42F2-B7D3-96F9C2AC1D6E}"/>
    <cellStyle name="Comma 3 3 6 5 2" xfId="14142" xr:uid="{95A15A92-2F0A-4B10-B517-DE025853CAA8}"/>
    <cellStyle name="Comma 3 3 6 5 2 2" xfId="29262" xr:uid="{A87E7605-88AD-46F6-B3AA-C503A1BAA20E}"/>
    <cellStyle name="Comma 3 3 6 5 2 2 2" xfId="59502" xr:uid="{93EC0C60-2225-4147-AB45-63F04A236AF6}"/>
    <cellStyle name="Comma 3 3 6 5 2 3" xfId="44382" xr:uid="{DC47DDEC-4D3D-454C-81CA-F126399D6738}"/>
    <cellStyle name="Comma 3 3 6 5 3" xfId="20190" xr:uid="{72731430-25BA-423D-B310-75274CFCE647}"/>
    <cellStyle name="Comma 3 3 6 5 3 2" xfId="50430" xr:uid="{81292E20-CCA7-4680-819A-9A322977DA92}"/>
    <cellStyle name="Comma 3 3 6 5 4" xfId="35310" xr:uid="{D793718F-3EC3-4F9C-B73A-20BDA7D072E2}"/>
    <cellStyle name="Comma 3 3 6 6" xfId="6582" xr:uid="{7766855D-68BE-4320-9CDA-ADF76C045A34}"/>
    <cellStyle name="Comma 3 3 6 6 2" xfId="21702" xr:uid="{7C6415FC-84A5-45EB-AA89-3462E38B6390}"/>
    <cellStyle name="Comma 3 3 6 6 2 2" xfId="51942" xr:uid="{CE3155D1-3BC5-4D47-99DC-B8F30EC9A30C}"/>
    <cellStyle name="Comma 3 3 6 6 3" xfId="36822" xr:uid="{65F9A802-4718-42DD-BF7B-138329A9C2B9}"/>
    <cellStyle name="Comma 3 3 6 7" xfId="8094" xr:uid="{96439817-1FF9-4221-BB23-FA37CECD058F}"/>
    <cellStyle name="Comma 3 3 6 7 2" xfId="23214" xr:uid="{5D829DF4-81B3-442D-95E8-4312CC45DC3B}"/>
    <cellStyle name="Comma 3 3 6 7 2 2" xfId="53454" xr:uid="{4F885425-CFF4-475E-B57D-C2369928AE88}"/>
    <cellStyle name="Comma 3 3 6 7 3" xfId="38334" xr:uid="{731727DB-566E-4254-9FC6-EF5A77985731}"/>
    <cellStyle name="Comma 3 3 6 8" xfId="9606" xr:uid="{8121E1DB-F007-4375-95B3-9AFF40507D45}"/>
    <cellStyle name="Comma 3 3 6 8 2" xfId="24726" xr:uid="{7727D2B3-2522-4BED-A579-E6DFDC6FECDA}"/>
    <cellStyle name="Comma 3 3 6 8 2 2" xfId="54966" xr:uid="{500D1781-8596-41B4-AEF0-85F94A0429EC}"/>
    <cellStyle name="Comma 3 3 6 8 3" xfId="39846" xr:uid="{952D77B8-E817-4E00-A7C9-25F148F4A5C3}"/>
    <cellStyle name="Comma 3 3 6 9" xfId="15654" xr:uid="{C4116A79-668F-425B-9FA9-FC4950E014E6}"/>
    <cellStyle name="Comma 3 3 6 9 2" xfId="45894" xr:uid="{E7F2BCC4-CC66-4FF3-9E55-64E53F4F111D}"/>
    <cellStyle name="Comma 3 3 7" xfId="786" xr:uid="{2249123C-6787-4815-82CA-3F72C0554B9B}"/>
    <cellStyle name="Comma 3 3 7 2" xfId="2298" xr:uid="{97CFB7B1-8EEF-4814-963E-1171E75AAFED}"/>
    <cellStyle name="Comma 3 3 7 2 2" xfId="11370" xr:uid="{CD1C64E3-AA81-41DF-9A78-8974A93782F9}"/>
    <cellStyle name="Comma 3 3 7 2 2 2" xfId="26490" xr:uid="{05B54404-1A8B-4D14-8B79-93BEBE4C0372}"/>
    <cellStyle name="Comma 3 3 7 2 2 2 2" xfId="56730" xr:uid="{EDDF39C7-0B72-411F-BE98-F2A4DE243A40}"/>
    <cellStyle name="Comma 3 3 7 2 2 3" xfId="41610" xr:uid="{0688A3A3-6273-4B05-9D20-CA408AA6B5F9}"/>
    <cellStyle name="Comma 3 3 7 2 3" xfId="17418" xr:uid="{F99DBC2A-54B6-4433-89EC-F45497B73296}"/>
    <cellStyle name="Comma 3 3 7 2 3 2" xfId="47658" xr:uid="{2FDE7E73-58A8-46F6-99C0-2987740845F2}"/>
    <cellStyle name="Comma 3 3 7 2 4" xfId="32538" xr:uid="{226E1947-4556-4F67-8120-261404ABC82C}"/>
    <cellStyle name="Comma 3 3 7 3" xfId="3810" xr:uid="{9116D527-2670-422F-8A45-62BEAA6EE9D7}"/>
    <cellStyle name="Comma 3 3 7 3 2" xfId="12882" xr:uid="{0C53763D-D8CB-4A44-8D62-E7E1F45B625E}"/>
    <cellStyle name="Comma 3 3 7 3 2 2" xfId="28002" xr:uid="{DE4618E5-DBA3-4090-A280-AC35156F41CD}"/>
    <cellStyle name="Comma 3 3 7 3 2 2 2" xfId="58242" xr:uid="{6998F980-3C7E-4303-A22F-8260CEC019A6}"/>
    <cellStyle name="Comma 3 3 7 3 2 3" xfId="43122" xr:uid="{24CFCCF2-C6FE-4CD7-9D6C-B8F93C19B64D}"/>
    <cellStyle name="Comma 3 3 7 3 3" xfId="18930" xr:uid="{E8E9F7F4-20C2-42C9-84C7-C4EB24AE84F5}"/>
    <cellStyle name="Comma 3 3 7 3 3 2" xfId="49170" xr:uid="{599E9D78-39D4-4627-B887-0D7D92C2E1D9}"/>
    <cellStyle name="Comma 3 3 7 3 4" xfId="34050" xr:uid="{22CBA489-298D-475F-B2A3-22136B3446AF}"/>
    <cellStyle name="Comma 3 3 7 4" xfId="5322" xr:uid="{1ECB05B0-B070-4C80-B7C6-127E5EEB5F29}"/>
    <cellStyle name="Comma 3 3 7 4 2" xfId="14394" xr:uid="{C02B5CFF-BF79-4FD1-B0C8-0AFB294ACDD5}"/>
    <cellStyle name="Comma 3 3 7 4 2 2" xfId="29514" xr:uid="{DF615AC6-5438-4CF2-B55E-254EE22608F1}"/>
    <cellStyle name="Comma 3 3 7 4 2 2 2" xfId="59754" xr:uid="{A85B83D9-7BE7-4DA9-A007-16723C05E77E}"/>
    <cellStyle name="Comma 3 3 7 4 2 3" xfId="44634" xr:uid="{621FECE1-5B3C-402C-BF3B-4D66787008E2}"/>
    <cellStyle name="Comma 3 3 7 4 3" xfId="20442" xr:uid="{666964BF-2199-4C55-A4A3-3F77109C6E10}"/>
    <cellStyle name="Comma 3 3 7 4 3 2" xfId="50682" xr:uid="{00C2A775-3744-4E0F-B0C8-DF77070F1B7A}"/>
    <cellStyle name="Comma 3 3 7 4 4" xfId="35562" xr:uid="{2DFB6EBE-F65D-4184-B3C9-869B4CBF93CD}"/>
    <cellStyle name="Comma 3 3 7 5" xfId="6834" xr:uid="{7DF8ED03-F798-46E9-B3B1-AB893B35E708}"/>
    <cellStyle name="Comma 3 3 7 5 2" xfId="21954" xr:uid="{D976EF76-7532-45BF-A311-FAA743110330}"/>
    <cellStyle name="Comma 3 3 7 5 2 2" xfId="52194" xr:uid="{CE5E97D3-A7D8-400D-9963-0A1D6591971F}"/>
    <cellStyle name="Comma 3 3 7 5 3" xfId="37074" xr:uid="{AED7F189-004A-420C-8395-5FB8EC8E4552}"/>
    <cellStyle name="Comma 3 3 7 6" xfId="8346" xr:uid="{FFCF23FC-BCFF-4247-9E23-C940F8A20BCB}"/>
    <cellStyle name="Comma 3 3 7 6 2" xfId="23466" xr:uid="{16578AD5-3DF4-4E4C-AAD6-0E94DB92964B}"/>
    <cellStyle name="Comma 3 3 7 6 2 2" xfId="53706" xr:uid="{B7370357-F2F1-4F9C-8910-733F64CD9D09}"/>
    <cellStyle name="Comma 3 3 7 6 3" xfId="38586" xr:uid="{EDA6ECE2-3C66-4DA0-8FF0-E07B947219B2}"/>
    <cellStyle name="Comma 3 3 7 7" xfId="9858" xr:uid="{35E4F635-F3D5-4B2D-B77B-70236CE56190}"/>
    <cellStyle name="Comma 3 3 7 7 2" xfId="24978" xr:uid="{5240E153-30A6-4204-BD9C-A906C88C99EA}"/>
    <cellStyle name="Comma 3 3 7 7 2 2" xfId="55218" xr:uid="{A3EF0713-2AC6-4821-A322-11EEF96B0C12}"/>
    <cellStyle name="Comma 3 3 7 7 3" xfId="40098" xr:uid="{9F369361-5BBD-4FFF-999E-B5B3A6A8BFEA}"/>
    <cellStyle name="Comma 3 3 7 8" xfId="15906" xr:uid="{BD5FA1D4-1E2F-4ECE-9304-8AADB40BB69B}"/>
    <cellStyle name="Comma 3 3 7 8 2" xfId="46146" xr:uid="{7C0AF096-E8EC-41CE-A946-2A5DD1B6CAF3}"/>
    <cellStyle name="Comma 3 3 7 9" xfId="31026" xr:uid="{58BF76A2-E97B-4726-A66C-A98A00B52333}"/>
    <cellStyle name="Comma 3 3 8" xfId="1542" xr:uid="{65FF40BF-CC9B-47CE-AC2A-5FE40F924446}"/>
    <cellStyle name="Comma 3 3 8 2" xfId="10614" xr:uid="{9FFFF39A-10B2-47F5-AB8A-DD5A87ADD3C6}"/>
    <cellStyle name="Comma 3 3 8 2 2" xfId="25734" xr:uid="{4FE51999-4626-4811-87CC-2F893334B51F}"/>
    <cellStyle name="Comma 3 3 8 2 2 2" xfId="55974" xr:uid="{02783949-A35A-4E16-924C-1CFCAE55D367}"/>
    <cellStyle name="Comma 3 3 8 2 3" xfId="40854" xr:uid="{D6DC9B4C-4F27-44A2-B721-543ED395ADAD}"/>
    <cellStyle name="Comma 3 3 8 3" xfId="16662" xr:uid="{32D6575C-5900-4794-8725-B489EB706523}"/>
    <cellStyle name="Comma 3 3 8 3 2" xfId="46902" xr:uid="{5B4C3139-45CE-49D3-B256-E4EA9D4D035D}"/>
    <cellStyle name="Comma 3 3 8 4" xfId="31782" xr:uid="{4E78127C-B0AD-4311-9BDB-A6FEE96FD331}"/>
    <cellStyle name="Comma 3 3 9" xfId="3054" xr:uid="{F8E54EAA-7D4A-4330-A95B-8EBA3C7F535D}"/>
    <cellStyle name="Comma 3 3 9 2" xfId="12126" xr:uid="{624DB9D4-55DF-45C6-8CB3-D3E29ABD4CC4}"/>
    <cellStyle name="Comma 3 3 9 2 2" xfId="27246" xr:uid="{BAE2FA90-703E-4C67-8049-A2677CF6C51D}"/>
    <cellStyle name="Comma 3 3 9 2 2 2" xfId="57486" xr:uid="{176CAC46-2509-47CE-AA88-6528C4F2D2F4}"/>
    <cellStyle name="Comma 3 3 9 2 3" xfId="42366" xr:uid="{1CD85B44-9731-405C-8248-3D8507E4E65A}"/>
    <cellStyle name="Comma 3 3 9 3" xfId="18174" xr:uid="{D68AAD72-3D18-4D69-9125-A6F1DE7F5F96}"/>
    <cellStyle name="Comma 3 3 9 3 2" xfId="48414" xr:uid="{12FFABE4-2D0C-4E4C-B825-8D67ABAB9B45}"/>
    <cellStyle name="Comma 3 3 9 4" xfId="33294" xr:uid="{80DCEF73-E401-42DE-BA19-2CEECA3EAE6E}"/>
    <cellStyle name="Comma 3 4" xfId="44" xr:uid="{F73FC3B9-A935-4A16-8EBC-970D105E1E78}"/>
    <cellStyle name="Comma 3 4 10" xfId="4580" xr:uid="{00794544-B323-4E14-8065-B69D6FD4A688}"/>
    <cellStyle name="Comma 3 4 10 2" xfId="13652" xr:uid="{240B556E-56B8-4E59-B137-DB5383469090}"/>
    <cellStyle name="Comma 3 4 10 2 2" xfId="28772" xr:uid="{40222217-8924-48B5-ACAE-6C78AC494702}"/>
    <cellStyle name="Comma 3 4 10 2 2 2" xfId="59012" xr:uid="{E6816F2E-73B6-42ED-BCAE-4030CBA4E9BF}"/>
    <cellStyle name="Comma 3 4 10 2 3" xfId="43892" xr:uid="{3D74B16C-082C-48AF-A460-AE71201D5938}"/>
    <cellStyle name="Comma 3 4 10 3" xfId="19700" xr:uid="{04B6055D-AA00-43EF-8AFB-A2E761D43391}"/>
    <cellStyle name="Comma 3 4 10 3 2" xfId="49940" xr:uid="{251F4C65-828C-4FBF-A2F3-063D0B19EDA9}"/>
    <cellStyle name="Comma 3 4 10 4" xfId="34820" xr:uid="{27D551CE-4F9B-4D06-8C92-510218A9B442}"/>
    <cellStyle name="Comma 3 4 11" xfId="6092" xr:uid="{05E45611-EDED-46F9-A6FB-BD1EA610D75E}"/>
    <cellStyle name="Comma 3 4 11 2" xfId="21212" xr:uid="{6A1357EA-3577-4FFD-9DDD-135A2AD839BA}"/>
    <cellStyle name="Comma 3 4 11 2 2" xfId="51452" xr:uid="{D98F5CBE-F307-46F5-8841-7832B01C7BB8}"/>
    <cellStyle name="Comma 3 4 11 3" xfId="36332" xr:uid="{E304A0A0-2DA3-4DB7-9C51-F2A3CA2069B0}"/>
    <cellStyle name="Comma 3 4 12" xfId="7604" xr:uid="{EE598B80-A3EB-4222-9251-C513D2B03387}"/>
    <cellStyle name="Comma 3 4 12 2" xfId="22724" xr:uid="{23703BE7-9B96-4E77-A536-65525DFA5ACD}"/>
    <cellStyle name="Comma 3 4 12 2 2" xfId="52964" xr:uid="{C895E344-F870-4714-BA5E-730DD96AC419}"/>
    <cellStyle name="Comma 3 4 12 3" xfId="37844" xr:uid="{C8C9B95A-F58D-4986-82F1-F11A9913F20D}"/>
    <cellStyle name="Comma 3 4 13" xfId="9116" xr:uid="{D7506245-B639-44FB-9CCD-A84E5162C231}"/>
    <cellStyle name="Comma 3 4 13 2" xfId="24236" xr:uid="{E6584186-7A1D-4C54-B7A5-F5BADB81B9BD}"/>
    <cellStyle name="Comma 3 4 13 2 2" xfId="54476" xr:uid="{A2F2D97C-4DE0-453A-B30A-0AEF4A0A7602}"/>
    <cellStyle name="Comma 3 4 13 3" xfId="39356" xr:uid="{0F395787-C95E-4F31-924A-AE9E9AE53A6B}"/>
    <cellStyle name="Comma 3 4 14" xfId="15164" xr:uid="{F12F7349-D5E8-40BA-A08D-D502EA6A4DD0}"/>
    <cellStyle name="Comma 3 4 14 2" xfId="45404" xr:uid="{14C7A49A-3707-437D-82CE-FBEB327D772B}"/>
    <cellStyle name="Comma 3 4 15" xfId="30284" xr:uid="{7B620332-79F5-47F3-96B1-FC0B19464B94}"/>
    <cellStyle name="Comma 3 4 2" xfId="86" xr:uid="{01D5489C-91B5-4793-8F17-EFC30301F1C2}"/>
    <cellStyle name="Comma 3 4 2 10" xfId="6134" xr:uid="{CD4132BC-D0E5-4A41-A87D-D827ADA6B1DB}"/>
    <cellStyle name="Comma 3 4 2 10 2" xfId="21254" xr:uid="{96C41CA9-EB16-41AF-8963-A1BB7E1B42E2}"/>
    <cellStyle name="Comma 3 4 2 10 2 2" xfId="51494" xr:uid="{C0D0853C-F7CA-440A-94CD-8A71B9A5F383}"/>
    <cellStyle name="Comma 3 4 2 10 3" xfId="36374" xr:uid="{624A78F8-6FC3-45C2-AA5D-A03D727306C5}"/>
    <cellStyle name="Comma 3 4 2 11" xfId="7646" xr:uid="{EA53F78A-2493-4610-A247-A6096F0EF0D8}"/>
    <cellStyle name="Comma 3 4 2 11 2" xfId="22766" xr:uid="{4A62F89F-76D1-4853-87BF-05F61DBDDD72}"/>
    <cellStyle name="Comma 3 4 2 11 2 2" xfId="53006" xr:uid="{D8054CFD-52E0-4E5D-8680-F9FD78C320EF}"/>
    <cellStyle name="Comma 3 4 2 11 3" xfId="37886" xr:uid="{2A99BE02-FA60-4EE9-B20F-82DE0D009BC1}"/>
    <cellStyle name="Comma 3 4 2 12" xfId="9158" xr:uid="{8E69ADC1-8CFD-499D-89AF-EF50A2A7C38B}"/>
    <cellStyle name="Comma 3 4 2 12 2" xfId="24278" xr:uid="{5AFC7F44-4E5E-4FEA-9B7E-384D8364A761}"/>
    <cellStyle name="Comma 3 4 2 12 2 2" xfId="54518" xr:uid="{03651A90-F066-4C41-A52F-EEECF162DBCA}"/>
    <cellStyle name="Comma 3 4 2 12 3" xfId="39398" xr:uid="{F5C6A405-E6E9-4797-8262-9B3B12683BE0}"/>
    <cellStyle name="Comma 3 4 2 13" xfId="15206" xr:uid="{EF4B5946-862A-47C4-AED6-6909AC0B1A80}"/>
    <cellStyle name="Comma 3 4 2 13 2" xfId="45446" xr:uid="{89FF6BD1-C8D1-492B-9AAE-82119CAD518B}"/>
    <cellStyle name="Comma 3 4 2 14" xfId="30326" xr:uid="{7F1026A0-C25B-48FB-89FB-7785A5379834}"/>
    <cellStyle name="Comma 3 4 2 2" xfId="170" xr:uid="{0E4DEA91-EFC0-41B5-B212-4D3A5BCDE5BD}"/>
    <cellStyle name="Comma 3 4 2 2 10" xfId="9242" xr:uid="{5320E601-C4F4-4A21-AEA5-386D7B88CD14}"/>
    <cellStyle name="Comma 3 4 2 2 10 2" xfId="24362" xr:uid="{4B48238D-7CE9-4C13-87ED-E9912FB63838}"/>
    <cellStyle name="Comma 3 4 2 2 10 2 2" xfId="54602" xr:uid="{76907183-2A7C-456E-A604-75BD71022F0D}"/>
    <cellStyle name="Comma 3 4 2 2 10 3" xfId="39482" xr:uid="{5F0E2155-5CAA-4C9A-8593-4EEA256D4582}"/>
    <cellStyle name="Comma 3 4 2 2 11" xfId="15290" xr:uid="{B4954BED-44B2-40DC-90C9-78A59238FFCD}"/>
    <cellStyle name="Comma 3 4 2 2 11 2" xfId="45530" xr:uid="{C375C1BD-8ECC-4819-B7B5-52295102799F}"/>
    <cellStyle name="Comma 3 4 2 2 12" xfId="30410" xr:uid="{784ACAFC-9936-4681-B04F-BBBA0C755FED}"/>
    <cellStyle name="Comma 3 4 2 2 2" xfId="422" xr:uid="{1E62A83F-D1DD-45C7-A23E-DC3D2CBE4218}"/>
    <cellStyle name="Comma 3 4 2 2 2 10" xfId="30662" xr:uid="{845606FA-1C0F-441A-9505-21B30CD1EE91}"/>
    <cellStyle name="Comma 3 4 2 2 2 2" xfId="1178" xr:uid="{716D9ABC-D2D2-4AF7-BDA1-608DBFD1891A}"/>
    <cellStyle name="Comma 3 4 2 2 2 2 2" xfId="2690" xr:uid="{423F0691-2B72-44A6-BB1E-83E58A411726}"/>
    <cellStyle name="Comma 3 4 2 2 2 2 2 2" xfId="11762" xr:uid="{4A104906-B87E-40CD-8E44-A545F32AE5F0}"/>
    <cellStyle name="Comma 3 4 2 2 2 2 2 2 2" xfId="26882" xr:uid="{1E69A0AD-134F-4582-B3E5-00F66348FE23}"/>
    <cellStyle name="Comma 3 4 2 2 2 2 2 2 2 2" xfId="57122" xr:uid="{A8CDB8EC-2608-4B01-84E1-ACB946042988}"/>
    <cellStyle name="Comma 3 4 2 2 2 2 2 2 3" xfId="42002" xr:uid="{80AEF228-CCBA-4A40-881B-EB321FE6B14E}"/>
    <cellStyle name="Comma 3 4 2 2 2 2 2 3" xfId="17810" xr:uid="{A0F08079-9C9C-43D4-88DA-43374DA34A08}"/>
    <cellStyle name="Comma 3 4 2 2 2 2 2 3 2" xfId="48050" xr:uid="{8F4E53DA-4795-4648-BC1A-BD548C73337E}"/>
    <cellStyle name="Comma 3 4 2 2 2 2 2 4" xfId="32930" xr:uid="{0574EAFD-7E30-455E-B6FC-13C7EDBBC82E}"/>
    <cellStyle name="Comma 3 4 2 2 2 2 3" xfId="4202" xr:uid="{419DAD7A-1708-4F87-937A-56ED8F01B542}"/>
    <cellStyle name="Comma 3 4 2 2 2 2 3 2" xfId="13274" xr:uid="{A01B4F17-E97C-4EB1-B763-F2F191FFFE3A}"/>
    <cellStyle name="Comma 3 4 2 2 2 2 3 2 2" xfId="28394" xr:uid="{4185F8B2-266B-449E-A26C-B13C262E1156}"/>
    <cellStyle name="Comma 3 4 2 2 2 2 3 2 2 2" xfId="58634" xr:uid="{9C3FBE1C-1783-48DE-AAB8-C9DAF401A87C}"/>
    <cellStyle name="Comma 3 4 2 2 2 2 3 2 3" xfId="43514" xr:uid="{5F71FD3C-FA0C-4F31-8214-4DE453D9AD3E}"/>
    <cellStyle name="Comma 3 4 2 2 2 2 3 3" xfId="19322" xr:uid="{734887D5-14A0-45BE-90A7-344C2F362B41}"/>
    <cellStyle name="Comma 3 4 2 2 2 2 3 3 2" xfId="49562" xr:uid="{26846E96-A798-409E-BD94-70F2C9A49400}"/>
    <cellStyle name="Comma 3 4 2 2 2 2 3 4" xfId="34442" xr:uid="{1EFD247B-FD17-4623-BEDC-C04F32A33ADB}"/>
    <cellStyle name="Comma 3 4 2 2 2 2 4" xfId="5714" xr:uid="{2A76972A-7774-4DEA-BA35-D006340BFAAD}"/>
    <cellStyle name="Comma 3 4 2 2 2 2 4 2" xfId="14786" xr:uid="{72122834-8DD0-48AE-B00C-A999A68B961D}"/>
    <cellStyle name="Comma 3 4 2 2 2 2 4 2 2" xfId="29906" xr:uid="{299F91CB-01E4-4489-8A0F-7BC8E553585D}"/>
    <cellStyle name="Comma 3 4 2 2 2 2 4 2 2 2" xfId="60146" xr:uid="{936FDAAA-941F-4C38-8E97-37A1CD83446D}"/>
    <cellStyle name="Comma 3 4 2 2 2 2 4 2 3" xfId="45026" xr:uid="{3C06B161-749E-453F-8E61-9D68D3E57882}"/>
    <cellStyle name="Comma 3 4 2 2 2 2 4 3" xfId="20834" xr:uid="{E15721CE-B488-47F3-A7D6-5D1C953FCC9F}"/>
    <cellStyle name="Comma 3 4 2 2 2 2 4 3 2" xfId="51074" xr:uid="{54FCD3DC-E399-4031-88DF-72D91922ED26}"/>
    <cellStyle name="Comma 3 4 2 2 2 2 4 4" xfId="35954" xr:uid="{9D4AB707-19F7-4EE8-BCD3-6C9129306518}"/>
    <cellStyle name="Comma 3 4 2 2 2 2 5" xfId="7226" xr:uid="{45BF8647-C834-4896-BD9A-AEFDD85E4430}"/>
    <cellStyle name="Comma 3 4 2 2 2 2 5 2" xfId="22346" xr:uid="{2793A740-50CB-4DF6-8E31-C60D608677AA}"/>
    <cellStyle name="Comma 3 4 2 2 2 2 5 2 2" xfId="52586" xr:uid="{33A1E9BF-B0DD-4804-9CD9-95D0CBACEA39}"/>
    <cellStyle name="Comma 3 4 2 2 2 2 5 3" xfId="37466" xr:uid="{0B1B3946-202A-413C-9CEA-1A824CD1D007}"/>
    <cellStyle name="Comma 3 4 2 2 2 2 6" xfId="8738" xr:uid="{75A4EA6B-C594-43E1-991C-DB1CC51F442D}"/>
    <cellStyle name="Comma 3 4 2 2 2 2 6 2" xfId="23858" xr:uid="{E5059359-FDD9-435B-9B68-09B4567D9A0F}"/>
    <cellStyle name="Comma 3 4 2 2 2 2 6 2 2" xfId="54098" xr:uid="{F04A2A64-BFFE-4995-B43B-7E3F8FAD2232}"/>
    <cellStyle name="Comma 3 4 2 2 2 2 6 3" xfId="38978" xr:uid="{6C4DC65F-D003-4E33-A724-8FE576A8724B}"/>
    <cellStyle name="Comma 3 4 2 2 2 2 7" xfId="10250" xr:uid="{F7591AD2-0439-46C1-974E-5B0E4A567151}"/>
    <cellStyle name="Comma 3 4 2 2 2 2 7 2" xfId="25370" xr:uid="{8C040D03-7ED9-45F4-9DD8-99773056F872}"/>
    <cellStyle name="Comma 3 4 2 2 2 2 7 2 2" xfId="55610" xr:uid="{554A2CF2-5576-49F7-91AC-DA2B7F1EF244}"/>
    <cellStyle name="Comma 3 4 2 2 2 2 7 3" xfId="40490" xr:uid="{D7ABEBE2-E73F-4F13-9C67-59927484C338}"/>
    <cellStyle name="Comma 3 4 2 2 2 2 8" xfId="16298" xr:uid="{B3CFBDE3-A241-45AA-9399-D4D60F072C75}"/>
    <cellStyle name="Comma 3 4 2 2 2 2 8 2" xfId="46538" xr:uid="{B4526C57-C3BB-4674-B874-0786025B8CD7}"/>
    <cellStyle name="Comma 3 4 2 2 2 2 9" xfId="31418" xr:uid="{E39230E6-07E1-4811-9E56-23E28DA8DBDC}"/>
    <cellStyle name="Comma 3 4 2 2 2 3" xfId="1934" xr:uid="{558AB300-6B9B-4ACF-8CC4-CB6F35CB5AFC}"/>
    <cellStyle name="Comma 3 4 2 2 2 3 2" xfId="11006" xr:uid="{958021CD-A93B-4FB9-B73B-7B5BEF337EA8}"/>
    <cellStyle name="Comma 3 4 2 2 2 3 2 2" xfId="26126" xr:uid="{F066D6BE-C147-439C-AEF8-0E8365B3C29D}"/>
    <cellStyle name="Comma 3 4 2 2 2 3 2 2 2" xfId="56366" xr:uid="{1ACF8F1D-A47A-4DE2-A043-A17CAEBEB6FF}"/>
    <cellStyle name="Comma 3 4 2 2 2 3 2 3" xfId="41246" xr:uid="{8E73BB2E-DE0B-489E-AF20-8586C0A143CB}"/>
    <cellStyle name="Comma 3 4 2 2 2 3 3" xfId="17054" xr:uid="{360B58D9-615D-4046-919B-7F75B8C183F8}"/>
    <cellStyle name="Comma 3 4 2 2 2 3 3 2" xfId="47294" xr:uid="{804EB943-6A12-44C0-9A3A-EEE7D3C7754C}"/>
    <cellStyle name="Comma 3 4 2 2 2 3 4" xfId="32174" xr:uid="{F1D9FDEF-7B17-4EB9-8F73-60D2CFBC14B9}"/>
    <cellStyle name="Comma 3 4 2 2 2 4" xfId="3446" xr:uid="{5C980E19-824C-4993-87F3-25B2F43E20A3}"/>
    <cellStyle name="Comma 3 4 2 2 2 4 2" xfId="12518" xr:uid="{844691DB-8216-4319-AFE0-64BE07BC68A3}"/>
    <cellStyle name="Comma 3 4 2 2 2 4 2 2" xfId="27638" xr:uid="{51DE9F4F-80D1-42C1-B05C-DABADF06D151}"/>
    <cellStyle name="Comma 3 4 2 2 2 4 2 2 2" xfId="57878" xr:uid="{38205C81-59C4-4DFB-B4AD-3C1F3AFBED3E}"/>
    <cellStyle name="Comma 3 4 2 2 2 4 2 3" xfId="42758" xr:uid="{0C4ABB32-4AB5-40F3-91B6-67B1F857C9B2}"/>
    <cellStyle name="Comma 3 4 2 2 2 4 3" xfId="18566" xr:uid="{49C4B2F1-3C7E-4A43-BC5F-A690CA8503EB}"/>
    <cellStyle name="Comma 3 4 2 2 2 4 3 2" xfId="48806" xr:uid="{18A1A177-B5F5-47DC-A1D6-F24DBFD0BFB6}"/>
    <cellStyle name="Comma 3 4 2 2 2 4 4" xfId="33686" xr:uid="{47B57804-D75F-4B29-BD71-D36741809A3B}"/>
    <cellStyle name="Comma 3 4 2 2 2 5" xfId="4958" xr:uid="{DF7E195E-F153-465C-BF82-5D47D02FC477}"/>
    <cellStyle name="Comma 3 4 2 2 2 5 2" xfId="14030" xr:uid="{8E45333D-96A6-4025-A3AA-CC74E5D23155}"/>
    <cellStyle name="Comma 3 4 2 2 2 5 2 2" xfId="29150" xr:uid="{DA6EA59A-809F-4C37-84C9-8A00EB2D6AF2}"/>
    <cellStyle name="Comma 3 4 2 2 2 5 2 2 2" xfId="59390" xr:uid="{25A5C301-28E8-4FAC-8D12-D18FB6BEC04D}"/>
    <cellStyle name="Comma 3 4 2 2 2 5 2 3" xfId="44270" xr:uid="{74631582-3CD2-494F-A35C-DA53EBA9E237}"/>
    <cellStyle name="Comma 3 4 2 2 2 5 3" xfId="20078" xr:uid="{F3A96082-2B61-442A-B541-484C14D53CB7}"/>
    <cellStyle name="Comma 3 4 2 2 2 5 3 2" xfId="50318" xr:uid="{50AAA539-3B2F-41B9-8E4E-02F6D98352A3}"/>
    <cellStyle name="Comma 3 4 2 2 2 5 4" xfId="35198" xr:uid="{B0B0D75A-05A5-4F94-85DC-A911BA4A1532}"/>
    <cellStyle name="Comma 3 4 2 2 2 6" xfId="6470" xr:uid="{32F344F6-8A36-4BE1-B044-B2CB4040E07B}"/>
    <cellStyle name="Comma 3 4 2 2 2 6 2" xfId="21590" xr:uid="{50CA67DF-6DC4-4265-A0D7-17376CC43EB0}"/>
    <cellStyle name="Comma 3 4 2 2 2 6 2 2" xfId="51830" xr:uid="{562CDCB9-34F0-42BE-BAEB-9DC374243682}"/>
    <cellStyle name="Comma 3 4 2 2 2 6 3" xfId="36710" xr:uid="{94E459BE-6197-40BD-AF78-B1EE9FB2914D}"/>
    <cellStyle name="Comma 3 4 2 2 2 7" xfId="7982" xr:uid="{EC1B949B-FDAB-44F1-8A59-D651AC2AB629}"/>
    <cellStyle name="Comma 3 4 2 2 2 7 2" xfId="23102" xr:uid="{E0B158B3-D5C2-44A7-A44F-7FCCD3545491}"/>
    <cellStyle name="Comma 3 4 2 2 2 7 2 2" xfId="53342" xr:uid="{CF18D340-A785-4548-9B43-7FE4B2F3BE05}"/>
    <cellStyle name="Comma 3 4 2 2 2 7 3" xfId="38222" xr:uid="{C960F0CE-BD0A-4674-8E63-8CA98598A8E7}"/>
    <cellStyle name="Comma 3 4 2 2 2 8" xfId="9494" xr:uid="{9C98B353-761C-4048-8FC9-91F74329149C}"/>
    <cellStyle name="Comma 3 4 2 2 2 8 2" xfId="24614" xr:uid="{F57B49D0-8B76-48D0-ADFC-C9421BAED5DA}"/>
    <cellStyle name="Comma 3 4 2 2 2 8 2 2" xfId="54854" xr:uid="{A142428A-357D-4CA2-B92E-BE1CDC27024B}"/>
    <cellStyle name="Comma 3 4 2 2 2 8 3" xfId="39734" xr:uid="{A5F98C46-F17B-4FD1-B82B-91538FA338B7}"/>
    <cellStyle name="Comma 3 4 2 2 2 9" xfId="15542" xr:uid="{00849473-1BCA-4D16-B185-F04EB64AE80B}"/>
    <cellStyle name="Comma 3 4 2 2 2 9 2" xfId="45782" xr:uid="{FA020D6B-30BF-4BFF-8205-0BCAF091F65E}"/>
    <cellStyle name="Comma 3 4 2 2 3" xfId="674" xr:uid="{19EB5488-6E76-46ED-8124-62B8AFB56495}"/>
    <cellStyle name="Comma 3 4 2 2 3 10" xfId="30914" xr:uid="{14BC13FE-22B3-40EA-8065-4565763F902D}"/>
    <cellStyle name="Comma 3 4 2 2 3 2" xfId="1430" xr:uid="{B847A2FC-8580-4889-A80F-B3DDDCF306E1}"/>
    <cellStyle name="Comma 3 4 2 2 3 2 2" xfId="2942" xr:uid="{ED3115A5-2D24-4A20-96E0-E0463630ECA2}"/>
    <cellStyle name="Comma 3 4 2 2 3 2 2 2" xfId="12014" xr:uid="{F54380ED-2BAB-4D30-9C6C-472E86941802}"/>
    <cellStyle name="Comma 3 4 2 2 3 2 2 2 2" xfId="27134" xr:uid="{747D6F65-1276-4080-AAC8-20F9F2BED8AA}"/>
    <cellStyle name="Comma 3 4 2 2 3 2 2 2 2 2" xfId="57374" xr:uid="{92575FEC-92AC-4B10-BAC8-139B2DDC8ADF}"/>
    <cellStyle name="Comma 3 4 2 2 3 2 2 2 3" xfId="42254" xr:uid="{4F557BA2-998E-41F0-9E78-69A68B825710}"/>
    <cellStyle name="Comma 3 4 2 2 3 2 2 3" xfId="18062" xr:uid="{8C6FF62A-08C6-44E2-B422-34B53BA8D1F6}"/>
    <cellStyle name="Comma 3 4 2 2 3 2 2 3 2" xfId="48302" xr:uid="{E081168E-A016-4D81-B0A2-B5C58C3CC68D}"/>
    <cellStyle name="Comma 3 4 2 2 3 2 2 4" xfId="33182" xr:uid="{24FF8704-95D6-40D3-A260-CAAC31EC437F}"/>
    <cellStyle name="Comma 3 4 2 2 3 2 3" xfId="4454" xr:uid="{7385D6FD-95F9-40BC-A2E7-6957D4E86224}"/>
    <cellStyle name="Comma 3 4 2 2 3 2 3 2" xfId="13526" xr:uid="{E89D3A3C-1549-47FA-8B4D-D41258E3AB77}"/>
    <cellStyle name="Comma 3 4 2 2 3 2 3 2 2" xfId="28646" xr:uid="{8B054B02-4F02-4A82-AEA3-F1A546AEC698}"/>
    <cellStyle name="Comma 3 4 2 2 3 2 3 2 2 2" xfId="58886" xr:uid="{74E53192-DAED-4538-9617-53C4B9AC7450}"/>
    <cellStyle name="Comma 3 4 2 2 3 2 3 2 3" xfId="43766" xr:uid="{C67EABC9-E064-4126-B1D8-08AB96A74A27}"/>
    <cellStyle name="Comma 3 4 2 2 3 2 3 3" xfId="19574" xr:uid="{749D3A35-A7C2-46D2-845F-FCDAC82F813E}"/>
    <cellStyle name="Comma 3 4 2 2 3 2 3 3 2" xfId="49814" xr:uid="{D9AB7707-C0B9-4045-BC71-B78EBDC3EBDD}"/>
    <cellStyle name="Comma 3 4 2 2 3 2 3 4" xfId="34694" xr:uid="{DD43554A-8197-4611-BF94-FB22825D1441}"/>
    <cellStyle name="Comma 3 4 2 2 3 2 4" xfId="5966" xr:uid="{B1692AA3-FFE5-4E77-8763-010E2E4969F2}"/>
    <cellStyle name="Comma 3 4 2 2 3 2 4 2" xfId="15038" xr:uid="{3E70A505-8FD9-4D18-9A4E-31DB75ADF172}"/>
    <cellStyle name="Comma 3 4 2 2 3 2 4 2 2" xfId="30158" xr:uid="{4657B5B9-0986-41EF-83A7-0F9D69332B73}"/>
    <cellStyle name="Comma 3 4 2 2 3 2 4 2 2 2" xfId="60398" xr:uid="{46FD760C-1AB7-447D-A8BE-4870A1E528F4}"/>
    <cellStyle name="Comma 3 4 2 2 3 2 4 2 3" xfId="45278" xr:uid="{2738FC0F-6644-404A-AF08-33F31D76A276}"/>
    <cellStyle name="Comma 3 4 2 2 3 2 4 3" xfId="21086" xr:uid="{9E10417E-C595-43CF-9AD2-0DE0500A092A}"/>
    <cellStyle name="Comma 3 4 2 2 3 2 4 3 2" xfId="51326" xr:uid="{6F657703-29BD-4684-AC46-A54C404BCC0C}"/>
    <cellStyle name="Comma 3 4 2 2 3 2 4 4" xfId="36206" xr:uid="{43C149BF-66A1-4CB8-8D2E-841C0B2C8123}"/>
    <cellStyle name="Comma 3 4 2 2 3 2 5" xfId="7478" xr:uid="{559F31B3-87CD-482C-8B08-9A473813B3B2}"/>
    <cellStyle name="Comma 3 4 2 2 3 2 5 2" xfId="22598" xr:uid="{BFAED561-DFE8-44B5-AEAD-2E39543A79C0}"/>
    <cellStyle name="Comma 3 4 2 2 3 2 5 2 2" xfId="52838" xr:uid="{A1C42710-EBFD-4A4B-8905-58541C658051}"/>
    <cellStyle name="Comma 3 4 2 2 3 2 5 3" xfId="37718" xr:uid="{1C1F87FF-089A-49FD-BFFD-085D73145A20}"/>
    <cellStyle name="Comma 3 4 2 2 3 2 6" xfId="8990" xr:uid="{E069C563-084E-41DC-BF47-E2740871FA35}"/>
    <cellStyle name="Comma 3 4 2 2 3 2 6 2" xfId="24110" xr:uid="{66A7BA47-83B0-4073-AAD2-46426D4EA6B1}"/>
    <cellStyle name="Comma 3 4 2 2 3 2 6 2 2" xfId="54350" xr:uid="{DEF93245-3A39-4195-8F3D-7E548E08B271}"/>
    <cellStyle name="Comma 3 4 2 2 3 2 6 3" xfId="39230" xr:uid="{A2EC5BA6-E444-486A-97CF-A1B9624468E7}"/>
    <cellStyle name="Comma 3 4 2 2 3 2 7" xfId="10502" xr:uid="{5ECDCAA0-E344-40F0-A3BF-43A8228AFFA3}"/>
    <cellStyle name="Comma 3 4 2 2 3 2 7 2" xfId="25622" xr:uid="{2A585825-6930-4714-B713-B0187FE6A51F}"/>
    <cellStyle name="Comma 3 4 2 2 3 2 7 2 2" xfId="55862" xr:uid="{D0BB131A-2619-4AAF-9FFF-DCD194696887}"/>
    <cellStyle name="Comma 3 4 2 2 3 2 7 3" xfId="40742" xr:uid="{556A1124-3260-4B34-853F-D417E3D946F7}"/>
    <cellStyle name="Comma 3 4 2 2 3 2 8" xfId="16550" xr:uid="{F80D4C52-31CF-4416-80D9-709CE59E9349}"/>
    <cellStyle name="Comma 3 4 2 2 3 2 8 2" xfId="46790" xr:uid="{3724E1B9-6B48-4501-8269-F3081C807193}"/>
    <cellStyle name="Comma 3 4 2 2 3 2 9" xfId="31670" xr:uid="{BBB2561E-FC02-4BCA-8FE9-CEEC720D94CF}"/>
    <cellStyle name="Comma 3 4 2 2 3 3" xfId="2186" xr:uid="{DE22DA1B-FDAF-4746-AF50-329C37547505}"/>
    <cellStyle name="Comma 3 4 2 2 3 3 2" xfId="11258" xr:uid="{7C52D41F-8BA8-48A9-8116-7F1A3CAB79EB}"/>
    <cellStyle name="Comma 3 4 2 2 3 3 2 2" xfId="26378" xr:uid="{BDC691DB-4886-4BC1-AB3C-689A933EF73F}"/>
    <cellStyle name="Comma 3 4 2 2 3 3 2 2 2" xfId="56618" xr:uid="{B38E3994-9E04-460C-850C-6E2A9FAE672A}"/>
    <cellStyle name="Comma 3 4 2 2 3 3 2 3" xfId="41498" xr:uid="{203E026A-6B59-444F-AA84-B798336F7A23}"/>
    <cellStyle name="Comma 3 4 2 2 3 3 3" xfId="17306" xr:uid="{C76BC6C4-F30E-435F-9771-A26928DC760F}"/>
    <cellStyle name="Comma 3 4 2 2 3 3 3 2" xfId="47546" xr:uid="{CFF7D0A7-3516-4C33-907E-EBE50EE52099}"/>
    <cellStyle name="Comma 3 4 2 2 3 3 4" xfId="32426" xr:uid="{3CFA2D21-460C-4B3A-9D38-7B18CE26BBB0}"/>
    <cellStyle name="Comma 3 4 2 2 3 4" xfId="3698" xr:uid="{8F0F42DC-74D0-45B7-9ED7-C5C197959493}"/>
    <cellStyle name="Comma 3 4 2 2 3 4 2" xfId="12770" xr:uid="{32E76602-2C25-40E8-A652-E84592A64A68}"/>
    <cellStyle name="Comma 3 4 2 2 3 4 2 2" xfId="27890" xr:uid="{265C1E24-7F0A-4DDD-9A44-15D7206795B7}"/>
    <cellStyle name="Comma 3 4 2 2 3 4 2 2 2" xfId="58130" xr:uid="{3819F9C5-BD69-4F6B-AC9C-CFC11047BBCC}"/>
    <cellStyle name="Comma 3 4 2 2 3 4 2 3" xfId="43010" xr:uid="{900FF1ED-6FC2-455B-A044-7D4C2AEAC802}"/>
    <cellStyle name="Comma 3 4 2 2 3 4 3" xfId="18818" xr:uid="{8FBA7638-F452-4624-B312-170DE46C5D91}"/>
    <cellStyle name="Comma 3 4 2 2 3 4 3 2" xfId="49058" xr:uid="{8F250EC0-92DC-4E9F-B06E-19D9B20EF72D}"/>
    <cellStyle name="Comma 3 4 2 2 3 4 4" xfId="33938" xr:uid="{F3CDDDF3-0AFA-4D91-A11B-AA16D938AFBF}"/>
    <cellStyle name="Comma 3 4 2 2 3 5" xfId="5210" xr:uid="{C451CA68-D911-4827-969D-527CD0DE68CC}"/>
    <cellStyle name="Comma 3 4 2 2 3 5 2" xfId="14282" xr:uid="{04DD6F12-65BD-4C21-9151-47FCE031E00D}"/>
    <cellStyle name="Comma 3 4 2 2 3 5 2 2" xfId="29402" xr:uid="{E6CE181C-1747-4E1E-8101-701F3C0E8F28}"/>
    <cellStyle name="Comma 3 4 2 2 3 5 2 2 2" xfId="59642" xr:uid="{70DB05BE-7414-477C-860C-FB9E0510442F}"/>
    <cellStyle name="Comma 3 4 2 2 3 5 2 3" xfId="44522" xr:uid="{F20804DC-43A5-4383-B47D-E35BC6411955}"/>
    <cellStyle name="Comma 3 4 2 2 3 5 3" xfId="20330" xr:uid="{921754DB-E2C0-469A-B452-7365C30F91EF}"/>
    <cellStyle name="Comma 3 4 2 2 3 5 3 2" xfId="50570" xr:uid="{2051D614-947A-46EC-82F7-569773B359B6}"/>
    <cellStyle name="Comma 3 4 2 2 3 5 4" xfId="35450" xr:uid="{C9A18F5A-DAA3-4752-948B-16A957AF037E}"/>
    <cellStyle name="Comma 3 4 2 2 3 6" xfId="6722" xr:uid="{7FA2D6E9-A52E-4FFB-8175-BE66C1F6C054}"/>
    <cellStyle name="Comma 3 4 2 2 3 6 2" xfId="21842" xr:uid="{DAFF535E-6AE9-45E6-B742-149E7C44F99E}"/>
    <cellStyle name="Comma 3 4 2 2 3 6 2 2" xfId="52082" xr:uid="{CC18C007-EF46-4EB9-B005-956E157779DC}"/>
    <cellStyle name="Comma 3 4 2 2 3 6 3" xfId="36962" xr:uid="{A834CA80-4B9B-45BE-8D22-7BA20CA1EBC8}"/>
    <cellStyle name="Comma 3 4 2 2 3 7" xfId="8234" xr:uid="{152009E9-5B97-4411-AD81-6DB7F9A22FA9}"/>
    <cellStyle name="Comma 3 4 2 2 3 7 2" xfId="23354" xr:uid="{B3D29CCB-4E56-48D8-A150-FE81D2BB9CEE}"/>
    <cellStyle name="Comma 3 4 2 2 3 7 2 2" xfId="53594" xr:uid="{CDB5BA39-5D67-4897-AC15-BA5677A70975}"/>
    <cellStyle name="Comma 3 4 2 2 3 7 3" xfId="38474" xr:uid="{97539583-8ADF-4D4B-9CEC-8C91EE5A2788}"/>
    <cellStyle name="Comma 3 4 2 2 3 8" xfId="9746" xr:uid="{072B279E-5218-437C-942C-61B7236C5C3C}"/>
    <cellStyle name="Comma 3 4 2 2 3 8 2" xfId="24866" xr:uid="{6AF44FE3-ED38-4481-B412-08585A2EBC70}"/>
    <cellStyle name="Comma 3 4 2 2 3 8 2 2" xfId="55106" xr:uid="{69418F60-D006-4159-AB73-DF50793DF51D}"/>
    <cellStyle name="Comma 3 4 2 2 3 8 3" xfId="39986" xr:uid="{4994D59A-ABCF-4C6E-B3D4-0C8D3BCE8E80}"/>
    <cellStyle name="Comma 3 4 2 2 3 9" xfId="15794" xr:uid="{355241CC-B40D-4752-B06F-1A636645A987}"/>
    <cellStyle name="Comma 3 4 2 2 3 9 2" xfId="46034" xr:uid="{A36BADE7-1B52-4D9D-A620-21DBDF092052}"/>
    <cellStyle name="Comma 3 4 2 2 4" xfId="926" xr:uid="{8AD1B3EB-5833-43AB-9AF8-A1F14824E862}"/>
    <cellStyle name="Comma 3 4 2 2 4 2" xfId="2438" xr:uid="{105E39C8-C201-48E6-9DDE-60968FE3D494}"/>
    <cellStyle name="Comma 3 4 2 2 4 2 2" xfId="11510" xr:uid="{5B5AB671-A1FE-4C11-8BBE-FC8B1DBEB282}"/>
    <cellStyle name="Comma 3 4 2 2 4 2 2 2" xfId="26630" xr:uid="{CA3B004A-C1C1-4D52-88BD-F0B87D3C1D17}"/>
    <cellStyle name="Comma 3 4 2 2 4 2 2 2 2" xfId="56870" xr:uid="{4F1B5574-77C3-4895-B286-BB933E2D787A}"/>
    <cellStyle name="Comma 3 4 2 2 4 2 2 3" xfId="41750" xr:uid="{626668D5-F549-4D26-AE96-097D11551CE7}"/>
    <cellStyle name="Comma 3 4 2 2 4 2 3" xfId="17558" xr:uid="{3D91C615-3E34-4D78-91E3-0F365E829156}"/>
    <cellStyle name="Comma 3 4 2 2 4 2 3 2" xfId="47798" xr:uid="{717040B0-D132-400B-BD01-8AEC89BC1EED}"/>
    <cellStyle name="Comma 3 4 2 2 4 2 4" xfId="32678" xr:uid="{BE9B5E47-0239-4887-B390-2CD2D44A53C6}"/>
    <cellStyle name="Comma 3 4 2 2 4 3" xfId="3950" xr:uid="{97D41638-DDCE-4B0E-9089-026448C914C0}"/>
    <cellStyle name="Comma 3 4 2 2 4 3 2" xfId="13022" xr:uid="{D76632F8-0B71-4DCA-8E87-BF6F708C9141}"/>
    <cellStyle name="Comma 3 4 2 2 4 3 2 2" xfId="28142" xr:uid="{BB9875B6-B057-4312-9AB3-DC3DE39F8516}"/>
    <cellStyle name="Comma 3 4 2 2 4 3 2 2 2" xfId="58382" xr:uid="{EFB76F55-01E8-4D6B-86E5-C6C30DD64D5F}"/>
    <cellStyle name="Comma 3 4 2 2 4 3 2 3" xfId="43262" xr:uid="{73DF7666-15ED-4AFD-9565-E7E2B62BFAD3}"/>
    <cellStyle name="Comma 3 4 2 2 4 3 3" xfId="19070" xr:uid="{39EFDF44-A496-49F4-94FE-1FC2F90FC70B}"/>
    <cellStyle name="Comma 3 4 2 2 4 3 3 2" xfId="49310" xr:uid="{F8E124F5-AF72-4096-BD70-DF652E12E8F6}"/>
    <cellStyle name="Comma 3 4 2 2 4 3 4" xfId="34190" xr:uid="{983D71B0-A88C-442C-984E-2A15B068F23E}"/>
    <cellStyle name="Comma 3 4 2 2 4 4" xfId="5462" xr:uid="{139FFE6C-9542-4A95-9512-E883636CD023}"/>
    <cellStyle name="Comma 3 4 2 2 4 4 2" xfId="14534" xr:uid="{DA4BCC8E-D414-4E81-907F-C120372ACDCD}"/>
    <cellStyle name="Comma 3 4 2 2 4 4 2 2" xfId="29654" xr:uid="{20D008CD-EBED-42D6-AFBB-1D93953680BF}"/>
    <cellStyle name="Comma 3 4 2 2 4 4 2 2 2" xfId="59894" xr:uid="{D2FA7681-22D0-46F6-BDA0-610765D29B6F}"/>
    <cellStyle name="Comma 3 4 2 2 4 4 2 3" xfId="44774" xr:uid="{73A5FEAC-AC24-48B7-BF05-91D8D18339F6}"/>
    <cellStyle name="Comma 3 4 2 2 4 4 3" xfId="20582" xr:uid="{4A2812FF-379F-44A0-B955-19E2C4973D02}"/>
    <cellStyle name="Comma 3 4 2 2 4 4 3 2" xfId="50822" xr:uid="{83BCE8DE-74F9-4EB5-A28B-4B7710DD4DCC}"/>
    <cellStyle name="Comma 3 4 2 2 4 4 4" xfId="35702" xr:uid="{660F5E7F-5263-44F1-A3D2-AFD875BC8694}"/>
    <cellStyle name="Comma 3 4 2 2 4 5" xfId="6974" xr:uid="{55D0727C-0CB3-4511-BE7D-BC6FC494BD54}"/>
    <cellStyle name="Comma 3 4 2 2 4 5 2" xfId="22094" xr:uid="{C5B2E908-94FE-4133-B9A9-8180CDCDFCBF}"/>
    <cellStyle name="Comma 3 4 2 2 4 5 2 2" xfId="52334" xr:uid="{BBD3DC0C-6C1F-4568-B2C8-9B77C087C178}"/>
    <cellStyle name="Comma 3 4 2 2 4 5 3" xfId="37214" xr:uid="{A8DFE1C9-DFF0-4A95-B3CC-E83348471D2E}"/>
    <cellStyle name="Comma 3 4 2 2 4 6" xfId="8486" xr:uid="{64584EE7-51FC-429A-8B21-ADE5BEBC67F3}"/>
    <cellStyle name="Comma 3 4 2 2 4 6 2" xfId="23606" xr:uid="{EFA6F8BF-BE78-4412-8897-68AF93B53D81}"/>
    <cellStyle name="Comma 3 4 2 2 4 6 2 2" xfId="53846" xr:uid="{BBD1AA00-758E-4C60-87D0-6EF5941D3E68}"/>
    <cellStyle name="Comma 3 4 2 2 4 6 3" xfId="38726" xr:uid="{3A0D9071-F428-4622-B2A3-89CE72FDDEBE}"/>
    <cellStyle name="Comma 3 4 2 2 4 7" xfId="9998" xr:uid="{6EF20A10-F81C-4F65-825D-83ABABA87EEF}"/>
    <cellStyle name="Comma 3 4 2 2 4 7 2" xfId="25118" xr:uid="{C9031CD0-788D-4B06-B73C-DE7E75018479}"/>
    <cellStyle name="Comma 3 4 2 2 4 7 2 2" xfId="55358" xr:uid="{EBE4C315-5A0F-4C03-AE3F-66F81925CD58}"/>
    <cellStyle name="Comma 3 4 2 2 4 7 3" xfId="40238" xr:uid="{F48219C4-D321-45F2-ABDA-8214F58152FF}"/>
    <cellStyle name="Comma 3 4 2 2 4 8" xfId="16046" xr:uid="{92A8985A-C089-416D-B944-6D9E9EB77E98}"/>
    <cellStyle name="Comma 3 4 2 2 4 8 2" xfId="46286" xr:uid="{04CCDBC2-AEB1-471C-B2F7-F668108E2910}"/>
    <cellStyle name="Comma 3 4 2 2 4 9" xfId="31166" xr:uid="{D7086187-0629-4964-B622-73B86E6849A9}"/>
    <cellStyle name="Comma 3 4 2 2 5" xfId="1682" xr:uid="{BC1DC8AA-230F-44B3-841A-F67B99B13EF6}"/>
    <cellStyle name="Comma 3 4 2 2 5 2" xfId="10754" xr:uid="{DE8C2EB9-80FB-4F65-83D3-97A5DEEDB7C9}"/>
    <cellStyle name="Comma 3 4 2 2 5 2 2" xfId="25874" xr:uid="{A712594D-3C04-4F3A-AFF0-E5FC389265CF}"/>
    <cellStyle name="Comma 3 4 2 2 5 2 2 2" xfId="56114" xr:uid="{89FAF6B1-7C00-4715-AF2D-9A2347772816}"/>
    <cellStyle name="Comma 3 4 2 2 5 2 3" xfId="40994" xr:uid="{00E30506-8341-4910-80E2-A479D92D17C7}"/>
    <cellStyle name="Comma 3 4 2 2 5 3" xfId="16802" xr:uid="{9ADB4496-0B46-4947-AB9B-C4DB32BA324C}"/>
    <cellStyle name="Comma 3 4 2 2 5 3 2" xfId="47042" xr:uid="{3C96222C-6979-406B-8FEA-CB845E011938}"/>
    <cellStyle name="Comma 3 4 2 2 5 4" xfId="31922" xr:uid="{FCF8B44A-3890-438F-8709-335A445A9104}"/>
    <cellStyle name="Comma 3 4 2 2 6" xfId="3194" xr:uid="{BC1B59D7-A420-499F-8CCB-3E450967733C}"/>
    <cellStyle name="Comma 3 4 2 2 6 2" xfId="12266" xr:uid="{6430E0EA-C96A-4598-86F0-446C745C8129}"/>
    <cellStyle name="Comma 3 4 2 2 6 2 2" xfId="27386" xr:uid="{905389DC-38B9-4C67-A8B4-F94B0232145A}"/>
    <cellStyle name="Comma 3 4 2 2 6 2 2 2" xfId="57626" xr:uid="{33CA2C88-CF2E-4CCF-8F26-CC4DEB94E0D7}"/>
    <cellStyle name="Comma 3 4 2 2 6 2 3" xfId="42506" xr:uid="{DE6834C4-3CD3-4A65-8230-8F75B96EB64B}"/>
    <cellStyle name="Comma 3 4 2 2 6 3" xfId="18314" xr:uid="{B5DE3544-0EE7-4A56-9DD1-9DCB5CDC935B}"/>
    <cellStyle name="Comma 3 4 2 2 6 3 2" xfId="48554" xr:uid="{57772EE4-EE45-4900-ABAE-677AB4C7C7ED}"/>
    <cellStyle name="Comma 3 4 2 2 6 4" xfId="33434" xr:uid="{90A9BD11-3BDF-42BB-9676-2E62670FCDA7}"/>
    <cellStyle name="Comma 3 4 2 2 7" xfId="4706" xr:uid="{84C11F6A-01DB-42D4-B285-47FD51AAFB57}"/>
    <cellStyle name="Comma 3 4 2 2 7 2" xfId="13778" xr:uid="{F50D9176-8CFD-4B87-97A2-857FDB0D9D0A}"/>
    <cellStyle name="Comma 3 4 2 2 7 2 2" xfId="28898" xr:uid="{BB3B2E0F-6B69-4B45-97C6-F6FA4D9D43C4}"/>
    <cellStyle name="Comma 3 4 2 2 7 2 2 2" xfId="59138" xr:uid="{809A27BF-9273-420C-B840-449227D06EBD}"/>
    <cellStyle name="Comma 3 4 2 2 7 2 3" xfId="44018" xr:uid="{E13503B9-B6EB-4FB1-A14F-E95AD94B469B}"/>
    <cellStyle name="Comma 3 4 2 2 7 3" xfId="19826" xr:uid="{56DEF0F8-8646-4BF2-9BE9-1D56C77A2630}"/>
    <cellStyle name="Comma 3 4 2 2 7 3 2" xfId="50066" xr:uid="{459797B5-3D31-4CFB-AA03-72F4802D283A}"/>
    <cellStyle name="Comma 3 4 2 2 7 4" xfId="34946" xr:uid="{F38CD36A-0F03-4CA9-B1EA-3298A8798FB3}"/>
    <cellStyle name="Comma 3 4 2 2 8" xfId="6218" xr:uid="{1C689F65-AC60-48D2-AB4B-B7EDD8EADBE9}"/>
    <cellStyle name="Comma 3 4 2 2 8 2" xfId="21338" xr:uid="{5E0AD5F5-B85F-49AF-89E0-1E532D46A880}"/>
    <cellStyle name="Comma 3 4 2 2 8 2 2" xfId="51578" xr:uid="{DA4062E0-A478-4699-8C76-4432674262D7}"/>
    <cellStyle name="Comma 3 4 2 2 8 3" xfId="36458" xr:uid="{44E0136A-B56C-4A56-A319-E50888392FFA}"/>
    <cellStyle name="Comma 3 4 2 2 9" xfId="7730" xr:uid="{C481394B-42F1-43E5-AC70-B556C1739BE6}"/>
    <cellStyle name="Comma 3 4 2 2 9 2" xfId="22850" xr:uid="{48E14CAC-9438-487F-A1A3-3DBC7935CFA6}"/>
    <cellStyle name="Comma 3 4 2 2 9 2 2" xfId="53090" xr:uid="{B01DD8F2-81FE-483E-B931-A4B3FAE486A1}"/>
    <cellStyle name="Comma 3 4 2 2 9 3" xfId="37970" xr:uid="{1B7E98BA-913D-4F02-957E-2222F4F38D9C}"/>
    <cellStyle name="Comma 3 4 2 3" xfId="254" xr:uid="{363767E8-02B8-4F69-995D-A813BE4018DE}"/>
    <cellStyle name="Comma 3 4 2 3 10" xfId="9326" xr:uid="{E3E450B4-3445-465F-8A77-BC2101C60976}"/>
    <cellStyle name="Comma 3 4 2 3 10 2" xfId="24446" xr:uid="{2358FCC5-C4C0-4D19-A892-7F2E9EB9E743}"/>
    <cellStyle name="Comma 3 4 2 3 10 2 2" xfId="54686" xr:uid="{EF45F544-2CFC-47B4-95D1-A9C1A4080D0C}"/>
    <cellStyle name="Comma 3 4 2 3 10 3" xfId="39566" xr:uid="{5D34AF54-7C18-4F0A-848F-C8BCB2090B65}"/>
    <cellStyle name="Comma 3 4 2 3 11" xfId="15374" xr:uid="{D38E81D5-89BA-4165-BB01-F78A09C86CF5}"/>
    <cellStyle name="Comma 3 4 2 3 11 2" xfId="45614" xr:uid="{B1380D2D-4831-4D78-B468-A3D6C8F20573}"/>
    <cellStyle name="Comma 3 4 2 3 12" xfId="30494" xr:uid="{15B4006F-265E-4659-B9F0-1D3ED13ECDC5}"/>
    <cellStyle name="Comma 3 4 2 3 2" xfId="506" xr:uid="{128AF707-1E25-406B-B9DE-0F10074715CF}"/>
    <cellStyle name="Comma 3 4 2 3 2 10" xfId="30746" xr:uid="{5A485F65-7390-49FA-A3F8-4C983D10B018}"/>
    <cellStyle name="Comma 3 4 2 3 2 2" xfId="1262" xr:uid="{EA3BF97C-87C1-4AFA-9D83-D56A876B17A3}"/>
    <cellStyle name="Comma 3 4 2 3 2 2 2" xfId="2774" xr:uid="{2C087DDE-D9CF-443D-BDBA-993521026958}"/>
    <cellStyle name="Comma 3 4 2 3 2 2 2 2" xfId="11846" xr:uid="{0DC7C0E9-D1FE-46C1-9691-04CA67E17BAF}"/>
    <cellStyle name="Comma 3 4 2 3 2 2 2 2 2" xfId="26966" xr:uid="{B9560A5E-4749-4734-B48C-51DA56704B7C}"/>
    <cellStyle name="Comma 3 4 2 3 2 2 2 2 2 2" xfId="57206" xr:uid="{9FFA1810-A96A-4426-9F24-2BB5EF612CC0}"/>
    <cellStyle name="Comma 3 4 2 3 2 2 2 2 3" xfId="42086" xr:uid="{152AE47B-B95D-4377-95A3-47A95E0F26EB}"/>
    <cellStyle name="Comma 3 4 2 3 2 2 2 3" xfId="17894" xr:uid="{754E5361-A345-4C26-AF54-780148B983C5}"/>
    <cellStyle name="Comma 3 4 2 3 2 2 2 3 2" xfId="48134" xr:uid="{92B2B9DD-6F52-4C51-BE6C-8FBF3894FB71}"/>
    <cellStyle name="Comma 3 4 2 3 2 2 2 4" xfId="33014" xr:uid="{5FB6E1CC-7BFA-485A-A0A6-2FDA4B50483D}"/>
    <cellStyle name="Comma 3 4 2 3 2 2 3" xfId="4286" xr:uid="{EA4C1CFD-8BB9-4177-A47C-82E444CA8C24}"/>
    <cellStyle name="Comma 3 4 2 3 2 2 3 2" xfId="13358" xr:uid="{439DBCA0-B24D-4F60-99AF-61EDBD64A4FD}"/>
    <cellStyle name="Comma 3 4 2 3 2 2 3 2 2" xfId="28478" xr:uid="{F0EC1DF8-6A92-4C6B-856C-44D45A3B3B90}"/>
    <cellStyle name="Comma 3 4 2 3 2 2 3 2 2 2" xfId="58718" xr:uid="{C7002F61-F18D-482D-99AB-B469F2FE2451}"/>
    <cellStyle name="Comma 3 4 2 3 2 2 3 2 3" xfId="43598" xr:uid="{C1C50AF3-C30A-4521-A5D5-8D4EE36C9F4F}"/>
    <cellStyle name="Comma 3 4 2 3 2 2 3 3" xfId="19406" xr:uid="{4E1AF34C-854C-4E0A-9270-A9B9CD6E9348}"/>
    <cellStyle name="Comma 3 4 2 3 2 2 3 3 2" xfId="49646" xr:uid="{3FD34DF0-296C-4B32-B5FD-F777FF890FAD}"/>
    <cellStyle name="Comma 3 4 2 3 2 2 3 4" xfId="34526" xr:uid="{09C92726-2892-4591-905E-CC41B6AEE42C}"/>
    <cellStyle name="Comma 3 4 2 3 2 2 4" xfId="5798" xr:uid="{CA3E87E5-C941-4D3B-B779-BE2A17D6F0AE}"/>
    <cellStyle name="Comma 3 4 2 3 2 2 4 2" xfId="14870" xr:uid="{BA78B973-573D-4DA0-9B1A-3524EE19A954}"/>
    <cellStyle name="Comma 3 4 2 3 2 2 4 2 2" xfId="29990" xr:uid="{764642CF-28C7-4FC5-BEFB-E3DCB78AC837}"/>
    <cellStyle name="Comma 3 4 2 3 2 2 4 2 2 2" xfId="60230" xr:uid="{489FEC0F-FDBD-4AFC-8318-FE926AE1DC2D}"/>
    <cellStyle name="Comma 3 4 2 3 2 2 4 2 3" xfId="45110" xr:uid="{AA11F963-98DD-45D3-A711-BCF6A325263F}"/>
    <cellStyle name="Comma 3 4 2 3 2 2 4 3" xfId="20918" xr:uid="{254F010C-B2CD-43BF-9423-A30BF9361967}"/>
    <cellStyle name="Comma 3 4 2 3 2 2 4 3 2" xfId="51158" xr:uid="{2601F836-6FF9-4F84-8064-BBCBE7402577}"/>
    <cellStyle name="Comma 3 4 2 3 2 2 4 4" xfId="36038" xr:uid="{AC65D3CF-D4D6-4556-96D0-C932FD7893AB}"/>
    <cellStyle name="Comma 3 4 2 3 2 2 5" xfId="7310" xr:uid="{CF8E230E-D2C5-48A8-B0F8-099DCC4EB94D}"/>
    <cellStyle name="Comma 3 4 2 3 2 2 5 2" xfId="22430" xr:uid="{9DA2D03D-9C7A-43E5-8A1D-F19501878D28}"/>
    <cellStyle name="Comma 3 4 2 3 2 2 5 2 2" xfId="52670" xr:uid="{E6ED053E-A307-4788-AF3E-971E01EBD316}"/>
    <cellStyle name="Comma 3 4 2 3 2 2 5 3" xfId="37550" xr:uid="{DFA17D12-EB46-4BDB-B23D-C758DDD35EED}"/>
    <cellStyle name="Comma 3 4 2 3 2 2 6" xfId="8822" xr:uid="{22629D47-DE6E-4DEF-95D4-3E60CD12BCEB}"/>
    <cellStyle name="Comma 3 4 2 3 2 2 6 2" xfId="23942" xr:uid="{5D4FE73D-4A49-461F-B046-5CB5A0F1BD95}"/>
    <cellStyle name="Comma 3 4 2 3 2 2 6 2 2" xfId="54182" xr:uid="{1F6A877F-5271-466F-8041-D69A8314386A}"/>
    <cellStyle name="Comma 3 4 2 3 2 2 6 3" xfId="39062" xr:uid="{326622F3-6224-4412-9FF9-26C75455AD7B}"/>
    <cellStyle name="Comma 3 4 2 3 2 2 7" xfId="10334" xr:uid="{A333C66D-3075-4584-9FA2-3E1C3B45D54B}"/>
    <cellStyle name="Comma 3 4 2 3 2 2 7 2" xfId="25454" xr:uid="{ABA6B757-283B-4155-804D-242183442DA8}"/>
    <cellStyle name="Comma 3 4 2 3 2 2 7 2 2" xfId="55694" xr:uid="{0579CFDF-42B3-4CA1-9EBC-D383EAE73EA5}"/>
    <cellStyle name="Comma 3 4 2 3 2 2 7 3" xfId="40574" xr:uid="{97F8290A-36E5-42EC-A25C-FBF237E90263}"/>
    <cellStyle name="Comma 3 4 2 3 2 2 8" xfId="16382" xr:uid="{657385B6-95EA-4960-AE7B-086181BD5ED4}"/>
    <cellStyle name="Comma 3 4 2 3 2 2 8 2" xfId="46622" xr:uid="{B6365833-1FC6-4CE9-8046-09F900FF6002}"/>
    <cellStyle name="Comma 3 4 2 3 2 2 9" xfId="31502" xr:uid="{8CF4051D-7E67-490B-9ABF-B23F2CBE7389}"/>
    <cellStyle name="Comma 3 4 2 3 2 3" xfId="2018" xr:uid="{94994318-D23A-4F4C-A604-07A1DA156221}"/>
    <cellStyle name="Comma 3 4 2 3 2 3 2" xfId="11090" xr:uid="{04F3595A-08F4-40B7-BE2E-86A272853F15}"/>
    <cellStyle name="Comma 3 4 2 3 2 3 2 2" xfId="26210" xr:uid="{922817BA-AD64-44B2-B0CF-8C41227A025B}"/>
    <cellStyle name="Comma 3 4 2 3 2 3 2 2 2" xfId="56450" xr:uid="{A886427C-677A-4C10-80E7-2FDB3C6AB5BD}"/>
    <cellStyle name="Comma 3 4 2 3 2 3 2 3" xfId="41330" xr:uid="{4F69A1B2-86B3-46C1-A8F7-EA7B456A31FF}"/>
    <cellStyle name="Comma 3 4 2 3 2 3 3" xfId="17138" xr:uid="{B6616853-A38A-415B-8A6A-9925D681E87B}"/>
    <cellStyle name="Comma 3 4 2 3 2 3 3 2" xfId="47378" xr:uid="{DB0B87E7-861A-44E4-90B9-B3CF261FF94D}"/>
    <cellStyle name="Comma 3 4 2 3 2 3 4" xfId="32258" xr:uid="{77046DC5-7F05-4289-A1A5-DE9031EAF3C8}"/>
    <cellStyle name="Comma 3 4 2 3 2 4" xfId="3530" xr:uid="{1376152D-80DE-432F-B665-D4BBF1DD8D64}"/>
    <cellStyle name="Comma 3 4 2 3 2 4 2" xfId="12602" xr:uid="{72A2E2D5-5BDF-40A1-88CD-CBC77DD9C8B5}"/>
    <cellStyle name="Comma 3 4 2 3 2 4 2 2" xfId="27722" xr:uid="{C81006BA-6990-43BB-8FB7-60EEC0CC7C00}"/>
    <cellStyle name="Comma 3 4 2 3 2 4 2 2 2" xfId="57962" xr:uid="{912F9446-08C5-4141-A93D-58030267BFD7}"/>
    <cellStyle name="Comma 3 4 2 3 2 4 2 3" xfId="42842" xr:uid="{130C8D68-51B0-46F4-B59B-69569AB13EAE}"/>
    <cellStyle name="Comma 3 4 2 3 2 4 3" xfId="18650" xr:uid="{D1CA2813-4792-4ADE-B99A-AA567B19E046}"/>
    <cellStyle name="Comma 3 4 2 3 2 4 3 2" xfId="48890" xr:uid="{199C51E4-2433-447C-ABC3-BD50D77B55D0}"/>
    <cellStyle name="Comma 3 4 2 3 2 4 4" xfId="33770" xr:uid="{33B61A64-9735-4008-92DB-3EE73B62C856}"/>
    <cellStyle name="Comma 3 4 2 3 2 5" xfId="5042" xr:uid="{40ED20F1-10EC-4977-A20F-ED098CA0B4C3}"/>
    <cellStyle name="Comma 3 4 2 3 2 5 2" xfId="14114" xr:uid="{ADD12921-FA1C-43E7-AD60-02274080C0A8}"/>
    <cellStyle name="Comma 3 4 2 3 2 5 2 2" xfId="29234" xr:uid="{80E0D49B-5B93-4748-AD82-E932E8416CDC}"/>
    <cellStyle name="Comma 3 4 2 3 2 5 2 2 2" xfId="59474" xr:uid="{C68D04B1-9D45-4B6B-BD01-4058AD44E963}"/>
    <cellStyle name="Comma 3 4 2 3 2 5 2 3" xfId="44354" xr:uid="{802B0A29-7107-4A86-A226-D9CB6B6B4623}"/>
    <cellStyle name="Comma 3 4 2 3 2 5 3" xfId="20162" xr:uid="{03A09768-B6A2-48E5-AE30-D28D33B3ED93}"/>
    <cellStyle name="Comma 3 4 2 3 2 5 3 2" xfId="50402" xr:uid="{6B8DFF7D-9E8E-47C1-B562-4D704D7EE82F}"/>
    <cellStyle name="Comma 3 4 2 3 2 5 4" xfId="35282" xr:uid="{E6CE6583-0227-4392-BE7F-F85E95814B10}"/>
    <cellStyle name="Comma 3 4 2 3 2 6" xfId="6554" xr:uid="{AF6A697E-CCEB-4E5B-BBC9-0CD8F686D9D1}"/>
    <cellStyle name="Comma 3 4 2 3 2 6 2" xfId="21674" xr:uid="{5AB33A4B-D570-4D7D-8421-1BC40236562A}"/>
    <cellStyle name="Comma 3 4 2 3 2 6 2 2" xfId="51914" xr:uid="{0917AFAE-EB4C-4278-B921-8F8108276134}"/>
    <cellStyle name="Comma 3 4 2 3 2 6 3" xfId="36794" xr:uid="{164A9107-E310-4F14-BF37-E6FE5046E9F9}"/>
    <cellStyle name="Comma 3 4 2 3 2 7" xfId="8066" xr:uid="{79AE1D79-CEFB-4171-ACEC-DFCF2DF0F980}"/>
    <cellStyle name="Comma 3 4 2 3 2 7 2" xfId="23186" xr:uid="{7812BAE9-9E24-44FF-8639-4552D4A36006}"/>
    <cellStyle name="Comma 3 4 2 3 2 7 2 2" xfId="53426" xr:uid="{C88BD11C-1111-4089-B20C-BD9D6518EF78}"/>
    <cellStyle name="Comma 3 4 2 3 2 7 3" xfId="38306" xr:uid="{E8E106D9-27AB-4B80-9CC2-1F9FEC12ECC8}"/>
    <cellStyle name="Comma 3 4 2 3 2 8" xfId="9578" xr:uid="{966367A6-F9DC-4926-9D9F-C3F34105A3C2}"/>
    <cellStyle name="Comma 3 4 2 3 2 8 2" xfId="24698" xr:uid="{F87C9C1B-4EFF-44AD-9E01-E9F87674D8CF}"/>
    <cellStyle name="Comma 3 4 2 3 2 8 2 2" xfId="54938" xr:uid="{93124CA2-0D47-439D-920F-ECF5EB8283CF}"/>
    <cellStyle name="Comma 3 4 2 3 2 8 3" xfId="39818" xr:uid="{53A79EFA-8E9F-43BD-A3D6-14870C0BE977}"/>
    <cellStyle name="Comma 3 4 2 3 2 9" xfId="15626" xr:uid="{BCC1339D-C44D-4CEE-A63E-6EBC79A20774}"/>
    <cellStyle name="Comma 3 4 2 3 2 9 2" xfId="45866" xr:uid="{6304B3CF-90F2-4BCD-B4B0-85330302392D}"/>
    <cellStyle name="Comma 3 4 2 3 3" xfId="758" xr:uid="{324C41D8-5F0C-43C9-80CF-1EF683814A4D}"/>
    <cellStyle name="Comma 3 4 2 3 3 10" xfId="30998" xr:uid="{6FE8A402-9BCA-40B0-85C2-4ECFE4EF836F}"/>
    <cellStyle name="Comma 3 4 2 3 3 2" xfId="1514" xr:uid="{BA27DA0E-A560-429A-AD2B-AB8CF4291F1F}"/>
    <cellStyle name="Comma 3 4 2 3 3 2 2" xfId="3026" xr:uid="{0E4FF115-3E64-48AB-A5C5-A427379BC8E7}"/>
    <cellStyle name="Comma 3 4 2 3 3 2 2 2" xfId="12098" xr:uid="{E6883239-BDAC-4164-A911-1D9A901FAE44}"/>
    <cellStyle name="Comma 3 4 2 3 3 2 2 2 2" xfId="27218" xr:uid="{49DCEDA8-1563-417B-ACAD-B387A5509FA5}"/>
    <cellStyle name="Comma 3 4 2 3 3 2 2 2 2 2" xfId="57458" xr:uid="{1134ABC1-0739-4ABA-A502-69C94DDC3F9F}"/>
    <cellStyle name="Comma 3 4 2 3 3 2 2 2 3" xfId="42338" xr:uid="{F015A9B4-CEC7-4661-B203-0707B1200AA4}"/>
    <cellStyle name="Comma 3 4 2 3 3 2 2 3" xfId="18146" xr:uid="{0BAA536D-24E9-4F92-8BCA-1EED87BD1EE0}"/>
    <cellStyle name="Comma 3 4 2 3 3 2 2 3 2" xfId="48386" xr:uid="{9E0778EA-A68B-4D63-8F2F-4FC16E408957}"/>
    <cellStyle name="Comma 3 4 2 3 3 2 2 4" xfId="33266" xr:uid="{27717925-1CB1-4D1F-8C29-E71A6F2E968E}"/>
    <cellStyle name="Comma 3 4 2 3 3 2 3" xfId="4538" xr:uid="{11DE86D3-19D6-47BF-B26F-1182ECA4C423}"/>
    <cellStyle name="Comma 3 4 2 3 3 2 3 2" xfId="13610" xr:uid="{8CA02A82-B3FC-40E0-A772-13B38DE927F7}"/>
    <cellStyle name="Comma 3 4 2 3 3 2 3 2 2" xfId="28730" xr:uid="{42F5818F-D71C-47B5-8CC9-6D1FF5FE8047}"/>
    <cellStyle name="Comma 3 4 2 3 3 2 3 2 2 2" xfId="58970" xr:uid="{B0FB649A-154D-41B8-8B32-2EAEE1D6DDBE}"/>
    <cellStyle name="Comma 3 4 2 3 3 2 3 2 3" xfId="43850" xr:uid="{C8C571F9-5B0D-4FD1-A6DC-92C22DF63F88}"/>
    <cellStyle name="Comma 3 4 2 3 3 2 3 3" xfId="19658" xr:uid="{7DB060B3-2C72-4171-B1F8-F325ED8DA923}"/>
    <cellStyle name="Comma 3 4 2 3 3 2 3 3 2" xfId="49898" xr:uid="{2292D77C-A984-4AAF-956A-4C8DD53A4CA7}"/>
    <cellStyle name="Comma 3 4 2 3 3 2 3 4" xfId="34778" xr:uid="{B610B0D4-BC10-42C5-B539-69146D6523BC}"/>
    <cellStyle name="Comma 3 4 2 3 3 2 4" xfId="6050" xr:uid="{F6532A61-891D-4665-962E-3C73D9F1CF37}"/>
    <cellStyle name="Comma 3 4 2 3 3 2 4 2" xfId="15122" xr:uid="{59BCA1E2-17DB-45F3-B881-8384E58FC4EB}"/>
    <cellStyle name="Comma 3 4 2 3 3 2 4 2 2" xfId="30242" xr:uid="{B72F8D6C-E847-4394-ADBA-98BA22780176}"/>
    <cellStyle name="Comma 3 4 2 3 3 2 4 2 2 2" xfId="60482" xr:uid="{4A9D34C1-40AC-4F70-8981-793B972B8A6C}"/>
    <cellStyle name="Comma 3 4 2 3 3 2 4 2 3" xfId="45362" xr:uid="{87259B52-87B4-4D27-ADE4-3329FE83465D}"/>
    <cellStyle name="Comma 3 4 2 3 3 2 4 3" xfId="21170" xr:uid="{5F9D3D4B-6A3F-4B73-9C13-96876EF245BB}"/>
    <cellStyle name="Comma 3 4 2 3 3 2 4 3 2" xfId="51410" xr:uid="{CB580C28-4742-4503-B032-2F113B540EBE}"/>
    <cellStyle name="Comma 3 4 2 3 3 2 4 4" xfId="36290" xr:uid="{46F8C813-136E-4222-A24B-7E1542E745EF}"/>
    <cellStyle name="Comma 3 4 2 3 3 2 5" xfId="7562" xr:uid="{4157A49E-DC91-4B7D-A230-AFC6864FC62A}"/>
    <cellStyle name="Comma 3 4 2 3 3 2 5 2" xfId="22682" xr:uid="{4D3E8302-6BF8-4120-9042-54F223F055CD}"/>
    <cellStyle name="Comma 3 4 2 3 3 2 5 2 2" xfId="52922" xr:uid="{164525E5-85CA-4F83-BEC1-EB6F7EC573C1}"/>
    <cellStyle name="Comma 3 4 2 3 3 2 5 3" xfId="37802" xr:uid="{9B7885E9-CB72-4B2C-91FC-EC5C8810F17F}"/>
    <cellStyle name="Comma 3 4 2 3 3 2 6" xfId="9074" xr:uid="{A1B5ADA6-07AA-43A8-B6F4-D4C4F81779F0}"/>
    <cellStyle name="Comma 3 4 2 3 3 2 6 2" xfId="24194" xr:uid="{EA12A2CC-BBD6-417F-9619-EB60B5F71CBA}"/>
    <cellStyle name="Comma 3 4 2 3 3 2 6 2 2" xfId="54434" xr:uid="{4DDAD478-27D2-40AE-8C8E-32A00D255DAF}"/>
    <cellStyle name="Comma 3 4 2 3 3 2 6 3" xfId="39314" xr:uid="{8683694E-72E7-44FB-9366-64B21C57EBA6}"/>
    <cellStyle name="Comma 3 4 2 3 3 2 7" xfId="10586" xr:uid="{18A07DAC-042E-4619-82AA-7EB0E43CA3F7}"/>
    <cellStyle name="Comma 3 4 2 3 3 2 7 2" xfId="25706" xr:uid="{365C0798-1702-46BC-A362-081584FF5E46}"/>
    <cellStyle name="Comma 3 4 2 3 3 2 7 2 2" xfId="55946" xr:uid="{6FD1D54B-470C-4A59-82B3-41686D584C36}"/>
    <cellStyle name="Comma 3 4 2 3 3 2 7 3" xfId="40826" xr:uid="{1D5E8FBD-44A3-411D-B0C3-E1C9A95E0CF7}"/>
    <cellStyle name="Comma 3 4 2 3 3 2 8" xfId="16634" xr:uid="{76B3D7A1-0D35-4469-8737-10D2D0559DCA}"/>
    <cellStyle name="Comma 3 4 2 3 3 2 8 2" xfId="46874" xr:uid="{5535CA46-E4F8-43DF-B3C2-7D0846F4C42D}"/>
    <cellStyle name="Comma 3 4 2 3 3 2 9" xfId="31754" xr:uid="{E35CF021-95C7-4044-885C-632BBEB630E8}"/>
    <cellStyle name="Comma 3 4 2 3 3 3" xfId="2270" xr:uid="{B2E018D7-96CD-46BC-ADE6-D0EACDD88097}"/>
    <cellStyle name="Comma 3 4 2 3 3 3 2" xfId="11342" xr:uid="{37186CA9-70B2-4243-B388-22B275526239}"/>
    <cellStyle name="Comma 3 4 2 3 3 3 2 2" xfId="26462" xr:uid="{9169CB57-BB5D-4ACE-AE6C-8DAC43DB3FB3}"/>
    <cellStyle name="Comma 3 4 2 3 3 3 2 2 2" xfId="56702" xr:uid="{50FE3882-7CED-41E0-A052-14AAD19EE9C6}"/>
    <cellStyle name="Comma 3 4 2 3 3 3 2 3" xfId="41582" xr:uid="{91A8A774-1C89-49FB-AD01-9CAF174D671D}"/>
    <cellStyle name="Comma 3 4 2 3 3 3 3" xfId="17390" xr:uid="{E2A27D6A-526F-4368-B025-8C971F693E85}"/>
    <cellStyle name="Comma 3 4 2 3 3 3 3 2" xfId="47630" xr:uid="{602AFFA2-31A3-49FF-982C-12A53AE36F13}"/>
    <cellStyle name="Comma 3 4 2 3 3 3 4" xfId="32510" xr:uid="{FAD64C47-E0F0-47AB-B3B1-33386366533F}"/>
    <cellStyle name="Comma 3 4 2 3 3 4" xfId="3782" xr:uid="{759F60F9-4D87-413A-A343-302BFCE04850}"/>
    <cellStyle name="Comma 3 4 2 3 3 4 2" xfId="12854" xr:uid="{4A11E1E4-CFB1-4070-A8C4-8A4EF97479CB}"/>
    <cellStyle name="Comma 3 4 2 3 3 4 2 2" xfId="27974" xr:uid="{10C333A8-BF64-4167-B54C-387D148798E1}"/>
    <cellStyle name="Comma 3 4 2 3 3 4 2 2 2" xfId="58214" xr:uid="{40845678-6960-42AE-AB3F-7C6D59AF2721}"/>
    <cellStyle name="Comma 3 4 2 3 3 4 2 3" xfId="43094" xr:uid="{962CEAD3-7EF8-4886-860B-797519F9F1E5}"/>
    <cellStyle name="Comma 3 4 2 3 3 4 3" xfId="18902" xr:uid="{06C31560-9EFF-45B5-9FEA-BB0705F710C9}"/>
    <cellStyle name="Comma 3 4 2 3 3 4 3 2" xfId="49142" xr:uid="{4894463F-0D59-442B-82D5-A14410700B0A}"/>
    <cellStyle name="Comma 3 4 2 3 3 4 4" xfId="34022" xr:uid="{597CDD64-C5D6-438B-AC05-ABD7EAE32CAF}"/>
    <cellStyle name="Comma 3 4 2 3 3 5" xfId="5294" xr:uid="{BB3CC62F-59F1-4231-9CCC-84385DF3EDD8}"/>
    <cellStyle name="Comma 3 4 2 3 3 5 2" xfId="14366" xr:uid="{94B3C7C5-1651-4BE6-B5C0-D18459073CA2}"/>
    <cellStyle name="Comma 3 4 2 3 3 5 2 2" xfId="29486" xr:uid="{8DCDD0FC-1F5F-4A12-B939-622ED0C4CE9A}"/>
    <cellStyle name="Comma 3 4 2 3 3 5 2 2 2" xfId="59726" xr:uid="{CF154F59-20B2-480D-80A1-2F2DEE12EA27}"/>
    <cellStyle name="Comma 3 4 2 3 3 5 2 3" xfId="44606" xr:uid="{54BF793B-32EC-4CED-B3DB-A2381947A7FB}"/>
    <cellStyle name="Comma 3 4 2 3 3 5 3" xfId="20414" xr:uid="{F5261B8E-9AC3-4226-926C-A67DEC11E4F1}"/>
    <cellStyle name="Comma 3 4 2 3 3 5 3 2" xfId="50654" xr:uid="{4AC48F7B-4972-4E12-BD14-7662F1ACED29}"/>
    <cellStyle name="Comma 3 4 2 3 3 5 4" xfId="35534" xr:uid="{F199B01F-E9C5-4DD5-B2E9-316CD1695897}"/>
    <cellStyle name="Comma 3 4 2 3 3 6" xfId="6806" xr:uid="{7BB62DE4-C274-47AC-8395-CCB4D6A5E783}"/>
    <cellStyle name="Comma 3 4 2 3 3 6 2" xfId="21926" xr:uid="{C82E8B54-1857-40EC-A6AC-B6743162AD4F}"/>
    <cellStyle name="Comma 3 4 2 3 3 6 2 2" xfId="52166" xr:uid="{CD9DEF7F-9BA5-4098-BED3-0618A3C56A64}"/>
    <cellStyle name="Comma 3 4 2 3 3 6 3" xfId="37046" xr:uid="{8E46BF3C-631F-4D14-902C-2E005C3DE656}"/>
    <cellStyle name="Comma 3 4 2 3 3 7" xfId="8318" xr:uid="{8F7E8BFF-CA06-4CA7-ACF2-1D960E7EAF88}"/>
    <cellStyle name="Comma 3 4 2 3 3 7 2" xfId="23438" xr:uid="{C8BDC29B-9481-40B5-8874-C24EF3E1B083}"/>
    <cellStyle name="Comma 3 4 2 3 3 7 2 2" xfId="53678" xr:uid="{4EA3F96B-6325-44C2-9A1D-EC38BF83AC31}"/>
    <cellStyle name="Comma 3 4 2 3 3 7 3" xfId="38558" xr:uid="{D25F6EC1-1FE6-4A7E-ACFD-28FCC9E164F7}"/>
    <cellStyle name="Comma 3 4 2 3 3 8" xfId="9830" xr:uid="{20EDDDD1-F155-47A4-BC81-68AEF9B2B093}"/>
    <cellStyle name="Comma 3 4 2 3 3 8 2" xfId="24950" xr:uid="{B6A114BF-1B33-4F66-9620-5FAE395F2860}"/>
    <cellStyle name="Comma 3 4 2 3 3 8 2 2" xfId="55190" xr:uid="{2AE6AE20-781F-4454-8C09-F75655C92744}"/>
    <cellStyle name="Comma 3 4 2 3 3 8 3" xfId="40070" xr:uid="{BED2F525-63E1-43E2-AE34-904AB0FD53A1}"/>
    <cellStyle name="Comma 3 4 2 3 3 9" xfId="15878" xr:uid="{B47CCB7C-2E92-44BD-B28E-F558046016A6}"/>
    <cellStyle name="Comma 3 4 2 3 3 9 2" xfId="46118" xr:uid="{43BB2EFC-2E2F-4C26-8CF4-98C42BE046A2}"/>
    <cellStyle name="Comma 3 4 2 3 4" xfId="1010" xr:uid="{2DC87C68-C759-433D-9E88-6DC806E6D5D9}"/>
    <cellStyle name="Comma 3 4 2 3 4 2" xfId="2522" xr:uid="{24C09344-7DD0-4380-BFC4-DBC9BD14C577}"/>
    <cellStyle name="Comma 3 4 2 3 4 2 2" xfId="11594" xr:uid="{553A4E46-ADE6-4CAD-9716-C1FB5E9A69BC}"/>
    <cellStyle name="Comma 3 4 2 3 4 2 2 2" xfId="26714" xr:uid="{EB1CC71F-2AD8-4ACD-A030-18033B26F03F}"/>
    <cellStyle name="Comma 3 4 2 3 4 2 2 2 2" xfId="56954" xr:uid="{861918AF-A371-44DA-8CE0-F5767ECDC04B}"/>
    <cellStyle name="Comma 3 4 2 3 4 2 2 3" xfId="41834" xr:uid="{AE9F30A4-7D7D-47E9-A078-8CCF68BA628B}"/>
    <cellStyle name="Comma 3 4 2 3 4 2 3" xfId="17642" xr:uid="{EF2CAAA9-AE8B-45B3-9901-1E2FE29DC64A}"/>
    <cellStyle name="Comma 3 4 2 3 4 2 3 2" xfId="47882" xr:uid="{3664065E-F65F-4B48-9E89-7E7D72A15214}"/>
    <cellStyle name="Comma 3 4 2 3 4 2 4" xfId="32762" xr:uid="{71597D93-2599-455F-9AD7-B2BE46761FBD}"/>
    <cellStyle name="Comma 3 4 2 3 4 3" xfId="4034" xr:uid="{807BF525-6AFD-4FED-BDE7-165A70A4A21F}"/>
    <cellStyle name="Comma 3 4 2 3 4 3 2" xfId="13106" xr:uid="{EA599EF3-59F8-4FEC-884D-F0B7CE389978}"/>
    <cellStyle name="Comma 3 4 2 3 4 3 2 2" xfId="28226" xr:uid="{E5AE7563-DD94-430E-88E4-B320F4BE9C71}"/>
    <cellStyle name="Comma 3 4 2 3 4 3 2 2 2" xfId="58466" xr:uid="{4206998B-0C09-4D00-BFAF-CDD32B113F7D}"/>
    <cellStyle name="Comma 3 4 2 3 4 3 2 3" xfId="43346" xr:uid="{A5004172-F459-4B4A-B5BB-B4B49F00885F}"/>
    <cellStyle name="Comma 3 4 2 3 4 3 3" xfId="19154" xr:uid="{3E073E1F-9EE1-437C-83B4-ED7F6F1C4E85}"/>
    <cellStyle name="Comma 3 4 2 3 4 3 3 2" xfId="49394" xr:uid="{CD6DD267-B5CA-4AB2-A261-FEA7E28469EF}"/>
    <cellStyle name="Comma 3 4 2 3 4 3 4" xfId="34274" xr:uid="{9BFA1174-8AB1-491D-8505-1D9454E40FBE}"/>
    <cellStyle name="Comma 3 4 2 3 4 4" xfId="5546" xr:uid="{D2949763-AD5F-4935-83F9-8E1BD23BD729}"/>
    <cellStyle name="Comma 3 4 2 3 4 4 2" xfId="14618" xr:uid="{AD958F90-CA81-482C-97DB-A359A163E9DF}"/>
    <cellStyle name="Comma 3 4 2 3 4 4 2 2" xfId="29738" xr:uid="{5EE87EEA-155A-47EA-87DA-D7F88726DA62}"/>
    <cellStyle name="Comma 3 4 2 3 4 4 2 2 2" xfId="59978" xr:uid="{FB1410D7-5D1C-4001-B125-FEF602D841EF}"/>
    <cellStyle name="Comma 3 4 2 3 4 4 2 3" xfId="44858" xr:uid="{4F6DAF9B-BEA8-42EA-A764-84C77B67D9DC}"/>
    <cellStyle name="Comma 3 4 2 3 4 4 3" xfId="20666" xr:uid="{8EC27C2A-E8C1-4B76-9E8A-B5DA16D17633}"/>
    <cellStyle name="Comma 3 4 2 3 4 4 3 2" xfId="50906" xr:uid="{60BFC408-872D-4DA7-832B-775693223EAF}"/>
    <cellStyle name="Comma 3 4 2 3 4 4 4" xfId="35786" xr:uid="{E1B470B8-2D79-49F4-B63D-8BB011FEE759}"/>
    <cellStyle name="Comma 3 4 2 3 4 5" xfId="7058" xr:uid="{583F7AC1-E038-4384-B4B1-1B5F03CA06A1}"/>
    <cellStyle name="Comma 3 4 2 3 4 5 2" xfId="22178" xr:uid="{CE7AB157-7077-4CC7-BFDF-0C43D4B8EDE4}"/>
    <cellStyle name="Comma 3 4 2 3 4 5 2 2" xfId="52418" xr:uid="{5563E3A6-854B-4C42-A7F1-7AE8E5222139}"/>
    <cellStyle name="Comma 3 4 2 3 4 5 3" xfId="37298" xr:uid="{3D1B18D5-51F4-43D2-839F-0FB806895748}"/>
    <cellStyle name="Comma 3 4 2 3 4 6" xfId="8570" xr:uid="{558F1B32-0C76-494C-99AB-A042FAD373AB}"/>
    <cellStyle name="Comma 3 4 2 3 4 6 2" xfId="23690" xr:uid="{03FE7C56-FFE9-4597-85C9-DC53C41A066B}"/>
    <cellStyle name="Comma 3 4 2 3 4 6 2 2" xfId="53930" xr:uid="{F50D3A98-6C75-42C3-BD9F-A0E33F4BCED9}"/>
    <cellStyle name="Comma 3 4 2 3 4 6 3" xfId="38810" xr:uid="{D5BF004C-11BA-4B79-B997-5E7C77580C5A}"/>
    <cellStyle name="Comma 3 4 2 3 4 7" xfId="10082" xr:uid="{3F1AB14D-119B-4AF7-A222-15EE8BF6BBCC}"/>
    <cellStyle name="Comma 3 4 2 3 4 7 2" xfId="25202" xr:uid="{A89D8399-ED70-435F-A960-9C75BF5FEC72}"/>
    <cellStyle name="Comma 3 4 2 3 4 7 2 2" xfId="55442" xr:uid="{B1CEC085-803C-4775-87A2-D1CB241EBBBF}"/>
    <cellStyle name="Comma 3 4 2 3 4 7 3" xfId="40322" xr:uid="{0EADE7F8-7484-4023-9E8C-5024C463B99B}"/>
    <cellStyle name="Comma 3 4 2 3 4 8" xfId="16130" xr:uid="{7E71E7C9-701A-4484-939F-F8BFB9D06B49}"/>
    <cellStyle name="Comma 3 4 2 3 4 8 2" xfId="46370" xr:uid="{8E9273B9-FCD9-4833-9718-563795A08DD0}"/>
    <cellStyle name="Comma 3 4 2 3 4 9" xfId="31250" xr:uid="{6AA4AA4B-E7C8-41C2-B517-EC9CD53BC06D}"/>
    <cellStyle name="Comma 3 4 2 3 5" xfId="1766" xr:uid="{D31E38DA-E5DE-48BC-AF2C-B3C62DF91EC4}"/>
    <cellStyle name="Comma 3 4 2 3 5 2" xfId="10838" xr:uid="{C99D6526-68AF-4769-A2F2-016F8A859D62}"/>
    <cellStyle name="Comma 3 4 2 3 5 2 2" xfId="25958" xr:uid="{B1542BCD-595B-44C8-8718-AF017E81A626}"/>
    <cellStyle name="Comma 3 4 2 3 5 2 2 2" xfId="56198" xr:uid="{DD89E5BA-0ED4-4FB5-9DE7-A576721E47B6}"/>
    <cellStyle name="Comma 3 4 2 3 5 2 3" xfId="41078" xr:uid="{0CFE1531-BA18-498F-8A93-EDCE16D398F9}"/>
    <cellStyle name="Comma 3 4 2 3 5 3" xfId="16886" xr:uid="{13668F08-D632-48B1-9FF5-49BFCFA037D0}"/>
    <cellStyle name="Comma 3 4 2 3 5 3 2" xfId="47126" xr:uid="{2FFCC0F6-4A67-416E-8C42-B5CC5E1B03A0}"/>
    <cellStyle name="Comma 3 4 2 3 5 4" xfId="32006" xr:uid="{30F89DD9-53D6-4B02-9A8D-FC9B835407E4}"/>
    <cellStyle name="Comma 3 4 2 3 6" xfId="3278" xr:uid="{868BD308-0325-44DB-BB85-26C05B2BE675}"/>
    <cellStyle name="Comma 3 4 2 3 6 2" xfId="12350" xr:uid="{6EF8A302-37B1-4301-A1CF-D75EEEDB9491}"/>
    <cellStyle name="Comma 3 4 2 3 6 2 2" xfId="27470" xr:uid="{6257BEDC-AF69-4C8B-9E72-73B9DD1B47E1}"/>
    <cellStyle name="Comma 3 4 2 3 6 2 2 2" xfId="57710" xr:uid="{BF8E75E2-A462-463E-A13A-2B4BCDC026B3}"/>
    <cellStyle name="Comma 3 4 2 3 6 2 3" xfId="42590" xr:uid="{B056A6B7-4A3F-40B9-86CA-86162261ADC3}"/>
    <cellStyle name="Comma 3 4 2 3 6 3" xfId="18398" xr:uid="{EB28293F-C3DB-4B82-9C2C-E088EE684A71}"/>
    <cellStyle name="Comma 3 4 2 3 6 3 2" xfId="48638" xr:uid="{5B532664-B643-406D-8FF4-C4E834FEA095}"/>
    <cellStyle name="Comma 3 4 2 3 6 4" xfId="33518" xr:uid="{033A169B-6C8C-4CBA-83D7-DDCF2BCB28FB}"/>
    <cellStyle name="Comma 3 4 2 3 7" xfId="4790" xr:uid="{1204C0F1-155D-44C2-A771-5EDFCA889062}"/>
    <cellStyle name="Comma 3 4 2 3 7 2" xfId="13862" xr:uid="{9C418EC3-C718-4DB2-B6E5-A5330147E62A}"/>
    <cellStyle name="Comma 3 4 2 3 7 2 2" xfId="28982" xr:uid="{D38F7F59-0596-4A3A-ADC4-311BC25A2EAC}"/>
    <cellStyle name="Comma 3 4 2 3 7 2 2 2" xfId="59222" xr:uid="{6CC00698-81C3-4E6C-ADE6-83DC03D218FD}"/>
    <cellStyle name="Comma 3 4 2 3 7 2 3" xfId="44102" xr:uid="{4238A76C-F2B3-4269-8F6D-B22335604BFA}"/>
    <cellStyle name="Comma 3 4 2 3 7 3" xfId="19910" xr:uid="{E1239F4D-C9EC-42BB-8464-05DBED562777}"/>
    <cellStyle name="Comma 3 4 2 3 7 3 2" xfId="50150" xr:uid="{EEC506E8-549D-454D-92C3-862FFE3B8322}"/>
    <cellStyle name="Comma 3 4 2 3 7 4" xfId="35030" xr:uid="{FE491864-E142-4173-BE69-74CE893C9DE2}"/>
    <cellStyle name="Comma 3 4 2 3 8" xfId="6302" xr:uid="{C7616D5F-B3F1-4016-9484-34C68F49C0E3}"/>
    <cellStyle name="Comma 3 4 2 3 8 2" xfId="21422" xr:uid="{E8662145-6B70-462D-9F62-5F1190E2BA25}"/>
    <cellStyle name="Comma 3 4 2 3 8 2 2" xfId="51662" xr:uid="{B5A11D91-1246-4820-A2AF-8ACF686C3034}"/>
    <cellStyle name="Comma 3 4 2 3 8 3" xfId="36542" xr:uid="{9BB847D5-06DA-43F0-B1BE-B0B627E28F77}"/>
    <cellStyle name="Comma 3 4 2 3 9" xfId="7814" xr:uid="{D4CF4EE3-1344-4187-AB4E-7643A9BA187A}"/>
    <cellStyle name="Comma 3 4 2 3 9 2" xfId="22934" xr:uid="{9B7E62C3-5A42-4A73-A3EF-A5F8A6F1A55D}"/>
    <cellStyle name="Comma 3 4 2 3 9 2 2" xfId="53174" xr:uid="{CB7A56CD-6719-49E7-AED2-54FFFADCF5B2}"/>
    <cellStyle name="Comma 3 4 2 3 9 3" xfId="38054" xr:uid="{9F5B15EC-06AE-49A7-805D-54B5D6AC47DB}"/>
    <cellStyle name="Comma 3 4 2 4" xfId="338" xr:uid="{B95E72E2-210E-4167-B842-7438E82E9C83}"/>
    <cellStyle name="Comma 3 4 2 4 10" xfId="30578" xr:uid="{82281A85-D592-4DC0-AE86-F696635948EB}"/>
    <cellStyle name="Comma 3 4 2 4 2" xfId="1094" xr:uid="{D9AAC47D-CC84-4273-AC58-3BA12D9B27F4}"/>
    <cellStyle name="Comma 3 4 2 4 2 2" xfId="2606" xr:uid="{F116F45D-00B6-4FAB-9BEB-24E0D1D5269C}"/>
    <cellStyle name="Comma 3 4 2 4 2 2 2" xfId="11678" xr:uid="{267989CC-FD6E-426E-A19D-437BE5C45D41}"/>
    <cellStyle name="Comma 3 4 2 4 2 2 2 2" xfId="26798" xr:uid="{BEFED3C0-052E-4C4F-87C5-8036190DF88A}"/>
    <cellStyle name="Comma 3 4 2 4 2 2 2 2 2" xfId="57038" xr:uid="{4754395F-25A3-4587-8944-6DF3469DDCD6}"/>
    <cellStyle name="Comma 3 4 2 4 2 2 2 3" xfId="41918" xr:uid="{FD7E2BC9-D977-4E06-934D-5B0828470710}"/>
    <cellStyle name="Comma 3 4 2 4 2 2 3" xfId="17726" xr:uid="{EB4B4664-1C4F-4BAA-9E5F-A545AA1374C8}"/>
    <cellStyle name="Comma 3 4 2 4 2 2 3 2" xfId="47966" xr:uid="{EDB50137-A30B-4037-9476-A4C8A2F953A0}"/>
    <cellStyle name="Comma 3 4 2 4 2 2 4" xfId="32846" xr:uid="{B5567479-17F5-42C4-AC53-1673BDD9D35A}"/>
    <cellStyle name="Comma 3 4 2 4 2 3" xfId="4118" xr:uid="{F2263FBF-0CE3-45B4-A35B-EE9777C73A32}"/>
    <cellStyle name="Comma 3 4 2 4 2 3 2" xfId="13190" xr:uid="{09415E95-7F36-411A-8AFB-DBCD1FF4F28F}"/>
    <cellStyle name="Comma 3 4 2 4 2 3 2 2" xfId="28310" xr:uid="{F7D8BF60-CCE7-4FB9-93A6-0DC23EA409A4}"/>
    <cellStyle name="Comma 3 4 2 4 2 3 2 2 2" xfId="58550" xr:uid="{D4D4F4B4-EE4E-4194-8F26-0B3F7874BE08}"/>
    <cellStyle name="Comma 3 4 2 4 2 3 2 3" xfId="43430" xr:uid="{2C9BF567-8C4B-40FD-BDEC-9E87E2CAC793}"/>
    <cellStyle name="Comma 3 4 2 4 2 3 3" xfId="19238" xr:uid="{A20CEC76-6A86-4B34-A8AC-A3A89C1AFC1F}"/>
    <cellStyle name="Comma 3 4 2 4 2 3 3 2" xfId="49478" xr:uid="{BF78883E-4473-4939-9CF7-ED6B36F6D28D}"/>
    <cellStyle name="Comma 3 4 2 4 2 3 4" xfId="34358" xr:uid="{CCA9B1FC-9E07-445F-886F-4E7216D4B7BD}"/>
    <cellStyle name="Comma 3 4 2 4 2 4" xfId="5630" xr:uid="{54FBE480-507A-4C65-9EFF-FAE019A61DA2}"/>
    <cellStyle name="Comma 3 4 2 4 2 4 2" xfId="14702" xr:uid="{E8E552C2-0775-4946-A889-6B6C38A17A82}"/>
    <cellStyle name="Comma 3 4 2 4 2 4 2 2" xfId="29822" xr:uid="{3258C1EF-76C9-4FF1-8508-43AC5373F55E}"/>
    <cellStyle name="Comma 3 4 2 4 2 4 2 2 2" xfId="60062" xr:uid="{8EA230D2-833D-48FF-AA25-D9DAB31F3FC8}"/>
    <cellStyle name="Comma 3 4 2 4 2 4 2 3" xfId="44942" xr:uid="{AEA098BB-3E57-41EF-B993-F16E693A0EE8}"/>
    <cellStyle name="Comma 3 4 2 4 2 4 3" xfId="20750" xr:uid="{BCB60FA9-D855-4380-827A-5A4FF7ED9BE5}"/>
    <cellStyle name="Comma 3 4 2 4 2 4 3 2" xfId="50990" xr:uid="{6EAD6B7F-6EE9-494D-9866-FEE1882490AF}"/>
    <cellStyle name="Comma 3 4 2 4 2 4 4" xfId="35870" xr:uid="{55FAC5BB-DDA8-434A-B748-1BB356D223F0}"/>
    <cellStyle name="Comma 3 4 2 4 2 5" xfId="7142" xr:uid="{B5E3C300-B640-416F-94EB-58771A5CF4BD}"/>
    <cellStyle name="Comma 3 4 2 4 2 5 2" xfId="22262" xr:uid="{FB90A0A8-BD33-4E5E-8885-C50E832868D9}"/>
    <cellStyle name="Comma 3 4 2 4 2 5 2 2" xfId="52502" xr:uid="{1C0A2CE0-A181-48F9-AF62-668D60FDD6F3}"/>
    <cellStyle name="Comma 3 4 2 4 2 5 3" xfId="37382" xr:uid="{8866D83A-966C-491C-989B-CD27E37FEB41}"/>
    <cellStyle name="Comma 3 4 2 4 2 6" xfId="8654" xr:uid="{DA8B63D4-48A6-45DE-BEC7-EFAC12216618}"/>
    <cellStyle name="Comma 3 4 2 4 2 6 2" xfId="23774" xr:uid="{01D1F0DB-583A-468F-8D65-A1E3CE00A873}"/>
    <cellStyle name="Comma 3 4 2 4 2 6 2 2" xfId="54014" xr:uid="{16D05EDA-1458-40BC-9EBA-894719A695B6}"/>
    <cellStyle name="Comma 3 4 2 4 2 6 3" xfId="38894" xr:uid="{37CE8099-E80B-454D-B171-58A49F4E1893}"/>
    <cellStyle name="Comma 3 4 2 4 2 7" xfId="10166" xr:uid="{3399EF21-1FC4-409C-A867-58EABAA464A6}"/>
    <cellStyle name="Comma 3 4 2 4 2 7 2" xfId="25286" xr:uid="{63098911-EF7A-4574-839E-74940E2513E4}"/>
    <cellStyle name="Comma 3 4 2 4 2 7 2 2" xfId="55526" xr:uid="{AD286289-90C8-47F6-BC95-FF890AA35031}"/>
    <cellStyle name="Comma 3 4 2 4 2 7 3" xfId="40406" xr:uid="{43D78447-9DB6-48C8-8909-17CA64D56D0B}"/>
    <cellStyle name="Comma 3 4 2 4 2 8" xfId="16214" xr:uid="{C193FDCE-0299-448D-9F1F-B4B66F9873ED}"/>
    <cellStyle name="Comma 3 4 2 4 2 8 2" xfId="46454" xr:uid="{A2E1618B-44B9-4D8D-8990-E5E8F771981C}"/>
    <cellStyle name="Comma 3 4 2 4 2 9" xfId="31334" xr:uid="{F490F46D-CECB-45EC-84A6-92C3963771EA}"/>
    <cellStyle name="Comma 3 4 2 4 3" xfId="1850" xr:uid="{3FFF8F07-D499-45BF-B91A-ECCCA94E79A5}"/>
    <cellStyle name="Comma 3 4 2 4 3 2" xfId="10922" xr:uid="{954F6F03-047A-4B41-A966-536488D24421}"/>
    <cellStyle name="Comma 3 4 2 4 3 2 2" xfId="26042" xr:uid="{564071C7-BC99-4DD2-A60A-2C6C62696661}"/>
    <cellStyle name="Comma 3 4 2 4 3 2 2 2" xfId="56282" xr:uid="{340EACB7-5B0E-4F02-9691-F2E7DCE6AB79}"/>
    <cellStyle name="Comma 3 4 2 4 3 2 3" xfId="41162" xr:uid="{B5161CCF-40A2-414E-8A3B-67D0769BC036}"/>
    <cellStyle name="Comma 3 4 2 4 3 3" xfId="16970" xr:uid="{7E092260-8DCD-4796-BDDD-FDA1964841D8}"/>
    <cellStyle name="Comma 3 4 2 4 3 3 2" xfId="47210" xr:uid="{D0B5E605-13F2-4FB3-822E-5BCBD70C7438}"/>
    <cellStyle name="Comma 3 4 2 4 3 4" xfId="32090" xr:uid="{968A6265-B2B5-4FFE-9188-A9C6E56DF95C}"/>
    <cellStyle name="Comma 3 4 2 4 4" xfId="3362" xr:uid="{20CC9D32-7F07-47E4-832F-C253499FA3D5}"/>
    <cellStyle name="Comma 3 4 2 4 4 2" xfId="12434" xr:uid="{2775CB5E-CD41-42AC-86CD-4B31F514CEBD}"/>
    <cellStyle name="Comma 3 4 2 4 4 2 2" xfId="27554" xr:uid="{2A04F675-D2AC-43EC-99D2-97CD1064494C}"/>
    <cellStyle name="Comma 3 4 2 4 4 2 2 2" xfId="57794" xr:uid="{9F7863ED-DB5F-4074-A50E-AC49CA75632A}"/>
    <cellStyle name="Comma 3 4 2 4 4 2 3" xfId="42674" xr:uid="{69BD030D-8112-451C-8CB1-3ADE19CA4B42}"/>
    <cellStyle name="Comma 3 4 2 4 4 3" xfId="18482" xr:uid="{5AE6F18F-C54F-4259-A3FF-0DF7AF636B6C}"/>
    <cellStyle name="Comma 3 4 2 4 4 3 2" xfId="48722" xr:uid="{E25536FC-A037-49F2-80B9-75B00DA62A11}"/>
    <cellStyle name="Comma 3 4 2 4 4 4" xfId="33602" xr:uid="{336170E5-3E1E-4A41-95DE-C6E8B4A0865E}"/>
    <cellStyle name="Comma 3 4 2 4 5" xfId="4874" xr:uid="{2D82D0B4-DD51-45B3-A39F-8288720CF69D}"/>
    <cellStyle name="Comma 3 4 2 4 5 2" xfId="13946" xr:uid="{3940AAB0-8E28-4072-A7E5-63411BE1BCBC}"/>
    <cellStyle name="Comma 3 4 2 4 5 2 2" xfId="29066" xr:uid="{3BC06FC8-FC8C-43D8-A28C-AC6A09DF85F2}"/>
    <cellStyle name="Comma 3 4 2 4 5 2 2 2" xfId="59306" xr:uid="{DBEF7464-226B-49BD-9968-B31CAC940F16}"/>
    <cellStyle name="Comma 3 4 2 4 5 2 3" xfId="44186" xr:uid="{49828462-48BA-4FF6-B3FB-53EFB2311B13}"/>
    <cellStyle name="Comma 3 4 2 4 5 3" xfId="19994" xr:uid="{CF0169C4-41D4-40F7-8464-AC2A8CC24980}"/>
    <cellStyle name="Comma 3 4 2 4 5 3 2" xfId="50234" xr:uid="{2EA6B7C6-52EE-4940-A282-B7BC3C2FF927}"/>
    <cellStyle name="Comma 3 4 2 4 5 4" xfId="35114" xr:uid="{FE316A23-7E27-49A7-AB04-E84E8A9C3DC5}"/>
    <cellStyle name="Comma 3 4 2 4 6" xfId="6386" xr:uid="{9AF7FBBD-CC1D-418E-A56B-5499AAA29540}"/>
    <cellStyle name="Comma 3 4 2 4 6 2" xfId="21506" xr:uid="{99DD7B88-EE84-445A-8E3C-3C6258CFADC6}"/>
    <cellStyle name="Comma 3 4 2 4 6 2 2" xfId="51746" xr:uid="{6C9DC01A-F409-45B5-8E3D-57D2F385D10D}"/>
    <cellStyle name="Comma 3 4 2 4 6 3" xfId="36626" xr:uid="{FB868245-4F65-4DF5-B9B6-196549152493}"/>
    <cellStyle name="Comma 3 4 2 4 7" xfId="7898" xr:uid="{4B40D96E-EDA9-4E9E-B2C4-A9FF9C8A9C0B}"/>
    <cellStyle name="Comma 3 4 2 4 7 2" xfId="23018" xr:uid="{879D78D5-A7F4-4859-87B6-667B8E2D04C3}"/>
    <cellStyle name="Comma 3 4 2 4 7 2 2" xfId="53258" xr:uid="{C145122F-EED0-4FE0-ABDE-AFD61AD0AD07}"/>
    <cellStyle name="Comma 3 4 2 4 7 3" xfId="38138" xr:uid="{57112C23-800F-491F-A7E6-983C8B3D87FE}"/>
    <cellStyle name="Comma 3 4 2 4 8" xfId="9410" xr:uid="{8D5A49E4-D564-4107-9B92-ACD1A0E7AF92}"/>
    <cellStyle name="Comma 3 4 2 4 8 2" xfId="24530" xr:uid="{4513503F-BA9A-4596-B9F6-DAA59CC41852}"/>
    <cellStyle name="Comma 3 4 2 4 8 2 2" xfId="54770" xr:uid="{4FBB8725-838E-47F6-ABC2-B033CAE4CA69}"/>
    <cellStyle name="Comma 3 4 2 4 8 3" xfId="39650" xr:uid="{7D24013C-50AC-47D5-895B-BFF6EB65DDFD}"/>
    <cellStyle name="Comma 3 4 2 4 9" xfId="15458" xr:uid="{EE32AEDE-7D12-418D-A7E7-35AB9794E207}"/>
    <cellStyle name="Comma 3 4 2 4 9 2" xfId="45698" xr:uid="{C790FC1F-A2F0-4BA1-8735-895B8352F22D}"/>
    <cellStyle name="Comma 3 4 2 5" xfId="590" xr:uid="{DD084483-373D-4FE4-9BE6-6E87F8BED36C}"/>
    <cellStyle name="Comma 3 4 2 5 10" xfId="30830" xr:uid="{BD6B0316-5BC8-456D-A005-4D8BA35CD7CB}"/>
    <cellStyle name="Comma 3 4 2 5 2" xfId="1346" xr:uid="{BC61BC19-A798-4FC9-8BCB-7FB939893E5C}"/>
    <cellStyle name="Comma 3 4 2 5 2 2" xfId="2858" xr:uid="{E51C133E-406A-4C07-911D-4678D981F478}"/>
    <cellStyle name="Comma 3 4 2 5 2 2 2" xfId="11930" xr:uid="{6942DADB-8194-43AA-93C3-D6380B753CF3}"/>
    <cellStyle name="Comma 3 4 2 5 2 2 2 2" xfId="27050" xr:uid="{656F3956-B832-4498-B72D-38D495E2A3C7}"/>
    <cellStyle name="Comma 3 4 2 5 2 2 2 2 2" xfId="57290" xr:uid="{8442BA1C-9EB5-40BC-8F4A-81A813415FA3}"/>
    <cellStyle name="Comma 3 4 2 5 2 2 2 3" xfId="42170" xr:uid="{0B1224A7-FE57-44E3-B49B-897AA6C3F597}"/>
    <cellStyle name="Comma 3 4 2 5 2 2 3" xfId="17978" xr:uid="{F05CE339-34E4-4EDF-AD14-6A7FF038DDC7}"/>
    <cellStyle name="Comma 3 4 2 5 2 2 3 2" xfId="48218" xr:uid="{573FB46B-E504-4011-86D5-FEC43CAA29CC}"/>
    <cellStyle name="Comma 3 4 2 5 2 2 4" xfId="33098" xr:uid="{FBEDE814-ABAB-42B8-BA18-16B8CDBB08A7}"/>
    <cellStyle name="Comma 3 4 2 5 2 3" xfId="4370" xr:uid="{2B5D7338-F41F-4019-AA3B-A3EACE595FD3}"/>
    <cellStyle name="Comma 3 4 2 5 2 3 2" xfId="13442" xr:uid="{1018A4BE-F7DA-4BBD-8DE1-B733460D4E91}"/>
    <cellStyle name="Comma 3 4 2 5 2 3 2 2" xfId="28562" xr:uid="{D6A9D909-1071-47ED-AE87-05317E4ABC78}"/>
    <cellStyle name="Comma 3 4 2 5 2 3 2 2 2" xfId="58802" xr:uid="{AF72A302-DB38-428F-A20C-0D8E298BEFAA}"/>
    <cellStyle name="Comma 3 4 2 5 2 3 2 3" xfId="43682" xr:uid="{6EC62104-56DF-439D-9D33-2D73511B4A0F}"/>
    <cellStyle name="Comma 3 4 2 5 2 3 3" xfId="19490" xr:uid="{C8782E4D-5D87-4966-89B7-F64199E5E8DA}"/>
    <cellStyle name="Comma 3 4 2 5 2 3 3 2" xfId="49730" xr:uid="{EEE66BF7-B773-4354-9522-FC4EAF4FA9BF}"/>
    <cellStyle name="Comma 3 4 2 5 2 3 4" xfId="34610" xr:uid="{938DAA1D-4487-4BBE-A5AA-848189743A4D}"/>
    <cellStyle name="Comma 3 4 2 5 2 4" xfId="5882" xr:uid="{3845503E-EC49-47FB-AE36-63837FD11D3D}"/>
    <cellStyle name="Comma 3 4 2 5 2 4 2" xfId="14954" xr:uid="{014FE228-3787-4E1E-9628-250F5F9794AC}"/>
    <cellStyle name="Comma 3 4 2 5 2 4 2 2" xfId="30074" xr:uid="{D87F73F6-45AC-4D4A-B204-C2F21E803F9F}"/>
    <cellStyle name="Comma 3 4 2 5 2 4 2 2 2" xfId="60314" xr:uid="{4E071338-E070-408F-8484-34EEE54ADF9C}"/>
    <cellStyle name="Comma 3 4 2 5 2 4 2 3" xfId="45194" xr:uid="{08D64B8A-2136-478A-A649-CCBF9D67045C}"/>
    <cellStyle name="Comma 3 4 2 5 2 4 3" xfId="21002" xr:uid="{2D9AD63E-E040-4781-90BD-0646095F85C5}"/>
    <cellStyle name="Comma 3 4 2 5 2 4 3 2" xfId="51242" xr:uid="{21D7FFA8-6F27-4DFC-92CE-1E6B1787EB19}"/>
    <cellStyle name="Comma 3 4 2 5 2 4 4" xfId="36122" xr:uid="{421A9DA5-237E-42B7-89E5-AB7FA053F1B7}"/>
    <cellStyle name="Comma 3 4 2 5 2 5" xfId="7394" xr:uid="{7C710163-2BC7-4B1A-B4DA-089426B94C33}"/>
    <cellStyle name="Comma 3 4 2 5 2 5 2" xfId="22514" xr:uid="{765FEAF3-8388-46FB-BB4D-BC14D1F6422A}"/>
    <cellStyle name="Comma 3 4 2 5 2 5 2 2" xfId="52754" xr:uid="{18A4547B-975C-4126-9F5B-62B968C5F68F}"/>
    <cellStyle name="Comma 3 4 2 5 2 5 3" xfId="37634" xr:uid="{907665D9-834B-4B63-954E-B825B3FA08F7}"/>
    <cellStyle name="Comma 3 4 2 5 2 6" xfId="8906" xr:uid="{C08D2FB2-2F01-4874-8A58-D040714CD68A}"/>
    <cellStyle name="Comma 3 4 2 5 2 6 2" xfId="24026" xr:uid="{EFE9DFB2-0041-430A-9F42-65BDF0C1484D}"/>
    <cellStyle name="Comma 3 4 2 5 2 6 2 2" xfId="54266" xr:uid="{FB46055E-6280-4BA1-BB11-96A34DE4D556}"/>
    <cellStyle name="Comma 3 4 2 5 2 6 3" xfId="39146" xr:uid="{64F9A53E-C6BE-42EE-B4E3-F3BD42990632}"/>
    <cellStyle name="Comma 3 4 2 5 2 7" xfId="10418" xr:uid="{0A470765-3077-4A2A-B5D8-77C339A823C3}"/>
    <cellStyle name="Comma 3 4 2 5 2 7 2" xfId="25538" xr:uid="{E9CF52FB-653D-41E2-B115-F54DE67A9A70}"/>
    <cellStyle name="Comma 3 4 2 5 2 7 2 2" xfId="55778" xr:uid="{CDA13569-1DB1-4C24-8E7A-B50583C3D3B9}"/>
    <cellStyle name="Comma 3 4 2 5 2 7 3" xfId="40658" xr:uid="{D3E10C09-9DCB-4208-8ADC-D37DB5109221}"/>
    <cellStyle name="Comma 3 4 2 5 2 8" xfId="16466" xr:uid="{EB6D096D-75D5-42CF-8A3A-189A6267A98E}"/>
    <cellStyle name="Comma 3 4 2 5 2 8 2" xfId="46706" xr:uid="{F7436379-1A4A-4668-800A-7753D12079D8}"/>
    <cellStyle name="Comma 3 4 2 5 2 9" xfId="31586" xr:uid="{45CEBE98-3B25-4FBD-961D-B0FD4488108D}"/>
    <cellStyle name="Comma 3 4 2 5 3" xfId="2102" xr:uid="{388B1EE3-172C-4AAA-AD64-E811151825BA}"/>
    <cellStyle name="Comma 3 4 2 5 3 2" xfId="11174" xr:uid="{8F9EA3A0-F545-4098-8211-F6154DDDDFA9}"/>
    <cellStyle name="Comma 3 4 2 5 3 2 2" xfId="26294" xr:uid="{F40C7E09-0B5F-447B-8D26-623FF2CF29E7}"/>
    <cellStyle name="Comma 3 4 2 5 3 2 2 2" xfId="56534" xr:uid="{4A53627C-6315-4B3C-A6A0-11735324224B}"/>
    <cellStyle name="Comma 3 4 2 5 3 2 3" xfId="41414" xr:uid="{C38CEEAA-C35E-4895-B584-0C7ECDF07672}"/>
    <cellStyle name="Comma 3 4 2 5 3 3" xfId="17222" xr:uid="{DCC5F118-495A-4EFA-9FA7-4202C1646D38}"/>
    <cellStyle name="Comma 3 4 2 5 3 3 2" xfId="47462" xr:uid="{9DBF14FC-78DC-419A-B643-8B12FF5628DA}"/>
    <cellStyle name="Comma 3 4 2 5 3 4" xfId="32342" xr:uid="{AA37C31B-DD80-42D2-A411-003692DAEDB8}"/>
    <cellStyle name="Comma 3 4 2 5 4" xfId="3614" xr:uid="{A1CDA74E-D621-479F-B5B4-C0F7E0202F70}"/>
    <cellStyle name="Comma 3 4 2 5 4 2" xfId="12686" xr:uid="{FD4BB308-88BF-437E-89D6-1FF2C40EA3CF}"/>
    <cellStyle name="Comma 3 4 2 5 4 2 2" xfId="27806" xr:uid="{8EDBC16B-9C91-4D77-94C6-0DDC1A800569}"/>
    <cellStyle name="Comma 3 4 2 5 4 2 2 2" xfId="58046" xr:uid="{34668308-03F1-4D28-AE5F-D0684500CB90}"/>
    <cellStyle name="Comma 3 4 2 5 4 2 3" xfId="42926" xr:uid="{42C5A5F3-F612-47A6-A32E-7EBAAC315406}"/>
    <cellStyle name="Comma 3 4 2 5 4 3" xfId="18734" xr:uid="{2B5D8EBD-2E7C-44E8-8AF4-2E48699DC028}"/>
    <cellStyle name="Comma 3 4 2 5 4 3 2" xfId="48974" xr:uid="{678DC94B-75F5-4154-96AB-D137D3502856}"/>
    <cellStyle name="Comma 3 4 2 5 4 4" xfId="33854" xr:uid="{C608328B-0056-47D2-85E2-901F476A169D}"/>
    <cellStyle name="Comma 3 4 2 5 5" xfId="5126" xr:uid="{564988A7-92D7-4FC6-8C3C-DD4750331950}"/>
    <cellStyle name="Comma 3 4 2 5 5 2" xfId="14198" xr:uid="{C22BEB0C-346D-4698-B1AD-6B602E3C2A38}"/>
    <cellStyle name="Comma 3 4 2 5 5 2 2" xfId="29318" xr:uid="{47C6708E-C1E3-4DEB-9CFC-6B4976861443}"/>
    <cellStyle name="Comma 3 4 2 5 5 2 2 2" xfId="59558" xr:uid="{F9CB4139-189F-4213-BF9D-5D5CEDC7BA46}"/>
    <cellStyle name="Comma 3 4 2 5 5 2 3" xfId="44438" xr:uid="{6C31291B-486A-4E91-8DF0-D604A8A4C698}"/>
    <cellStyle name="Comma 3 4 2 5 5 3" xfId="20246" xr:uid="{76AE90C8-7780-47B4-846F-6378B11EDA34}"/>
    <cellStyle name="Comma 3 4 2 5 5 3 2" xfId="50486" xr:uid="{E51CEC12-D49B-4EDB-91C3-C0576A7F8641}"/>
    <cellStyle name="Comma 3 4 2 5 5 4" xfId="35366" xr:uid="{CE7FE324-EBFF-47A3-A4ED-387892408F90}"/>
    <cellStyle name="Comma 3 4 2 5 6" xfId="6638" xr:uid="{F3182150-EC68-4EA9-A363-53D2B78F715E}"/>
    <cellStyle name="Comma 3 4 2 5 6 2" xfId="21758" xr:uid="{DCC11610-C6EC-4938-98E0-7D0A33295039}"/>
    <cellStyle name="Comma 3 4 2 5 6 2 2" xfId="51998" xr:uid="{4AEAF64B-774F-4120-9720-4DCD2FF1888E}"/>
    <cellStyle name="Comma 3 4 2 5 6 3" xfId="36878" xr:uid="{FEB5C165-8DA5-4E8C-8BD9-80B330100997}"/>
    <cellStyle name="Comma 3 4 2 5 7" xfId="8150" xr:uid="{FB5B849A-F102-49FC-87C8-97ECC813A2FA}"/>
    <cellStyle name="Comma 3 4 2 5 7 2" xfId="23270" xr:uid="{EF51DC40-257E-4A6F-A844-0E4EA28F3D54}"/>
    <cellStyle name="Comma 3 4 2 5 7 2 2" xfId="53510" xr:uid="{999CBEAE-A8B1-4F9A-952E-74AB434E3595}"/>
    <cellStyle name="Comma 3 4 2 5 7 3" xfId="38390" xr:uid="{C9AC7950-1178-4FB2-8103-A167255A677C}"/>
    <cellStyle name="Comma 3 4 2 5 8" xfId="9662" xr:uid="{2F1BDA7D-5E69-44FE-AFAD-306B01C0CEAD}"/>
    <cellStyle name="Comma 3 4 2 5 8 2" xfId="24782" xr:uid="{AA81E484-BEF6-41C5-A1C3-2B47748FF0A0}"/>
    <cellStyle name="Comma 3 4 2 5 8 2 2" xfId="55022" xr:uid="{F378BF74-5055-4CFD-8980-0D0E6A1F6F96}"/>
    <cellStyle name="Comma 3 4 2 5 8 3" xfId="39902" xr:uid="{B9F8DA98-46EC-4128-8242-33A6E4352DC2}"/>
    <cellStyle name="Comma 3 4 2 5 9" xfId="15710" xr:uid="{9FE6A450-83A2-40D8-8C08-4090829085B8}"/>
    <cellStyle name="Comma 3 4 2 5 9 2" xfId="45950" xr:uid="{CB9A8E7E-7CCE-4497-B6D2-2A29CCCA637C}"/>
    <cellStyle name="Comma 3 4 2 6" xfId="842" xr:uid="{5FCF0EEB-2E61-447C-BC76-270FE2921B30}"/>
    <cellStyle name="Comma 3 4 2 6 2" xfId="2354" xr:uid="{55BE7639-0E91-44E4-B5B7-FAD79BA7B339}"/>
    <cellStyle name="Comma 3 4 2 6 2 2" xfId="11426" xr:uid="{63FDAAB0-A77B-4583-B4F9-3B502E4D41B9}"/>
    <cellStyle name="Comma 3 4 2 6 2 2 2" xfId="26546" xr:uid="{95A24DEB-2AD7-4A30-B910-29DC9AEFF0F4}"/>
    <cellStyle name="Comma 3 4 2 6 2 2 2 2" xfId="56786" xr:uid="{C7B5BF6F-1A77-4C1D-B8B2-B38A2F0F00AA}"/>
    <cellStyle name="Comma 3 4 2 6 2 2 3" xfId="41666" xr:uid="{90E32863-8480-4B73-802E-6B902AF03EC5}"/>
    <cellStyle name="Comma 3 4 2 6 2 3" xfId="17474" xr:uid="{170F557C-D543-4365-8983-452947BA017B}"/>
    <cellStyle name="Comma 3 4 2 6 2 3 2" xfId="47714" xr:uid="{861A6559-B19A-4703-A24F-5A0B46489713}"/>
    <cellStyle name="Comma 3 4 2 6 2 4" xfId="32594" xr:uid="{B075805E-11E7-4350-B819-34D55C8F8B74}"/>
    <cellStyle name="Comma 3 4 2 6 3" xfId="3866" xr:uid="{9A6A291E-E68F-4B48-A6BB-374C5C564F27}"/>
    <cellStyle name="Comma 3 4 2 6 3 2" xfId="12938" xr:uid="{90BB9EDC-BF04-4EC8-AB28-FD8DD78BDBEE}"/>
    <cellStyle name="Comma 3 4 2 6 3 2 2" xfId="28058" xr:uid="{E194F420-EDEF-4C75-BF88-B5AA48F35A1B}"/>
    <cellStyle name="Comma 3 4 2 6 3 2 2 2" xfId="58298" xr:uid="{A0A28B29-91C6-408C-A74F-13DE73BC5183}"/>
    <cellStyle name="Comma 3 4 2 6 3 2 3" xfId="43178" xr:uid="{F50C58D3-A789-4BD7-B2C8-0E2ABBD18963}"/>
    <cellStyle name="Comma 3 4 2 6 3 3" xfId="18986" xr:uid="{74AB751A-0619-41F4-89E0-3D44592A9743}"/>
    <cellStyle name="Comma 3 4 2 6 3 3 2" xfId="49226" xr:uid="{DEDE2175-6D94-4F98-AC76-995A05FE7920}"/>
    <cellStyle name="Comma 3 4 2 6 3 4" xfId="34106" xr:uid="{2773091B-345B-42E0-AF82-8B28AA24C76B}"/>
    <cellStyle name="Comma 3 4 2 6 4" xfId="5378" xr:uid="{451E97DC-2CEC-4945-AA37-426BF738C579}"/>
    <cellStyle name="Comma 3 4 2 6 4 2" xfId="14450" xr:uid="{42BCB77F-6E16-451B-AC36-3161A9820672}"/>
    <cellStyle name="Comma 3 4 2 6 4 2 2" xfId="29570" xr:uid="{55CEC639-602C-4D2F-8D79-D6325959AA88}"/>
    <cellStyle name="Comma 3 4 2 6 4 2 2 2" xfId="59810" xr:uid="{9C537C64-FD88-41F4-9607-59C4BDD76FF6}"/>
    <cellStyle name="Comma 3 4 2 6 4 2 3" xfId="44690" xr:uid="{CA798D55-F71F-44D9-9508-76B053A00CB2}"/>
    <cellStyle name="Comma 3 4 2 6 4 3" xfId="20498" xr:uid="{C141CA3D-045B-401E-A5BE-4748962EC7F4}"/>
    <cellStyle name="Comma 3 4 2 6 4 3 2" xfId="50738" xr:uid="{C6EF79E1-773A-4E45-98B9-54D1BB25D442}"/>
    <cellStyle name="Comma 3 4 2 6 4 4" xfId="35618" xr:uid="{89FBBDE2-8AA7-4DDF-970B-01E2DB6C2CB1}"/>
    <cellStyle name="Comma 3 4 2 6 5" xfId="6890" xr:uid="{F2EA70EF-5D6E-4903-82A6-846A71E7A18E}"/>
    <cellStyle name="Comma 3 4 2 6 5 2" xfId="22010" xr:uid="{963B6098-4FB2-4007-8D7F-DFDBB9F743DD}"/>
    <cellStyle name="Comma 3 4 2 6 5 2 2" xfId="52250" xr:uid="{622A0529-45FE-48BC-90C3-80611175DDD3}"/>
    <cellStyle name="Comma 3 4 2 6 5 3" xfId="37130" xr:uid="{4196C59B-432E-4EC7-AEB0-F920D56FA050}"/>
    <cellStyle name="Comma 3 4 2 6 6" xfId="8402" xr:uid="{219787C2-C532-4D63-9309-3A1A6C03A337}"/>
    <cellStyle name="Comma 3 4 2 6 6 2" xfId="23522" xr:uid="{C6A7D035-1FDA-465A-AD85-6F620208642A}"/>
    <cellStyle name="Comma 3 4 2 6 6 2 2" xfId="53762" xr:uid="{DA4E4AFB-6476-453C-9A4C-B2E26C2E6FE9}"/>
    <cellStyle name="Comma 3 4 2 6 6 3" xfId="38642" xr:uid="{36AE5522-0FA3-4002-AA21-C12C594B4AE4}"/>
    <cellStyle name="Comma 3 4 2 6 7" xfId="9914" xr:uid="{0DE65F1C-5BC9-4448-AA28-A6D2C43DAF26}"/>
    <cellStyle name="Comma 3 4 2 6 7 2" xfId="25034" xr:uid="{7D2839FE-5B9E-4D67-B6CE-D0E45F0BDBAB}"/>
    <cellStyle name="Comma 3 4 2 6 7 2 2" xfId="55274" xr:uid="{FC9BCEE5-E03D-4453-9AF0-39127E786579}"/>
    <cellStyle name="Comma 3 4 2 6 7 3" xfId="40154" xr:uid="{5035091F-69C0-4263-A993-D85AE5C5DF14}"/>
    <cellStyle name="Comma 3 4 2 6 8" xfId="15962" xr:uid="{EE522C9C-06DD-4BE5-BF76-17025D3093D7}"/>
    <cellStyle name="Comma 3 4 2 6 8 2" xfId="46202" xr:uid="{DF0A519F-D9A6-43D5-B25C-E8D981CD6070}"/>
    <cellStyle name="Comma 3 4 2 6 9" xfId="31082" xr:uid="{98B3C9F8-FDCA-4DBA-99C7-8FCF1E98FA68}"/>
    <cellStyle name="Comma 3 4 2 7" xfId="1598" xr:uid="{0AB11D8C-8B22-4750-BFAB-DE8444B0C81D}"/>
    <cellStyle name="Comma 3 4 2 7 2" xfId="10670" xr:uid="{CBE2F5EB-0781-468A-89D6-8B695F76F302}"/>
    <cellStyle name="Comma 3 4 2 7 2 2" xfId="25790" xr:uid="{CD499DD8-2DF0-4ECA-9C68-9C393F0D114A}"/>
    <cellStyle name="Comma 3 4 2 7 2 2 2" xfId="56030" xr:uid="{13464B79-6DB8-40DA-831C-B7AD093A2308}"/>
    <cellStyle name="Comma 3 4 2 7 2 3" xfId="40910" xr:uid="{0030651A-105E-4C57-8881-855D1962D6B4}"/>
    <cellStyle name="Comma 3 4 2 7 3" xfId="16718" xr:uid="{A0E59D7B-5CF5-4E72-8ECC-58BCF5A61295}"/>
    <cellStyle name="Comma 3 4 2 7 3 2" xfId="46958" xr:uid="{B5376FE9-C046-48C3-8E1B-1039CD4EDBB7}"/>
    <cellStyle name="Comma 3 4 2 7 4" xfId="31838" xr:uid="{5D9D6126-D73B-45B9-A3F6-50ADBE7E3B5C}"/>
    <cellStyle name="Comma 3 4 2 8" xfId="3110" xr:uid="{1FBD11CF-D2C7-441C-AE91-BC71C8168D75}"/>
    <cellStyle name="Comma 3 4 2 8 2" xfId="12182" xr:uid="{C3D74649-6939-43C7-A2D6-52AA838E66E4}"/>
    <cellStyle name="Comma 3 4 2 8 2 2" xfId="27302" xr:uid="{70A894B5-0B0D-4A05-8127-E3487BB21638}"/>
    <cellStyle name="Comma 3 4 2 8 2 2 2" xfId="57542" xr:uid="{0501F10F-9923-4CA3-8C23-A581C925C07F}"/>
    <cellStyle name="Comma 3 4 2 8 2 3" xfId="42422" xr:uid="{55D9B8A9-8A27-475E-BE8B-882F92C47C1F}"/>
    <cellStyle name="Comma 3 4 2 8 3" xfId="18230" xr:uid="{9DD0594F-0D50-4254-A0CA-C241AE7E73CB}"/>
    <cellStyle name="Comma 3 4 2 8 3 2" xfId="48470" xr:uid="{7E35CE15-6DEB-4C98-865D-CE525C02A2F5}"/>
    <cellStyle name="Comma 3 4 2 8 4" xfId="33350" xr:uid="{97036584-86B6-43A0-BBA3-B487DD2AE621}"/>
    <cellStyle name="Comma 3 4 2 9" xfId="4622" xr:uid="{9E975A2E-5E81-4CF7-8AA4-42C0BB478C2D}"/>
    <cellStyle name="Comma 3 4 2 9 2" xfId="13694" xr:uid="{C8E4D5EF-E0B2-4973-A093-CC9A76FCD663}"/>
    <cellStyle name="Comma 3 4 2 9 2 2" xfId="28814" xr:uid="{18305664-7D21-49A8-ACCC-4938D2BD56E1}"/>
    <cellStyle name="Comma 3 4 2 9 2 2 2" xfId="59054" xr:uid="{17BF6A71-F52F-43B5-9379-8CC928E5152F}"/>
    <cellStyle name="Comma 3 4 2 9 2 3" xfId="43934" xr:uid="{6F7B91F2-4AC5-49C9-B83E-1CCDDD7B6962}"/>
    <cellStyle name="Comma 3 4 2 9 3" xfId="19742" xr:uid="{F64F33C3-C93A-4CB5-BCFA-EB2467DD3337}"/>
    <cellStyle name="Comma 3 4 2 9 3 2" xfId="49982" xr:uid="{45BE97AD-E609-483E-88EA-6FD016F8229A}"/>
    <cellStyle name="Comma 3 4 2 9 4" xfId="34862" xr:uid="{DDBB7D8C-187B-4C9D-87C5-AB9E655A91DB}"/>
    <cellStyle name="Comma 3 4 3" xfId="128" xr:uid="{C85722B5-625F-4584-A00F-7929A3ED80E0}"/>
    <cellStyle name="Comma 3 4 3 10" xfId="9200" xr:uid="{92D7D877-50EC-4191-A11A-AF6BF42E100F}"/>
    <cellStyle name="Comma 3 4 3 10 2" xfId="24320" xr:uid="{BE643968-6026-41B4-8BD7-F4B7B9E7724B}"/>
    <cellStyle name="Comma 3 4 3 10 2 2" xfId="54560" xr:uid="{4691561F-F9BF-487D-A713-180C0190ACA2}"/>
    <cellStyle name="Comma 3 4 3 10 3" xfId="39440" xr:uid="{2244B527-7732-4B57-BABE-ED2767C603F0}"/>
    <cellStyle name="Comma 3 4 3 11" xfId="15248" xr:uid="{A748F7C1-F14F-49D5-ADA0-1E81FAA28302}"/>
    <cellStyle name="Comma 3 4 3 11 2" xfId="45488" xr:uid="{F14F1427-3448-4BDC-B937-76FA32174753}"/>
    <cellStyle name="Comma 3 4 3 12" xfId="30368" xr:uid="{36553943-01EB-4CA1-9847-8DCF9F480C8E}"/>
    <cellStyle name="Comma 3 4 3 2" xfId="380" xr:uid="{0C8117DE-DFAE-42E2-97D9-7B0D90A51A8E}"/>
    <cellStyle name="Comma 3 4 3 2 10" xfId="30620" xr:uid="{EBD7D58A-32E7-4890-9582-AA14665374AA}"/>
    <cellStyle name="Comma 3 4 3 2 2" xfId="1136" xr:uid="{8B5CADBE-C956-4A39-8790-A9C0CAE59206}"/>
    <cellStyle name="Comma 3 4 3 2 2 2" xfId="2648" xr:uid="{EC626588-C3CF-4506-88C8-F2502B981F0B}"/>
    <cellStyle name="Comma 3 4 3 2 2 2 2" xfId="11720" xr:uid="{AF6A68B7-C5D2-467A-BB57-7853E1E8814F}"/>
    <cellStyle name="Comma 3 4 3 2 2 2 2 2" xfId="26840" xr:uid="{75D47824-1BA1-4E68-A660-EB1B5B9469C6}"/>
    <cellStyle name="Comma 3 4 3 2 2 2 2 2 2" xfId="57080" xr:uid="{5CF72D69-65A8-46C3-AA26-9EE6D51DED3C}"/>
    <cellStyle name="Comma 3 4 3 2 2 2 2 3" xfId="41960" xr:uid="{A5CB3040-E17E-4633-8A72-53C240CFCAE6}"/>
    <cellStyle name="Comma 3 4 3 2 2 2 3" xfId="17768" xr:uid="{041C5014-2E49-4292-95B3-882A80C43C4B}"/>
    <cellStyle name="Comma 3 4 3 2 2 2 3 2" xfId="48008" xr:uid="{54BB79CB-CFAF-4F6D-8E26-3C1D18710104}"/>
    <cellStyle name="Comma 3 4 3 2 2 2 4" xfId="32888" xr:uid="{544DDD38-52DF-4221-9569-DEC7931975CA}"/>
    <cellStyle name="Comma 3 4 3 2 2 3" xfId="4160" xr:uid="{C9315F2D-8158-4978-B944-D6140BFF9A66}"/>
    <cellStyle name="Comma 3 4 3 2 2 3 2" xfId="13232" xr:uid="{84B05446-023B-48E5-B023-B7497A327B88}"/>
    <cellStyle name="Comma 3 4 3 2 2 3 2 2" xfId="28352" xr:uid="{82193413-AF51-44F5-AB53-DB6A4453A9FF}"/>
    <cellStyle name="Comma 3 4 3 2 2 3 2 2 2" xfId="58592" xr:uid="{4946DFA5-5229-4173-8005-D1AAAC340959}"/>
    <cellStyle name="Comma 3 4 3 2 2 3 2 3" xfId="43472" xr:uid="{0AF9DAC4-1A36-4A74-BAE2-3A17C50DF1D4}"/>
    <cellStyle name="Comma 3 4 3 2 2 3 3" xfId="19280" xr:uid="{FCEC297C-53C3-4BDC-8F2A-0CC846098E35}"/>
    <cellStyle name="Comma 3 4 3 2 2 3 3 2" xfId="49520" xr:uid="{A0E28146-3829-4036-9522-FA1B6BB171FD}"/>
    <cellStyle name="Comma 3 4 3 2 2 3 4" xfId="34400" xr:uid="{B7C25BC4-8066-453E-9294-77E7DF68666A}"/>
    <cellStyle name="Comma 3 4 3 2 2 4" xfId="5672" xr:uid="{570AC6CF-B7E0-44FA-B3CF-1DD96A47CE1B}"/>
    <cellStyle name="Comma 3 4 3 2 2 4 2" xfId="14744" xr:uid="{A258A53E-ED0E-47A6-A54C-EFFC583A2118}"/>
    <cellStyle name="Comma 3 4 3 2 2 4 2 2" xfId="29864" xr:uid="{24EBE22C-3030-4B65-9149-2B9192ABD187}"/>
    <cellStyle name="Comma 3 4 3 2 2 4 2 2 2" xfId="60104" xr:uid="{53097163-798E-4926-86C1-9218C5728D0D}"/>
    <cellStyle name="Comma 3 4 3 2 2 4 2 3" xfId="44984" xr:uid="{9D931867-B79F-4D2C-8094-FB60997C16DF}"/>
    <cellStyle name="Comma 3 4 3 2 2 4 3" xfId="20792" xr:uid="{1C6EFBD5-54BE-4109-BB5D-61022F07AF58}"/>
    <cellStyle name="Comma 3 4 3 2 2 4 3 2" xfId="51032" xr:uid="{D790005F-CD90-4794-AB3D-1FD779E7F788}"/>
    <cellStyle name="Comma 3 4 3 2 2 4 4" xfId="35912" xr:uid="{AC3D2775-F47F-41C7-956E-90E0ABC470CD}"/>
    <cellStyle name="Comma 3 4 3 2 2 5" xfId="7184" xr:uid="{0C639CA4-CCE0-4991-87D4-012591279B82}"/>
    <cellStyle name="Comma 3 4 3 2 2 5 2" xfId="22304" xr:uid="{D718C46E-D0E1-43BC-896C-5928D5A7ED3B}"/>
    <cellStyle name="Comma 3 4 3 2 2 5 2 2" xfId="52544" xr:uid="{6F19F4F8-8A67-4B16-818C-BDB1383BB0B9}"/>
    <cellStyle name="Comma 3 4 3 2 2 5 3" xfId="37424" xr:uid="{87ADCECF-EBF2-4A7F-A3F3-3D0A4D4C7FDD}"/>
    <cellStyle name="Comma 3 4 3 2 2 6" xfId="8696" xr:uid="{17058BAF-2D6F-4B5C-A5B1-0CBB430B2784}"/>
    <cellStyle name="Comma 3 4 3 2 2 6 2" xfId="23816" xr:uid="{48599D53-1569-450F-B939-63600831B530}"/>
    <cellStyle name="Comma 3 4 3 2 2 6 2 2" xfId="54056" xr:uid="{B783490C-5626-4F5A-BA6D-ED329E54D4BD}"/>
    <cellStyle name="Comma 3 4 3 2 2 6 3" xfId="38936" xr:uid="{8C85CC29-88CB-48FA-A050-1EF2A23731E9}"/>
    <cellStyle name="Comma 3 4 3 2 2 7" xfId="10208" xr:uid="{DCD6C9EE-E565-4050-9956-B75031D225F1}"/>
    <cellStyle name="Comma 3 4 3 2 2 7 2" xfId="25328" xr:uid="{62AA3A0E-8589-42D0-BFD3-167D54FB19A4}"/>
    <cellStyle name="Comma 3 4 3 2 2 7 2 2" xfId="55568" xr:uid="{50603149-54CF-456D-94A9-D3FDA353B23A}"/>
    <cellStyle name="Comma 3 4 3 2 2 7 3" xfId="40448" xr:uid="{78959638-F157-44AF-A2C7-EFE2330B5CC2}"/>
    <cellStyle name="Comma 3 4 3 2 2 8" xfId="16256" xr:uid="{6E55C9E5-8C57-4802-8051-DD55F69F263F}"/>
    <cellStyle name="Comma 3 4 3 2 2 8 2" xfId="46496" xr:uid="{8D3F7B06-5534-4382-8D9E-B1AD1820011E}"/>
    <cellStyle name="Comma 3 4 3 2 2 9" xfId="31376" xr:uid="{320EDFAC-7DCD-45AB-AC63-03C21984E418}"/>
    <cellStyle name="Comma 3 4 3 2 3" xfId="1892" xr:uid="{695DB354-6CD6-4212-90B8-065CB5D66630}"/>
    <cellStyle name="Comma 3 4 3 2 3 2" xfId="10964" xr:uid="{597599BD-D307-47B8-AF75-68DFC526C5D4}"/>
    <cellStyle name="Comma 3 4 3 2 3 2 2" xfId="26084" xr:uid="{E930AEB4-770C-4579-9320-F926444C2AC3}"/>
    <cellStyle name="Comma 3 4 3 2 3 2 2 2" xfId="56324" xr:uid="{B656F19A-8A69-4A9A-A3E5-4D7A2C78593B}"/>
    <cellStyle name="Comma 3 4 3 2 3 2 3" xfId="41204" xr:uid="{44541CBA-56FA-4F90-A79F-912C154782FE}"/>
    <cellStyle name="Comma 3 4 3 2 3 3" xfId="17012" xr:uid="{E951D397-D74E-4955-9286-159839705E90}"/>
    <cellStyle name="Comma 3 4 3 2 3 3 2" xfId="47252" xr:uid="{1D3DC307-A733-425A-B221-4C9C4F318901}"/>
    <cellStyle name="Comma 3 4 3 2 3 4" xfId="32132" xr:uid="{EBAFD467-E5EA-4B1B-9B3F-626CF0355FAF}"/>
    <cellStyle name="Comma 3 4 3 2 4" xfId="3404" xr:uid="{F17091FA-0539-4234-879B-67DC71F2A8C9}"/>
    <cellStyle name="Comma 3 4 3 2 4 2" xfId="12476" xr:uid="{9308CEC6-8A83-4B41-A0DE-86E08955ECC6}"/>
    <cellStyle name="Comma 3 4 3 2 4 2 2" xfId="27596" xr:uid="{20A14EC1-33C8-4484-886C-FF6890670466}"/>
    <cellStyle name="Comma 3 4 3 2 4 2 2 2" xfId="57836" xr:uid="{AC262079-209F-44E4-83CC-C0C4D0D9568E}"/>
    <cellStyle name="Comma 3 4 3 2 4 2 3" xfId="42716" xr:uid="{80CFEBE5-CDF0-41DF-8F87-056343F6A8F4}"/>
    <cellStyle name="Comma 3 4 3 2 4 3" xfId="18524" xr:uid="{4EF51E48-BC5C-490C-9101-FA43950AFD97}"/>
    <cellStyle name="Comma 3 4 3 2 4 3 2" xfId="48764" xr:uid="{F2B987D5-2867-479F-9D7B-05A703897D15}"/>
    <cellStyle name="Comma 3 4 3 2 4 4" xfId="33644" xr:uid="{8B4E1134-C804-4411-8FCA-E24721AE7BFC}"/>
    <cellStyle name="Comma 3 4 3 2 5" xfId="4916" xr:uid="{052E71E0-9F0E-4307-A06E-4762EC3D6F97}"/>
    <cellStyle name="Comma 3 4 3 2 5 2" xfId="13988" xr:uid="{873DFC4D-DA50-42D6-BD7F-B50E3E87CBC9}"/>
    <cellStyle name="Comma 3 4 3 2 5 2 2" xfId="29108" xr:uid="{3629F355-91CC-4226-AA19-8027AA6E93D7}"/>
    <cellStyle name="Comma 3 4 3 2 5 2 2 2" xfId="59348" xr:uid="{9ED4CB3C-DC78-447C-B575-BEF572C4760F}"/>
    <cellStyle name="Comma 3 4 3 2 5 2 3" xfId="44228" xr:uid="{7E6DE50C-7E49-491C-BDE1-13FE5151A3AC}"/>
    <cellStyle name="Comma 3 4 3 2 5 3" xfId="20036" xr:uid="{0A57F4BF-BD0D-42AF-91E6-2ECA91A6E316}"/>
    <cellStyle name="Comma 3 4 3 2 5 3 2" xfId="50276" xr:uid="{BFD246DF-7700-4E15-9127-16A56A19D2A3}"/>
    <cellStyle name="Comma 3 4 3 2 5 4" xfId="35156" xr:uid="{8DD1EC4A-B141-4872-B268-908F463C7F89}"/>
    <cellStyle name="Comma 3 4 3 2 6" xfId="6428" xr:uid="{384644E5-2BA7-47F8-83D7-0EA8BB5DAF27}"/>
    <cellStyle name="Comma 3 4 3 2 6 2" xfId="21548" xr:uid="{32A448D0-E6DC-4813-835D-F130E0851955}"/>
    <cellStyle name="Comma 3 4 3 2 6 2 2" xfId="51788" xr:uid="{12615CC5-68F5-4B3C-8328-7668F0C5E8D4}"/>
    <cellStyle name="Comma 3 4 3 2 6 3" xfId="36668" xr:uid="{2B545211-AA65-40E3-AB01-648870FCBA4F}"/>
    <cellStyle name="Comma 3 4 3 2 7" xfId="7940" xr:uid="{38C3A17F-BAEF-4EB1-9CB5-989C891BE954}"/>
    <cellStyle name="Comma 3 4 3 2 7 2" xfId="23060" xr:uid="{BB6951B3-FEAA-429F-BA3C-46872E15063A}"/>
    <cellStyle name="Comma 3 4 3 2 7 2 2" xfId="53300" xr:uid="{DB7FD1C6-D9D8-43E0-99A6-EBCD0102C930}"/>
    <cellStyle name="Comma 3 4 3 2 7 3" xfId="38180" xr:uid="{E8EE8332-A3EB-4D3A-94EF-846979127C73}"/>
    <cellStyle name="Comma 3 4 3 2 8" xfId="9452" xr:uid="{1EA19DE3-2D54-40DA-862C-068A672270F0}"/>
    <cellStyle name="Comma 3 4 3 2 8 2" xfId="24572" xr:uid="{C696C98A-C32E-4315-96E6-3DAB142E4B5B}"/>
    <cellStyle name="Comma 3 4 3 2 8 2 2" xfId="54812" xr:uid="{59D5EFD0-C689-4EBB-A826-B3A628EB4518}"/>
    <cellStyle name="Comma 3 4 3 2 8 3" xfId="39692" xr:uid="{C7D48B74-0439-47E7-AB8C-62B836E909A8}"/>
    <cellStyle name="Comma 3 4 3 2 9" xfId="15500" xr:uid="{0A05C1E3-4FAE-4A25-8304-B4FBBC8309CE}"/>
    <cellStyle name="Comma 3 4 3 2 9 2" xfId="45740" xr:uid="{757F6046-EEDC-41DE-9E5A-0A4BE5C23538}"/>
    <cellStyle name="Comma 3 4 3 3" xfId="632" xr:uid="{53A11EB3-3BC1-4D0A-ADA2-1D35F18B188C}"/>
    <cellStyle name="Comma 3 4 3 3 10" xfId="30872" xr:uid="{78717E7B-129D-403E-A084-3DB4451781DB}"/>
    <cellStyle name="Comma 3 4 3 3 2" xfId="1388" xr:uid="{4F098C76-7583-4E26-B65A-178E8E0F8040}"/>
    <cellStyle name="Comma 3 4 3 3 2 2" xfId="2900" xr:uid="{6DFC86A5-1F7E-4E81-9BC7-E178DDB3AE54}"/>
    <cellStyle name="Comma 3 4 3 3 2 2 2" xfId="11972" xr:uid="{E514B4DE-BF67-4E5D-8ABB-A7FD370A9C3D}"/>
    <cellStyle name="Comma 3 4 3 3 2 2 2 2" xfId="27092" xr:uid="{12099AF2-9ECC-4466-9D54-3D05C2F8965D}"/>
    <cellStyle name="Comma 3 4 3 3 2 2 2 2 2" xfId="57332" xr:uid="{57B3C001-3004-450A-97A6-342D6E9996D2}"/>
    <cellStyle name="Comma 3 4 3 3 2 2 2 3" xfId="42212" xr:uid="{EA50295A-451C-4888-BF8C-D0C483167590}"/>
    <cellStyle name="Comma 3 4 3 3 2 2 3" xfId="18020" xr:uid="{8F02013C-E14A-46E7-9FAF-110D5F66CF95}"/>
    <cellStyle name="Comma 3 4 3 3 2 2 3 2" xfId="48260" xr:uid="{FA0E46E3-7567-45BF-B212-F767358FDDD3}"/>
    <cellStyle name="Comma 3 4 3 3 2 2 4" xfId="33140" xr:uid="{96C40683-5463-408A-9612-1BD3B6CF0400}"/>
    <cellStyle name="Comma 3 4 3 3 2 3" xfId="4412" xr:uid="{57B8D30B-4927-4885-BB20-4F9F720DFE1D}"/>
    <cellStyle name="Comma 3 4 3 3 2 3 2" xfId="13484" xr:uid="{10F819C5-2C90-4B6E-B7FE-C7C95F5D8B0D}"/>
    <cellStyle name="Comma 3 4 3 3 2 3 2 2" xfId="28604" xr:uid="{8BE75C0D-01A1-44AA-881E-A6A6EA0BA629}"/>
    <cellStyle name="Comma 3 4 3 3 2 3 2 2 2" xfId="58844" xr:uid="{8117B51A-6B8A-42AF-9CD3-AB2DEF2E6016}"/>
    <cellStyle name="Comma 3 4 3 3 2 3 2 3" xfId="43724" xr:uid="{595715E0-6301-4704-A445-8DAE419AC397}"/>
    <cellStyle name="Comma 3 4 3 3 2 3 3" xfId="19532" xr:uid="{55AF7B31-3073-4849-A948-853B6D40578B}"/>
    <cellStyle name="Comma 3 4 3 3 2 3 3 2" xfId="49772" xr:uid="{C060FAC0-65F7-45DC-B753-C30D587ADEFC}"/>
    <cellStyle name="Comma 3 4 3 3 2 3 4" xfId="34652" xr:uid="{80255EB0-BA98-4ABD-BFC6-CED74102DA66}"/>
    <cellStyle name="Comma 3 4 3 3 2 4" xfId="5924" xr:uid="{BCFBB992-B2DA-4CFF-83A0-3AB2837E72D3}"/>
    <cellStyle name="Comma 3 4 3 3 2 4 2" xfId="14996" xr:uid="{B3704620-6E12-43E1-BE64-E5E4C375D4C0}"/>
    <cellStyle name="Comma 3 4 3 3 2 4 2 2" xfId="30116" xr:uid="{F7E8CE7A-DF5D-4A3E-8B2C-9687CCA66C78}"/>
    <cellStyle name="Comma 3 4 3 3 2 4 2 2 2" xfId="60356" xr:uid="{2E800DE6-A1FD-4307-A50E-6977DE7DD389}"/>
    <cellStyle name="Comma 3 4 3 3 2 4 2 3" xfId="45236" xr:uid="{0648BA8C-998C-4F10-898C-8B65EE419087}"/>
    <cellStyle name="Comma 3 4 3 3 2 4 3" xfId="21044" xr:uid="{C8F0F4EF-3437-421E-ACEC-E9D8EE669EB7}"/>
    <cellStyle name="Comma 3 4 3 3 2 4 3 2" xfId="51284" xr:uid="{E746EF8D-16F7-45C8-9BB0-AAB7F5B61DE6}"/>
    <cellStyle name="Comma 3 4 3 3 2 4 4" xfId="36164" xr:uid="{7A20EA08-2087-4250-947F-61229BC12A05}"/>
    <cellStyle name="Comma 3 4 3 3 2 5" xfId="7436" xr:uid="{B4921767-3257-4F9A-B788-325E924BA746}"/>
    <cellStyle name="Comma 3 4 3 3 2 5 2" xfId="22556" xr:uid="{707A2682-1444-430E-8F62-1628DD6463AA}"/>
    <cellStyle name="Comma 3 4 3 3 2 5 2 2" xfId="52796" xr:uid="{E4CD7B3A-670C-47D3-B5EB-2B7EC04306B9}"/>
    <cellStyle name="Comma 3 4 3 3 2 5 3" xfId="37676" xr:uid="{ACB42B99-2C1C-4ABC-897A-3BB2D228A673}"/>
    <cellStyle name="Comma 3 4 3 3 2 6" xfId="8948" xr:uid="{8C4CE817-F504-402A-AE98-E04C6209A706}"/>
    <cellStyle name="Comma 3 4 3 3 2 6 2" xfId="24068" xr:uid="{D49AFA06-D372-4323-A1DF-4311ED785EE7}"/>
    <cellStyle name="Comma 3 4 3 3 2 6 2 2" xfId="54308" xr:uid="{AE1EBB7F-9BB3-4634-831A-A0B4FC601757}"/>
    <cellStyle name="Comma 3 4 3 3 2 6 3" xfId="39188" xr:uid="{9417CB98-080C-49AB-9719-9DB678EE75D3}"/>
    <cellStyle name="Comma 3 4 3 3 2 7" xfId="10460" xr:uid="{61D7A031-A8A8-44DB-81C0-9A6F74F25420}"/>
    <cellStyle name="Comma 3 4 3 3 2 7 2" xfId="25580" xr:uid="{486A40C0-112C-4933-AD32-5375CBE96DB9}"/>
    <cellStyle name="Comma 3 4 3 3 2 7 2 2" xfId="55820" xr:uid="{96017D04-70F6-4BA3-92DC-BE51F58F6C5F}"/>
    <cellStyle name="Comma 3 4 3 3 2 7 3" xfId="40700" xr:uid="{E26E7A0C-ABA9-4584-9798-9DA79B4884B8}"/>
    <cellStyle name="Comma 3 4 3 3 2 8" xfId="16508" xr:uid="{F0F2AE49-B34C-47CA-AB2C-AEAD40188536}"/>
    <cellStyle name="Comma 3 4 3 3 2 8 2" xfId="46748" xr:uid="{34BE82B0-7419-479A-B33D-E35FC1A0F082}"/>
    <cellStyle name="Comma 3 4 3 3 2 9" xfId="31628" xr:uid="{7A912624-FBD1-4A28-B099-A0E5D9F5BA67}"/>
    <cellStyle name="Comma 3 4 3 3 3" xfId="2144" xr:uid="{2E1C7FA3-BC30-47F8-8A71-48704F6B03AF}"/>
    <cellStyle name="Comma 3 4 3 3 3 2" xfId="11216" xr:uid="{2243F825-0DF1-4668-8B8B-EC507767531F}"/>
    <cellStyle name="Comma 3 4 3 3 3 2 2" xfId="26336" xr:uid="{B6C84E1F-C7A5-4549-94C0-4608E5A953A9}"/>
    <cellStyle name="Comma 3 4 3 3 3 2 2 2" xfId="56576" xr:uid="{7EAFFEE8-6C50-43FC-85ED-F289B4FD8010}"/>
    <cellStyle name="Comma 3 4 3 3 3 2 3" xfId="41456" xr:uid="{921897A8-E9C8-48DC-A379-75FD5EEC44EE}"/>
    <cellStyle name="Comma 3 4 3 3 3 3" xfId="17264" xr:uid="{5E780C26-AE29-4A74-A240-86AD7227B6EC}"/>
    <cellStyle name="Comma 3 4 3 3 3 3 2" xfId="47504" xr:uid="{B5DD3999-46A4-4731-9349-1351ACBEE2A9}"/>
    <cellStyle name="Comma 3 4 3 3 3 4" xfId="32384" xr:uid="{B0F48BE9-4FF4-4D20-90E6-250DDDA60EFD}"/>
    <cellStyle name="Comma 3 4 3 3 4" xfId="3656" xr:uid="{E8686354-57FD-4ECE-A67E-60C85035FA3B}"/>
    <cellStyle name="Comma 3 4 3 3 4 2" xfId="12728" xr:uid="{0099C00B-72BF-4BEB-9928-8BCBE1060DEF}"/>
    <cellStyle name="Comma 3 4 3 3 4 2 2" xfId="27848" xr:uid="{BD1868D1-3443-4008-8862-5AD2498C1435}"/>
    <cellStyle name="Comma 3 4 3 3 4 2 2 2" xfId="58088" xr:uid="{3579BC71-BACE-4F3C-A287-91370D1E588C}"/>
    <cellStyle name="Comma 3 4 3 3 4 2 3" xfId="42968" xr:uid="{229642F2-4B70-4912-8430-AF28DA6A7520}"/>
    <cellStyle name="Comma 3 4 3 3 4 3" xfId="18776" xr:uid="{7510612A-1508-46C4-8949-9656F5C75D49}"/>
    <cellStyle name="Comma 3 4 3 3 4 3 2" xfId="49016" xr:uid="{E1465BD5-5A66-4CD0-8335-231892F88F15}"/>
    <cellStyle name="Comma 3 4 3 3 4 4" xfId="33896" xr:uid="{8901631A-C9F7-451C-AFC9-DF69FD0473E1}"/>
    <cellStyle name="Comma 3 4 3 3 5" xfId="5168" xr:uid="{F08B197D-3B28-46B8-AEAB-A1653D6F9FB6}"/>
    <cellStyle name="Comma 3 4 3 3 5 2" xfId="14240" xr:uid="{B31A1819-19B5-4195-A705-FB73ED921097}"/>
    <cellStyle name="Comma 3 4 3 3 5 2 2" xfId="29360" xr:uid="{BA29DDF2-FA48-4F12-95B6-70314ED35C82}"/>
    <cellStyle name="Comma 3 4 3 3 5 2 2 2" xfId="59600" xr:uid="{59A0FF95-FA4E-4B97-9F16-E6A3D5BCA5C2}"/>
    <cellStyle name="Comma 3 4 3 3 5 2 3" xfId="44480" xr:uid="{8600720A-8766-4A71-8520-1AF0706A99E4}"/>
    <cellStyle name="Comma 3 4 3 3 5 3" xfId="20288" xr:uid="{46709273-0A99-4674-9D25-922F50CA7C0C}"/>
    <cellStyle name="Comma 3 4 3 3 5 3 2" xfId="50528" xr:uid="{E3409CB1-BFB8-42BC-AACB-16933DD06536}"/>
    <cellStyle name="Comma 3 4 3 3 5 4" xfId="35408" xr:uid="{B95D76DE-09EE-4A6E-9E06-A6CDF112AFCA}"/>
    <cellStyle name="Comma 3 4 3 3 6" xfId="6680" xr:uid="{5DFFD507-6593-48F6-8AF7-B16214A52BF3}"/>
    <cellStyle name="Comma 3 4 3 3 6 2" xfId="21800" xr:uid="{8A4E6392-FB4C-481A-8BB3-189CEB36143B}"/>
    <cellStyle name="Comma 3 4 3 3 6 2 2" xfId="52040" xr:uid="{6CDD5C38-26D0-4F56-8D74-18C2F94203F7}"/>
    <cellStyle name="Comma 3 4 3 3 6 3" xfId="36920" xr:uid="{A4574598-EB02-47C3-9C47-53DDCAC47650}"/>
    <cellStyle name="Comma 3 4 3 3 7" xfId="8192" xr:uid="{B276E656-FA00-43D7-9C12-55CB14EB12B2}"/>
    <cellStyle name="Comma 3 4 3 3 7 2" xfId="23312" xr:uid="{C696F3CF-BA4D-48D2-A41C-03D27E574158}"/>
    <cellStyle name="Comma 3 4 3 3 7 2 2" xfId="53552" xr:uid="{3D22D876-AC93-4E09-B469-B8EF45E0D637}"/>
    <cellStyle name="Comma 3 4 3 3 7 3" xfId="38432" xr:uid="{69273A8C-1D6C-42A6-98D1-FE2729CC2C6F}"/>
    <cellStyle name="Comma 3 4 3 3 8" xfId="9704" xr:uid="{1C3BDFFA-08B3-47DE-A1E5-BB9B8DA6BCEE}"/>
    <cellStyle name="Comma 3 4 3 3 8 2" xfId="24824" xr:uid="{601CD543-6927-414E-9785-C0D2A520806B}"/>
    <cellStyle name="Comma 3 4 3 3 8 2 2" xfId="55064" xr:uid="{7B33A943-9EE5-41D9-9AD8-594898B1A593}"/>
    <cellStyle name="Comma 3 4 3 3 8 3" xfId="39944" xr:uid="{6AC52D0F-988C-449B-9F39-0E84683CFDFD}"/>
    <cellStyle name="Comma 3 4 3 3 9" xfId="15752" xr:uid="{5F1D2DB8-EF16-405C-9523-1408D5D3A262}"/>
    <cellStyle name="Comma 3 4 3 3 9 2" xfId="45992" xr:uid="{1864A5C4-4ECF-4724-AF84-112E8C517351}"/>
    <cellStyle name="Comma 3 4 3 4" xfId="884" xr:uid="{CD7B3758-4D13-47BE-8A4D-3FF24B2B8F46}"/>
    <cellStyle name="Comma 3 4 3 4 2" xfId="2396" xr:uid="{0B72B0A0-B178-41A9-A58E-90AEEF174423}"/>
    <cellStyle name="Comma 3 4 3 4 2 2" xfId="11468" xr:uid="{A993575D-F369-4BBA-B0A1-853A5E80321A}"/>
    <cellStyle name="Comma 3 4 3 4 2 2 2" xfId="26588" xr:uid="{9DC2EB13-46CB-423F-A6E8-8A0CD121AC42}"/>
    <cellStyle name="Comma 3 4 3 4 2 2 2 2" xfId="56828" xr:uid="{1CFAC03B-F790-4267-8B58-8ACA5E490562}"/>
    <cellStyle name="Comma 3 4 3 4 2 2 3" xfId="41708" xr:uid="{4167FEB2-A2A6-4B2E-AD18-E37BF0AF3FA9}"/>
    <cellStyle name="Comma 3 4 3 4 2 3" xfId="17516" xr:uid="{2EE8B559-1AA1-4BD8-AEB4-F2E4CB41CD6B}"/>
    <cellStyle name="Comma 3 4 3 4 2 3 2" xfId="47756" xr:uid="{277F6EB8-E6B9-4447-8CF4-E420A0683D5B}"/>
    <cellStyle name="Comma 3 4 3 4 2 4" xfId="32636" xr:uid="{1BDB967C-3A00-4171-B605-5213DC1CE49F}"/>
    <cellStyle name="Comma 3 4 3 4 3" xfId="3908" xr:uid="{58F79EB4-48C7-4907-B896-916B285E039E}"/>
    <cellStyle name="Comma 3 4 3 4 3 2" xfId="12980" xr:uid="{F9B1366B-BDF9-4F36-A043-9DD5DB13E9A0}"/>
    <cellStyle name="Comma 3 4 3 4 3 2 2" xfId="28100" xr:uid="{57AB48A3-30B3-468C-80F4-3F054DC0CBDE}"/>
    <cellStyle name="Comma 3 4 3 4 3 2 2 2" xfId="58340" xr:uid="{9601A38C-910D-4A0C-BF17-85BFFAA9A437}"/>
    <cellStyle name="Comma 3 4 3 4 3 2 3" xfId="43220" xr:uid="{51D25DCE-035D-4992-96AB-4090D3E59CD3}"/>
    <cellStyle name="Comma 3 4 3 4 3 3" xfId="19028" xr:uid="{B7935D0B-57C3-4A4F-97AD-F7CDF18B79C9}"/>
    <cellStyle name="Comma 3 4 3 4 3 3 2" xfId="49268" xr:uid="{01FA4D85-0D54-44B5-B519-4E4A79BDE995}"/>
    <cellStyle name="Comma 3 4 3 4 3 4" xfId="34148" xr:uid="{EF1F0704-9152-4621-88D6-0FA81BFE7989}"/>
    <cellStyle name="Comma 3 4 3 4 4" xfId="5420" xr:uid="{30981988-21FD-4630-A2E5-F0811E15221D}"/>
    <cellStyle name="Comma 3 4 3 4 4 2" xfId="14492" xr:uid="{BB6D678B-BDEC-4C7E-90BD-F6B3AA84DE46}"/>
    <cellStyle name="Comma 3 4 3 4 4 2 2" xfId="29612" xr:uid="{F13EBE89-8801-4ECE-A863-9D9324729A1A}"/>
    <cellStyle name="Comma 3 4 3 4 4 2 2 2" xfId="59852" xr:uid="{2BE8CBE8-7EEE-45A2-B684-DC372DDA8522}"/>
    <cellStyle name="Comma 3 4 3 4 4 2 3" xfId="44732" xr:uid="{C1EC041D-2E8E-4237-8843-5451247EBF1B}"/>
    <cellStyle name="Comma 3 4 3 4 4 3" xfId="20540" xr:uid="{09A5D5B2-B758-4BC2-BD8C-933CAE3DA03F}"/>
    <cellStyle name="Comma 3 4 3 4 4 3 2" xfId="50780" xr:uid="{4978E402-332F-4371-9982-B7089BB93E1E}"/>
    <cellStyle name="Comma 3 4 3 4 4 4" xfId="35660" xr:uid="{98BAC982-E5DF-47CF-A240-6C72B63706F7}"/>
    <cellStyle name="Comma 3 4 3 4 5" xfId="6932" xr:uid="{983CE12A-29BD-4FE1-BD45-F0D4AD154A4B}"/>
    <cellStyle name="Comma 3 4 3 4 5 2" xfId="22052" xr:uid="{5C382AEF-86F9-4ED6-94A1-6607A1EC1D85}"/>
    <cellStyle name="Comma 3 4 3 4 5 2 2" xfId="52292" xr:uid="{B459D170-166F-4AF6-9EAC-321FD840341C}"/>
    <cellStyle name="Comma 3 4 3 4 5 3" xfId="37172" xr:uid="{E44A4967-2ADE-4506-ACC8-95F6EF7F805F}"/>
    <cellStyle name="Comma 3 4 3 4 6" xfId="8444" xr:uid="{5A7BE29A-9917-403A-9A2F-CB547FD6A145}"/>
    <cellStyle name="Comma 3 4 3 4 6 2" xfId="23564" xr:uid="{253495DF-D02D-43F7-86F5-678D987A915D}"/>
    <cellStyle name="Comma 3 4 3 4 6 2 2" xfId="53804" xr:uid="{C8DA4536-DB20-4B25-99B5-A312D37B108A}"/>
    <cellStyle name="Comma 3 4 3 4 6 3" xfId="38684" xr:uid="{40D4ADBD-00E7-4B0A-914B-5E880A54D5C7}"/>
    <cellStyle name="Comma 3 4 3 4 7" xfId="9956" xr:uid="{4D2AA17E-98EC-49E3-BEA4-F9D6C0BDD8E5}"/>
    <cellStyle name="Comma 3 4 3 4 7 2" xfId="25076" xr:uid="{BB285A04-010E-4FBB-A76A-063BE915AACF}"/>
    <cellStyle name="Comma 3 4 3 4 7 2 2" xfId="55316" xr:uid="{1E14BD5A-8125-40D0-9F4B-8C7CC4B62AFA}"/>
    <cellStyle name="Comma 3 4 3 4 7 3" xfId="40196" xr:uid="{A255D250-E651-4575-BDA9-0FBCAF5E7925}"/>
    <cellStyle name="Comma 3 4 3 4 8" xfId="16004" xr:uid="{3C673D34-DD22-41EB-A780-7B144657815B}"/>
    <cellStyle name="Comma 3 4 3 4 8 2" xfId="46244" xr:uid="{D85A5390-4840-4DAF-877F-8319EEFC01C7}"/>
    <cellStyle name="Comma 3 4 3 4 9" xfId="31124" xr:uid="{3CC6A04C-E720-48F0-9C9A-2FEBBB220E2B}"/>
    <cellStyle name="Comma 3 4 3 5" xfId="1640" xr:uid="{16F0F8D7-01B7-4EF2-9A4A-19316D6CD6DB}"/>
    <cellStyle name="Comma 3 4 3 5 2" xfId="10712" xr:uid="{33685B25-719F-444E-B0F6-E865FBA976D4}"/>
    <cellStyle name="Comma 3 4 3 5 2 2" xfId="25832" xr:uid="{17C59ABE-67F9-4216-B50D-27EA552EB38D}"/>
    <cellStyle name="Comma 3 4 3 5 2 2 2" xfId="56072" xr:uid="{7343C32D-FC1E-4FF3-BC72-614653AD2FF4}"/>
    <cellStyle name="Comma 3 4 3 5 2 3" xfId="40952" xr:uid="{D2B03DC4-A22A-4950-AF36-566008E60473}"/>
    <cellStyle name="Comma 3 4 3 5 3" xfId="16760" xr:uid="{726E8C54-BD77-4A02-88AC-14ECC37D9D59}"/>
    <cellStyle name="Comma 3 4 3 5 3 2" xfId="47000" xr:uid="{DDA9A9E3-89C4-402C-A0C3-CA477EDA987D}"/>
    <cellStyle name="Comma 3 4 3 5 4" xfId="31880" xr:uid="{BF327069-209F-4D5D-84F5-297E74B0600F}"/>
    <cellStyle name="Comma 3 4 3 6" xfId="3152" xr:uid="{5E7ADA71-22E3-42D4-BB63-16E053E44E5E}"/>
    <cellStyle name="Comma 3 4 3 6 2" xfId="12224" xr:uid="{7D47ADFD-EC91-4312-87B6-88E34BC9DA17}"/>
    <cellStyle name="Comma 3 4 3 6 2 2" xfId="27344" xr:uid="{61F746A6-9C3F-4815-A602-E8BB814EB8F7}"/>
    <cellStyle name="Comma 3 4 3 6 2 2 2" xfId="57584" xr:uid="{508B89E2-F480-413A-86EE-EE780D495251}"/>
    <cellStyle name="Comma 3 4 3 6 2 3" xfId="42464" xr:uid="{573F3F8A-7035-44C8-91C5-D130B99A6CB3}"/>
    <cellStyle name="Comma 3 4 3 6 3" xfId="18272" xr:uid="{F2D6ADCA-F8ED-46B6-A61A-3B37FF7AB0D8}"/>
    <cellStyle name="Comma 3 4 3 6 3 2" xfId="48512" xr:uid="{69024BB9-3139-4580-A760-AFEFD5C26F2F}"/>
    <cellStyle name="Comma 3 4 3 6 4" xfId="33392" xr:uid="{5FA5743F-03CB-4E9F-866B-5843DB5B40BD}"/>
    <cellStyle name="Comma 3 4 3 7" xfId="4664" xr:uid="{3BE3DCF7-C5EF-4087-AD7F-57D9988FF7A9}"/>
    <cellStyle name="Comma 3 4 3 7 2" xfId="13736" xr:uid="{34387712-F850-4027-8B07-37DEBE12E31B}"/>
    <cellStyle name="Comma 3 4 3 7 2 2" xfId="28856" xr:uid="{9AA3CDB1-3051-4961-AFC3-BFC6A66EDCCC}"/>
    <cellStyle name="Comma 3 4 3 7 2 2 2" xfId="59096" xr:uid="{5AE54933-64C8-47F9-9339-337A96E2E318}"/>
    <cellStyle name="Comma 3 4 3 7 2 3" xfId="43976" xr:uid="{5D859CEC-D307-4A21-993F-7E0782181F44}"/>
    <cellStyle name="Comma 3 4 3 7 3" xfId="19784" xr:uid="{52B4228A-F3B2-4F1F-B63A-728DD707DF92}"/>
    <cellStyle name="Comma 3 4 3 7 3 2" xfId="50024" xr:uid="{E73FAC48-DC73-4327-B680-0142AFDEA338}"/>
    <cellStyle name="Comma 3 4 3 7 4" xfId="34904" xr:uid="{2138DF1C-6085-4CE7-836E-01240E073CCC}"/>
    <cellStyle name="Comma 3 4 3 8" xfId="6176" xr:uid="{B3C632DE-55D5-4F4D-8476-AB7C07436B41}"/>
    <cellStyle name="Comma 3 4 3 8 2" xfId="21296" xr:uid="{E3876111-2972-4D05-8329-AB0964840672}"/>
    <cellStyle name="Comma 3 4 3 8 2 2" xfId="51536" xr:uid="{7875C01D-E462-4305-AAB3-41DEC9CBD676}"/>
    <cellStyle name="Comma 3 4 3 8 3" xfId="36416" xr:uid="{FC8E88B1-E65E-49F0-8CEC-0271491A6EF0}"/>
    <cellStyle name="Comma 3 4 3 9" xfId="7688" xr:uid="{F90251F6-0BD9-42DA-BB52-EFA0D7BF0094}"/>
    <cellStyle name="Comma 3 4 3 9 2" xfId="22808" xr:uid="{7A9CC2E5-733B-4FB6-A53E-FA502F7D020C}"/>
    <cellStyle name="Comma 3 4 3 9 2 2" xfId="53048" xr:uid="{080F2A47-338D-4030-A869-6C45958DB1A2}"/>
    <cellStyle name="Comma 3 4 3 9 3" xfId="37928" xr:uid="{243CFD96-88D7-4269-8955-C0CCF3C32A79}"/>
    <cellStyle name="Comma 3 4 4" xfId="212" xr:uid="{4E4CD143-2727-4932-AFD5-654105699EA1}"/>
    <cellStyle name="Comma 3 4 4 10" xfId="9284" xr:uid="{A7DBB352-1725-429A-A596-9344FC72671D}"/>
    <cellStyle name="Comma 3 4 4 10 2" xfId="24404" xr:uid="{3C8C8188-A47E-40B5-9AB3-F4DBAA881DAC}"/>
    <cellStyle name="Comma 3 4 4 10 2 2" xfId="54644" xr:uid="{241C2E2A-0BF9-4EA9-8329-9FE89D7CB3F9}"/>
    <cellStyle name="Comma 3 4 4 10 3" xfId="39524" xr:uid="{8DA399B0-DB0A-46A6-9DD8-C5A895B027AB}"/>
    <cellStyle name="Comma 3 4 4 11" xfId="15332" xr:uid="{DEDB158E-1571-461A-AC66-631729F6B13C}"/>
    <cellStyle name="Comma 3 4 4 11 2" xfId="45572" xr:uid="{34CAB5AA-293A-4A11-B39A-B0FE1F8B5283}"/>
    <cellStyle name="Comma 3 4 4 12" xfId="30452" xr:uid="{5D7C9337-2760-408E-8070-3276F8A652D9}"/>
    <cellStyle name="Comma 3 4 4 2" xfId="464" xr:uid="{7466EE07-79EB-425A-BF51-AE9307498A2C}"/>
    <cellStyle name="Comma 3 4 4 2 10" xfId="30704" xr:uid="{B1C4E4A1-FB6D-41AC-B3FA-0A2F45E0D173}"/>
    <cellStyle name="Comma 3 4 4 2 2" xfId="1220" xr:uid="{AACE4BA7-986F-4F51-85DD-C72455D64469}"/>
    <cellStyle name="Comma 3 4 4 2 2 2" xfId="2732" xr:uid="{FF71F21D-933A-4DD0-B738-CC24CF1C77E3}"/>
    <cellStyle name="Comma 3 4 4 2 2 2 2" xfId="11804" xr:uid="{8F7C4CD9-4E55-43BC-9B3C-1779E4734198}"/>
    <cellStyle name="Comma 3 4 4 2 2 2 2 2" xfId="26924" xr:uid="{0FC0BADB-5C07-493B-9CA0-4AC6BD5BCA13}"/>
    <cellStyle name="Comma 3 4 4 2 2 2 2 2 2" xfId="57164" xr:uid="{B0B16A47-777E-4E8D-A434-B825212572CE}"/>
    <cellStyle name="Comma 3 4 4 2 2 2 2 3" xfId="42044" xr:uid="{D2B79F36-B5C3-48D3-B4BF-AC959225A33A}"/>
    <cellStyle name="Comma 3 4 4 2 2 2 3" xfId="17852" xr:uid="{2E16CA01-6786-4A46-8BA0-3305DEADDFF2}"/>
    <cellStyle name="Comma 3 4 4 2 2 2 3 2" xfId="48092" xr:uid="{14E07487-2AB1-4C2F-8D36-33A9D7E59F71}"/>
    <cellStyle name="Comma 3 4 4 2 2 2 4" xfId="32972" xr:uid="{FD054034-91CD-470E-A2B1-A8F9D42CEC92}"/>
    <cellStyle name="Comma 3 4 4 2 2 3" xfId="4244" xr:uid="{C27E2DA0-BDF1-4D22-A791-3A1897C654C8}"/>
    <cellStyle name="Comma 3 4 4 2 2 3 2" xfId="13316" xr:uid="{5DAF1382-B526-4F04-BCBB-DC93EA60CF36}"/>
    <cellStyle name="Comma 3 4 4 2 2 3 2 2" xfId="28436" xr:uid="{8E15FD20-E38E-4157-BE91-D26F44F8BA35}"/>
    <cellStyle name="Comma 3 4 4 2 2 3 2 2 2" xfId="58676" xr:uid="{C27068DF-1495-4D03-9002-4319E4A30662}"/>
    <cellStyle name="Comma 3 4 4 2 2 3 2 3" xfId="43556" xr:uid="{279F7EC4-651A-4EE4-8887-ED6657E857A5}"/>
    <cellStyle name="Comma 3 4 4 2 2 3 3" xfId="19364" xr:uid="{DDABE5A4-2003-4153-BFDD-16B0E9BB7BE3}"/>
    <cellStyle name="Comma 3 4 4 2 2 3 3 2" xfId="49604" xr:uid="{0A0E9B0B-0DFC-4C9C-AD66-9B55D384A5DC}"/>
    <cellStyle name="Comma 3 4 4 2 2 3 4" xfId="34484" xr:uid="{3D0DB8FD-3FB7-4D21-A351-22B39CC7D16E}"/>
    <cellStyle name="Comma 3 4 4 2 2 4" xfId="5756" xr:uid="{4904D961-7076-4EDA-BF1B-2662BA209C02}"/>
    <cellStyle name="Comma 3 4 4 2 2 4 2" xfId="14828" xr:uid="{E9E808B4-4225-4813-95F4-26647893FFD3}"/>
    <cellStyle name="Comma 3 4 4 2 2 4 2 2" xfId="29948" xr:uid="{1177FF64-75A9-4189-9B3D-E1DF9916F9CD}"/>
    <cellStyle name="Comma 3 4 4 2 2 4 2 2 2" xfId="60188" xr:uid="{8174AA80-7A0B-4F0A-A2B1-734470F46D4D}"/>
    <cellStyle name="Comma 3 4 4 2 2 4 2 3" xfId="45068" xr:uid="{0165F023-D726-403B-B0E1-F2F0480A84B0}"/>
    <cellStyle name="Comma 3 4 4 2 2 4 3" xfId="20876" xr:uid="{83A21B8A-ED57-4E76-B827-212A2B6586FE}"/>
    <cellStyle name="Comma 3 4 4 2 2 4 3 2" xfId="51116" xr:uid="{10D45AB5-0A88-4E38-98D6-FD29E565AF3C}"/>
    <cellStyle name="Comma 3 4 4 2 2 4 4" xfId="35996" xr:uid="{015B6BEB-C3AD-4331-949F-16EA618AD03A}"/>
    <cellStyle name="Comma 3 4 4 2 2 5" xfId="7268" xr:uid="{A8C81B41-4F28-40CC-9F76-6811E2C31FAD}"/>
    <cellStyle name="Comma 3 4 4 2 2 5 2" xfId="22388" xr:uid="{C2C5575E-78D2-45BF-87B9-5D3E7E387A6C}"/>
    <cellStyle name="Comma 3 4 4 2 2 5 2 2" xfId="52628" xr:uid="{406F9C4C-C540-4263-96DD-C946B7A87854}"/>
    <cellStyle name="Comma 3 4 4 2 2 5 3" xfId="37508" xr:uid="{56328B16-B038-479B-8860-C9E7239C40F0}"/>
    <cellStyle name="Comma 3 4 4 2 2 6" xfId="8780" xr:uid="{F447789D-AB76-4AD6-B935-3C8B2F27712D}"/>
    <cellStyle name="Comma 3 4 4 2 2 6 2" xfId="23900" xr:uid="{3BBAB9D0-6CF0-4772-A122-908B5CC1641C}"/>
    <cellStyle name="Comma 3 4 4 2 2 6 2 2" xfId="54140" xr:uid="{A35F8753-4476-4B4B-A0EC-6521D1A3D956}"/>
    <cellStyle name="Comma 3 4 4 2 2 6 3" xfId="39020" xr:uid="{BC2DE6D4-B212-42E6-A644-22CE615E6262}"/>
    <cellStyle name="Comma 3 4 4 2 2 7" xfId="10292" xr:uid="{3C400895-4BDD-48DF-BF54-74885EEAC443}"/>
    <cellStyle name="Comma 3 4 4 2 2 7 2" xfId="25412" xr:uid="{2A8A410D-768C-43A1-B919-FAF3A0B1DF13}"/>
    <cellStyle name="Comma 3 4 4 2 2 7 2 2" xfId="55652" xr:uid="{7B445384-E53E-4CE7-B589-3A619F4105B9}"/>
    <cellStyle name="Comma 3 4 4 2 2 7 3" xfId="40532" xr:uid="{4B27AA9A-B644-4525-997B-C81214D71A40}"/>
    <cellStyle name="Comma 3 4 4 2 2 8" xfId="16340" xr:uid="{4F5AAE79-1037-4CEF-9A3B-F145A225A1F3}"/>
    <cellStyle name="Comma 3 4 4 2 2 8 2" xfId="46580" xr:uid="{81C134C0-ABA8-4006-AE8D-376424731FCA}"/>
    <cellStyle name="Comma 3 4 4 2 2 9" xfId="31460" xr:uid="{47E0A83A-7D70-4BA8-8D8B-F46B8440DA3B}"/>
    <cellStyle name="Comma 3 4 4 2 3" xfId="1976" xr:uid="{61FAD8F0-91F2-4030-B5A3-934642EF2521}"/>
    <cellStyle name="Comma 3 4 4 2 3 2" xfId="11048" xr:uid="{849A260B-0A3A-4147-A7E5-C711354662F7}"/>
    <cellStyle name="Comma 3 4 4 2 3 2 2" xfId="26168" xr:uid="{44232E82-D1A1-4DF1-B1A8-F12AD16D814E}"/>
    <cellStyle name="Comma 3 4 4 2 3 2 2 2" xfId="56408" xr:uid="{00D0F3BB-5E54-47EB-8C1D-3F15037EC9E8}"/>
    <cellStyle name="Comma 3 4 4 2 3 2 3" xfId="41288" xr:uid="{A0648331-09D8-45BB-9F1A-870040CDF3D0}"/>
    <cellStyle name="Comma 3 4 4 2 3 3" xfId="17096" xr:uid="{F0F0448D-F368-4782-8874-E3A33E0BBF86}"/>
    <cellStyle name="Comma 3 4 4 2 3 3 2" xfId="47336" xr:uid="{D305C561-9B45-4EBC-B30C-10CEE16D1BBB}"/>
    <cellStyle name="Comma 3 4 4 2 3 4" xfId="32216" xr:uid="{0E41F102-4EAC-4516-876A-8D80523FDA82}"/>
    <cellStyle name="Comma 3 4 4 2 4" xfId="3488" xr:uid="{CFA80292-E790-4246-A2BC-0EF10CF11D5E}"/>
    <cellStyle name="Comma 3 4 4 2 4 2" xfId="12560" xr:uid="{3A2DA6C0-D7F9-4AFA-B586-D181752CF997}"/>
    <cellStyle name="Comma 3 4 4 2 4 2 2" xfId="27680" xr:uid="{E32CC325-790E-49A8-8D5C-3E9478FB43E7}"/>
    <cellStyle name="Comma 3 4 4 2 4 2 2 2" xfId="57920" xr:uid="{BED67A75-02C4-43EB-8968-5F56F07B89A9}"/>
    <cellStyle name="Comma 3 4 4 2 4 2 3" xfId="42800" xr:uid="{A8524178-814B-4067-8661-A3CE28DAA396}"/>
    <cellStyle name="Comma 3 4 4 2 4 3" xfId="18608" xr:uid="{7A07D442-5095-4B22-9943-F2956D6C3ED5}"/>
    <cellStyle name="Comma 3 4 4 2 4 3 2" xfId="48848" xr:uid="{F9F71CB8-C974-4FF0-8CCD-28FFC81C15D6}"/>
    <cellStyle name="Comma 3 4 4 2 4 4" xfId="33728" xr:uid="{20B7988F-27E9-43CE-BDD9-3D70238FC730}"/>
    <cellStyle name="Comma 3 4 4 2 5" xfId="5000" xr:uid="{ACDDE875-3930-4681-848E-61459A77F4FE}"/>
    <cellStyle name="Comma 3 4 4 2 5 2" xfId="14072" xr:uid="{144E47A8-2020-45E0-B4AD-53F5D691394D}"/>
    <cellStyle name="Comma 3 4 4 2 5 2 2" xfId="29192" xr:uid="{23D40CFA-76FB-43F2-B29A-F81750488693}"/>
    <cellStyle name="Comma 3 4 4 2 5 2 2 2" xfId="59432" xr:uid="{F0E1F3BC-104A-4BD3-BDE4-2F96582481B3}"/>
    <cellStyle name="Comma 3 4 4 2 5 2 3" xfId="44312" xr:uid="{7DCFAB9B-7A8C-499E-ACA6-69D269DC6923}"/>
    <cellStyle name="Comma 3 4 4 2 5 3" xfId="20120" xr:uid="{A927D07F-A2B7-40F3-9606-AD1949BE21AF}"/>
    <cellStyle name="Comma 3 4 4 2 5 3 2" xfId="50360" xr:uid="{915D1790-00C2-4AE3-B6CC-7FC0285ADB60}"/>
    <cellStyle name="Comma 3 4 4 2 5 4" xfId="35240" xr:uid="{E8034D72-FD40-457D-A736-6CA0B5D3F5AB}"/>
    <cellStyle name="Comma 3 4 4 2 6" xfId="6512" xr:uid="{8F548D24-665E-4637-9EF0-B6E2184133ED}"/>
    <cellStyle name="Comma 3 4 4 2 6 2" xfId="21632" xr:uid="{2A31E306-9A39-40D9-B3A8-2826CF1DE0FC}"/>
    <cellStyle name="Comma 3 4 4 2 6 2 2" xfId="51872" xr:uid="{7DE02550-78D6-4198-8C25-DA09EE6E1A73}"/>
    <cellStyle name="Comma 3 4 4 2 6 3" xfId="36752" xr:uid="{F67EEC42-4F96-4EEA-98CE-771AC5158B02}"/>
    <cellStyle name="Comma 3 4 4 2 7" xfId="8024" xr:uid="{949CCA16-0E9E-445F-BA92-7BA7D61D7720}"/>
    <cellStyle name="Comma 3 4 4 2 7 2" xfId="23144" xr:uid="{567D685D-12B7-47F5-9ECF-6A4EE492AB02}"/>
    <cellStyle name="Comma 3 4 4 2 7 2 2" xfId="53384" xr:uid="{6A8B971C-4DEC-47F9-985A-4DF9B4FF6AAB}"/>
    <cellStyle name="Comma 3 4 4 2 7 3" xfId="38264" xr:uid="{0E4953CB-31C3-41AB-96ED-9C25D6E5EAF8}"/>
    <cellStyle name="Comma 3 4 4 2 8" xfId="9536" xr:uid="{176E335F-9A9F-4FAC-A6FD-383DB46FE2C3}"/>
    <cellStyle name="Comma 3 4 4 2 8 2" xfId="24656" xr:uid="{86FAF9FD-5382-449D-85D5-F10310FD54A6}"/>
    <cellStyle name="Comma 3 4 4 2 8 2 2" xfId="54896" xr:uid="{25CA3641-F9E8-46A5-983F-9078D1B9F764}"/>
    <cellStyle name="Comma 3 4 4 2 8 3" xfId="39776" xr:uid="{B16F2FBB-CDA5-4A4E-8130-2B84BD063851}"/>
    <cellStyle name="Comma 3 4 4 2 9" xfId="15584" xr:uid="{40E5D7E3-0A9E-4E49-9D2B-BE0CCCC0A27D}"/>
    <cellStyle name="Comma 3 4 4 2 9 2" xfId="45824" xr:uid="{2DB748EF-8EF2-48B5-B361-6BCFA2E44994}"/>
    <cellStyle name="Comma 3 4 4 3" xfId="716" xr:uid="{99C526CF-564D-4415-8DAC-DFD6707A1F59}"/>
    <cellStyle name="Comma 3 4 4 3 10" xfId="30956" xr:uid="{E2A104FE-4A67-4D0B-AFC5-58D1935A6730}"/>
    <cellStyle name="Comma 3 4 4 3 2" xfId="1472" xr:uid="{88508401-27E1-42AC-B8BF-7242B66EE949}"/>
    <cellStyle name="Comma 3 4 4 3 2 2" xfId="2984" xr:uid="{73BD0003-2A8E-4E9B-A0AE-4D29E8EF4E89}"/>
    <cellStyle name="Comma 3 4 4 3 2 2 2" xfId="12056" xr:uid="{9780D317-1067-4175-AE6F-05FE58222BA3}"/>
    <cellStyle name="Comma 3 4 4 3 2 2 2 2" xfId="27176" xr:uid="{3E8D6017-8725-47C7-BE14-D677862C3705}"/>
    <cellStyle name="Comma 3 4 4 3 2 2 2 2 2" xfId="57416" xr:uid="{D67DFF00-2488-4E0E-B200-DC3AD0169B6B}"/>
    <cellStyle name="Comma 3 4 4 3 2 2 2 3" xfId="42296" xr:uid="{30300E86-455A-4ED5-ACB0-5F356FB36AFB}"/>
    <cellStyle name="Comma 3 4 4 3 2 2 3" xfId="18104" xr:uid="{7BDC3A62-79BA-486F-B700-6CBD27DD22E6}"/>
    <cellStyle name="Comma 3 4 4 3 2 2 3 2" xfId="48344" xr:uid="{1D6ECB28-0AD5-42E6-87FD-A6552B279864}"/>
    <cellStyle name="Comma 3 4 4 3 2 2 4" xfId="33224" xr:uid="{FBD7F186-F9A7-41B6-815F-07AABC640561}"/>
    <cellStyle name="Comma 3 4 4 3 2 3" xfId="4496" xr:uid="{F507E6D3-40D4-461A-8EA0-D773A44B74FC}"/>
    <cellStyle name="Comma 3 4 4 3 2 3 2" xfId="13568" xr:uid="{99D75C5F-5F65-46A1-AA6A-491B464C7E60}"/>
    <cellStyle name="Comma 3 4 4 3 2 3 2 2" xfId="28688" xr:uid="{0E8AE7BC-7F9F-4AC7-A648-5DE1B5E2CE2E}"/>
    <cellStyle name="Comma 3 4 4 3 2 3 2 2 2" xfId="58928" xr:uid="{BE16FC88-E05D-46EE-AA03-547FD8FABADE}"/>
    <cellStyle name="Comma 3 4 4 3 2 3 2 3" xfId="43808" xr:uid="{9FDBBD44-4961-48CA-BC49-9F2588E7B264}"/>
    <cellStyle name="Comma 3 4 4 3 2 3 3" xfId="19616" xr:uid="{3B79C925-85B7-4583-9E56-20D325C315C2}"/>
    <cellStyle name="Comma 3 4 4 3 2 3 3 2" xfId="49856" xr:uid="{95D46632-947B-4200-93DA-8B26BBD57320}"/>
    <cellStyle name="Comma 3 4 4 3 2 3 4" xfId="34736" xr:uid="{8DA1C2D7-1970-485E-B5DE-7D9FE4F20765}"/>
    <cellStyle name="Comma 3 4 4 3 2 4" xfId="6008" xr:uid="{F48C6365-B615-4D10-8ED3-0E30AA825DD9}"/>
    <cellStyle name="Comma 3 4 4 3 2 4 2" xfId="15080" xr:uid="{F18CC147-EA3F-44D0-8A46-6388B2B4F19A}"/>
    <cellStyle name="Comma 3 4 4 3 2 4 2 2" xfId="30200" xr:uid="{C8989A08-F973-42AA-82C2-AA783D8F61B0}"/>
    <cellStyle name="Comma 3 4 4 3 2 4 2 2 2" xfId="60440" xr:uid="{7C49B2DB-977B-4E0A-8886-AC7187F48499}"/>
    <cellStyle name="Comma 3 4 4 3 2 4 2 3" xfId="45320" xr:uid="{5F9B14A9-A1B6-48A7-8AB8-E03696BB2C03}"/>
    <cellStyle name="Comma 3 4 4 3 2 4 3" xfId="21128" xr:uid="{0A1F1649-163D-4275-AC9C-6CFA4C3E5120}"/>
    <cellStyle name="Comma 3 4 4 3 2 4 3 2" xfId="51368" xr:uid="{ED91F03A-3DDE-47E1-9DD2-7C73F646F959}"/>
    <cellStyle name="Comma 3 4 4 3 2 4 4" xfId="36248" xr:uid="{6B2D8464-9E9B-49B5-998B-1EF90EA114A6}"/>
    <cellStyle name="Comma 3 4 4 3 2 5" xfId="7520" xr:uid="{49CC70F8-C929-457B-BC42-F9236A09B147}"/>
    <cellStyle name="Comma 3 4 4 3 2 5 2" xfId="22640" xr:uid="{2FC1C74B-F8F3-4686-9483-0160ABBE9EC6}"/>
    <cellStyle name="Comma 3 4 4 3 2 5 2 2" xfId="52880" xr:uid="{13DF0517-DABC-4E8D-8DA0-40F2C74831A4}"/>
    <cellStyle name="Comma 3 4 4 3 2 5 3" xfId="37760" xr:uid="{B324E182-807F-432E-B6AD-47C5B4D82571}"/>
    <cellStyle name="Comma 3 4 4 3 2 6" xfId="9032" xr:uid="{651AF590-4A1D-4288-A5CB-2B6D95190244}"/>
    <cellStyle name="Comma 3 4 4 3 2 6 2" xfId="24152" xr:uid="{B1AC3421-78AC-4927-87E9-873601863D79}"/>
    <cellStyle name="Comma 3 4 4 3 2 6 2 2" xfId="54392" xr:uid="{3B008880-8B05-4EFF-AC2A-342D18D1D38E}"/>
    <cellStyle name="Comma 3 4 4 3 2 6 3" xfId="39272" xr:uid="{BAF8D2A5-640D-45B2-B580-E7BC6C893E29}"/>
    <cellStyle name="Comma 3 4 4 3 2 7" xfId="10544" xr:uid="{58F247B9-A96E-490C-86D0-9F299ED032B7}"/>
    <cellStyle name="Comma 3 4 4 3 2 7 2" xfId="25664" xr:uid="{AC2572C6-A450-4723-A13D-4E96E5861DE1}"/>
    <cellStyle name="Comma 3 4 4 3 2 7 2 2" xfId="55904" xr:uid="{4D9D76E0-B6DB-46FF-A6F3-CCD6E90476F0}"/>
    <cellStyle name="Comma 3 4 4 3 2 7 3" xfId="40784" xr:uid="{EE79F7DA-1154-4A3C-86C9-C8B878C7BFC2}"/>
    <cellStyle name="Comma 3 4 4 3 2 8" xfId="16592" xr:uid="{F074D364-F5A9-4B51-8E10-59CF9480B9B8}"/>
    <cellStyle name="Comma 3 4 4 3 2 8 2" xfId="46832" xr:uid="{0276447F-08C3-456B-9151-15DB4C88A131}"/>
    <cellStyle name="Comma 3 4 4 3 2 9" xfId="31712" xr:uid="{1C6E52A1-4272-4CAC-9D10-CAD6275AC607}"/>
    <cellStyle name="Comma 3 4 4 3 3" xfId="2228" xr:uid="{1AB294E0-EAA2-4283-9142-5A6D45BD4097}"/>
    <cellStyle name="Comma 3 4 4 3 3 2" xfId="11300" xr:uid="{458F654A-C45B-4EBE-854B-43B9E9A16814}"/>
    <cellStyle name="Comma 3 4 4 3 3 2 2" xfId="26420" xr:uid="{55337094-AD79-4A34-922C-1E1182CCDCCF}"/>
    <cellStyle name="Comma 3 4 4 3 3 2 2 2" xfId="56660" xr:uid="{BCB49027-141A-405A-888C-7CCAEC4CC003}"/>
    <cellStyle name="Comma 3 4 4 3 3 2 3" xfId="41540" xr:uid="{59710961-F8A6-49B7-AE73-D4EB0E7F00CC}"/>
    <cellStyle name="Comma 3 4 4 3 3 3" xfId="17348" xr:uid="{389E75B7-32A9-4832-82CC-3E16CA750C71}"/>
    <cellStyle name="Comma 3 4 4 3 3 3 2" xfId="47588" xr:uid="{E2A0C698-9B07-416F-8AFF-B6C7600E5C35}"/>
    <cellStyle name="Comma 3 4 4 3 3 4" xfId="32468" xr:uid="{DAC16DC2-2FB1-49C1-9CAB-AFE85BA420F6}"/>
    <cellStyle name="Comma 3 4 4 3 4" xfId="3740" xr:uid="{59581ACB-BC9A-4537-AD26-E5DF9198F0E5}"/>
    <cellStyle name="Comma 3 4 4 3 4 2" xfId="12812" xr:uid="{873BD456-3DB5-4457-B6EC-3EBB0F770A17}"/>
    <cellStyle name="Comma 3 4 4 3 4 2 2" xfId="27932" xr:uid="{DD1D61C0-21D8-46EF-8C55-F0453BD9041C}"/>
    <cellStyle name="Comma 3 4 4 3 4 2 2 2" xfId="58172" xr:uid="{5451817F-7ACB-47CF-AEE6-66D3156BBA29}"/>
    <cellStyle name="Comma 3 4 4 3 4 2 3" xfId="43052" xr:uid="{27397D2F-1EE9-4A92-AC19-EA39E450D9E9}"/>
    <cellStyle name="Comma 3 4 4 3 4 3" xfId="18860" xr:uid="{65109BF6-7A58-482F-BC70-EA52F0F1ABA0}"/>
    <cellStyle name="Comma 3 4 4 3 4 3 2" xfId="49100" xr:uid="{5840AA38-BCBD-470C-9BC8-95473BE97476}"/>
    <cellStyle name="Comma 3 4 4 3 4 4" xfId="33980" xr:uid="{4667CE8A-FA32-4FE9-B663-92A8D11B9B63}"/>
    <cellStyle name="Comma 3 4 4 3 5" xfId="5252" xr:uid="{07433B83-4C46-49E8-895C-A5C614946A01}"/>
    <cellStyle name="Comma 3 4 4 3 5 2" xfId="14324" xr:uid="{6BE0FF92-6418-4605-B980-7E40A285E4E3}"/>
    <cellStyle name="Comma 3 4 4 3 5 2 2" xfId="29444" xr:uid="{9A5C330E-D812-446F-AA8D-227F294E2174}"/>
    <cellStyle name="Comma 3 4 4 3 5 2 2 2" xfId="59684" xr:uid="{DAE022D2-3A97-4C3D-B99E-C138D841F94E}"/>
    <cellStyle name="Comma 3 4 4 3 5 2 3" xfId="44564" xr:uid="{AD696E01-31DA-45BB-B42F-73F06159B62A}"/>
    <cellStyle name="Comma 3 4 4 3 5 3" xfId="20372" xr:uid="{B81FC5FE-69AF-4E1B-AB59-6102E8D71A98}"/>
    <cellStyle name="Comma 3 4 4 3 5 3 2" xfId="50612" xr:uid="{8C1E54FB-3A2A-4BD8-AC89-A70CB9AC7815}"/>
    <cellStyle name="Comma 3 4 4 3 5 4" xfId="35492" xr:uid="{5FC59CEA-FE62-437A-8D41-91A568FC4E70}"/>
    <cellStyle name="Comma 3 4 4 3 6" xfId="6764" xr:uid="{F0169F09-287D-4A98-9EDF-AAFFC4ED290D}"/>
    <cellStyle name="Comma 3 4 4 3 6 2" xfId="21884" xr:uid="{0D43DCB4-1361-4BBD-84CE-0AF0E3D48F81}"/>
    <cellStyle name="Comma 3 4 4 3 6 2 2" xfId="52124" xr:uid="{241B6AEA-B9E3-4AE4-BE34-2F19B10F08A3}"/>
    <cellStyle name="Comma 3 4 4 3 6 3" xfId="37004" xr:uid="{9ABC5596-0E41-4C3E-8646-C49AEDE66747}"/>
    <cellStyle name="Comma 3 4 4 3 7" xfId="8276" xr:uid="{A3222AA5-8489-4E25-8404-5437B0A09A22}"/>
    <cellStyle name="Comma 3 4 4 3 7 2" xfId="23396" xr:uid="{30A9CCA9-A3C8-43A1-83D1-E28AF8F7879A}"/>
    <cellStyle name="Comma 3 4 4 3 7 2 2" xfId="53636" xr:uid="{9E0F5BE1-FEA8-405C-8518-7FBA7FEE12A7}"/>
    <cellStyle name="Comma 3 4 4 3 7 3" xfId="38516" xr:uid="{3C12F564-5209-49CE-8E7F-FEC157688FD0}"/>
    <cellStyle name="Comma 3 4 4 3 8" xfId="9788" xr:uid="{13E2B3EA-82B9-4884-864F-F7F768BC4F49}"/>
    <cellStyle name="Comma 3 4 4 3 8 2" xfId="24908" xr:uid="{3C910E5F-FF6C-4033-9064-5B9F9FCAB1B9}"/>
    <cellStyle name="Comma 3 4 4 3 8 2 2" xfId="55148" xr:uid="{1D7F234B-C250-42F7-9912-C793D79A6DE8}"/>
    <cellStyle name="Comma 3 4 4 3 8 3" xfId="40028" xr:uid="{E2F2009D-FD64-4D16-BF5F-B4B52E56B3D0}"/>
    <cellStyle name="Comma 3 4 4 3 9" xfId="15836" xr:uid="{1D9E12C1-F2BE-45B7-8607-90E65F6EF589}"/>
    <cellStyle name="Comma 3 4 4 3 9 2" xfId="46076" xr:uid="{0578132C-846B-4884-ADBD-2801A6B66C87}"/>
    <cellStyle name="Comma 3 4 4 4" xfId="968" xr:uid="{91F75AA9-92CC-4A2F-BF64-690D411B865E}"/>
    <cellStyle name="Comma 3 4 4 4 2" xfId="2480" xr:uid="{63E45F8F-778A-428D-BCF9-5354917FA38E}"/>
    <cellStyle name="Comma 3 4 4 4 2 2" xfId="11552" xr:uid="{E81C9DCE-5338-4FCA-A940-DEF249D32884}"/>
    <cellStyle name="Comma 3 4 4 4 2 2 2" xfId="26672" xr:uid="{8C0B1B72-2A7C-4B62-8D02-74E4D1BFFC4F}"/>
    <cellStyle name="Comma 3 4 4 4 2 2 2 2" xfId="56912" xr:uid="{E61AD1A9-3F02-43BC-9932-B03E46975E1F}"/>
    <cellStyle name="Comma 3 4 4 4 2 2 3" xfId="41792" xr:uid="{3FA93C68-D9DB-4182-99C2-84E4896F583C}"/>
    <cellStyle name="Comma 3 4 4 4 2 3" xfId="17600" xr:uid="{8AE986F9-141F-41B3-8E56-DED48C365694}"/>
    <cellStyle name="Comma 3 4 4 4 2 3 2" xfId="47840" xr:uid="{38E586A3-78D9-432F-A0AA-492E4DB6150C}"/>
    <cellStyle name="Comma 3 4 4 4 2 4" xfId="32720" xr:uid="{708A732C-F689-42D2-8B33-F4D46C608098}"/>
    <cellStyle name="Comma 3 4 4 4 3" xfId="3992" xr:uid="{711D0D1E-BDD6-4AF2-B475-693609E7A778}"/>
    <cellStyle name="Comma 3 4 4 4 3 2" xfId="13064" xr:uid="{02F07678-3E1F-462F-8526-1DB999157D67}"/>
    <cellStyle name="Comma 3 4 4 4 3 2 2" xfId="28184" xr:uid="{CF74EBA7-45FD-4CE2-9DC1-8E5BBFE67B17}"/>
    <cellStyle name="Comma 3 4 4 4 3 2 2 2" xfId="58424" xr:uid="{F09C5B53-07A4-4C41-86B2-6C967261727D}"/>
    <cellStyle name="Comma 3 4 4 4 3 2 3" xfId="43304" xr:uid="{132705B4-D19C-4C4A-A9EF-D1054EF3C90F}"/>
    <cellStyle name="Comma 3 4 4 4 3 3" xfId="19112" xr:uid="{62D9A074-87B5-4FD0-9E9B-E2617C2E246F}"/>
    <cellStyle name="Comma 3 4 4 4 3 3 2" xfId="49352" xr:uid="{F536616E-36EA-46F6-B23C-BB71CC8AE2EB}"/>
    <cellStyle name="Comma 3 4 4 4 3 4" xfId="34232" xr:uid="{E98C5EF1-032B-411D-BF5D-DDFC7932984A}"/>
    <cellStyle name="Comma 3 4 4 4 4" xfId="5504" xr:uid="{EAB0D12B-9551-4E8D-BCF9-BFE6FE2038D7}"/>
    <cellStyle name="Comma 3 4 4 4 4 2" xfId="14576" xr:uid="{E701F0F6-2EB4-44E1-8649-38BA6620BFAA}"/>
    <cellStyle name="Comma 3 4 4 4 4 2 2" xfId="29696" xr:uid="{50E9B48E-7DFB-45F7-AFEE-1A296348C81B}"/>
    <cellStyle name="Comma 3 4 4 4 4 2 2 2" xfId="59936" xr:uid="{F43D6428-10D5-4822-A66C-8E395E92DE02}"/>
    <cellStyle name="Comma 3 4 4 4 4 2 3" xfId="44816" xr:uid="{6BF23DBE-773C-406A-A134-07F4BF0F6F19}"/>
    <cellStyle name="Comma 3 4 4 4 4 3" xfId="20624" xr:uid="{9F50D875-A0AB-4BF8-94F2-E326ED21B3B9}"/>
    <cellStyle name="Comma 3 4 4 4 4 3 2" xfId="50864" xr:uid="{D3F24E50-35B6-4B7F-859F-C22731BB75D7}"/>
    <cellStyle name="Comma 3 4 4 4 4 4" xfId="35744" xr:uid="{5EE8AB81-BFE8-480B-B139-E20163DF7218}"/>
    <cellStyle name="Comma 3 4 4 4 5" xfId="7016" xr:uid="{0CC54C9B-1910-42E2-91C1-7C001C0F7EA4}"/>
    <cellStyle name="Comma 3 4 4 4 5 2" xfId="22136" xr:uid="{8A852836-592B-4500-961C-F652CBF697AC}"/>
    <cellStyle name="Comma 3 4 4 4 5 2 2" xfId="52376" xr:uid="{E4F98E7F-878E-4648-875B-F102030CAAD0}"/>
    <cellStyle name="Comma 3 4 4 4 5 3" xfId="37256" xr:uid="{1C4AAE3C-F514-487A-AD79-B1FD15355F61}"/>
    <cellStyle name="Comma 3 4 4 4 6" xfId="8528" xr:uid="{C81DDDE1-6415-43BC-87DB-A8C28D526116}"/>
    <cellStyle name="Comma 3 4 4 4 6 2" xfId="23648" xr:uid="{5D74C6DE-5B5A-4A18-A85B-9BBBDF6FBF3A}"/>
    <cellStyle name="Comma 3 4 4 4 6 2 2" xfId="53888" xr:uid="{42566792-0C35-48A5-88FB-AD7E95BE4EC3}"/>
    <cellStyle name="Comma 3 4 4 4 6 3" xfId="38768" xr:uid="{1A363687-65D5-4ABF-8AFC-65E4649F1F38}"/>
    <cellStyle name="Comma 3 4 4 4 7" xfId="10040" xr:uid="{BA70DF62-DED4-4F5C-B06F-E3F0AEFFCBE1}"/>
    <cellStyle name="Comma 3 4 4 4 7 2" xfId="25160" xr:uid="{C2AF06A7-6709-4251-8AB2-F0D689372FEA}"/>
    <cellStyle name="Comma 3 4 4 4 7 2 2" xfId="55400" xr:uid="{E1AE2FB4-9021-4F1E-B6D5-BD2E68E91632}"/>
    <cellStyle name="Comma 3 4 4 4 7 3" xfId="40280" xr:uid="{AD27A906-C06D-4B61-BCC3-46C5409C1579}"/>
    <cellStyle name="Comma 3 4 4 4 8" xfId="16088" xr:uid="{784540AA-8D20-4C96-8184-8A11D7BA1A28}"/>
    <cellStyle name="Comma 3 4 4 4 8 2" xfId="46328" xr:uid="{D829EF0E-2A97-48D9-9D2B-984B1A1AAD2F}"/>
    <cellStyle name="Comma 3 4 4 4 9" xfId="31208" xr:uid="{FD3C752B-7E46-4386-814A-36D763F4DEC9}"/>
    <cellStyle name="Comma 3 4 4 5" xfId="1724" xr:uid="{4B66FC67-A46E-4CEF-9909-229AFFBF30B7}"/>
    <cellStyle name="Comma 3 4 4 5 2" xfId="10796" xr:uid="{4BE1E4D6-D22D-45C3-A5CB-BA9A3F28B64A}"/>
    <cellStyle name="Comma 3 4 4 5 2 2" xfId="25916" xr:uid="{83D3F402-A937-4745-96FC-0D307B118584}"/>
    <cellStyle name="Comma 3 4 4 5 2 2 2" xfId="56156" xr:uid="{3C27C305-F9BB-4A77-A23F-17881875ACCF}"/>
    <cellStyle name="Comma 3 4 4 5 2 3" xfId="41036" xr:uid="{D68DB668-6725-4F8C-8BFF-B70D2D2B6C0D}"/>
    <cellStyle name="Comma 3 4 4 5 3" xfId="16844" xr:uid="{2C0922C3-65CF-4176-BF7A-5D66DDFB2434}"/>
    <cellStyle name="Comma 3 4 4 5 3 2" xfId="47084" xr:uid="{D764D7F7-528A-4D6F-B6D6-BBD3D7945092}"/>
    <cellStyle name="Comma 3 4 4 5 4" xfId="31964" xr:uid="{82D974F1-828F-406A-8AF2-B0E8C9578C1B}"/>
    <cellStyle name="Comma 3 4 4 6" xfId="3236" xr:uid="{58C290F9-280F-40C8-A555-D7002FF41FC8}"/>
    <cellStyle name="Comma 3 4 4 6 2" xfId="12308" xr:uid="{314B691E-795C-4705-ACEB-9830311A5426}"/>
    <cellStyle name="Comma 3 4 4 6 2 2" xfId="27428" xr:uid="{40757E0C-8CEE-4E90-BFDF-CE7C36F97F47}"/>
    <cellStyle name="Comma 3 4 4 6 2 2 2" xfId="57668" xr:uid="{6EAF8D70-7EF9-459D-8568-F9D917D12522}"/>
    <cellStyle name="Comma 3 4 4 6 2 3" xfId="42548" xr:uid="{A2A7829B-46AA-4EC1-A9EA-D649638F4615}"/>
    <cellStyle name="Comma 3 4 4 6 3" xfId="18356" xr:uid="{B4E2744E-EB8C-4E48-B015-4E279E01179A}"/>
    <cellStyle name="Comma 3 4 4 6 3 2" xfId="48596" xr:uid="{5F0FF8E5-AD8F-4EC0-A4DA-90C4E5D1E1AD}"/>
    <cellStyle name="Comma 3 4 4 6 4" xfId="33476" xr:uid="{17E8EF90-D665-4875-A105-DF198F4B7E56}"/>
    <cellStyle name="Comma 3 4 4 7" xfId="4748" xr:uid="{5C3C97CA-6732-4D29-9362-F5974DEED8C2}"/>
    <cellStyle name="Comma 3 4 4 7 2" xfId="13820" xr:uid="{731D518F-E5B1-4685-9CC0-4A105DB4FFAD}"/>
    <cellStyle name="Comma 3 4 4 7 2 2" xfId="28940" xr:uid="{0B7B4DE3-EDCD-45DD-9B3E-BDD5624B7AEF}"/>
    <cellStyle name="Comma 3 4 4 7 2 2 2" xfId="59180" xr:uid="{BBE41BB7-3C62-4451-BD3A-5DEEA11FBE10}"/>
    <cellStyle name="Comma 3 4 4 7 2 3" xfId="44060" xr:uid="{CEC9B12C-C622-4C31-8D39-0D125F381AB9}"/>
    <cellStyle name="Comma 3 4 4 7 3" xfId="19868" xr:uid="{FA283F3C-980A-44AE-A7C9-FE0DA3E73B4D}"/>
    <cellStyle name="Comma 3 4 4 7 3 2" xfId="50108" xr:uid="{29D81474-68FA-4E63-A916-2F6A7B8DC379}"/>
    <cellStyle name="Comma 3 4 4 7 4" xfId="34988" xr:uid="{7BD6EDCC-4FF0-4187-8E59-9BAB0F713C99}"/>
    <cellStyle name="Comma 3 4 4 8" xfId="6260" xr:uid="{6807743F-6DF1-44FD-A217-FF111525F13A}"/>
    <cellStyle name="Comma 3 4 4 8 2" xfId="21380" xr:uid="{539C83D2-4FD1-428D-823F-A4BE3AA8F1BC}"/>
    <cellStyle name="Comma 3 4 4 8 2 2" xfId="51620" xr:uid="{F090F6BD-E027-44F3-A0EC-F559EACE8EED}"/>
    <cellStyle name="Comma 3 4 4 8 3" xfId="36500" xr:uid="{D12F27D8-1A71-4C64-A87D-E914B7B0A284}"/>
    <cellStyle name="Comma 3 4 4 9" xfId="7772" xr:uid="{29076FFE-8150-4AB1-A095-3481B0AF15A8}"/>
    <cellStyle name="Comma 3 4 4 9 2" xfId="22892" xr:uid="{5C27F41E-E42A-4627-8175-E33634BD183C}"/>
    <cellStyle name="Comma 3 4 4 9 2 2" xfId="53132" xr:uid="{16E7C47A-49F8-4301-9D89-248A4FC90D74}"/>
    <cellStyle name="Comma 3 4 4 9 3" xfId="38012" xr:uid="{C2BA57CF-86AB-4359-8C43-2FA4BB13CAEB}"/>
    <cellStyle name="Comma 3 4 5" xfId="296" xr:uid="{9F0DB82E-ECDD-41C8-95C5-ADE8A6E52E34}"/>
    <cellStyle name="Comma 3 4 5 10" xfId="30536" xr:uid="{B7233848-A70C-45E2-B44B-3261F6DE0EC8}"/>
    <cellStyle name="Comma 3 4 5 2" xfId="1052" xr:uid="{2EB717E2-43A7-4454-8F25-0B82DA02E9E8}"/>
    <cellStyle name="Comma 3 4 5 2 2" xfId="2564" xr:uid="{DFF0FCE5-0441-4D86-BAC1-8203876A6648}"/>
    <cellStyle name="Comma 3 4 5 2 2 2" xfId="11636" xr:uid="{35BA43AE-782B-44FB-A3E1-F7EA3158FF8A}"/>
    <cellStyle name="Comma 3 4 5 2 2 2 2" xfId="26756" xr:uid="{C97A1C79-4950-446A-B0EC-BB3FDF8F9340}"/>
    <cellStyle name="Comma 3 4 5 2 2 2 2 2" xfId="56996" xr:uid="{E1E117E3-ACD6-43CE-A996-A16322C4D1F6}"/>
    <cellStyle name="Comma 3 4 5 2 2 2 3" xfId="41876" xr:uid="{9291683F-654F-4739-8435-92E1C61F077B}"/>
    <cellStyle name="Comma 3 4 5 2 2 3" xfId="17684" xr:uid="{C33D6D37-0DE2-4CEE-9965-433CD5C8AC5C}"/>
    <cellStyle name="Comma 3 4 5 2 2 3 2" xfId="47924" xr:uid="{633E751E-EE78-43A8-8F99-3864B0741573}"/>
    <cellStyle name="Comma 3 4 5 2 2 4" xfId="32804" xr:uid="{F7C83662-CBF4-4E59-9A16-4301513E2CCA}"/>
    <cellStyle name="Comma 3 4 5 2 3" xfId="4076" xr:uid="{F2399A29-D2C3-4378-95EE-576A729A3531}"/>
    <cellStyle name="Comma 3 4 5 2 3 2" xfId="13148" xr:uid="{D47E6C18-1313-4793-8701-8E0C5B97A268}"/>
    <cellStyle name="Comma 3 4 5 2 3 2 2" xfId="28268" xr:uid="{E29ACFEF-5BCB-4A48-8133-B34305CCB819}"/>
    <cellStyle name="Comma 3 4 5 2 3 2 2 2" xfId="58508" xr:uid="{47BCA768-CC6A-4E89-A489-57A08B1B4642}"/>
    <cellStyle name="Comma 3 4 5 2 3 2 3" xfId="43388" xr:uid="{132DE22F-131A-459B-A575-E92A7DB218E2}"/>
    <cellStyle name="Comma 3 4 5 2 3 3" xfId="19196" xr:uid="{A6CA3F4A-CF1D-456A-9EBB-373A39A6E95A}"/>
    <cellStyle name="Comma 3 4 5 2 3 3 2" xfId="49436" xr:uid="{82ADEC69-5DDE-45A6-AD8D-75342DBC4BE7}"/>
    <cellStyle name="Comma 3 4 5 2 3 4" xfId="34316" xr:uid="{6EB8A50B-0540-47C8-B0E9-E8FC7F28A19C}"/>
    <cellStyle name="Comma 3 4 5 2 4" xfId="5588" xr:uid="{3DB07D33-9FAB-4341-BC52-9B7AA5260BCE}"/>
    <cellStyle name="Comma 3 4 5 2 4 2" xfId="14660" xr:uid="{D60B60C6-1960-402F-B596-074E49B119FD}"/>
    <cellStyle name="Comma 3 4 5 2 4 2 2" xfId="29780" xr:uid="{91C721DA-CC3F-4C55-A0AC-CE0C22373A52}"/>
    <cellStyle name="Comma 3 4 5 2 4 2 2 2" xfId="60020" xr:uid="{D0B73645-FC1F-4E97-8AC8-205EEF790AAB}"/>
    <cellStyle name="Comma 3 4 5 2 4 2 3" xfId="44900" xr:uid="{D731B2A5-9A69-4BA2-89B5-56E37E1424A6}"/>
    <cellStyle name="Comma 3 4 5 2 4 3" xfId="20708" xr:uid="{9B4FB2AF-4F97-4878-BD8D-A1B617A760ED}"/>
    <cellStyle name="Comma 3 4 5 2 4 3 2" xfId="50948" xr:uid="{CA4BBDDC-E2B8-4F0E-878B-61E6C2E3ABAD}"/>
    <cellStyle name="Comma 3 4 5 2 4 4" xfId="35828" xr:uid="{8B264945-EF66-4897-BB3F-1F5D437BBB7F}"/>
    <cellStyle name="Comma 3 4 5 2 5" xfId="7100" xr:uid="{BD958508-4C1C-4DED-B9CE-29F519C69798}"/>
    <cellStyle name="Comma 3 4 5 2 5 2" xfId="22220" xr:uid="{E4F4ED71-6BE6-417C-BB1A-6E2AFFC9BF7E}"/>
    <cellStyle name="Comma 3 4 5 2 5 2 2" xfId="52460" xr:uid="{61D1FED1-B95C-4A08-AC1B-C821BEC84A38}"/>
    <cellStyle name="Comma 3 4 5 2 5 3" xfId="37340" xr:uid="{F1820534-3503-4EEE-98A2-6F250ADE15EA}"/>
    <cellStyle name="Comma 3 4 5 2 6" xfId="8612" xr:uid="{419A4816-E6DA-4809-ADFC-F35113662EC1}"/>
    <cellStyle name="Comma 3 4 5 2 6 2" xfId="23732" xr:uid="{637DC38A-C306-47DE-9056-1A5C1EABAE8D}"/>
    <cellStyle name="Comma 3 4 5 2 6 2 2" xfId="53972" xr:uid="{2D534B60-D093-4705-A656-E5A33B62E1A4}"/>
    <cellStyle name="Comma 3 4 5 2 6 3" xfId="38852" xr:uid="{4FBF3531-B7A9-4D2A-8247-30590F871E4E}"/>
    <cellStyle name="Comma 3 4 5 2 7" xfId="10124" xr:uid="{0611BD4B-C4C2-48A7-8D35-66073DC8BB30}"/>
    <cellStyle name="Comma 3 4 5 2 7 2" xfId="25244" xr:uid="{027C4CE4-6A68-4B8B-A1D3-954316956358}"/>
    <cellStyle name="Comma 3 4 5 2 7 2 2" xfId="55484" xr:uid="{34E0B2F1-1146-470D-832D-0C5DF37AB639}"/>
    <cellStyle name="Comma 3 4 5 2 7 3" xfId="40364" xr:uid="{BAC5696A-794F-4E72-8BFE-FABAB7D5D869}"/>
    <cellStyle name="Comma 3 4 5 2 8" xfId="16172" xr:uid="{9B6368D3-CD05-4BC9-8908-6BDB87D82A87}"/>
    <cellStyle name="Comma 3 4 5 2 8 2" xfId="46412" xr:uid="{CDD7E1BA-2819-40A8-AB82-7AE76EF445EF}"/>
    <cellStyle name="Comma 3 4 5 2 9" xfId="31292" xr:uid="{92F368D6-C546-4A50-8CEC-245BEB3F6724}"/>
    <cellStyle name="Comma 3 4 5 3" xfId="1808" xr:uid="{098BBA2F-F79F-4153-B9E6-FF79AF7C8B82}"/>
    <cellStyle name="Comma 3 4 5 3 2" xfId="10880" xr:uid="{56671BFF-E970-4FAB-8738-861A501BB570}"/>
    <cellStyle name="Comma 3 4 5 3 2 2" xfId="26000" xr:uid="{C88ED184-11C1-4DCD-80E0-D76AFEC72328}"/>
    <cellStyle name="Comma 3 4 5 3 2 2 2" xfId="56240" xr:uid="{FCD36854-DAD6-4CA7-8119-A53A230AB506}"/>
    <cellStyle name="Comma 3 4 5 3 2 3" xfId="41120" xr:uid="{56CF581F-8361-4999-8E74-41719D97003C}"/>
    <cellStyle name="Comma 3 4 5 3 3" xfId="16928" xr:uid="{93D412F5-91F5-4AED-B602-C9B5BE7358FF}"/>
    <cellStyle name="Comma 3 4 5 3 3 2" xfId="47168" xr:uid="{21B13E57-7D40-4980-B405-B853B60561F3}"/>
    <cellStyle name="Comma 3 4 5 3 4" xfId="32048" xr:uid="{2B6944F0-75BD-4F89-B306-57520C404A79}"/>
    <cellStyle name="Comma 3 4 5 4" xfId="3320" xr:uid="{65B597A6-C992-4B86-8DA9-BF8543B36198}"/>
    <cellStyle name="Comma 3 4 5 4 2" xfId="12392" xr:uid="{670020FF-B198-4524-B47E-6AF4FA710F3D}"/>
    <cellStyle name="Comma 3 4 5 4 2 2" xfId="27512" xr:uid="{11CF3688-DA0C-4F03-AF31-C6140421B597}"/>
    <cellStyle name="Comma 3 4 5 4 2 2 2" xfId="57752" xr:uid="{DB58DF18-9715-4312-A72B-18A723C2D62B}"/>
    <cellStyle name="Comma 3 4 5 4 2 3" xfId="42632" xr:uid="{34664875-1E08-4836-8C40-3E17DD54A5D3}"/>
    <cellStyle name="Comma 3 4 5 4 3" xfId="18440" xr:uid="{DE7828CF-5910-443F-8F7B-A009769D3E1C}"/>
    <cellStyle name="Comma 3 4 5 4 3 2" xfId="48680" xr:uid="{A2CC0855-AE33-4C5C-B31B-AE6B9B95F925}"/>
    <cellStyle name="Comma 3 4 5 4 4" xfId="33560" xr:uid="{5F0F59EA-B9D9-4225-BEC6-BE4DC38E6257}"/>
    <cellStyle name="Comma 3 4 5 5" xfId="4832" xr:uid="{D0811D42-1638-4D96-838D-CA413A96E126}"/>
    <cellStyle name="Comma 3 4 5 5 2" xfId="13904" xr:uid="{EE6AB452-1124-4C3A-AE73-59144033FAB3}"/>
    <cellStyle name="Comma 3 4 5 5 2 2" xfId="29024" xr:uid="{B832B6FC-81C6-446D-B7C5-73BA1D0C1FF8}"/>
    <cellStyle name="Comma 3 4 5 5 2 2 2" xfId="59264" xr:uid="{E2F049E8-6CB3-46C0-A813-59E559188D16}"/>
    <cellStyle name="Comma 3 4 5 5 2 3" xfId="44144" xr:uid="{1ABBD318-E198-4598-BF52-8DDFBBDE9D09}"/>
    <cellStyle name="Comma 3 4 5 5 3" xfId="19952" xr:uid="{695E5E8B-87C4-490D-BA15-F79356F906A9}"/>
    <cellStyle name="Comma 3 4 5 5 3 2" xfId="50192" xr:uid="{409226E7-C402-43C6-8D4E-3CC8C8F11B7C}"/>
    <cellStyle name="Comma 3 4 5 5 4" xfId="35072" xr:uid="{03EE08BD-4321-4B16-9903-C330078013C8}"/>
    <cellStyle name="Comma 3 4 5 6" xfId="6344" xr:uid="{83EFB1F7-1BCB-449B-907A-11F1549114C2}"/>
    <cellStyle name="Comma 3 4 5 6 2" xfId="21464" xr:uid="{F114C284-D01A-4D1B-A4DE-6C5C26E8D29C}"/>
    <cellStyle name="Comma 3 4 5 6 2 2" xfId="51704" xr:uid="{D25CAEF6-06F5-4C54-95EF-B120CEAA9E47}"/>
    <cellStyle name="Comma 3 4 5 6 3" xfId="36584" xr:uid="{601EF1BA-6E57-4FCF-81FB-A54EA8ED2CB1}"/>
    <cellStyle name="Comma 3 4 5 7" xfId="7856" xr:uid="{96FEE0E3-D8FB-481D-B751-CADBD925B8D3}"/>
    <cellStyle name="Comma 3 4 5 7 2" xfId="22976" xr:uid="{9DB56B76-5A7F-4953-8E4D-12D59CA934A0}"/>
    <cellStyle name="Comma 3 4 5 7 2 2" xfId="53216" xr:uid="{254A243A-3F8C-4697-B099-D253BBEEA190}"/>
    <cellStyle name="Comma 3 4 5 7 3" xfId="38096" xr:uid="{496C08E1-2A28-4619-88B7-E7076B4EEBD5}"/>
    <cellStyle name="Comma 3 4 5 8" xfId="9368" xr:uid="{8FAC41F7-8F00-4094-8B77-DA201142620C}"/>
    <cellStyle name="Comma 3 4 5 8 2" xfId="24488" xr:uid="{64C7C392-3A8A-48FF-92F3-D3CCAE9E6703}"/>
    <cellStyle name="Comma 3 4 5 8 2 2" xfId="54728" xr:uid="{076018FD-A91F-4ACA-8868-D265FF5A6F13}"/>
    <cellStyle name="Comma 3 4 5 8 3" xfId="39608" xr:uid="{27F242BD-8361-41EB-9AE2-D483B9FC7FCE}"/>
    <cellStyle name="Comma 3 4 5 9" xfId="15416" xr:uid="{BA7F1104-2B83-4F4C-82A1-A8540C777765}"/>
    <cellStyle name="Comma 3 4 5 9 2" xfId="45656" xr:uid="{0B9BF5F4-6658-4478-9FCA-669BFDEF25C2}"/>
    <cellStyle name="Comma 3 4 6" xfId="548" xr:uid="{1212C132-237E-4E7D-800D-0D9E04047FE6}"/>
    <cellStyle name="Comma 3 4 6 10" xfId="30788" xr:uid="{C0F35D0D-BF11-43F2-8160-A26A21486AEB}"/>
    <cellStyle name="Comma 3 4 6 2" xfId="1304" xr:uid="{50DC5EF6-E958-4F1D-87D8-E1F7F807A94B}"/>
    <cellStyle name="Comma 3 4 6 2 2" xfId="2816" xr:uid="{C2EEC55E-0CFC-4DB1-B36E-756218A50358}"/>
    <cellStyle name="Comma 3 4 6 2 2 2" xfId="11888" xr:uid="{642EF56B-94EB-41F5-87EC-3F9F945F3C80}"/>
    <cellStyle name="Comma 3 4 6 2 2 2 2" xfId="27008" xr:uid="{21B0DFF5-E1A5-48B9-9734-6860E686B09F}"/>
    <cellStyle name="Comma 3 4 6 2 2 2 2 2" xfId="57248" xr:uid="{2573A6C5-0E1F-434C-94F5-EF359AAD81B0}"/>
    <cellStyle name="Comma 3 4 6 2 2 2 3" xfId="42128" xr:uid="{00E48B3D-6EDB-417C-BB19-5221B2FFB237}"/>
    <cellStyle name="Comma 3 4 6 2 2 3" xfId="17936" xr:uid="{E493983B-EE22-456C-824B-F5804B85A456}"/>
    <cellStyle name="Comma 3 4 6 2 2 3 2" xfId="48176" xr:uid="{EB733757-44D8-4C89-801F-0CCC9FEB3F74}"/>
    <cellStyle name="Comma 3 4 6 2 2 4" xfId="33056" xr:uid="{A8D6D431-C6F3-4E71-9020-E3AF8AFB02E5}"/>
    <cellStyle name="Comma 3 4 6 2 3" xfId="4328" xr:uid="{B2775D61-594A-4279-9491-F21C5B419E78}"/>
    <cellStyle name="Comma 3 4 6 2 3 2" xfId="13400" xr:uid="{3CF94F45-819C-47FF-9597-185BA2D7C11C}"/>
    <cellStyle name="Comma 3 4 6 2 3 2 2" xfId="28520" xr:uid="{2A742AA1-CF69-43F0-8006-5FF2C2D4A749}"/>
    <cellStyle name="Comma 3 4 6 2 3 2 2 2" xfId="58760" xr:uid="{2F8C3300-08DA-46D5-AA53-967635CC92BB}"/>
    <cellStyle name="Comma 3 4 6 2 3 2 3" xfId="43640" xr:uid="{82C9DB3E-6438-45DA-B54F-3068ECF3E409}"/>
    <cellStyle name="Comma 3 4 6 2 3 3" xfId="19448" xr:uid="{A355AA24-1F50-4252-9A59-A9C07DE38A37}"/>
    <cellStyle name="Comma 3 4 6 2 3 3 2" xfId="49688" xr:uid="{9E08587A-578E-4DCB-BCF8-FE156AD37C14}"/>
    <cellStyle name="Comma 3 4 6 2 3 4" xfId="34568" xr:uid="{4245A538-D7D1-4DAB-BA9B-C81E04A840F9}"/>
    <cellStyle name="Comma 3 4 6 2 4" xfId="5840" xr:uid="{482F9145-8ACA-425E-B2A9-047B66A845BC}"/>
    <cellStyle name="Comma 3 4 6 2 4 2" xfId="14912" xr:uid="{2E77BF0E-CC9B-418E-8234-84B27FF6735D}"/>
    <cellStyle name="Comma 3 4 6 2 4 2 2" xfId="30032" xr:uid="{BA552379-F7E7-4173-9566-000B1413735A}"/>
    <cellStyle name="Comma 3 4 6 2 4 2 2 2" xfId="60272" xr:uid="{B69ACE6E-2A5C-4E90-B6D5-66BCD9571A6C}"/>
    <cellStyle name="Comma 3 4 6 2 4 2 3" xfId="45152" xr:uid="{E5AB7B70-10C0-4E8D-8C15-74E6C83DDF66}"/>
    <cellStyle name="Comma 3 4 6 2 4 3" xfId="20960" xr:uid="{FF05B4B6-D448-4183-8AB2-E9D1AF884FEB}"/>
    <cellStyle name="Comma 3 4 6 2 4 3 2" xfId="51200" xr:uid="{A453E69C-4A07-4D6B-BB86-DDF174BB72DC}"/>
    <cellStyle name="Comma 3 4 6 2 4 4" xfId="36080" xr:uid="{100B0480-0CF3-4590-B8F9-5817FC74707B}"/>
    <cellStyle name="Comma 3 4 6 2 5" xfId="7352" xr:uid="{982873AC-B82D-4E6D-8F74-96AFA8BA5AB1}"/>
    <cellStyle name="Comma 3 4 6 2 5 2" xfId="22472" xr:uid="{EB2734B8-709F-49FF-A73A-77ECD5965DAD}"/>
    <cellStyle name="Comma 3 4 6 2 5 2 2" xfId="52712" xr:uid="{C5D5883E-EEC4-48F6-8696-6A22FD451B63}"/>
    <cellStyle name="Comma 3 4 6 2 5 3" xfId="37592" xr:uid="{04DFDECE-0D19-48FF-A92B-697736B9F4E2}"/>
    <cellStyle name="Comma 3 4 6 2 6" xfId="8864" xr:uid="{93E9E343-72A8-4B81-A2C1-7471ECDD14F2}"/>
    <cellStyle name="Comma 3 4 6 2 6 2" xfId="23984" xr:uid="{C4F63013-DD8E-4D22-8671-6893109C39D1}"/>
    <cellStyle name="Comma 3 4 6 2 6 2 2" xfId="54224" xr:uid="{F61F5983-B420-4FC3-B6C8-50570BA02199}"/>
    <cellStyle name="Comma 3 4 6 2 6 3" xfId="39104" xr:uid="{160F9E76-BC21-4A9E-93D5-90E2919C3DB7}"/>
    <cellStyle name="Comma 3 4 6 2 7" xfId="10376" xr:uid="{228364D5-E138-40B6-99D5-ECF7041F71B1}"/>
    <cellStyle name="Comma 3 4 6 2 7 2" xfId="25496" xr:uid="{71B3F30D-03AF-443B-911E-CF3E743F2361}"/>
    <cellStyle name="Comma 3 4 6 2 7 2 2" xfId="55736" xr:uid="{F1A826D4-6FA9-486E-BC5C-69F07665EEBD}"/>
    <cellStyle name="Comma 3 4 6 2 7 3" xfId="40616" xr:uid="{6B16B8BB-147C-4159-A8E5-DD1FA9566FE7}"/>
    <cellStyle name="Comma 3 4 6 2 8" xfId="16424" xr:uid="{D9D53C66-6EA4-419E-B580-F4107D7DF86E}"/>
    <cellStyle name="Comma 3 4 6 2 8 2" xfId="46664" xr:uid="{8ABF247F-48B3-4A74-9A1A-051A106F49B3}"/>
    <cellStyle name="Comma 3 4 6 2 9" xfId="31544" xr:uid="{277E94E0-A851-44C5-A38A-189ECA55B22B}"/>
    <cellStyle name="Comma 3 4 6 3" xfId="2060" xr:uid="{64A488C5-E36A-4399-B866-FC3D155F51BF}"/>
    <cellStyle name="Comma 3 4 6 3 2" xfId="11132" xr:uid="{515BFAA3-F8D9-4F7A-ADF3-85FDBE28C8E0}"/>
    <cellStyle name="Comma 3 4 6 3 2 2" xfId="26252" xr:uid="{EEB3BEB1-EC99-4B78-9E41-C312FD774F64}"/>
    <cellStyle name="Comma 3 4 6 3 2 2 2" xfId="56492" xr:uid="{12F165CB-40C2-45E0-AE16-05E133258A83}"/>
    <cellStyle name="Comma 3 4 6 3 2 3" xfId="41372" xr:uid="{4A8C47B1-CF1B-4505-8E3D-F9C7905170A0}"/>
    <cellStyle name="Comma 3 4 6 3 3" xfId="17180" xr:uid="{095AD175-6AE3-4782-A91C-316D988B9037}"/>
    <cellStyle name="Comma 3 4 6 3 3 2" xfId="47420" xr:uid="{CAA3A737-66BB-4F2E-821C-9F332EA139FC}"/>
    <cellStyle name="Comma 3 4 6 3 4" xfId="32300" xr:uid="{97536267-8498-48B8-8396-1232A9DA2475}"/>
    <cellStyle name="Comma 3 4 6 4" xfId="3572" xr:uid="{F5968DA5-F9A1-4665-A1F1-BD348842235D}"/>
    <cellStyle name="Comma 3 4 6 4 2" xfId="12644" xr:uid="{25D2D5CE-04DB-4440-9286-74831821CF9A}"/>
    <cellStyle name="Comma 3 4 6 4 2 2" xfId="27764" xr:uid="{4B631760-98F0-4F54-B1F7-7488BF9791A8}"/>
    <cellStyle name="Comma 3 4 6 4 2 2 2" xfId="58004" xr:uid="{BFBC0E94-2DF0-4B83-9D40-386F5E133EE2}"/>
    <cellStyle name="Comma 3 4 6 4 2 3" xfId="42884" xr:uid="{33ED28C4-82D2-42F3-9174-DE54DD81A16F}"/>
    <cellStyle name="Comma 3 4 6 4 3" xfId="18692" xr:uid="{EE878138-C0D6-4FF6-A076-2F9A2064A0F7}"/>
    <cellStyle name="Comma 3 4 6 4 3 2" xfId="48932" xr:uid="{5F05C70C-2CD1-4080-BA53-769A6515F78B}"/>
    <cellStyle name="Comma 3 4 6 4 4" xfId="33812" xr:uid="{B2781E3C-7299-4735-806C-726FB8B22E0D}"/>
    <cellStyle name="Comma 3 4 6 5" xfId="5084" xr:uid="{E6476B54-A991-4C42-A127-1EE11A839C16}"/>
    <cellStyle name="Comma 3 4 6 5 2" xfId="14156" xr:uid="{6AA750DB-D4F6-4F74-8210-C070903211FC}"/>
    <cellStyle name="Comma 3 4 6 5 2 2" xfId="29276" xr:uid="{E4492EF8-F7C7-4DA0-9F14-F99A5E178AB1}"/>
    <cellStyle name="Comma 3 4 6 5 2 2 2" xfId="59516" xr:uid="{B47EA50D-1224-4720-B87A-04C3020A0962}"/>
    <cellStyle name="Comma 3 4 6 5 2 3" xfId="44396" xr:uid="{8E9EA569-2520-4476-B03A-1D05A5C7694D}"/>
    <cellStyle name="Comma 3 4 6 5 3" xfId="20204" xr:uid="{0F8E3C23-085B-4EE1-903E-02E669CAF2DB}"/>
    <cellStyle name="Comma 3 4 6 5 3 2" xfId="50444" xr:uid="{BA0A6DC4-A731-4BF9-B5C6-B5C2B3B1FF2C}"/>
    <cellStyle name="Comma 3 4 6 5 4" xfId="35324" xr:uid="{E2977309-F8FF-49B2-9795-6067454ACA10}"/>
    <cellStyle name="Comma 3 4 6 6" xfId="6596" xr:uid="{0DE7CD30-096D-40EC-859E-FE92A76443DF}"/>
    <cellStyle name="Comma 3 4 6 6 2" xfId="21716" xr:uid="{432A1DFF-52A5-45B5-94CF-D416ED76423A}"/>
    <cellStyle name="Comma 3 4 6 6 2 2" xfId="51956" xr:uid="{82454A37-AE7B-4524-9577-665160B92B93}"/>
    <cellStyle name="Comma 3 4 6 6 3" xfId="36836" xr:uid="{10831DE6-522F-41D7-A9AC-6F01D0CDD268}"/>
    <cellStyle name="Comma 3 4 6 7" xfId="8108" xr:uid="{0AA4D3DD-53D3-42DB-83E5-0702A75F59A1}"/>
    <cellStyle name="Comma 3 4 6 7 2" xfId="23228" xr:uid="{A9536821-F5DC-4076-87FE-F9BA2C687D93}"/>
    <cellStyle name="Comma 3 4 6 7 2 2" xfId="53468" xr:uid="{64EA22CC-A96E-4D03-BEEF-F38AC0EF1DB4}"/>
    <cellStyle name="Comma 3 4 6 7 3" xfId="38348" xr:uid="{908E40C1-E725-4319-BAA2-21C5D04BEC53}"/>
    <cellStyle name="Comma 3 4 6 8" xfId="9620" xr:uid="{8C7AFE5F-B295-4BE6-B5DD-741479D6A967}"/>
    <cellStyle name="Comma 3 4 6 8 2" xfId="24740" xr:uid="{E9990C9B-69DB-4C52-B94B-CEFE54EBBE84}"/>
    <cellStyle name="Comma 3 4 6 8 2 2" xfId="54980" xr:uid="{21D97C54-D725-4675-A6D5-D730AE085BA9}"/>
    <cellStyle name="Comma 3 4 6 8 3" xfId="39860" xr:uid="{A42CB962-5080-407E-98BA-72CEB38509C2}"/>
    <cellStyle name="Comma 3 4 6 9" xfId="15668" xr:uid="{6F974367-174F-4269-9B3A-BDC675F8A9B8}"/>
    <cellStyle name="Comma 3 4 6 9 2" xfId="45908" xr:uid="{DF43FB6E-CB3A-4FDA-97D1-4CD062652C08}"/>
    <cellStyle name="Comma 3 4 7" xfId="800" xr:uid="{AAE58DF6-6724-41B1-8DCF-D12BCDD34FBF}"/>
    <cellStyle name="Comma 3 4 7 2" xfId="2312" xr:uid="{25AB5C26-25E0-4057-91AC-2DD8A5BBA99A}"/>
    <cellStyle name="Comma 3 4 7 2 2" xfId="11384" xr:uid="{1AC6A8EB-8AA7-4080-B8A7-A1C662A6DAC0}"/>
    <cellStyle name="Comma 3 4 7 2 2 2" xfId="26504" xr:uid="{77F7A868-7EAC-4351-8317-E410A7AEAC9B}"/>
    <cellStyle name="Comma 3 4 7 2 2 2 2" xfId="56744" xr:uid="{50447668-7F3F-4F4D-A2B9-322C54F94674}"/>
    <cellStyle name="Comma 3 4 7 2 2 3" xfId="41624" xr:uid="{3B05EA50-C89D-414E-B09C-9C0C071A6FD4}"/>
    <cellStyle name="Comma 3 4 7 2 3" xfId="17432" xr:uid="{55FFC830-8041-473E-AC0E-1F254F672F6C}"/>
    <cellStyle name="Comma 3 4 7 2 3 2" xfId="47672" xr:uid="{D75A4392-5B85-4423-90A7-8AB893A77A96}"/>
    <cellStyle name="Comma 3 4 7 2 4" xfId="32552" xr:uid="{96A38B9F-3CE6-4001-90AA-75D07511576D}"/>
    <cellStyle name="Comma 3 4 7 3" xfId="3824" xr:uid="{50EC39CD-7485-4331-95D8-739C4C65DA9D}"/>
    <cellStyle name="Comma 3 4 7 3 2" xfId="12896" xr:uid="{4696E572-F874-49BC-B00E-3F38C45120D8}"/>
    <cellStyle name="Comma 3 4 7 3 2 2" xfId="28016" xr:uid="{17213FD4-B117-4FBB-91A5-94584949C1E4}"/>
    <cellStyle name="Comma 3 4 7 3 2 2 2" xfId="58256" xr:uid="{6A565824-D169-4C7D-BF78-B8FFC7D30B86}"/>
    <cellStyle name="Comma 3 4 7 3 2 3" xfId="43136" xr:uid="{88B506EA-C621-4CEA-AD51-9A0DAEAA9726}"/>
    <cellStyle name="Comma 3 4 7 3 3" xfId="18944" xr:uid="{D678293A-7D71-4810-90E6-2E630646AB20}"/>
    <cellStyle name="Comma 3 4 7 3 3 2" xfId="49184" xr:uid="{B0FA41CB-AF5C-45DE-B6E3-F5049F9AA536}"/>
    <cellStyle name="Comma 3 4 7 3 4" xfId="34064" xr:uid="{08F8DA67-17A2-457E-9710-85E070F5DCA9}"/>
    <cellStyle name="Comma 3 4 7 4" xfId="5336" xr:uid="{99966DBE-C1E6-4114-89E8-2BF9914261DC}"/>
    <cellStyle name="Comma 3 4 7 4 2" xfId="14408" xr:uid="{DBAD1FAD-6A02-4BFB-8246-C20621DE5794}"/>
    <cellStyle name="Comma 3 4 7 4 2 2" xfId="29528" xr:uid="{CE7560BC-3D3E-4D2D-8F61-EE092940DD00}"/>
    <cellStyle name="Comma 3 4 7 4 2 2 2" xfId="59768" xr:uid="{455E6890-D9E3-4FF5-9ED5-663116ACA882}"/>
    <cellStyle name="Comma 3 4 7 4 2 3" xfId="44648" xr:uid="{921EBBCF-D0B2-4C6A-98DD-CE42DC1CE749}"/>
    <cellStyle name="Comma 3 4 7 4 3" xfId="20456" xr:uid="{25F7E48D-6F82-4C87-8249-314EC763BF74}"/>
    <cellStyle name="Comma 3 4 7 4 3 2" xfId="50696" xr:uid="{E13F4784-E047-444D-A587-3D3FA49944BE}"/>
    <cellStyle name="Comma 3 4 7 4 4" xfId="35576" xr:uid="{524E77C1-3B97-487B-9914-EF82F197A37D}"/>
    <cellStyle name="Comma 3 4 7 5" xfId="6848" xr:uid="{02554F01-53FC-44D1-88A9-53C69B5EF19D}"/>
    <cellStyle name="Comma 3 4 7 5 2" xfId="21968" xr:uid="{94CAA65F-04EA-4FE8-9EDB-5A9A2E3683E6}"/>
    <cellStyle name="Comma 3 4 7 5 2 2" xfId="52208" xr:uid="{BADF1148-8FAB-4015-B29D-35C44FD8081B}"/>
    <cellStyle name="Comma 3 4 7 5 3" xfId="37088" xr:uid="{B78F2BD6-E2A0-495F-ABA5-39F817786FC9}"/>
    <cellStyle name="Comma 3 4 7 6" xfId="8360" xr:uid="{D144D3CE-9647-4AEF-AF7B-55493CEA65D5}"/>
    <cellStyle name="Comma 3 4 7 6 2" xfId="23480" xr:uid="{E92146CF-31EA-4AD0-8CE7-70CC6EF00867}"/>
    <cellStyle name="Comma 3 4 7 6 2 2" xfId="53720" xr:uid="{2EF88777-6859-441C-9307-8C1CE0E33EB0}"/>
    <cellStyle name="Comma 3 4 7 6 3" xfId="38600" xr:uid="{4C35F455-C447-4FD1-BAE9-EE231B47462A}"/>
    <cellStyle name="Comma 3 4 7 7" xfId="9872" xr:uid="{01E7C153-E6F2-4A9B-A564-A730DB30B236}"/>
    <cellStyle name="Comma 3 4 7 7 2" xfId="24992" xr:uid="{58CD5B37-8967-4604-8199-E7A7AAEFEC0E}"/>
    <cellStyle name="Comma 3 4 7 7 2 2" xfId="55232" xr:uid="{EDADB72A-03BB-459E-9C4D-1AEC2C296D9A}"/>
    <cellStyle name="Comma 3 4 7 7 3" xfId="40112" xr:uid="{F1F0B076-3347-4D2C-AFCC-A6F3FB9FAB95}"/>
    <cellStyle name="Comma 3 4 7 8" xfId="15920" xr:uid="{516F9EEC-893A-43AC-8A52-A8FB796A4AA4}"/>
    <cellStyle name="Comma 3 4 7 8 2" xfId="46160" xr:uid="{2A9709DE-EBF0-4E76-B33D-540F46432A1F}"/>
    <cellStyle name="Comma 3 4 7 9" xfId="31040" xr:uid="{E04C687D-D192-4BE4-A2D6-E21E25B54D30}"/>
    <cellStyle name="Comma 3 4 8" xfId="1556" xr:uid="{561E528E-E4F5-43EC-A9ED-64BE37E99718}"/>
    <cellStyle name="Comma 3 4 8 2" xfId="10628" xr:uid="{EC26CF7B-2AC0-442C-8F42-A2CB3BC3C232}"/>
    <cellStyle name="Comma 3 4 8 2 2" xfId="25748" xr:uid="{F18B8ED5-F38D-4A03-BFF2-CB373E0D2318}"/>
    <cellStyle name="Comma 3 4 8 2 2 2" xfId="55988" xr:uid="{AC80237E-7D01-4178-8575-FA150C1C49FA}"/>
    <cellStyle name="Comma 3 4 8 2 3" xfId="40868" xr:uid="{279F871D-3F15-414F-9511-8B7B256B5B4F}"/>
    <cellStyle name="Comma 3 4 8 3" xfId="16676" xr:uid="{AE78B7C7-F5EF-41BE-8FBA-E0760A7E5E3D}"/>
    <cellStyle name="Comma 3 4 8 3 2" xfId="46916" xr:uid="{594B0AC4-7467-4102-BFCC-D035E5BE7D8F}"/>
    <cellStyle name="Comma 3 4 8 4" xfId="31796" xr:uid="{FFC22BC2-098F-49B3-9AFA-5115646DFEFB}"/>
    <cellStyle name="Comma 3 4 9" xfId="3068" xr:uid="{D0DFE917-0660-4C7C-8593-07B992ED0260}"/>
    <cellStyle name="Comma 3 4 9 2" xfId="12140" xr:uid="{32FDB6A5-F791-4656-8EB0-6378E71AC4C7}"/>
    <cellStyle name="Comma 3 4 9 2 2" xfId="27260" xr:uid="{11F64C82-5F18-447B-8B1F-F1C1AD2C948F}"/>
    <cellStyle name="Comma 3 4 9 2 2 2" xfId="57500" xr:uid="{917CC3DC-B6F8-4BAB-9032-1DC55FA0120D}"/>
    <cellStyle name="Comma 3 4 9 2 3" xfId="42380" xr:uid="{FCC04C50-551E-4776-A547-162A990FB7D9}"/>
    <cellStyle name="Comma 3 4 9 3" xfId="18188" xr:uid="{558613DB-0302-4D85-AE2C-65E024BAD2CA}"/>
    <cellStyle name="Comma 3 4 9 3 2" xfId="48428" xr:uid="{E625E9E3-6A7F-447E-B4A1-C252D150DC99}"/>
    <cellStyle name="Comma 3 4 9 4" xfId="33308" xr:uid="{5DBBEAFF-FD01-483D-91FB-C377CFA516F1}"/>
    <cellStyle name="Comma 3 5" xfId="58" xr:uid="{5282F97C-3435-405D-BF06-8CD279EF9D9E}"/>
    <cellStyle name="Comma 3 5 10" xfId="6106" xr:uid="{1A8411BB-12AB-4DB3-9A0D-2F72241F1C16}"/>
    <cellStyle name="Comma 3 5 10 2" xfId="21226" xr:uid="{83ECFE50-64B1-43A6-AD43-0C2735FC0FE3}"/>
    <cellStyle name="Comma 3 5 10 2 2" xfId="51466" xr:uid="{E1E6C68E-1B54-4707-A547-EC02DE44EA56}"/>
    <cellStyle name="Comma 3 5 10 3" xfId="36346" xr:uid="{80D87141-C1A6-44DE-ADC9-26E78015DF93}"/>
    <cellStyle name="Comma 3 5 11" xfId="7618" xr:uid="{FC29CEFB-7C5E-4627-94CA-E609CAB2883A}"/>
    <cellStyle name="Comma 3 5 11 2" xfId="22738" xr:uid="{5572D9C0-39BE-460E-BBFE-6BB9DE814E4F}"/>
    <cellStyle name="Comma 3 5 11 2 2" xfId="52978" xr:uid="{399CA01D-FF40-40EF-A570-643AB7081187}"/>
    <cellStyle name="Comma 3 5 11 3" xfId="37858" xr:uid="{F78EAFA5-ADDD-4B11-910B-0DF45560B109}"/>
    <cellStyle name="Comma 3 5 12" xfId="9130" xr:uid="{9EC0375F-D44A-4833-BBE3-483B5499A0E4}"/>
    <cellStyle name="Comma 3 5 12 2" xfId="24250" xr:uid="{24E67526-9A89-4C63-AF81-2BAF1F82039B}"/>
    <cellStyle name="Comma 3 5 12 2 2" xfId="54490" xr:uid="{79D27A70-A979-4530-AE17-6110E6693492}"/>
    <cellStyle name="Comma 3 5 12 3" xfId="39370" xr:uid="{67241D7E-2FAC-4DA6-8445-07E792C9DF9E}"/>
    <cellStyle name="Comma 3 5 13" xfId="15178" xr:uid="{D0659222-7684-454B-95C2-9AC6B4F45AE7}"/>
    <cellStyle name="Comma 3 5 13 2" xfId="45418" xr:uid="{F6464662-1FED-40EF-AE5A-CBA443D41D20}"/>
    <cellStyle name="Comma 3 5 14" xfId="30298" xr:uid="{59AAC1BE-A187-44D7-A2FB-2A7EB37652F8}"/>
    <cellStyle name="Comma 3 5 2" xfId="142" xr:uid="{414C4C62-7CD0-42D3-A327-F5761D6FFE61}"/>
    <cellStyle name="Comma 3 5 2 10" xfId="9214" xr:uid="{2EE69ECF-9D91-4673-8DAF-C3343BC76482}"/>
    <cellStyle name="Comma 3 5 2 10 2" xfId="24334" xr:uid="{527AC51B-5C43-48B8-B4C5-57E688AA99BB}"/>
    <cellStyle name="Comma 3 5 2 10 2 2" xfId="54574" xr:uid="{9C2F23DE-19D7-4B7D-88D8-C436821EEA26}"/>
    <cellStyle name="Comma 3 5 2 10 3" xfId="39454" xr:uid="{CFC386F4-F455-4C35-A327-C906EC46FA36}"/>
    <cellStyle name="Comma 3 5 2 11" xfId="15262" xr:uid="{917378C5-9446-4535-8C27-3DFF78583287}"/>
    <cellStyle name="Comma 3 5 2 11 2" xfId="45502" xr:uid="{4A739705-1618-4D94-B111-67681188DA33}"/>
    <cellStyle name="Comma 3 5 2 12" xfId="30382" xr:uid="{B10E12E7-2075-4D01-BCF4-8412A5FF9E6F}"/>
    <cellStyle name="Comma 3 5 2 2" xfId="394" xr:uid="{151294CA-6CA5-4C4A-A353-4F7AA7055EBB}"/>
    <cellStyle name="Comma 3 5 2 2 10" xfId="30634" xr:uid="{1610CA2D-DD70-4B97-A267-48849E0D9CD6}"/>
    <cellStyle name="Comma 3 5 2 2 2" xfId="1150" xr:uid="{5E4C8958-610D-4545-92AC-12546B2DE62B}"/>
    <cellStyle name="Comma 3 5 2 2 2 2" xfId="2662" xr:uid="{20A7E50A-87FD-4BBD-95F0-E45091A1CA06}"/>
    <cellStyle name="Comma 3 5 2 2 2 2 2" xfId="11734" xr:uid="{8CD3A583-E637-42A7-B0BF-B9A0AE962CCA}"/>
    <cellStyle name="Comma 3 5 2 2 2 2 2 2" xfId="26854" xr:uid="{D56E890C-D959-4B7B-BCCC-964EBC0985CF}"/>
    <cellStyle name="Comma 3 5 2 2 2 2 2 2 2" xfId="57094" xr:uid="{5065B928-32B2-45E9-97EB-46E7E35FF326}"/>
    <cellStyle name="Comma 3 5 2 2 2 2 2 3" xfId="41974" xr:uid="{47452BF6-75FD-4644-877D-7DA08530F7F7}"/>
    <cellStyle name="Comma 3 5 2 2 2 2 3" xfId="17782" xr:uid="{DBBDF832-AB15-45C8-8FB3-5860ABD2ED09}"/>
    <cellStyle name="Comma 3 5 2 2 2 2 3 2" xfId="48022" xr:uid="{F267A6E6-A140-4B9A-900E-8E66395CFBC8}"/>
    <cellStyle name="Comma 3 5 2 2 2 2 4" xfId="32902" xr:uid="{73FF02C7-04AA-41A3-8DD0-BF4D35E87537}"/>
    <cellStyle name="Comma 3 5 2 2 2 3" xfId="4174" xr:uid="{10CEFA0F-531A-4F5E-B59E-148C83D55806}"/>
    <cellStyle name="Comma 3 5 2 2 2 3 2" xfId="13246" xr:uid="{E23B0DFC-C399-4F66-A36E-0FCF54C81B94}"/>
    <cellStyle name="Comma 3 5 2 2 2 3 2 2" xfId="28366" xr:uid="{486D540D-F84B-4946-8A99-6B578BA75CF7}"/>
    <cellStyle name="Comma 3 5 2 2 2 3 2 2 2" xfId="58606" xr:uid="{50D58134-F273-4238-863B-4E2F0CF4593D}"/>
    <cellStyle name="Comma 3 5 2 2 2 3 2 3" xfId="43486" xr:uid="{EE712986-A12D-4A4B-9960-D5B370846D8B}"/>
    <cellStyle name="Comma 3 5 2 2 2 3 3" xfId="19294" xr:uid="{D3547A2F-1F15-438B-87A6-FFEF6F7F8D29}"/>
    <cellStyle name="Comma 3 5 2 2 2 3 3 2" xfId="49534" xr:uid="{F1E87809-4257-486C-94E5-AB715B071BFA}"/>
    <cellStyle name="Comma 3 5 2 2 2 3 4" xfId="34414" xr:uid="{0A6E3DF2-1265-4D64-97BB-1D699C1F1D7C}"/>
    <cellStyle name="Comma 3 5 2 2 2 4" xfId="5686" xr:uid="{E53E551B-703E-4429-A7A3-1FF190BA4B7A}"/>
    <cellStyle name="Comma 3 5 2 2 2 4 2" xfId="14758" xr:uid="{1AF684CE-F964-462D-8102-ECE6FF735B18}"/>
    <cellStyle name="Comma 3 5 2 2 2 4 2 2" xfId="29878" xr:uid="{08846A94-2EE3-45D9-8475-933DAC0137B8}"/>
    <cellStyle name="Comma 3 5 2 2 2 4 2 2 2" xfId="60118" xr:uid="{EC76CD86-0E6E-4630-994C-D2C9BCA98DA3}"/>
    <cellStyle name="Comma 3 5 2 2 2 4 2 3" xfId="44998" xr:uid="{DD378258-28D4-4D9A-B51F-30AD076366DB}"/>
    <cellStyle name="Comma 3 5 2 2 2 4 3" xfId="20806" xr:uid="{F1B36136-FABD-4C68-B821-C1546BE1FB2A}"/>
    <cellStyle name="Comma 3 5 2 2 2 4 3 2" xfId="51046" xr:uid="{2F20BD32-FFEF-4A04-AE64-619D0D0AC8F4}"/>
    <cellStyle name="Comma 3 5 2 2 2 4 4" xfId="35926" xr:uid="{49ED9FDD-63D8-426A-920F-F0F51579B2AF}"/>
    <cellStyle name="Comma 3 5 2 2 2 5" xfId="7198" xr:uid="{99CE0384-3DDE-4466-A4A4-45379FD3FE87}"/>
    <cellStyle name="Comma 3 5 2 2 2 5 2" xfId="22318" xr:uid="{E5530920-C897-4038-9A31-E02E7B2DC429}"/>
    <cellStyle name="Comma 3 5 2 2 2 5 2 2" xfId="52558" xr:uid="{EA079F43-A439-460C-A6D2-CEC3FCD62984}"/>
    <cellStyle name="Comma 3 5 2 2 2 5 3" xfId="37438" xr:uid="{53A7AC6A-553D-4497-B3E5-1BDEE091409A}"/>
    <cellStyle name="Comma 3 5 2 2 2 6" xfId="8710" xr:uid="{95B5F0F7-6426-4B2E-9166-09ACEBA4414C}"/>
    <cellStyle name="Comma 3 5 2 2 2 6 2" xfId="23830" xr:uid="{BDECE1BE-0ED8-4691-A0D6-785374E27FCB}"/>
    <cellStyle name="Comma 3 5 2 2 2 6 2 2" xfId="54070" xr:uid="{BADC7E9B-7890-4F8F-AADF-58F5570B8635}"/>
    <cellStyle name="Comma 3 5 2 2 2 6 3" xfId="38950" xr:uid="{D0DB985E-E82B-4A0A-94A1-EEF12BB2F908}"/>
    <cellStyle name="Comma 3 5 2 2 2 7" xfId="10222" xr:uid="{52CA8C73-103B-458E-98AC-F6788972FE01}"/>
    <cellStyle name="Comma 3 5 2 2 2 7 2" xfId="25342" xr:uid="{6DE86072-7B66-4D71-9558-1C96B1F11F40}"/>
    <cellStyle name="Comma 3 5 2 2 2 7 2 2" xfId="55582" xr:uid="{BD69A9E8-A7E7-44BE-87CA-F6D6769A9645}"/>
    <cellStyle name="Comma 3 5 2 2 2 7 3" xfId="40462" xr:uid="{FF1F9636-E2BB-4555-A4AC-D4F390CA3599}"/>
    <cellStyle name="Comma 3 5 2 2 2 8" xfId="16270" xr:uid="{9213AEFE-20B4-4084-91F7-758F23E25847}"/>
    <cellStyle name="Comma 3 5 2 2 2 8 2" xfId="46510" xr:uid="{A1092DC7-C87E-4A7A-8719-7DA1DBE3A7EC}"/>
    <cellStyle name="Comma 3 5 2 2 2 9" xfId="31390" xr:uid="{D4CF76EA-C561-4DB6-828F-8D8638E7DF69}"/>
    <cellStyle name="Comma 3 5 2 2 3" xfId="1906" xr:uid="{9D888DEF-CD0C-4ED4-91AC-7BEF09CFC343}"/>
    <cellStyle name="Comma 3 5 2 2 3 2" xfId="10978" xr:uid="{9B115A15-74F4-4D80-9452-7D74F3F52A4A}"/>
    <cellStyle name="Comma 3 5 2 2 3 2 2" xfId="26098" xr:uid="{39095F51-2CD8-4042-A370-D838756C5F04}"/>
    <cellStyle name="Comma 3 5 2 2 3 2 2 2" xfId="56338" xr:uid="{232163BB-5FAA-48CE-9DD6-8BD7B028E260}"/>
    <cellStyle name="Comma 3 5 2 2 3 2 3" xfId="41218" xr:uid="{459A1C93-8A45-43C5-B239-0655236409E1}"/>
    <cellStyle name="Comma 3 5 2 2 3 3" xfId="17026" xr:uid="{51235A7E-11BE-4543-A051-C3E1886BCDDE}"/>
    <cellStyle name="Comma 3 5 2 2 3 3 2" xfId="47266" xr:uid="{83570100-69D1-431A-9853-2681BED2E5D8}"/>
    <cellStyle name="Comma 3 5 2 2 3 4" xfId="32146" xr:uid="{BA4C41B1-315A-40E5-8A9A-E388F5721252}"/>
    <cellStyle name="Comma 3 5 2 2 4" xfId="3418" xr:uid="{4C133B45-AC83-4A43-987A-868246BEE825}"/>
    <cellStyle name="Comma 3 5 2 2 4 2" xfId="12490" xr:uid="{F9239208-039F-47D4-984A-22D00FD4CC10}"/>
    <cellStyle name="Comma 3 5 2 2 4 2 2" xfId="27610" xr:uid="{5448BB4F-AACF-4ED9-A4DF-6DC29C7AEEBF}"/>
    <cellStyle name="Comma 3 5 2 2 4 2 2 2" xfId="57850" xr:uid="{9C973EDC-8967-4B85-8ED8-AE77D1578224}"/>
    <cellStyle name="Comma 3 5 2 2 4 2 3" xfId="42730" xr:uid="{6BA676DF-3A60-47C1-B1E2-05043AFD4F57}"/>
    <cellStyle name="Comma 3 5 2 2 4 3" xfId="18538" xr:uid="{9417D3D0-2734-41FC-921F-0D4FD6A826AB}"/>
    <cellStyle name="Comma 3 5 2 2 4 3 2" xfId="48778" xr:uid="{BFDD8E3B-71C1-414A-9CD1-42BD90CFAD1C}"/>
    <cellStyle name="Comma 3 5 2 2 4 4" xfId="33658" xr:uid="{1DE55E53-F943-4C25-AD7C-CCEAC8E1569F}"/>
    <cellStyle name="Comma 3 5 2 2 5" xfId="4930" xr:uid="{E29231CC-E71A-4A08-849F-5F5E8CA94496}"/>
    <cellStyle name="Comma 3 5 2 2 5 2" xfId="14002" xr:uid="{C6F718E9-4EF4-434F-A9BA-77D19E63F164}"/>
    <cellStyle name="Comma 3 5 2 2 5 2 2" xfId="29122" xr:uid="{92B52C26-9756-4093-BDED-9A040E61B525}"/>
    <cellStyle name="Comma 3 5 2 2 5 2 2 2" xfId="59362" xr:uid="{9805BC1B-6B35-427A-BB18-F97FAFE8B745}"/>
    <cellStyle name="Comma 3 5 2 2 5 2 3" xfId="44242" xr:uid="{A05CB855-F72D-402A-B5A4-8264E065F164}"/>
    <cellStyle name="Comma 3 5 2 2 5 3" xfId="20050" xr:uid="{40A5A701-ABFE-4254-A398-252FCF674901}"/>
    <cellStyle name="Comma 3 5 2 2 5 3 2" xfId="50290" xr:uid="{E5A6B4C2-754C-4278-9B55-BDAB87985F36}"/>
    <cellStyle name="Comma 3 5 2 2 5 4" xfId="35170" xr:uid="{488263CE-88EA-471A-8490-16D285A243A1}"/>
    <cellStyle name="Comma 3 5 2 2 6" xfId="6442" xr:uid="{9B070969-1B47-4949-B5AA-2FD8FB5FCC51}"/>
    <cellStyle name="Comma 3 5 2 2 6 2" xfId="21562" xr:uid="{5498E6EC-633C-4FA9-82F9-8555B834C1E8}"/>
    <cellStyle name="Comma 3 5 2 2 6 2 2" xfId="51802" xr:uid="{F6980A64-A9C2-4521-855C-BEBA6096DF61}"/>
    <cellStyle name="Comma 3 5 2 2 6 3" xfId="36682" xr:uid="{F3DBBA9D-2D85-4D6A-9A8E-6774ADBFF3D5}"/>
    <cellStyle name="Comma 3 5 2 2 7" xfId="7954" xr:uid="{F6B16891-BCB5-4285-BAE7-55460F9D8A62}"/>
    <cellStyle name="Comma 3 5 2 2 7 2" xfId="23074" xr:uid="{8904B363-06BC-4ED5-BC51-74A377DCEC46}"/>
    <cellStyle name="Comma 3 5 2 2 7 2 2" xfId="53314" xr:uid="{E2B90120-D800-4E24-A505-FD5D8B70B10B}"/>
    <cellStyle name="Comma 3 5 2 2 7 3" xfId="38194" xr:uid="{923609E4-A221-427E-B067-931DB22757B4}"/>
    <cellStyle name="Comma 3 5 2 2 8" xfId="9466" xr:uid="{A87811F6-FBBC-4D7D-86AB-EE317DBAF8FA}"/>
    <cellStyle name="Comma 3 5 2 2 8 2" xfId="24586" xr:uid="{41D32C3A-5CDB-4FD4-8CB2-B2B6FB1C486F}"/>
    <cellStyle name="Comma 3 5 2 2 8 2 2" xfId="54826" xr:uid="{277225D9-1729-475F-B2CC-4261516CD214}"/>
    <cellStyle name="Comma 3 5 2 2 8 3" xfId="39706" xr:uid="{150088FC-4B9F-4F23-A36F-9F863D2DB59B}"/>
    <cellStyle name="Comma 3 5 2 2 9" xfId="15514" xr:uid="{6FD54203-157E-4B7D-9186-E9F00D02C3B4}"/>
    <cellStyle name="Comma 3 5 2 2 9 2" xfId="45754" xr:uid="{3759785D-523E-4B00-8EED-D0C80A426DDE}"/>
    <cellStyle name="Comma 3 5 2 3" xfId="646" xr:uid="{FB36331E-F930-49A2-BF16-798E494535B4}"/>
    <cellStyle name="Comma 3 5 2 3 10" xfId="30886" xr:uid="{78BB8C84-EB55-4A92-A8C3-57F449B73474}"/>
    <cellStyle name="Comma 3 5 2 3 2" xfId="1402" xr:uid="{9AD4C499-DA41-44BD-892E-9D3FE72E84C4}"/>
    <cellStyle name="Comma 3 5 2 3 2 2" xfId="2914" xr:uid="{95B52954-0C5D-4159-BC79-3ADFBB93EC0C}"/>
    <cellStyle name="Comma 3 5 2 3 2 2 2" xfId="11986" xr:uid="{4F4C092A-EC8C-4151-A0FA-621F2F325862}"/>
    <cellStyle name="Comma 3 5 2 3 2 2 2 2" xfId="27106" xr:uid="{D7511770-1C23-4D21-977F-E7238031413C}"/>
    <cellStyle name="Comma 3 5 2 3 2 2 2 2 2" xfId="57346" xr:uid="{651E85EE-E4CD-42A6-BB98-584EA0281718}"/>
    <cellStyle name="Comma 3 5 2 3 2 2 2 3" xfId="42226" xr:uid="{4789B742-6C72-498F-AEAF-BAC716619CED}"/>
    <cellStyle name="Comma 3 5 2 3 2 2 3" xfId="18034" xr:uid="{1403F9EB-4082-44DD-92D2-1CED1C82B756}"/>
    <cellStyle name="Comma 3 5 2 3 2 2 3 2" xfId="48274" xr:uid="{75FC3157-F7A3-4428-BD34-90FBBFEEB92F}"/>
    <cellStyle name="Comma 3 5 2 3 2 2 4" xfId="33154" xr:uid="{BBBC5A6C-923A-48ED-AE78-298F32BE3F3A}"/>
    <cellStyle name="Comma 3 5 2 3 2 3" xfId="4426" xr:uid="{C3706C8A-E006-44F1-8D6F-2DFA6D40A5EA}"/>
    <cellStyle name="Comma 3 5 2 3 2 3 2" xfId="13498" xr:uid="{CBFE7B06-263E-4899-A5AA-2F6D09211FFA}"/>
    <cellStyle name="Comma 3 5 2 3 2 3 2 2" xfId="28618" xr:uid="{24BF23A3-F40F-4074-A1A9-141ED57FC9CB}"/>
    <cellStyle name="Comma 3 5 2 3 2 3 2 2 2" xfId="58858" xr:uid="{1C6F7F8F-7059-4076-A1CB-495E8B94017E}"/>
    <cellStyle name="Comma 3 5 2 3 2 3 2 3" xfId="43738" xr:uid="{776199B8-04FF-496E-9CDC-4EBBEFBBDB71}"/>
    <cellStyle name="Comma 3 5 2 3 2 3 3" xfId="19546" xr:uid="{97561F31-427A-4581-BDAC-440F0B07A93E}"/>
    <cellStyle name="Comma 3 5 2 3 2 3 3 2" xfId="49786" xr:uid="{98070FBF-CC93-4DED-974F-D4B83378AD76}"/>
    <cellStyle name="Comma 3 5 2 3 2 3 4" xfId="34666" xr:uid="{E6C978C9-F6B0-4BF8-BE47-ADF6D7B07DCE}"/>
    <cellStyle name="Comma 3 5 2 3 2 4" xfId="5938" xr:uid="{362B8475-87A9-4819-8979-F6FB2EE01382}"/>
    <cellStyle name="Comma 3 5 2 3 2 4 2" xfId="15010" xr:uid="{0812A3FE-CC6B-4C5D-BC10-D066C42A94AE}"/>
    <cellStyle name="Comma 3 5 2 3 2 4 2 2" xfId="30130" xr:uid="{E6081F93-C481-4A6A-AF75-01B2A7322F49}"/>
    <cellStyle name="Comma 3 5 2 3 2 4 2 2 2" xfId="60370" xr:uid="{C8CE7AEE-C08D-444F-9008-363A2DCD943F}"/>
    <cellStyle name="Comma 3 5 2 3 2 4 2 3" xfId="45250" xr:uid="{D0F099AE-7F6C-4A20-908F-8F4359187924}"/>
    <cellStyle name="Comma 3 5 2 3 2 4 3" xfId="21058" xr:uid="{C9DC2045-C44A-4A3C-9E48-97505D094016}"/>
    <cellStyle name="Comma 3 5 2 3 2 4 3 2" xfId="51298" xr:uid="{C07857DE-C742-403C-BB53-D5C407827CFF}"/>
    <cellStyle name="Comma 3 5 2 3 2 4 4" xfId="36178" xr:uid="{42D094AD-1D2F-4A27-A1F4-ABC1816EF05A}"/>
    <cellStyle name="Comma 3 5 2 3 2 5" xfId="7450" xr:uid="{C1A1AE7D-9464-44F5-BAA4-C85942D88DDC}"/>
    <cellStyle name="Comma 3 5 2 3 2 5 2" xfId="22570" xr:uid="{8831001A-22A9-49F2-97B3-F15FDA81CF72}"/>
    <cellStyle name="Comma 3 5 2 3 2 5 2 2" xfId="52810" xr:uid="{D723EA44-556D-465F-9C56-BC7163EEC5C2}"/>
    <cellStyle name="Comma 3 5 2 3 2 5 3" xfId="37690" xr:uid="{3B140569-049C-4BBA-BAD9-37C2DA65732E}"/>
    <cellStyle name="Comma 3 5 2 3 2 6" xfId="8962" xr:uid="{A234275D-49ED-48BF-8965-527324C22570}"/>
    <cellStyle name="Comma 3 5 2 3 2 6 2" xfId="24082" xr:uid="{CBB42161-887B-45C5-89D2-1CA48AF4931F}"/>
    <cellStyle name="Comma 3 5 2 3 2 6 2 2" xfId="54322" xr:uid="{77692CF6-EAF1-47AC-8AC1-07E07B53AFF0}"/>
    <cellStyle name="Comma 3 5 2 3 2 6 3" xfId="39202" xr:uid="{38C76961-5129-443A-808A-DE981AA746F3}"/>
    <cellStyle name="Comma 3 5 2 3 2 7" xfId="10474" xr:uid="{F182FE53-BC73-439F-8F42-926B1953AD5F}"/>
    <cellStyle name="Comma 3 5 2 3 2 7 2" xfId="25594" xr:uid="{7A230D95-9537-43AB-9ECE-99DBFE72D260}"/>
    <cellStyle name="Comma 3 5 2 3 2 7 2 2" xfId="55834" xr:uid="{2DB76FA7-48C5-4353-8CE0-CDEB15398C8D}"/>
    <cellStyle name="Comma 3 5 2 3 2 7 3" xfId="40714" xr:uid="{520452AF-8112-4F6F-867F-F815B8AF55FA}"/>
    <cellStyle name="Comma 3 5 2 3 2 8" xfId="16522" xr:uid="{757F80EF-81CE-402A-B31F-14957742D733}"/>
    <cellStyle name="Comma 3 5 2 3 2 8 2" xfId="46762" xr:uid="{EC778303-A0BF-408A-9B4B-2246EC60750C}"/>
    <cellStyle name="Comma 3 5 2 3 2 9" xfId="31642" xr:uid="{B279C594-F17B-4388-8695-34974190DD37}"/>
    <cellStyle name="Comma 3 5 2 3 3" xfId="2158" xr:uid="{46E0BABF-62E8-46F2-A233-B093D06D3B83}"/>
    <cellStyle name="Comma 3 5 2 3 3 2" xfId="11230" xr:uid="{51621C1D-210D-4EAE-8459-31D0F8DE50FB}"/>
    <cellStyle name="Comma 3 5 2 3 3 2 2" xfId="26350" xr:uid="{5FD69B36-FA7B-4EAE-A31C-2E79407160CB}"/>
    <cellStyle name="Comma 3 5 2 3 3 2 2 2" xfId="56590" xr:uid="{8B6424F5-1C74-48EF-A741-AEA6272A3091}"/>
    <cellStyle name="Comma 3 5 2 3 3 2 3" xfId="41470" xr:uid="{7D42AD76-AC60-4C87-BE51-8CD60FF80EC6}"/>
    <cellStyle name="Comma 3 5 2 3 3 3" xfId="17278" xr:uid="{5207F7AF-9D05-4E48-8357-0F544BB99FF0}"/>
    <cellStyle name="Comma 3 5 2 3 3 3 2" xfId="47518" xr:uid="{42302455-FD18-454B-BDD7-315B304DCDE7}"/>
    <cellStyle name="Comma 3 5 2 3 3 4" xfId="32398" xr:uid="{8EECDB3D-ED89-463A-92AC-7636357C048E}"/>
    <cellStyle name="Comma 3 5 2 3 4" xfId="3670" xr:uid="{261F2914-923A-48A9-B72D-735FF404C65E}"/>
    <cellStyle name="Comma 3 5 2 3 4 2" xfId="12742" xr:uid="{654004E1-3F96-458D-8E54-99E8AA4AAD28}"/>
    <cellStyle name="Comma 3 5 2 3 4 2 2" xfId="27862" xr:uid="{198A729F-49F1-4E08-BAEF-A4E044D59415}"/>
    <cellStyle name="Comma 3 5 2 3 4 2 2 2" xfId="58102" xr:uid="{11533886-1725-4A80-A59C-56F9EB3CCA45}"/>
    <cellStyle name="Comma 3 5 2 3 4 2 3" xfId="42982" xr:uid="{8431D0C9-DCFE-480B-9ACA-708EB62B03BE}"/>
    <cellStyle name="Comma 3 5 2 3 4 3" xfId="18790" xr:uid="{54042853-8284-41E6-BF34-316118A8587F}"/>
    <cellStyle name="Comma 3 5 2 3 4 3 2" xfId="49030" xr:uid="{CCCC3959-84C6-45FA-8644-6F4DB446DE02}"/>
    <cellStyle name="Comma 3 5 2 3 4 4" xfId="33910" xr:uid="{CD1D4A8A-C3F4-4877-A771-D1456066ED78}"/>
    <cellStyle name="Comma 3 5 2 3 5" xfId="5182" xr:uid="{04E22E61-69B8-4850-AD3A-1469683541CF}"/>
    <cellStyle name="Comma 3 5 2 3 5 2" xfId="14254" xr:uid="{F9D6FFE3-9FEA-4E88-8396-704470993A58}"/>
    <cellStyle name="Comma 3 5 2 3 5 2 2" xfId="29374" xr:uid="{F3D299AB-C94E-411A-A682-8FD52EE13F1A}"/>
    <cellStyle name="Comma 3 5 2 3 5 2 2 2" xfId="59614" xr:uid="{F8788582-D645-499D-852E-7739E2C670F2}"/>
    <cellStyle name="Comma 3 5 2 3 5 2 3" xfId="44494" xr:uid="{866DCF0A-960E-4C78-89AB-D8C796EE32E2}"/>
    <cellStyle name="Comma 3 5 2 3 5 3" xfId="20302" xr:uid="{E41ECE03-092D-49B2-B1DB-AB911222FDC0}"/>
    <cellStyle name="Comma 3 5 2 3 5 3 2" xfId="50542" xr:uid="{3C28E055-D026-4A42-9691-D2E090BB0372}"/>
    <cellStyle name="Comma 3 5 2 3 5 4" xfId="35422" xr:uid="{9D7CB474-05AD-40BE-9953-7C57B081A058}"/>
    <cellStyle name="Comma 3 5 2 3 6" xfId="6694" xr:uid="{A9026D8F-2114-4FDC-80BE-0E13812130AB}"/>
    <cellStyle name="Comma 3 5 2 3 6 2" xfId="21814" xr:uid="{F8554BF7-3E5F-4678-8DC8-FD77093C8102}"/>
    <cellStyle name="Comma 3 5 2 3 6 2 2" xfId="52054" xr:uid="{14F324D5-3351-4781-9C46-83106AEDE730}"/>
    <cellStyle name="Comma 3 5 2 3 6 3" xfId="36934" xr:uid="{50CB24EE-9B69-466B-A868-00B1F0056FA6}"/>
    <cellStyle name="Comma 3 5 2 3 7" xfId="8206" xr:uid="{1973B300-01D0-4D7B-A369-356005677FE0}"/>
    <cellStyle name="Comma 3 5 2 3 7 2" xfId="23326" xr:uid="{EDCF8856-5235-4F2C-B10F-B3722012E83C}"/>
    <cellStyle name="Comma 3 5 2 3 7 2 2" xfId="53566" xr:uid="{720D802E-D701-47A4-AF05-2362A6F651C6}"/>
    <cellStyle name="Comma 3 5 2 3 7 3" xfId="38446" xr:uid="{86CAD53E-C644-4C02-8303-A396A2B277BA}"/>
    <cellStyle name="Comma 3 5 2 3 8" xfId="9718" xr:uid="{14CD6A02-3863-4343-BFEE-8BA77976DBB1}"/>
    <cellStyle name="Comma 3 5 2 3 8 2" xfId="24838" xr:uid="{25023CFB-8F43-479D-B3AB-E9913AAA1F25}"/>
    <cellStyle name="Comma 3 5 2 3 8 2 2" xfId="55078" xr:uid="{63309673-34C8-4659-A06F-FA6D3381D77E}"/>
    <cellStyle name="Comma 3 5 2 3 8 3" xfId="39958" xr:uid="{A2A9AEC7-D629-424A-AF98-CD487402096D}"/>
    <cellStyle name="Comma 3 5 2 3 9" xfId="15766" xr:uid="{C7C3D0B3-AD14-4ED4-A9DE-E9C32B1A7B50}"/>
    <cellStyle name="Comma 3 5 2 3 9 2" xfId="46006" xr:uid="{224EB965-1D71-4805-8F9E-1EB223889DB3}"/>
    <cellStyle name="Comma 3 5 2 4" xfId="898" xr:uid="{415239F2-585E-410C-80F5-6FBCE4AEE19E}"/>
    <cellStyle name="Comma 3 5 2 4 2" xfId="2410" xr:uid="{E537C5A4-AB70-4868-BEA0-4A80DB584C0B}"/>
    <cellStyle name="Comma 3 5 2 4 2 2" xfId="11482" xr:uid="{25EBCAAC-AD58-4272-A6DB-4C0739577FD4}"/>
    <cellStyle name="Comma 3 5 2 4 2 2 2" xfId="26602" xr:uid="{FC67B8F6-B4AF-4AE9-A6DE-1B4CE8727A58}"/>
    <cellStyle name="Comma 3 5 2 4 2 2 2 2" xfId="56842" xr:uid="{EC2552A4-0F79-4691-8B05-B83E13249E73}"/>
    <cellStyle name="Comma 3 5 2 4 2 2 3" xfId="41722" xr:uid="{B8A6D8D8-7B57-4327-9B48-32142AEC6DA9}"/>
    <cellStyle name="Comma 3 5 2 4 2 3" xfId="17530" xr:uid="{84DDFF7C-D344-4682-AEAB-02635E4F7668}"/>
    <cellStyle name="Comma 3 5 2 4 2 3 2" xfId="47770" xr:uid="{1A6FF846-9CE3-4F5C-B473-9E470B40BB7E}"/>
    <cellStyle name="Comma 3 5 2 4 2 4" xfId="32650" xr:uid="{993F22DE-5ABA-49B8-BA87-14A40E33AE90}"/>
    <cellStyle name="Comma 3 5 2 4 3" xfId="3922" xr:uid="{5E32EC58-6F9D-4B50-B663-04A42262ECF7}"/>
    <cellStyle name="Comma 3 5 2 4 3 2" xfId="12994" xr:uid="{49755A38-E84C-4C22-8EC2-7F25074301B0}"/>
    <cellStyle name="Comma 3 5 2 4 3 2 2" xfId="28114" xr:uid="{EE8787BA-A820-40C2-9B1E-88F9239E0A06}"/>
    <cellStyle name="Comma 3 5 2 4 3 2 2 2" xfId="58354" xr:uid="{2D65F1A4-DB7F-4F7B-915A-1D333BE25C8A}"/>
    <cellStyle name="Comma 3 5 2 4 3 2 3" xfId="43234" xr:uid="{3D0A639B-6E75-45FF-AD93-2F956ABAEE55}"/>
    <cellStyle name="Comma 3 5 2 4 3 3" xfId="19042" xr:uid="{77444803-C480-43BE-B5ED-EF0D7EDA4BA3}"/>
    <cellStyle name="Comma 3 5 2 4 3 3 2" xfId="49282" xr:uid="{F53F4C0E-16DE-419E-BB30-D7CBC7524FEE}"/>
    <cellStyle name="Comma 3 5 2 4 3 4" xfId="34162" xr:uid="{0DF772B6-854E-427E-A70A-4E6A9E013DC4}"/>
    <cellStyle name="Comma 3 5 2 4 4" xfId="5434" xr:uid="{6BBC6B32-3083-4221-84DB-F95ED20F7C89}"/>
    <cellStyle name="Comma 3 5 2 4 4 2" xfId="14506" xr:uid="{BFAC2CAD-8C4E-41F7-8053-C7818C3F387C}"/>
    <cellStyle name="Comma 3 5 2 4 4 2 2" xfId="29626" xr:uid="{37120397-09C6-4DA3-B674-CECD9623C66D}"/>
    <cellStyle name="Comma 3 5 2 4 4 2 2 2" xfId="59866" xr:uid="{8CCB3254-6868-46AD-A905-5F467CC7FAEC}"/>
    <cellStyle name="Comma 3 5 2 4 4 2 3" xfId="44746" xr:uid="{08809A64-3FC9-4BC4-847A-67A1BE431C41}"/>
    <cellStyle name="Comma 3 5 2 4 4 3" xfId="20554" xr:uid="{B0A21758-5536-4D33-B236-BFB3D101BC4F}"/>
    <cellStyle name="Comma 3 5 2 4 4 3 2" xfId="50794" xr:uid="{92B91D5A-8793-4C7C-9646-BA1BCE4F64B5}"/>
    <cellStyle name="Comma 3 5 2 4 4 4" xfId="35674" xr:uid="{B1E52DD4-C37D-480A-82C8-C2740817830F}"/>
    <cellStyle name="Comma 3 5 2 4 5" xfId="6946" xr:uid="{260C862C-3525-434C-A50E-E94915C1EDDC}"/>
    <cellStyle name="Comma 3 5 2 4 5 2" xfId="22066" xr:uid="{ADEA32AB-EB95-40A9-AF95-1FF8E96FB3D8}"/>
    <cellStyle name="Comma 3 5 2 4 5 2 2" xfId="52306" xr:uid="{4F73800D-5835-4225-BB4F-EC688E3348AE}"/>
    <cellStyle name="Comma 3 5 2 4 5 3" xfId="37186" xr:uid="{8C4EFF7C-4937-4590-AE78-3E4A663C1575}"/>
    <cellStyle name="Comma 3 5 2 4 6" xfId="8458" xr:uid="{41D4E58A-53D0-4A26-8B65-26510DCB42AF}"/>
    <cellStyle name="Comma 3 5 2 4 6 2" xfId="23578" xr:uid="{2D1D9447-823F-4639-B580-AF879AB1C947}"/>
    <cellStyle name="Comma 3 5 2 4 6 2 2" xfId="53818" xr:uid="{96830030-DA3E-4FA1-BA0E-2D3352776A82}"/>
    <cellStyle name="Comma 3 5 2 4 6 3" xfId="38698" xr:uid="{06C7F03D-A752-400F-BE7E-CD842372C50B}"/>
    <cellStyle name="Comma 3 5 2 4 7" xfId="9970" xr:uid="{B581651F-2CC5-4E94-923A-D0703FA3CD6A}"/>
    <cellStyle name="Comma 3 5 2 4 7 2" xfId="25090" xr:uid="{DF3875E3-8125-4A84-8095-85FAD2C9AA1E}"/>
    <cellStyle name="Comma 3 5 2 4 7 2 2" xfId="55330" xr:uid="{D30212D4-C9D8-4CB3-B254-8AFD92917EBB}"/>
    <cellStyle name="Comma 3 5 2 4 7 3" xfId="40210" xr:uid="{AB4E4651-C17B-4C26-BD11-B7FAC2D261D4}"/>
    <cellStyle name="Comma 3 5 2 4 8" xfId="16018" xr:uid="{21E83E75-EE24-4776-97D3-AADDA34AD605}"/>
    <cellStyle name="Comma 3 5 2 4 8 2" xfId="46258" xr:uid="{C84465E9-2374-4138-A746-48DD1110080B}"/>
    <cellStyle name="Comma 3 5 2 4 9" xfId="31138" xr:uid="{98A4EEF2-6D33-4FAA-A3E3-0228776D95CE}"/>
    <cellStyle name="Comma 3 5 2 5" xfId="1654" xr:uid="{6C779E18-B434-415B-B165-D1BD00089688}"/>
    <cellStyle name="Comma 3 5 2 5 2" xfId="10726" xr:uid="{06467F02-90BF-4431-9FB1-C60A02A2BC69}"/>
    <cellStyle name="Comma 3 5 2 5 2 2" xfId="25846" xr:uid="{06EED7C3-39D7-4D85-B83C-E8A6D7E67981}"/>
    <cellStyle name="Comma 3 5 2 5 2 2 2" xfId="56086" xr:uid="{BF1A551B-7817-4FCE-BEAE-4EE59AE5A3AB}"/>
    <cellStyle name="Comma 3 5 2 5 2 3" xfId="40966" xr:uid="{EC9C6353-8B19-49D2-9FC9-84C4C0A8F08A}"/>
    <cellStyle name="Comma 3 5 2 5 3" xfId="16774" xr:uid="{444B597C-9603-4F86-8EC4-4C114F52FD9F}"/>
    <cellStyle name="Comma 3 5 2 5 3 2" xfId="47014" xr:uid="{680BD3B9-0353-4B20-8E0C-955583EF0AA9}"/>
    <cellStyle name="Comma 3 5 2 5 4" xfId="31894" xr:uid="{BA7219B5-D543-4541-B5F9-641F1CBCFA17}"/>
    <cellStyle name="Comma 3 5 2 6" xfId="3166" xr:uid="{55AFDC53-4CC4-4630-AD67-A1FF6EAD417A}"/>
    <cellStyle name="Comma 3 5 2 6 2" xfId="12238" xr:uid="{205E3B85-A206-4B85-BEB3-6114C1027865}"/>
    <cellStyle name="Comma 3 5 2 6 2 2" xfId="27358" xr:uid="{D438AE8F-4594-4E2D-B8AE-B17599CDFEB8}"/>
    <cellStyle name="Comma 3 5 2 6 2 2 2" xfId="57598" xr:uid="{631946CF-1023-4792-8605-9801B49CE8B0}"/>
    <cellStyle name="Comma 3 5 2 6 2 3" xfId="42478" xr:uid="{B947F9D3-98A0-4A80-9E91-84B515BCB012}"/>
    <cellStyle name="Comma 3 5 2 6 3" xfId="18286" xr:uid="{7DA4B678-BDD9-4450-8C48-E01414BA383E}"/>
    <cellStyle name="Comma 3 5 2 6 3 2" xfId="48526" xr:uid="{A9A3FEF0-0978-4D30-9CD0-34787A684C48}"/>
    <cellStyle name="Comma 3 5 2 6 4" xfId="33406" xr:uid="{436FD1F1-67BD-431B-BE10-9170BD8C2ED5}"/>
    <cellStyle name="Comma 3 5 2 7" xfId="4678" xr:uid="{E12D3D50-5503-435D-BD99-66B481FD5F63}"/>
    <cellStyle name="Comma 3 5 2 7 2" xfId="13750" xr:uid="{FC6E04F4-EA21-482E-AAEB-9342015C770A}"/>
    <cellStyle name="Comma 3 5 2 7 2 2" xfId="28870" xr:uid="{5BA89350-BCD0-4851-A907-AAC8B34BAE5A}"/>
    <cellStyle name="Comma 3 5 2 7 2 2 2" xfId="59110" xr:uid="{988DDAE9-7875-4051-810F-7E3319EA5FEC}"/>
    <cellStyle name="Comma 3 5 2 7 2 3" xfId="43990" xr:uid="{54FF6875-FF9A-4D34-BEA4-53B23A270FFA}"/>
    <cellStyle name="Comma 3 5 2 7 3" xfId="19798" xr:uid="{CCA98926-BA62-42CA-87CE-6E70040AF84B}"/>
    <cellStyle name="Comma 3 5 2 7 3 2" xfId="50038" xr:uid="{FF9E4E9B-8B37-415B-8078-D7770DE47DDE}"/>
    <cellStyle name="Comma 3 5 2 7 4" xfId="34918" xr:uid="{71DF0410-72A9-4F87-ACC6-72FD014DC4B0}"/>
    <cellStyle name="Comma 3 5 2 8" xfId="6190" xr:uid="{5F3791BC-4635-4435-B0F4-58A285CEA5FC}"/>
    <cellStyle name="Comma 3 5 2 8 2" xfId="21310" xr:uid="{CE6BF83F-8B4E-4EDF-830E-ED19033A7A30}"/>
    <cellStyle name="Comma 3 5 2 8 2 2" xfId="51550" xr:uid="{8E0A6825-9432-4BAE-B1A3-3D51FF30310D}"/>
    <cellStyle name="Comma 3 5 2 8 3" xfId="36430" xr:uid="{4BE25170-89F0-485B-AD7D-4F7A960A04F0}"/>
    <cellStyle name="Comma 3 5 2 9" xfId="7702" xr:uid="{79125A60-071D-4BA1-AD14-EFF564202696}"/>
    <cellStyle name="Comma 3 5 2 9 2" xfId="22822" xr:uid="{E2BB24CB-17BB-4E10-8A6C-B0F0734B4374}"/>
    <cellStyle name="Comma 3 5 2 9 2 2" xfId="53062" xr:uid="{E8C37C1D-B3FB-42B0-8872-45D14CC543CD}"/>
    <cellStyle name="Comma 3 5 2 9 3" xfId="37942" xr:uid="{11BA0117-4012-4DE3-8EBD-FFD65C10761D}"/>
    <cellStyle name="Comma 3 5 3" xfId="226" xr:uid="{5FE1DF13-CE49-4DA8-8BB4-A662851196BC}"/>
    <cellStyle name="Comma 3 5 3 10" xfId="9298" xr:uid="{85526B77-AF6D-4184-BBE6-EFC671F0018E}"/>
    <cellStyle name="Comma 3 5 3 10 2" xfId="24418" xr:uid="{A48955EF-25A0-4097-9C92-8ED329395162}"/>
    <cellStyle name="Comma 3 5 3 10 2 2" xfId="54658" xr:uid="{CEB8CD3E-1B74-409D-B6A6-30185FD63F77}"/>
    <cellStyle name="Comma 3 5 3 10 3" xfId="39538" xr:uid="{5750388B-3117-4742-B296-7246D58691A4}"/>
    <cellStyle name="Comma 3 5 3 11" xfId="15346" xr:uid="{C143BD85-B10A-4C4E-8A5B-8175B9ED275F}"/>
    <cellStyle name="Comma 3 5 3 11 2" xfId="45586" xr:uid="{CCE15AF7-2E8F-46CD-B1EE-D37E4DF7608D}"/>
    <cellStyle name="Comma 3 5 3 12" xfId="30466" xr:uid="{1FDFC888-71F6-440A-A903-A3BC4D3DCB0F}"/>
    <cellStyle name="Comma 3 5 3 2" xfId="478" xr:uid="{B0A753B2-118F-4F55-AA71-7AC491883910}"/>
    <cellStyle name="Comma 3 5 3 2 10" xfId="30718" xr:uid="{303E627E-D694-4E40-A0DF-0725670D39DE}"/>
    <cellStyle name="Comma 3 5 3 2 2" xfId="1234" xr:uid="{60489DB9-2496-43B3-80FF-4EFFF5BCB80E}"/>
    <cellStyle name="Comma 3 5 3 2 2 2" xfId="2746" xr:uid="{962B4130-EC91-42E1-93F0-6F691CE4ECAC}"/>
    <cellStyle name="Comma 3 5 3 2 2 2 2" xfId="11818" xr:uid="{4C65BB21-1B34-45F6-A44C-82E96D18FC89}"/>
    <cellStyle name="Comma 3 5 3 2 2 2 2 2" xfId="26938" xr:uid="{C22E1009-CCD4-4490-A787-45D7B4119C9E}"/>
    <cellStyle name="Comma 3 5 3 2 2 2 2 2 2" xfId="57178" xr:uid="{6913742D-3A28-43B1-A659-303D7245E078}"/>
    <cellStyle name="Comma 3 5 3 2 2 2 2 3" xfId="42058" xr:uid="{C422C919-55AD-42F5-BDA7-24CEB5CA5261}"/>
    <cellStyle name="Comma 3 5 3 2 2 2 3" xfId="17866" xr:uid="{56C5AAEA-E301-4C4C-9F7F-F0F2A6584492}"/>
    <cellStyle name="Comma 3 5 3 2 2 2 3 2" xfId="48106" xr:uid="{BBAC8B7F-798D-4C32-91AD-2AC377030F59}"/>
    <cellStyle name="Comma 3 5 3 2 2 2 4" xfId="32986" xr:uid="{933881AA-49F7-443F-AF7E-314269BA37B5}"/>
    <cellStyle name="Comma 3 5 3 2 2 3" xfId="4258" xr:uid="{20DE207F-9780-4732-8357-A452E2160B2D}"/>
    <cellStyle name="Comma 3 5 3 2 2 3 2" xfId="13330" xr:uid="{75F22CB1-846F-4BAF-ABDB-2B64EF52C418}"/>
    <cellStyle name="Comma 3 5 3 2 2 3 2 2" xfId="28450" xr:uid="{9A494B69-5996-4654-80EB-D9765F8D458C}"/>
    <cellStyle name="Comma 3 5 3 2 2 3 2 2 2" xfId="58690" xr:uid="{436C488C-362D-49DC-B1D1-0C5552235B04}"/>
    <cellStyle name="Comma 3 5 3 2 2 3 2 3" xfId="43570" xr:uid="{6A649C14-456A-4579-9696-249698885771}"/>
    <cellStyle name="Comma 3 5 3 2 2 3 3" xfId="19378" xr:uid="{5DC4AB17-453B-4D7D-8F07-AF050B8F5A1E}"/>
    <cellStyle name="Comma 3 5 3 2 2 3 3 2" xfId="49618" xr:uid="{49C6A6B4-B474-4D4F-932E-DEF113AC056F}"/>
    <cellStyle name="Comma 3 5 3 2 2 3 4" xfId="34498" xr:uid="{342FC58B-7E53-47C3-8958-8CEE6E87E690}"/>
    <cellStyle name="Comma 3 5 3 2 2 4" xfId="5770" xr:uid="{77F83892-09F4-4CDF-BA8E-6EA5FBC8299B}"/>
    <cellStyle name="Comma 3 5 3 2 2 4 2" xfId="14842" xr:uid="{070FEFB3-8C7F-4CCB-96BD-E59359159FEB}"/>
    <cellStyle name="Comma 3 5 3 2 2 4 2 2" xfId="29962" xr:uid="{EE0F2122-A5EC-4181-83EF-14C0526C5C0A}"/>
    <cellStyle name="Comma 3 5 3 2 2 4 2 2 2" xfId="60202" xr:uid="{0BBEE938-932B-4C93-9707-2BDB9CED2909}"/>
    <cellStyle name="Comma 3 5 3 2 2 4 2 3" xfId="45082" xr:uid="{345261B8-FAC5-498B-ABB8-FA2F8FAE35B6}"/>
    <cellStyle name="Comma 3 5 3 2 2 4 3" xfId="20890" xr:uid="{B54643E3-919C-435F-8B7C-4D66EE063D76}"/>
    <cellStyle name="Comma 3 5 3 2 2 4 3 2" xfId="51130" xr:uid="{3C3A03C7-E844-40BE-A3B3-F090FE43608F}"/>
    <cellStyle name="Comma 3 5 3 2 2 4 4" xfId="36010" xr:uid="{E9EE9A01-7F60-4A66-BE93-CE64EE8D8733}"/>
    <cellStyle name="Comma 3 5 3 2 2 5" xfId="7282" xr:uid="{7FA77153-5AB4-4798-A3BD-141BD0709EFA}"/>
    <cellStyle name="Comma 3 5 3 2 2 5 2" xfId="22402" xr:uid="{E9C7949B-EDF1-49A3-8412-CE1262C06CD1}"/>
    <cellStyle name="Comma 3 5 3 2 2 5 2 2" xfId="52642" xr:uid="{9C9A5B6C-E08E-48A0-8CE0-CB7ACECE8D3C}"/>
    <cellStyle name="Comma 3 5 3 2 2 5 3" xfId="37522" xr:uid="{05636DB2-0C03-4E83-B6B2-B38504271F23}"/>
    <cellStyle name="Comma 3 5 3 2 2 6" xfId="8794" xr:uid="{41D8508A-3A28-4D53-8AF3-703B4D3F7D19}"/>
    <cellStyle name="Comma 3 5 3 2 2 6 2" xfId="23914" xr:uid="{2764DA86-37E8-4794-B8B2-AB33C95CEE35}"/>
    <cellStyle name="Comma 3 5 3 2 2 6 2 2" xfId="54154" xr:uid="{1B711735-29E5-4F33-AFF8-0A61BBD3310E}"/>
    <cellStyle name="Comma 3 5 3 2 2 6 3" xfId="39034" xr:uid="{E031485C-87B1-4C61-BBBA-ACE068C8266B}"/>
    <cellStyle name="Comma 3 5 3 2 2 7" xfId="10306" xr:uid="{6B018649-9426-4A5B-8A00-7CD3C576965D}"/>
    <cellStyle name="Comma 3 5 3 2 2 7 2" xfId="25426" xr:uid="{E7A122C8-7160-453A-9618-733BACCD648C}"/>
    <cellStyle name="Comma 3 5 3 2 2 7 2 2" xfId="55666" xr:uid="{657B6365-1D70-43A6-9A26-CC558585419D}"/>
    <cellStyle name="Comma 3 5 3 2 2 7 3" xfId="40546" xr:uid="{879BE384-5F49-413B-BDAD-15E6EC0F8507}"/>
    <cellStyle name="Comma 3 5 3 2 2 8" xfId="16354" xr:uid="{A5D8CDE1-CF23-4971-8D4D-ADE5EAF3628A}"/>
    <cellStyle name="Comma 3 5 3 2 2 8 2" xfId="46594" xr:uid="{4E1A73D7-D83B-4D16-8C0F-BB62F14E4BBA}"/>
    <cellStyle name="Comma 3 5 3 2 2 9" xfId="31474" xr:uid="{094ECA93-55A3-44AE-9CC2-832F9B8D05B2}"/>
    <cellStyle name="Comma 3 5 3 2 3" xfId="1990" xr:uid="{9290ACC0-A131-4610-AEFC-11FF2E5329BB}"/>
    <cellStyle name="Comma 3 5 3 2 3 2" xfId="11062" xr:uid="{8263C68B-FD30-4C41-82A4-E5A683EA9DD1}"/>
    <cellStyle name="Comma 3 5 3 2 3 2 2" xfId="26182" xr:uid="{603E6A4E-27A0-44DF-ADC7-27A4B8EB6BD1}"/>
    <cellStyle name="Comma 3 5 3 2 3 2 2 2" xfId="56422" xr:uid="{DC3AC8BF-B8AD-4E1D-8884-0D797F96011B}"/>
    <cellStyle name="Comma 3 5 3 2 3 2 3" xfId="41302" xr:uid="{9A00752A-ABD5-4E5C-A2C9-17F286872B17}"/>
    <cellStyle name="Comma 3 5 3 2 3 3" xfId="17110" xr:uid="{F4153825-811F-4476-AC75-0E7A49280B9F}"/>
    <cellStyle name="Comma 3 5 3 2 3 3 2" xfId="47350" xr:uid="{9CF4CF2F-FAD0-4EE9-8E2A-EB3A570D68BC}"/>
    <cellStyle name="Comma 3 5 3 2 3 4" xfId="32230" xr:uid="{00C51EA7-935A-41A9-9493-3F6F319E94CC}"/>
    <cellStyle name="Comma 3 5 3 2 4" xfId="3502" xr:uid="{3C02F4E2-2DA4-4C0F-8845-D34EEF38A0A2}"/>
    <cellStyle name="Comma 3 5 3 2 4 2" xfId="12574" xr:uid="{37816498-6BC1-4A83-954C-0CEF61EDE95E}"/>
    <cellStyle name="Comma 3 5 3 2 4 2 2" xfId="27694" xr:uid="{3707391F-E87B-4B7A-B68A-FDB0182EC8A3}"/>
    <cellStyle name="Comma 3 5 3 2 4 2 2 2" xfId="57934" xr:uid="{B550BD0A-7C86-4D4D-B1D2-33ED4A0B3676}"/>
    <cellStyle name="Comma 3 5 3 2 4 2 3" xfId="42814" xr:uid="{0510BF73-0145-4798-99A6-67067B290053}"/>
    <cellStyle name="Comma 3 5 3 2 4 3" xfId="18622" xr:uid="{B74D8580-5EEB-4577-83A7-31EB24426EBB}"/>
    <cellStyle name="Comma 3 5 3 2 4 3 2" xfId="48862" xr:uid="{7FF749E5-CDE4-4F80-B8D8-6C4502F223E8}"/>
    <cellStyle name="Comma 3 5 3 2 4 4" xfId="33742" xr:uid="{89F6F34D-CDEB-4496-B22A-C4718CC6CB6B}"/>
    <cellStyle name="Comma 3 5 3 2 5" xfId="5014" xr:uid="{3C49D203-5194-4155-A8BC-A3201FCDA743}"/>
    <cellStyle name="Comma 3 5 3 2 5 2" xfId="14086" xr:uid="{4F5ECD5B-0F4C-4C4A-A0C5-B2627556B762}"/>
    <cellStyle name="Comma 3 5 3 2 5 2 2" xfId="29206" xr:uid="{06D44B56-5B24-4513-9C1D-73233D78EDA2}"/>
    <cellStyle name="Comma 3 5 3 2 5 2 2 2" xfId="59446" xr:uid="{7FA5AD1A-D182-4D27-886E-38D9C3151BEF}"/>
    <cellStyle name="Comma 3 5 3 2 5 2 3" xfId="44326" xr:uid="{56DA2404-B098-41A0-AE0A-E09A602A6EBF}"/>
    <cellStyle name="Comma 3 5 3 2 5 3" xfId="20134" xr:uid="{DE5EAF28-6048-4B2B-99A5-6BBCCE211549}"/>
    <cellStyle name="Comma 3 5 3 2 5 3 2" xfId="50374" xr:uid="{F77BEE03-75A8-4D09-BD2E-BEB9651DCBBD}"/>
    <cellStyle name="Comma 3 5 3 2 5 4" xfId="35254" xr:uid="{C0B17467-E9D6-4FBF-8200-5A8C46C22585}"/>
    <cellStyle name="Comma 3 5 3 2 6" xfId="6526" xr:uid="{21B63361-BB79-41BA-9DCD-9755CB2B5FBE}"/>
    <cellStyle name="Comma 3 5 3 2 6 2" xfId="21646" xr:uid="{F16B7AB2-0C8E-4360-87CA-2E7DB4D1C573}"/>
    <cellStyle name="Comma 3 5 3 2 6 2 2" xfId="51886" xr:uid="{C89B4158-4A15-4820-A28B-6E349AAEA283}"/>
    <cellStyle name="Comma 3 5 3 2 6 3" xfId="36766" xr:uid="{4A68468F-2A95-4598-B5A9-098D0C142AE0}"/>
    <cellStyle name="Comma 3 5 3 2 7" xfId="8038" xr:uid="{5071910E-9FF6-4C55-A357-11F2458EBD46}"/>
    <cellStyle name="Comma 3 5 3 2 7 2" xfId="23158" xr:uid="{2FEAAE20-2FC5-4240-B01F-83B8ED155BC0}"/>
    <cellStyle name="Comma 3 5 3 2 7 2 2" xfId="53398" xr:uid="{F9D4D124-863D-4AE1-99C9-EF8C898CB5A7}"/>
    <cellStyle name="Comma 3 5 3 2 7 3" xfId="38278" xr:uid="{43330F19-DC95-4B6B-94CF-D9B1E383DE56}"/>
    <cellStyle name="Comma 3 5 3 2 8" xfId="9550" xr:uid="{71A9B41C-50A8-4C32-9E12-3D2C241340B1}"/>
    <cellStyle name="Comma 3 5 3 2 8 2" xfId="24670" xr:uid="{9284E8E8-C8DA-48BD-90F4-DC05E044833B}"/>
    <cellStyle name="Comma 3 5 3 2 8 2 2" xfId="54910" xr:uid="{F70522B6-055F-4BDC-B9BF-B907BF2B3E01}"/>
    <cellStyle name="Comma 3 5 3 2 8 3" xfId="39790" xr:uid="{A9610290-3E7E-4B15-9054-4156C9C3E5AC}"/>
    <cellStyle name="Comma 3 5 3 2 9" xfId="15598" xr:uid="{23EA1B56-0817-4C15-925D-DAF8F8C3B2F1}"/>
    <cellStyle name="Comma 3 5 3 2 9 2" xfId="45838" xr:uid="{A89E032C-5BC8-48DA-B3DD-43DA2DC923F7}"/>
    <cellStyle name="Comma 3 5 3 3" xfId="730" xr:uid="{A25676C6-0CE3-4AC2-965B-1296586E94D5}"/>
    <cellStyle name="Comma 3 5 3 3 10" xfId="30970" xr:uid="{571C3D6F-9C88-4983-9E95-CCD99885314D}"/>
    <cellStyle name="Comma 3 5 3 3 2" xfId="1486" xr:uid="{66B6685D-1F90-4801-B776-29D6AED368A5}"/>
    <cellStyle name="Comma 3 5 3 3 2 2" xfId="2998" xr:uid="{A68B849B-6A8F-441B-BBBC-26020DE86B60}"/>
    <cellStyle name="Comma 3 5 3 3 2 2 2" xfId="12070" xr:uid="{D5EE3A78-0F14-4484-9F2F-B5B6FC501810}"/>
    <cellStyle name="Comma 3 5 3 3 2 2 2 2" xfId="27190" xr:uid="{4287DA45-100D-4909-A41C-CFA00A21E082}"/>
    <cellStyle name="Comma 3 5 3 3 2 2 2 2 2" xfId="57430" xr:uid="{1113BCC7-E24F-4CA1-996C-09313BC34E0B}"/>
    <cellStyle name="Comma 3 5 3 3 2 2 2 3" xfId="42310" xr:uid="{78800243-5A58-4819-BAC5-3C111C7100EF}"/>
    <cellStyle name="Comma 3 5 3 3 2 2 3" xfId="18118" xr:uid="{7E9B1C84-35A0-47EA-825B-5ECC970B011F}"/>
    <cellStyle name="Comma 3 5 3 3 2 2 3 2" xfId="48358" xr:uid="{541F8C50-AD7D-43D8-BFBE-2BF934228B3E}"/>
    <cellStyle name="Comma 3 5 3 3 2 2 4" xfId="33238" xr:uid="{1BE293F1-3AAD-4C97-ACC3-361E7A4F2234}"/>
    <cellStyle name="Comma 3 5 3 3 2 3" xfId="4510" xr:uid="{ECF592C6-C941-47F9-BF23-ABE3AF6C8068}"/>
    <cellStyle name="Comma 3 5 3 3 2 3 2" xfId="13582" xr:uid="{A8B720A2-F640-4057-B036-9EA7AB9B63D3}"/>
    <cellStyle name="Comma 3 5 3 3 2 3 2 2" xfId="28702" xr:uid="{84F26C15-083B-423F-9257-34F17E78B9AA}"/>
    <cellStyle name="Comma 3 5 3 3 2 3 2 2 2" xfId="58942" xr:uid="{A24D42A9-419E-4945-86BE-CA32B50F6152}"/>
    <cellStyle name="Comma 3 5 3 3 2 3 2 3" xfId="43822" xr:uid="{042F5158-0B92-4B2E-8A76-F920877DD056}"/>
    <cellStyle name="Comma 3 5 3 3 2 3 3" xfId="19630" xr:uid="{0C28B76E-1B6A-4BCC-B6AE-C983518D19A9}"/>
    <cellStyle name="Comma 3 5 3 3 2 3 3 2" xfId="49870" xr:uid="{53A1F9B9-52A9-45D9-A43E-67DCEE5402E9}"/>
    <cellStyle name="Comma 3 5 3 3 2 3 4" xfId="34750" xr:uid="{D7715B12-AC30-48A8-8BE8-54447C90F57E}"/>
    <cellStyle name="Comma 3 5 3 3 2 4" xfId="6022" xr:uid="{DDA937B5-D155-4462-A1E3-1E3DB43FBBF4}"/>
    <cellStyle name="Comma 3 5 3 3 2 4 2" xfId="15094" xr:uid="{A4B85A2B-9D5D-41E5-BC8C-AFA0084E6ADA}"/>
    <cellStyle name="Comma 3 5 3 3 2 4 2 2" xfId="30214" xr:uid="{6E564D7A-5C20-4F95-81D8-14C4769F569D}"/>
    <cellStyle name="Comma 3 5 3 3 2 4 2 2 2" xfId="60454" xr:uid="{27F2F8F9-67C8-4EB5-B5AC-5CD9A35D6C06}"/>
    <cellStyle name="Comma 3 5 3 3 2 4 2 3" xfId="45334" xr:uid="{9B22CB59-BE92-4F97-8507-2461BFA34B3F}"/>
    <cellStyle name="Comma 3 5 3 3 2 4 3" xfId="21142" xr:uid="{327CDF03-24D4-4874-9EAA-97C484E0545B}"/>
    <cellStyle name="Comma 3 5 3 3 2 4 3 2" xfId="51382" xr:uid="{7ABED7D3-0B90-4ECC-AD88-475208654CFB}"/>
    <cellStyle name="Comma 3 5 3 3 2 4 4" xfId="36262" xr:uid="{C4C54667-78FD-4E19-98A4-3EF7A37FA9EC}"/>
    <cellStyle name="Comma 3 5 3 3 2 5" xfId="7534" xr:uid="{B76EFE77-6179-4847-8807-F88E9730E2B7}"/>
    <cellStyle name="Comma 3 5 3 3 2 5 2" xfId="22654" xr:uid="{1EDA4748-F466-4F5A-8B12-BB09374574F5}"/>
    <cellStyle name="Comma 3 5 3 3 2 5 2 2" xfId="52894" xr:uid="{31EA5FA5-9564-4954-83A7-74A4D9358B4D}"/>
    <cellStyle name="Comma 3 5 3 3 2 5 3" xfId="37774" xr:uid="{6BB05737-2250-4D11-ACF6-FCDF208DE58A}"/>
    <cellStyle name="Comma 3 5 3 3 2 6" xfId="9046" xr:uid="{B822ACDE-CF18-4117-97E8-C81FB6396DB9}"/>
    <cellStyle name="Comma 3 5 3 3 2 6 2" xfId="24166" xr:uid="{49877295-9A3C-4A31-B51B-1259D6FA116E}"/>
    <cellStyle name="Comma 3 5 3 3 2 6 2 2" xfId="54406" xr:uid="{673F9101-715A-4933-A0B8-351D4051D856}"/>
    <cellStyle name="Comma 3 5 3 3 2 6 3" xfId="39286" xr:uid="{AE83C5FE-7438-4232-AF8E-62B30AF33A42}"/>
    <cellStyle name="Comma 3 5 3 3 2 7" xfId="10558" xr:uid="{47FD448B-43D3-4D1A-99CC-AEF7992C82BC}"/>
    <cellStyle name="Comma 3 5 3 3 2 7 2" xfId="25678" xr:uid="{3163F13E-8554-48D2-9F51-4C84F7C2CBAA}"/>
    <cellStyle name="Comma 3 5 3 3 2 7 2 2" xfId="55918" xr:uid="{FD61C78A-63B0-4119-9A2F-8D33C9C13591}"/>
    <cellStyle name="Comma 3 5 3 3 2 7 3" xfId="40798" xr:uid="{F59E10A2-8501-4313-A01B-1B798EA5CF35}"/>
    <cellStyle name="Comma 3 5 3 3 2 8" xfId="16606" xr:uid="{1BBCE734-D849-4D82-9EA2-180CCF24CBD7}"/>
    <cellStyle name="Comma 3 5 3 3 2 8 2" xfId="46846" xr:uid="{99CE4340-D7B3-48F5-83A2-F23B8201EB98}"/>
    <cellStyle name="Comma 3 5 3 3 2 9" xfId="31726" xr:uid="{21E952D6-17CB-46B9-B767-513A6372FBDE}"/>
    <cellStyle name="Comma 3 5 3 3 3" xfId="2242" xr:uid="{ABC2AA07-8FCC-47EA-B604-BFCEB882F62D}"/>
    <cellStyle name="Comma 3 5 3 3 3 2" xfId="11314" xr:uid="{F3C9560B-650D-4688-B2EC-505122738D0E}"/>
    <cellStyle name="Comma 3 5 3 3 3 2 2" xfId="26434" xr:uid="{992FBE41-5148-4CF8-A312-D350DECDC2AA}"/>
    <cellStyle name="Comma 3 5 3 3 3 2 2 2" xfId="56674" xr:uid="{74DA1A79-D4B9-4C29-83B6-379CDEFC9643}"/>
    <cellStyle name="Comma 3 5 3 3 3 2 3" xfId="41554" xr:uid="{D82AA100-A0D3-4211-BFF7-28DDA78D0FA8}"/>
    <cellStyle name="Comma 3 5 3 3 3 3" xfId="17362" xr:uid="{15A05373-CE4A-4E42-B07D-28BE5313E93F}"/>
    <cellStyle name="Comma 3 5 3 3 3 3 2" xfId="47602" xr:uid="{4A3FE638-2805-4376-95B6-E3F714E741C4}"/>
    <cellStyle name="Comma 3 5 3 3 3 4" xfId="32482" xr:uid="{E00B3471-CAF5-40AB-9999-9BC7565FC56C}"/>
    <cellStyle name="Comma 3 5 3 3 4" xfId="3754" xr:uid="{A923E5EE-2728-4736-AB0B-B8FD88D0AB68}"/>
    <cellStyle name="Comma 3 5 3 3 4 2" xfId="12826" xr:uid="{C91E0C13-EEA8-4AAA-932B-EBABAA948267}"/>
    <cellStyle name="Comma 3 5 3 3 4 2 2" xfId="27946" xr:uid="{F43DE669-7102-485A-A001-09FCDFB9C111}"/>
    <cellStyle name="Comma 3 5 3 3 4 2 2 2" xfId="58186" xr:uid="{1CE11196-FCE8-404A-BE59-9C4A079885D1}"/>
    <cellStyle name="Comma 3 5 3 3 4 2 3" xfId="43066" xr:uid="{68D7C13D-EB45-4402-A4E0-D8A2AC6B058D}"/>
    <cellStyle name="Comma 3 5 3 3 4 3" xfId="18874" xr:uid="{8B670DF8-1317-4565-BD9A-4D19E07D99A9}"/>
    <cellStyle name="Comma 3 5 3 3 4 3 2" xfId="49114" xr:uid="{0A633C79-448B-4F54-9C3A-9885C0DE312C}"/>
    <cellStyle name="Comma 3 5 3 3 4 4" xfId="33994" xr:uid="{A713B652-8F22-4681-8A53-2F56C14B626A}"/>
    <cellStyle name="Comma 3 5 3 3 5" xfId="5266" xr:uid="{996016A1-6A18-499E-BB8A-C98875A7DCB1}"/>
    <cellStyle name="Comma 3 5 3 3 5 2" xfId="14338" xr:uid="{3B1B80DD-EE16-4DA7-96CA-357AF3D086AD}"/>
    <cellStyle name="Comma 3 5 3 3 5 2 2" xfId="29458" xr:uid="{1FBEBB0B-7941-4DBB-938A-B685D88C5D9C}"/>
    <cellStyle name="Comma 3 5 3 3 5 2 2 2" xfId="59698" xr:uid="{1DF47172-817C-4262-B6C7-3240496E06C0}"/>
    <cellStyle name="Comma 3 5 3 3 5 2 3" xfId="44578" xr:uid="{31556143-9D3A-49FE-AA3A-2B097345A39C}"/>
    <cellStyle name="Comma 3 5 3 3 5 3" xfId="20386" xr:uid="{8CAC83D5-3409-4897-910D-25B1E03ECBB2}"/>
    <cellStyle name="Comma 3 5 3 3 5 3 2" xfId="50626" xr:uid="{0BA982DA-9E11-4A9F-9CA5-24B1D789079F}"/>
    <cellStyle name="Comma 3 5 3 3 5 4" xfId="35506" xr:uid="{CA8BD264-7AB9-41C8-BF22-E6DC22068094}"/>
    <cellStyle name="Comma 3 5 3 3 6" xfId="6778" xr:uid="{1A62FD6A-CB2A-46E2-9DAB-760D8333F655}"/>
    <cellStyle name="Comma 3 5 3 3 6 2" xfId="21898" xr:uid="{3546467E-601A-4579-81D9-502F65F81E18}"/>
    <cellStyle name="Comma 3 5 3 3 6 2 2" xfId="52138" xr:uid="{187653C0-CB9C-4BD2-802E-0E365EBDAEB8}"/>
    <cellStyle name="Comma 3 5 3 3 6 3" xfId="37018" xr:uid="{CC341719-490D-4DF0-A6E1-B09C95A8D946}"/>
    <cellStyle name="Comma 3 5 3 3 7" xfId="8290" xr:uid="{CE9AA8EA-10F8-44F0-BC12-6DEC7CE7DE7A}"/>
    <cellStyle name="Comma 3 5 3 3 7 2" xfId="23410" xr:uid="{63AE87FD-BC62-4A58-AC77-18AB1CE05E5C}"/>
    <cellStyle name="Comma 3 5 3 3 7 2 2" xfId="53650" xr:uid="{7789A72D-67F1-4748-AD3B-633D8DE8F495}"/>
    <cellStyle name="Comma 3 5 3 3 7 3" xfId="38530" xr:uid="{79129395-EF79-481C-AAA0-11725CF22D9E}"/>
    <cellStyle name="Comma 3 5 3 3 8" xfId="9802" xr:uid="{9524C65C-8462-4CC7-9317-72DEEBDEDFA8}"/>
    <cellStyle name="Comma 3 5 3 3 8 2" xfId="24922" xr:uid="{A663C332-D023-4829-B540-0330EAEB245B}"/>
    <cellStyle name="Comma 3 5 3 3 8 2 2" xfId="55162" xr:uid="{4FAE5781-2E1C-498A-B565-911F7B0AF650}"/>
    <cellStyle name="Comma 3 5 3 3 8 3" xfId="40042" xr:uid="{3E3FF176-746F-40BB-880F-4CCF8D3087A6}"/>
    <cellStyle name="Comma 3 5 3 3 9" xfId="15850" xr:uid="{14A75BD6-9000-472A-9E29-FCBFECFD91C1}"/>
    <cellStyle name="Comma 3 5 3 3 9 2" xfId="46090" xr:uid="{C77C5F7C-86E5-4876-82F6-8CEF1CC20BC7}"/>
    <cellStyle name="Comma 3 5 3 4" xfId="982" xr:uid="{A324F672-A22B-4004-8416-86C9866D26E5}"/>
    <cellStyle name="Comma 3 5 3 4 2" xfId="2494" xr:uid="{4894E239-CA2B-4E56-8B54-E15E438D57CD}"/>
    <cellStyle name="Comma 3 5 3 4 2 2" xfId="11566" xr:uid="{A708F3F8-1A94-4F41-BF14-179E1B555C16}"/>
    <cellStyle name="Comma 3 5 3 4 2 2 2" xfId="26686" xr:uid="{7453E7AA-6E64-40D8-A974-7B24AE999103}"/>
    <cellStyle name="Comma 3 5 3 4 2 2 2 2" xfId="56926" xr:uid="{164AE79C-3BF2-4AB2-A874-66874617154E}"/>
    <cellStyle name="Comma 3 5 3 4 2 2 3" xfId="41806" xr:uid="{2FFB6795-F8E0-4B4B-8949-0B5D80BB1F82}"/>
    <cellStyle name="Comma 3 5 3 4 2 3" xfId="17614" xr:uid="{2EA52C14-D60E-40A6-AC7D-03299C8A8DC9}"/>
    <cellStyle name="Comma 3 5 3 4 2 3 2" xfId="47854" xr:uid="{74E273CB-01F2-4707-A97E-E0E435DD57F4}"/>
    <cellStyle name="Comma 3 5 3 4 2 4" xfId="32734" xr:uid="{596D4CE4-4BF4-456F-BF6C-17F63AE0B1D0}"/>
    <cellStyle name="Comma 3 5 3 4 3" xfId="4006" xr:uid="{4B845483-08E8-497D-9E74-18FE500A5FA1}"/>
    <cellStyle name="Comma 3 5 3 4 3 2" xfId="13078" xr:uid="{F223C273-58F0-4671-9681-328AA576931E}"/>
    <cellStyle name="Comma 3 5 3 4 3 2 2" xfId="28198" xr:uid="{98610B3D-2D9A-4906-9E9C-2EFCDE6429BD}"/>
    <cellStyle name="Comma 3 5 3 4 3 2 2 2" xfId="58438" xr:uid="{8BFFB3FC-5ADC-47A7-9972-7FEAA6553BD9}"/>
    <cellStyle name="Comma 3 5 3 4 3 2 3" xfId="43318" xr:uid="{474B8801-591B-4EC5-BB79-C25CA700AC4C}"/>
    <cellStyle name="Comma 3 5 3 4 3 3" xfId="19126" xr:uid="{5FE3DB1C-12A1-4D70-8395-D2C6772D2FB9}"/>
    <cellStyle name="Comma 3 5 3 4 3 3 2" xfId="49366" xr:uid="{B7BCF2E2-D341-49E1-BE2F-031E959FDF7A}"/>
    <cellStyle name="Comma 3 5 3 4 3 4" xfId="34246" xr:uid="{A30ACE48-6F73-4381-BF66-47D7FFC5EEB9}"/>
    <cellStyle name="Comma 3 5 3 4 4" xfId="5518" xr:uid="{97D92339-2883-47B7-A026-B05037B3EB8C}"/>
    <cellStyle name="Comma 3 5 3 4 4 2" xfId="14590" xr:uid="{E489B0B0-13D8-49CF-8D45-D8B946D44DF9}"/>
    <cellStyle name="Comma 3 5 3 4 4 2 2" xfId="29710" xr:uid="{B4C31206-AB3F-4889-8CE1-B43A6FD84CCE}"/>
    <cellStyle name="Comma 3 5 3 4 4 2 2 2" xfId="59950" xr:uid="{0B8A1B8B-0642-4AEA-B7B2-347B80781F51}"/>
    <cellStyle name="Comma 3 5 3 4 4 2 3" xfId="44830" xr:uid="{B93C8E55-D32E-4155-9A02-B98A6E6BE3D8}"/>
    <cellStyle name="Comma 3 5 3 4 4 3" xfId="20638" xr:uid="{EA773197-A760-4D5B-99E0-10B47E04F54F}"/>
    <cellStyle name="Comma 3 5 3 4 4 3 2" xfId="50878" xr:uid="{302F98C6-7509-4AF4-B158-A1979B036615}"/>
    <cellStyle name="Comma 3 5 3 4 4 4" xfId="35758" xr:uid="{AD89EE3F-AE22-4F40-924A-74A18755ED64}"/>
    <cellStyle name="Comma 3 5 3 4 5" xfId="7030" xr:uid="{D65478FA-CE08-4667-88F7-131CA82D9F72}"/>
    <cellStyle name="Comma 3 5 3 4 5 2" xfId="22150" xr:uid="{157AFC86-8045-4DEA-86D7-6CB4936DDDD2}"/>
    <cellStyle name="Comma 3 5 3 4 5 2 2" xfId="52390" xr:uid="{6F9E8DF6-0F91-409D-8F9B-96E8A03BC826}"/>
    <cellStyle name="Comma 3 5 3 4 5 3" xfId="37270" xr:uid="{B13F9B32-B0A9-4F5B-ABB7-E4E170DB8A65}"/>
    <cellStyle name="Comma 3 5 3 4 6" xfId="8542" xr:uid="{55E1E4D9-F22E-4083-96C7-47D83813C550}"/>
    <cellStyle name="Comma 3 5 3 4 6 2" xfId="23662" xr:uid="{EAE53E34-FE9C-47BE-9A0C-D2AB38170308}"/>
    <cellStyle name="Comma 3 5 3 4 6 2 2" xfId="53902" xr:uid="{736B0F5C-210A-40C0-9016-ECC07F354D3A}"/>
    <cellStyle name="Comma 3 5 3 4 6 3" xfId="38782" xr:uid="{0547320F-2139-49BE-ADC9-2DB54FEC24AD}"/>
    <cellStyle name="Comma 3 5 3 4 7" xfId="10054" xr:uid="{1BBB4C59-9D6A-4A72-BC73-0038F820509B}"/>
    <cellStyle name="Comma 3 5 3 4 7 2" xfId="25174" xr:uid="{BAE31F91-72DD-461C-8021-786FF17527ED}"/>
    <cellStyle name="Comma 3 5 3 4 7 2 2" xfId="55414" xr:uid="{3B9176DC-FB05-4C77-98DE-EAAE0ADCC3D4}"/>
    <cellStyle name="Comma 3 5 3 4 7 3" xfId="40294" xr:uid="{43015AA8-D405-4934-B8B7-1142D8496356}"/>
    <cellStyle name="Comma 3 5 3 4 8" xfId="16102" xr:uid="{766231C1-E27C-4A85-8EC4-A5A0CD0CD531}"/>
    <cellStyle name="Comma 3 5 3 4 8 2" xfId="46342" xr:uid="{4BAA1C37-7A90-4CF8-899A-9E806ABBAEDE}"/>
    <cellStyle name="Comma 3 5 3 4 9" xfId="31222" xr:uid="{9CDB57F4-D38E-40E9-A5D7-427C4B452D08}"/>
    <cellStyle name="Comma 3 5 3 5" xfId="1738" xr:uid="{4573E2EB-55EF-4A04-94D0-1DFB0AC0B05F}"/>
    <cellStyle name="Comma 3 5 3 5 2" xfId="10810" xr:uid="{B2836CB3-D077-4AFF-8D3F-22AFEBB478C8}"/>
    <cellStyle name="Comma 3 5 3 5 2 2" xfId="25930" xr:uid="{CBD16509-5877-4FE0-812F-D8B691388E51}"/>
    <cellStyle name="Comma 3 5 3 5 2 2 2" xfId="56170" xr:uid="{78555F39-E706-46AC-A67A-7B9D0D267571}"/>
    <cellStyle name="Comma 3 5 3 5 2 3" xfId="41050" xr:uid="{4B665801-72F0-4A76-B823-668E8C12AC4A}"/>
    <cellStyle name="Comma 3 5 3 5 3" xfId="16858" xr:uid="{5F6102AC-2CA7-4F02-9DAC-28901F6365E9}"/>
    <cellStyle name="Comma 3 5 3 5 3 2" xfId="47098" xr:uid="{3B98D90F-7DCE-43CD-88ED-CDF4DFC25FC5}"/>
    <cellStyle name="Comma 3 5 3 5 4" xfId="31978" xr:uid="{4A82F334-9D25-44D4-AB9A-27FAF9C6F87A}"/>
    <cellStyle name="Comma 3 5 3 6" xfId="3250" xr:uid="{AE2E2AE3-8D7C-4AF4-9DB3-5CE85E235265}"/>
    <cellStyle name="Comma 3 5 3 6 2" xfId="12322" xr:uid="{CFA8BBB0-0687-4FA2-8703-92778259D1C6}"/>
    <cellStyle name="Comma 3 5 3 6 2 2" xfId="27442" xr:uid="{BE101095-319A-40E5-9ED9-273F74AC1ADE}"/>
    <cellStyle name="Comma 3 5 3 6 2 2 2" xfId="57682" xr:uid="{2919100C-B229-4B55-8C5D-ED7ECFFABC47}"/>
    <cellStyle name="Comma 3 5 3 6 2 3" xfId="42562" xr:uid="{596ED5ED-4755-40C2-9059-739A21D3F01D}"/>
    <cellStyle name="Comma 3 5 3 6 3" xfId="18370" xr:uid="{EEF416AE-2317-4C17-B1E6-96B403AD08EA}"/>
    <cellStyle name="Comma 3 5 3 6 3 2" xfId="48610" xr:uid="{101ED5CC-E7FE-4E14-8AB1-BBBEA702D922}"/>
    <cellStyle name="Comma 3 5 3 6 4" xfId="33490" xr:uid="{C39BA860-3C3E-4775-992F-6FE2306CAB7B}"/>
    <cellStyle name="Comma 3 5 3 7" xfId="4762" xr:uid="{6D384516-BA09-482F-99BE-7F12355B03B4}"/>
    <cellStyle name="Comma 3 5 3 7 2" xfId="13834" xr:uid="{9AA5475E-2075-47ED-9127-EACDD467F39B}"/>
    <cellStyle name="Comma 3 5 3 7 2 2" xfId="28954" xr:uid="{59E16641-700D-4649-BEC8-CC479E48C8FD}"/>
    <cellStyle name="Comma 3 5 3 7 2 2 2" xfId="59194" xr:uid="{11A33E0C-4F7B-4A47-AB9B-8137966AA91E}"/>
    <cellStyle name="Comma 3 5 3 7 2 3" xfId="44074" xr:uid="{11D697B9-7B0F-4F74-8CD5-054DC0915F82}"/>
    <cellStyle name="Comma 3 5 3 7 3" xfId="19882" xr:uid="{5869ED05-A356-4E7A-B99E-9DBF16ECCE2B}"/>
    <cellStyle name="Comma 3 5 3 7 3 2" xfId="50122" xr:uid="{275F99F2-D20F-4176-92B4-06462BCEAE25}"/>
    <cellStyle name="Comma 3 5 3 7 4" xfId="35002" xr:uid="{EEE2CE35-0D87-4062-8B64-146CDF0E41E7}"/>
    <cellStyle name="Comma 3 5 3 8" xfId="6274" xr:uid="{415315E5-0AC7-428A-B571-FA72B10A0559}"/>
    <cellStyle name="Comma 3 5 3 8 2" xfId="21394" xr:uid="{6C0F6949-FD92-4E7A-A806-FEE966BD517E}"/>
    <cellStyle name="Comma 3 5 3 8 2 2" xfId="51634" xr:uid="{72482EE6-3657-44B8-A948-C739FD00F4AB}"/>
    <cellStyle name="Comma 3 5 3 8 3" xfId="36514" xr:uid="{F8AAACDD-953B-4763-A772-8B046A02B551}"/>
    <cellStyle name="Comma 3 5 3 9" xfId="7786" xr:uid="{3A70E371-9FA5-4B68-B2BB-3D5F356CE3DF}"/>
    <cellStyle name="Comma 3 5 3 9 2" xfId="22906" xr:uid="{C7A56260-3A40-455E-9149-74596AF5D0C6}"/>
    <cellStyle name="Comma 3 5 3 9 2 2" xfId="53146" xr:uid="{5E4D84F4-A478-47EA-AC4A-BFABF674E801}"/>
    <cellStyle name="Comma 3 5 3 9 3" xfId="38026" xr:uid="{4ED112B5-5980-48DA-866C-560C2BDD3E25}"/>
    <cellStyle name="Comma 3 5 4" xfId="310" xr:uid="{E6BC3AC7-AA09-44CF-A5A9-3AA2A6A36A47}"/>
    <cellStyle name="Comma 3 5 4 10" xfId="30550" xr:uid="{31394CE6-2E40-4A8C-8EB6-1A07296AA8F8}"/>
    <cellStyle name="Comma 3 5 4 2" xfId="1066" xr:uid="{BD1D77FA-0D7B-4AE1-AAE7-5DD956B66149}"/>
    <cellStyle name="Comma 3 5 4 2 2" xfId="2578" xr:uid="{70B642ED-F315-493D-B083-B65D7C3218DB}"/>
    <cellStyle name="Comma 3 5 4 2 2 2" xfId="11650" xr:uid="{7AE9F55D-65EF-4345-AA40-741A309A5454}"/>
    <cellStyle name="Comma 3 5 4 2 2 2 2" xfId="26770" xr:uid="{E144DDC9-9FFF-49EA-A8AB-B3A2F4DB86EE}"/>
    <cellStyle name="Comma 3 5 4 2 2 2 2 2" xfId="57010" xr:uid="{2ACD0AE2-02DB-470A-81FD-282C09C3FD08}"/>
    <cellStyle name="Comma 3 5 4 2 2 2 3" xfId="41890" xr:uid="{024119CF-513D-4E4B-B229-B3B04DD25621}"/>
    <cellStyle name="Comma 3 5 4 2 2 3" xfId="17698" xr:uid="{9C903575-B678-4619-B298-F68F8152F437}"/>
    <cellStyle name="Comma 3 5 4 2 2 3 2" xfId="47938" xr:uid="{2F6A7C09-1CE8-464E-B30E-530ADA2C20E1}"/>
    <cellStyle name="Comma 3 5 4 2 2 4" xfId="32818" xr:uid="{069CAC3E-42C5-4865-9393-72433B27A36F}"/>
    <cellStyle name="Comma 3 5 4 2 3" xfId="4090" xr:uid="{CF9773E3-7855-4C5E-BCEC-BFE9261F31D3}"/>
    <cellStyle name="Comma 3 5 4 2 3 2" xfId="13162" xr:uid="{A9347A4E-3912-42B4-BA55-4B10E39E3D67}"/>
    <cellStyle name="Comma 3 5 4 2 3 2 2" xfId="28282" xr:uid="{51F86E11-69C7-400C-B54F-A1ADAE6C5038}"/>
    <cellStyle name="Comma 3 5 4 2 3 2 2 2" xfId="58522" xr:uid="{02FB2AE6-DC38-4743-A057-2F17A2168622}"/>
    <cellStyle name="Comma 3 5 4 2 3 2 3" xfId="43402" xr:uid="{FBAE152A-24DC-4ECF-8A50-FFACCFB2BE2C}"/>
    <cellStyle name="Comma 3 5 4 2 3 3" xfId="19210" xr:uid="{E356330F-81F6-4294-88EF-CED668D50C47}"/>
    <cellStyle name="Comma 3 5 4 2 3 3 2" xfId="49450" xr:uid="{9DA773F4-5C26-459F-BDAE-DDE1C3A19DAF}"/>
    <cellStyle name="Comma 3 5 4 2 3 4" xfId="34330" xr:uid="{37938C19-923E-424F-A5D3-31B9943F3310}"/>
    <cellStyle name="Comma 3 5 4 2 4" xfId="5602" xr:uid="{50F65F9F-6318-4E96-81B7-F4ABC4280511}"/>
    <cellStyle name="Comma 3 5 4 2 4 2" xfId="14674" xr:uid="{9C16200C-8261-45A9-9FB9-1DA73D1684A4}"/>
    <cellStyle name="Comma 3 5 4 2 4 2 2" xfId="29794" xr:uid="{AF627694-2142-430C-93F8-D608DA60DC03}"/>
    <cellStyle name="Comma 3 5 4 2 4 2 2 2" xfId="60034" xr:uid="{1166E811-08F6-4070-9D6A-21082F45EF9C}"/>
    <cellStyle name="Comma 3 5 4 2 4 2 3" xfId="44914" xr:uid="{609D55E5-B864-45F4-9D03-06DD88975FBC}"/>
    <cellStyle name="Comma 3 5 4 2 4 3" xfId="20722" xr:uid="{A9204AD9-5737-49C6-840A-89699F773F5E}"/>
    <cellStyle name="Comma 3 5 4 2 4 3 2" xfId="50962" xr:uid="{7DBAA9EC-78B3-4594-89C4-4AF02E4CC720}"/>
    <cellStyle name="Comma 3 5 4 2 4 4" xfId="35842" xr:uid="{6360460F-E451-4A21-B408-D5E95B6EFD2E}"/>
    <cellStyle name="Comma 3 5 4 2 5" xfId="7114" xr:uid="{1C9C1E27-958E-4688-80E6-B94EE7DCAA3A}"/>
    <cellStyle name="Comma 3 5 4 2 5 2" xfId="22234" xr:uid="{D1E251BB-4DC0-424B-97D2-48E86FE38F1E}"/>
    <cellStyle name="Comma 3 5 4 2 5 2 2" xfId="52474" xr:uid="{814EBB92-A472-4925-9AD7-3CCE0764F3F8}"/>
    <cellStyle name="Comma 3 5 4 2 5 3" xfId="37354" xr:uid="{CAD3535A-085B-45F2-AE23-49FF75117DCA}"/>
    <cellStyle name="Comma 3 5 4 2 6" xfId="8626" xr:uid="{0B7FA127-C471-4975-B07B-7025A93DB719}"/>
    <cellStyle name="Comma 3 5 4 2 6 2" xfId="23746" xr:uid="{4A8D247B-8951-4755-9EB5-AEADEBF0CC2F}"/>
    <cellStyle name="Comma 3 5 4 2 6 2 2" xfId="53986" xr:uid="{AC619FB0-B139-4EF5-AEFC-1085A71BA3F6}"/>
    <cellStyle name="Comma 3 5 4 2 6 3" xfId="38866" xr:uid="{408D7E2E-A703-4109-A484-8AB80DD2BC7B}"/>
    <cellStyle name="Comma 3 5 4 2 7" xfId="10138" xr:uid="{32CB1537-8F69-49EF-8E6C-893363FFCF0F}"/>
    <cellStyle name="Comma 3 5 4 2 7 2" xfId="25258" xr:uid="{0B1655FF-0D0D-4637-BF07-11434DB915F5}"/>
    <cellStyle name="Comma 3 5 4 2 7 2 2" xfId="55498" xr:uid="{9590DDAE-D169-4623-8C3D-7EF3231515B1}"/>
    <cellStyle name="Comma 3 5 4 2 7 3" xfId="40378" xr:uid="{B74CCFB1-5FC8-4BF9-B33B-85AEE8E2B705}"/>
    <cellStyle name="Comma 3 5 4 2 8" xfId="16186" xr:uid="{B2DA8E9E-56FB-41F4-AFF8-B943A3A9AECA}"/>
    <cellStyle name="Comma 3 5 4 2 8 2" xfId="46426" xr:uid="{AFE1A974-C48B-46C2-81DF-C8051F88CA21}"/>
    <cellStyle name="Comma 3 5 4 2 9" xfId="31306" xr:uid="{4B1ECFC0-9D69-4C41-8B1D-84BDB687657A}"/>
    <cellStyle name="Comma 3 5 4 3" xfId="1822" xr:uid="{E49C6733-0142-4150-9212-8AE78E095B0A}"/>
    <cellStyle name="Comma 3 5 4 3 2" xfId="10894" xr:uid="{F355FD64-91F1-4502-ADED-5407BBB9E299}"/>
    <cellStyle name="Comma 3 5 4 3 2 2" xfId="26014" xr:uid="{F6C5CB75-B349-42BB-A216-72BAE6CB7DEF}"/>
    <cellStyle name="Comma 3 5 4 3 2 2 2" xfId="56254" xr:uid="{2834CED0-8314-4CB4-A173-2D49AF033C60}"/>
    <cellStyle name="Comma 3 5 4 3 2 3" xfId="41134" xr:uid="{72E93B05-DB13-414F-8925-A125588587D8}"/>
    <cellStyle name="Comma 3 5 4 3 3" xfId="16942" xr:uid="{B142C230-EB32-47DC-A7A7-66964FCDAE21}"/>
    <cellStyle name="Comma 3 5 4 3 3 2" xfId="47182" xr:uid="{3F44A5D6-B5A9-4C47-B988-8D25BBEEAE98}"/>
    <cellStyle name="Comma 3 5 4 3 4" xfId="32062" xr:uid="{F13F90D4-D3FC-4C77-9D52-AF7768CA2C2A}"/>
    <cellStyle name="Comma 3 5 4 4" xfId="3334" xr:uid="{02870F72-7786-4554-A30F-E11258075579}"/>
    <cellStyle name="Comma 3 5 4 4 2" xfId="12406" xr:uid="{C072B56C-A266-4186-BC75-1D0F0430EE9C}"/>
    <cellStyle name="Comma 3 5 4 4 2 2" xfId="27526" xr:uid="{4E874795-B97D-48FD-9D5B-74B20287AE68}"/>
    <cellStyle name="Comma 3 5 4 4 2 2 2" xfId="57766" xr:uid="{365FA2B1-3818-4F3C-BCC3-4366E166C059}"/>
    <cellStyle name="Comma 3 5 4 4 2 3" xfId="42646" xr:uid="{D587222A-C604-4EA1-9DF4-BB39A990BF00}"/>
    <cellStyle name="Comma 3 5 4 4 3" xfId="18454" xr:uid="{02D44CBF-0B1D-4D6B-954F-32194E9DD6DF}"/>
    <cellStyle name="Comma 3 5 4 4 3 2" xfId="48694" xr:uid="{7262645E-3E02-45D4-BA6E-FADC7A443B5D}"/>
    <cellStyle name="Comma 3 5 4 4 4" xfId="33574" xr:uid="{9F5C95F8-F80A-41D1-A2A2-0F8690F4C279}"/>
    <cellStyle name="Comma 3 5 4 5" xfId="4846" xr:uid="{A1803718-5B55-44B1-885D-155FCB7039F2}"/>
    <cellStyle name="Comma 3 5 4 5 2" xfId="13918" xr:uid="{12970E80-1545-4A79-965F-998944CB8210}"/>
    <cellStyle name="Comma 3 5 4 5 2 2" xfId="29038" xr:uid="{D49347D9-683C-4571-A7FC-1369B86AA93F}"/>
    <cellStyle name="Comma 3 5 4 5 2 2 2" xfId="59278" xr:uid="{CC0E6614-3E18-40EE-822B-9030AD7D2925}"/>
    <cellStyle name="Comma 3 5 4 5 2 3" xfId="44158" xr:uid="{74949137-51AB-4C32-8DF3-6A613E699990}"/>
    <cellStyle name="Comma 3 5 4 5 3" xfId="19966" xr:uid="{8DA4DCAA-668D-47EB-84EF-7ED72CBED6C2}"/>
    <cellStyle name="Comma 3 5 4 5 3 2" xfId="50206" xr:uid="{44EE1DA8-36AD-439D-8155-A73AF6E2A799}"/>
    <cellStyle name="Comma 3 5 4 5 4" xfId="35086" xr:uid="{164F46D8-2DC0-4064-A68F-A708A86EFB57}"/>
    <cellStyle name="Comma 3 5 4 6" xfId="6358" xr:uid="{8A23ABEB-CE85-4C91-9A0E-BDCE072E06E7}"/>
    <cellStyle name="Comma 3 5 4 6 2" xfId="21478" xr:uid="{BC262069-A2E6-4597-98D5-FD51289F1DDA}"/>
    <cellStyle name="Comma 3 5 4 6 2 2" xfId="51718" xr:uid="{FBE508C8-BFD6-4217-889F-083517B36F52}"/>
    <cellStyle name="Comma 3 5 4 6 3" xfId="36598" xr:uid="{A1466981-0D05-4141-98D2-FE05269B68A7}"/>
    <cellStyle name="Comma 3 5 4 7" xfId="7870" xr:uid="{AA34668F-64CD-4D1A-9081-206891F6CCAA}"/>
    <cellStyle name="Comma 3 5 4 7 2" xfId="22990" xr:uid="{6E7E4420-AC98-483E-91A9-2E8A1167180A}"/>
    <cellStyle name="Comma 3 5 4 7 2 2" xfId="53230" xr:uid="{20219BBA-AC0E-4594-A440-9DB43CFB1922}"/>
    <cellStyle name="Comma 3 5 4 7 3" xfId="38110" xr:uid="{9F7BE747-4BED-48A0-9FC7-DF7BDF2C6A28}"/>
    <cellStyle name="Comma 3 5 4 8" xfId="9382" xr:uid="{57758F0F-ACAA-4641-BA3D-A5FD9D1558B6}"/>
    <cellStyle name="Comma 3 5 4 8 2" xfId="24502" xr:uid="{800ACF03-6151-4086-82DE-F4E771629556}"/>
    <cellStyle name="Comma 3 5 4 8 2 2" xfId="54742" xr:uid="{358C60DA-B0D4-4396-B744-510480858FBE}"/>
    <cellStyle name="Comma 3 5 4 8 3" xfId="39622" xr:uid="{3D49E77B-885D-41F8-BD67-3879CAE38926}"/>
    <cellStyle name="Comma 3 5 4 9" xfId="15430" xr:uid="{E50AD1F3-B06D-42F5-81C4-14D89C0369D5}"/>
    <cellStyle name="Comma 3 5 4 9 2" xfId="45670" xr:uid="{989D94F7-45E9-45AF-B4F9-122687668587}"/>
    <cellStyle name="Comma 3 5 5" xfId="562" xr:uid="{B2D34A13-5F43-4724-8562-04A4243AA255}"/>
    <cellStyle name="Comma 3 5 5 10" xfId="30802" xr:uid="{48E65899-CDF3-4536-A45C-77565C70417B}"/>
    <cellStyle name="Comma 3 5 5 2" xfId="1318" xr:uid="{8B40F9B1-7A6B-47B1-804B-758D8516D41D}"/>
    <cellStyle name="Comma 3 5 5 2 2" xfId="2830" xr:uid="{65C7C471-6375-4671-87A0-51DA3AB0F80F}"/>
    <cellStyle name="Comma 3 5 5 2 2 2" xfId="11902" xr:uid="{FD03FE4B-C1D5-4860-9303-AB1F6CF053FF}"/>
    <cellStyle name="Comma 3 5 5 2 2 2 2" xfId="27022" xr:uid="{21C4F3D3-D46F-4CBC-B324-2F23EB2520E6}"/>
    <cellStyle name="Comma 3 5 5 2 2 2 2 2" xfId="57262" xr:uid="{3245F327-73C5-4775-91D2-B315CFCFE4CE}"/>
    <cellStyle name="Comma 3 5 5 2 2 2 3" xfId="42142" xr:uid="{6B70A596-EE97-41AC-BA75-2093D6FCB529}"/>
    <cellStyle name="Comma 3 5 5 2 2 3" xfId="17950" xr:uid="{A8AAC534-512C-450E-B486-3DE5F122BB85}"/>
    <cellStyle name="Comma 3 5 5 2 2 3 2" xfId="48190" xr:uid="{DBD3CEA0-4C56-4F39-8E5A-FEE9A196D96D}"/>
    <cellStyle name="Comma 3 5 5 2 2 4" xfId="33070" xr:uid="{4D4EC567-E218-4549-8628-9683901C0DA4}"/>
    <cellStyle name="Comma 3 5 5 2 3" xfId="4342" xr:uid="{BE2FBB50-04A5-4F6E-86EA-DC73E55CB22D}"/>
    <cellStyle name="Comma 3 5 5 2 3 2" xfId="13414" xr:uid="{8B9BD90D-2FC2-4274-8F0A-DDD74F9D840D}"/>
    <cellStyle name="Comma 3 5 5 2 3 2 2" xfId="28534" xr:uid="{2D721232-7EA5-411A-B373-A1EBCC0759EC}"/>
    <cellStyle name="Comma 3 5 5 2 3 2 2 2" xfId="58774" xr:uid="{6B3C9CE2-8DC6-46EB-90FD-8788567DD1DE}"/>
    <cellStyle name="Comma 3 5 5 2 3 2 3" xfId="43654" xr:uid="{A8354F16-ED8B-4217-8DD1-26A32587C2CE}"/>
    <cellStyle name="Comma 3 5 5 2 3 3" xfId="19462" xr:uid="{20FDC6DE-155B-4936-96DB-08EB2EF3C345}"/>
    <cellStyle name="Comma 3 5 5 2 3 3 2" xfId="49702" xr:uid="{8AF860BF-F1EB-4A95-A921-70408C368135}"/>
    <cellStyle name="Comma 3 5 5 2 3 4" xfId="34582" xr:uid="{2C7C70A7-087A-4A58-88D8-753566DAAE71}"/>
    <cellStyle name="Comma 3 5 5 2 4" xfId="5854" xr:uid="{F0C1AF8D-1AB7-4BA6-B389-D1380D4DF617}"/>
    <cellStyle name="Comma 3 5 5 2 4 2" xfId="14926" xr:uid="{D31E174C-1867-4945-ABC1-A16AEB5C00BD}"/>
    <cellStyle name="Comma 3 5 5 2 4 2 2" xfId="30046" xr:uid="{D6B41871-0C98-4A94-8E47-461978326CA5}"/>
    <cellStyle name="Comma 3 5 5 2 4 2 2 2" xfId="60286" xr:uid="{417EBD5F-FD2A-4F69-A979-E7296C72A5E7}"/>
    <cellStyle name="Comma 3 5 5 2 4 2 3" xfId="45166" xr:uid="{D9E9E078-FF9F-4282-B7B5-3381CEC55EA8}"/>
    <cellStyle name="Comma 3 5 5 2 4 3" xfId="20974" xr:uid="{DC2458D0-60BC-4719-8DE7-1C4AE1919BDD}"/>
    <cellStyle name="Comma 3 5 5 2 4 3 2" xfId="51214" xr:uid="{3B766C6E-ADE8-4298-9D59-80BA89FC7D50}"/>
    <cellStyle name="Comma 3 5 5 2 4 4" xfId="36094" xr:uid="{3D9636E4-22D2-4E89-9FCF-0DEE143E2914}"/>
    <cellStyle name="Comma 3 5 5 2 5" xfId="7366" xr:uid="{A701382C-734C-441B-86A8-003379D5FC4F}"/>
    <cellStyle name="Comma 3 5 5 2 5 2" xfId="22486" xr:uid="{3D472CDB-A05F-4C18-B776-C9FF9CDE2195}"/>
    <cellStyle name="Comma 3 5 5 2 5 2 2" xfId="52726" xr:uid="{2CAC9236-A42D-4943-9162-9496358515FE}"/>
    <cellStyle name="Comma 3 5 5 2 5 3" xfId="37606" xr:uid="{6FDBEB75-B9BE-42CD-B6AD-351A9DB2D1CA}"/>
    <cellStyle name="Comma 3 5 5 2 6" xfId="8878" xr:uid="{C06D0B54-4717-4452-8B65-5840C7C8143A}"/>
    <cellStyle name="Comma 3 5 5 2 6 2" xfId="23998" xr:uid="{C5BEC35C-13E1-456E-9C97-3C2C60AA2F99}"/>
    <cellStyle name="Comma 3 5 5 2 6 2 2" xfId="54238" xr:uid="{36FC6BED-ED83-417C-A08F-469614F48AB2}"/>
    <cellStyle name="Comma 3 5 5 2 6 3" xfId="39118" xr:uid="{7A6C37C2-D15E-4AD2-8625-2455989D8559}"/>
    <cellStyle name="Comma 3 5 5 2 7" xfId="10390" xr:uid="{8BE245AD-5C77-45B0-8FEA-565F9F977887}"/>
    <cellStyle name="Comma 3 5 5 2 7 2" xfId="25510" xr:uid="{D27E6F26-E8A3-40F1-AF24-B7D9F1F3AE80}"/>
    <cellStyle name="Comma 3 5 5 2 7 2 2" xfId="55750" xr:uid="{1847BCDC-8367-40D5-AD1D-7C35CF24FC4A}"/>
    <cellStyle name="Comma 3 5 5 2 7 3" xfId="40630" xr:uid="{A3C06608-2D59-4194-8151-5972F686BD28}"/>
    <cellStyle name="Comma 3 5 5 2 8" xfId="16438" xr:uid="{B8FC77FC-9315-48C8-91DB-1AAB2C607FE0}"/>
    <cellStyle name="Comma 3 5 5 2 8 2" xfId="46678" xr:uid="{9844D7F9-2D70-4C5D-B4D4-DF76F1212A0D}"/>
    <cellStyle name="Comma 3 5 5 2 9" xfId="31558" xr:uid="{379F5BE7-B3BF-4226-B28C-556AB42DF83C}"/>
    <cellStyle name="Comma 3 5 5 3" xfId="2074" xr:uid="{CD17FA97-46BD-453D-81DF-34AD84A71C0F}"/>
    <cellStyle name="Comma 3 5 5 3 2" xfId="11146" xr:uid="{6B071777-4E8D-439E-845E-9C52AED6B2F6}"/>
    <cellStyle name="Comma 3 5 5 3 2 2" xfId="26266" xr:uid="{734EFC3E-07BC-4A8B-88F5-8FBC15BA4E0D}"/>
    <cellStyle name="Comma 3 5 5 3 2 2 2" xfId="56506" xr:uid="{C919F631-BB44-4F8C-BEA6-16F4762AA87B}"/>
    <cellStyle name="Comma 3 5 5 3 2 3" xfId="41386" xr:uid="{AA5D2AE4-F9BC-4631-A664-A64ECC4081C1}"/>
    <cellStyle name="Comma 3 5 5 3 3" xfId="17194" xr:uid="{EBB9651E-D38F-4382-AEDD-61480C2FABDF}"/>
    <cellStyle name="Comma 3 5 5 3 3 2" xfId="47434" xr:uid="{44A301C2-D697-4552-9DF8-32C774FECDE9}"/>
    <cellStyle name="Comma 3 5 5 3 4" xfId="32314" xr:uid="{1B1E2DF2-61BD-4B80-ADA7-7676554F4C9C}"/>
    <cellStyle name="Comma 3 5 5 4" xfId="3586" xr:uid="{DE0B2112-2FF2-46D5-B90E-EDEDA02092BD}"/>
    <cellStyle name="Comma 3 5 5 4 2" xfId="12658" xr:uid="{BA3CBDBC-A76A-4289-ACFB-0EFF5CC466F6}"/>
    <cellStyle name="Comma 3 5 5 4 2 2" xfId="27778" xr:uid="{32A068EF-7C4F-4D16-B831-72691CB7BD21}"/>
    <cellStyle name="Comma 3 5 5 4 2 2 2" xfId="58018" xr:uid="{EBF783AC-AA94-4874-8D65-AFE3471C6E53}"/>
    <cellStyle name="Comma 3 5 5 4 2 3" xfId="42898" xr:uid="{0ED834CB-5C4A-430D-AB7A-88507DB7D51D}"/>
    <cellStyle name="Comma 3 5 5 4 3" xfId="18706" xr:uid="{EBD30EF7-1C46-4DA4-BB0A-66FD886F472D}"/>
    <cellStyle name="Comma 3 5 5 4 3 2" xfId="48946" xr:uid="{3081A379-B575-4D55-A846-CB0993903DB5}"/>
    <cellStyle name="Comma 3 5 5 4 4" xfId="33826" xr:uid="{E5E2CF14-70BB-4942-BFDD-10E486BA7A38}"/>
    <cellStyle name="Comma 3 5 5 5" xfId="5098" xr:uid="{92DCE4D6-643C-481F-9321-0FECF96CBC02}"/>
    <cellStyle name="Comma 3 5 5 5 2" xfId="14170" xr:uid="{1869FA6F-CF3C-4E97-A4FC-EE3B1B2890F5}"/>
    <cellStyle name="Comma 3 5 5 5 2 2" xfId="29290" xr:uid="{A78C86EE-CF5E-4ED2-9711-D5CD0ECA394B}"/>
    <cellStyle name="Comma 3 5 5 5 2 2 2" xfId="59530" xr:uid="{BBB8D8DE-7D89-4458-AD47-D2A847F65DF6}"/>
    <cellStyle name="Comma 3 5 5 5 2 3" xfId="44410" xr:uid="{173F802F-0CDA-46DC-BFA1-72BF55DC2646}"/>
    <cellStyle name="Comma 3 5 5 5 3" xfId="20218" xr:uid="{E99EDC5C-B463-4935-BF88-759A8BE321ED}"/>
    <cellStyle name="Comma 3 5 5 5 3 2" xfId="50458" xr:uid="{4907E163-0F91-4A89-9AB8-51BFE97E5E54}"/>
    <cellStyle name="Comma 3 5 5 5 4" xfId="35338" xr:uid="{232370FE-C931-4B2D-8D0F-2CE3BE6F0DA8}"/>
    <cellStyle name="Comma 3 5 5 6" xfId="6610" xr:uid="{AF55AFED-147F-49D0-911B-2D7724A05E8D}"/>
    <cellStyle name="Comma 3 5 5 6 2" xfId="21730" xr:uid="{0A5E48A6-9986-4A1B-80CE-1A336BA42836}"/>
    <cellStyle name="Comma 3 5 5 6 2 2" xfId="51970" xr:uid="{AFA5D8A5-0679-450C-8797-17E9C6D0E9F4}"/>
    <cellStyle name="Comma 3 5 5 6 3" xfId="36850" xr:uid="{ADA6FD1B-06BF-4DAB-880E-53A239E8C37E}"/>
    <cellStyle name="Comma 3 5 5 7" xfId="8122" xr:uid="{ABB7BF3B-EA47-47EA-8723-64F1480ADE32}"/>
    <cellStyle name="Comma 3 5 5 7 2" xfId="23242" xr:uid="{4B277D59-5831-468F-9FAC-899F6C0AE290}"/>
    <cellStyle name="Comma 3 5 5 7 2 2" xfId="53482" xr:uid="{CA577CC3-5636-4A22-8C2E-DFF371A91F4C}"/>
    <cellStyle name="Comma 3 5 5 7 3" xfId="38362" xr:uid="{0915C9FC-D0B5-400C-8AC2-818C22200DD8}"/>
    <cellStyle name="Comma 3 5 5 8" xfId="9634" xr:uid="{9E88DEC9-A0F3-49D1-A64A-249AB2922E4F}"/>
    <cellStyle name="Comma 3 5 5 8 2" xfId="24754" xr:uid="{AD420DD6-EF08-41D0-B3F2-9E860188C36F}"/>
    <cellStyle name="Comma 3 5 5 8 2 2" xfId="54994" xr:uid="{149CD301-6863-440D-A887-CCA1382B1147}"/>
    <cellStyle name="Comma 3 5 5 8 3" xfId="39874" xr:uid="{CC90E1CA-1452-4363-903E-138E6AFF54B2}"/>
    <cellStyle name="Comma 3 5 5 9" xfId="15682" xr:uid="{6530D20B-0EBC-4F94-830B-EEF0C63ADA03}"/>
    <cellStyle name="Comma 3 5 5 9 2" xfId="45922" xr:uid="{09C11D22-E3A5-497B-A551-319A77462694}"/>
    <cellStyle name="Comma 3 5 6" xfId="814" xr:uid="{B4CC1D82-7EBB-4851-98A7-6F1DB6C63C32}"/>
    <cellStyle name="Comma 3 5 6 2" xfId="2326" xr:uid="{1FAD378B-755B-43A1-BFBF-773DA099F73A}"/>
    <cellStyle name="Comma 3 5 6 2 2" xfId="11398" xr:uid="{278B701C-9114-45D6-8797-553DAD17A99B}"/>
    <cellStyle name="Comma 3 5 6 2 2 2" xfId="26518" xr:uid="{F085E33F-427B-4ABD-ACCC-490F467BCCBD}"/>
    <cellStyle name="Comma 3 5 6 2 2 2 2" xfId="56758" xr:uid="{A530CEE7-8769-4B88-81F9-5E4DDFB308FB}"/>
    <cellStyle name="Comma 3 5 6 2 2 3" xfId="41638" xr:uid="{57DB1F09-BA58-45D9-9A6B-830FDD128284}"/>
    <cellStyle name="Comma 3 5 6 2 3" xfId="17446" xr:uid="{1F41FD7B-E0EF-4780-B8AB-761D6F44B717}"/>
    <cellStyle name="Comma 3 5 6 2 3 2" xfId="47686" xr:uid="{50D77BEB-9BB8-438C-806F-3DD3ED79A05F}"/>
    <cellStyle name="Comma 3 5 6 2 4" xfId="32566" xr:uid="{1D4BA5EC-DDDA-4303-8369-65F512BCEBF0}"/>
    <cellStyle name="Comma 3 5 6 3" xfId="3838" xr:uid="{F3A207F5-6185-4B42-B2E6-8223E74A056B}"/>
    <cellStyle name="Comma 3 5 6 3 2" xfId="12910" xr:uid="{D668ACA9-F5B6-45CB-8841-2929E51B4DC2}"/>
    <cellStyle name="Comma 3 5 6 3 2 2" xfId="28030" xr:uid="{99B2D73C-DC5D-4364-83AF-A37D0C765A08}"/>
    <cellStyle name="Comma 3 5 6 3 2 2 2" xfId="58270" xr:uid="{6DB6EE36-D45B-4B09-8892-6E53E261D6F3}"/>
    <cellStyle name="Comma 3 5 6 3 2 3" xfId="43150" xr:uid="{B7575B8E-3D80-423E-850E-0D25F9D18433}"/>
    <cellStyle name="Comma 3 5 6 3 3" xfId="18958" xr:uid="{76CBBFFB-2583-4E8E-B5A1-AC0A50F15F77}"/>
    <cellStyle name="Comma 3 5 6 3 3 2" xfId="49198" xr:uid="{123F4254-04CA-4E47-B21D-F39A5C523146}"/>
    <cellStyle name="Comma 3 5 6 3 4" xfId="34078" xr:uid="{DF9F5190-9140-4B5C-A39C-BAA3928BA77F}"/>
    <cellStyle name="Comma 3 5 6 4" xfId="5350" xr:uid="{26B5FF59-29D1-4077-8D44-B59496C83203}"/>
    <cellStyle name="Comma 3 5 6 4 2" xfId="14422" xr:uid="{B1288AE0-278C-46E5-BEF9-BB2E17E016D0}"/>
    <cellStyle name="Comma 3 5 6 4 2 2" xfId="29542" xr:uid="{AEA2470A-6351-457F-9CCB-28EA2E6E542E}"/>
    <cellStyle name="Comma 3 5 6 4 2 2 2" xfId="59782" xr:uid="{CA844FBE-E3CC-4E87-94D0-63035C31C65A}"/>
    <cellStyle name="Comma 3 5 6 4 2 3" xfId="44662" xr:uid="{2F5CF631-430A-45CE-80B6-695D6AF75845}"/>
    <cellStyle name="Comma 3 5 6 4 3" xfId="20470" xr:uid="{71AB0DA6-12A7-484F-A8A2-1437F8310F4C}"/>
    <cellStyle name="Comma 3 5 6 4 3 2" xfId="50710" xr:uid="{D0F39EF2-0A53-44E2-8CD0-57A16BF11F40}"/>
    <cellStyle name="Comma 3 5 6 4 4" xfId="35590" xr:uid="{2CDA16CB-7377-4CAC-86A4-DF82EFB4B502}"/>
    <cellStyle name="Comma 3 5 6 5" xfId="6862" xr:uid="{93B4F881-BA93-4D31-932C-9E981A0919DA}"/>
    <cellStyle name="Comma 3 5 6 5 2" xfId="21982" xr:uid="{8B193AB7-597A-4034-B387-A52F95511CFF}"/>
    <cellStyle name="Comma 3 5 6 5 2 2" xfId="52222" xr:uid="{1A765D87-2185-48A9-B33E-670A702279AA}"/>
    <cellStyle name="Comma 3 5 6 5 3" xfId="37102" xr:uid="{E0BA3F23-96DA-41D6-A55D-897F7C15333F}"/>
    <cellStyle name="Comma 3 5 6 6" xfId="8374" xr:uid="{7DC3F531-7721-4FC5-A588-D1DC89FADC0E}"/>
    <cellStyle name="Comma 3 5 6 6 2" xfId="23494" xr:uid="{27FC7D8A-4F47-4548-A33E-1D2D271FDA2E}"/>
    <cellStyle name="Comma 3 5 6 6 2 2" xfId="53734" xr:uid="{E200B7D7-17C1-4E72-81D8-D7769CF2748D}"/>
    <cellStyle name="Comma 3 5 6 6 3" xfId="38614" xr:uid="{719BDDFA-3F79-4A13-BDF5-20D6C7EF6C35}"/>
    <cellStyle name="Comma 3 5 6 7" xfId="9886" xr:uid="{83ED5628-07D9-4EB1-A02B-62CFD45EA2B0}"/>
    <cellStyle name="Comma 3 5 6 7 2" xfId="25006" xr:uid="{058BEC27-0718-431D-B210-FEE6D49569E1}"/>
    <cellStyle name="Comma 3 5 6 7 2 2" xfId="55246" xr:uid="{5A247854-24A9-455C-8593-FB2F7B20AB4A}"/>
    <cellStyle name="Comma 3 5 6 7 3" xfId="40126" xr:uid="{A145BF74-FD28-44CE-963D-B7913F069D1C}"/>
    <cellStyle name="Comma 3 5 6 8" xfId="15934" xr:uid="{6C58F8E0-FF27-49DB-AA2B-345D729D41D6}"/>
    <cellStyle name="Comma 3 5 6 8 2" xfId="46174" xr:uid="{F69EFC42-02CF-4792-822F-52C509B0C788}"/>
    <cellStyle name="Comma 3 5 6 9" xfId="31054" xr:uid="{09BDD07B-9822-420B-9949-89D3CD5AC8FE}"/>
    <cellStyle name="Comma 3 5 7" xfId="1570" xr:uid="{CC90ADDA-80A8-4943-823D-5B7ABD56B589}"/>
    <cellStyle name="Comma 3 5 7 2" xfId="10642" xr:uid="{02A264A4-752A-4E37-A147-71AEA6781386}"/>
    <cellStyle name="Comma 3 5 7 2 2" xfId="25762" xr:uid="{B483AF51-5A54-4EA0-AB74-5C18D99A5764}"/>
    <cellStyle name="Comma 3 5 7 2 2 2" xfId="56002" xr:uid="{B3D21CAC-0D51-455D-B10E-5B16C017605D}"/>
    <cellStyle name="Comma 3 5 7 2 3" xfId="40882" xr:uid="{9E857FE0-214B-40EF-8FA8-51284253702F}"/>
    <cellStyle name="Comma 3 5 7 3" xfId="16690" xr:uid="{9074D05F-74F5-4291-8840-1D93A0A91AB5}"/>
    <cellStyle name="Comma 3 5 7 3 2" xfId="46930" xr:uid="{4E45373D-6219-4303-BC19-64B3BF8269C2}"/>
    <cellStyle name="Comma 3 5 7 4" xfId="31810" xr:uid="{0E1B968E-22D3-4F1A-A34F-3F5F3E76BC27}"/>
    <cellStyle name="Comma 3 5 8" xfId="3082" xr:uid="{E267C578-BF07-4A02-B7B6-C37B4E94F0A2}"/>
    <cellStyle name="Comma 3 5 8 2" xfId="12154" xr:uid="{063FA656-51E6-46BB-B6FB-037BCA8BF7FD}"/>
    <cellStyle name="Comma 3 5 8 2 2" xfId="27274" xr:uid="{BB71FA4B-AA49-4750-8830-D6DA60BA02A9}"/>
    <cellStyle name="Comma 3 5 8 2 2 2" xfId="57514" xr:uid="{D6B7F6AC-D5D5-4FAE-8391-A83DB57000B9}"/>
    <cellStyle name="Comma 3 5 8 2 3" xfId="42394" xr:uid="{303D3DAB-7997-409D-97E2-14C553828E34}"/>
    <cellStyle name="Comma 3 5 8 3" xfId="18202" xr:uid="{80966C40-F0D1-4D7C-8B4E-67F9A5A1503B}"/>
    <cellStyle name="Comma 3 5 8 3 2" xfId="48442" xr:uid="{10FB79AD-5A0A-4780-B822-C6AFA84ADBBB}"/>
    <cellStyle name="Comma 3 5 8 4" xfId="33322" xr:uid="{F1205228-64B8-46B9-9AA2-8C2C4BFEFD68}"/>
    <cellStyle name="Comma 3 5 9" xfId="4594" xr:uid="{C79BAD87-E8C3-42E4-9830-683465FCF484}"/>
    <cellStyle name="Comma 3 5 9 2" xfId="13666" xr:uid="{93E97436-2ACB-4740-97BE-D7BD2190ABD5}"/>
    <cellStyle name="Comma 3 5 9 2 2" xfId="28786" xr:uid="{9251C400-2A27-4AAD-866C-E7C03CB8CD11}"/>
    <cellStyle name="Comma 3 5 9 2 2 2" xfId="59026" xr:uid="{E6553EBF-AF25-4C1B-BC43-703BEBFF037C}"/>
    <cellStyle name="Comma 3 5 9 2 3" xfId="43906" xr:uid="{39E24A26-5EF5-4B62-A950-EED934462BA6}"/>
    <cellStyle name="Comma 3 5 9 3" xfId="19714" xr:uid="{DF9A50F1-91E4-4E21-885C-3580E461F087}"/>
    <cellStyle name="Comma 3 5 9 3 2" xfId="49954" xr:uid="{2319638F-EDD3-48CF-A4C0-22DBD62F019C}"/>
    <cellStyle name="Comma 3 5 9 4" xfId="34834" xr:uid="{E2624060-BAC7-405F-B25B-499E00B2879B}"/>
    <cellStyle name="Comma 3 6" xfId="100" xr:uid="{90747669-5383-412C-88F2-0198B71D9781}"/>
    <cellStyle name="Comma 3 6 10" xfId="9172" xr:uid="{479C02B4-FF26-4E6E-82EB-1E1DF2F7D812}"/>
    <cellStyle name="Comma 3 6 10 2" xfId="24292" xr:uid="{98DB96AE-70C3-4068-B7AD-A188D346719B}"/>
    <cellStyle name="Comma 3 6 10 2 2" xfId="54532" xr:uid="{D419697A-B8C8-4D26-AEB9-A215EF75E7FF}"/>
    <cellStyle name="Comma 3 6 10 3" xfId="39412" xr:uid="{E02FBB22-E7D8-49A6-BA62-1CE5ADFD55BF}"/>
    <cellStyle name="Comma 3 6 11" xfId="15220" xr:uid="{968DEBB8-952F-494A-BC17-D45D72EEFBD7}"/>
    <cellStyle name="Comma 3 6 11 2" xfId="45460" xr:uid="{2D3243EB-314A-4020-9559-5C79A2BCB247}"/>
    <cellStyle name="Comma 3 6 12" xfId="30340" xr:uid="{378BEC33-7F8B-4E34-8E6B-3880FA3C3453}"/>
    <cellStyle name="Comma 3 6 2" xfId="352" xr:uid="{2BB49CFF-9E3D-42BA-A090-F591FA094BE1}"/>
    <cellStyle name="Comma 3 6 2 10" xfId="30592" xr:uid="{776E5648-1605-4D7E-AB4C-29CF63400FA8}"/>
    <cellStyle name="Comma 3 6 2 2" xfId="1108" xr:uid="{CB0EDBDB-8067-41DD-9C7D-881191711712}"/>
    <cellStyle name="Comma 3 6 2 2 2" xfId="2620" xr:uid="{F62984E9-E3F4-4ACD-A5BD-87F0BC97E6EE}"/>
    <cellStyle name="Comma 3 6 2 2 2 2" xfId="11692" xr:uid="{8CB9FA99-6741-441C-901A-57BC191FCE27}"/>
    <cellStyle name="Comma 3 6 2 2 2 2 2" xfId="26812" xr:uid="{ADBD429D-9378-4460-9560-AF19759DEB31}"/>
    <cellStyle name="Comma 3 6 2 2 2 2 2 2" xfId="57052" xr:uid="{750C3A67-7DA3-442A-948F-5EB85489174B}"/>
    <cellStyle name="Comma 3 6 2 2 2 2 3" xfId="41932" xr:uid="{91A080A7-1C50-47AB-9CA2-26AB6A3137B1}"/>
    <cellStyle name="Comma 3 6 2 2 2 3" xfId="17740" xr:uid="{A9A91871-4911-4861-9583-8EDA1FAE3FA0}"/>
    <cellStyle name="Comma 3 6 2 2 2 3 2" xfId="47980" xr:uid="{4E95D4B3-DE0D-4303-BCDF-21129489C1B8}"/>
    <cellStyle name="Comma 3 6 2 2 2 4" xfId="32860" xr:uid="{1D3441D9-AA1C-402B-A165-F52955C20EE2}"/>
    <cellStyle name="Comma 3 6 2 2 3" xfId="4132" xr:uid="{D559A250-0E8E-43A9-8EBD-122E96D50148}"/>
    <cellStyle name="Comma 3 6 2 2 3 2" xfId="13204" xr:uid="{C59C2D30-643B-4142-B55D-06A1B317BC1A}"/>
    <cellStyle name="Comma 3 6 2 2 3 2 2" xfId="28324" xr:uid="{3E279B82-4619-4C0A-8668-D25DAB3E8E1F}"/>
    <cellStyle name="Comma 3 6 2 2 3 2 2 2" xfId="58564" xr:uid="{1C971D80-D21F-478F-BDDD-D2B8729878F2}"/>
    <cellStyle name="Comma 3 6 2 2 3 2 3" xfId="43444" xr:uid="{0D2D8CFE-58BD-428B-B8D3-B5280D146748}"/>
    <cellStyle name="Comma 3 6 2 2 3 3" xfId="19252" xr:uid="{B1D4DA2D-EA1F-448D-AF7D-CF9BEA3BA5E1}"/>
    <cellStyle name="Comma 3 6 2 2 3 3 2" xfId="49492" xr:uid="{7BC3EB31-8B05-4CA5-8966-AE92C92001C5}"/>
    <cellStyle name="Comma 3 6 2 2 3 4" xfId="34372" xr:uid="{23E6481E-6353-48BD-BD94-DFF938FB9FB4}"/>
    <cellStyle name="Comma 3 6 2 2 4" xfId="5644" xr:uid="{C2304FEE-313E-44B6-BD9C-B633D54E792B}"/>
    <cellStyle name="Comma 3 6 2 2 4 2" xfId="14716" xr:uid="{25E4A09A-DA37-4781-B49C-5CBC40B65F0D}"/>
    <cellStyle name="Comma 3 6 2 2 4 2 2" xfId="29836" xr:uid="{788D607B-809C-4A41-A3E7-1A0847675509}"/>
    <cellStyle name="Comma 3 6 2 2 4 2 2 2" xfId="60076" xr:uid="{FA044722-3523-4AE2-9177-054D2C97D424}"/>
    <cellStyle name="Comma 3 6 2 2 4 2 3" xfId="44956" xr:uid="{22BFF0AF-55B3-4B3D-B0E2-D6AD590948AE}"/>
    <cellStyle name="Comma 3 6 2 2 4 3" xfId="20764" xr:uid="{21A85EE4-EDE9-40D7-ACCF-486628072013}"/>
    <cellStyle name="Comma 3 6 2 2 4 3 2" xfId="51004" xr:uid="{F8843074-7194-4820-A82F-35CF14C282C6}"/>
    <cellStyle name="Comma 3 6 2 2 4 4" xfId="35884" xr:uid="{73406321-73F3-4DFD-89CF-BA632218C989}"/>
    <cellStyle name="Comma 3 6 2 2 5" xfId="7156" xr:uid="{0E7B36F2-1E3A-416A-AC04-B2D8A5FDA081}"/>
    <cellStyle name="Comma 3 6 2 2 5 2" xfId="22276" xr:uid="{61F62945-2756-461B-9A16-E7638C0616C6}"/>
    <cellStyle name="Comma 3 6 2 2 5 2 2" xfId="52516" xr:uid="{B1D48401-B798-429D-AB77-153AAD7DADBE}"/>
    <cellStyle name="Comma 3 6 2 2 5 3" xfId="37396" xr:uid="{0E2A4AE1-C06E-403D-A7C6-61FE5CAFCC87}"/>
    <cellStyle name="Comma 3 6 2 2 6" xfId="8668" xr:uid="{B94828AD-9E51-406E-9320-AB2ECD00D76A}"/>
    <cellStyle name="Comma 3 6 2 2 6 2" xfId="23788" xr:uid="{11BEF59A-39AE-472F-AA2E-7586F7398C7E}"/>
    <cellStyle name="Comma 3 6 2 2 6 2 2" xfId="54028" xr:uid="{F63870D4-90C5-49C8-9FD3-0CA07D133FB6}"/>
    <cellStyle name="Comma 3 6 2 2 6 3" xfId="38908" xr:uid="{64327EE3-90DA-4E59-A4BC-8420FB33A9C3}"/>
    <cellStyle name="Comma 3 6 2 2 7" xfId="10180" xr:uid="{B99FF79E-5498-4635-83E8-F36647551031}"/>
    <cellStyle name="Comma 3 6 2 2 7 2" xfId="25300" xr:uid="{84E4A95C-0CF5-4B32-A4EC-B318716BF95E}"/>
    <cellStyle name="Comma 3 6 2 2 7 2 2" xfId="55540" xr:uid="{F19BD288-EC22-48BE-9BC2-D98DBD5C19E7}"/>
    <cellStyle name="Comma 3 6 2 2 7 3" xfId="40420" xr:uid="{D80A7659-7200-4E5A-9CA3-B66EEADF648F}"/>
    <cellStyle name="Comma 3 6 2 2 8" xfId="16228" xr:uid="{DF25A836-AD37-4C6C-9BB0-A2BEDB812A0B}"/>
    <cellStyle name="Comma 3 6 2 2 8 2" xfId="46468" xr:uid="{1E874081-6280-4EEC-B2F0-5D6CAA01AF85}"/>
    <cellStyle name="Comma 3 6 2 2 9" xfId="31348" xr:uid="{2A838CDD-E98C-43FA-AA62-133D4BFEBD56}"/>
    <cellStyle name="Comma 3 6 2 3" xfId="1864" xr:uid="{0971C2F4-EE64-4876-9BCE-0038C1581053}"/>
    <cellStyle name="Comma 3 6 2 3 2" xfId="10936" xr:uid="{052E8F7E-7AAF-4B6B-99CD-25E04D8DCAC3}"/>
    <cellStyle name="Comma 3 6 2 3 2 2" xfId="26056" xr:uid="{4A759C4B-77BB-46BF-8890-92160E0B60B6}"/>
    <cellStyle name="Comma 3 6 2 3 2 2 2" xfId="56296" xr:uid="{A4746553-4A9F-45B9-B821-EFB02995E452}"/>
    <cellStyle name="Comma 3 6 2 3 2 3" xfId="41176" xr:uid="{12D771A9-CB95-4C8C-9986-82EE322894C0}"/>
    <cellStyle name="Comma 3 6 2 3 3" xfId="16984" xr:uid="{8A53E0A7-FCAB-4D0A-91A1-C2C8DE285B2D}"/>
    <cellStyle name="Comma 3 6 2 3 3 2" xfId="47224" xr:uid="{C327958C-C607-4051-970A-4B1342590FFD}"/>
    <cellStyle name="Comma 3 6 2 3 4" xfId="32104" xr:uid="{76FA5E66-4D1F-4179-834B-D27EC17AF074}"/>
    <cellStyle name="Comma 3 6 2 4" xfId="3376" xr:uid="{CB2D89C9-290B-412F-A22D-397671781431}"/>
    <cellStyle name="Comma 3 6 2 4 2" xfId="12448" xr:uid="{4F0039A4-492D-4D0F-BB3A-01050B925EBA}"/>
    <cellStyle name="Comma 3 6 2 4 2 2" xfId="27568" xr:uid="{B760CB07-3BBD-4B7E-80D0-DD0113D1FD72}"/>
    <cellStyle name="Comma 3 6 2 4 2 2 2" xfId="57808" xr:uid="{4C53F60F-B116-44B5-9776-F8A21A8F9047}"/>
    <cellStyle name="Comma 3 6 2 4 2 3" xfId="42688" xr:uid="{7C8B8BC5-37BA-4558-A97E-6698AC3C3568}"/>
    <cellStyle name="Comma 3 6 2 4 3" xfId="18496" xr:uid="{9D903C0D-F086-4775-9F44-F8E5A9D6B06E}"/>
    <cellStyle name="Comma 3 6 2 4 3 2" xfId="48736" xr:uid="{5A6DDE0E-02C9-4519-8B26-B7E7E9F27F37}"/>
    <cellStyle name="Comma 3 6 2 4 4" xfId="33616" xr:uid="{DFA15956-AA62-43EA-89AE-EBD3E9FC4926}"/>
    <cellStyle name="Comma 3 6 2 5" xfId="4888" xr:uid="{82EE3F17-D26C-4030-9526-6120AF3305B4}"/>
    <cellStyle name="Comma 3 6 2 5 2" xfId="13960" xr:uid="{473348A5-798B-421B-B13D-4325A151BF32}"/>
    <cellStyle name="Comma 3 6 2 5 2 2" xfId="29080" xr:uid="{C807B336-15CB-4A05-9800-A12A50A014C6}"/>
    <cellStyle name="Comma 3 6 2 5 2 2 2" xfId="59320" xr:uid="{D74442FA-8EC7-4B29-B8FF-920979BCED85}"/>
    <cellStyle name="Comma 3 6 2 5 2 3" xfId="44200" xr:uid="{82C1689F-D488-40EA-8902-821EEF6AE77A}"/>
    <cellStyle name="Comma 3 6 2 5 3" xfId="20008" xr:uid="{FA8AC229-1BCF-437D-96E9-21F753EF3604}"/>
    <cellStyle name="Comma 3 6 2 5 3 2" xfId="50248" xr:uid="{B4FE4AA6-C608-4A48-AF09-EFFF5D7FC5E6}"/>
    <cellStyle name="Comma 3 6 2 5 4" xfId="35128" xr:uid="{121F37D9-2834-4965-936D-A16E11B481C3}"/>
    <cellStyle name="Comma 3 6 2 6" xfId="6400" xr:uid="{D42DB5BF-3D20-4658-B869-9EE048ECEB80}"/>
    <cellStyle name="Comma 3 6 2 6 2" xfId="21520" xr:uid="{6D316391-C2D8-40E6-A05A-C0D9B3B9585C}"/>
    <cellStyle name="Comma 3 6 2 6 2 2" xfId="51760" xr:uid="{B03BC282-B9AC-4483-9309-71C733AB3D5C}"/>
    <cellStyle name="Comma 3 6 2 6 3" xfId="36640" xr:uid="{A0584D5E-C15F-42E7-A0CE-12ED9381F000}"/>
    <cellStyle name="Comma 3 6 2 7" xfId="7912" xr:uid="{41264648-F9C7-4F81-962C-00D1F35B5512}"/>
    <cellStyle name="Comma 3 6 2 7 2" xfId="23032" xr:uid="{7B64F80C-D9DB-4B03-B38A-E1503F42EB48}"/>
    <cellStyle name="Comma 3 6 2 7 2 2" xfId="53272" xr:uid="{DD4AFA70-30D0-4D0E-A81A-71C26DC12AE6}"/>
    <cellStyle name="Comma 3 6 2 7 3" xfId="38152" xr:uid="{5443547C-1386-45EE-85AB-37183381DD71}"/>
    <cellStyle name="Comma 3 6 2 8" xfId="9424" xr:uid="{69070306-A8A5-4A5F-AE67-B2595B8AE4C5}"/>
    <cellStyle name="Comma 3 6 2 8 2" xfId="24544" xr:uid="{8F8DC127-7C26-4AF7-8F0A-0E0696A40BF5}"/>
    <cellStyle name="Comma 3 6 2 8 2 2" xfId="54784" xr:uid="{FD7DF89F-A871-4368-A390-9D0185D30457}"/>
    <cellStyle name="Comma 3 6 2 8 3" xfId="39664" xr:uid="{14187873-C2E0-49EC-9A6A-EB3AFE54EA55}"/>
    <cellStyle name="Comma 3 6 2 9" xfId="15472" xr:uid="{F45B13EF-5D26-4E51-8AA7-A193FC7D3002}"/>
    <cellStyle name="Comma 3 6 2 9 2" xfId="45712" xr:uid="{097F3CA7-7F71-4D60-8881-31C2746BD43D}"/>
    <cellStyle name="Comma 3 6 3" xfId="604" xr:uid="{9163AEEC-B188-40F8-9BBE-DDDB22E80134}"/>
    <cellStyle name="Comma 3 6 3 10" xfId="30844" xr:uid="{1D42C0DF-3C8F-46B1-9197-BD7FB0B322A3}"/>
    <cellStyle name="Comma 3 6 3 2" xfId="1360" xr:uid="{E71A89F8-87D4-4ED7-BB60-D3CCA074E84A}"/>
    <cellStyle name="Comma 3 6 3 2 2" xfId="2872" xr:uid="{DD888CBB-4E1C-4790-9BF9-BE1AE16DAF2F}"/>
    <cellStyle name="Comma 3 6 3 2 2 2" xfId="11944" xr:uid="{4154AA38-238A-40BC-A5B7-9C88409D6F94}"/>
    <cellStyle name="Comma 3 6 3 2 2 2 2" xfId="27064" xr:uid="{AF633430-DAAF-45B2-B052-FC755CE4178A}"/>
    <cellStyle name="Comma 3 6 3 2 2 2 2 2" xfId="57304" xr:uid="{A7115D12-9CFA-4B92-A903-31B8CDED2354}"/>
    <cellStyle name="Comma 3 6 3 2 2 2 3" xfId="42184" xr:uid="{7443616B-9291-4D26-8C54-B31BBE42FEA8}"/>
    <cellStyle name="Comma 3 6 3 2 2 3" xfId="17992" xr:uid="{603E3710-92DF-46C4-8FAA-33118BC5EB9A}"/>
    <cellStyle name="Comma 3 6 3 2 2 3 2" xfId="48232" xr:uid="{F5E4985C-B237-4272-92BF-4551560A7773}"/>
    <cellStyle name="Comma 3 6 3 2 2 4" xfId="33112" xr:uid="{467756AC-251C-4053-BFD9-6E8BD1559019}"/>
    <cellStyle name="Comma 3 6 3 2 3" xfId="4384" xr:uid="{6B18DB77-D34E-48DA-919C-1DEE74A5B197}"/>
    <cellStyle name="Comma 3 6 3 2 3 2" xfId="13456" xr:uid="{B2E83D34-14EE-4A52-825E-AEF0E1928303}"/>
    <cellStyle name="Comma 3 6 3 2 3 2 2" xfId="28576" xr:uid="{3923AE86-E90D-405F-A7E4-4398712CF8F1}"/>
    <cellStyle name="Comma 3 6 3 2 3 2 2 2" xfId="58816" xr:uid="{D34EE7EF-8FEA-435D-B8CD-171398D117BE}"/>
    <cellStyle name="Comma 3 6 3 2 3 2 3" xfId="43696" xr:uid="{C5886D44-F49E-4DE6-91C9-BF522F399387}"/>
    <cellStyle name="Comma 3 6 3 2 3 3" xfId="19504" xr:uid="{C609071B-3D18-4B11-85F1-FE9F9CCDB372}"/>
    <cellStyle name="Comma 3 6 3 2 3 3 2" xfId="49744" xr:uid="{824EE90C-E443-4420-B7DE-D4CE3060AB6D}"/>
    <cellStyle name="Comma 3 6 3 2 3 4" xfId="34624" xr:uid="{6F5BED83-E814-41E4-9710-585CC2FF8D97}"/>
    <cellStyle name="Comma 3 6 3 2 4" xfId="5896" xr:uid="{37C079B0-21AB-41F7-BAB2-DEF863E4C2A7}"/>
    <cellStyle name="Comma 3 6 3 2 4 2" xfId="14968" xr:uid="{B5AACE46-855C-4A44-8E77-3A811DBFF417}"/>
    <cellStyle name="Comma 3 6 3 2 4 2 2" xfId="30088" xr:uid="{8F0ED336-66AC-4B31-A2B2-F3E8939A15A0}"/>
    <cellStyle name="Comma 3 6 3 2 4 2 2 2" xfId="60328" xr:uid="{378B396D-FBCA-4F31-8CBA-23210A184A51}"/>
    <cellStyle name="Comma 3 6 3 2 4 2 3" xfId="45208" xr:uid="{430B8AD4-1F5D-4AE6-BB38-80D2E17751A8}"/>
    <cellStyle name="Comma 3 6 3 2 4 3" xfId="21016" xr:uid="{AF968817-E5FE-4BCA-A162-C9321BE5A1A0}"/>
    <cellStyle name="Comma 3 6 3 2 4 3 2" xfId="51256" xr:uid="{A2AB8BC5-FA65-4971-825A-A5296B9BF110}"/>
    <cellStyle name="Comma 3 6 3 2 4 4" xfId="36136" xr:uid="{A76B59D7-638C-496E-A43F-DD78872037C1}"/>
    <cellStyle name="Comma 3 6 3 2 5" xfId="7408" xr:uid="{9D3FEB46-91DB-477B-B47D-8F5A44D2F98B}"/>
    <cellStyle name="Comma 3 6 3 2 5 2" xfId="22528" xr:uid="{2EB6B9AB-7F09-4DA8-A37A-17AF885902AB}"/>
    <cellStyle name="Comma 3 6 3 2 5 2 2" xfId="52768" xr:uid="{CE0FE7A3-1434-48E0-8D6D-FD10617F7F8E}"/>
    <cellStyle name="Comma 3 6 3 2 5 3" xfId="37648" xr:uid="{DBC94BDC-2FEC-41D0-98C9-BBDB1537A548}"/>
    <cellStyle name="Comma 3 6 3 2 6" xfId="8920" xr:uid="{08A092F0-7BBA-4C2E-AB38-ADDF66EEFE91}"/>
    <cellStyle name="Comma 3 6 3 2 6 2" xfId="24040" xr:uid="{5D7D68E3-4EF1-463F-A51D-FFA43062CBBA}"/>
    <cellStyle name="Comma 3 6 3 2 6 2 2" xfId="54280" xr:uid="{B9074933-3383-4790-8CA0-534CF38895CF}"/>
    <cellStyle name="Comma 3 6 3 2 6 3" xfId="39160" xr:uid="{E979BBE4-C5D3-48A5-AFD2-EE168CCDAB28}"/>
    <cellStyle name="Comma 3 6 3 2 7" xfId="10432" xr:uid="{7CF4F538-AC1A-4641-9B38-D0D772F9F328}"/>
    <cellStyle name="Comma 3 6 3 2 7 2" xfId="25552" xr:uid="{F481F72E-95B8-44FB-A0D5-1BA2CB324676}"/>
    <cellStyle name="Comma 3 6 3 2 7 2 2" xfId="55792" xr:uid="{52EB3496-BF9C-46DA-96AF-4EA5E5B6904B}"/>
    <cellStyle name="Comma 3 6 3 2 7 3" xfId="40672" xr:uid="{0AB5FEC5-BBD2-483E-A9D6-BE314DAD9773}"/>
    <cellStyle name="Comma 3 6 3 2 8" xfId="16480" xr:uid="{D15C3153-F98D-4E79-AD74-DD50A54EE62F}"/>
    <cellStyle name="Comma 3 6 3 2 8 2" xfId="46720" xr:uid="{4D242C5E-1A11-4309-8D56-7EE37CB401B6}"/>
    <cellStyle name="Comma 3 6 3 2 9" xfId="31600" xr:uid="{3BFC960D-5FA8-4C78-BDB2-4621D9D4CE07}"/>
    <cellStyle name="Comma 3 6 3 3" xfId="2116" xr:uid="{060BCEAC-7515-4847-8992-2A6E836C83E8}"/>
    <cellStyle name="Comma 3 6 3 3 2" xfId="11188" xr:uid="{2CE6B53A-C4E3-46ED-8D66-A9DF06A46035}"/>
    <cellStyle name="Comma 3 6 3 3 2 2" xfId="26308" xr:uid="{CDACB109-C89A-47A5-8797-B1882369233E}"/>
    <cellStyle name="Comma 3 6 3 3 2 2 2" xfId="56548" xr:uid="{B5A63FDA-77C9-4588-9AAB-4919C748D86C}"/>
    <cellStyle name="Comma 3 6 3 3 2 3" xfId="41428" xr:uid="{6063E3A9-AE67-4986-B4FA-8C225F8125A9}"/>
    <cellStyle name="Comma 3 6 3 3 3" xfId="17236" xr:uid="{5C42FEA2-83C6-4C28-BFE1-51E07B2BFEC9}"/>
    <cellStyle name="Comma 3 6 3 3 3 2" xfId="47476" xr:uid="{7FDFF890-5FA6-45C6-A53C-6DF4FD6DADDA}"/>
    <cellStyle name="Comma 3 6 3 3 4" xfId="32356" xr:uid="{A9CE743E-0F15-43DC-824A-599BE1DD7481}"/>
    <cellStyle name="Comma 3 6 3 4" xfId="3628" xr:uid="{47020C46-A3AE-4332-8B02-65FE0F711C4E}"/>
    <cellStyle name="Comma 3 6 3 4 2" xfId="12700" xr:uid="{D55FB98B-C071-4B71-AB39-9A33AD71AD57}"/>
    <cellStyle name="Comma 3 6 3 4 2 2" xfId="27820" xr:uid="{5C5337E7-F9A9-40EC-B653-CCA143C02881}"/>
    <cellStyle name="Comma 3 6 3 4 2 2 2" xfId="58060" xr:uid="{AD1D271F-18C1-4F32-8B25-B94757DA850D}"/>
    <cellStyle name="Comma 3 6 3 4 2 3" xfId="42940" xr:uid="{10A6D0F8-7853-4FDC-9519-0FCEE34B9017}"/>
    <cellStyle name="Comma 3 6 3 4 3" xfId="18748" xr:uid="{D206E44B-33C0-4FAD-8200-B6E56E246C59}"/>
    <cellStyle name="Comma 3 6 3 4 3 2" xfId="48988" xr:uid="{4F92DD7E-AE6E-40D7-A99C-A3F590A73EF6}"/>
    <cellStyle name="Comma 3 6 3 4 4" xfId="33868" xr:uid="{0A91DAC5-B397-46CA-9FE7-04D697341C61}"/>
    <cellStyle name="Comma 3 6 3 5" xfId="5140" xr:uid="{E6383588-3404-48FC-8241-671E1AF7F017}"/>
    <cellStyle name="Comma 3 6 3 5 2" xfId="14212" xr:uid="{26F27E70-F9FE-4EF9-AE96-F815EC62D6C7}"/>
    <cellStyle name="Comma 3 6 3 5 2 2" xfId="29332" xr:uid="{AFE76FC7-2726-44CC-8E8B-94D890C7C6B2}"/>
    <cellStyle name="Comma 3 6 3 5 2 2 2" xfId="59572" xr:uid="{AD716717-720F-4225-9182-AD487600F764}"/>
    <cellStyle name="Comma 3 6 3 5 2 3" xfId="44452" xr:uid="{08A4A3CC-4DD3-4D20-B9FB-D7615358B98E}"/>
    <cellStyle name="Comma 3 6 3 5 3" xfId="20260" xr:uid="{6F0457A5-A50F-466B-89BB-20A2E0B63408}"/>
    <cellStyle name="Comma 3 6 3 5 3 2" xfId="50500" xr:uid="{1DFB9E02-7AC2-48FB-8DFB-AB13BA63D802}"/>
    <cellStyle name="Comma 3 6 3 5 4" xfId="35380" xr:uid="{5C5766EB-DAA4-428B-B0B2-BA7418C63209}"/>
    <cellStyle name="Comma 3 6 3 6" xfId="6652" xr:uid="{B37EB5CF-0D29-4DB3-9F95-84CF1833E13E}"/>
    <cellStyle name="Comma 3 6 3 6 2" xfId="21772" xr:uid="{C3D57823-71A1-4D55-AC83-DABFBC60158B}"/>
    <cellStyle name="Comma 3 6 3 6 2 2" xfId="52012" xr:uid="{5B9E7A61-722A-4B2E-BDC6-427EBEC3B0E7}"/>
    <cellStyle name="Comma 3 6 3 6 3" xfId="36892" xr:uid="{DB4BA294-5189-4553-868C-46A2E74607C2}"/>
    <cellStyle name="Comma 3 6 3 7" xfId="8164" xr:uid="{A998C5E3-EBCF-474D-A36A-A24808501E7F}"/>
    <cellStyle name="Comma 3 6 3 7 2" xfId="23284" xr:uid="{0E3F6699-5F7B-47F2-B8BB-1D8CEBCCBB3D}"/>
    <cellStyle name="Comma 3 6 3 7 2 2" xfId="53524" xr:uid="{DC013308-3E45-4BA9-8E57-CCCFCEE234F6}"/>
    <cellStyle name="Comma 3 6 3 7 3" xfId="38404" xr:uid="{86A663D7-5857-4994-9A90-C8D2D3E2C453}"/>
    <cellStyle name="Comma 3 6 3 8" xfId="9676" xr:uid="{534A5002-20A7-46A6-838C-55D0EF6E2FA4}"/>
    <cellStyle name="Comma 3 6 3 8 2" xfId="24796" xr:uid="{216419C3-1D88-4D36-B463-8FEF725C09A4}"/>
    <cellStyle name="Comma 3 6 3 8 2 2" xfId="55036" xr:uid="{82FDAAA9-1930-4DF8-93B9-6243E41938B5}"/>
    <cellStyle name="Comma 3 6 3 8 3" xfId="39916" xr:uid="{BC07EE48-E8BF-4F59-B410-91572F8F39F7}"/>
    <cellStyle name="Comma 3 6 3 9" xfId="15724" xr:uid="{DA4DD9B8-5825-4BE9-9455-BF3B79460542}"/>
    <cellStyle name="Comma 3 6 3 9 2" xfId="45964" xr:uid="{A1329309-442A-4E5B-B445-75421CC61E62}"/>
    <cellStyle name="Comma 3 6 4" xfId="856" xr:uid="{2140A21F-66FB-47CE-8DE8-4037E0F554C1}"/>
    <cellStyle name="Comma 3 6 4 2" xfId="2368" xr:uid="{E34C28D7-C760-443E-BF5C-C2C53B026F44}"/>
    <cellStyle name="Comma 3 6 4 2 2" xfId="11440" xr:uid="{1A53310C-F82B-41FD-A874-4BEF132EF230}"/>
    <cellStyle name="Comma 3 6 4 2 2 2" xfId="26560" xr:uid="{2C27435E-126F-45C4-B53A-51532EC77790}"/>
    <cellStyle name="Comma 3 6 4 2 2 2 2" xfId="56800" xr:uid="{6BC2E7FC-23A5-49C7-AE92-6D553DEED02A}"/>
    <cellStyle name="Comma 3 6 4 2 2 3" xfId="41680" xr:uid="{86369E01-3788-4DCD-9709-8E5815EA180F}"/>
    <cellStyle name="Comma 3 6 4 2 3" xfId="17488" xr:uid="{8C2F78CD-1569-4B6E-9FFD-F8D47234FC95}"/>
    <cellStyle name="Comma 3 6 4 2 3 2" xfId="47728" xr:uid="{8914D661-5E16-4959-8086-992BBCD7A1CD}"/>
    <cellStyle name="Comma 3 6 4 2 4" xfId="32608" xr:uid="{A7B9096D-4DF6-47E9-A076-45A0EA8FBD55}"/>
    <cellStyle name="Comma 3 6 4 3" xfId="3880" xr:uid="{5A96F61D-5FAC-4B6A-B94F-11A8EBE29AB3}"/>
    <cellStyle name="Comma 3 6 4 3 2" xfId="12952" xr:uid="{EFA9E147-6E67-445C-9C15-7ABD500FB7DD}"/>
    <cellStyle name="Comma 3 6 4 3 2 2" xfId="28072" xr:uid="{CF3EAB00-22A4-427B-B250-06D6EC03156E}"/>
    <cellStyle name="Comma 3 6 4 3 2 2 2" xfId="58312" xr:uid="{455AAC1C-6BD6-412C-B16F-9B54079F9173}"/>
    <cellStyle name="Comma 3 6 4 3 2 3" xfId="43192" xr:uid="{63ABF13E-2574-4056-AADF-CEB45D0E40EC}"/>
    <cellStyle name="Comma 3 6 4 3 3" xfId="19000" xr:uid="{83BBD10E-BE4F-457D-BD9D-089397747749}"/>
    <cellStyle name="Comma 3 6 4 3 3 2" xfId="49240" xr:uid="{FD778C47-8B7D-4834-91FE-5B0E7605E737}"/>
    <cellStyle name="Comma 3 6 4 3 4" xfId="34120" xr:uid="{6EA7A7B5-7F17-4902-8DFC-4F16559F13FC}"/>
    <cellStyle name="Comma 3 6 4 4" xfId="5392" xr:uid="{94F08012-4472-49A6-BAE3-13FC0CDB3528}"/>
    <cellStyle name="Comma 3 6 4 4 2" xfId="14464" xr:uid="{FD6F2F20-FBB1-49FC-B7CD-E67AFBF07C06}"/>
    <cellStyle name="Comma 3 6 4 4 2 2" xfId="29584" xr:uid="{407093CC-1EA4-44A0-8D07-89F20A4F0553}"/>
    <cellStyle name="Comma 3 6 4 4 2 2 2" xfId="59824" xr:uid="{8B2D74F2-D23B-4CFF-90F2-EAD86CF075F7}"/>
    <cellStyle name="Comma 3 6 4 4 2 3" xfId="44704" xr:uid="{D8989777-FCDE-4D76-878A-4221D586110C}"/>
    <cellStyle name="Comma 3 6 4 4 3" xfId="20512" xr:uid="{6CBF41AA-0165-460D-AF84-A76069A6A5F2}"/>
    <cellStyle name="Comma 3 6 4 4 3 2" xfId="50752" xr:uid="{4CAB785B-BDAC-44E0-879C-40F0FBF4BCA5}"/>
    <cellStyle name="Comma 3 6 4 4 4" xfId="35632" xr:uid="{75181946-88E3-4CD4-B24B-AA2026B022B5}"/>
    <cellStyle name="Comma 3 6 4 5" xfId="6904" xr:uid="{A570FE47-C528-4856-BAF2-EFB068EE1241}"/>
    <cellStyle name="Comma 3 6 4 5 2" xfId="22024" xr:uid="{14FF759F-4D5E-4093-9F0F-FDCA25EDDCF6}"/>
    <cellStyle name="Comma 3 6 4 5 2 2" xfId="52264" xr:uid="{739C10BD-66A7-4E6E-8CA5-45CFF7CDF6C2}"/>
    <cellStyle name="Comma 3 6 4 5 3" xfId="37144" xr:uid="{5D90C632-53E7-4102-852D-6F609C96973B}"/>
    <cellStyle name="Comma 3 6 4 6" xfId="8416" xr:uid="{3964CC4F-D55A-477E-A41D-49FD1D3E752D}"/>
    <cellStyle name="Comma 3 6 4 6 2" xfId="23536" xr:uid="{5266A6F8-276F-4587-9D1D-E6CB3EB6823B}"/>
    <cellStyle name="Comma 3 6 4 6 2 2" xfId="53776" xr:uid="{976219E2-BAC3-46DC-BE99-E23063393B21}"/>
    <cellStyle name="Comma 3 6 4 6 3" xfId="38656" xr:uid="{6DA90468-50FA-46FB-ADD2-5F655CEA5491}"/>
    <cellStyle name="Comma 3 6 4 7" xfId="9928" xr:uid="{B5A8BFE6-F6D9-45AB-A8D3-3937E9C6F0E3}"/>
    <cellStyle name="Comma 3 6 4 7 2" xfId="25048" xr:uid="{35F33EDD-2544-43A3-B3F7-0394C80523E9}"/>
    <cellStyle name="Comma 3 6 4 7 2 2" xfId="55288" xr:uid="{F7FF9589-E09E-49C1-AF84-857B82F1763C}"/>
    <cellStyle name="Comma 3 6 4 7 3" xfId="40168" xr:uid="{BC5CEB13-CF81-4040-A0EC-A2A81FD34E43}"/>
    <cellStyle name="Comma 3 6 4 8" xfId="15976" xr:uid="{09DEEFC8-C7A7-4B48-8655-C5CAB11BF9AC}"/>
    <cellStyle name="Comma 3 6 4 8 2" xfId="46216" xr:uid="{406B1A4F-795F-4A3E-9F4C-73F6A8347A91}"/>
    <cellStyle name="Comma 3 6 4 9" xfId="31096" xr:uid="{ABE61C9F-B65B-4781-B79F-641E749BD61F}"/>
    <cellStyle name="Comma 3 6 5" xfId="1612" xr:uid="{53C83511-79ED-4160-9FE3-653573EC9008}"/>
    <cellStyle name="Comma 3 6 5 2" xfId="10684" xr:uid="{074E5F96-B961-4E8B-953A-185875DDD999}"/>
    <cellStyle name="Comma 3 6 5 2 2" xfId="25804" xr:uid="{10C7A94D-53BB-44EF-9CBD-D3BA596EC5E1}"/>
    <cellStyle name="Comma 3 6 5 2 2 2" xfId="56044" xr:uid="{14993355-8435-4179-B7AB-A142A4B86DBB}"/>
    <cellStyle name="Comma 3 6 5 2 3" xfId="40924" xr:uid="{5281BCB2-5346-4838-B036-D295FF9504EE}"/>
    <cellStyle name="Comma 3 6 5 3" xfId="16732" xr:uid="{F06A7EEC-87C4-4003-9BD4-9EBEFC9FFCF2}"/>
    <cellStyle name="Comma 3 6 5 3 2" xfId="46972" xr:uid="{42FFCAD8-9671-4AB0-B0E7-98F823794BB1}"/>
    <cellStyle name="Comma 3 6 5 4" xfId="31852" xr:uid="{56C9C2C3-97A8-4257-B072-D569B191117C}"/>
    <cellStyle name="Comma 3 6 6" xfId="3124" xr:uid="{56D1A07D-71B7-4141-B805-E0ADAD3AEC9C}"/>
    <cellStyle name="Comma 3 6 6 2" xfId="12196" xr:uid="{8A4872CF-A3CF-4ED4-8AF7-4BB6D7455716}"/>
    <cellStyle name="Comma 3 6 6 2 2" xfId="27316" xr:uid="{C9B23740-6227-48E7-9DF1-AA487CE99F4D}"/>
    <cellStyle name="Comma 3 6 6 2 2 2" xfId="57556" xr:uid="{19A18263-83A7-4810-8A32-41531F6A9522}"/>
    <cellStyle name="Comma 3 6 6 2 3" xfId="42436" xr:uid="{44D632E0-2687-4B52-8A9C-19048DEA7739}"/>
    <cellStyle name="Comma 3 6 6 3" xfId="18244" xr:uid="{97A1712D-FFED-48B7-A511-665F4F9892CD}"/>
    <cellStyle name="Comma 3 6 6 3 2" xfId="48484" xr:uid="{DD7DED5B-CE4C-4A76-9843-52CEE98B62A7}"/>
    <cellStyle name="Comma 3 6 6 4" xfId="33364" xr:uid="{F62EF581-0BE9-458F-8D3C-BACF73E6D697}"/>
    <cellStyle name="Comma 3 6 7" xfId="4636" xr:uid="{82DB6B77-115B-46E7-88CC-F560355BDD1B}"/>
    <cellStyle name="Comma 3 6 7 2" xfId="13708" xr:uid="{DEC8181E-A970-4BF0-8A58-7C10465651DE}"/>
    <cellStyle name="Comma 3 6 7 2 2" xfId="28828" xr:uid="{4EDC79D2-C023-472D-BDEC-83BEFC00C4DE}"/>
    <cellStyle name="Comma 3 6 7 2 2 2" xfId="59068" xr:uid="{4F5769D1-EBBF-4129-A9DB-C7299A9A29E2}"/>
    <cellStyle name="Comma 3 6 7 2 3" xfId="43948" xr:uid="{63D74A69-CEB2-451C-BDAB-4D8156BD251B}"/>
    <cellStyle name="Comma 3 6 7 3" xfId="19756" xr:uid="{15E80912-6EC3-466D-8DD0-674AE4355545}"/>
    <cellStyle name="Comma 3 6 7 3 2" xfId="49996" xr:uid="{5572453D-7397-4845-88B3-EF23A973907D}"/>
    <cellStyle name="Comma 3 6 7 4" xfId="34876" xr:uid="{2599ADC9-F458-4553-9B8D-B608C09763EF}"/>
    <cellStyle name="Comma 3 6 8" xfId="6148" xr:uid="{EDCB9E52-83EF-4D33-A1AE-610378B866DE}"/>
    <cellStyle name="Comma 3 6 8 2" xfId="21268" xr:uid="{D4469FE9-67EC-4768-9165-0B135606EE79}"/>
    <cellStyle name="Comma 3 6 8 2 2" xfId="51508" xr:uid="{16AF716C-4169-4F8E-B031-BFF3F875D419}"/>
    <cellStyle name="Comma 3 6 8 3" xfId="36388" xr:uid="{D56B4064-D120-4E9F-8908-F9FFCC33E48E}"/>
    <cellStyle name="Comma 3 6 9" xfId="7660" xr:uid="{9B79AE6D-B74B-4A1C-8851-D040BCD437D5}"/>
    <cellStyle name="Comma 3 6 9 2" xfId="22780" xr:uid="{B3BB8261-FED1-471B-BF35-249A52CA2034}"/>
    <cellStyle name="Comma 3 6 9 2 2" xfId="53020" xr:uid="{582D73CE-9E03-47D0-9EE1-98241066A74B}"/>
    <cellStyle name="Comma 3 6 9 3" xfId="37900" xr:uid="{A94E1CE1-FB5E-4FF5-B7CA-EB299D73F947}"/>
    <cellStyle name="Comma 3 7" xfId="184" xr:uid="{7E920DED-1B63-4382-B4DD-6EC253330C5A}"/>
    <cellStyle name="Comma 3 7 10" xfId="9256" xr:uid="{A3141443-1C10-4D3F-BCD0-A3A60DAB68C8}"/>
    <cellStyle name="Comma 3 7 10 2" xfId="24376" xr:uid="{C1D1C5F3-C4DA-4A28-9B69-5D1F557F3942}"/>
    <cellStyle name="Comma 3 7 10 2 2" xfId="54616" xr:uid="{08EA1D42-65E2-4E43-985C-CFEB8A997E63}"/>
    <cellStyle name="Comma 3 7 10 3" xfId="39496" xr:uid="{6F80A5C8-991D-40DF-A2CF-41033CC673AB}"/>
    <cellStyle name="Comma 3 7 11" xfId="15304" xr:uid="{8EE0CC13-1AE8-4BF1-95D3-C5B2DAAD03A9}"/>
    <cellStyle name="Comma 3 7 11 2" xfId="45544" xr:uid="{C6726B5A-D306-4F0A-8710-9902DF8B8794}"/>
    <cellStyle name="Comma 3 7 12" xfId="30424" xr:uid="{FBCD4454-B729-4626-8C98-18CB93F1D2A7}"/>
    <cellStyle name="Comma 3 7 2" xfId="436" xr:uid="{FA59F6DB-3817-4EC6-BA7E-AF10DABC80C3}"/>
    <cellStyle name="Comma 3 7 2 10" xfId="30676" xr:uid="{78B6DD27-63BA-4BFB-ADAB-CCD978B4FCA8}"/>
    <cellStyle name="Comma 3 7 2 2" xfId="1192" xr:uid="{5042EE92-B4B8-4094-948C-0DC29BC9F58C}"/>
    <cellStyle name="Comma 3 7 2 2 2" xfId="2704" xr:uid="{D30D886D-E4F5-4A23-917C-76ABD65DBF56}"/>
    <cellStyle name="Comma 3 7 2 2 2 2" xfId="11776" xr:uid="{16070B9B-D17A-4607-A310-3D795D18A01C}"/>
    <cellStyle name="Comma 3 7 2 2 2 2 2" xfId="26896" xr:uid="{34D8907B-7202-4363-B9BE-E32EE6250E50}"/>
    <cellStyle name="Comma 3 7 2 2 2 2 2 2" xfId="57136" xr:uid="{3E8AC44F-8BF7-4362-B754-44317DC5D2DF}"/>
    <cellStyle name="Comma 3 7 2 2 2 2 3" xfId="42016" xr:uid="{25716EA8-0CD8-4DB6-81C8-9E4F1A2567C5}"/>
    <cellStyle name="Comma 3 7 2 2 2 3" xfId="17824" xr:uid="{8FE44C8D-15FC-4F39-8989-419310AF6DCE}"/>
    <cellStyle name="Comma 3 7 2 2 2 3 2" xfId="48064" xr:uid="{75675EB0-2EF2-40DA-A57E-8A4E2D887EFE}"/>
    <cellStyle name="Comma 3 7 2 2 2 4" xfId="32944" xr:uid="{8EBCBD20-9CF6-4978-A727-F1B1EE7476D6}"/>
    <cellStyle name="Comma 3 7 2 2 3" xfId="4216" xr:uid="{84E2E886-029B-461D-AB29-46757C20110B}"/>
    <cellStyle name="Comma 3 7 2 2 3 2" xfId="13288" xr:uid="{DB98B9CA-BFDA-4CF2-BAA1-009C86DC83A5}"/>
    <cellStyle name="Comma 3 7 2 2 3 2 2" xfId="28408" xr:uid="{4CE751F6-336A-4EC8-BFC2-9F3713954078}"/>
    <cellStyle name="Comma 3 7 2 2 3 2 2 2" xfId="58648" xr:uid="{5768CD7F-1CC1-4E68-9FB2-56BC902702CB}"/>
    <cellStyle name="Comma 3 7 2 2 3 2 3" xfId="43528" xr:uid="{49BF19FC-D4B5-41A8-8309-8B054F395BD1}"/>
    <cellStyle name="Comma 3 7 2 2 3 3" xfId="19336" xr:uid="{AFE08594-CF99-4C9D-9A04-BC2A0FD1EA85}"/>
    <cellStyle name="Comma 3 7 2 2 3 3 2" xfId="49576" xr:uid="{4C5B66B3-4F14-45B3-AEF7-72179E66CE74}"/>
    <cellStyle name="Comma 3 7 2 2 3 4" xfId="34456" xr:uid="{349A96DE-061A-4CC8-9F2A-9B358E923A10}"/>
    <cellStyle name="Comma 3 7 2 2 4" xfId="5728" xr:uid="{8F63945C-661E-4635-8A2A-75A6F752E742}"/>
    <cellStyle name="Comma 3 7 2 2 4 2" xfId="14800" xr:uid="{53A124DF-05E3-458C-86AA-E2369DDF42E8}"/>
    <cellStyle name="Comma 3 7 2 2 4 2 2" xfId="29920" xr:uid="{7A62337C-8C16-4DF5-A595-913B0BDED051}"/>
    <cellStyle name="Comma 3 7 2 2 4 2 2 2" xfId="60160" xr:uid="{C7CD6BA9-1842-4B91-878E-2BEF05BACFE4}"/>
    <cellStyle name="Comma 3 7 2 2 4 2 3" xfId="45040" xr:uid="{F4C1CD78-9C89-4286-B78D-0503C353F39D}"/>
    <cellStyle name="Comma 3 7 2 2 4 3" xfId="20848" xr:uid="{3328FC86-1857-4FAA-88E2-55BCBDFE365B}"/>
    <cellStyle name="Comma 3 7 2 2 4 3 2" xfId="51088" xr:uid="{1D28FCC1-820C-4965-8361-C325F3BEB12F}"/>
    <cellStyle name="Comma 3 7 2 2 4 4" xfId="35968" xr:uid="{CBBDF54B-ADFB-47C2-9394-89512EF6ECD7}"/>
    <cellStyle name="Comma 3 7 2 2 5" xfId="7240" xr:uid="{4773BDBA-E216-4B88-AFF9-D7E4A98A98C5}"/>
    <cellStyle name="Comma 3 7 2 2 5 2" xfId="22360" xr:uid="{A476F8B2-9F33-41CB-9245-4A6D52844A49}"/>
    <cellStyle name="Comma 3 7 2 2 5 2 2" xfId="52600" xr:uid="{D9D4DC2E-1D04-47E7-B4B3-DD51477E0B44}"/>
    <cellStyle name="Comma 3 7 2 2 5 3" xfId="37480" xr:uid="{8D530407-0679-477A-BA5C-0C52C5F3336C}"/>
    <cellStyle name="Comma 3 7 2 2 6" xfId="8752" xr:uid="{C082BD9D-4562-402B-955C-574D291F3ECF}"/>
    <cellStyle name="Comma 3 7 2 2 6 2" xfId="23872" xr:uid="{7BC0EDAA-B38F-41D3-82EA-D231FADA9ADE}"/>
    <cellStyle name="Comma 3 7 2 2 6 2 2" xfId="54112" xr:uid="{9DA9FBC6-9536-44A3-852A-AB969AEFDA7C}"/>
    <cellStyle name="Comma 3 7 2 2 6 3" xfId="38992" xr:uid="{BE4FB1A3-43F0-4039-AD41-DE2203774419}"/>
    <cellStyle name="Comma 3 7 2 2 7" xfId="10264" xr:uid="{0C9BD530-36F5-441A-8A18-7E5D14AD981E}"/>
    <cellStyle name="Comma 3 7 2 2 7 2" xfId="25384" xr:uid="{F12E7EEE-B38F-46F3-9044-54DFCDA97A0A}"/>
    <cellStyle name="Comma 3 7 2 2 7 2 2" xfId="55624" xr:uid="{D329F201-EC43-43A2-B097-0D4C264F034D}"/>
    <cellStyle name="Comma 3 7 2 2 7 3" xfId="40504" xr:uid="{3949536C-93FB-47BB-9F8A-CF9A1C5EB851}"/>
    <cellStyle name="Comma 3 7 2 2 8" xfId="16312" xr:uid="{F548C1BB-CC0B-4CD6-84D4-37C201D3C758}"/>
    <cellStyle name="Comma 3 7 2 2 8 2" xfId="46552" xr:uid="{EE3501C3-D0FB-49FC-803F-63D1C21D4901}"/>
    <cellStyle name="Comma 3 7 2 2 9" xfId="31432" xr:uid="{1000ED93-1ED1-4DEB-A71C-418C3DE6F313}"/>
    <cellStyle name="Comma 3 7 2 3" xfId="1948" xr:uid="{1ACA0A9F-F59A-455E-8669-6359610C78B3}"/>
    <cellStyle name="Comma 3 7 2 3 2" xfId="11020" xr:uid="{08E39F46-CBC6-4B8A-9479-36E9FEDD9708}"/>
    <cellStyle name="Comma 3 7 2 3 2 2" xfId="26140" xr:uid="{D7F797EE-B6B6-4F97-87EF-42107BA92FAD}"/>
    <cellStyle name="Comma 3 7 2 3 2 2 2" xfId="56380" xr:uid="{066644C5-672B-4BB8-A89C-1E6B6355FE0B}"/>
    <cellStyle name="Comma 3 7 2 3 2 3" xfId="41260" xr:uid="{653249E1-36CB-4BF8-ACB7-5115E82004B5}"/>
    <cellStyle name="Comma 3 7 2 3 3" xfId="17068" xr:uid="{7410FBDD-4276-4C26-B738-464CD3FEC25A}"/>
    <cellStyle name="Comma 3 7 2 3 3 2" xfId="47308" xr:uid="{0F0DCE77-6A8E-49DE-ADEC-7C782B742F95}"/>
    <cellStyle name="Comma 3 7 2 3 4" xfId="32188" xr:uid="{15660B21-9E62-432D-8254-62267E1CD610}"/>
    <cellStyle name="Comma 3 7 2 4" xfId="3460" xr:uid="{857944C3-5E0F-4905-B863-2895E761C387}"/>
    <cellStyle name="Comma 3 7 2 4 2" xfId="12532" xr:uid="{4A701406-4E0E-4556-85C2-1456BA6E33ED}"/>
    <cellStyle name="Comma 3 7 2 4 2 2" xfId="27652" xr:uid="{8DF8CAD3-4C2E-425C-94D2-013E6F35C318}"/>
    <cellStyle name="Comma 3 7 2 4 2 2 2" xfId="57892" xr:uid="{DD6B3872-4BBB-4D52-874D-F5C3D015C955}"/>
    <cellStyle name="Comma 3 7 2 4 2 3" xfId="42772" xr:uid="{76EF7788-0FB6-45D0-8080-0B94B325C761}"/>
    <cellStyle name="Comma 3 7 2 4 3" xfId="18580" xr:uid="{CCCA3048-E300-439A-8429-68458037B73D}"/>
    <cellStyle name="Comma 3 7 2 4 3 2" xfId="48820" xr:uid="{D31B682F-3DCD-4407-9E9D-A2454BB21E5F}"/>
    <cellStyle name="Comma 3 7 2 4 4" xfId="33700" xr:uid="{CED5E773-6405-44CE-8EFC-63E879394334}"/>
    <cellStyle name="Comma 3 7 2 5" xfId="4972" xr:uid="{BB205042-15B8-4B5F-9B18-0984246B72C4}"/>
    <cellStyle name="Comma 3 7 2 5 2" xfId="14044" xr:uid="{D0C1EF5B-DD63-4AE7-AF17-16D8BD116AAF}"/>
    <cellStyle name="Comma 3 7 2 5 2 2" xfId="29164" xr:uid="{3DE141C0-5D99-4A52-971C-5E3C046C775C}"/>
    <cellStyle name="Comma 3 7 2 5 2 2 2" xfId="59404" xr:uid="{78F59A5E-65DA-4848-A6F9-DCF421849677}"/>
    <cellStyle name="Comma 3 7 2 5 2 3" xfId="44284" xr:uid="{61B55503-D7D8-4CBE-833A-8EF1482BB249}"/>
    <cellStyle name="Comma 3 7 2 5 3" xfId="20092" xr:uid="{3ECD9712-30B1-48CF-B479-1A39FA18FA61}"/>
    <cellStyle name="Comma 3 7 2 5 3 2" xfId="50332" xr:uid="{FA92E05D-DE09-4819-B5C3-279A61447842}"/>
    <cellStyle name="Comma 3 7 2 5 4" xfId="35212" xr:uid="{111AD543-1BD3-4072-9718-BADE6FBBC9A4}"/>
    <cellStyle name="Comma 3 7 2 6" xfId="6484" xr:uid="{91D98056-CFFF-40A2-A1AE-C050E23720A1}"/>
    <cellStyle name="Comma 3 7 2 6 2" xfId="21604" xr:uid="{716C11AE-5251-462B-8927-66C461A325B3}"/>
    <cellStyle name="Comma 3 7 2 6 2 2" xfId="51844" xr:uid="{A8628E18-F5E3-4153-8CAE-C0B32E2F7B79}"/>
    <cellStyle name="Comma 3 7 2 6 3" xfId="36724" xr:uid="{9BB9E00F-92E8-4550-AB72-7EC7450ED8B0}"/>
    <cellStyle name="Comma 3 7 2 7" xfId="7996" xr:uid="{25F23F45-6FE2-4399-B184-AC55446EE0CB}"/>
    <cellStyle name="Comma 3 7 2 7 2" xfId="23116" xr:uid="{94C5E275-67DC-445D-B940-A4D0CCD4964F}"/>
    <cellStyle name="Comma 3 7 2 7 2 2" xfId="53356" xr:uid="{C85E1260-2FA2-4B84-A945-E44B4CB51A73}"/>
    <cellStyle name="Comma 3 7 2 7 3" xfId="38236" xr:uid="{7CE5720A-6EE8-44F9-A13C-0E624DFEA279}"/>
    <cellStyle name="Comma 3 7 2 8" xfId="9508" xr:uid="{EB1D260C-6C22-4415-9B64-299236A27597}"/>
    <cellStyle name="Comma 3 7 2 8 2" xfId="24628" xr:uid="{508B8DAB-3503-41DC-8141-66BE7F946E09}"/>
    <cellStyle name="Comma 3 7 2 8 2 2" xfId="54868" xr:uid="{8CFC3534-5C72-4B67-9EC7-8A5552426C91}"/>
    <cellStyle name="Comma 3 7 2 8 3" xfId="39748" xr:uid="{E2FA7366-4B4D-4F5F-8921-25B4C8700DC1}"/>
    <cellStyle name="Comma 3 7 2 9" xfId="15556" xr:uid="{C3349810-7938-40BB-8406-201A0AD28975}"/>
    <cellStyle name="Comma 3 7 2 9 2" xfId="45796" xr:uid="{F7F3461B-13F2-43B2-AB3D-1D001C233C91}"/>
    <cellStyle name="Comma 3 7 3" xfId="688" xr:uid="{901FDC60-350C-41C0-89BE-B644321C618D}"/>
    <cellStyle name="Comma 3 7 3 10" xfId="30928" xr:uid="{D71FABF7-EFD7-4E5E-A0F2-3ACBB7791EE0}"/>
    <cellStyle name="Comma 3 7 3 2" xfId="1444" xr:uid="{6612E0AD-B63F-4C08-B89B-3500CA5C1A13}"/>
    <cellStyle name="Comma 3 7 3 2 2" xfId="2956" xr:uid="{EA3298DD-E76B-4CBA-9D11-0D19430AE19B}"/>
    <cellStyle name="Comma 3 7 3 2 2 2" xfId="12028" xr:uid="{C9258EC6-4745-46D5-82DB-BC7CA1EC9E8A}"/>
    <cellStyle name="Comma 3 7 3 2 2 2 2" xfId="27148" xr:uid="{A24ADAF7-792C-48FB-9C1C-C359139D9CB3}"/>
    <cellStyle name="Comma 3 7 3 2 2 2 2 2" xfId="57388" xr:uid="{0C7D591E-F32D-417D-AB12-49BB1CC1267D}"/>
    <cellStyle name="Comma 3 7 3 2 2 2 3" xfId="42268" xr:uid="{610B6369-2AB8-4706-BA0B-D727C2E78012}"/>
    <cellStyle name="Comma 3 7 3 2 2 3" xfId="18076" xr:uid="{9415AEEA-9C4E-4F55-B700-BC03512FEE1C}"/>
    <cellStyle name="Comma 3 7 3 2 2 3 2" xfId="48316" xr:uid="{4CF170D4-F295-4AD6-A93F-4B1125ED8222}"/>
    <cellStyle name="Comma 3 7 3 2 2 4" xfId="33196" xr:uid="{AD7D8D60-E140-42A9-AF35-7C4254A09FE9}"/>
    <cellStyle name="Comma 3 7 3 2 3" xfId="4468" xr:uid="{462F19C5-7F05-4772-8540-42D97EB6B5DA}"/>
    <cellStyle name="Comma 3 7 3 2 3 2" xfId="13540" xr:uid="{80D80744-8116-4375-BC65-6BD9C0AD4EAB}"/>
    <cellStyle name="Comma 3 7 3 2 3 2 2" xfId="28660" xr:uid="{310DDBCB-B118-41CC-8A5D-800916D7B44F}"/>
    <cellStyle name="Comma 3 7 3 2 3 2 2 2" xfId="58900" xr:uid="{8A341E9E-D72F-4B1E-85E2-1B4055C89C91}"/>
    <cellStyle name="Comma 3 7 3 2 3 2 3" xfId="43780" xr:uid="{5AC79233-5AAB-4639-A103-165CA92EB0B3}"/>
    <cellStyle name="Comma 3 7 3 2 3 3" xfId="19588" xr:uid="{23BD6C2C-ABD9-4CCF-9661-768581157973}"/>
    <cellStyle name="Comma 3 7 3 2 3 3 2" xfId="49828" xr:uid="{A394D303-63A0-4BF5-99AB-E34906008331}"/>
    <cellStyle name="Comma 3 7 3 2 3 4" xfId="34708" xr:uid="{D396EABC-9159-437D-B01E-9ADC820713CF}"/>
    <cellStyle name="Comma 3 7 3 2 4" xfId="5980" xr:uid="{1C247109-48D8-44E9-8C00-D84940463B29}"/>
    <cellStyle name="Comma 3 7 3 2 4 2" xfId="15052" xr:uid="{83663455-9892-49E6-96FD-1F6030E7BCDF}"/>
    <cellStyle name="Comma 3 7 3 2 4 2 2" xfId="30172" xr:uid="{3DF0D8DA-DD72-4439-B3A6-6F3B6E725B8C}"/>
    <cellStyle name="Comma 3 7 3 2 4 2 2 2" xfId="60412" xr:uid="{96097178-2F92-416A-8EFD-7810B2D93B91}"/>
    <cellStyle name="Comma 3 7 3 2 4 2 3" xfId="45292" xr:uid="{CC533D73-5092-4BB5-8962-706462BDA561}"/>
    <cellStyle name="Comma 3 7 3 2 4 3" xfId="21100" xr:uid="{C895447D-BE14-438B-82D0-F4A4D985CCEB}"/>
    <cellStyle name="Comma 3 7 3 2 4 3 2" xfId="51340" xr:uid="{4985FF6E-1907-40CA-AC56-0FC138CEC9EC}"/>
    <cellStyle name="Comma 3 7 3 2 4 4" xfId="36220" xr:uid="{07BC78F8-C520-470A-93B5-5A6064BC34F6}"/>
    <cellStyle name="Comma 3 7 3 2 5" xfId="7492" xr:uid="{58A1F841-A066-43FE-A12C-5171F1E03943}"/>
    <cellStyle name="Comma 3 7 3 2 5 2" xfId="22612" xr:uid="{F74679F7-B417-4AC1-8A06-2FFFD33F995B}"/>
    <cellStyle name="Comma 3 7 3 2 5 2 2" xfId="52852" xr:uid="{24C8E530-5EE2-4FD1-BCC6-ECF405BA5C3C}"/>
    <cellStyle name="Comma 3 7 3 2 5 3" xfId="37732" xr:uid="{65EE1202-EE06-4195-8C61-E47C9AF0B346}"/>
    <cellStyle name="Comma 3 7 3 2 6" xfId="9004" xr:uid="{F03B8AC1-E2A8-403F-8DFF-680612D44DDD}"/>
    <cellStyle name="Comma 3 7 3 2 6 2" xfId="24124" xr:uid="{D52D9DA9-A9AB-4FFC-AFF4-0245D2610A14}"/>
    <cellStyle name="Comma 3 7 3 2 6 2 2" xfId="54364" xr:uid="{9C909207-5616-4F40-8547-B63B1ED61E7B}"/>
    <cellStyle name="Comma 3 7 3 2 6 3" xfId="39244" xr:uid="{65234F8D-6A17-4114-8026-70A69AD6CF37}"/>
    <cellStyle name="Comma 3 7 3 2 7" xfId="10516" xr:uid="{69E466BE-A91E-43B3-B756-BEF6FE1E0827}"/>
    <cellStyle name="Comma 3 7 3 2 7 2" xfId="25636" xr:uid="{61E1EB96-A13A-47DB-94EF-19DFF02BD136}"/>
    <cellStyle name="Comma 3 7 3 2 7 2 2" xfId="55876" xr:uid="{CA50D02B-900F-473A-87B3-E0270FB8CFC6}"/>
    <cellStyle name="Comma 3 7 3 2 7 3" xfId="40756" xr:uid="{1F81B30D-A297-47FC-A939-F356E3A3B8A7}"/>
    <cellStyle name="Comma 3 7 3 2 8" xfId="16564" xr:uid="{7A7F41F4-2B60-4656-98AC-B54D33625809}"/>
    <cellStyle name="Comma 3 7 3 2 8 2" xfId="46804" xr:uid="{EC8C39D7-B472-43E8-8378-559A73262962}"/>
    <cellStyle name="Comma 3 7 3 2 9" xfId="31684" xr:uid="{154953CD-8F6A-4247-BFBA-3E8879954743}"/>
    <cellStyle name="Comma 3 7 3 3" xfId="2200" xr:uid="{0FD559E3-82CC-4B82-85DB-3EE58A82EAEF}"/>
    <cellStyle name="Comma 3 7 3 3 2" xfId="11272" xr:uid="{676B5D25-ECFF-4029-8192-572F6BADCCE0}"/>
    <cellStyle name="Comma 3 7 3 3 2 2" xfId="26392" xr:uid="{F98AAF77-DA13-42A5-B62D-E429DD9EB6E3}"/>
    <cellStyle name="Comma 3 7 3 3 2 2 2" xfId="56632" xr:uid="{048F7C51-3BB5-4D0F-B216-2D53E95D9E0E}"/>
    <cellStyle name="Comma 3 7 3 3 2 3" xfId="41512" xr:uid="{D6ACEEF8-B7C4-4B95-AEA1-BBE357A90EFE}"/>
    <cellStyle name="Comma 3 7 3 3 3" xfId="17320" xr:uid="{F9C8FD61-376D-487E-B534-E035C0211233}"/>
    <cellStyle name="Comma 3 7 3 3 3 2" xfId="47560" xr:uid="{AB152C3D-290A-4B4E-B56F-EA2D339163E4}"/>
    <cellStyle name="Comma 3 7 3 3 4" xfId="32440" xr:uid="{33C6504E-5EDD-415C-BC99-4D1D0694CB07}"/>
    <cellStyle name="Comma 3 7 3 4" xfId="3712" xr:uid="{748A32BF-08EE-4677-866E-6A63B3D43CB6}"/>
    <cellStyle name="Comma 3 7 3 4 2" xfId="12784" xr:uid="{0295BC5D-A4A0-45C4-A319-91506C279294}"/>
    <cellStyle name="Comma 3 7 3 4 2 2" xfId="27904" xr:uid="{C3EE2F94-0E70-4FE6-847E-BBB73EF2C8AF}"/>
    <cellStyle name="Comma 3 7 3 4 2 2 2" xfId="58144" xr:uid="{20F66B2E-E537-44E1-B9A4-BB4CD9E5A434}"/>
    <cellStyle name="Comma 3 7 3 4 2 3" xfId="43024" xr:uid="{07784BBA-4578-4794-B24A-75468F21B1D8}"/>
    <cellStyle name="Comma 3 7 3 4 3" xfId="18832" xr:uid="{B829899A-F8B3-4820-B66E-5A8F1D0CDF50}"/>
    <cellStyle name="Comma 3 7 3 4 3 2" xfId="49072" xr:uid="{E4DC2225-6131-4E91-8642-BEC3879323DF}"/>
    <cellStyle name="Comma 3 7 3 4 4" xfId="33952" xr:uid="{691F0AF2-F9ED-4AFD-B4CE-B336CB2F27BC}"/>
    <cellStyle name="Comma 3 7 3 5" xfId="5224" xr:uid="{617CA41E-C8B9-4183-96B0-6EF34BF89EC5}"/>
    <cellStyle name="Comma 3 7 3 5 2" xfId="14296" xr:uid="{FC45A485-1B4D-49D6-BECD-E75619119024}"/>
    <cellStyle name="Comma 3 7 3 5 2 2" xfId="29416" xr:uid="{2C5F9FB7-CFBF-4DF7-9E1F-3832D0FD773B}"/>
    <cellStyle name="Comma 3 7 3 5 2 2 2" xfId="59656" xr:uid="{4D384FD9-34D9-444C-B577-708FFC65C4A7}"/>
    <cellStyle name="Comma 3 7 3 5 2 3" xfId="44536" xr:uid="{780BB7CB-D47F-4173-A242-38FDDEBB81DD}"/>
    <cellStyle name="Comma 3 7 3 5 3" xfId="20344" xr:uid="{79B2D1F7-8FA7-4A23-9CF1-B1730B89E8C0}"/>
    <cellStyle name="Comma 3 7 3 5 3 2" xfId="50584" xr:uid="{FC4AA50F-961E-4EC9-B888-8C6D49452D7D}"/>
    <cellStyle name="Comma 3 7 3 5 4" xfId="35464" xr:uid="{ABE7B3A2-31B6-44C6-9BD7-A351EAFBCC1E}"/>
    <cellStyle name="Comma 3 7 3 6" xfId="6736" xr:uid="{DD767DC2-5D05-4DCB-B93B-AA01C30BD639}"/>
    <cellStyle name="Comma 3 7 3 6 2" xfId="21856" xr:uid="{335B465F-8BAF-4DE1-B53C-468950FC1046}"/>
    <cellStyle name="Comma 3 7 3 6 2 2" xfId="52096" xr:uid="{4D77DE35-AE47-4084-B45E-111AD06A7336}"/>
    <cellStyle name="Comma 3 7 3 6 3" xfId="36976" xr:uid="{09622724-2B66-4A22-B08E-1CC9629F649D}"/>
    <cellStyle name="Comma 3 7 3 7" xfId="8248" xr:uid="{15EFBF86-BBB9-4856-A461-135837ADBD19}"/>
    <cellStyle name="Comma 3 7 3 7 2" xfId="23368" xr:uid="{00CB30E1-9005-4B25-9BE5-3B82D98C8626}"/>
    <cellStyle name="Comma 3 7 3 7 2 2" xfId="53608" xr:uid="{95092A84-FAE7-4DE6-A620-ACC8148F211C}"/>
    <cellStyle name="Comma 3 7 3 7 3" xfId="38488" xr:uid="{4BE650E4-7F6B-4D58-9DD5-569C5D1CBA7D}"/>
    <cellStyle name="Comma 3 7 3 8" xfId="9760" xr:uid="{C1E8FD21-A139-4CE2-8596-A767DC4C9B08}"/>
    <cellStyle name="Comma 3 7 3 8 2" xfId="24880" xr:uid="{0C0EA9B9-B90D-4635-A7D9-6EF554F8D303}"/>
    <cellStyle name="Comma 3 7 3 8 2 2" xfId="55120" xr:uid="{AF796AA0-235E-44EA-9145-5F51711DAD5D}"/>
    <cellStyle name="Comma 3 7 3 8 3" xfId="40000" xr:uid="{4F8056E7-9D7F-44E0-B43F-1E5D9448C080}"/>
    <cellStyle name="Comma 3 7 3 9" xfId="15808" xr:uid="{A8D0E36B-76B8-4A70-BF53-DF38CD4E6959}"/>
    <cellStyle name="Comma 3 7 3 9 2" xfId="46048" xr:uid="{A951345E-9186-4F56-8856-30F86244C804}"/>
    <cellStyle name="Comma 3 7 4" xfId="940" xr:uid="{CE44E8DB-C7B7-4083-894F-0C9F7886DC55}"/>
    <cellStyle name="Comma 3 7 4 2" xfId="2452" xr:uid="{C30BE720-3229-489F-977C-32A07AD26FA0}"/>
    <cellStyle name="Comma 3 7 4 2 2" xfId="11524" xr:uid="{E92D1438-620D-4CF7-AF94-5FC317869790}"/>
    <cellStyle name="Comma 3 7 4 2 2 2" xfId="26644" xr:uid="{3D2B1421-27CB-4A36-B78C-2841AB4E70CF}"/>
    <cellStyle name="Comma 3 7 4 2 2 2 2" xfId="56884" xr:uid="{313DF0E9-05BA-4F29-BED0-8B9C30B0AC3A}"/>
    <cellStyle name="Comma 3 7 4 2 2 3" xfId="41764" xr:uid="{7F84FBBF-9ACA-4A12-8E0C-FD74ECD52692}"/>
    <cellStyle name="Comma 3 7 4 2 3" xfId="17572" xr:uid="{4402A329-E281-4962-AB9A-352F7CAD941C}"/>
    <cellStyle name="Comma 3 7 4 2 3 2" xfId="47812" xr:uid="{F71AAA71-C386-479F-A7DF-C81A0AD9FAAE}"/>
    <cellStyle name="Comma 3 7 4 2 4" xfId="32692" xr:uid="{DE934F26-80C6-4375-8FC1-E5688E18A24B}"/>
    <cellStyle name="Comma 3 7 4 3" xfId="3964" xr:uid="{80A3498C-45EC-4FC3-A4D8-26417A0F2F35}"/>
    <cellStyle name="Comma 3 7 4 3 2" xfId="13036" xr:uid="{62BB136E-8EEA-4EA1-8E6A-62255BFB99C6}"/>
    <cellStyle name="Comma 3 7 4 3 2 2" xfId="28156" xr:uid="{E3D0E6DF-0574-4250-89E9-BFFFD64CCBFA}"/>
    <cellStyle name="Comma 3 7 4 3 2 2 2" xfId="58396" xr:uid="{E4B0B117-441A-498D-8855-6F0B0E118404}"/>
    <cellStyle name="Comma 3 7 4 3 2 3" xfId="43276" xr:uid="{90FC7403-107B-4F6E-9FD1-E3436CB75F53}"/>
    <cellStyle name="Comma 3 7 4 3 3" xfId="19084" xr:uid="{0886D340-0E44-4FBD-81C3-1A8CEABB731E}"/>
    <cellStyle name="Comma 3 7 4 3 3 2" xfId="49324" xr:uid="{3DC34130-DAD1-493E-B155-F951EFAB1C07}"/>
    <cellStyle name="Comma 3 7 4 3 4" xfId="34204" xr:uid="{2C2CF247-54F3-43FD-8E53-7AAB146B4834}"/>
    <cellStyle name="Comma 3 7 4 4" xfId="5476" xr:uid="{2C5CF85D-431A-45E5-A2F9-99B4E8DDCAF1}"/>
    <cellStyle name="Comma 3 7 4 4 2" xfId="14548" xr:uid="{56EF2231-9DA1-4E06-9B5A-C0AC62BC86E1}"/>
    <cellStyle name="Comma 3 7 4 4 2 2" xfId="29668" xr:uid="{75B9DAEB-AE02-4333-AB04-FF4EA461956B}"/>
    <cellStyle name="Comma 3 7 4 4 2 2 2" xfId="59908" xr:uid="{8915C944-F871-4A4C-A781-073930A71EDE}"/>
    <cellStyle name="Comma 3 7 4 4 2 3" xfId="44788" xr:uid="{F201FABC-C5E0-435A-A13F-AAA743843398}"/>
    <cellStyle name="Comma 3 7 4 4 3" xfId="20596" xr:uid="{9D3A1A6E-6CFF-4455-BB0D-2D9254D3684E}"/>
    <cellStyle name="Comma 3 7 4 4 3 2" xfId="50836" xr:uid="{77418EC0-73CA-493E-95F7-2F5483419A74}"/>
    <cellStyle name="Comma 3 7 4 4 4" xfId="35716" xr:uid="{E68E0B11-CD74-4C03-8E0A-A34087D8BE11}"/>
    <cellStyle name="Comma 3 7 4 5" xfId="6988" xr:uid="{33286DDB-0D26-4BA2-9D62-9E703B9D7C78}"/>
    <cellStyle name="Comma 3 7 4 5 2" xfId="22108" xr:uid="{2DEC3E6E-FFAF-4CB5-BF3E-A1626FA28D0C}"/>
    <cellStyle name="Comma 3 7 4 5 2 2" xfId="52348" xr:uid="{3B9BF48F-000A-481F-BD97-91FF92E20256}"/>
    <cellStyle name="Comma 3 7 4 5 3" xfId="37228" xr:uid="{58EBDB38-B22D-4BFD-ABE9-2F58E1CB5478}"/>
    <cellStyle name="Comma 3 7 4 6" xfId="8500" xr:uid="{2B004625-18FF-40A0-9676-1BC621384418}"/>
    <cellStyle name="Comma 3 7 4 6 2" xfId="23620" xr:uid="{BA4C44B5-49DD-4C34-9AD4-CABCF649DF5B}"/>
    <cellStyle name="Comma 3 7 4 6 2 2" xfId="53860" xr:uid="{B7DBD4A4-D658-495C-875C-C86F0E1215BC}"/>
    <cellStyle name="Comma 3 7 4 6 3" xfId="38740" xr:uid="{E12C245B-6E6F-4E27-B30D-3CCD497E5193}"/>
    <cellStyle name="Comma 3 7 4 7" xfId="10012" xr:uid="{94BBC649-2F01-464B-AAC7-D9671549746B}"/>
    <cellStyle name="Comma 3 7 4 7 2" xfId="25132" xr:uid="{1D884E74-00A0-4197-8BBD-0467AC207F83}"/>
    <cellStyle name="Comma 3 7 4 7 2 2" xfId="55372" xr:uid="{36802B24-5683-4EDD-B50D-195A9ECDBC27}"/>
    <cellStyle name="Comma 3 7 4 7 3" xfId="40252" xr:uid="{37EE6844-CBD7-441C-AC68-FA2D223CA428}"/>
    <cellStyle name="Comma 3 7 4 8" xfId="16060" xr:uid="{47F9E1A5-CD76-479C-A5DC-1DB2F31D26CB}"/>
    <cellStyle name="Comma 3 7 4 8 2" xfId="46300" xr:uid="{1D5E7C0F-1630-4AB4-A4A8-A76759FC11A5}"/>
    <cellStyle name="Comma 3 7 4 9" xfId="31180" xr:uid="{3F3AEA2D-C179-4A11-B459-BC025797D9EA}"/>
    <cellStyle name="Comma 3 7 5" xfId="1696" xr:uid="{5C87445C-B1E3-4205-902C-4D033CBE6E63}"/>
    <cellStyle name="Comma 3 7 5 2" xfId="10768" xr:uid="{D28EEF88-F0F6-4F31-97BA-F969F9A25D61}"/>
    <cellStyle name="Comma 3 7 5 2 2" xfId="25888" xr:uid="{B254E3E0-7E2A-4E9B-A265-4439DEDE1129}"/>
    <cellStyle name="Comma 3 7 5 2 2 2" xfId="56128" xr:uid="{D2D6F8A2-939C-4EC7-9E53-0A76AE6D261A}"/>
    <cellStyle name="Comma 3 7 5 2 3" xfId="41008" xr:uid="{8369CD9D-F315-45B9-B0AA-FCD0C481ECFA}"/>
    <cellStyle name="Comma 3 7 5 3" xfId="16816" xr:uid="{204184F0-3687-4609-B205-D302811A904D}"/>
    <cellStyle name="Comma 3 7 5 3 2" xfId="47056" xr:uid="{D67580A5-D457-4EE0-8439-379FA96954D1}"/>
    <cellStyle name="Comma 3 7 5 4" xfId="31936" xr:uid="{AF19C4BF-82C7-4777-A950-48CC017D33DA}"/>
    <cellStyle name="Comma 3 7 6" xfId="3208" xr:uid="{410D67B3-CC99-4839-8868-C6BDE26E65A0}"/>
    <cellStyle name="Comma 3 7 6 2" xfId="12280" xr:uid="{8CA9B3A1-8899-42DE-9E14-9D55B4CB00A7}"/>
    <cellStyle name="Comma 3 7 6 2 2" xfId="27400" xr:uid="{55B6F892-569A-497A-9C3F-8EBB04ADC68B}"/>
    <cellStyle name="Comma 3 7 6 2 2 2" xfId="57640" xr:uid="{F6968AD9-0AF0-4D7C-9652-3F1301561D82}"/>
    <cellStyle name="Comma 3 7 6 2 3" xfId="42520" xr:uid="{7B1D4CDB-CFFA-4CCA-814B-8DDF4C5CEED2}"/>
    <cellStyle name="Comma 3 7 6 3" xfId="18328" xr:uid="{0157DD74-2BB2-4196-A065-F7CFB54827D6}"/>
    <cellStyle name="Comma 3 7 6 3 2" xfId="48568" xr:uid="{464A804A-534B-46F6-862B-6924AB4E2110}"/>
    <cellStyle name="Comma 3 7 6 4" xfId="33448" xr:uid="{0E9375A5-EE06-4DCC-84B0-ECAD838DEF6D}"/>
    <cellStyle name="Comma 3 7 7" xfId="4720" xr:uid="{BEFF9FD2-86B0-458C-A50F-C86E32870B29}"/>
    <cellStyle name="Comma 3 7 7 2" xfId="13792" xr:uid="{A421A11D-A76F-4BDB-A15B-C57B8B9B8CB1}"/>
    <cellStyle name="Comma 3 7 7 2 2" xfId="28912" xr:uid="{89A3923D-0F8D-4B25-86FF-27FF74447CE7}"/>
    <cellStyle name="Comma 3 7 7 2 2 2" xfId="59152" xr:uid="{8161EAF2-0638-4151-A76C-D80A9DCA8BAB}"/>
    <cellStyle name="Comma 3 7 7 2 3" xfId="44032" xr:uid="{66E68366-B64A-4B4A-8300-85C1452631BB}"/>
    <cellStyle name="Comma 3 7 7 3" xfId="19840" xr:uid="{6EE2FA89-B511-42F4-B887-45AA35D2093E}"/>
    <cellStyle name="Comma 3 7 7 3 2" xfId="50080" xr:uid="{3F5D444E-8775-4A25-AB7F-B0322045CDF9}"/>
    <cellStyle name="Comma 3 7 7 4" xfId="34960" xr:uid="{C792C184-B076-4B74-A564-C7BEAEB51B9C}"/>
    <cellStyle name="Comma 3 7 8" xfId="6232" xr:uid="{A1CAEB7C-8E21-4395-AD4A-1A0F203B3215}"/>
    <cellStyle name="Comma 3 7 8 2" xfId="21352" xr:uid="{1CCC38B9-9AD2-4082-BC37-E182FF555F33}"/>
    <cellStyle name="Comma 3 7 8 2 2" xfId="51592" xr:uid="{870A577E-2E09-43AB-A18F-0097C4DBE037}"/>
    <cellStyle name="Comma 3 7 8 3" xfId="36472" xr:uid="{646A4FCB-A8E5-4A61-BC1B-5A1052077274}"/>
    <cellStyle name="Comma 3 7 9" xfId="7744" xr:uid="{C6584299-B374-4FE1-8199-14372D7C720C}"/>
    <cellStyle name="Comma 3 7 9 2" xfId="22864" xr:uid="{802C5AA3-69B1-4655-8A77-66B36BE7F1DD}"/>
    <cellStyle name="Comma 3 7 9 2 2" xfId="53104" xr:uid="{EC4F5C45-D391-4C00-8A33-F37AC96E7D65}"/>
    <cellStyle name="Comma 3 7 9 3" xfId="37984" xr:uid="{E7526D61-D23E-4689-B330-17043AEB4091}"/>
    <cellStyle name="Comma 3 8" xfId="268" xr:uid="{6981EFA7-315D-46FC-98A6-689627C7205C}"/>
    <cellStyle name="Comma 3 8 10" xfId="30508" xr:uid="{CD81B218-08EC-4A7F-8C55-9566CEABE991}"/>
    <cellStyle name="Comma 3 8 2" xfId="1024" xr:uid="{A709D22F-B75C-43AA-A198-A6BCAE8B67D2}"/>
    <cellStyle name="Comma 3 8 2 2" xfId="2536" xr:uid="{D77F592B-19C6-412F-A437-3D96C345A674}"/>
    <cellStyle name="Comma 3 8 2 2 2" xfId="11608" xr:uid="{8DAB6ED2-80EF-4DF1-A18E-834B0AFA9CAA}"/>
    <cellStyle name="Comma 3 8 2 2 2 2" xfId="26728" xr:uid="{7D2B24C9-FEC1-4CA7-A7D7-1DC608C91CC4}"/>
    <cellStyle name="Comma 3 8 2 2 2 2 2" xfId="56968" xr:uid="{303387FC-94B9-4CED-9FA9-AE5B4241597B}"/>
    <cellStyle name="Comma 3 8 2 2 2 3" xfId="41848" xr:uid="{3D002C48-73F5-490E-82A3-3014D7DC1ED7}"/>
    <cellStyle name="Comma 3 8 2 2 3" xfId="17656" xr:uid="{F684BDF0-09DA-44A6-981A-998636959299}"/>
    <cellStyle name="Comma 3 8 2 2 3 2" xfId="47896" xr:uid="{734F92FE-6C8B-4ED1-BDA7-014E6EA03893}"/>
    <cellStyle name="Comma 3 8 2 2 4" xfId="32776" xr:uid="{FFC6802F-FCB7-4393-8584-10E24D0CDBF9}"/>
    <cellStyle name="Comma 3 8 2 3" xfId="4048" xr:uid="{5269E3F9-F960-4B22-B2B8-2045D60A6D7F}"/>
    <cellStyle name="Comma 3 8 2 3 2" xfId="13120" xr:uid="{9C023834-0006-4974-88E4-A3DC8BA2C253}"/>
    <cellStyle name="Comma 3 8 2 3 2 2" xfId="28240" xr:uid="{75398393-E1DC-45A7-AEA9-8E5269873221}"/>
    <cellStyle name="Comma 3 8 2 3 2 2 2" xfId="58480" xr:uid="{6006CF5D-6022-41D1-828F-81E9DE642100}"/>
    <cellStyle name="Comma 3 8 2 3 2 3" xfId="43360" xr:uid="{A820F6B2-D290-4AD7-9821-D8AD5CBC5F00}"/>
    <cellStyle name="Comma 3 8 2 3 3" xfId="19168" xr:uid="{A1CFAE03-6599-489F-8368-B9B917EEC6F2}"/>
    <cellStyle name="Comma 3 8 2 3 3 2" xfId="49408" xr:uid="{21152C28-806C-4222-B90E-A9F6CC27297A}"/>
    <cellStyle name="Comma 3 8 2 3 4" xfId="34288" xr:uid="{52BDA3C2-0876-4544-AC70-9868FF24DD1F}"/>
    <cellStyle name="Comma 3 8 2 4" xfId="5560" xr:uid="{3F83FB4C-E963-4A02-BFD8-C99E902EA6EC}"/>
    <cellStyle name="Comma 3 8 2 4 2" xfId="14632" xr:uid="{A09EB283-8078-4384-8582-89B452CB5448}"/>
    <cellStyle name="Comma 3 8 2 4 2 2" xfId="29752" xr:uid="{2990A12C-1A0E-41BA-8AB9-49C909962838}"/>
    <cellStyle name="Comma 3 8 2 4 2 2 2" xfId="59992" xr:uid="{F40E0E8C-1F71-407A-9211-4F20C7D66A54}"/>
    <cellStyle name="Comma 3 8 2 4 2 3" xfId="44872" xr:uid="{37634434-4DDB-45A5-A15C-2FED876119D6}"/>
    <cellStyle name="Comma 3 8 2 4 3" xfId="20680" xr:uid="{A1F033E2-7606-4203-B26D-252E12D810EC}"/>
    <cellStyle name="Comma 3 8 2 4 3 2" xfId="50920" xr:uid="{903825D5-6A66-4338-A708-77B2B1289861}"/>
    <cellStyle name="Comma 3 8 2 4 4" xfId="35800" xr:uid="{9BC85017-756A-4338-8DB7-A61DB5BF7C65}"/>
    <cellStyle name="Comma 3 8 2 5" xfId="7072" xr:uid="{9D19412D-53AD-4ECE-9116-99F6844A36FB}"/>
    <cellStyle name="Comma 3 8 2 5 2" xfId="22192" xr:uid="{5BB94B8A-8E71-496A-ABCE-869B17F90C94}"/>
    <cellStyle name="Comma 3 8 2 5 2 2" xfId="52432" xr:uid="{BBC3C1AF-5477-427B-B33D-B82F9CEE6D6E}"/>
    <cellStyle name="Comma 3 8 2 5 3" xfId="37312" xr:uid="{8D5A3876-C488-4F97-BEEE-42941917EDF9}"/>
    <cellStyle name="Comma 3 8 2 6" xfId="8584" xr:uid="{D7F12688-22CB-48D5-8702-8CD9287FF009}"/>
    <cellStyle name="Comma 3 8 2 6 2" xfId="23704" xr:uid="{5F5E46A3-36BE-429A-91A6-0058650C9268}"/>
    <cellStyle name="Comma 3 8 2 6 2 2" xfId="53944" xr:uid="{232C3DE8-CF65-4525-85DD-91248D91226D}"/>
    <cellStyle name="Comma 3 8 2 6 3" xfId="38824" xr:uid="{CDA70919-BD2A-490D-B498-DAE266F6BA8D}"/>
    <cellStyle name="Comma 3 8 2 7" xfId="10096" xr:uid="{64871B48-5AF9-4E59-BF02-FE6AA89AD461}"/>
    <cellStyle name="Comma 3 8 2 7 2" xfId="25216" xr:uid="{050462E2-E1FC-4C6B-B695-1CD3E3795B74}"/>
    <cellStyle name="Comma 3 8 2 7 2 2" xfId="55456" xr:uid="{FC7B584E-FA50-4D14-9645-4E693512BFF9}"/>
    <cellStyle name="Comma 3 8 2 7 3" xfId="40336" xr:uid="{CBFAC324-4BC7-4710-A507-9A1397305D7B}"/>
    <cellStyle name="Comma 3 8 2 8" xfId="16144" xr:uid="{17FDEC4B-2072-46BB-A744-892DD2B0F763}"/>
    <cellStyle name="Comma 3 8 2 8 2" xfId="46384" xr:uid="{8307EAF6-1D75-44B0-845E-683B4F2F905E}"/>
    <cellStyle name="Comma 3 8 2 9" xfId="31264" xr:uid="{FF113FCA-A7BF-490E-86F6-501CB758C024}"/>
    <cellStyle name="Comma 3 8 3" xfId="1780" xr:uid="{01D32427-89B8-40D9-9ECC-BAA621C61E45}"/>
    <cellStyle name="Comma 3 8 3 2" xfId="10852" xr:uid="{1E6A134B-E949-48BB-8599-72C72BD13A82}"/>
    <cellStyle name="Comma 3 8 3 2 2" xfId="25972" xr:uid="{CCBC37E1-6058-4921-8B42-D8721C99BD91}"/>
    <cellStyle name="Comma 3 8 3 2 2 2" xfId="56212" xr:uid="{24BCB09D-2A60-4C0E-8968-543041107953}"/>
    <cellStyle name="Comma 3 8 3 2 3" xfId="41092" xr:uid="{C4963E55-7895-49F7-B3E2-E18AA803D7D0}"/>
    <cellStyle name="Comma 3 8 3 3" xfId="16900" xr:uid="{A4D3A447-A46A-4FE7-BB39-04AF09B5F8FE}"/>
    <cellStyle name="Comma 3 8 3 3 2" xfId="47140" xr:uid="{92C67FF9-34CB-4BFB-B51C-921639D85030}"/>
    <cellStyle name="Comma 3 8 3 4" xfId="32020" xr:uid="{E050418D-71A7-40F3-98B8-F87A1393C441}"/>
    <cellStyle name="Comma 3 8 4" xfId="3292" xr:uid="{ECBD1B6F-2951-412B-A88A-6565B30969C5}"/>
    <cellStyle name="Comma 3 8 4 2" xfId="12364" xr:uid="{725AD53E-0489-4B64-A15E-D2E66BF542CF}"/>
    <cellStyle name="Comma 3 8 4 2 2" xfId="27484" xr:uid="{7839D6B3-803A-4660-B892-B6A3EFB0631D}"/>
    <cellStyle name="Comma 3 8 4 2 2 2" xfId="57724" xr:uid="{AFA0FADF-980C-467B-B5FC-8A296A5BAA10}"/>
    <cellStyle name="Comma 3 8 4 2 3" xfId="42604" xr:uid="{502020BE-F7AE-4044-B713-ED9EE5450285}"/>
    <cellStyle name="Comma 3 8 4 3" xfId="18412" xr:uid="{D05CE88D-7747-4B1B-97E5-2CE551B99B28}"/>
    <cellStyle name="Comma 3 8 4 3 2" xfId="48652" xr:uid="{F2539C63-6B8F-4B1E-A2DD-8D15D790D112}"/>
    <cellStyle name="Comma 3 8 4 4" xfId="33532" xr:uid="{A959BD7B-C163-47CD-965F-08DC124427C2}"/>
    <cellStyle name="Comma 3 8 5" xfId="4804" xr:uid="{216FDBE9-738B-4DB4-AF5C-85A29B98DD2C}"/>
    <cellStyle name="Comma 3 8 5 2" xfId="13876" xr:uid="{D4439F1D-F4D5-4BEB-A430-54F12055DA6A}"/>
    <cellStyle name="Comma 3 8 5 2 2" xfId="28996" xr:uid="{85B332B8-A650-4AFA-8BF5-BE60B928BAB5}"/>
    <cellStyle name="Comma 3 8 5 2 2 2" xfId="59236" xr:uid="{3631378F-6A1E-42AF-A243-DEDDE1B1E677}"/>
    <cellStyle name="Comma 3 8 5 2 3" xfId="44116" xr:uid="{6CB73499-6764-4483-AC94-4E40E41F114C}"/>
    <cellStyle name="Comma 3 8 5 3" xfId="19924" xr:uid="{6754A2DC-D1A0-42F0-B83C-E96ECA5E72A1}"/>
    <cellStyle name="Comma 3 8 5 3 2" xfId="50164" xr:uid="{8E1BE845-52E6-4307-A78B-D5E96A09F3B6}"/>
    <cellStyle name="Comma 3 8 5 4" xfId="35044" xr:uid="{5AA57113-8DC3-4D05-960E-FD49A84EB530}"/>
    <cellStyle name="Comma 3 8 6" xfId="6316" xr:uid="{F15C6C8B-CCF8-46FA-8933-D96FA35D95E3}"/>
    <cellStyle name="Comma 3 8 6 2" xfId="21436" xr:uid="{F58A709D-C7D4-40D5-8283-781FFCDE9E8C}"/>
    <cellStyle name="Comma 3 8 6 2 2" xfId="51676" xr:uid="{5BB8438B-42DA-436F-8066-6574C438480C}"/>
    <cellStyle name="Comma 3 8 6 3" xfId="36556" xr:uid="{9ED07BEE-8BCB-4C58-BCBB-70B3A385829E}"/>
    <cellStyle name="Comma 3 8 7" xfId="7828" xr:uid="{9BF3B93D-4BD0-40FE-B390-E2FEDD0CEED9}"/>
    <cellStyle name="Comma 3 8 7 2" xfId="22948" xr:uid="{853947C7-E97A-4FFC-8043-F67648B033DB}"/>
    <cellStyle name="Comma 3 8 7 2 2" xfId="53188" xr:uid="{C1EEF7AA-BAA1-4AD4-B5E3-367FDCDCFFB7}"/>
    <cellStyle name="Comma 3 8 7 3" xfId="38068" xr:uid="{3553ADA9-BF38-4CB9-B7AE-9094F7019B97}"/>
    <cellStyle name="Comma 3 8 8" xfId="9340" xr:uid="{BBD6DF7D-31E9-4E6A-BDCC-45237FDE0C84}"/>
    <cellStyle name="Comma 3 8 8 2" xfId="24460" xr:uid="{E6C81E13-29A8-4FCC-9962-7F90437A9AE7}"/>
    <cellStyle name="Comma 3 8 8 2 2" xfId="54700" xr:uid="{3257C13B-7600-4B9F-8818-F9F5D2924B88}"/>
    <cellStyle name="Comma 3 8 8 3" xfId="39580" xr:uid="{4A50ACF4-DA01-4145-AF11-F65E98935F01}"/>
    <cellStyle name="Comma 3 8 9" xfId="15388" xr:uid="{D48C8FDB-C717-40C9-A0FC-C5D7CD4ADD94}"/>
    <cellStyle name="Comma 3 8 9 2" xfId="45628" xr:uid="{0F92D676-000F-4B9C-B714-EEE51559AAD8}"/>
    <cellStyle name="Comma 3 9" xfId="520" xr:uid="{40982957-09D9-46B6-B93C-00DED88A28DD}"/>
    <cellStyle name="Comma 3 9 10" xfId="30760" xr:uid="{03FC5239-D992-48C6-8C0E-AF8E68CBF740}"/>
    <cellStyle name="Comma 3 9 2" xfId="1276" xr:uid="{BE74609E-DD03-43BE-B992-2A9D25274ED3}"/>
    <cellStyle name="Comma 3 9 2 2" xfId="2788" xr:uid="{992127EF-144E-4E45-BC77-15B6E21F66C0}"/>
    <cellStyle name="Comma 3 9 2 2 2" xfId="11860" xr:uid="{5646EB39-A5F5-4EB2-84FA-FEF3F87F3236}"/>
    <cellStyle name="Comma 3 9 2 2 2 2" xfId="26980" xr:uid="{196664C6-1A48-4982-8A21-F11824F5E7A1}"/>
    <cellStyle name="Comma 3 9 2 2 2 2 2" xfId="57220" xr:uid="{B32000F1-9628-4D41-B669-6CAFF215D254}"/>
    <cellStyle name="Comma 3 9 2 2 2 3" xfId="42100" xr:uid="{21AD94A8-D3D9-44D0-9B2C-1EAC687FEEF5}"/>
    <cellStyle name="Comma 3 9 2 2 3" xfId="17908" xr:uid="{ECA6B840-FA37-4742-B4EC-538047304C8D}"/>
    <cellStyle name="Comma 3 9 2 2 3 2" xfId="48148" xr:uid="{C4151E43-CDDD-42ED-BD94-F93A498A9F0B}"/>
    <cellStyle name="Comma 3 9 2 2 4" xfId="33028" xr:uid="{4223C585-EA47-4126-9C20-7D409E855FF4}"/>
    <cellStyle name="Comma 3 9 2 3" xfId="4300" xr:uid="{57B420E4-E3E1-4F22-8C59-0773647766BF}"/>
    <cellStyle name="Comma 3 9 2 3 2" xfId="13372" xr:uid="{8132A994-B3D6-4FD9-A764-5407AB30D6ED}"/>
    <cellStyle name="Comma 3 9 2 3 2 2" xfId="28492" xr:uid="{29013F0E-D32A-4E18-AA61-AF9A73F47C6C}"/>
    <cellStyle name="Comma 3 9 2 3 2 2 2" xfId="58732" xr:uid="{E7F6FEF3-E7FA-4D99-91CB-46E0B2296466}"/>
    <cellStyle name="Comma 3 9 2 3 2 3" xfId="43612" xr:uid="{E9AA818F-B48B-458D-B603-EBDDEC253834}"/>
    <cellStyle name="Comma 3 9 2 3 3" xfId="19420" xr:uid="{F5474753-7E1C-4E82-8B04-6C55CF43A726}"/>
    <cellStyle name="Comma 3 9 2 3 3 2" xfId="49660" xr:uid="{8E518108-1A8E-418C-9971-D1997C0CF94D}"/>
    <cellStyle name="Comma 3 9 2 3 4" xfId="34540" xr:uid="{F3E72A39-5BD0-493D-8C10-1734A55C8CFC}"/>
    <cellStyle name="Comma 3 9 2 4" xfId="5812" xr:uid="{CB21849F-6A8D-444A-9B5A-421A8E405717}"/>
    <cellStyle name="Comma 3 9 2 4 2" xfId="14884" xr:uid="{05CA9E4F-7D8C-41E1-A79E-047E8ADD709F}"/>
    <cellStyle name="Comma 3 9 2 4 2 2" xfId="30004" xr:uid="{143E8E6F-BEE6-4C88-8711-A2A90B524A5B}"/>
    <cellStyle name="Comma 3 9 2 4 2 2 2" xfId="60244" xr:uid="{4D6AF64D-3918-43A0-A57E-B94D6C93F358}"/>
    <cellStyle name="Comma 3 9 2 4 2 3" xfId="45124" xr:uid="{339AF50E-45EC-4C12-9860-5FAD475993D4}"/>
    <cellStyle name="Comma 3 9 2 4 3" xfId="20932" xr:uid="{48137749-EFC4-426B-B41C-AEAD57DD24E7}"/>
    <cellStyle name="Comma 3 9 2 4 3 2" xfId="51172" xr:uid="{CA934017-7A76-4528-9A99-AD51A4CD77E9}"/>
    <cellStyle name="Comma 3 9 2 4 4" xfId="36052" xr:uid="{F230BD20-42A9-4D7E-A328-1A3480F1AAF1}"/>
    <cellStyle name="Comma 3 9 2 5" xfId="7324" xr:uid="{1CDA7DF5-4CE5-426B-ABAA-F4D9586351A0}"/>
    <cellStyle name="Comma 3 9 2 5 2" xfId="22444" xr:uid="{E6B7ED2D-847A-45BF-90F3-ADBA531F072D}"/>
    <cellStyle name="Comma 3 9 2 5 2 2" xfId="52684" xr:uid="{C9C92433-510B-4564-A558-C05F782AC814}"/>
    <cellStyle name="Comma 3 9 2 5 3" xfId="37564" xr:uid="{C7382C14-DFB4-497B-9125-23D02DB94A1E}"/>
    <cellStyle name="Comma 3 9 2 6" xfId="8836" xr:uid="{59A60DB7-4315-410C-9061-B1B0417CF9B1}"/>
    <cellStyle name="Comma 3 9 2 6 2" xfId="23956" xr:uid="{20876A1D-2829-40FB-9F2C-D270CED1D768}"/>
    <cellStyle name="Comma 3 9 2 6 2 2" xfId="54196" xr:uid="{C37C6DFD-DF3F-4A50-A0D6-596C3CDE8923}"/>
    <cellStyle name="Comma 3 9 2 6 3" xfId="39076" xr:uid="{3E1AC8F9-F4B1-46ED-B693-55AD06F6B80D}"/>
    <cellStyle name="Comma 3 9 2 7" xfId="10348" xr:uid="{7A420B16-DB05-4CC1-8C29-B8037FEF5A65}"/>
    <cellStyle name="Comma 3 9 2 7 2" xfId="25468" xr:uid="{01BC2C05-269C-48E0-9FC1-9F347BD3E8DB}"/>
    <cellStyle name="Comma 3 9 2 7 2 2" xfId="55708" xr:uid="{E5A29003-10CF-4DE4-A342-493DF6030B7D}"/>
    <cellStyle name="Comma 3 9 2 7 3" xfId="40588" xr:uid="{95622A68-7CB8-4285-A86E-16F751B15AE1}"/>
    <cellStyle name="Comma 3 9 2 8" xfId="16396" xr:uid="{63C37F7C-A869-4F6A-A8EC-C56495308E05}"/>
    <cellStyle name="Comma 3 9 2 8 2" xfId="46636" xr:uid="{B53EBAFB-762A-4326-895A-D8F5548B8768}"/>
    <cellStyle name="Comma 3 9 2 9" xfId="31516" xr:uid="{80537B42-8AAF-42C4-8E54-D19EDFC11F92}"/>
    <cellStyle name="Comma 3 9 3" xfId="2032" xr:uid="{72830BC1-E365-441B-AD0D-9D8B6AFF6099}"/>
    <cellStyle name="Comma 3 9 3 2" xfId="11104" xr:uid="{95D4BF6B-82C0-4FDF-885D-917A30B0E45A}"/>
    <cellStyle name="Comma 3 9 3 2 2" xfId="26224" xr:uid="{6CB8CFF7-6915-4A7E-B140-2A7020357E4E}"/>
    <cellStyle name="Comma 3 9 3 2 2 2" xfId="56464" xr:uid="{05303808-497D-4F32-8F46-107D9D514934}"/>
    <cellStyle name="Comma 3 9 3 2 3" xfId="41344" xr:uid="{6EAF8FB2-E8D1-4F91-A67C-6E8D9AAD1BDC}"/>
    <cellStyle name="Comma 3 9 3 3" xfId="17152" xr:uid="{2613359B-CC4C-46F8-AC33-C5A17048CCE3}"/>
    <cellStyle name="Comma 3 9 3 3 2" xfId="47392" xr:uid="{705F628B-D066-4D63-B663-1D100088C8EF}"/>
    <cellStyle name="Comma 3 9 3 4" xfId="32272" xr:uid="{283CE749-002F-4713-9A52-EF1E5399BC69}"/>
    <cellStyle name="Comma 3 9 4" xfId="3544" xr:uid="{58407C96-ED9C-47D4-86CA-C4F754E8CE30}"/>
    <cellStyle name="Comma 3 9 4 2" xfId="12616" xr:uid="{21E92B2B-0529-4FEB-91CB-2CF0C12FF8CD}"/>
    <cellStyle name="Comma 3 9 4 2 2" xfId="27736" xr:uid="{FDEDE585-C5D9-4474-94B1-8D86A00976C4}"/>
    <cellStyle name="Comma 3 9 4 2 2 2" xfId="57976" xr:uid="{F0A0D972-45CC-4D80-893F-D5F1660B8E72}"/>
    <cellStyle name="Comma 3 9 4 2 3" xfId="42856" xr:uid="{C34809C8-66EB-4FF3-BD67-799164AD0C30}"/>
    <cellStyle name="Comma 3 9 4 3" xfId="18664" xr:uid="{A1B35C26-C8AE-4769-B150-A8AF324387D5}"/>
    <cellStyle name="Comma 3 9 4 3 2" xfId="48904" xr:uid="{76493913-5CFD-4BED-BE45-8F42C3BEA82A}"/>
    <cellStyle name="Comma 3 9 4 4" xfId="33784" xr:uid="{CD7AB243-4192-4AD8-9C9E-B301EB3D7D42}"/>
    <cellStyle name="Comma 3 9 5" xfId="5056" xr:uid="{939910D2-7E58-471A-97B3-62CBD7E643A2}"/>
    <cellStyle name="Comma 3 9 5 2" xfId="14128" xr:uid="{FFC38FE8-F5F3-4905-86C9-7DCEBD680543}"/>
    <cellStyle name="Comma 3 9 5 2 2" xfId="29248" xr:uid="{BFA335C7-A782-497A-98F1-D2C2FC50CF33}"/>
    <cellStyle name="Comma 3 9 5 2 2 2" xfId="59488" xr:uid="{A03C7362-2D92-492A-90EA-2894DA48267C}"/>
    <cellStyle name="Comma 3 9 5 2 3" xfId="44368" xr:uid="{D9AA6B41-1368-4A63-8C58-981E6DA4E819}"/>
    <cellStyle name="Comma 3 9 5 3" xfId="20176" xr:uid="{876C9C51-0E41-43DE-B971-38AAFF7187F7}"/>
    <cellStyle name="Comma 3 9 5 3 2" xfId="50416" xr:uid="{FD248F72-A7B5-45F6-A673-CF6646BC4BE7}"/>
    <cellStyle name="Comma 3 9 5 4" xfId="35296" xr:uid="{A23ABC68-0D94-4349-BE2D-8F9626CF7BB6}"/>
    <cellStyle name="Comma 3 9 6" xfId="6568" xr:uid="{27697D09-B670-41ED-92E8-05F6E9F55298}"/>
    <cellStyle name="Comma 3 9 6 2" xfId="21688" xr:uid="{2E3AC2CB-F88F-455B-98F3-E9AF4CB9C2EC}"/>
    <cellStyle name="Comma 3 9 6 2 2" xfId="51928" xr:uid="{3FEFD8CF-149C-4272-A027-EF1A193789F9}"/>
    <cellStyle name="Comma 3 9 6 3" xfId="36808" xr:uid="{A37FB51F-A277-46D9-8A7F-D7748D895DC3}"/>
    <cellStyle name="Comma 3 9 7" xfId="8080" xr:uid="{69B63B0C-31EF-44A0-995F-7CA74D46BD86}"/>
    <cellStyle name="Comma 3 9 7 2" xfId="23200" xr:uid="{00476603-9446-4F85-B436-EF193FA016D9}"/>
    <cellStyle name="Comma 3 9 7 2 2" xfId="53440" xr:uid="{B24016FD-B200-4C76-9428-7EE9D87FAEC3}"/>
    <cellStyle name="Comma 3 9 7 3" xfId="38320" xr:uid="{492220FC-B124-456F-8CAF-13B9FF373F8C}"/>
    <cellStyle name="Comma 3 9 8" xfId="9592" xr:uid="{8089F69F-1132-4422-BD0D-EF31778A26FC}"/>
    <cellStyle name="Comma 3 9 8 2" xfId="24712" xr:uid="{30F96B0F-9B6B-45D8-BFF7-0B0194A8CE0F}"/>
    <cellStyle name="Comma 3 9 8 2 2" xfId="54952" xr:uid="{569B62ED-975E-4ABD-803F-2D01546FB222}"/>
    <cellStyle name="Comma 3 9 8 3" xfId="39832" xr:uid="{20D20754-975E-43D1-AA42-C6CEDDDF0FF0}"/>
    <cellStyle name="Comma 3 9 9" xfId="15640" xr:uid="{A63C381E-69B4-400B-BA43-5091E45C5771}"/>
    <cellStyle name="Comma 3 9 9 2" xfId="45880" xr:uid="{E505DC01-33E3-4B3E-BCF2-9D777BBBE4BA}"/>
    <cellStyle name="Comma 30" xfId="60503" xr:uid="{99979795-E3D2-46A4-898C-20ED52F04834}"/>
    <cellStyle name="Comma 31" xfId="60507" xr:uid="{94F7D69B-17FF-4863-8EF6-8B09A8D7C500}"/>
    <cellStyle name="Comma 4" xfId="13" xr:uid="{576F4B04-231B-44E8-A3C0-C47E9F6A6E59}"/>
    <cellStyle name="Comma 4 10" xfId="1529" xr:uid="{4BEF94BA-7DE0-412E-B53A-8461E22CEA7C}"/>
    <cellStyle name="Comma 4 10 2" xfId="10601" xr:uid="{A19A5FB5-CCEF-49CF-B0F5-51B084B98314}"/>
    <cellStyle name="Comma 4 10 2 2" xfId="25721" xr:uid="{96D82E26-F220-4FEF-A240-72A6579DAB4A}"/>
    <cellStyle name="Comma 4 10 2 2 2" xfId="55961" xr:uid="{4732E550-0033-4A97-89D3-DBE43C57B29A}"/>
    <cellStyle name="Comma 4 10 2 3" xfId="40841" xr:uid="{DCC57190-39C7-4A9B-88AE-06200160AA6E}"/>
    <cellStyle name="Comma 4 10 3" xfId="16649" xr:uid="{A32B2C61-2A16-4CAD-9DD2-B646F4571645}"/>
    <cellStyle name="Comma 4 10 3 2" xfId="46889" xr:uid="{6E4B338C-FFAF-4AAD-8CDF-20B316FE6A4C}"/>
    <cellStyle name="Comma 4 10 4" xfId="31769" xr:uid="{D88B03A9-C65F-473F-95E9-1A97289E4D02}"/>
    <cellStyle name="Comma 4 11" xfId="3041" xr:uid="{5F69F517-6D66-4D8C-8F1D-C7221B2ABEF9}"/>
    <cellStyle name="Comma 4 11 2" xfId="12113" xr:uid="{024C6014-C91E-44FE-B7B8-C6EC38639D1A}"/>
    <cellStyle name="Comma 4 11 2 2" xfId="27233" xr:uid="{E074FEAA-F122-4E48-8F98-A7FC01F548C3}"/>
    <cellStyle name="Comma 4 11 2 2 2" xfId="57473" xr:uid="{639E9D18-F6AF-4B23-9A09-9AA79E7DD732}"/>
    <cellStyle name="Comma 4 11 2 3" xfId="42353" xr:uid="{DDA19C8C-8079-4547-9330-F09DBCDA1C68}"/>
    <cellStyle name="Comma 4 11 3" xfId="18161" xr:uid="{5AF49B3A-DACE-45DD-9AE7-6F2263BEB8DB}"/>
    <cellStyle name="Comma 4 11 3 2" xfId="48401" xr:uid="{24076BF8-E903-47B2-9CEF-5D86E2F3EB10}"/>
    <cellStyle name="Comma 4 11 4" xfId="33281" xr:uid="{E0724696-125B-4EA4-8229-D1148213773B}"/>
    <cellStyle name="Comma 4 12" xfId="4553" xr:uid="{E0B8C9B7-0597-4705-AD1D-59A7D4D112B1}"/>
    <cellStyle name="Comma 4 12 2" xfId="13625" xr:uid="{A2B4217D-F73A-42DA-9E7E-7F303645AF82}"/>
    <cellStyle name="Comma 4 12 2 2" xfId="28745" xr:uid="{160FD131-9BFF-4295-82EA-193C371EBEED}"/>
    <cellStyle name="Comma 4 12 2 2 2" xfId="58985" xr:uid="{AFD68AE2-6333-4BB3-ACDE-5AA23061F6EC}"/>
    <cellStyle name="Comma 4 12 2 3" xfId="43865" xr:uid="{C8A6E2CD-DA93-404E-95AA-F0F6370F74FF}"/>
    <cellStyle name="Comma 4 12 3" xfId="19673" xr:uid="{E1A67A1B-C553-4155-9503-58C12DDD1B17}"/>
    <cellStyle name="Comma 4 12 3 2" xfId="49913" xr:uid="{564B66AB-2C35-40AA-AE82-890161B88360}"/>
    <cellStyle name="Comma 4 12 4" xfId="34793" xr:uid="{DF9CBF0A-631C-4715-88C1-CF8B4BCC4457}"/>
    <cellStyle name="Comma 4 13" xfId="6065" xr:uid="{896BFE76-7D9E-44F3-92AB-0F25DA08DA23}"/>
    <cellStyle name="Comma 4 13 2" xfId="21185" xr:uid="{788ED789-E5EF-405D-80A1-B3D80037895F}"/>
    <cellStyle name="Comma 4 13 2 2" xfId="51425" xr:uid="{8F66D936-8A14-4323-8D8C-75086C277A4F}"/>
    <cellStyle name="Comma 4 13 3" xfId="36305" xr:uid="{2EE25A43-293F-4839-AF2F-04D5135CF902}"/>
    <cellStyle name="Comma 4 14" xfId="7577" xr:uid="{FDCEC2A7-A532-4908-ABAF-08DD57D5D320}"/>
    <cellStyle name="Comma 4 14 2" xfId="22697" xr:uid="{4C96FA65-9E03-4E75-BA64-FD78BFEDAA59}"/>
    <cellStyle name="Comma 4 14 2 2" xfId="52937" xr:uid="{A5F0D1CF-EF32-4B9B-97BE-6021F5EC8563}"/>
    <cellStyle name="Comma 4 14 3" xfId="37817" xr:uid="{F3168990-5566-4089-8227-E6A8248EAAB3}"/>
    <cellStyle name="Comma 4 15" xfId="9089" xr:uid="{ADA56D7D-B5D0-4BFA-AECC-67B2DF9A1F8F}"/>
    <cellStyle name="Comma 4 15 2" xfId="24209" xr:uid="{BED52FDB-37BB-4E9C-990D-83F00B8D81F3}"/>
    <cellStyle name="Comma 4 15 2 2" xfId="54449" xr:uid="{768CF485-9EC3-4CB8-A925-9C228B446972}"/>
    <cellStyle name="Comma 4 15 3" xfId="39329" xr:uid="{B18A27D5-F510-4725-8EFE-30101B48C668}"/>
    <cellStyle name="Comma 4 16" xfId="15137" xr:uid="{2A742CEF-A9CC-4F79-AF86-861D38155F89}"/>
    <cellStyle name="Comma 4 16 2" xfId="45377" xr:uid="{C5F44A66-C3A1-472C-AD01-4D14F0A90A60}"/>
    <cellStyle name="Comma 4 17" xfId="30257" xr:uid="{EB9599A2-D7A7-4F0B-BCB3-B97DF6B68472}"/>
    <cellStyle name="Comma 4 18" xfId="18" xr:uid="{0BBDB9AD-5ECE-42A7-B9E6-35781D60C10F}"/>
    <cellStyle name="Comma 4 2" xfId="31" xr:uid="{35F46D73-A17C-4E39-8B38-1417D91B40AE}"/>
    <cellStyle name="Comma 4 2 10" xfId="4567" xr:uid="{2329808D-9A68-4418-A27F-252B97E18F11}"/>
    <cellStyle name="Comma 4 2 10 2" xfId="13639" xr:uid="{04424E09-0241-45F0-B08E-4CA95447F7B4}"/>
    <cellStyle name="Comma 4 2 10 2 2" xfId="28759" xr:uid="{3D6C0251-CE1F-4777-A2E8-F770E633F04C}"/>
    <cellStyle name="Comma 4 2 10 2 2 2" xfId="58999" xr:uid="{34E5DEB3-7FCE-413C-B990-E03FAF9B2436}"/>
    <cellStyle name="Comma 4 2 10 2 3" xfId="43879" xr:uid="{1834EFD3-4DE1-488F-9757-8464E0C176C1}"/>
    <cellStyle name="Comma 4 2 10 3" xfId="19687" xr:uid="{7CEBF392-2D07-4721-B2EA-420A70467BBF}"/>
    <cellStyle name="Comma 4 2 10 3 2" xfId="49927" xr:uid="{DCFA2487-8E88-4CE6-93CC-848E3D2D3FD6}"/>
    <cellStyle name="Comma 4 2 10 4" xfId="34807" xr:uid="{9C527891-1674-43DD-AD6E-00C738B7EC7B}"/>
    <cellStyle name="Comma 4 2 11" xfId="6079" xr:uid="{83D08C5F-26F8-4E85-9C88-50B0133C2FD3}"/>
    <cellStyle name="Comma 4 2 11 2" xfId="21199" xr:uid="{E956C848-4174-4506-B6F8-390ED9E44B43}"/>
    <cellStyle name="Comma 4 2 11 2 2" xfId="51439" xr:uid="{84FAC5F1-8FE1-4EAB-B6D2-062DB0CBC639}"/>
    <cellStyle name="Comma 4 2 11 3" xfId="36319" xr:uid="{4BD11205-5B39-4B74-83F9-FF1F97B8FDE8}"/>
    <cellStyle name="Comma 4 2 12" xfId="7591" xr:uid="{ECA5EB20-375E-492B-8D6F-91AF1CE92D81}"/>
    <cellStyle name="Comma 4 2 12 2" xfId="22711" xr:uid="{5A38D997-C674-405C-96B5-3ED9E72E61B7}"/>
    <cellStyle name="Comma 4 2 12 2 2" xfId="52951" xr:uid="{F703A53D-66BA-4CDD-BCB2-D24054EA4142}"/>
    <cellStyle name="Comma 4 2 12 3" xfId="37831" xr:uid="{E51922EB-27A8-4804-8D77-895C3004FF7C}"/>
    <cellStyle name="Comma 4 2 13" xfId="9103" xr:uid="{55C53900-CFD5-4A31-892D-B62217FBAAD5}"/>
    <cellStyle name="Comma 4 2 13 2" xfId="24223" xr:uid="{16E7D2A7-B492-4E5E-9928-61122CFFF1F7}"/>
    <cellStyle name="Comma 4 2 13 2 2" xfId="54463" xr:uid="{6993F269-E400-4AAE-9D41-8FDBD49D0963}"/>
    <cellStyle name="Comma 4 2 13 3" xfId="39343" xr:uid="{38C2AC24-6659-4BCF-A137-43D9E0C21E27}"/>
    <cellStyle name="Comma 4 2 14" xfId="15151" xr:uid="{2B3CB60A-4500-4263-AE39-2D4EB91D0F18}"/>
    <cellStyle name="Comma 4 2 14 2" xfId="45391" xr:uid="{1092B75A-286A-4E8D-A72A-98DD68411021}"/>
    <cellStyle name="Comma 4 2 15" xfId="30271" xr:uid="{C52E2807-CD32-4B16-8731-EBFE6168E09E}"/>
    <cellStyle name="Comma 4 2 2" xfId="73" xr:uid="{9A8940D4-A4B6-47D8-9167-BAF30693286D}"/>
    <cellStyle name="Comma 4 2 2 10" xfId="6121" xr:uid="{59C34D75-B8F6-433D-807F-4FC0C79DC7F1}"/>
    <cellStyle name="Comma 4 2 2 10 2" xfId="21241" xr:uid="{C561C6EB-8AA0-4181-820A-6888B1A1B5FB}"/>
    <cellStyle name="Comma 4 2 2 10 2 2" xfId="51481" xr:uid="{7FC76C37-D86E-4735-8505-14910BA21FB6}"/>
    <cellStyle name="Comma 4 2 2 10 3" xfId="36361" xr:uid="{1C980EB6-C67A-46A8-B152-43604FA50809}"/>
    <cellStyle name="Comma 4 2 2 11" xfId="7633" xr:uid="{0917AA7B-EB9C-485E-BC19-157F8FA6E9E6}"/>
    <cellStyle name="Comma 4 2 2 11 2" xfId="22753" xr:uid="{289BA5D1-B03D-4A35-8D55-778669B658CB}"/>
    <cellStyle name="Comma 4 2 2 11 2 2" xfId="52993" xr:uid="{41D1A055-2172-4349-8E67-33BA0F536D29}"/>
    <cellStyle name="Comma 4 2 2 11 3" xfId="37873" xr:uid="{71DB6E5F-698C-48EE-93D7-4BAAEDECA7DC}"/>
    <cellStyle name="Comma 4 2 2 12" xfId="9145" xr:uid="{5423D3B6-DA36-48B9-AAE3-157611B72E07}"/>
    <cellStyle name="Comma 4 2 2 12 2" xfId="24265" xr:uid="{7DE84EBC-03B7-471C-940C-072556731844}"/>
    <cellStyle name="Comma 4 2 2 12 2 2" xfId="54505" xr:uid="{4259B7E7-984F-4233-9D55-627D22FC8FFC}"/>
    <cellStyle name="Comma 4 2 2 12 3" xfId="39385" xr:uid="{23B750A4-2553-46FF-A11A-A5026B64113A}"/>
    <cellStyle name="Comma 4 2 2 13" xfId="15193" xr:uid="{45C2F28D-C8B1-4F70-87F8-98C53480A334}"/>
    <cellStyle name="Comma 4 2 2 13 2" xfId="45433" xr:uid="{E974266A-CF9F-45D0-829A-A2F7382DF650}"/>
    <cellStyle name="Comma 4 2 2 14" xfId="30313" xr:uid="{6A8A81A2-D366-43A3-9CB9-58CB792CA27A}"/>
    <cellStyle name="Comma 4 2 2 2" xfId="157" xr:uid="{B48D8C8B-09AF-4D49-BFF8-C66102CA605C}"/>
    <cellStyle name="Comma 4 2 2 2 10" xfId="9229" xr:uid="{7B568B88-8A74-4489-9F1B-242CAE0E49D7}"/>
    <cellStyle name="Comma 4 2 2 2 10 2" xfId="24349" xr:uid="{5E557327-BC98-488C-AFB9-041E17EC3ED1}"/>
    <cellStyle name="Comma 4 2 2 2 10 2 2" xfId="54589" xr:uid="{1CAFF5E8-9D91-4262-996B-0AED2674F292}"/>
    <cellStyle name="Comma 4 2 2 2 10 3" xfId="39469" xr:uid="{DEC38806-4132-4449-B272-B3DB9CBEBC13}"/>
    <cellStyle name="Comma 4 2 2 2 11" xfId="15277" xr:uid="{8FB7F63D-0A25-41D2-90B8-6B4A795E64DC}"/>
    <cellStyle name="Comma 4 2 2 2 11 2" xfId="45517" xr:uid="{D482E073-4E02-44EB-A92E-E1BF5778F53B}"/>
    <cellStyle name="Comma 4 2 2 2 12" xfId="30397" xr:uid="{62E6D859-C9C2-4848-B148-EC66993828CD}"/>
    <cellStyle name="Comma 4 2 2 2 2" xfId="409" xr:uid="{BBD63475-EA0D-4DF7-9BFE-4309E56F7E95}"/>
    <cellStyle name="Comma 4 2 2 2 2 10" xfId="30649" xr:uid="{4349264B-3181-4531-80C6-75093020E3B2}"/>
    <cellStyle name="Comma 4 2 2 2 2 2" xfId="1165" xr:uid="{2675F81B-6675-4EDA-B9B0-8B826B81D725}"/>
    <cellStyle name="Comma 4 2 2 2 2 2 2" xfId="2677" xr:uid="{8D9C1DF1-E0C0-499C-86DD-F61A6AA73E09}"/>
    <cellStyle name="Comma 4 2 2 2 2 2 2 2" xfId="11749" xr:uid="{CF17E410-BC84-4A0D-9304-234540B87C4C}"/>
    <cellStyle name="Comma 4 2 2 2 2 2 2 2 2" xfId="26869" xr:uid="{2AF49896-A37C-42ED-AD08-73E191388307}"/>
    <cellStyle name="Comma 4 2 2 2 2 2 2 2 2 2" xfId="57109" xr:uid="{407A3934-4CF9-4FFD-8C2F-8F7A42652500}"/>
    <cellStyle name="Comma 4 2 2 2 2 2 2 2 3" xfId="41989" xr:uid="{9D8A34B1-E923-498E-B20E-53F5D0239DA8}"/>
    <cellStyle name="Comma 4 2 2 2 2 2 2 3" xfId="17797" xr:uid="{38ACC894-F2E8-4AAB-B8DE-D7D7118DCAC9}"/>
    <cellStyle name="Comma 4 2 2 2 2 2 2 3 2" xfId="48037" xr:uid="{23EC3D3B-677A-424B-894D-A2BA433CE492}"/>
    <cellStyle name="Comma 4 2 2 2 2 2 2 4" xfId="32917" xr:uid="{8EDB270E-C208-4FC7-A93A-C639CEEE9F54}"/>
    <cellStyle name="Comma 4 2 2 2 2 2 3" xfId="4189" xr:uid="{12AC6BF5-9F15-4753-B1BE-0282A9C4B87B}"/>
    <cellStyle name="Comma 4 2 2 2 2 2 3 2" xfId="13261" xr:uid="{432DE5AB-B5CA-4B3B-958A-BEC626193095}"/>
    <cellStyle name="Comma 4 2 2 2 2 2 3 2 2" xfId="28381" xr:uid="{4CB2B945-3DD2-48C9-9111-A6A5650A8C65}"/>
    <cellStyle name="Comma 4 2 2 2 2 2 3 2 2 2" xfId="58621" xr:uid="{27DF9C80-0207-4B5F-906B-1779ED4D7329}"/>
    <cellStyle name="Comma 4 2 2 2 2 2 3 2 3" xfId="43501" xr:uid="{41B7FEB0-5E36-4AEE-9CA6-F09DEE9BF780}"/>
    <cellStyle name="Comma 4 2 2 2 2 2 3 3" xfId="19309" xr:uid="{72B9E65A-3AE7-4FC5-924A-9056D366C15B}"/>
    <cellStyle name="Comma 4 2 2 2 2 2 3 3 2" xfId="49549" xr:uid="{0D1D83CE-873C-4683-956F-03BAAE01B762}"/>
    <cellStyle name="Comma 4 2 2 2 2 2 3 4" xfId="34429" xr:uid="{E57B063D-0409-4065-B2B9-A2441E7D06C7}"/>
    <cellStyle name="Comma 4 2 2 2 2 2 4" xfId="5701" xr:uid="{B644DC6E-FC96-427B-89DF-F9DBCA4CE346}"/>
    <cellStyle name="Comma 4 2 2 2 2 2 4 2" xfId="14773" xr:uid="{3B3F6747-6174-42E2-BC48-11DC6A1B2387}"/>
    <cellStyle name="Comma 4 2 2 2 2 2 4 2 2" xfId="29893" xr:uid="{0F155061-FB04-4608-9B81-12788095DFA6}"/>
    <cellStyle name="Comma 4 2 2 2 2 2 4 2 2 2" xfId="60133" xr:uid="{05DB5BE8-3230-452C-B384-EEE8FC5CE605}"/>
    <cellStyle name="Comma 4 2 2 2 2 2 4 2 3" xfId="45013" xr:uid="{C3C7702E-8125-48AB-9299-0285BB11A97E}"/>
    <cellStyle name="Comma 4 2 2 2 2 2 4 3" xfId="20821" xr:uid="{DC389673-FB7A-44B9-83F0-B258FC4871A3}"/>
    <cellStyle name="Comma 4 2 2 2 2 2 4 3 2" xfId="51061" xr:uid="{224CC4CA-B3D8-4FA3-81D2-FBE5B28A084A}"/>
    <cellStyle name="Comma 4 2 2 2 2 2 4 4" xfId="35941" xr:uid="{B4D7B59E-B9E4-4E88-A4E8-81CD929AD135}"/>
    <cellStyle name="Comma 4 2 2 2 2 2 5" xfId="7213" xr:uid="{9FFB8E2F-F035-4D50-886B-0A1B390917A7}"/>
    <cellStyle name="Comma 4 2 2 2 2 2 5 2" xfId="22333" xr:uid="{6E7F5539-B57C-44EF-968D-2AEA8CB02449}"/>
    <cellStyle name="Comma 4 2 2 2 2 2 5 2 2" xfId="52573" xr:uid="{855806B7-82C9-467F-837F-FCEB7E980F07}"/>
    <cellStyle name="Comma 4 2 2 2 2 2 5 3" xfId="37453" xr:uid="{3A42B5FE-53E1-496D-8A32-7F11F5023F19}"/>
    <cellStyle name="Comma 4 2 2 2 2 2 6" xfId="8725" xr:uid="{DAC4A167-D0AB-45FE-94BC-B1CC3E47BB7F}"/>
    <cellStyle name="Comma 4 2 2 2 2 2 6 2" xfId="23845" xr:uid="{9B5FBD50-6B03-40C8-9F15-13128CA11047}"/>
    <cellStyle name="Comma 4 2 2 2 2 2 6 2 2" xfId="54085" xr:uid="{A25FD6EC-0C3B-412D-93C0-2823739EC2B3}"/>
    <cellStyle name="Comma 4 2 2 2 2 2 6 3" xfId="38965" xr:uid="{22B752EA-C6E7-47D4-ADBB-C51254932756}"/>
    <cellStyle name="Comma 4 2 2 2 2 2 7" xfId="10237" xr:uid="{8DFBCD90-ECBA-4E73-9602-48C75F9DC99D}"/>
    <cellStyle name="Comma 4 2 2 2 2 2 7 2" xfId="25357" xr:uid="{DDAA832B-ABA5-4209-B95F-4DD01848F22F}"/>
    <cellStyle name="Comma 4 2 2 2 2 2 7 2 2" xfId="55597" xr:uid="{55357BF0-AB46-42C4-9C0C-45436E0EE521}"/>
    <cellStyle name="Comma 4 2 2 2 2 2 7 3" xfId="40477" xr:uid="{357D30CA-9A5D-4A12-88C7-F38FC26660E5}"/>
    <cellStyle name="Comma 4 2 2 2 2 2 8" xfId="16285" xr:uid="{ED6A1D9F-26B8-4C8E-AD89-B54E3A6E94E4}"/>
    <cellStyle name="Comma 4 2 2 2 2 2 8 2" xfId="46525" xr:uid="{88A32640-75C7-4C24-B922-27BA5A79CADA}"/>
    <cellStyle name="Comma 4 2 2 2 2 2 9" xfId="31405" xr:uid="{2043C545-0BBE-43AD-A6C4-F8F1E1AE0CEA}"/>
    <cellStyle name="Comma 4 2 2 2 2 3" xfId="1921" xr:uid="{5FC3C9AD-C875-4AE1-A147-774ABD9F3D2E}"/>
    <cellStyle name="Comma 4 2 2 2 2 3 2" xfId="10993" xr:uid="{2CC93395-E66E-4C3D-AA3F-5F0B82691929}"/>
    <cellStyle name="Comma 4 2 2 2 2 3 2 2" xfId="26113" xr:uid="{279B5B95-19F4-4BEE-A6F0-84AFBAE5B5EF}"/>
    <cellStyle name="Comma 4 2 2 2 2 3 2 2 2" xfId="56353" xr:uid="{19D6E8DE-962B-44F1-A458-2623D9986D73}"/>
    <cellStyle name="Comma 4 2 2 2 2 3 2 3" xfId="41233" xr:uid="{477FD9CE-8737-413F-8987-519826CB53EE}"/>
    <cellStyle name="Comma 4 2 2 2 2 3 3" xfId="17041" xr:uid="{1667244D-C0F4-4A1E-BDB3-D204BE2418F3}"/>
    <cellStyle name="Comma 4 2 2 2 2 3 3 2" xfId="47281" xr:uid="{37EC1E0F-1BF4-4BC8-A6FF-0713A23609AA}"/>
    <cellStyle name="Comma 4 2 2 2 2 3 4" xfId="32161" xr:uid="{CB206FB7-E8F9-41B2-9342-2DE3FB41744E}"/>
    <cellStyle name="Comma 4 2 2 2 2 4" xfId="3433" xr:uid="{0936656E-398D-4D74-8EDB-24AFBF196B78}"/>
    <cellStyle name="Comma 4 2 2 2 2 4 2" xfId="12505" xr:uid="{6CA49D4A-BB76-40DE-8F02-02EFC87BC8D9}"/>
    <cellStyle name="Comma 4 2 2 2 2 4 2 2" xfId="27625" xr:uid="{EBE95D98-9381-40B7-A06F-F06D8A1C20F4}"/>
    <cellStyle name="Comma 4 2 2 2 2 4 2 2 2" xfId="57865" xr:uid="{D2793D28-F259-4404-92F2-0B1629CE6D4F}"/>
    <cellStyle name="Comma 4 2 2 2 2 4 2 3" xfId="42745" xr:uid="{E8D05E00-28D0-407A-9C09-ED84490AE7D3}"/>
    <cellStyle name="Comma 4 2 2 2 2 4 3" xfId="18553" xr:uid="{B1370AFD-53F5-4244-AC2F-D68D67AA2A2B}"/>
    <cellStyle name="Comma 4 2 2 2 2 4 3 2" xfId="48793" xr:uid="{F21248F2-72F7-4ECE-A9AD-B0827F38D45F}"/>
    <cellStyle name="Comma 4 2 2 2 2 4 4" xfId="33673" xr:uid="{70CE0567-D618-47A0-9F46-FE6304C97EB7}"/>
    <cellStyle name="Comma 4 2 2 2 2 5" xfId="4945" xr:uid="{839E6253-3186-4228-9A89-8B80BE66D385}"/>
    <cellStyle name="Comma 4 2 2 2 2 5 2" xfId="14017" xr:uid="{3CAADE83-1B6B-42FE-A7D2-4FC126C00670}"/>
    <cellStyle name="Comma 4 2 2 2 2 5 2 2" xfId="29137" xr:uid="{B6DB5783-6BCD-4DF5-BF53-CD663D75BDC2}"/>
    <cellStyle name="Comma 4 2 2 2 2 5 2 2 2" xfId="59377" xr:uid="{38EA17E6-E5EA-4A6E-99C4-9A60C2F34513}"/>
    <cellStyle name="Comma 4 2 2 2 2 5 2 3" xfId="44257" xr:uid="{BB042867-15A5-4255-B336-2518512D2859}"/>
    <cellStyle name="Comma 4 2 2 2 2 5 3" xfId="20065" xr:uid="{CB07684A-4717-4F72-84FA-D6101927997E}"/>
    <cellStyle name="Comma 4 2 2 2 2 5 3 2" xfId="50305" xr:uid="{88C1AC65-780D-4D76-933A-AB8DEB9997AA}"/>
    <cellStyle name="Comma 4 2 2 2 2 5 4" xfId="35185" xr:uid="{8E597F53-3C3A-477C-ADEC-25267124836F}"/>
    <cellStyle name="Comma 4 2 2 2 2 6" xfId="6457" xr:uid="{3361BA74-9274-486B-954D-F6510A9A36ED}"/>
    <cellStyle name="Comma 4 2 2 2 2 6 2" xfId="21577" xr:uid="{16FEC7DB-2BB5-4A5B-9537-07B4B123D98C}"/>
    <cellStyle name="Comma 4 2 2 2 2 6 2 2" xfId="51817" xr:uid="{259FEB93-C15B-4148-9B6B-D2D0F2E108DC}"/>
    <cellStyle name="Comma 4 2 2 2 2 6 3" xfId="36697" xr:uid="{D98650FA-6D5D-4751-9E40-AD184D70D441}"/>
    <cellStyle name="Comma 4 2 2 2 2 7" xfId="7969" xr:uid="{CAB026FF-8598-48C4-A6D6-48ECF8630C97}"/>
    <cellStyle name="Comma 4 2 2 2 2 7 2" xfId="23089" xr:uid="{C54EC40A-258E-414D-AAD4-BDF201D162B1}"/>
    <cellStyle name="Comma 4 2 2 2 2 7 2 2" xfId="53329" xr:uid="{CAE3E141-06F9-4307-8FD6-E345FDF1EE83}"/>
    <cellStyle name="Comma 4 2 2 2 2 7 3" xfId="38209" xr:uid="{57FE4C0A-F08F-4C9C-970F-D2B39BCAAE9A}"/>
    <cellStyle name="Comma 4 2 2 2 2 8" xfId="9481" xr:uid="{9CDD5123-5725-44AE-9FCE-E0BB6FE16EF0}"/>
    <cellStyle name="Comma 4 2 2 2 2 8 2" xfId="24601" xr:uid="{871802B4-0B5C-4B8C-AADF-087034012604}"/>
    <cellStyle name="Comma 4 2 2 2 2 8 2 2" xfId="54841" xr:uid="{0B19D8E5-4067-4589-A082-00B814055266}"/>
    <cellStyle name="Comma 4 2 2 2 2 8 3" xfId="39721" xr:uid="{33A348B2-C9CE-4B78-B0D1-B4434F4B3857}"/>
    <cellStyle name="Comma 4 2 2 2 2 9" xfId="15529" xr:uid="{113DF300-C952-4FB5-8DEC-194A96E410E2}"/>
    <cellStyle name="Comma 4 2 2 2 2 9 2" xfId="45769" xr:uid="{2BF94AFC-BFA6-417F-BC13-6F78CA5B9B4C}"/>
    <cellStyle name="Comma 4 2 2 2 3" xfId="661" xr:uid="{D53638A7-C752-491F-91AD-3B062CC3BA6B}"/>
    <cellStyle name="Comma 4 2 2 2 3 10" xfId="30901" xr:uid="{E143AFBC-60EE-46D4-8798-2ED8B12A6B9C}"/>
    <cellStyle name="Comma 4 2 2 2 3 2" xfId="1417" xr:uid="{C59C8760-B35F-4D61-B654-15707BE75A88}"/>
    <cellStyle name="Comma 4 2 2 2 3 2 2" xfId="2929" xr:uid="{EC85D44A-F904-40CB-8E00-A5A61CA27B3F}"/>
    <cellStyle name="Comma 4 2 2 2 3 2 2 2" xfId="12001" xr:uid="{A542D96B-84C1-44A8-A265-61239D0A9753}"/>
    <cellStyle name="Comma 4 2 2 2 3 2 2 2 2" xfId="27121" xr:uid="{9B423993-A1A5-4636-A40A-5BABA224CF72}"/>
    <cellStyle name="Comma 4 2 2 2 3 2 2 2 2 2" xfId="57361" xr:uid="{D439209B-B61A-4BAE-B1EB-42EBDD0FB85D}"/>
    <cellStyle name="Comma 4 2 2 2 3 2 2 2 3" xfId="42241" xr:uid="{232FB105-6A24-4412-9648-52CBDEF1C1AE}"/>
    <cellStyle name="Comma 4 2 2 2 3 2 2 3" xfId="18049" xr:uid="{492DA2BF-BAD2-460E-89C6-3FBF3D275861}"/>
    <cellStyle name="Comma 4 2 2 2 3 2 2 3 2" xfId="48289" xr:uid="{D03D91B3-AAEA-4C4A-BFCD-11622FD8793C}"/>
    <cellStyle name="Comma 4 2 2 2 3 2 2 4" xfId="33169" xr:uid="{85ECD111-4ADE-435E-BB3F-6F923AA24697}"/>
    <cellStyle name="Comma 4 2 2 2 3 2 3" xfId="4441" xr:uid="{402B50A2-A490-4C2B-BA53-D8DFF081BE4A}"/>
    <cellStyle name="Comma 4 2 2 2 3 2 3 2" xfId="13513" xr:uid="{19282BEA-0E1A-4B74-B392-672871FFDF23}"/>
    <cellStyle name="Comma 4 2 2 2 3 2 3 2 2" xfId="28633" xr:uid="{1CD56103-60F4-4606-AFDE-E327A6E29A51}"/>
    <cellStyle name="Comma 4 2 2 2 3 2 3 2 2 2" xfId="58873" xr:uid="{17E02E8B-96A9-45CB-B898-8643CECBA051}"/>
    <cellStyle name="Comma 4 2 2 2 3 2 3 2 3" xfId="43753" xr:uid="{C621CA60-6D5C-4D7C-B967-B10AF879266B}"/>
    <cellStyle name="Comma 4 2 2 2 3 2 3 3" xfId="19561" xr:uid="{F683CFB1-7B2E-4397-991F-160073A3DEE0}"/>
    <cellStyle name="Comma 4 2 2 2 3 2 3 3 2" xfId="49801" xr:uid="{D0DA6A60-8CEC-4B4C-B57F-66F362C53E5D}"/>
    <cellStyle name="Comma 4 2 2 2 3 2 3 4" xfId="34681" xr:uid="{EF36FE49-62F9-42A6-AB69-4B478A2BD1AE}"/>
    <cellStyle name="Comma 4 2 2 2 3 2 4" xfId="5953" xr:uid="{A35C8473-649D-48BE-88E3-78D2E5207C13}"/>
    <cellStyle name="Comma 4 2 2 2 3 2 4 2" xfId="15025" xr:uid="{7FE8FB34-40D5-4A6A-B2E2-D775C2BC1608}"/>
    <cellStyle name="Comma 4 2 2 2 3 2 4 2 2" xfId="30145" xr:uid="{6B68B3AA-683E-47B8-9518-D8172E902C97}"/>
    <cellStyle name="Comma 4 2 2 2 3 2 4 2 2 2" xfId="60385" xr:uid="{3833CAAB-D688-40B7-A110-C2B9F378ED00}"/>
    <cellStyle name="Comma 4 2 2 2 3 2 4 2 3" xfId="45265" xr:uid="{C6ED5ED9-1C70-43BA-985C-53F2F367E402}"/>
    <cellStyle name="Comma 4 2 2 2 3 2 4 3" xfId="21073" xr:uid="{EC5D241C-4900-4A74-875A-0D9B627BC105}"/>
    <cellStyle name="Comma 4 2 2 2 3 2 4 3 2" xfId="51313" xr:uid="{2FBA236E-4D16-45C2-A7D2-7140D7E0D5EC}"/>
    <cellStyle name="Comma 4 2 2 2 3 2 4 4" xfId="36193" xr:uid="{9ACB9A6D-D8F4-4FAF-BC26-C720B518BA14}"/>
    <cellStyle name="Comma 4 2 2 2 3 2 5" xfId="7465" xr:uid="{B4274120-DD29-4324-A480-5C4F7C56D85B}"/>
    <cellStyle name="Comma 4 2 2 2 3 2 5 2" xfId="22585" xr:uid="{16D206CC-4976-4870-B31B-DE9A4F517DC4}"/>
    <cellStyle name="Comma 4 2 2 2 3 2 5 2 2" xfId="52825" xr:uid="{952DE829-79CE-4C6E-AD35-9664CFA2BF8B}"/>
    <cellStyle name="Comma 4 2 2 2 3 2 5 3" xfId="37705" xr:uid="{7E649867-4B64-4D1B-96E6-E0EF5233358A}"/>
    <cellStyle name="Comma 4 2 2 2 3 2 6" xfId="8977" xr:uid="{47DF46E2-76DA-4D4D-9EC3-A319BF815504}"/>
    <cellStyle name="Comma 4 2 2 2 3 2 6 2" xfId="24097" xr:uid="{DCDA704C-FE70-46F3-9C23-C500C0737035}"/>
    <cellStyle name="Comma 4 2 2 2 3 2 6 2 2" xfId="54337" xr:uid="{B5A4C5E5-96D7-4F06-9CEC-F7AA6E92A1D4}"/>
    <cellStyle name="Comma 4 2 2 2 3 2 6 3" xfId="39217" xr:uid="{C56C385D-B534-461A-AAFE-A628C9692A8B}"/>
    <cellStyle name="Comma 4 2 2 2 3 2 7" xfId="10489" xr:uid="{9CA6A8CC-89A1-4F26-952B-A00612B1DD09}"/>
    <cellStyle name="Comma 4 2 2 2 3 2 7 2" xfId="25609" xr:uid="{5417FBE5-61BF-44FD-A272-0A75485673E4}"/>
    <cellStyle name="Comma 4 2 2 2 3 2 7 2 2" xfId="55849" xr:uid="{48DD93F8-B2DB-4177-8ED5-817EBEBF5617}"/>
    <cellStyle name="Comma 4 2 2 2 3 2 7 3" xfId="40729" xr:uid="{1E0CBBB6-F9D9-41D3-83B8-179E060BAA9A}"/>
    <cellStyle name="Comma 4 2 2 2 3 2 8" xfId="16537" xr:uid="{BD99D35B-0082-4ECF-9772-BFB36F4BCB88}"/>
    <cellStyle name="Comma 4 2 2 2 3 2 8 2" xfId="46777" xr:uid="{01F2FB4E-8B3D-4D94-A54B-C505C44A482D}"/>
    <cellStyle name="Comma 4 2 2 2 3 2 9" xfId="31657" xr:uid="{806A60D8-2F81-4A97-A755-EE967F0C97A0}"/>
    <cellStyle name="Comma 4 2 2 2 3 3" xfId="2173" xr:uid="{D379552B-63EC-4FC1-A4E1-EE5C6309F669}"/>
    <cellStyle name="Comma 4 2 2 2 3 3 2" xfId="11245" xr:uid="{C633E26E-3409-4C9C-BB38-8F5F872F9A7A}"/>
    <cellStyle name="Comma 4 2 2 2 3 3 2 2" xfId="26365" xr:uid="{6C69510C-A53B-4CF6-B669-4DE4C0E772ED}"/>
    <cellStyle name="Comma 4 2 2 2 3 3 2 2 2" xfId="56605" xr:uid="{8556E26E-C956-4643-A96C-93E7FDBB9767}"/>
    <cellStyle name="Comma 4 2 2 2 3 3 2 3" xfId="41485" xr:uid="{FE307C21-F7FA-43C3-A5EB-EFC9673E7117}"/>
    <cellStyle name="Comma 4 2 2 2 3 3 3" xfId="17293" xr:uid="{E09C70C0-9F9E-4043-A2D9-A2B5DA4ED5DE}"/>
    <cellStyle name="Comma 4 2 2 2 3 3 3 2" xfId="47533" xr:uid="{4595F8CC-BCE6-42EB-8D20-D6355316591F}"/>
    <cellStyle name="Comma 4 2 2 2 3 3 4" xfId="32413" xr:uid="{7EB20EAE-C25D-4282-9435-E1B8A354B6BD}"/>
    <cellStyle name="Comma 4 2 2 2 3 4" xfId="3685" xr:uid="{14065EB2-AFB4-44B7-B188-4A2B644B1E5C}"/>
    <cellStyle name="Comma 4 2 2 2 3 4 2" xfId="12757" xr:uid="{1714342A-EE8F-42FB-B401-3351D74B6B38}"/>
    <cellStyle name="Comma 4 2 2 2 3 4 2 2" xfId="27877" xr:uid="{780418AE-A78A-4D6F-AD2B-1ADE678D7563}"/>
    <cellStyle name="Comma 4 2 2 2 3 4 2 2 2" xfId="58117" xr:uid="{24BC22C7-BBB2-4927-B246-F29B164A5FFB}"/>
    <cellStyle name="Comma 4 2 2 2 3 4 2 3" xfId="42997" xr:uid="{C1337232-EA61-460E-AF01-00EF9266F126}"/>
    <cellStyle name="Comma 4 2 2 2 3 4 3" xfId="18805" xr:uid="{2B9B6150-4D2D-4E12-8B2A-60DF5424833B}"/>
    <cellStyle name="Comma 4 2 2 2 3 4 3 2" xfId="49045" xr:uid="{3186E5B7-7688-49AD-91AF-68A0B5888520}"/>
    <cellStyle name="Comma 4 2 2 2 3 4 4" xfId="33925" xr:uid="{904760AE-675A-4FDF-A319-594D5E6D48BF}"/>
    <cellStyle name="Comma 4 2 2 2 3 5" xfId="5197" xr:uid="{9B2A8661-EE29-4C25-9E59-2010D1296C1F}"/>
    <cellStyle name="Comma 4 2 2 2 3 5 2" xfId="14269" xr:uid="{432563BF-D832-4AB6-9EB5-4D5C80138927}"/>
    <cellStyle name="Comma 4 2 2 2 3 5 2 2" xfId="29389" xr:uid="{066F0FAE-C2FE-476D-AA21-FF0EBC2E15F2}"/>
    <cellStyle name="Comma 4 2 2 2 3 5 2 2 2" xfId="59629" xr:uid="{6DC60114-A41E-439C-AED8-09473102E6B5}"/>
    <cellStyle name="Comma 4 2 2 2 3 5 2 3" xfId="44509" xr:uid="{AABC213C-9B33-400E-8138-84FF5F3BF43C}"/>
    <cellStyle name="Comma 4 2 2 2 3 5 3" xfId="20317" xr:uid="{504AB343-FB23-4B49-A94D-7CE61E38852C}"/>
    <cellStyle name="Comma 4 2 2 2 3 5 3 2" xfId="50557" xr:uid="{971E2257-346C-4A74-8B70-629F0CCAF2C9}"/>
    <cellStyle name="Comma 4 2 2 2 3 5 4" xfId="35437" xr:uid="{1E55E710-DED1-4C69-A981-E83B56D2AFF2}"/>
    <cellStyle name="Comma 4 2 2 2 3 6" xfId="6709" xr:uid="{4EB3A450-D473-4145-8929-52AFE8015671}"/>
    <cellStyle name="Comma 4 2 2 2 3 6 2" xfId="21829" xr:uid="{6B5E2B93-1C3C-44D1-AA3D-1EF170C859CF}"/>
    <cellStyle name="Comma 4 2 2 2 3 6 2 2" xfId="52069" xr:uid="{635DC86D-DA9E-43F7-9FED-CE272775E009}"/>
    <cellStyle name="Comma 4 2 2 2 3 6 3" xfId="36949" xr:uid="{C4988A24-93A3-4E64-ABD5-240A6F5D456F}"/>
    <cellStyle name="Comma 4 2 2 2 3 7" xfId="8221" xr:uid="{49CF7EA6-6F9A-4317-9228-EFCBDB2408A9}"/>
    <cellStyle name="Comma 4 2 2 2 3 7 2" xfId="23341" xr:uid="{68F890A7-F5DA-4684-941B-AB867E9541A9}"/>
    <cellStyle name="Comma 4 2 2 2 3 7 2 2" xfId="53581" xr:uid="{5BFCF85E-0674-413F-AA21-E2404007C049}"/>
    <cellStyle name="Comma 4 2 2 2 3 7 3" xfId="38461" xr:uid="{C21380BB-EDFB-4B61-ADD0-9B4AC3CEAB46}"/>
    <cellStyle name="Comma 4 2 2 2 3 8" xfId="9733" xr:uid="{210998B0-E1FB-45B0-8A25-E95B2D341B54}"/>
    <cellStyle name="Comma 4 2 2 2 3 8 2" xfId="24853" xr:uid="{97F06507-75B4-4E75-9AA2-6FAD9D7225B7}"/>
    <cellStyle name="Comma 4 2 2 2 3 8 2 2" xfId="55093" xr:uid="{DB990D12-1237-4692-9B7D-FDD9838C2D57}"/>
    <cellStyle name="Comma 4 2 2 2 3 8 3" xfId="39973" xr:uid="{750CDA27-F2B0-4E30-911A-713F920E7E23}"/>
    <cellStyle name="Comma 4 2 2 2 3 9" xfId="15781" xr:uid="{E0A1BFEB-4B8B-4BC5-B98B-2C4FEFA62B31}"/>
    <cellStyle name="Comma 4 2 2 2 3 9 2" xfId="46021" xr:uid="{54580859-DA8F-415D-A320-67F8757A5F1F}"/>
    <cellStyle name="Comma 4 2 2 2 4" xfId="913" xr:uid="{850292C4-8490-4ECD-B92D-81E385591F15}"/>
    <cellStyle name="Comma 4 2 2 2 4 2" xfId="2425" xr:uid="{1B1A4722-83D5-464A-B312-40E1CB78356C}"/>
    <cellStyle name="Comma 4 2 2 2 4 2 2" xfId="11497" xr:uid="{7516439A-FBEA-4279-BBDA-CD596306DD8D}"/>
    <cellStyle name="Comma 4 2 2 2 4 2 2 2" xfId="26617" xr:uid="{1935D2BD-76EA-4508-A802-202D47C74924}"/>
    <cellStyle name="Comma 4 2 2 2 4 2 2 2 2" xfId="56857" xr:uid="{9E5BB482-E59E-4F8D-860C-8273C8693A87}"/>
    <cellStyle name="Comma 4 2 2 2 4 2 2 3" xfId="41737" xr:uid="{10311BFB-4FEF-4D8B-AEED-AF0635E2ED9F}"/>
    <cellStyle name="Comma 4 2 2 2 4 2 3" xfId="17545" xr:uid="{7ABA451D-BE9C-4C75-A11A-F0CADF396E0C}"/>
    <cellStyle name="Comma 4 2 2 2 4 2 3 2" xfId="47785" xr:uid="{62D073AA-ED96-454A-A8AB-EC2A1559B1BA}"/>
    <cellStyle name="Comma 4 2 2 2 4 2 4" xfId="32665" xr:uid="{B0E4B212-9588-4701-B29F-EDB1D108F5A7}"/>
    <cellStyle name="Comma 4 2 2 2 4 3" xfId="3937" xr:uid="{88B06626-6722-4800-9AB8-DB965D537812}"/>
    <cellStyle name="Comma 4 2 2 2 4 3 2" xfId="13009" xr:uid="{723F1F07-76B8-443A-AB13-F3A8666133CE}"/>
    <cellStyle name="Comma 4 2 2 2 4 3 2 2" xfId="28129" xr:uid="{30AFE652-E2C1-4A11-84B6-409DFE354C11}"/>
    <cellStyle name="Comma 4 2 2 2 4 3 2 2 2" xfId="58369" xr:uid="{D23EC1AC-A7AE-467B-9518-30249DA9EAB3}"/>
    <cellStyle name="Comma 4 2 2 2 4 3 2 3" xfId="43249" xr:uid="{1F2EF721-8733-42AB-84E5-90371254A651}"/>
    <cellStyle name="Comma 4 2 2 2 4 3 3" xfId="19057" xr:uid="{5C5D21F4-C8DD-4FD3-A1B6-FD55D628D00A}"/>
    <cellStyle name="Comma 4 2 2 2 4 3 3 2" xfId="49297" xr:uid="{4C2D81CD-179C-4E7E-92F4-C180CAD485E2}"/>
    <cellStyle name="Comma 4 2 2 2 4 3 4" xfId="34177" xr:uid="{3E453615-29C7-486A-8813-58C4A8FE6632}"/>
    <cellStyle name="Comma 4 2 2 2 4 4" xfId="5449" xr:uid="{ED2B6A12-159F-4BD6-818F-EAAAB63A7C41}"/>
    <cellStyle name="Comma 4 2 2 2 4 4 2" xfId="14521" xr:uid="{E99D9B3F-1302-47DF-A0E6-BFFCB7B90C70}"/>
    <cellStyle name="Comma 4 2 2 2 4 4 2 2" xfId="29641" xr:uid="{8404C8A8-988C-440B-8F25-D6456CCF88F2}"/>
    <cellStyle name="Comma 4 2 2 2 4 4 2 2 2" xfId="59881" xr:uid="{F405DEBC-3979-4F10-94C7-9C0204CF026B}"/>
    <cellStyle name="Comma 4 2 2 2 4 4 2 3" xfId="44761" xr:uid="{607A13E6-3E21-4DB3-8A6F-FDF5FCE3D6FF}"/>
    <cellStyle name="Comma 4 2 2 2 4 4 3" xfId="20569" xr:uid="{BECD3068-F04C-4BE4-A8B4-C6432AEC8127}"/>
    <cellStyle name="Comma 4 2 2 2 4 4 3 2" xfId="50809" xr:uid="{766D8187-9005-4669-A470-58301D258BFB}"/>
    <cellStyle name="Comma 4 2 2 2 4 4 4" xfId="35689" xr:uid="{DB5944F0-D897-4547-AF33-4EBEE33950E5}"/>
    <cellStyle name="Comma 4 2 2 2 4 5" xfId="6961" xr:uid="{1CADE186-73EF-4305-B447-14F9682D2B5C}"/>
    <cellStyle name="Comma 4 2 2 2 4 5 2" xfId="22081" xr:uid="{D7B3D9D7-DE58-457E-9A11-D4F42DF909EE}"/>
    <cellStyle name="Comma 4 2 2 2 4 5 2 2" xfId="52321" xr:uid="{5E4117C7-372C-4BFE-A03B-BACCB23D7472}"/>
    <cellStyle name="Comma 4 2 2 2 4 5 3" xfId="37201" xr:uid="{E4AEA663-A8AE-44EA-9EDB-31B7C004F624}"/>
    <cellStyle name="Comma 4 2 2 2 4 6" xfId="8473" xr:uid="{76EBF92B-3FF0-40FD-8321-0607F107B60E}"/>
    <cellStyle name="Comma 4 2 2 2 4 6 2" xfId="23593" xr:uid="{13E1AD5A-5A33-4CB3-8EAF-AB97DB86C64D}"/>
    <cellStyle name="Comma 4 2 2 2 4 6 2 2" xfId="53833" xr:uid="{A16B61B8-A147-4967-B64C-94ABB676CD6A}"/>
    <cellStyle name="Comma 4 2 2 2 4 6 3" xfId="38713" xr:uid="{106B99BA-7502-4F02-A7CB-CD0551C39E8C}"/>
    <cellStyle name="Comma 4 2 2 2 4 7" xfId="9985" xr:uid="{C559A4E4-7B3F-402C-B0D1-6E9339B94538}"/>
    <cellStyle name="Comma 4 2 2 2 4 7 2" xfId="25105" xr:uid="{8072414D-7442-40A7-929C-A22C1CAC5785}"/>
    <cellStyle name="Comma 4 2 2 2 4 7 2 2" xfId="55345" xr:uid="{360BCD75-C6E7-4DCA-A60D-59A6E639E65E}"/>
    <cellStyle name="Comma 4 2 2 2 4 7 3" xfId="40225" xr:uid="{1EF81C9B-F445-464C-A151-213391F2619E}"/>
    <cellStyle name="Comma 4 2 2 2 4 8" xfId="16033" xr:uid="{722D8C10-C234-42E9-8F42-55F781CF4695}"/>
    <cellStyle name="Comma 4 2 2 2 4 8 2" xfId="46273" xr:uid="{6A98AA8C-C5DA-4C23-8DB2-AF0F0DB09EDA}"/>
    <cellStyle name="Comma 4 2 2 2 4 9" xfId="31153" xr:uid="{CE4D536D-E83B-401E-B944-8A5FC7A980F5}"/>
    <cellStyle name="Comma 4 2 2 2 5" xfId="1669" xr:uid="{82F6206A-00C5-4A6B-B8B4-0DB646828B53}"/>
    <cellStyle name="Comma 4 2 2 2 5 2" xfId="10741" xr:uid="{6010BE95-37F8-4831-BBD8-064A731F120E}"/>
    <cellStyle name="Comma 4 2 2 2 5 2 2" xfId="25861" xr:uid="{4418C195-793D-440B-A284-5BB8B311268D}"/>
    <cellStyle name="Comma 4 2 2 2 5 2 2 2" xfId="56101" xr:uid="{EC7A73D0-F714-456D-B74C-C29133BB55F6}"/>
    <cellStyle name="Comma 4 2 2 2 5 2 3" xfId="40981" xr:uid="{A6F167AF-86AA-4243-860A-22FFA8A576B6}"/>
    <cellStyle name="Comma 4 2 2 2 5 3" xfId="16789" xr:uid="{E866A7CE-ACCA-4142-85CA-3799520E446F}"/>
    <cellStyle name="Comma 4 2 2 2 5 3 2" xfId="47029" xr:uid="{4F5CC598-32AF-4910-B09E-AA6698481736}"/>
    <cellStyle name="Comma 4 2 2 2 5 4" xfId="31909" xr:uid="{8D8E0426-B140-4FC3-AFFB-E597FFBB70B5}"/>
    <cellStyle name="Comma 4 2 2 2 6" xfId="3181" xr:uid="{5E187A52-04B7-40DE-B4FF-D745AD5D31C5}"/>
    <cellStyle name="Comma 4 2 2 2 6 2" xfId="12253" xr:uid="{68D5BBC5-83DA-4982-AF8D-B768E93A8ACA}"/>
    <cellStyle name="Comma 4 2 2 2 6 2 2" xfId="27373" xr:uid="{711F3495-D3C2-4A58-9BCA-8031195DBED6}"/>
    <cellStyle name="Comma 4 2 2 2 6 2 2 2" xfId="57613" xr:uid="{31571712-2DB8-4C7D-B7A5-E00168AC2230}"/>
    <cellStyle name="Comma 4 2 2 2 6 2 3" xfId="42493" xr:uid="{5DF59B0C-9ECA-4907-A422-FDF9DC2BFB05}"/>
    <cellStyle name="Comma 4 2 2 2 6 3" xfId="18301" xr:uid="{D1B3C5BF-EA1A-4B83-81E9-5AA56F8E1BB9}"/>
    <cellStyle name="Comma 4 2 2 2 6 3 2" xfId="48541" xr:uid="{22D0007A-80C7-4446-A274-0418FBE91D88}"/>
    <cellStyle name="Comma 4 2 2 2 6 4" xfId="33421" xr:uid="{2C6E6FF0-11BB-4BCF-A3E5-91FDBBA09AAF}"/>
    <cellStyle name="Comma 4 2 2 2 7" xfId="4693" xr:uid="{781D656D-0B39-4074-B06A-AE9561CA247F}"/>
    <cellStyle name="Comma 4 2 2 2 7 2" xfId="13765" xr:uid="{4278E53F-21B0-4F82-8296-1F16FF3A122C}"/>
    <cellStyle name="Comma 4 2 2 2 7 2 2" xfId="28885" xr:uid="{94873281-1B35-49E2-A8DB-926B6DCF5AEC}"/>
    <cellStyle name="Comma 4 2 2 2 7 2 2 2" xfId="59125" xr:uid="{64F86B53-2572-4826-859D-29722BE6A2AC}"/>
    <cellStyle name="Comma 4 2 2 2 7 2 3" xfId="44005" xr:uid="{18671E42-CCE5-4230-A3C6-3BE91D689399}"/>
    <cellStyle name="Comma 4 2 2 2 7 3" xfId="19813" xr:uid="{E3F9132B-FD69-40DF-A144-FD8C39F3FB87}"/>
    <cellStyle name="Comma 4 2 2 2 7 3 2" xfId="50053" xr:uid="{152F9983-346D-4CBF-8900-DCC79DD5B277}"/>
    <cellStyle name="Comma 4 2 2 2 7 4" xfId="34933" xr:uid="{F07EED99-EB3A-4D6A-B89D-BB0037CD4C70}"/>
    <cellStyle name="Comma 4 2 2 2 8" xfId="6205" xr:uid="{B7683DA6-3C47-4360-A0E2-2D862EA74764}"/>
    <cellStyle name="Comma 4 2 2 2 8 2" xfId="21325" xr:uid="{167E363F-FEF4-4372-8AEF-22A8E33FD2A8}"/>
    <cellStyle name="Comma 4 2 2 2 8 2 2" xfId="51565" xr:uid="{2F8081E7-4BA1-47FE-82EF-A35CB18754CF}"/>
    <cellStyle name="Comma 4 2 2 2 8 3" xfId="36445" xr:uid="{CA09D10B-0FF7-475F-964F-0364EDB6234F}"/>
    <cellStyle name="Comma 4 2 2 2 9" xfId="7717" xr:uid="{02DDE8FD-BBF7-472E-9123-B2E7FE076F1B}"/>
    <cellStyle name="Comma 4 2 2 2 9 2" xfId="22837" xr:uid="{E17E7F15-23DF-4691-A7BF-8F198AC6B151}"/>
    <cellStyle name="Comma 4 2 2 2 9 2 2" xfId="53077" xr:uid="{6728D28B-4477-4BF5-A557-2CFB25FB5B4A}"/>
    <cellStyle name="Comma 4 2 2 2 9 3" xfId="37957" xr:uid="{C4E1F42B-EFC8-4252-8820-F1BC82F8585D}"/>
    <cellStyle name="Comma 4 2 2 3" xfId="241" xr:uid="{4E08125A-2091-4855-97A2-8127EF2ABCD8}"/>
    <cellStyle name="Comma 4 2 2 3 10" xfId="9313" xr:uid="{5E50C56B-D95C-4079-89C9-0CBA0759F902}"/>
    <cellStyle name="Comma 4 2 2 3 10 2" xfId="24433" xr:uid="{7B8C683F-2478-4387-8EFD-E3603650ECC2}"/>
    <cellStyle name="Comma 4 2 2 3 10 2 2" xfId="54673" xr:uid="{52E8C319-2645-4D1C-B43B-09EA476CF45F}"/>
    <cellStyle name="Comma 4 2 2 3 10 3" xfId="39553" xr:uid="{3D3C3965-D3B8-45B5-9F02-A8CB71567F0F}"/>
    <cellStyle name="Comma 4 2 2 3 11" xfId="15361" xr:uid="{BC4A45DA-AB49-4174-BCBD-27DACD280B96}"/>
    <cellStyle name="Comma 4 2 2 3 11 2" xfId="45601" xr:uid="{10E96E82-C95B-44C9-AC71-5661A2E62101}"/>
    <cellStyle name="Comma 4 2 2 3 12" xfId="30481" xr:uid="{1E900D69-F9CF-4216-8808-F07F6D71F684}"/>
    <cellStyle name="Comma 4 2 2 3 2" xfId="493" xr:uid="{27797873-FE87-4EE9-973C-138BA4D6FA8F}"/>
    <cellStyle name="Comma 4 2 2 3 2 10" xfId="30733" xr:uid="{7344E8BD-96AF-4435-938D-E6444FB6261C}"/>
    <cellStyle name="Comma 4 2 2 3 2 2" xfId="1249" xr:uid="{B51809B2-1C52-4637-8539-ACD34535FC53}"/>
    <cellStyle name="Comma 4 2 2 3 2 2 2" xfId="2761" xr:uid="{92F23BEF-6608-4865-83BC-7D40BC90EC64}"/>
    <cellStyle name="Comma 4 2 2 3 2 2 2 2" xfId="11833" xr:uid="{6255F3A8-1400-4CFC-BDB2-C96387B56514}"/>
    <cellStyle name="Comma 4 2 2 3 2 2 2 2 2" xfId="26953" xr:uid="{3B5BB37F-9E1B-4F2E-9858-38CCF6557D8E}"/>
    <cellStyle name="Comma 4 2 2 3 2 2 2 2 2 2" xfId="57193" xr:uid="{3E23EEBD-EF3F-4EBC-86AE-4D2EE509AD4F}"/>
    <cellStyle name="Comma 4 2 2 3 2 2 2 2 3" xfId="42073" xr:uid="{4FC2494B-DB2D-4D07-845B-98940BBACE48}"/>
    <cellStyle name="Comma 4 2 2 3 2 2 2 3" xfId="17881" xr:uid="{05F64974-DFDC-4211-868D-B6B4E187CFC8}"/>
    <cellStyle name="Comma 4 2 2 3 2 2 2 3 2" xfId="48121" xr:uid="{E034F9A6-9D57-4723-A456-68D177AD41CD}"/>
    <cellStyle name="Comma 4 2 2 3 2 2 2 4" xfId="33001" xr:uid="{D224410C-9BA9-4E6D-9A69-3EA3D5A03369}"/>
    <cellStyle name="Comma 4 2 2 3 2 2 3" xfId="4273" xr:uid="{F0CC5E6A-C03C-49A0-BAB0-3870690E79CA}"/>
    <cellStyle name="Comma 4 2 2 3 2 2 3 2" xfId="13345" xr:uid="{DA704343-8139-47EC-93B0-8AB4A81FFA83}"/>
    <cellStyle name="Comma 4 2 2 3 2 2 3 2 2" xfId="28465" xr:uid="{F8E3EA3A-A829-4477-A272-40D4B7FEC785}"/>
    <cellStyle name="Comma 4 2 2 3 2 2 3 2 2 2" xfId="58705" xr:uid="{E8295E28-76EF-45D9-9BB3-A3B7AF34F86E}"/>
    <cellStyle name="Comma 4 2 2 3 2 2 3 2 3" xfId="43585" xr:uid="{C93ECCE7-C7F9-4A8A-9298-898E88B61E80}"/>
    <cellStyle name="Comma 4 2 2 3 2 2 3 3" xfId="19393" xr:uid="{A0739CC4-CF7A-4BD1-95E0-1AC24CAF48C8}"/>
    <cellStyle name="Comma 4 2 2 3 2 2 3 3 2" xfId="49633" xr:uid="{EC802561-AAF9-418F-8D2F-BAD9756260E3}"/>
    <cellStyle name="Comma 4 2 2 3 2 2 3 4" xfId="34513" xr:uid="{8E0DB0EA-0E89-434D-9965-291082D046F8}"/>
    <cellStyle name="Comma 4 2 2 3 2 2 4" xfId="5785" xr:uid="{47A601D6-A4AC-4C97-87B1-DFDA635F1430}"/>
    <cellStyle name="Comma 4 2 2 3 2 2 4 2" xfId="14857" xr:uid="{8ABA785F-5409-4949-BCA9-65113A71E2A5}"/>
    <cellStyle name="Comma 4 2 2 3 2 2 4 2 2" xfId="29977" xr:uid="{3031D1C3-19DB-4DDE-8638-8E0762B64DF8}"/>
    <cellStyle name="Comma 4 2 2 3 2 2 4 2 2 2" xfId="60217" xr:uid="{4388F5FF-ED76-4F4B-BA77-A62E95566100}"/>
    <cellStyle name="Comma 4 2 2 3 2 2 4 2 3" xfId="45097" xr:uid="{35EF35BB-C670-4657-AD8C-4DAFF542C1B2}"/>
    <cellStyle name="Comma 4 2 2 3 2 2 4 3" xfId="20905" xr:uid="{54017184-9D60-4CB7-B4D7-0B54BD7E064C}"/>
    <cellStyle name="Comma 4 2 2 3 2 2 4 3 2" xfId="51145" xr:uid="{48CCEDAD-6670-4A7E-BA65-032DB1573780}"/>
    <cellStyle name="Comma 4 2 2 3 2 2 4 4" xfId="36025" xr:uid="{7E726838-EDC2-4843-AA5B-CEBFB78236AD}"/>
    <cellStyle name="Comma 4 2 2 3 2 2 5" xfId="7297" xr:uid="{BAEE9CFE-0EAD-4363-99BF-0926693DF9A6}"/>
    <cellStyle name="Comma 4 2 2 3 2 2 5 2" xfId="22417" xr:uid="{911B9F14-C5BE-4D0A-96ED-33C62C867704}"/>
    <cellStyle name="Comma 4 2 2 3 2 2 5 2 2" xfId="52657" xr:uid="{D6821280-DF08-4ECE-8BAE-BA67304F7D66}"/>
    <cellStyle name="Comma 4 2 2 3 2 2 5 3" xfId="37537" xr:uid="{9210532E-F9BD-4A05-89E6-366FB5083ABB}"/>
    <cellStyle name="Comma 4 2 2 3 2 2 6" xfId="8809" xr:uid="{DC36F10B-A978-47B5-B539-2E96A9698361}"/>
    <cellStyle name="Comma 4 2 2 3 2 2 6 2" xfId="23929" xr:uid="{F05E80BC-7758-4C70-8E08-8AA544BC2BEB}"/>
    <cellStyle name="Comma 4 2 2 3 2 2 6 2 2" xfId="54169" xr:uid="{0176D183-229C-4E2F-BB3F-B10F3F21DB8B}"/>
    <cellStyle name="Comma 4 2 2 3 2 2 6 3" xfId="39049" xr:uid="{840187B3-5F26-444E-91B4-8365DDD1EE31}"/>
    <cellStyle name="Comma 4 2 2 3 2 2 7" xfId="10321" xr:uid="{57C24365-0CED-4B3C-B5D5-9D839251741B}"/>
    <cellStyle name="Comma 4 2 2 3 2 2 7 2" xfId="25441" xr:uid="{379D691C-3D62-4E72-8FD3-906E493C122B}"/>
    <cellStyle name="Comma 4 2 2 3 2 2 7 2 2" xfId="55681" xr:uid="{9CC864A0-1468-47A5-80EA-10871D07DA13}"/>
    <cellStyle name="Comma 4 2 2 3 2 2 7 3" xfId="40561" xr:uid="{044C28BB-CACC-48A0-84E2-1A77C0F6A6BF}"/>
    <cellStyle name="Comma 4 2 2 3 2 2 8" xfId="16369" xr:uid="{20F3DF90-560A-4428-AC67-66C236BA8B25}"/>
    <cellStyle name="Comma 4 2 2 3 2 2 8 2" xfId="46609" xr:uid="{C0629F38-6466-4F2D-AD02-72BE72A97CA1}"/>
    <cellStyle name="Comma 4 2 2 3 2 2 9" xfId="31489" xr:uid="{8E178154-9136-45F5-8749-9C3BF7D870FE}"/>
    <cellStyle name="Comma 4 2 2 3 2 3" xfId="2005" xr:uid="{E4664519-7322-4280-A8F6-54BC60B4705F}"/>
    <cellStyle name="Comma 4 2 2 3 2 3 2" xfId="11077" xr:uid="{5FA98D95-EB5D-44D5-89C4-7903B8FBFFFB}"/>
    <cellStyle name="Comma 4 2 2 3 2 3 2 2" xfId="26197" xr:uid="{44E146D5-DDDE-42E5-AF60-948A6742EA99}"/>
    <cellStyle name="Comma 4 2 2 3 2 3 2 2 2" xfId="56437" xr:uid="{2A3AC545-4A7A-42F3-BF63-5D5869D0E62D}"/>
    <cellStyle name="Comma 4 2 2 3 2 3 2 3" xfId="41317" xr:uid="{FF5FA8B8-FFB8-402B-BC32-414880B8AEF6}"/>
    <cellStyle name="Comma 4 2 2 3 2 3 3" xfId="17125" xr:uid="{4CF3E3FD-BEA1-4811-A52B-FD9EAB157BA4}"/>
    <cellStyle name="Comma 4 2 2 3 2 3 3 2" xfId="47365" xr:uid="{4A205DDB-82E8-4380-B337-D530C71BCF7A}"/>
    <cellStyle name="Comma 4 2 2 3 2 3 4" xfId="32245" xr:uid="{16679412-31F2-4088-B079-A832E46356B6}"/>
    <cellStyle name="Comma 4 2 2 3 2 4" xfId="3517" xr:uid="{70DA4E0E-DEA9-4CA2-81A9-288AA135E7A5}"/>
    <cellStyle name="Comma 4 2 2 3 2 4 2" xfId="12589" xr:uid="{ABBC534A-1369-4758-AE15-506435642CE7}"/>
    <cellStyle name="Comma 4 2 2 3 2 4 2 2" xfId="27709" xr:uid="{E82EBBAC-E430-4E05-A0B8-490D048D6FDD}"/>
    <cellStyle name="Comma 4 2 2 3 2 4 2 2 2" xfId="57949" xr:uid="{CC430954-33B5-49EB-AFBF-08BBCBB96DF9}"/>
    <cellStyle name="Comma 4 2 2 3 2 4 2 3" xfId="42829" xr:uid="{C1725D2F-13F2-4FB4-8767-70011D3714B6}"/>
    <cellStyle name="Comma 4 2 2 3 2 4 3" xfId="18637" xr:uid="{3DD31790-DE35-4405-8EED-C1EEF2709411}"/>
    <cellStyle name="Comma 4 2 2 3 2 4 3 2" xfId="48877" xr:uid="{F9A19677-36B6-4558-A2F9-92837876DDD6}"/>
    <cellStyle name="Comma 4 2 2 3 2 4 4" xfId="33757" xr:uid="{BEF8F785-645D-4A05-BCB1-38795BABB27E}"/>
    <cellStyle name="Comma 4 2 2 3 2 5" xfId="5029" xr:uid="{2AEB7684-2C5B-46F3-8225-74B46645B4CA}"/>
    <cellStyle name="Comma 4 2 2 3 2 5 2" xfId="14101" xr:uid="{A6A42A05-4AC9-49F3-89FC-EA5E134666E6}"/>
    <cellStyle name="Comma 4 2 2 3 2 5 2 2" xfId="29221" xr:uid="{C08AD335-4D13-4DF5-B24A-B9AAEF7830CA}"/>
    <cellStyle name="Comma 4 2 2 3 2 5 2 2 2" xfId="59461" xr:uid="{12D14EBE-4725-4B67-923A-F9BD02F3943F}"/>
    <cellStyle name="Comma 4 2 2 3 2 5 2 3" xfId="44341" xr:uid="{C97AD403-1409-4910-8E72-EA9129D99AA0}"/>
    <cellStyle name="Comma 4 2 2 3 2 5 3" xfId="20149" xr:uid="{10A68040-68B8-41F1-8D6D-69FD54258400}"/>
    <cellStyle name="Comma 4 2 2 3 2 5 3 2" xfId="50389" xr:uid="{0D0A3F48-998B-4E63-8536-E4B744FAF900}"/>
    <cellStyle name="Comma 4 2 2 3 2 5 4" xfId="35269" xr:uid="{3743643D-4087-491D-855E-5D9EC8375244}"/>
    <cellStyle name="Comma 4 2 2 3 2 6" xfId="6541" xr:uid="{95533055-A992-43B2-BC22-CFDF87F23D85}"/>
    <cellStyle name="Comma 4 2 2 3 2 6 2" xfId="21661" xr:uid="{18591977-8D67-4BFB-89C1-1D77AD56D545}"/>
    <cellStyle name="Comma 4 2 2 3 2 6 2 2" xfId="51901" xr:uid="{F9BB5B44-20F6-48E3-990C-F7BFBDC822A1}"/>
    <cellStyle name="Comma 4 2 2 3 2 6 3" xfId="36781" xr:uid="{023C6F41-AC8A-4524-BA23-833D9E764E69}"/>
    <cellStyle name="Comma 4 2 2 3 2 7" xfId="8053" xr:uid="{46791F93-54F9-42B8-8C8C-A61F2A43F5B4}"/>
    <cellStyle name="Comma 4 2 2 3 2 7 2" xfId="23173" xr:uid="{25D9D18B-7597-4E4C-BAFF-9280D013C093}"/>
    <cellStyle name="Comma 4 2 2 3 2 7 2 2" xfId="53413" xr:uid="{EF7017E7-BC12-431B-97A7-88233C2EFC85}"/>
    <cellStyle name="Comma 4 2 2 3 2 7 3" xfId="38293" xr:uid="{3110C84A-C718-4A08-938F-1E8651784422}"/>
    <cellStyle name="Comma 4 2 2 3 2 8" xfId="9565" xr:uid="{28357F86-EE17-4017-A67F-284CF11A8072}"/>
    <cellStyle name="Comma 4 2 2 3 2 8 2" xfId="24685" xr:uid="{BAB1157C-85FD-4951-89B8-9367F0924F41}"/>
    <cellStyle name="Comma 4 2 2 3 2 8 2 2" xfId="54925" xr:uid="{FD3ACC1B-5019-4D33-B2DE-6146573E757E}"/>
    <cellStyle name="Comma 4 2 2 3 2 8 3" xfId="39805" xr:uid="{C6A205CA-510C-467C-B934-4B47E596AB5A}"/>
    <cellStyle name="Comma 4 2 2 3 2 9" xfId="15613" xr:uid="{46204D67-EC27-4B50-8C86-7FDD16E69BB2}"/>
    <cellStyle name="Comma 4 2 2 3 2 9 2" xfId="45853" xr:uid="{334516B1-5DE2-4F0F-B9FE-9FCED9570AF4}"/>
    <cellStyle name="Comma 4 2 2 3 3" xfId="745" xr:uid="{978A41DE-28B4-43E9-8CA6-30535B084F26}"/>
    <cellStyle name="Comma 4 2 2 3 3 10" xfId="30985" xr:uid="{595858D9-A264-46FD-8B69-CE74D98D9AFD}"/>
    <cellStyle name="Comma 4 2 2 3 3 2" xfId="1501" xr:uid="{8628D765-E5AB-451D-B382-621DC47E8809}"/>
    <cellStyle name="Comma 4 2 2 3 3 2 2" xfId="3013" xr:uid="{B1603C09-B07C-4EE9-BBB9-D5BADD2A4300}"/>
    <cellStyle name="Comma 4 2 2 3 3 2 2 2" xfId="12085" xr:uid="{389557E2-B549-4705-8F86-303B546316BA}"/>
    <cellStyle name="Comma 4 2 2 3 3 2 2 2 2" xfId="27205" xr:uid="{6FCD866D-A293-411E-9611-985D1DBB2E05}"/>
    <cellStyle name="Comma 4 2 2 3 3 2 2 2 2 2" xfId="57445" xr:uid="{DFE8CC79-561B-4CF2-8DE0-BCEACAA8B3F9}"/>
    <cellStyle name="Comma 4 2 2 3 3 2 2 2 3" xfId="42325" xr:uid="{BCEF34C9-6486-4B97-A4E1-D857AFE01B49}"/>
    <cellStyle name="Comma 4 2 2 3 3 2 2 3" xfId="18133" xr:uid="{648F50A5-ED41-4818-9B78-A84FE2B77130}"/>
    <cellStyle name="Comma 4 2 2 3 3 2 2 3 2" xfId="48373" xr:uid="{BEB07469-A053-458E-82BA-F22441172415}"/>
    <cellStyle name="Comma 4 2 2 3 3 2 2 4" xfId="33253" xr:uid="{ABE6C885-4BCB-4BD0-A5DE-EFE8E815896B}"/>
    <cellStyle name="Comma 4 2 2 3 3 2 3" xfId="4525" xr:uid="{67411CD5-3B88-466D-9163-34D16D961568}"/>
    <cellStyle name="Comma 4 2 2 3 3 2 3 2" xfId="13597" xr:uid="{3B63EFCB-D8F3-48FB-84E6-9132EF2AF8A2}"/>
    <cellStyle name="Comma 4 2 2 3 3 2 3 2 2" xfId="28717" xr:uid="{79FC9E0B-3C08-4CD1-B3AC-E6D96FD4DE0B}"/>
    <cellStyle name="Comma 4 2 2 3 3 2 3 2 2 2" xfId="58957" xr:uid="{36311EF9-1B0D-468A-A9A6-05425FE02290}"/>
    <cellStyle name="Comma 4 2 2 3 3 2 3 2 3" xfId="43837" xr:uid="{094F0ACC-3F78-4B02-9D5A-BC16ECFD265F}"/>
    <cellStyle name="Comma 4 2 2 3 3 2 3 3" xfId="19645" xr:uid="{CAE13F99-6879-4854-8DFB-7CEE725BF0AA}"/>
    <cellStyle name="Comma 4 2 2 3 3 2 3 3 2" xfId="49885" xr:uid="{4515E8AD-4698-4244-B28F-435B7142BC50}"/>
    <cellStyle name="Comma 4 2 2 3 3 2 3 4" xfId="34765" xr:uid="{CFCDE06D-7C95-428A-8C96-EE2F91288019}"/>
    <cellStyle name="Comma 4 2 2 3 3 2 4" xfId="6037" xr:uid="{8B1A1DDA-F18E-46F1-A000-C1DA72F022DA}"/>
    <cellStyle name="Comma 4 2 2 3 3 2 4 2" xfId="15109" xr:uid="{13040541-740D-4204-9F38-F73A6D537E67}"/>
    <cellStyle name="Comma 4 2 2 3 3 2 4 2 2" xfId="30229" xr:uid="{A93095DA-2928-4609-BFB0-EB3C12312E93}"/>
    <cellStyle name="Comma 4 2 2 3 3 2 4 2 2 2" xfId="60469" xr:uid="{4CAE9640-02EF-4333-B1D4-B6E79CEC6DE3}"/>
    <cellStyle name="Comma 4 2 2 3 3 2 4 2 3" xfId="45349" xr:uid="{296E98F2-2568-44CC-8C8B-10BEFF277202}"/>
    <cellStyle name="Comma 4 2 2 3 3 2 4 3" xfId="21157" xr:uid="{2E6530D7-04C9-46C0-9439-40B624C76ED4}"/>
    <cellStyle name="Comma 4 2 2 3 3 2 4 3 2" xfId="51397" xr:uid="{AD671396-005D-4986-948C-E02C0BBC002D}"/>
    <cellStyle name="Comma 4 2 2 3 3 2 4 4" xfId="36277" xr:uid="{7928F720-C167-4CDD-94CD-A0ADFC2DBFFF}"/>
    <cellStyle name="Comma 4 2 2 3 3 2 5" xfId="7549" xr:uid="{14F1994F-6E93-4A68-A54F-68D7141D5D1E}"/>
    <cellStyle name="Comma 4 2 2 3 3 2 5 2" xfId="22669" xr:uid="{4A0A03C4-1DD6-4296-9262-2DEE1B80269F}"/>
    <cellStyle name="Comma 4 2 2 3 3 2 5 2 2" xfId="52909" xr:uid="{62D4C7DB-F4BD-4634-8AB4-05C17E7AB961}"/>
    <cellStyle name="Comma 4 2 2 3 3 2 5 3" xfId="37789" xr:uid="{5C53C030-7966-4F76-9634-F04E087FC77E}"/>
    <cellStyle name="Comma 4 2 2 3 3 2 6" xfId="9061" xr:uid="{E4BEA3A9-4444-482D-AD0C-65A6B5A62C62}"/>
    <cellStyle name="Comma 4 2 2 3 3 2 6 2" xfId="24181" xr:uid="{134E550B-BBAB-4D17-9334-9CA22D6B455B}"/>
    <cellStyle name="Comma 4 2 2 3 3 2 6 2 2" xfId="54421" xr:uid="{6EDCC71C-22C7-4EC8-B717-93CEE675B007}"/>
    <cellStyle name="Comma 4 2 2 3 3 2 6 3" xfId="39301" xr:uid="{7F27D81E-1928-4997-B365-DFC3F502D59D}"/>
    <cellStyle name="Comma 4 2 2 3 3 2 7" xfId="10573" xr:uid="{3EF340E2-C677-474B-A95B-D81DBA847D64}"/>
    <cellStyle name="Comma 4 2 2 3 3 2 7 2" xfId="25693" xr:uid="{5886F3E2-39F9-4538-B2F4-EC10AB93D2FE}"/>
    <cellStyle name="Comma 4 2 2 3 3 2 7 2 2" xfId="55933" xr:uid="{2B8D8AA4-C0CF-4D91-ACF8-146CA6085F9A}"/>
    <cellStyle name="Comma 4 2 2 3 3 2 7 3" xfId="40813" xr:uid="{33F5F08B-A0AA-4830-8424-DD26AF08E9D2}"/>
    <cellStyle name="Comma 4 2 2 3 3 2 8" xfId="16621" xr:uid="{40E02F90-D91B-49C2-B1A4-754BC2588AC3}"/>
    <cellStyle name="Comma 4 2 2 3 3 2 8 2" xfId="46861" xr:uid="{7D540CBE-003C-420B-8338-1F3396DBA9B6}"/>
    <cellStyle name="Comma 4 2 2 3 3 2 9" xfId="31741" xr:uid="{79601CAC-B064-4691-9F88-C47978F294A6}"/>
    <cellStyle name="Comma 4 2 2 3 3 3" xfId="2257" xr:uid="{D566F701-E027-497F-B273-44DB2AA80393}"/>
    <cellStyle name="Comma 4 2 2 3 3 3 2" xfId="11329" xr:uid="{7C332194-E357-467D-844F-FE660FA05C75}"/>
    <cellStyle name="Comma 4 2 2 3 3 3 2 2" xfId="26449" xr:uid="{305F542F-1D44-49B0-A14C-C9B035561CD3}"/>
    <cellStyle name="Comma 4 2 2 3 3 3 2 2 2" xfId="56689" xr:uid="{159927A3-D68F-47D9-8739-DB0AAB68FF1D}"/>
    <cellStyle name="Comma 4 2 2 3 3 3 2 3" xfId="41569" xr:uid="{B3CA2A3C-C350-4B9D-A8C9-6A028579B741}"/>
    <cellStyle name="Comma 4 2 2 3 3 3 3" xfId="17377" xr:uid="{0650BFF4-4BB7-4BBE-8B16-BD7F6F10E697}"/>
    <cellStyle name="Comma 4 2 2 3 3 3 3 2" xfId="47617" xr:uid="{A4DF31CA-64D4-4FD5-B7A6-6E98ECE6728E}"/>
    <cellStyle name="Comma 4 2 2 3 3 3 4" xfId="32497" xr:uid="{0DCC74FD-40DA-43D6-90E1-81064E2FF911}"/>
    <cellStyle name="Comma 4 2 2 3 3 4" xfId="3769" xr:uid="{10FA767C-E25A-4004-A8C8-F7EE584D8EE4}"/>
    <cellStyle name="Comma 4 2 2 3 3 4 2" xfId="12841" xr:uid="{920ECE2E-0D09-493E-93AF-ACD56380ECC2}"/>
    <cellStyle name="Comma 4 2 2 3 3 4 2 2" xfId="27961" xr:uid="{994969CC-70A2-41B6-A75D-9DC8E623178E}"/>
    <cellStyle name="Comma 4 2 2 3 3 4 2 2 2" xfId="58201" xr:uid="{B386A1E3-BD38-4FBF-931E-9777BA68B7D9}"/>
    <cellStyle name="Comma 4 2 2 3 3 4 2 3" xfId="43081" xr:uid="{A05D4D3B-D985-4D75-B588-208BB9AADD0D}"/>
    <cellStyle name="Comma 4 2 2 3 3 4 3" xfId="18889" xr:uid="{CBF56707-00E0-4F3B-A915-6D1C5B88AE68}"/>
    <cellStyle name="Comma 4 2 2 3 3 4 3 2" xfId="49129" xr:uid="{40301691-3107-4512-BD4C-F370D47FCBC7}"/>
    <cellStyle name="Comma 4 2 2 3 3 4 4" xfId="34009" xr:uid="{B5234A2B-2572-46A1-B996-A1C94F453500}"/>
    <cellStyle name="Comma 4 2 2 3 3 5" xfId="5281" xr:uid="{D9D995F2-856A-4C1A-BA85-BED72040BB4D}"/>
    <cellStyle name="Comma 4 2 2 3 3 5 2" xfId="14353" xr:uid="{4285F9D8-0677-4C1B-A807-719179053803}"/>
    <cellStyle name="Comma 4 2 2 3 3 5 2 2" xfId="29473" xr:uid="{CE8C7C8C-BAA0-4519-B827-F0A652AC8EC8}"/>
    <cellStyle name="Comma 4 2 2 3 3 5 2 2 2" xfId="59713" xr:uid="{F40C170F-ADFE-42C3-9BA3-0F1EAD2D21BB}"/>
    <cellStyle name="Comma 4 2 2 3 3 5 2 3" xfId="44593" xr:uid="{45798329-4E61-4FEC-96D7-5DEED7B8425C}"/>
    <cellStyle name="Comma 4 2 2 3 3 5 3" xfId="20401" xr:uid="{8E71023B-03D0-4974-9AD9-05683AC36F87}"/>
    <cellStyle name="Comma 4 2 2 3 3 5 3 2" xfId="50641" xr:uid="{C7698C40-1FDE-4C50-A070-EE8D038B029A}"/>
    <cellStyle name="Comma 4 2 2 3 3 5 4" xfId="35521" xr:uid="{B5E8151A-E549-428D-AF34-A3D7127ED205}"/>
    <cellStyle name="Comma 4 2 2 3 3 6" xfId="6793" xr:uid="{3A6A4B63-B278-4558-81C6-2215A5E2087B}"/>
    <cellStyle name="Comma 4 2 2 3 3 6 2" xfId="21913" xr:uid="{16C7BA18-85B7-496C-A9E8-82E46B759193}"/>
    <cellStyle name="Comma 4 2 2 3 3 6 2 2" xfId="52153" xr:uid="{300722AC-7BA0-439F-A0C6-1454F774FC49}"/>
    <cellStyle name="Comma 4 2 2 3 3 6 3" xfId="37033" xr:uid="{1F4EB2BD-A6E9-4EC7-9E7A-217D3CC81758}"/>
    <cellStyle name="Comma 4 2 2 3 3 7" xfId="8305" xr:uid="{90D57152-06DB-4FD4-AE01-C2C291156E63}"/>
    <cellStyle name="Comma 4 2 2 3 3 7 2" xfId="23425" xr:uid="{07614CE2-4F5F-45E3-82CA-69EF9D011389}"/>
    <cellStyle name="Comma 4 2 2 3 3 7 2 2" xfId="53665" xr:uid="{6312EA5C-DCE8-4DE0-BF85-743114AD6DD1}"/>
    <cellStyle name="Comma 4 2 2 3 3 7 3" xfId="38545" xr:uid="{E52299B7-D44D-4778-A1B3-C3240D8D0DB2}"/>
    <cellStyle name="Comma 4 2 2 3 3 8" xfId="9817" xr:uid="{490A7966-3D49-4796-9F9B-DDA1DBD3BA28}"/>
    <cellStyle name="Comma 4 2 2 3 3 8 2" xfId="24937" xr:uid="{B325B8E2-AAB5-4003-B10E-3875B40F0ADC}"/>
    <cellStyle name="Comma 4 2 2 3 3 8 2 2" xfId="55177" xr:uid="{D7D5B4B2-F051-49F0-AB24-CE899369E2F3}"/>
    <cellStyle name="Comma 4 2 2 3 3 8 3" xfId="40057" xr:uid="{E5DC59E4-43E1-4B55-8F7A-43F09AEB2506}"/>
    <cellStyle name="Comma 4 2 2 3 3 9" xfId="15865" xr:uid="{2AD6AA07-5824-474E-A36E-F58F609FFCEB}"/>
    <cellStyle name="Comma 4 2 2 3 3 9 2" xfId="46105" xr:uid="{0394E4BA-3AB4-4273-931E-A65BBA15F850}"/>
    <cellStyle name="Comma 4 2 2 3 4" xfId="997" xr:uid="{4ECEDE43-C983-4F66-B69A-E9A3E8FB2B83}"/>
    <cellStyle name="Comma 4 2 2 3 4 2" xfId="2509" xr:uid="{D88706AD-B409-4AC4-8B65-7FAF8FC50246}"/>
    <cellStyle name="Comma 4 2 2 3 4 2 2" xfId="11581" xr:uid="{58BFEAB8-144E-4AF3-B7F8-76702CF0F5F8}"/>
    <cellStyle name="Comma 4 2 2 3 4 2 2 2" xfId="26701" xr:uid="{CC8EC5E6-0F15-4983-BE1E-FA01802BF880}"/>
    <cellStyle name="Comma 4 2 2 3 4 2 2 2 2" xfId="56941" xr:uid="{01E26C74-E0BE-470E-9119-7EE982EF926B}"/>
    <cellStyle name="Comma 4 2 2 3 4 2 2 3" xfId="41821" xr:uid="{66ECCC2B-A028-4008-9742-F1C33CE99A54}"/>
    <cellStyle name="Comma 4 2 2 3 4 2 3" xfId="17629" xr:uid="{86240E61-AF9F-4E05-A8C1-691714B67613}"/>
    <cellStyle name="Comma 4 2 2 3 4 2 3 2" xfId="47869" xr:uid="{72D168EF-9C70-4F78-82D9-45EACC60F0CF}"/>
    <cellStyle name="Comma 4 2 2 3 4 2 4" xfId="32749" xr:uid="{DD10AFF8-974B-4D64-B28A-F54D830C29C7}"/>
    <cellStyle name="Comma 4 2 2 3 4 3" xfId="4021" xr:uid="{B846AE7D-BE2E-493F-8C64-096D17EFDCE5}"/>
    <cellStyle name="Comma 4 2 2 3 4 3 2" xfId="13093" xr:uid="{56743221-9BAC-4B3F-94AB-A88DCE93F10B}"/>
    <cellStyle name="Comma 4 2 2 3 4 3 2 2" xfId="28213" xr:uid="{1394A2C3-662C-4CBA-BB0F-9CD4A80F95F1}"/>
    <cellStyle name="Comma 4 2 2 3 4 3 2 2 2" xfId="58453" xr:uid="{5FAEBEDC-D3AD-423B-984E-D3ED1D939664}"/>
    <cellStyle name="Comma 4 2 2 3 4 3 2 3" xfId="43333" xr:uid="{B6D13CDE-B6E4-4ADB-8A9D-4774E2D40D11}"/>
    <cellStyle name="Comma 4 2 2 3 4 3 3" xfId="19141" xr:uid="{458F1F08-96F9-47F6-94CA-EB274DF63BBA}"/>
    <cellStyle name="Comma 4 2 2 3 4 3 3 2" xfId="49381" xr:uid="{3FD89F4A-1D80-45CB-83DF-C7A1CF3BED89}"/>
    <cellStyle name="Comma 4 2 2 3 4 3 4" xfId="34261" xr:uid="{46ABBD72-4074-490A-B7B2-0286DF57B9AD}"/>
    <cellStyle name="Comma 4 2 2 3 4 4" xfId="5533" xr:uid="{EAB3D29D-2A09-4A3B-9B38-2AE62BA75ED4}"/>
    <cellStyle name="Comma 4 2 2 3 4 4 2" xfId="14605" xr:uid="{D1E56643-F74D-443F-B667-38F5A804A550}"/>
    <cellStyle name="Comma 4 2 2 3 4 4 2 2" xfId="29725" xr:uid="{9165239F-4A4A-4A76-BCAE-33F9750A32BE}"/>
    <cellStyle name="Comma 4 2 2 3 4 4 2 2 2" xfId="59965" xr:uid="{CA974335-FE4E-4C5A-BCEB-F0438AD0D4C3}"/>
    <cellStyle name="Comma 4 2 2 3 4 4 2 3" xfId="44845" xr:uid="{5CD60F01-6C4B-4AB6-A2A6-B580FD4D4C1D}"/>
    <cellStyle name="Comma 4 2 2 3 4 4 3" xfId="20653" xr:uid="{A553906C-CFF2-4B6E-A758-F9FA3F7510E1}"/>
    <cellStyle name="Comma 4 2 2 3 4 4 3 2" xfId="50893" xr:uid="{9D295E60-1B19-4FC2-86F7-46B8C0FA7A7B}"/>
    <cellStyle name="Comma 4 2 2 3 4 4 4" xfId="35773" xr:uid="{A3167F85-2AB9-4D34-AFC3-C8DC4AFF678F}"/>
    <cellStyle name="Comma 4 2 2 3 4 5" xfId="7045" xr:uid="{EEFC0707-6391-4E84-B300-587B940AEB9B}"/>
    <cellStyle name="Comma 4 2 2 3 4 5 2" xfId="22165" xr:uid="{4D29C42D-EB11-4A53-B76D-12681770164E}"/>
    <cellStyle name="Comma 4 2 2 3 4 5 2 2" xfId="52405" xr:uid="{1FED4FD0-4224-4092-BE9E-476BD8D3F9AF}"/>
    <cellStyle name="Comma 4 2 2 3 4 5 3" xfId="37285" xr:uid="{6B18D7EA-9682-4B59-94CB-035E5EFAF7D6}"/>
    <cellStyle name="Comma 4 2 2 3 4 6" xfId="8557" xr:uid="{0382ADC8-B86A-458A-8C24-1F4C1BFF7840}"/>
    <cellStyle name="Comma 4 2 2 3 4 6 2" xfId="23677" xr:uid="{66642534-AA74-4FC9-BD8B-172E1B30975E}"/>
    <cellStyle name="Comma 4 2 2 3 4 6 2 2" xfId="53917" xr:uid="{88A7C20A-E08E-440B-85CC-717D89CCED99}"/>
    <cellStyle name="Comma 4 2 2 3 4 6 3" xfId="38797" xr:uid="{786E8640-8B18-4EE4-9145-EB2F71EAE706}"/>
    <cellStyle name="Comma 4 2 2 3 4 7" xfId="10069" xr:uid="{E376E933-973B-4A65-8532-09746D7C0E3A}"/>
    <cellStyle name="Comma 4 2 2 3 4 7 2" xfId="25189" xr:uid="{A848E063-E80E-4E9B-867C-2C622917D51A}"/>
    <cellStyle name="Comma 4 2 2 3 4 7 2 2" xfId="55429" xr:uid="{A3BB2E42-D735-4503-A219-9659C3EDF20B}"/>
    <cellStyle name="Comma 4 2 2 3 4 7 3" xfId="40309" xr:uid="{D99146BA-045B-4392-AEF6-5A6F21A87080}"/>
    <cellStyle name="Comma 4 2 2 3 4 8" xfId="16117" xr:uid="{12510BE1-C373-4549-82E4-C1168090320F}"/>
    <cellStyle name="Comma 4 2 2 3 4 8 2" xfId="46357" xr:uid="{5382CAD4-9BC7-4B33-B537-27C56837EAF0}"/>
    <cellStyle name="Comma 4 2 2 3 4 9" xfId="31237" xr:uid="{FD19454A-A646-4C66-9BAE-9182867015D7}"/>
    <cellStyle name="Comma 4 2 2 3 5" xfId="1753" xr:uid="{544FEED1-DC92-463A-870D-BA076C95F171}"/>
    <cellStyle name="Comma 4 2 2 3 5 2" xfId="10825" xr:uid="{C5B432B1-DAFD-49EF-900F-159C0AD3CD39}"/>
    <cellStyle name="Comma 4 2 2 3 5 2 2" xfId="25945" xr:uid="{31047EC7-A512-414B-B62D-8CDF9DEDFF87}"/>
    <cellStyle name="Comma 4 2 2 3 5 2 2 2" xfId="56185" xr:uid="{DF6058A9-C0C4-4013-A92F-05D268125B7F}"/>
    <cellStyle name="Comma 4 2 2 3 5 2 3" xfId="41065" xr:uid="{7A6FA3CE-319E-4376-968E-A7A1EF460A0C}"/>
    <cellStyle name="Comma 4 2 2 3 5 3" xfId="16873" xr:uid="{F3557BF8-EF8D-4F92-888D-8D4ABEBCB596}"/>
    <cellStyle name="Comma 4 2 2 3 5 3 2" xfId="47113" xr:uid="{69609DCF-AF08-405B-B28D-66F785CE349F}"/>
    <cellStyle name="Comma 4 2 2 3 5 4" xfId="31993" xr:uid="{5A7D9644-B742-485C-B6CA-B28868B92BE6}"/>
    <cellStyle name="Comma 4 2 2 3 6" xfId="3265" xr:uid="{EDA3E3B0-2791-4EF0-9A7F-BA0476C48ED5}"/>
    <cellStyle name="Comma 4 2 2 3 6 2" xfId="12337" xr:uid="{AC61B3B4-AD26-4A35-80F5-7C44B347E045}"/>
    <cellStyle name="Comma 4 2 2 3 6 2 2" xfId="27457" xr:uid="{86FED192-19E1-40B5-AA0E-36AC84CDEC13}"/>
    <cellStyle name="Comma 4 2 2 3 6 2 2 2" xfId="57697" xr:uid="{619343B4-8324-48FE-A471-2E1809285D3B}"/>
    <cellStyle name="Comma 4 2 2 3 6 2 3" xfId="42577" xr:uid="{5C2AC0B5-338B-435B-96B4-18758AE6C34D}"/>
    <cellStyle name="Comma 4 2 2 3 6 3" xfId="18385" xr:uid="{B460DEF9-F87B-4AD5-93C5-9785CB548BBE}"/>
    <cellStyle name="Comma 4 2 2 3 6 3 2" xfId="48625" xr:uid="{D00A1D86-22ED-47F0-8D2F-10A85BB1AA82}"/>
    <cellStyle name="Comma 4 2 2 3 6 4" xfId="33505" xr:uid="{5135A26C-AED1-418A-BA6A-D2DB5D19BECE}"/>
    <cellStyle name="Comma 4 2 2 3 7" xfId="4777" xr:uid="{0DF23ED9-E12D-4AD0-816D-3DE8568E9D16}"/>
    <cellStyle name="Comma 4 2 2 3 7 2" xfId="13849" xr:uid="{475B999E-22DE-4FB4-8AF7-FD8CC6D594A8}"/>
    <cellStyle name="Comma 4 2 2 3 7 2 2" xfId="28969" xr:uid="{FDA7A59E-1A5C-4C8F-81A2-0AE81B210381}"/>
    <cellStyle name="Comma 4 2 2 3 7 2 2 2" xfId="59209" xr:uid="{5F50F9D0-642E-4F41-AC40-78B13AE84110}"/>
    <cellStyle name="Comma 4 2 2 3 7 2 3" xfId="44089" xr:uid="{DC0BC418-BD1A-46A1-B29C-50F08642FD69}"/>
    <cellStyle name="Comma 4 2 2 3 7 3" xfId="19897" xr:uid="{31AE0E8E-934A-4943-8F83-5E51A95FD2C9}"/>
    <cellStyle name="Comma 4 2 2 3 7 3 2" xfId="50137" xr:uid="{1A1F1BDC-5DA0-4098-ABCB-2C439F545F25}"/>
    <cellStyle name="Comma 4 2 2 3 7 4" xfId="35017" xr:uid="{A5AC6C06-7CC9-4B52-8F68-877A71D0BDD0}"/>
    <cellStyle name="Comma 4 2 2 3 8" xfId="6289" xr:uid="{3C66F209-625F-4DDA-BC27-4DF033E32594}"/>
    <cellStyle name="Comma 4 2 2 3 8 2" xfId="21409" xr:uid="{8A33AAA2-6229-469A-8529-25D812119B4D}"/>
    <cellStyle name="Comma 4 2 2 3 8 2 2" xfId="51649" xr:uid="{32037F13-52D9-40F8-B4CC-1BEDB8087807}"/>
    <cellStyle name="Comma 4 2 2 3 8 3" xfId="36529" xr:uid="{1F4E3BBF-DE1E-42C8-B21F-461CECAD0A36}"/>
    <cellStyle name="Comma 4 2 2 3 9" xfId="7801" xr:uid="{7DFE6674-052E-4F23-81E3-28F4AD3ACA38}"/>
    <cellStyle name="Comma 4 2 2 3 9 2" xfId="22921" xr:uid="{9F3FE03D-2F87-4E52-A66B-A71D3AECFD59}"/>
    <cellStyle name="Comma 4 2 2 3 9 2 2" xfId="53161" xr:uid="{6EAA7C66-7986-40A7-8178-98F2775EEBA9}"/>
    <cellStyle name="Comma 4 2 2 3 9 3" xfId="38041" xr:uid="{DC2BFEFA-F53D-485A-AFAC-9D8016B88262}"/>
    <cellStyle name="Comma 4 2 2 4" xfId="325" xr:uid="{DEA946A7-F6F5-49F7-B83C-6021F1BB7D6D}"/>
    <cellStyle name="Comma 4 2 2 4 10" xfId="30565" xr:uid="{FD5F7F52-D53B-493A-ABBE-D6DCB8C04DE4}"/>
    <cellStyle name="Comma 4 2 2 4 2" xfId="1081" xr:uid="{71B1A4EE-0E97-4BFD-BE0C-6AE344A189DE}"/>
    <cellStyle name="Comma 4 2 2 4 2 2" xfId="2593" xr:uid="{100D4662-CC17-49A8-939B-39F4FB91EEF1}"/>
    <cellStyle name="Comma 4 2 2 4 2 2 2" xfId="11665" xr:uid="{B58CB3E9-E1A0-47C6-AECB-5BB02671E3BC}"/>
    <cellStyle name="Comma 4 2 2 4 2 2 2 2" xfId="26785" xr:uid="{E05DE108-A38E-4BC6-90A9-E476266550BA}"/>
    <cellStyle name="Comma 4 2 2 4 2 2 2 2 2" xfId="57025" xr:uid="{D5112397-1FA5-412C-A7A7-28C22A768E6C}"/>
    <cellStyle name="Comma 4 2 2 4 2 2 2 3" xfId="41905" xr:uid="{9D6460C0-F516-4581-A3F0-D363ED9F71D6}"/>
    <cellStyle name="Comma 4 2 2 4 2 2 3" xfId="17713" xr:uid="{7ED7C612-16E2-4663-A83E-C7F126B77BB3}"/>
    <cellStyle name="Comma 4 2 2 4 2 2 3 2" xfId="47953" xr:uid="{20FC9533-A56D-441C-92DA-0CE3958A4635}"/>
    <cellStyle name="Comma 4 2 2 4 2 2 4" xfId="32833" xr:uid="{3C32FFF0-9FF4-4A4C-99AC-C1C976DE1248}"/>
    <cellStyle name="Comma 4 2 2 4 2 3" xfId="4105" xr:uid="{24F2B286-1F1B-4857-AC93-7122511B61EB}"/>
    <cellStyle name="Comma 4 2 2 4 2 3 2" xfId="13177" xr:uid="{13E9F1FB-7E3B-4D76-83BB-54B64E6FBEA9}"/>
    <cellStyle name="Comma 4 2 2 4 2 3 2 2" xfId="28297" xr:uid="{D02D6A37-2AB5-4016-B555-3F2AB9AB7640}"/>
    <cellStyle name="Comma 4 2 2 4 2 3 2 2 2" xfId="58537" xr:uid="{BB4F7564-ACFB-48F7-B380-B277D6D0783C}"/>
    <cellStyle name="Comma 4 2 2 4 2 3 2 3" xfId="43417" xr:uid="{35AAA9EF-AB8E-4728-8A19-AC775CD2159B}"/>
    <cellStyle name="Comma 4 2 2 4 2 3 3" xfId="19225" xr:uid="{AAFF401B-A41F-4631-AB83-9E6395DB44ED}"/>
    <cellStyle name="Comma 4 2 2 4 2 3 3 2" xfId="49465" xr:uid="{41D01FC7-936B-4E09-9BCF-8C4BA4835CBE}"/>
    <cellStyle name="Comma 4 2 2 4 2 3 4" xfId="34345" xr:uid="{A5D7A543-89FD-484C-A68A-7C14A466E42B}"/>
    <cellStyle name="Comma 4 2 2 4 2 4" xfId="5617" xr:uid="{CA83B04C-B4D4-4F75-9AF5-4C29E5B71DE4}"/>
    <cellStyle name="Comma 4 2 2 4 2 4 2" xfId="14689" xr:uid="{D45591E9-1222-4DE6-B879-B29F92023CB6}"/>
    <cellStyle name="Comma 4 2 2 4 2 4 2 2" xfId="29809" xr:uid="{0B1C99EA-6B17-404B-B667-A65FCA76B941}"/>
    <cellStyle name="Comma 4 2 2 4 2 4 2 2 2" xfId="60049" xr:uid="{1296725C-4B37-4894-AA4F-38FA36F106A3}"/>
    <cellStyle name="Comma 4 2 2 4 2 4 2 3" xfId="44929" xr:uid="{B712AD3B-6811-4E3C-B53C-EA7533350B55}"/>
    <cellStyle name="Comma 4 2 2 4 2 4 3" xfId="20737" xr:uid="{2BF9E7B5-42C7-4D93-9026-086DF2B4256C}"/>
    <cellStyle name="Comma 4 2 2 4 2 4 3 2" xfId="50977" xr:uid="{FE85B04D-81BE-45FB-8068-2A54748996CA}"/>
    <cellStyle name="Comma 4 2 2 4 2 4 4" xfId="35857" xr:uid="{8F717A8D-A8DE-49B5-8483-C9402A277425}"/>
    <cellStyle name="Comma 4 2 2 4 2 5" xfId="7129" xr:uid="{D54A4B3D-AC5E-40E6-B744-45C44E00C938}"/>
    <cellStyle name="Comma 4 2 2 4 2 5 2" xfId="22249" xr:uid="{4103024D-807E-45DB-8E5E-ECA76AA05EB0}"/>
    <cellStyle name="Comma 4 2 2 4 2 5 2 2" xfId="52489" xr:uid="{2A56336E-E3C0-4B3D-96A5-1A6811375150}"/>
    <cellStyle name="Comma 4 2 2 4 2 5 3" xfId="37369" xr:uid="{2DD62630-ABF9-4BCC-84F5-6D6A6B88C4EE}"/>
    <cellStyle name="Comma 4 2 2 4 2 6" xfId="8641" xr:uid="{32B93855-EDB1-44D4-9BDC-DAF393D0BC39}"/>
    <cellStyle name="Comma 4 2 2 4 2 6 2" xfId="23761" xr:uid="{C5048814-8A93-4E58-A64B-B79C89E849C2}"/>
    <cellStyle name="Comma 4 2 2 4 2 6 2 2" xfId="54001" xr:uid="{D69A7E20-C8DC-4267-9889-633F842DFE30}"/>
    <cellStyle name="Comma 4 2 2 4 2 6 3" xfId="38881" xr:uid="{5E2D0CAF-0433-4A20-AA73-8CA206A4A23A}"/>
    <cellStyle name="Comma 4 2 2 4 2 7" xfId="10153" xr:uid="{469CD08B-D877-428E-BB56-2768C0EC51B0}"/>
    <cellStyle name="Comma 4 2 2 4 2 7 2" xfId="25273" xr:uid="{F1F3B418-F849-497D-AAA6-506FC3B271FF}"/>
    <cellStyle name="Comma 4 2 2 4 2 7 2 2" xfId="55513" xr:uid="{A4AF1BDC-4BC1-4B99-B355-57BA83AC86C5}"/>
    <cellStyle name="Comma 4 2 2 4 2 7 3" xfId="40393" xr:uid="{7A81AC62-F5DD-468B-B2E6-B0B0047FC4D9}"/>
    <cellStyle name="Comma 4 2 2 4 2 8" xfId="16201" xr:uid="{927B1979-48CC-4725-A589-CED337079412}"/>
    <cellStyle name="Comma 4 2 2 4 2 8 2" xfId="46441" xr:uid="{F4D39F1B-7DE3-4C97-9234-46F83DE558F5}"/>
    <cellStyle name="Comma 4 2 2 4 2 9" xfId="31321" xr:uid="{F340DA7C-A080-4A07-9F1D-59F3F68D0FAD}"/>
    <cellStyle name="Comma 4 2 2 4 3" xfId="1837" xr:uid="{CDE32460-04DF-46B8-B4DD-9807786551C8}"/>
    <cellStyle name="Comma 4 2 2 4 3 2" xfId="10909" xr:uid="{8CDF7D2B-A22D-4B2D-8384-C8272A3C5395}"/>
    <cellStyle name="Comma 4 2 2 4 3 2 2" xfId="26029" xr:uid="{A2BDDD76-F4E6-4DBE-8261-B9A1DDF6C688}"/>
    <cellStyle name="Comma 4 2 2 4 3 2 2 2" xfId="56269" xr:uid="{F1B0E16E-4C5F-4CC6-8286-13B901801E34}"/>
    <cellStyle name="Comma 4 2 2 4 3 2 3" xfId="41149" xr:uid="{C374F4D5-C8A9-4F42-9976-7FF5954E4291}"/>
    <cellStyle name="Comma 4 2 2 4 3 3" xfId="16957" xr:uid="{18EFFE75-B9E1-4CBA-98B9-7548655D07AC}"/>
    <cellStyle name="Comma 4 2 2 4 3 3 2" xfId="47197" xr:uid="{FD5C35EC-4C19-4B24-A6A9-3E3EF8E385F0}"/>
    <cellStyle name="Comma 4 2 2 4 3 4" xfId="32077" xr:uid="{DF5A40D6-9AFD-4E0F-95C7-5031BB1E354B}"/>
    <cellStyle name="Comma 4 2 2 4 4" xfId="3349" xr:uid="{7EE27173-D5F7-4D20-84F7-8298F2B7677C}"/>
    <cellStyle name="Comma 4 2 2 4 4 2" xfId="12421" xr:uid="{BDE616B8-B10B-4212-BA6E-21B346453E99}"/>
    <cellStyle name="Comma 4 2 2 4 4 2 2" xfId="27541" xr:uid="{85E6DA3A-8B4A-4A58-883A-889E14830E22}"/>
    <cellStyle name="Comma 4 2 2 4 4 2 2 2" xfId="57781" xr:uid="{B4220071-DCE0-45F4-B739-885842A71BA5}"/>
    <cellStyle name="Comma 4 2 2 4 4 2 3" xfId="42661" xr:uid="{D8F7E8D0-8A2F-452B-8D52-7EDA3AC9BDD9}"/>
    <cellStyle name="Comma 4 2 2 4 4 3" xfId="18469" xr:uid="{31C6E93B-7BC5-4F43-B3D7-F30AE2655B6F}"/>
    <cellStyle name="Comma 4 2 2 4 4 3 2" xfId="48709" xr:uid="{C8ECB143-2C99-4E46-B78A-3A88641338D0}"/>
    <cellStyle name="Comma 4 2 2 4 4 4" xfId="33589" xr:uid="{77A5C61A-9D8B-42A5-951E-6B88C9D8C926}"/>
    <cellStyle name="Comma 4 2 2 4 5" xfId="4861" xr:uid="{4881A4B5-BD00-4709-B3B5-D7D4AE0D2300}"/>
    <cellStyle name="Comma 4 2 2 4 5 2" xfId="13933" xr:uid="{F363C34D-5B1A-4D22-96EB-D53BF30C7254}"/>
    <cellStyle name="Comma 4 2 2 4 5 2 2" xfId="29053" xr:uid="{D8A7B5A8-910F-463F-98C1-6B8B919D79E7}"/>
    <cellStyle name="Comma 4 2 2 4 5 2 2 2" xfId="59293" xr:uid="{0218AA0F-FDE8-4043-9CD3-39D5E0F87F78}"/>
    <cellStyle name="Comma 4 2 2 4 5 2 3" xfId="44173" xr:uid="{BAEAB177-DABE-4DEC-BEA5-868CCF9F82BC}"/>
    <cellStyle name="Comma 4 2 2 4 5 3" xfId="19981" xr:uid="{4AEFFC7E-09E1-49BA-9994-C2939AEB9F96}"/>
    <cellStyle name="Comma 4 2 2 4 5 3 2" xfId="50221" xr:uid="{38DFA5EB-21C1-4919-A19B-88B20D575C79}"/>
    <cellStyle name="Comma 4 2 2 4 5 4" xfId="35101" xr:uid="{BAD0A6E9-9402-4037-868F-276F519F2C01}"/>
    <cellStyle name="Comma 4 2 2 4 6" xfId="6373" xr:uid="{7252A798-ED0E-47B5-BB7D-B94A73739DFA}"/>
    <cellStyle name="Comma 4 2 2 4 6 2" xfId="21493" xr:uid="{9EC243D3-EFD1-4D09-94FD-C08074266F2A}"/>
    <cellStyle name="Comma 4 2 2 4 6 2 2" xfId="51733" xr:uid="{FC920445-4B1A-443A-B043-C922BE02F635}"/>
    <cellStyle name="Comma 4 2 2 4 6 3" xfId="36613" xr:uid="{F616F12F-26FB-45D8-801D-3EA5AEDE5279}"/>
    <cellStyle name="Comma 4 2 2 4 7" xfId="7885" xr:uid="{BD3E2D11-D0FF-4749-B975-C5246F7BF6DF}"/>
    <cellStyle name="Comma 4 2 2 4 7 2" xfId="23005" xr:uid="{2E629EB9-C387-46A3-82CF-926962F54E0C}"/>
    <cellStyle name="Comma 4 2 2 4 7 2 2" xfId="53245" xr:uid="{23837A57-B879-4347-B956-FD7BCBFF42B5}"/>
    <cellStyle name="Comma 4 2 2 4 7 3" xfId="38125" xr:uid="{2FBA93ED-B267-4416-A801-3482415F2DDC}"/>
    <cellStyle name="Comma 4 2 2 4 8" xfId="9397" xr:uid="{207914FA-EC36-4458-A231-812746A56E7B}"/>
    <cellStyle name="Comma 4 2 2 4 8 2" xfId="24517" xr:uid="{71BCD721-4577-4D51-9DE2-A3D8CF7C1DC9}"/>
    <cellStyle name="Comma 4 2 2 4 8 2 2" xfId="54757" xr:uid="{F0976EE0-37CD-4037-BE38-47FDAC486873}"/>
    <cellStyle name="Comma 4 2 2 4 8 3" xfId="39637" xr:uid="{9C1C23C7-81CC-49C7-A89C-870B81123C53}"/>
    <cellStyle name="Comma 4 2 2 4 9" xfId="15445" xr:uid="{18F4F089-EEAE-423A-BADD-F97077FC311E}"/>
    <cellStyle name="Comma 4 2 2 4 9 2" xfId="45685" xr:uid="{3B614511-A0E3-4D74-8664-06FD79900E75}"/>
    <cellStyle name="Comma 4 2 2 5" xfId="577" xr:uid="{1E20037A-843D-44E6-83B1-27310DDD26B3}"/>
    <cellStyle name="Comma 4 2 2 5 10" xfId="30817" xr:uid="{CB20285A-6493-4752-BE94-B1045E940018}"/>
    <cellStyle name="Comma 4 2 2 5 2" xfId="1333" xr:uid="{864B3A60-335E-4DB2-8E70-5933E4ED993F}"/>
    <cellStyle name="Comma 4 2 2 5 2 2" xfId="2845" xr:uid="{59813A83-CC6E-4504-9EC2-DEBF51B32040}"/>
    <cellStyle name="Comma 4 2 2 5 2 2 2" xfId="11917" xr:uid="{A28C7514-EDDC-42CC-B6D8-27AB5FD8935A}"/>
    <cellStyle name="Comma 4 2 2 5 2 2 2 2" xfId="27037" xr:uid="{041F52E6-7279-45D3-BF9B-6C0D0509D955}"/>
    <cellStyle name="Comma 4 2 2 5 2 2 2 2 2" xfId="57277" xr:uid="{1969E64B-5C6A-425B-8EFA-3983602E396F}"/>
    <cellStyle name="Comma 4 2 2 5 2 2 2 3" xfId="42157" xr:uid="{E5E0BDD6-59AD-495B-BE1B-DE132DE56468}"/>
    <cellStyle name="Comma 4 2 2 5 2 2 3" xfId="17965" xr:uid="{19BD89FD-4820-4C5C-A537-528368ACCBEB}"/>
    <cellStyle name="Comma 4 2 2 5 2 2 3 2" xfId="48205" xr:uid="{B0868979-77C7-4DB9-9C41-3909962BDEC4}"/>
    <cellStyle name="Comma 4 2 2 5 2 2 4" xfId="33085" xr:uid="{223D7C16-D215-40F6-9863-9E6DA5FE6075}"/>
    <cellStyle name="Comma 4 2 2 5 2 3" xfId="4357" xr:uid="{4E2A4C6F-8E5D-44F8-BF4A-FDA364BE3B7C}"/>
    <cellStyle name="Comma 4 2 2 5 2 3 2" xfId="13429" xr:uid="{37E335F6-7A82-4A7A-B959-AD1997A01975}"/>
    <cellStyle name="Comma 4 2 2 5 2 3 2 2" xfId="28549" xr:uid="{D4CF3378-6C72-4E5A-AD48-284A1690F5AC}"/>
    <cellStyle name="Comma 4 2 2 5 2 3 2 2 2" xfId="58789" xr:uid="{B1708320-2C7F-45C9-964B-10F21268BA0E}"/>
    <cellStyle name="Comma 4 2 2 5 2 3 2 3" xfId="43669" xr:uid="{A065FA83-AA2B-49C7-84E8-9A710828E943}"/>
    <cellStyle name="Comma 4 2 2 5 2 3 3" xfId="19477" xr:uid="{2A828A56-ADBC-42AA-98A1-59A621E9F51E}"/>
    <cellStyle name="Comma 4 2 2 5 2 3 3 2" xfId="49717" xr:uid="{EC1FE666-AA22-46BF-8E53-3A21FED7E584}"/>
    <cellStyle name="Comma 4 2 2 5 2 3 4" xfId="34597" xr:uid="{AAD73755-05C0-49BD-B57C-A69E4EDE11E6}"/>
    <cellStyle name="Comma 4 2 2 5 2 4" xfId="5869" xr:uid="{AA1F8429-6A0A-4436-82EB-6717FE4627BC}"/>
    <cellStyle name="Comma 4 2 2 5 2 4 2" xfId="14941" xr:uid="{36D5E3C1-5994-4CAD-9EB9-2F2664009E3B}"/>
    <cellStyle name="Comma 4 2 2 5 2 4 2 2" xfId="30061" xr:uid="{7DB27741-6445-4120-BAEE-C283EBBC775F}"/>
    <cellStyle name="Comma 4 2 2 5 2 4 2 2 2" xfId="60301" xr:uid="{8707DBFB-974C-4D24-A9EF-9615F3945F42}"/>
    <cellStyle name="Comma 4 2 2 5 2 4 2 3" xfId="45181" xr:uid="{E690339F-3E73-43FB-8E46-26391315957F}"/>
    <cellStyle name="Comma 4 2 2 5 2 4 3" xfId="20989" xr:uid="{E27431C8-F5C3-4C3E-9550-11ACA360D4A6}"/>
    <cellStyle name="Comma 4 2 2 5 2 4 3 2" xfId="51229" xr:uid="{AF7C12CB-1817-460F-AC84-EC60104400E8}"/>
    <cellStyle name="Comma 4 2 2 5 2 4 4" xfId="36109" xr:uid="{9EB18CD5-6F85-4F94-9C39-03D2764C32FC}"/>
    <cellStyle name="Comma 4 2 2 5 2 5" xfId="7381" xr:uid="{72160938-9836-4B2F-B774-CD95D0151D2B}"/>
    <cellStyle name="Comma 4 2 2 5 2 5 2" xfId="22501" xr:uid="{A1E499B1-3A8D-4886-8EEE-07FC338080C2}"/>
    <cellStyle name="Comma 4 2 2 5 2 5 2 2" xfId="52741" xr:uid="{8CDB27DD-D4DA-4BC4-8314-43AC0329592F}"/>
    <cellStyle name="Comma 4 2 2 5 2 5 3" xfId="37621" xr:uid="{F9830707-F2C0-4FE5-9730-9B2A4DA1F748}"/>
    <cellStyle name="Comma 4 2 2 5 2 6" xfId="8893" xr:uid="{BE44F91B-BC4B-4D18-95BA-45E54A53E35D}"/>
    <cellStyle name="Comma 4 2 2 5 2 6 2" xfId="24013" xr:uid="{6AC66CC7-F06B-4644-A188-E3745A821B1F}"/>
    <cellStyle name="Comma 4 2 2 5 2 6 2 2" xfId="54253" xr:uid="{6E0A41C7-401A-44D9-9ECD-8CEE9359F77B}"/>
    <cellStyle name="Comma 4 2 2 5 2 6 3" xfId="39133" xr:uid="{04F0E190-A16E-4ECD-986F-2735864F862B}"/>
    <cellStyle name="Comma 4 2 2 5 2 7" xfId="10405" xr:uid="{ACF7865A-EFB0-4F0F-901B-971B47341E3A}"/>
    <cellStyle name="Comma 4 2 2 5 2 7 2" xfId="25525" xr:uid="{FC95E872-AB98-4095-9349-A84F995EA57E}"/>
    <cellStyle name="Comma 4 2 2 5 2 7 2 2" xfId="55765" xr:uid="{D0967E2E-902B-47C1-9461-E93736374A26}"/>
    <cellStyle name="Comma 4 2 2 5 2 7 3" xfId="40645" xr:uid="{7BD46858-0EB1-4D84-9A17-A63256A3E661}"/>
    <cellStyle name="Comma 4 2 2 5 2 8" xfId="16453" xr:uid="{86FBD29A-E3B4-49A7-9474-1F13696D03D0}"/>
    <cellStyle name="Comma 4 2 2 5 2 8 2" xfId="46693" xr:uid="{62DAF606-25D9-4E11-ACEA-EA5A2CA78E7A}"/>
    <cellStyle name="Comma 4 2 2 5 2 9" xfId="31573" xr:uid="{F9AE67E9-2AB1-4453-A9FC-2FEBC0B3E0F9}"/>
    <cellStyle name="Comma 4 2 2 5 3" xfId="2089" xr:uid="{660DAD07-6014-4491-92AB-3746AA09A43B}"/>
    <cellStyle name="Comma 4 2 2 5 3 2" xfId="11161" xr:uid="{6FCDBEC0-F179-4206-880F-E3F8D5841C5C}"/>
    <cellStyle name="Comma 4 2 2 5 3 2 2" xfId="26281" xr:uid="{3539055B-532F-4C1C-AC70-AC4AFAF33FA1}"/>
    <cellStyle name="Comma 4 2 2 5 3 2 2 2" xfId="56521" xr:uid="{C776F3A8-8E78-4FCB-B725-ADEBD871354C}"/>
    <cellStyle name="Comma 4 2 2 5 3 2 3" xfId="41401" xr:uid="{9CAA8BE4-1B57-485A-BCCA-981A2B3B2745}"/>
    <cellStyle name="Comma 4 2 2 5 3 3" xfId="17209" xr:uid="{5639A422-6B2F-4CDB-A40E-64A84DF5098A}"/>
    <cellStyle name="Comma 4 2 2 5 3 3 2" xfId="47449" xr:uid="{FD13D3D6-91BA-4540-9427-2BE36EF4A2F1}"/>
    <cellStyle name="Comma 4 2 2 5 3 4" xfId="32329" xr:uid="{66E5CE67-537F-49ED-9173-318671C81ED3}"/>
    <cellStyle name="Comma 4 2 2 5 4" xfId="3601" xr:uid="{5323E416-B22A-4331-9CFF-77133785EAE1}"/>
    <cellStyle name="Comma 4 2 2 5 4 2" xfId="12673" xr:uid="{C2704144-46F9-4DEF-AAD5-03EBFF8C6F6B}"/>
    <cellStyle name="Comma 4 2 2 5 4 2 2" xfId="27793" xr:uid="{565F738C-6CF0-4DA4-B64C-C5A919586EE6}"/>
    <cellStyle name="Comma 4 2 2 5 4 2 2 2" xfId="58033" xr:uid="{471EC365-E924-4900-B415-971F5553D4BC}"/>
    <cellStyle name="Comma 4 2 2 5 4 2 3" xfId="42913" xr:uid="{F552ED41-EC4A-4C55-931E-CEF81D50072A}"/>
    <cellStyle name="Comma 4 2 2 5 4 3" xfId="18721" xr:uid="{13FD3662-49F5-468C-95A2-7D48E94B47BD}"/>
    <cellStyle name="Comma 4 2 2 5 4 3 2" xfId="48961" xr:uid="{793663E1-FC12-4588-99FA-DEAF5CA67AB9}"/>
    <cellStyle name="Comma 4 2 2 5 4 4" xfId="33841" xr:uid="{7F7A0444-C1ED-45CF-B3AE-ECFD77306886}"/>
    <cellStyle name="Comma 4 2 2 5 5" xfId="5113" xr:uid="{FB232D82-28D3-4D78-9A10-54E5A6E2E568}"/>
    <cellStyle name="Comma 4 2 2 5 5 2" xfId="14185" xr:uid="{5D2A53FA-14A2-4DE5-B84C-0476C50F960A}"/>
    <cellStyle name="Comma 4 2 2 5 5 2 2" xfId="29305" xr:uid="{4B8CCD9F-8A28-4343-AAC8-54332779AF5D}"/>
    <cellStyle name="Comma 4 2 2 5 5 2 2 2" xfId="59545" xr:uid="{E1BA0A37-7257-43C4-BC4F-5DAB66F4C221}"/>
    <cellStyle name="Comma 4 2 2 5 5 2 3" xfId="44425" xr:uid="{460662DB-5F06-46A0-9B84-B392CCAA5D82}"/>
    <cellStyle name="Comma 4 2 2 5 5 3" xfId="20233" xr:uid="{4475EA99-7AA6-4DDA-8A64-223D26BF8EAE}"/>
    <cellStyle name="Comma 4 2 2 5 5 3 2" xfId="50473" xr:uid="{1553EC50-7EF4-481E-9EF9-AAAD003C861E}"/>
    <cellStyle name="Comma 4 2 2 5 5 4" xfId="35353" xr:uid="{E34B05C3-C75D-4A4D-94E0-EA85AC8FFB3F}"/>
    <cellStyle name="Comma 4 2 2 5 6" xfId="6625" xr:uid="{1D30659B-49BA-4530-A9F4-E462F5DF6AB4}"/>
    <cellStyle name="Comma 4 2 2 5 6 2" xfId="21745" xr:uid="{2605AA01-0719-4961-BDE9-0893F76E8C41}"/>
    <cellStyle name="Comma 4 2 2 5 6 2 2" xfId="51985" xr:uid="{157657D6-0BF3-4ED2-A6F4-B43F21A90CEC}"/>
    <cellStyle name="Comma 4 2 2 5 6 3" xfId="36865" xr:uid="{74BA414C-6672-4326-BC56-29FEBEF88BA0}"/>
    <cellStyle name="Comma 4 2 2 5 7" xfId="8137" xr:uid="{35B0B95D-1949-4D49-B17B-080F19A69D77}"/>
    <cellStyle name="Comma 4 2 2 5 7 2" xfId="23257" xr:uid="{92E57DD4-9516-4145-A875-6D61B0C641FF}"/>
    <cellStyle name="Comma 4 2 2 5 7 2 2" xfId="53497" xr:uid="{481779CC-0009-472A-B43C-72DE8D16B4AF}"/>
    <cellStyle name="Comma 4 2 2 5 7 3" xfId="38377" xr:uid="{8191AA8D-2F82-472B-8D1C-D88E319A9409}"/>
    <cellStyle name="Comma 4 2 2 5 8" xfId="9649" xr:uid="{60454BE5-EFB5-499B-9BF9-FE148CD6F027}"/>
    <cellStyle name="Comma 4 2 2 5 8 2" xfId="24769" xr:uid="{32B11752-6089-4E8F-A83E-1C662D77C56F}"/>
    <cellStyle name="Comma 4 2 2 5 8 2 2" xfId="55009" xr:uid="{D695B64A-4CBA-46FC-957C-91D8D6EEB0DF}"/>
    <cellStyle name="Comma 4 2 2 5 8 3" xfId="39889" xr:uid="{24D4CE59-97AF-4665-8CC6-092DD81E9C0A}"/>
    <cellStyle name="Comma 4 2 2 5 9" xfId="15697" xr:uid="{6F6DA1BD-436F-4655-B2DC-C86E8860174C}"/>
    <cellStyle name="Comma 4 2 2 5 9 2" xfId="45937" xr:uid="{17B5D342-0E4E-49D0-B156-2B118BBA30A3}"/>
    <cellStyle name="Comma 4 2 2 6" xfId="829" xr:uid="{6EC17294-857B-4C11-8F83-67563A12CDE0}"/>
    <cellStyle name="Comma 4 2 2 6 2" xfId="2341" xr:uid="{C2136283-B237-4E2A-875F-EF46F408299B}"/>
    <cellStyle name="Comma 4 2 2 6 2 2" xfId="11413" xr:uid="{6A899AB9-A02E-46D0-9AF6-DA473E45633C}"/>
    <cellStyle name="Comma 4 2 2 6 2 2 2" xfId="26533" xr:uid="{D4FDDC9E-1F02-4CD8-83AC-AA4D81FEB67F}"/>
    <cellStyle name="Comma 4 2 2 6 2 2 2 2" xfId="56773" xr:uid="{7872A3CE-7CD1-410F-9C57-DDC0870C1E48}"/>
    <cellStyle name="Comma 4 2 2 6 2 2 3" xfId="41653" xr:uid="{86958714-0E99-4F12-892E-52FEFDFD2BC3}"/>
    <cellStyle name="Comma 4 2 2 6 2 3" xfId="17461" xr:uid="{95B8F28E-3DDA-4471-B5F7-61E5821B5F74}"/>
    <cellStyle name="Comma 4 2 2 6 2 3 2" xfId="47701" xr:uid="{7291E231-6B69-4CC3-8CDD-A59BAD428314}"/>
    <cellStyle name="Comma 4 2 2 6 2 4" xfId="32581" xr:uid="{BA13E767-F037-4380-A791-DCC2928D1902}"/>
    <cellStyle name="Comma 4 2 2 6 3" xfId="3853" xr:uid="{D08D02AC-1BDE-4484-9CED-E2DEEAA99AE8}"/>
    <cellStyle name="Comma 4 2 2 6 3 2" xfId="12925" xr:uid="{229AD8CD-2EF7-4DEA-90CD-BE1D4C3E6012}"/>
    <cellStyle name="Comma 4 2 2 6 3 2 2" xfId="28045" xr:uid="{50B2539D-1B36-40D4-90D2-3FF2981CD0CF}"/>
    <cellStyle name="Comma 4 2 2 6 3 2 2 2" xfId="58285" xr:uid="{75A6188C-C720-4C03-8253-3476BC2D0CE8}"/>
    <cellStyle name="Comma 4 2 2 6 3 2 3" xfId="43165" xr:uid="{DD28F7C3-E8A0-47B4-9433-37B386BEEC6D}"/>
    <cellStyle name="Comma 4 2 2 6 3 3" xfId="18973" xr:uid="{23C1B27B-F31F-4F4F-9600-FC42D4A4813A}"/>
    <cellStyle name="Comma 4 2 2 6 3 3 2" xfId="49213" xr:uid="{DCDBFB40-7632-4BF0-83BF-1D0F0A0ED617}"/>
    <cellStyle name="Comma 4 2 2 6 3 4" xfId="34093" xr:uid="{2E69A390-1ABA-4E13-AD13-F556FC877AB7}"/>
    <cellStyle name="Comma 4 2 2 6 4" xfId="5365" xr:uid="{C5B243BF-430F-4B07-B61A-88FCDD1503EC}"/>
    <cellStyle name="Comma 4 2 2 6 4 2" xfId="14437" xr:uid="{CC430996-257E-45E3-B7CC-D1792293C735}"/>
    <cellStyle name="Comma 4 2 2 6 4 2 2" xfId="29557" xr:uid="{35622A32-A1DD-4E57-B535-D2A8F4A8580C}"/>
    <cellStyle name="Comma 4 2 2 6 4 2 2 2" xfId="59797" xr:uid="{511D097F-2883-4758-98FA-90889E6E80F8}"/>
    <cellStyle name="Comma 4 2 2 6 4 2 3" xfId="44677" xr:uid="{DF291472-1C2C-4169-AAE7-6ADF31FDA4A1}"/>
    <cellStyle name="Comma 4 2 2 6 4 3" xfId="20485" xr:uid="{40FBC4C1-D47F-4095-BAC9-0BD4B742D990}"/>
    <cellStyle name="Comma 4 2 2 6 4 3 2" xfId="50725" xr:uid="{CB9C88A8-B365-491A-895B-6744F1313D63}"/>
    <cellStyle name="Comma 4 2 2 6 4 4" xfId="35605" xr:uid="{D898B170-660F-4D2B-ABED-ABFFF52251F4}"/>
    <cellStyle name="Comma 4 2 2 6 5" xfId="6877" xr:uid="{61FF432D-88E6-48CD-BA36-4D5599DF86D7}"/>
    <cellStyle name="Comma 4 2 2 6 5 2" xfId="21997" xr:uid="{CB0FBE32-FDBB-4FC3-B85F-3A87D0D3E83A}"/>
    <cellStyle name="Comma 4 2 2 6 5 2 2" xfId="52237" xr:uid="{F6D5178D-F4CC-4059-97DC-1422128782B2}"/>
    <cellStyle name="Comma 4 2 2 6 5 3" xfId="37117" xr:uid="{DFE6F9DF-2B86-4DB4-97BF-DE659FD3642C}"/>
    <cellStyle name="Comma 4 2 2 6 6" xfId="8389" xr:uid="{27BA75EC-28D5-4178-9834-2649A37E5AA2}"/>
    <cellStyle name="Comma 4 2 2 6 6 2" xfId="23509" xr:uid="{C88DC3E6-7C59-4072-8B33-7042F611E87A}"/>
    <cellStyle name="Comma 4 2 2 6 6 2 2" xfId="53749" xr:uid="{B19A47E1-F6B3-4D8F-BD75-528D7628815E}"/>
    <cellStyle name="Comma 4 2 2 6 6 3" xfId="38629" xr:uid="{C4C5214D-EF72-4298-AFD5-56ED79AA3CD5}"/>
    <cellStyle name="Comma 4 2 2 6 7" xfId="9901" xr:uid="{4EC7C905-4C1D-4A01-8A17-F9F35349DFFA}"/>
    <cellStyle name="Comma 4 2 2 6 7 2" xfId="25021" xr:uid="{0A64576B-824D-4CA5-888A-36C75C51524B}"/>
    <cellStyle name="Comma 4 2 2 6 7 2 2" xfId="55261" xr:uid="{9AC8763B-2889-43EE-AD4C-444E3011A9AE}"/>
    <cellStyle name="Comma 4 2 2 6 7 3" xfId="40141" xr:uid="{EB27DC37-E75B-44A5-B361-4850B3A579DD}"/>
    <cellStyle name="Comma 4 2 2 6 8" xfId="15949" xr:uid="{F4DA6A34-1ECB-4D27-BA9E-A5A44F567B5E}"/>
    <cellStyle name="Comma 4 2 2 6 8 2" xfId="46189" xr:uid="{07DD581A-9A4F-4E5E-A648-F7F86C21AD76}"/>
    <cellStyle name="Comma 4 2 2 6 9" xfId="31069" xr:uid="{5BCE27C8-561A-4F3F-B164-94A0DB4045B6}"/>
    <cellStyle name="Comma 4 2 2 7" xfId="1585" xr:uid="{A70055DD-A3BE-40B3-A7CC-64F1FD56400D}"/>
    <cellStyle name="Comma 4 2 2 7 2" xfId="10657" xr:uid="{93CCC6EE-C101-4B17-9833-41D44F1E1237}"/>
    <cellStyle name="Comma 4 2 2 7 2 2" xfId="25777" xr:uid="{2BC2F0BD-3F64-4039-B5C1-10C7D3E0A3FF}"/>
    <cellStyle name="Comma 4 2 2 7 2 2 2" xfId="56017" xr:uid="{C9128AFD-D704-408B-8529-A50C46CAFB39}"/>
    <cellStyle name="Comma 4 2 2 7 2 3" xfId="40897" xr:uid="{12805EC5-D7A3-4901-80AF-2F176D83A7B0}"/>
    <cellStyle name="Comma 4 2 2 7 3" xfId="16705" xr:uid="{5DA6B5F6-DE0C-48D9-9D13-A002D1B602DE}"/>
    <cellStyle name="Comma 4 2 2 7 3 2" xfId="46945" xr:uid="{302B9118-4380-4B8F-BE13-DA94C6902E57}"/>
    <cellStyle name="Comma 4 2 2 7 4" xfId="31825" xr:uid="{8657B060-52D7-41E3-A644-7EE5F15DAC34}"/>
    <cellStyle name="Comma 4 2 2 8" xfId="3097" xr:uid="{81F0289D-044F-487A-A01C-1655AB642678}"/>
    <cellStyle name="Comma 4 2 2 8 2" xfId="12169" xr:uid="{612BE17F-BC26-400D-998D-5AFAF9FADF12}"/>
    <cellStyle name="Comma 4 2 2 8 2 2" xfId="27289" xr:uid="{D582F356-010C-46C6-B0E4-2BA61F953D8B}"/>
    <cellStyle name="Comma 4 2 2 8 2 2 2" xfId="57529" xr:uid="{2622A1DB-42A9-46BE-85DE-95A31AAF3456}"/>
    <cellStyle name="Comma 4 2 2 8 2 3" xfId="42409" xr:uid="{1DB70908-12C9-4EF0-A887-B1696CD91417}"/>
    <cellStyle name="Comma 4 2 2 8 3" xfId="18217" xr:uid="{F3AF082F-49BF-4866-972E-D5541FA3C8CF}"/>
    <cellStyle name="Comma 4 2 2 8 3 2" xfId="48457" xr:uid="{AC4C2BF5-49EB-4079-9B03-5E74F3310924}"/>
    <cellStyle name="Comma 4 2 2 8 4" xfId="33337" xr:uid="{D654A2C9-248A-4AE1-9D30-FB758F0ED25C}"/>
    <cellStyle name="Comma 4 2 2 9" xfId="4609" xr:uid="{36469E05-BC80-4833-B437-C4381E882736}"/>
    <cellStyle name="Comma 4 2 2 9 2" xfId="13681" xr:uid="{7C672DD9-3733-4991-8F26-809C2EF8519C}"/>
    <cellStyle name="Comma 4 2 2 9 2 2" xfId="28801" xr:uid="{C43FD5BB-CDC6-468F-9894-F7622146DEEB}"/>
    <cellStyle name="Comma 4 2 2 9 2 2 2" xfId="59041" xr:uid="{6E8432F3-417C-4750-BABE-F6F13D542F3A}"/>
    <cellStyle name="Comma 4 2 2 9 2 3" xfId="43921" xr:uid="{059BD1B8-C65E-47AB-9536-489ABDBD05A1}"/>
    <cellStyle name="Comma 4 2 2 9 3" xfId="19729" xr:uid="{B04EE17F-4818-4D31-9DAF-6623A35D3DF4}"/>
    <cellStyle name="Comma 4 2 2 9 3 2" xfId="49969" xr:uid="{5259C3E3-D8F4-4C2C-B673-E81E3CA5F1A1}"/>
    <cellStyle name="Comma 4 2 2 9 4" xfId="34849" xr:uid="{9AE2E687-3013-4802-8C91-FD0A8EA35DEF}"/>
    <cellStyle name="Comma 4 2 3" xfId="115" xr:uid="{A8F5C9FB-AE9B-4DCD-B540-52CDE47D7E8C}"/>
    <cellStyle name="Comma 4 2 3 10" xfId="9187" xr:uid="{6A829E7C-73AC-4556-9DEB-CCDD68A71EEB}"/>
    <cellStyle name="Comma 4 2 3 10 2" xfId="24307" xr:uid="{696FA148-0443-4CDE-A9BA-5B5CF8F12F74}"/>
    <cellStyle name="Comma 4 2 3 10 2 2" xfId="54547" xr:uid="{06936E72-6039-4383-9F8D-937FE7D12090}"/>
    <cellStyle name="Comma 4 2 3 10 3" xfId="39427" xr:uid="{EE5B269A-13A1-4356-A283-2AB7D910C46A}"/>
    <cellStyle name="Comma 4 2 3 11" xfId="15235" xr:uid="{A2FFE78B-4ED3-424C-9B2F-3264FD69B59F}"/>
    <cellStyle name="Comma 4 2 3 11 2" xfId="45475" xr:uid="{206E4BB1-9D2F-4BF1-9A28-8C1B5741C55F}"/>
    <cellStyle name="Comma 4 2 3 12" xfId="30355" xr:uid="{7EA41107-BFB0-4C0B-8BD9-819130710182}"/>
    <cellStyle name="Comma 4 2 3 2" xfId="367" xr:uid="{51A1704E-1E48-4D75-ADED-5B6AB52F0510}"/>
    <cellStyle name="Comma 4 2 3 2 10" xfId="30607" xr:uid="{711B4744-68AE-4D2C-A475-0B21AD589750}"/>
    <cellStyle name="Comma 4 2 3 2 2" xfId="1123" xr:uid="{BC2CA18C-2B4B-47BA-8917-018BAB8E2379}"/>
    <cellStyle name="Comma 4 2 3 2 2 2" xfId="2635" xr:uid="{03D9766D-B728-4E99-9387-144162C6AF51}"/>
    <cellStyle name="Comma 4 2 3 2 2 2 2" xfId="11707" xr:uid="{9655CD1E-E956-4B6A-A0A5-0744563370CA}"/>
    <cellStyle name="Comma 4 2 3 2 2 2 2 2" xfId="26827" xr:uid="{6B6AC51D-8D70-4801-8FEC-9620ED36889F}"/>
    <cellStyle name="Comma 4 2 3 2 2 2 2 2 2" xfId="57067" xr:uid="{8B42FD25-8A5A-4DCD-BD0A-E58491B2C8B0}"/>
    <cellStyle name="Comma 4 2 3 2 2 2 2 3" xfId="41947" xr:uid="{92E14D73-32EA-47A1-9A8A-3E8F259645DC}"/>
    <cellStyle name="Comma 4 2 3 2 2 2 3" xfId="17755" xr:uid="{51FE1A08-79CB-4B2B-A768-6EBF87674658}"/>
    <cellStyle name="Comma 4 2 3 2 2 2 3 2" xfId="47995" xr:uid="{84C0B4F5-1731-4A11-A135-52855B2C9111}"/>
    <cellStyle name="Comma 4 2 3 2 2 2 4" xfId="32875" xr:uid="{1E14C7C0-F11F-4255-A415-F9CF11A27250}"/>
    <cellStyle name="Comma 4 2 3 2 2 3" xfId="4147" xr:uid="{2F3952A5-3FD2-4130-B95D-4E676040102D}"/>
    <cellStyle name="Comma 4 2 3 2 2 3 2" xfId="13219" xr:uid="{0F38A44C-2D91-40E7-BCF8-8E473DF40267}"/>
    <cellStyle name="Comma 4 2 3 2 2 3 2 2" xfId="28339" xr:uid="{5F94807E-1939-4B60-8B30-EE0C2614B018}"/>
    <cellStyle name="Comma 4 2 3 2 2 3 2 2 2" xfId="58579" xr:uid="{FBBEF238-DCCD-4B1D-ABA4-31D30C05ED23}"/>
    <cellStyle name="Comma 4 2 3 2 2 3 2 3" xfId="43459" xr:uid="{442986C1-880E-47C1-A7B4-83321A965937}"/>
    <cellStyle name="Comma 4 2 3 2 2 3 3" xfId="19267" xr:uid="{015D55B7-5136-40C4-BC9F-26F200DD887A}"/>
    <cellStyle name="Comma 4 2 3 2 2 3 3 2" xfId="49507" xr:uid="{60D8E468-50C1-46D0-AB30-5D4EBF1BDCC6}"/>
    <cellStyle name="Comma 4 2 3 2 2 3 4" xfId="34387" xr:uid="{0CD3A774-CCF7-47D8-8AC8-FB055FF823C6}"/>
    <cellStyle name="Comma 4 2 3 2 2 4" xfId="5659" xr:uid="{B0066A8C-8F42-48D2-A79A-0E341AB0CD1D}"/>
    <cellStyle name="Comma 4 2 3 2 2 4 2" xfId="14731" xr:uid="{7ADBAF0E-75F3-4370-B073-2B698889109D}"/>
    <cellStyle name="Comma 4 2 3 2 2 4 2 2" xfId="29851" xr:uid="{A557BABD-CB0F-48A7-BA9C-9ABAA7A92DF2}"/>
    <cellStyle name="Comma 4 2 3 2 2 4 2 2 2" xfId="60091" xr:uid="{F93AD40D-7DBC-48E5-BAC8-67C155C86E2F}"/>
    <cellStyle name="Comma 4 2 3 2 2 4 2 3" xfId="44971" xr:uid="{B46619C1-D49E-4362-A0F4-8B14C13D7F0D}"/>
    <cellStyle name="Comma 4 2 3 2 2 4 3" xfId="20779" xr:uid="{071FD122-9E3E-4D1F-A625-19BA1BCE2306}"/>
    <cellStyle name="Comma 4 2 3 2 2 4 3 2" xfId="51019" xr:uid="{E727A419-FAFF-4A82-8D34-5C8D23AD0B9C}"/>
    <cellStyle name="Comma 4 2 3 2 2 4 4" xfId="35899" xr:uid="{71BDFDD0-F7D1-4A3B-A623-7685EE76FDD3}"/>
    <cellStyle name="Comma 4 2 3 2 2 5" xfId="7171" xr:uid="{057F8FDE-1700-4069-9B26-76D410D64BCE}"/>
    <cellStyle name="Comma 4 2 3 2 2 5 2" xfId="22291" xr:uid="{27335416-D7D9-47EC-B701-63342B953E9C}"/>
    <cellStyle name="Comma 4 2 3 2 2 5 2 2" xfId="52531" xr:uid="{8738A346-2325-49C3-834F-CA7291D4BEC2}"/>
    <cellStyle name="Comma 4 2 3 2 2 5 3" xfId="37411" xr:uid="{AE793966-05F4-4423-AE3C-31B4694A4576}"/>
    <cellStyle name="Comma 4 2 3 2 2 6" xfId="8683" xr:uid="{8B2C4F7B-EE98-4D36-813F-DB3E97C15A60}"/>
    <cellStyle name="Comma 4 2 3 2 2 6 2" xfId="23803" xr:uid="{3971212C-00BA-49CA-A206-9CBB5BF47298}"/>
    <cellStyle name="Comma 4 2 3 2 2 6 2 2" xfId="54043" xr:uid="{8C601485-DC9E-496B-85C0-3424F0080E4B}"/>
    <cellStyle name="Comma 4 2 3 2 2 6 3" xfId="38923" xr:uid="{DFF774CF-7FEE-43A7-A115-72339F58B9E8}"/>
    <cellStyle name="Comma 4 2 3 2 2 7" xfId="10195" xr:uid="{24B78FF9-9129-45F2-91BD-5B703DB3C5BC}"/>
    <cellStyle name="Comma 4 2 3 2 2 7 2" xfId="25315" xr:uid="{046DE72C-F3E4-4C2F-9A15-3628BDF0E542}"/>
    <cellStyle name="Comma 4 2 3 2 2 7 2 2" xfId="55555" xr:uid="{543D00FD-9FA2-4801-BA56-7CC3EE5CBF7A}"/>
    <cellStyle name="Comma 4 2 3 2 2 7 3" xfId="40435" xr:uid="{7CA7B736-DEE4-4564-A673-8283127A119C}"/>
    <cellStyle name="Comma 4 2 3 2 2 8" xfId="16243" xr:uid="{05964CAE-14B8-4A39-8440-2D8AF4A22880}"/>
    <cellStyle name="Comma 4 2 3 2 2 8 2" xfId="46483" xr:uid="{14739418-6888-4096-A81E-0B3D1C521500}"/>
    <cellStyle name="Comma 4 2 3 2 2 9" xfId="31363" xr:uid="{96491CA2-8EE6-44EC-80DD-A2DDD044AF59}"/>
    <cellStyle name="Comma 4 2 3 2 3" xfId="1879" xr:uid="{7F54835F-F539-497C-8988-07C24CBD8956}"/>
    <cellStyle name="Comma 4 2 3 2 3 2" xfId="10951" xr:uid="{E4550544-E49F-412B-A196-CD69633EE0F7}"/>
    <cellStyle name="Comma 4 2 3 2 3 2 2" xfId="26071" xr:uid="{72B066E0-CC9D-4655-BC0C-7B98E9D91CB3}"/>
    <cellStyle name="Comma 4 2 3 2 3 2 2 2" xfId="56311" xr:uid="{1F397D74-4AC2-421A-8C9C-4CCA33084ECF}"/>
    <cellStyle name="Comma 4 2 3 2 3 2 3" xfId="41191" xr:uid="{0D3BBA4A-F2BF-40C4-97E8-E4E70D9AD334}"/>
    <cellStyle name="Comma 4 2 3 2 3 3" xfId="16999" xr:uid="{A94900A5-B9F0-4A7C-80A0-729ACC952B34}"/>
    <cellStyle name="Comma 4 2 3 2 3 3 2" xfId="47239" xr:uid="{46009639-27E2-42F2-AEA2-1350B770217A}"/>
    <cellStyle name="Comma 4 2 3 2 3 4" xfId="32119" xr:uid="{28F2A9E3-E634-4D13-812F-0718C2DD4BDA}"/>
    <cellStyle name="Comma 4 2 3 2 4" xfId="3391" xr:uid="{A92B800D-12B6-4ED2-8367-EFF36C930E01}"/>
    <cellStyle name="Comma 4 2 3 2 4 2" xfId="12463" xr:uid="{7635CCAE-AC29-4FC8-93EF-F9EC1E996902}"/>
    <cellStyle name="Comma 4 2 3 2 4 2 2" xfId="27583" xr:uid="{E054CFA8-71A7-4780-A7CD-1035B337ECBB}"/>
    <cellStyle name="Comma 4 2 3 2 4 2 2 2" xfId="57823" xr:uid="{1FF3578F-B383-4B4E-A1ED-93227D827D53}"/>
    <cellStyle name="Comma 4 2 3 2 4 2 3" xfId="42703" xr:uid="{F3907554-B87A-4CA3-9B2C-186DCD584A70}"/>
    <cellStyle name="Comma 4 2 3 2 4 3" xfId="18511" xr:uid="{55D0B506-0E12-4353-ACF7-585C4DFF5B43}"/>
    <cellStyle name="Comma 4 2 3 2 4 3 2" xfId="48751" xr:uid="{CF2AF725-FAD8-452A-BFF2-8CE6C377064E}"/>
    <cellStyle name="Comma 4 2 3 2 4 4" xfId="33631" xr:uid="{EF60045C-9E75-4922-84FE-27F785F8344A}"/>
    <cellStyle name="Comma 4 2 3 2 5" xfId="4903" xr:uid="{DD4FA14D-2247-4D81-97CF-5AB61D21A255}"/>
    <cellStyle name="Comma 4 2 3 2 5 2" xfId="13975" xr:uid="{E10C70E7-5624-4331-9ED9-D4E4B223F427}"/>
    <cellStyle name="Comma 4 2 3 2 5 2 2" xfId="29095" xr:uid="{C4EA839F-9182-48F8-8D1F-3CB1490779DD}"/>
    <cellStyle name="Comma 4 2 3 2 5 2 2 2" xfId="59335" xr:uid="{E38C0BD7-A133-4C63-BD38-397E913BFFC8}"/>
    <cellStyle name="Comma 4 2 3 2 5 2 3" xfId="44215" xr:uid="{DB48ACDA-CC09-4BF7-B7CE-2C7B5AC3ADEC}"/>
    <cellStyle name="Comma 4 2 3 2 5 3" xfId="20023" xr:uid="{7B822DA7-D869-4292-88F7-1C24DC4933DD}"/>
    <cellStyle name="Comma 4 2 3 2 5 3 2" xfId="50263" xr:uid="{8BE4564D-60D2-463F-B4BA-B96A0511A9D0}"/>
    <cellStyle name="Comma 4 2 3 2 5 4" xfId="35143" xr:uid="{335CBD0A-9F03-4A49-A917-D0D2EF56009E}"/>
    <cellStyle name="Comma 4 2 3 2 6" xfId="6415" xr:uid="{1A353769-948E-4F2B-B1AE-0271AD29B022}"/>
    <cellStyle name="Comma 4 2 3 2 6 2" xfId="21535" xr:uid="{E7546DF3-4E84-4924-A86C-8DD745D8F94B}"/>
    <cellStyle name="Comma 4 2 3 2 6 2 2" xfId="51775" xr:uid="{5E1D986B-CF10-44CC-8AA5-7E53481F2FCA}"/>
    <cellStyle name="Comma 4 2 3 2 6 3" xfId="36655" xr:uid="{8C91BF72-D590-44E8-8C34-001FA3256EC1}"/>
    <cellStyle name="Comma 4 2 3 2 7" xfId="7927" xr:uid="{25C2C1FE-E4C3-42A8-9679-674A2383689C}"/>
    <cellStyle name="Comma 4 2 3 2 7 2" xfId="23047" xr:uid="{ADF1DCD3-AAA1-4CC8-912E-800D634CB341}"/>
    <cellStyle name="Comma 4 2 3 2 7 2 2" xfId="53287" xr:uid="{48AC966F-B524-4F1D-9165-82B077241602}"/>
    <cellStyle name="Comma 4 2 3 2 7 3" xfId="38167" xr:uid="{66400ADE-ACBA-419B-972C-1DA210438329}"/>
    <cellStyle name="Comma 4 2 3 2 8" xfId="9439" xr:uid="{A82E78E1-E509-4E14-B3C2-2E93C3D1B879}"/>
    <cellStyle name="Comma 4 2 3 2 8 2" xfId="24559" xr:uid="{5B57B9FD-F0D0-4341-AA52-4F97D72868A4}"/>
    <cellStyle name="Comma 4 2 3 2 8 2 2" xfId="54799" xr:uid="{532D834E-6646-4845-A0F6-E25776049D34}"/>
    <cellStyle name="Comma 4 2 3 2 8 3" xfId="39679" xr:uid="{6331DCF4-742F-4BB4-A959-30C684D8EBE5}"/>
    <cellStyle name="Comma 4 2 3 2 9" xfId="15487" xr:uid="{8DA291A5-D1A6-420F-A463-D5C10473F27D}"/>
    <cellStyle name="Comma 4 2 3 2 9 2" xfId="45727" xr:uid="{A8A15AB7-9755-484D-8D7C-2754DAF1B45A}"/>
    <cellStyle name="Comma 4 2 3 3" xfId="619" xr:uid="{FE1A4C1C-C409-48DC-8CED-6F6A2013B027}"/>
    <cellStyle name="Comma 4 2 3 3 10" xfId="30859" xr:uid="{EB630D2E-6914-4A57-8F13-2BD3BC620195}"/>
    <cellStyle name="Comma 4 2 3 3 2" xfId="1375" xr:uid="{7A069788-2E0E-46D3-BE20-92D7D1092B83}"/>
    <cellStyle name="Comma 4 2 3 3 2 2" xfId="2887" xr:uid="{BC1BC3DC-CDC5-4E03-BAE9-4D49C5E71544}"/>
    <cellStyle name="Comma 4 2 3 3 2 2 2" xfId="11959" xr:uid="{C195BEA5-074F-4ABC-8F59-819D27AC0AE0}"/>
    <cellStyle name="Comma 4 2 3 3 2 2 2 2" xfId="27079" xr:uid="{62EDF3AF-F097-41C3-9E3C-457436125B6B}"/>
    <cellStyle name="Comma 4 2 3 3 2 2 2 2 2" xfId="57319" xr:uid="{30DCC45E-81A0-4979-9354-CDED7AC33FC9}"/>
    <cellStyle name="Comma 4 2 3 3 2 2 2 3" xfId="42199" xr:uid="{DD8FAB39-0124-4238-9CAA-A85240B82AD1}"/>
    <cellStyle name="Comma 4 2 3 3 2 2 3" xfId="18007" xr:uid="{FBA62EA3-5EA9-4C1A-A75D-3A405F98B31B}"/>
    <cellStyle name="Comma 4 2 3 3 2 2 3 2" xfId="48247" xr:uid="{4B734BC8-C2E7-4BEC-B5BB-39459748F771}"/>
    <cellStyle name="Comma 4 2 3 3 2 2 4" xfId="33127" xr:uid="{5DC90996-C649-4F60-B2EB-63469AB36621}"/>
    <cellStyle name="Comma 4 2 3 3 2 3" xfId="4399" xr:uid="{6F4329C8-366D-4AFF-8EFF-BC6B9D1660D6}"/>
    <cellStyle name="Comma 4 2 3 3 2 3 2" xfId="13471" xr:uid="{C39C555C-F5F6-4B0D-87FE-50E73D661175}"/>
    <cellStyle name="Comma 4 2 3 3 2 3 2 2" xfId="28591" xr:uid="{3A827D3C-2D53-4D4B-815E-98F20CD24EE9}"/>
    <cellStyle name="Comma 4 2 3 3 2 3 2 2 2" xfId="58831" xr:uid="{69C68A12-55F1-4222-8F23-67F6E0A8C59B}"/>
    <cellStyle name="Comma 4 2 3 3 2 3 2 3" xfId="43711" xr:uid="{DA318815-401C-424F-A289-272DF1F2320B}"/>
    <cellStyle name="Comma 4 2 3 3 2 3 3" xfId="19519" xr:uid="{9FFCAEF5-EC38-49B9-BDC2-FD4DE518C014}"/>
    <cellStyle name="Comma 4 2 3 3 2 3 3 2" xfId="49759" xr:uid="{762B99DE-D69C-44B0-90ED-870FAE29C54C}"/>
    <cellStyle name="Comma 4 2 3 3 2 3 4" xfId="34639" xr:uid="{27AC8882-C758-4446-A7F4-8AFC757EEE8C}"/>
    <cellStyle name="Comma 4 2 3 3 2 4" xfId="5911" xr:uid="{B055EC95-FAB2-4740-B377-DDB493CEEBFC}"/>
    <cellStyle name="Comma 4 2 3 3 2 4 2" xfId="14983" xr:uid="{031039BC-0C0E-483C-A5D4-4F2F4D9375EB}"/>
    <cellStyle name="Comma 4 2 3 3 2 4 2 2" xfId="30103" xr:uid="{25F71664-6241-46A9-862F-5120CFDA2187}"/>
    <cellStyle name="Comma 4 2 3 3 2 4 2 2 2" xfId="60343" xr:uid="{C96B1EFF-4F0C-48EC-9004-192CD0F0CA34}"/>
    <cellStyle name="Comma 4 2 3 3 2 4 2 3" xfId="45223" xr:uid="{FF91BEC8-DC59-40D8-B42A-58E53F6ED462}"/>
    <cellStyle name="Comma 4 2 3 3 2 4 3" xfId="21031" xr:uid="{EACCE981-CA4B-4F01-A255-8598012727E6}"/>
    <cellStyle name="Comma 4 2 3 3 2 4 3 2" xfId="51271" xr:uid="{8477E32A-9FB9-4B52-87FE-3271FE303C55}"/>
    <cellStyle name="Comma 4 2 3 3 2 4 4" xfId="36151" xr:uid="{6F759F69-E7B0-47C4-A66C-7E9B393F4341}"/>
    <cellStyle name="Comma 4 2 3 3 2 5" xfId="7423" xr:uid="{9D7312D0-AFC9-460C-A7A9-3479C37B6EAA}"/>
    <cellStyle name="Comma 4 2 3 3 2 5 2" xfId="22543" xr:uid="{C4545478-3D04-4A6A-9635-A7E63C923F53}"/>
    <cellStyle name="Comma 4 2 3 3 2 5 2 2" xfId="52783" xr:uid="{F47DB8FE-1E76-4278-A209-F1E56B764882}"/>
    <cellStyle name="Comma 4 2 3 3 2 5 3" xfId="37663" xr:uid="{58F59403-D7FB-4226-8F09-35E994DC6760}"/>
    <cellStyle name="Comma 4 2 3 3 2 6" xfId="8935" xr:uid="{049FB1DA-BFEC-4C5F-930E-7A19CC758639}"/>
    <cellStyle name="Comma 4 2 3 3 2 6 2" xfId="24055" xr:uid="{A88E7233-FAEB-4DD1-B57C-BDF07A6645A2}"/>
    <cellStyle name="Comma 4 2 3 3 2 6 2 2" xfId="54295" xr:uid="{AD122523-4943-4616-9BD9-702C89CBB8C7}"/>
    <cellStyle name="Comma 4 2 3 3 2 6 3" xfId="39175" xr:uid="{D8F867C0-7CAF-44F1-B38E-91582FD5C992}"/>
    <cellStyle name="Comma 4 2 3 3 2 7" xfId="10447" xr:uid="{A23CA204-1788-4FB7-82D3-FB63DD685483}"/>
    <cellStyle name="Comma 4 2 3 3 2 7 2" xfId="25567" xr:uid="{AF47966F-19D6-430E-9B79-E575A1E13412}"/>
    <cellStyle name="Comma 4 2 3 3 2 7 2 2" xfId="55807" xr:uid="{788DD6CB-DFE6-41EC-BBFB-7996E1EAED98}"/>
    <cellStyle name="Comma 4 2 3 3 2 7 3" xfId="40687" xr:uid="{74A74626-4E94-46C5-9777-210244B74E63}"/>
    <cellStyle name="Comma 4 2 3 3 2 8" xfId="16495" xr:uid="{8F1361B4-074C-4726-BE47-3F245883C4D1}"/>
    <cellStyle name="Comma 4 2 3 3 2 8 2" xfId="46735" xr:uid="{BB91E677-A998-4836-89D0-6ED6F7186929}"/>
    <cellStyle name="Comma 4 2 3 3 2 9" xfId="31615" xr:uid="{2C548C7B-FB0B-4447-9BEA-42DE381FDB3B}"/>
    <cellStyle name="Comma 4 2 3 3 3" xfId="2131" xr:uid="{4AB71AB3-0397-4327-ACFE-41C8E5B12630}"/>
    <cellStyle name="Comma 4 2 3 3 3 2" xfId="11203" xr:uid="{17C04B5D-AE04-47A9-98A0-76512A831F8D}"/>
    <cellStyle name="Comma 4 2 3 3 3 2 2" xfId="26323" xr:uid="{A9A7AA05-DAA0-4E8F-AE77-B06B7BFF2D12}"/>
    <cellStyle name="Comma 4 2 3 3 3 2 2 2" xfId="56563" xr:uid="{D2B68325-62CD-4B6C-B602-822ADA864259}"/>
    <cellStyle name="Comma 4 2 3 3 3 2 3" xfId="41443" xr:uid="{AF693AE7-B27D-4420-BEC8-E63B13F66D34}"/>
    <cellStyle name="Comma 4 2 3 3 3 3" xfId="17251" xr:uid="{EA3C3836-D790-4B9A-9DD6-7CE424069BE7}"/>
    <cellStyle name="Comma 4 2 3 3 3 3 2" xfId="47491" xr:uid="{9B916E8B-F6C7-4ADB-937D-3B8A63E107F2}"/>
    <cellStyle name="Comma 4 2 3 3 3 4" xfId="32371" xr:uid="{74918FD3-CAA2-47F3-BCB1-A1B7C99886B0}"/>
    <cellStyle name="Comma 4 2 3 3 4" xfId="3643" xr:uid="{B07E9275-0B33-4219-B73D-EBFEB3FDBEC2}"/>
    <cellStyle name="Comma 4 2 3 3 4 2" xfId="12715" xr:uid="{9840B440-CA28-40FE-A945-6F0B0EA35C96}"/>
    <cellStyle name="Comma 4 2 3 3 4 2 2" xfId="27835" xr:uid="{CDA18A14-1C60-4826-A57E-B0BCC0640550}"/>
    <cellStyle name="Comma 4 2 3 3 4 2 2 2" xfId="58075" xr:uid="{06D8C816-8A1C-4CFC-8911-69B5C81D70BC}"/>
    <cellStyle name="Comma 4 2 3 3 4 2 3" xfId="42955" xr:uid="{E5E55EF4-5A83-4D60-B5E8-D2B55DE77DB6}"/>
    <cellStyle name="Comma 4 2 3 3 4 3" xfId="18763" xr:uid="{97368D35-7256-4CE0-82C0-8E4FCE226147}"/>
    <cellStyle name="Comma 4 2 3 3 4 3 2" xfId="49003" xr:uid="{5ED61D0D-A69C-4C52-A69F-0E9E1AC754ED}"/>
    <cellStyle name="Comma 4 2 3 3 4 4" xfId="33883" xr:uid="{E3A2C4FC-8094-4868-945C-7EC639DC67BA}"/>
    <cellStyle name="Comma 4 2 3 3 5" xfId="5155" xr:uid="{E62214C4-2FF7-4790-9804-58F61ACFE6C4}"/>
    <cellStyle name="Comma 4 2 3 3 5 2" xfId="14227" xr:uid="{3688C0C6-F1F4-4CD2-BABB-6A5A6F6CBE38}"/>
    <cellStyle name="Comma 4 2 3 3 5 2 2" xfId="29347" xr:uid="{ED6AE42D-9419-44D9-BCC5-942C4AE38F3D}"/>
    <cellStyle name="Comma 4 2 3 3 5 2 2 2" xfId="59587" xr:uid="{93E53931-C316-466B-A67E-11570D820865}"/>
    <cellStyle name="Comma 4 2 3 3 5 2 3" xfId="44467" xr:uid="{0A56BDC6-9562-4817-9628-632BDCCD8138}"/>
    <cellStyle name="Comma 4 2 3 3 5 3" xfId="20275" xr:uid="{F5ADBE3C-D892-40CB-8EE5-4FCCD18A4BF9}"/>
    <cellStyle name="Comma 4 2 3 3 5 3 2" xfId="50515" xr:uid="{EB003A2A-08A8-4B4D-8047-B4FFAE23CAAB}"/>
    <cellStyle name="Comma 4 2 3 3 5 4" xfId="35395" xr:uid="{9C672CBD-9173-44B3-99B2-8C43FA9CFDD8}"/>
    <cellStyle name="Comma 4 2 3 3 6" xfId="6667" xr:uid="{F05B5F79-95E5-40FB-A846-027CC94636D6}"/>
    <cellStyle name="Comma 4 2 3 3 6 2" xfId="21787" xr:uid="{C2A39EA5-8757-4D76-9F5E-A56FDFD8BDE7}"/>
    <cellStyle name="Comma 4 2 3 3 6 2 2" xfId="52027" xr:uid="{3E0B7ACE-BFF0-49EC-9107-3020374F479D}"/>
    <cellStyle name="Comma 4 2 3 3 6 3" xfId="36907" xr:uid="{8C0DB751-7C4C-4FCC-92FF-5DDC52172416}"/>
    <cellStyle name="Comma 4 2 3 3 7" xfId="8179" xr:uid="{678F2DB6-649D-442B-B2CB-65698A34C4B7}"/>
    <cellStyle name="Comma 4 2 3 3 7 2" xfId="23299" xr:uid="{D0F56CA8-26DD-479C-8060-80DFA971F9FD}"/>
    <cellStyle name="Comma 4 2 3 3 7 2 2" xfId="53539" xr:uid="{9E7FE681-C3D1-4A29-AAA0-16E56DB3360F}"/>
    <cellStyle name="Comma 4 2 3 3 7 3" xfId="38419" xr:uid="{FA237D70-DFBB-4459-9C6C-5DEC647C991A}"/>
    <cellStyle name="Comma 4 2 3 3 8" xfId="9691" xr:uid="{9B68666E-129D-4351-B7BB-5FB4DBEA9FA9}"/>
    <cellStyle name="Comma 4 2 3 3 8 2" xfId="24811" xr:uid="{EE0709EF-48F6-4EEB-890F-1F40EA0017C6}"/>
    <cellStyle name="Comma 4 2 3 3 8 2 2" xfId="55051" xr:uid="{6F95D657-42B9-496C-8638-D9E11A9A1063}"/>
    <cellStyle name="Comma 4 2 3 3 8 3" xfId="39931" xr:uid="{13915C3F-4F44-4D89-8C4C-C52681A526AE}"/>
    <cellStyle name="Comma 4 2 3 3 9" xfId="15739" xr:uid="{A16DD36D-3D60-411A-893D-4C6AFDD33C4E}"/>
    <cellStyle name="Comma 4 2 3 3 9 2" xfId="45979" xr:uid="{AEC42F27-88B3-448F-9258-52CF1352DC64}"/>
    <cellStyle name="Comma 4 2 3 4" xfId="871" xr:uid="{2EFF6CD2-9452-4334-904E-F36513D7F911}"/>
    <cellStyle name="Comma 4 2 3 4 2" xfId="2383" xr:uid="{A6AF3E31-FE83-4774-B4C0-6785FDC49A82}"/>
    <cellStyle name="Comma 4 2 3 4 2 2" xfId="11455" xr:uid="{8ED08533-B270-49FC-8664-457F8968A569}"/>
    <cellStyle name="Comma 4 2 3 4 2 2 2" xfId="26575" xr:uid="{3E6031EF-430A-4593-994E-9AF8C6757CC9}"/>
    <cellStyle name="Comma 4 2 3 4 2 2 2 2" xfId="56815" xr:uid="{1F2D2A1E-2986-4A88-9893-73B2063FA91C}"/>
    <cellStyle name="Comma 4 2 3 4 2 2 3" xfId="41695" xr:uid="{02DD1752-4E56-416B-9A6D-0D39BCCA04F9}"/>
    <cellStyle name="Comma 4 2 3 4 2 3" xfId="17503" xr:uid="{57B516D7-D949-4CF4-BE33-638A1949B8DC}"/>
    <cellStyle name="Comma 4 2 3 4 2 3 2" xfId="47743" xr:uid="{AB73FAA7-88A9-47AD-9E69-BBE3800E7E91}"/>
    <cellStyle name="Comma 4 2 3 4 2 4" xfId="32623" xr:uid="{157A9977-2906-42A2-A912-033DCB879FB4}"/>
    <cellStyle name="Comma 4 2 3 4 3" xfId="3895" xr:uid="{FCFEFB98-9766-405A-B6F6-87AA0B2CEE0F}"/>
    <cellStyle name="Comma 4 2 3 4 3 2" xfId="12967" xr:uid="{D0A744CD-DD87-40B8-8668-7C075971BE4D}"/>
    <cellStyle name="Comma 4 2 3 4 3 2 2" xfId="28087" xr:uid="{5FDDD3FE-9251-460D-A766-2FA1B1794719}"/>
    <cellStyle name="Comma 4 2 3 4 3 2 2 2" xfId="58327" xr:uid="{CBAFF2F0-B6BE-48F5-9F30-3DC329EA18CE}"/>
    <cellStyle name="Comma 4 2 3 4 3 2 3" xfId="43207" xr:uid="{0FA36D8B-D3F4-47B2-8E30-A5EA67715E9D}"/>
    <cellStyle name="Comma 4 2 3 4 3 3" xfId="19015" xr:uid="{0CA64E91-26C7-4A9B-ADC1-815EA805C959}"/>
    <cellStyle name="Comma 4 2 3 4 3 3 2" xfId="49255" xr:uid="{875103C8-A14D-4D67-BF3C-6FBD62439F34}"/>
    <cellStyle name="Comma 4 2 3 4 3 4" xfId="34135" xr:uid="{6E55F7F2-8DF4-4136-9FFB-D4AD141ECE32}"/>
    <cellStyle name="Comma 4 2 3 4 4" xfId="5407" xr:uid="{9B311732-E035-4D13-8BC8-C8DBC3B5E8D4}"/>
    <cellStyle name="Comma 4 2 3 4 4 2" xfId="14479" xr:uid="{92F37598-9F2D-4A85-8939-5CCE3DEE5920}"/>
    <cellStyle name="Comma 4 2 3 4 4 2 2" xfId="29599" xr:uid="{8D2341BF-B07D-4E69-9D67-DB7F2E09C0AB}"/>
    <cellStyle name="Comma 4 2 3 4 4 2 2 2" xfId="59839" xr:uid="{CA5BBE0A-01C2-478D-9389-F4252F271C46}"/>
    <cellStyle name="Comma 4 2 3 4 4 2 3" xfId="44719" xr:uid="{9BEFCF87-D32E-45A9-AFE3-007CBF14FA7D}"/>
    <cellStyle name="Comma 4 2 3 4 4 3" xfId="20527" xr:uid="{A8EC1FD4-6AA5-4974-AFFA-E1BE5BDDC93A}"/>
    <cellStyle name="Comma 4 2 3 4 4 3 2" xfId="50767" xr:uid="{8FA60D78-5E3B-47B8-932E-DB90AC50293B}"/>
    <cellStyle name="Comma 4 2 3 4 4 4" xfId="35647" xr:uid="{CEB1FD70-CA6E-4D2C-B167-C81575BBA92D}"/>
    <cellStyle name="Comma 4 2 3 4 5" xfId="6919" xr:uid="{715EB032-B082-40D4-97AE-13746B3773A8}"/>
    <cellStyle name="Comma 4 2 3 4 5 2" xfId="22039" xr:uid="{CFCAEA42-B965-4C7A-AD6B-E610942B1343}"/>
    <cellStyle name="Comma 4 2 3 4 5 2 2" xfId="52279" xr:uid="{EA6384EC-465B-43CE-98C7-824CD1FF9FAE}"/>
    <cellStyle name="Comma 4 2 3 4 5 3" xfId="37159" xr:uid="{B76B05CA-BBD5-4154-8427-2E2648593D07}"/>
    <cellStyle name="Comma 4 2 3 4 6" xfId="8431" xr:uid="{D0A989E8-FC64-4290-BDA3-447F001499CC}"/>
    <cellStyle name="Comma 4 2 3 4 6 2" xfId="23551" xr:uid="{DE46CA88-472A-41C3-A412-715696135A16}"/>
    <cellStyle name="Comma 4 2 3 4 6 2 2" xfId="53791" xr:uid="{43125704-332F-413D-9B97-0FB2591A4234}"/>
    <cellStyle name="Comma 4 2 3 4 6 3" xfId="38671" xr:uid="{F2CE7A54-12DD-4786-B0D7-A9CC167CDBD6}"/>
    <cellStyle name="Comma 4 2 3 4 7" xfId="9943" xr:uid="{FE3432FB-2201-4046-8B7E-34506E551773}"/>
    <cellStyle name="Comma 4 2 3 4 7 2" xfId="25063" xr:uid="{737B5F4F-8108-4262-B350-CF98022B1225}"/>
    <cellStyle name="Comma 4 2 3 4 7 2 2" xfId="55303" xr:uid="{528EC8E4-6DE9-49E9-88F0-A82AF99F0843}"/>
    <cellStyle name="Comma 4 2 3 4 7 3" xfId="40183" xr:uid="{3BA4C7AD-1D73-4909-A6D8-CD14E3114409}"/>
    <cellStyle name="Comma 4 2 3 4 8" xfId="15991" xr:uid="{0E98ECF4-0431-449A-A48E-6E567852EE4A}"/>
    <cellStyle name="Comma 4 2 3 4 8 2" xfId="46231" xr:uid="{1955F52B-3C98-4CB0-B8D4-304827B46405}"/>
    <cellStyle name="Comma 4 2 3 4 9" xfId="31111" xr:uid="{24FAC711-48C0-46EE-9EC0-9EDE88228154}"/>
    <cellStyle name="Comma 4 2 3 5" xfId="1627" xr:uid="{FAB38374-2947-4E5A-8735-889D681A8403}"/>
    <cellStyle name="Comma 4 2 3 5 2" xfId="10699" xr:uid="{A8E26EFA-2AFC-48F6-8419-A5F2356CB9B2}"/>
    <cellStyle name="Comma 4 2 3 5 2 2" xfId="25819" xr:uid="{E141D2B4-35CF-428C-BF6D-617F7040AE67}"/>
    <cellStyle name="Comma 4 2 3 5 2 2 2" xfId="56059" xr:uid="{FC699EC0-6A12-458D-868F-50634CE14050}"/>
    <cellStyle name="Comma 4 2 3 5 2 3" xfId="40939" xr:uid="{96F4E1D6-3A4E-4A9A-9506-04DA3A0B8CAE}"/>
    <cellStyle name="Comma 4 2 3 5 3" xfId="16747" xr:uid="{E670A07F-0596-419A-AC07-F5D9812AFD59}"/>
    <cellStyle name="Comma 4 2 3 5 3 2" xfId="46987" xr:uid="{F40D6924-AF69-4AD9-9704-F9DA62B6CAED}"/>
    <cellStyle name="Comma 4 2 3 5 4" xfId="31867" xr:uid="{9C6AB575-741F-40F3-B0D2-EC4A039F1BAA}"/>
    <cellStyle name="Comma 4 2 3 6" xfId="3139" xr:uid="{A94C37CC-7DB5-4991-8E14-E77EE10AC0CE}"/>
    <cellStyle name="Comma 4 2 3 6 2" xfId="12211" xr:uid="{A882968B-AD9E-44F6-8A62-C43A95D98526}"/>
    <cellStyle name="Comma 4 2 3 6 2 2" xfId="27331" xr:uid="{F8F8997D-199D-4826-B16F-6B1E3C7A959E}"/>
    <cellStyle name="Comma 4 2 3 6 2 2 2" xfId="57571" xr:uid="{7BECF5B8-4813-49D2-83D2-DC346B715BC6}"/>
    <cellStyle name="Comma 4 2 3 6 2 3" xfId="42451" xr:uid="{6092AC87-29D7-4548-8723-D49F2364FDDA}"/>
    <cellStyle name="Comma 4 2 3 6 3" xfId="18259" xr:uid="{18F13B4A-A755-4039-B096-7A46A1BDB526}"/>
    <cellStyle name="Comma 4 2 3 6 3 2" xfId="48499" xr:uid="{A2C2CC63-CDB9-49BA-A770-08C4D7F8D1DF}"/>
    <cellStyle name="Comma 4 2 3 6 4" xfId="33379" xr:uid="{401C44B2-E672-4161-B8DB-8DE12E0C7468}"/>
    <cellStyle name="Comma 4 2 3 7" xfId="4651" xr:uid="{F0EEC4D5-B9F0-46A7-BE48-2DD03A3599C3}"/>
    <cellStyle name="Comma 4 2 3 7 2" xfId="13723" xr:uid="{BD24853D-C6F8-464F-8143-E5FD7827D4ED}"/>
    <cellStyle name="Comma 4 2 3 7 2 2" xfId="28843" xr:uid="{4F8F97B1-37D8-45D1-B879-77D9D288DABE}"/>
    <cellStyle name="Comma 4 2 3 7 2 2 2" xfId="59083" xr:uid="{CD3DDC38-95FA-44CC-953E-46935E3DBD4F}"/>
    <cellStyle name="Comma 4 2 3 7 2 3" xfId="43963" xr:uid="{1AB9A925-275F-4131-8500-791ADB706341}"/>
    <cellStyle name="Comma 4 2 3 7 3" xfId="19771" xr:uid="{157F8320-1D23-42DA-97AA-7C5A4CA67EA5}"/>
    <cellStyle name="Comma 4 2 3 7 3 2" xfId="50011" xr:uid="{FED4BB17-9EA5-4989-9200-79CEAD3DFC85}"/>
    <cellStyle name="Comma 4 2 3 7 4" xfId="34891" xr:uid="{E3DCB7FD-A523-44BB-BE7C-C44E7C2D69ED}"/>
    <cellStyle name="Comma 4 2 3 8" xfId="6163" xr:uid="{5588C8BA-E540-4754-97D4-375DAE11C661}"/>
    <cellStyle name="Comma 4 2 3 8 2" xfId="21283" xr:uid="{A075E265-9311-4BB0-A24B-75158A9282C8}"/>
    <cellStyle name="Comma 4 2 3 8 2 2" xfId="51523" xr:uid="{ABC72654-EF5C-4D05-A688-785D31CB9284}"/>
    <cellStyle name="Comma 4 2 3 8 3" xfId="36403" xr:uid="{7FFA4171-69FC-4DF6-959D-A1257B682A64}"/>
    <cellStyle name="Comma 4 2 3 9" xfId="7675" xr:uid="{ADF2D007-40B9-4F5F-80C2-B8C59FFF0EBA}"/>
    <cellStyle name="Comma 4 2 3 9 2" xfId="22795" xr:uid="{B8E3C81B-3949-4A9B-9642-140A9F08D906}"/>
    <cellStyle name="Comma 4 2 3 9 2 2" xfId="53035" xr:uid="{DD196251-3A76-488D-BF43-DE19EA0D1116}"/>
    <cellStyle name="Comma 4 2 3 9 3" xfId="37915" xr:uid="{E7B00D5A-9E58-49C2-8848-ED0388A4E0B5}"/>
    <cellStyle name="Comma 4 2 4" xfId="199" xr:uid="{49790235-AEE4-4B8A-B88C-1C520DC51BAF}"/>
    <cellStyle name="Comma 4 2 4 10" xfId="9271" xr:uid="{863DFE87-461E-418A-88CF-56876449BF6D}"/>
    <cellStyle name="Comma 4 2 4 10 2" xfId="24391" xr:uid="{D3FBF74C-0276-4F83-8054-B5CB597E6FCC}"/>
    <cellStyle name="Comma 4 2 4 10 2 2" xfId="54631" xr:uid="{BD1F7B21-81E4-4848-B253-349E4FAF1415}"/>
    <cellStyle name="Comma 4 2 4 10 3" xfId="39511" xr:uid="{6F519A63-9946-4245-BE5A-F25997A7F148}"/>
    <cellStyle name="Comma 4 2 4 11" xfId="15319" xr:uid="{6783FB1B-EE25-4BB2-950B-15B625C0EAF1}"/>
    <cellStyle name="Comma 4 2 4 11 2" xfId="45559" xr:uid="{BD76BEA9-4FB8-422B-832F-0FE9C86EC5B3}"/>
    <cellStyle name="Comma 4 2 4 12" xfId="30439" xr:uid="{54498BE5-D238-4BF8-B50A-B0772D9C5358}"/>
    <cellStyle name="Comma 4 2 4 2" xfId="451" xr:uid="{CF68B54D-7D17-4933-9AB7-6D75A3BF9DDA}"/>
    <cellStyle name="Comma 4 2 4 2 10" xfId="30691" xr:uid="{326B7DBD-3D0F-41B2-B868-AF2EB6E003BA}"/>
    <cellStyle name="Comma 4 2 4 2 2" xfId="1207" xr:uid="{3DC6734E-F0D3-41B3-A66E-B811C5276643}"/>
    <cellStyle name="Comma 4 2 4 2 2 2" xfId="2719" xr:uid="{7DECBDA5-B360-46C5-B0C6-147ACEA49DDF}"/>
    <cellStyle name="Comma 4 2 4 2 2 2 2" xfId="11791" xr:uid="{D7FB7267-2CAC-40C4-ADB3-0450BE95BBFE}"/>
    <cellStyle name="Comma 4 2 4 2 2 2 2 2" xfId="26911" xr:uid="{BC81BD2F-1218-4C0A-B106-7B4A604C595A}"/>
    <cellStyle name="Comma 4 2 4 2 2 2 2 2 2" xfId="57151" xr:uid="{0C958A93-8825-499B-A3DB-AF52FC9148D3}"/>
    <cellStyle name="Comma 4 2 4 2 2 2 2 3" xfId="42031" xr:uid="{C576C9F7-2F42-400D-AB7E-36F8C1F882E2}"/>
    <cellStyle name="Comma 4 2 4 2 2 2 3" xfId="17839" xr:uid="{DA5CBA4C-ABCC-4B19-8DE8-3746C2786393}"/>
    <cellStyle name="Comma 4 2 4 2 2 2 3 2" xfId="48079" xr:uid="{4FFFC2CD-E653-47CD-8FFD-0F13E90B66AD}"/>
    <cellStyle name="Comma 4 2 4 2 2 2 4" xfId="32959" xr:uid="{97C547A2-DFBE-4176-886A-AC4CB6A8FD27}"/>
    <cellStyle name="Comma 4 2 4 2 2 3" xfId="4231" xr:uid="{E59B236F-A72B-4095-9B98-1544FE2349D9}"/>
    <cellStyle name="Comma 4 2 4 2 2 3 2" xfId="13303" xr:uid="{360216A3-09FF-48DA-B8A9-B8B80C1E91AE}"/>
    <cellStyle name="Comma 4 2 4 2 2 3 2 2" xfId="28423" xr:uid="{CAE17CAB-B247-4FBD-AE8F-4395C6518938}"/>
    <cellStyle name="Comma 4 2 4 2 2 3 2 2 2" xfId="58663" xr:uid="{2E363548-60BC-4CA3-9B7B-A62BEB5C36C2}"/>
    <cellStyle name="Comma 4 2 4 2 2 3 2 3" xfId="43543" xr:uid="{F1E92F47-8E0D-4439-A2EF-FEFE598C4DC0}"/>
    <cellStyle name="Comma 4 2 4 2 2 3 3" xfId="19351" xr:uid="{34F646C3-ABA0-4BA7-9F56-10EA6F52AFA5}"/>
    <cellStyle name="Comma 4 2 4 2 2 3 3 2" xfId="49591" xr:uid="{7E03386F-F5C5-4DEE-AE33-C4E7D84FAF10}"/>
    <cellStyle name="Comma 4 2 4 2 2 3 4" xfId="34471" xr:uid="{899910D3-3409-4308-BF4A-527CA6E69375}"/>
    <cellStyle name="Comma 4 2 4 2 2 4" xfId="5743" xr:uid="{6CDBDF01-B7AD-4317-82EC-BB18FFD480B8}"/>
    <cellStyle name="Comma 4 2 4 2 2 4 2" xfId="14815" xr:uid="{C931D1A3-3DD4-468B-84AA-60A3327BEB91}"/>
    <cellStyle name="Comma 4 2 4 2 2 4 2 2" xfId="29935" xr:uid="{6D037C00-5411-4582-B6B9-374737685E0F}"/>
    <cellStyle name="Comma 4 2 4 2 2 4 2 2 2" xfId="60175" xr:uid="{944A3F9B-A189-4FDC-9AF3-1F976621560E}"/>
    <cellStyle name="Comma 4 2 4 2 2 4 2 3" xfId="45055" xr:uid="{85D162EF-D912-4ABD-B302-F124D1F487F0}"/>
    <cellStyle name="Comma 4 2 4 2 2 4 3" xfId="20863" xr:uid="{C7BB58EE-E787-4EAE-AB4E-E3369C5026F1}"/>
    <cellStyle name="Comma 4 2 4 2 2 4 3 2" xfId="51103" xr:uid="{2EA51528-5284-4335-AA89-F42AA7DE26CD}"/>
    <cellStyle name="Comma 4 2 4 2 2 4 4" xfId="35983" xr:uid="{636FD2B8-23CF-411F-88FB-1EA8E6E3C2AC}"/>
    <cellStyle name="Comma 4 2 4 2 2 5" xfId="7255" xr:uid="{7F6CBAAE-6D11-4FD7-BAA7-872F5DE00ADF}"/>
    <cellStyle name="Comma 4 2 4 2 2 5 2" xfId="22375" xr:uid="{B7DAB6E5-5651-4FAA-ADC6-A6B687502F52}"/>
    <cellStyle name="Comma 4 2 4 2 2 5 2 2" xfId="52615" xr:uid="{4F5116EB-2250-44F1-B4A7-3C94FCEC75BD}"/>
    <cellStyle name="Comma 4 2 4 2 2 5 3" xfId="37495" xr:uid="{99BF436D-E9E2-4B31-B9CE-D958574CD4D0}"/>
    <cellStyle name="Comma 4 2 4 2 2 6" xfId="8767" xr:uid="{CD29F0BE-0CD9-4426-8F8F-7062DC494789}"/>
    <cellStyle name="Comma 4 2 4 2 2 6 2" xfId="23887" xr:uid="{A29AD89B-F7F8-40BD-9763-BB385E9C65CF}"/>
    <cellStyle name="Comma 4 2 4 2 2 6 2 2" xfId="54127" xr:uid="{DFF626AC-9AEF-46AF-A18B-FCE46018362A}"/>
    <cellStyle name="Comma 4 2 4 2 2 6 3" xfId="39007" xr:uid="{135D04DB-7A2B-4678-B259-2B90F4CDF58B}"/>
    <cellStyle name="Comma 4 2 4 2 2 7" xfId="10279" xr:uid="{E10CDF1E-1CBF-4B80-9019-46DA3A03CDA2}"/>
    <cellStyle name="Comma 4 2 4 2 2 7 2" xfId="25399" xr:uid="{E5F0814B-7531-46CD-8F67-743376FC2640}"/>
    <cellStyle name="Comma 4 2 4 2 2 7 2 2" xfId="55639" xr:uid="{3FA57D94-29F8-4701-B109-348328D08B60}"/>
    <cellStyle name="Comma 4 2 4 2 2 7 3" xfId="40519" xr:uid="{24E53B81-C2B2-47AF-A6CC-4960C19BF600}"/>
    <cellStyle name="Comma 4 2 4 2 2 8" xfId="16327" xr:uid="{E7E5718F-695D-46EC-B997-6B9B9B170996}"/>
    <cellStyle name="Comma 4 2 4 2 2 8 2" xfId="46567" xr:uid="{E6107E3B-2A8E-477C-9E96-7EBF4D900291}"/>
    <cellStyle name="Comma 4 2 4 2 2 9" xfId="31447" xr:uid="{B64EE8E5-7AFC-4C5D-A6F5-DB0A78E2F870}"/>
    <cellStyle name="Comma 4 2 4 2 3" xfId="1963" xr:uid="{10EFB977-5B8C-41BB-A8A2-8D09AAF2CDA4}"/>
    <cellStyle name="Comma 4 2 4 2 3 2" xfId="11035" xr:uid="{61B0D8CA-740C-4347-A6FE-C0E6EFD0AE12}"/>
    <cellStyle name="Comma 4 2 4 2 3 2 2" xfId="26155" xr:uid="{C5874F9E-988E-49D5-BC42-D23510B69E69}"/>
    <cellStyle name="Comma 4 2 4 2 3 2 2 2" xfId="56395" xr:uid="{E33E08B7-5960-4E58-A3B3-4793B009A08F}"/>
    <cellStyle name="Comma 4 2 4 2 3 2 3" xfId="41275" xr:uid="{3BED3446-A225-451F-9A34-68BAE528F0CD}"/>
    <cellStyle name="Comma 4 2 4 2 3 3" xfId="17083" xr:uid="{6569C266-2FEE-44D8-BC7A-0EA10AF9A23E}"/>
    <cellStyle name="Comma 4 2 4 2 3 3 2" xfId="47323" xr:uid="{171C778B-7AFD-4FA0-BC82-F013C62FB027}"/>
    <cellStyle name="Comma 4 2 4 2 3 4" xfId="32203" xr:uid="{01A5971E-8C40-4A54-B40F-98BE0C1A148C}"/>
    <cellStyle name="Comma 4 2 4 2 4" xfId="3475" xr:uid="{689E7FFA-475E-4303-B38A-B8E5E8855B81}"/>
    <cellStyle name="Comma 4 2 4 2 4 2" xfId="12547" xr:uid="{49541C1C-A439-4B8E-BF97-0E03716DE798}"/>
    <cellStyle name="Comma 4 2 4 2 4 2 2" xfId="27667" xr:uid="{05618500-2507-434B-8C48-9E08BFD47714}"/>
    <cellStyle name="Comma 4 2 4 2 4 2 2 2" xfId="57907" xr:uid="{829D4A77-1CCF-40F9-8F90-C0132280FB80}"/>
    <cellStyle name="Comma 4 2 4 2 4 2 3" xfId="42787" xr:uid="{087BFD3C-06E6-457D-BDE1-87C68F7D1BA6}"/>
    <cellStyle name="Comma 4 2 4 2 4 3" xfId="18595" xr:uid="{F7CFF69B-6661-40B5-938C-0E84395604EC}"/>
    <cellStyle name="Comma 4 2 4 2 4 3 2" xfId="48835" xr:uid="{62915B80-123B-4F1E-9E4E-A339BEF2F9BF}"/>
    <cellStyle name="Comma 4 2 4 2 4 4" xfId="33715" xr:uid="{639DDFE9-D3C8-4DF1-AFBA-103C48198F63}"/>
    <cellStyle name="Comma 4 2 4 2 5" xfId="4987" xr:uid="{04CE67E3-DE51-472A-8663-BFB907D24D0E}"/>
    <cellStyle name="Comma 4 2 4 2 5 2" xfId="14059" xr:uid="{00332F2B-A96D-441F-9701-A054EAB137F7}"/>
    <cellStyle name="Comma 4 2 4 2 5 2 2" xfId="29179" xr:uid="{C3C484C6-DD7F-425C-9FD7-EFC3949DC1C3}"/>
    <cellStyle name="Comma 4 2 4 2 5 2 2 2" xfId="59419" xr:uid="{85A7AEE3-42EF-4E29-87FE-A9D0313A9840}"/>
    <cellStyle name="Comma 4 2 4 2 5 2 3" xfId="44299" xr:uid="{F85FA94C-38BC-4B3A-A549-6D31858ABCA4}"/>
    <cellStyle name="Comma 4 2 4 2 5 3" xfId="20107" xr:uid="{29D70044-76E5-4BD7-B151-98AE16FF4F0E}"/>
    <cellStyle name="Comma 4 2 4 2 5 3 2" xfId="50347" xr:uid="{95C13292-8182-4B56-BF9D-FF1A20E070D1}"/>
    <cellStyle name="Comma 4 2 4 2 5 4" xfId="35227" xr:uid="{317C8F87-846A-4C3B-BC3E-C0DE18622081}"/>
    <cellStyle name="Comma 4 2 4 2 6" xfId="6499" xr:uid="{1A484469-5A15-432E-A1F4-46D6FFC15796}"/>
    <cellStyle name="Comma 4 2 4 2 6 2" xfId="21619" xr:uid="{8527932B-743C-419C-B9D0-0B85A2F5C039}"/>
    <cellStyle name="Comma 4 2 4 2 6 2 2" xfId="51859" xr:uid="{A44D6430-E079-465E-918B-EEF5A8C847A2}"/>
    <cellStyle name="Comma 4 2 4 2 6 3" xfId="36739" xr:uid="{D75F4F9D-4650-4D6A-9A03-3DFA05D25EC8}"/>
    <cellStyle name="Comma 4 2 4 2 7" xfId="8011" xr:uid="{E5075ECC-F03B-4201-AE6D-6873D5C0BDD4}"/>
    <cellStyle name="Comma 4 2 4 2 7 2" xfId="23131" xr:uid="{95D70CF9-55C4-4368-AE73-3ACB3004C7AF}"/>
    <cellStyle name="Comma 4 2 4 2 7 2 2" xfId="53371" xr:uid="{F9FE6A7C-07B1-4A1C-8931-AB1A73623A6D}"/>
    <cellStyle name="Comma 4 2 4 2 7 3" xfId="38251" xr:uid="{D76D0243-02E5-462D-8A44-5509CA4588C3}"/>
    <cellStyle name="Comma 4 2 4 2 8" xfId="9523" xr:uid="{456DF646-E6F1-4F35-A717-F8B24B7A215C}"/>
    <cellStyle name="Comma 4 2 4 2 8 2" xfId="24643" xr:uid="{D6FB0A30-04EB-45BE-8BA0-C003EF15BF36}"/>
    <cellStyle name="Comma 4 2 4 2 8 2 2" xfId="54883" xr:uid="{96E46230-41ED-4202-AB81-0653AF51F55B}"/>
    <cellStyle name="Comma 4 2 4 2 8 3" xfId="39763" xr:uid="{8F715033-3516-48ED-B432-E59574677CA9}"/>
    <cellStyle name="Comma 4 2 4 2 9" xfId="15571" xr:uid="{2D4802A4-EAC5-457D-8597-9ECF4BC57365}"/>
    <cellStyle name="Comma 4 2 4 2 9 2" xfId="45811" xr:uid="{4F40CFBA-5703-4A45-B06A-6CD8A8338ACB}"/>
    <cellStyle name="Comma 4 2 4 3" xfId="703" xr:uid="{D76A21D6-BBDB-4F25-891A-2D522ED1D393}"/>
    <cellStyle name="Comma 4 2 4 3 10" xfId="30943" xr:uid="{DA4711E6-6229-4299-A131-CF7F3DC7FDC4}"/>
    <cellStyle name="Comma 4 2 4 3 2" xfId="1459" xr:uid="{74D73AE1-62B7-41AD-B400-B78F2EBF58F6}"/>
    <cellStyle name="Comma 4 2 4 3 2 2" xfId="2971" xr:uid="{D6649BA6-05D2-4FC3-A985-385316A04A9A}"/>
    <cellStyle name="Comma 4 2 4 3 2 2 2" xfId="12043" xr:uid="{77E0552D-9579-4DC9-ABAC-E9147CC299BD}"/>
    <cellStyle name="Comma 4 2 4 3 2 2 2 2" xfId="27163" xr:uid="{8F9CC9E0-E8BE-4172-B58D-71C68F2A85E9}"/>
    <cellStyle name="Comma 4 2 4 3 2 2 2 2 2" xfId="57403" xr:uid="{8DB1034C-542A-4C0D-A609-B56F115CE883}"/>
    <cellStyle name="Comma 4 2 4 3 2 2 2 3" xfId="42283" xr:uid="{748897B9-1B79-4330-8E91-9554B4A4F17A}"/>
    <cellStyle name="Comma 4 2 4 3 2 2 3" xfId="18091" xr:uid="{6450F32D-46AA-4401-838F-7BEECBE591C0}"/>
    <cellStyle name="Comma 4 2 4 3 2 2 3 2" xfId="48331" xr:uid="{32969D99-B768-435F-96CB-E845AF021446}"/>
    <cellStyle name="Comma 4 2 4 3 2 2 4" xfId="33211" xr:uid="{ECC94AA1-085C-46B8-9D05-115CD7821257}"/>
    <cellStyle name="Comma 4 2 4 3 2 3" xfId="4483" xr:uid="{9D270686-D781-42E3-A337-EA3BE2D84145}"/>
    <cellStyle name="Comma 4 2 4 3 2 3 2" xfId="13555" xr:uid="{AAC81EA1-9391-4FD9-AA4E-252CA8C24C15}"/>
    <cellStyle name="Comma 4 2 4 3 2 3 2 2" xfId="28675" xr:uid="{45C9FF7F-D91A-4B9F-AFD0-BF642AD6C285}"/>
    <cellStyle name="Comma 4 2 4 3 2 3 2 2 2" xfId="58915" xr:uid="{EA4A3052-7195-429C-AEA0-8FE19DE5C4D6}"/>
    <cellStyle name="Comma 4 2 4 3 2 3 2 3" xfId="43795" xr:uid="{CB15CF14-726F-4970-81FA-85CA072704DD}"/>
    <cellStyle name="Comma 4 2 4 3 2 3 3" xfId="19603" xr:uid="{7C8A3170-87C9-46D9-8EF6-9A9A8B3B5413}"/>
    <cellStyle name="Comma 4 2 4 3 2 3 3 2" xfId="49843" xr:uid="{D815CB03-37ED-437A-851A-86043443E82D}"/>
    <cellStyle name="Comma 4 2 4 3 2 3 4" xfId="34723" xr:uid="{207A370C-9D6A-423E-AC1B-B19080699525}"/>
    <cellStyle name="Comma 4 2 4 3 2 4" xfId="5995" xr:uid="{54EA4F4B-49A0-4339-927C-5F1E85E0F687}"/>
    <cellStyle name="Comma 4 2 4 3 2 4 2" xfId="15067" xr:uid="{1094A20C-60CB-4D65-B93E-4077C7F86915}"/>
    <cellStyle name="Comma 4 2 4 3 2 4 2 2" xfId="30187" xr:uid="{F934A7E4-138E-4219-A2B3-68F47EA5B046}"/>
    <cellStyle name="Comma 4 2 4 3 2 4 2 2 2" xfId="60427" xr:uid="{2CA9DE34-A08B-49EE-985D-03181B9F9BA4}"/>
    <cellStyle name="Comma 4 2 4 3 2 4 2 3" xfId="45307" xr:uid="{0D31D92D-8673-4E2E-B5C6-078EE61E288C}"/>
    <cellStyle name="Comma 4 2 4 3 2 4 3" xfId="21115" xr:uid="{FBB27BE5-F9A4-4E4E-AC1A-9F828E4A9929}"/>
    <cellStyle name="Comma 4 2 4 3 2 4 3 2" xfId="51355" xr:uid="{F88E717B-2D96-4CD3-BDAB-CCCE21F1D2E1}"/>
    <cellStyle name="Comma 4 2 4 3 2 4 4" xfId="36235" xr:uid="{51ABF723-7AC1-4CC0-85E4-7307B18DC023}"/>
    <cellStyle name="Comma 4 2 4 3 2 5" xfId="7507" xr:uid="{223E6144-2035-44FE-AF13-18E9B5C21CD2}"/>
    <cellStyle name="Comma 4 2 4 3 2 5 2" xfId="22627" xr:uid="{A83FC059-7046-4938-BFDA-5C033BEA9711}"/>
    <cellStyle name="Comma 4 2 4 3 2 5 2 2" xfId="52867" xr:uid="{A163E378-0FBB-48BB-A81B-A88FD35D2DCB}"/>
    <cellStyle name="Comma 4 2 4 3 2 5 3" xfId="37747" xr:uid="{2653BC44-0BBF-4058-9D27-4C85F025410A}"/>
    <cellStyle name="Comma 4 2 4 3 2 6" xfId="9019" xr:uid="{B4C91F5D-2FCD-4A9F-94C8-10358AD086D4}"/>
    <cellStyle name="Comma 4 2 4 3 2 6 2" xfId="24139" xr:uid="{D991E440-D423-4F00-86B7-21C49F237836}"/>
    <cellStyle name="Comma 4 2 4 3 2 6 2 2" xfId="54379" xr:uid="{898715CE-CF6D-42E8-9E43-08ABC16B757E}"/>
    <cellStyle name="Comma 4 2 4 3 2 6 3" xfId="39259" xr:uid="{92876405-E69B-4616-90BA-BFECE116C9D1}"/>
    <cellStyle name="Comma 4 2 4 3 2 7" xfId="10531" xr:uid="{0E2188C3-0C6E-403D-83B1-425DA29B0CFF}"/>
    <cellStyle name="Comma 4 2 4 3 2 7 2" xfId="25651" xr:uid="{0A26FDE6-E742-49D6-94D6-9764F5E90DC2}"/>
    <cellStyle name="Comma 4 2 4 3 2 7 2 2" xfId="55891" xr:uid="{E926E680-7CF8-4CAC-AEF0-49FEE2C300E4}"/>
    <cellStyle name="Comma 4 2 4 3 2 7 3" xfId="40771" xr:uid="{CE0B1B38-C3FB-4E85-A6F4-B1C710785DB8}"/>
    <cellStyle name="Comma 4 2 4 3 2 8" xfId="16579" xr:uid="{8AA79EB5-58F5-4291-9FBC-4CE219D46235}"/>
    <cellStyle name="Comma 4 2 4 3 2 8 2" xfId="46819" xr:uid="{022050A4-8B18-446C-955E-8CFA1E0BCD6F}"/>
    <cellStyle name="Comma 4 2 4 3 2 9" xfId="31699" xr:uid="{D5276597-B1D8-4891-B443-52845F884107}"/>
    <cellStyle name="Comma 4 2 4 3 3" xfId="2215" xr:uid="{1DBE241F-D852-492B-B99A-10327C878814}"/>
    <cellStyle name="Comma 4 2 4 3 3 2" xfId="11287" xr:uid="{E32145AD-72D4-46F2-8B9E-8920229FDB35}"/>
    <cellStyle name="Comma 4 2 4 3 3 2 2" xfId="26407" xr:uid="{C84C51E0-7109-45BD-87BE-BCD114FE3C3E}"/>
    <cellStyle name="Comma 4 2 4 3 3 2 2 2" xfId="56647" xr:uid="{A79AF9BC-CB25-47F3-8EA7-8AA33F1AF25D}"/>
    <cellStyle name="Comma 4 2 4 3 3 2 3" xfId="41527" xr:uid="{D08CDB04-286E-492E-B487-53C66A7084D7}"/>
    <cellStyle name="Comma 4 2 4 3 3 3" xfId="17335" xr:uid="{4DFDFCCE-6CD8-405B-8901-04D81E370DE4}"/>
    <cellStyle name="Comma 4 2 4 3 3 3 2" xfId="47575" xr:uid="{32E10AC5-D298-44A0-925F-6CFA8B651D52}"/>
    <cellStyle name="Comma 4 2 4 3 3 4" xfId="32455" xr:uid="{63745A3F-46D9-4C65-AF59-59C39F9CF343}"/>
    <cellStyle name="Comma 4 2 4 3 4" xfId="3727" xr:uid="{2C2968E3-843B-409F-BCBE-90E086C58C30}"/>
    <cellStyle name="Comma 4 2 4 3 4 2" xfId="12799" xr:uid="{93E725E3-6FE3-434E-AB5A-043F124CAC8D}"/>
    <cellStyle name="Comma 4 2 4 3 4 2 2" xfId="27919" xr:uid="{DF90EB60-F4E7-43C1-9918-BA03B33AE55C}"/>
    <cellStyle name="Comma 4 2 4 3 4 2 2 2" xfId="58159" xr:uid="{175D9179-7DD2-4FE9-B813-F0B2EC10254F}"/>
    <cellStyle name="Comma 4 2 4 3 4 2 3" xfId="43039" xr:uid="{C94F9CBB-1F7E-43B6-AF55-854273047396}"/>
    <cellStyle name="Comma 4 2 4 3 4 3" xfId="18847" xr:uid="{0EB4D094-7F11-456E-B1C5-55FD37933F65}"/>
    <cellStyle name="Comma 4 2 4 3 4 3 2" xfId="49087" xr:uid="{C64955BF-73BF-4B8F-8A5D-5F2E0C9A557C}"/>
    <cellStyle name="Comma 4 2 4 3 4 4" xfId="33967" xr:uid="{E33FA8EF-C0F1-43CC-A102-81CEFA14A29D}"/>
    <cellStyle name="Comma 4 2 4 3 5" xfId="5239" xr:uid="{68A4DE3D-A848-4BC1-A2A4-7908EC0B49E7}"/>
    <cellStyle name="Comma 4 2 4 3 5 2" xfId="14311" xr:uid="{200BA8FC-7E25-4533-A095-AD5EF4FECD9F}"/>
    <cellStyle name="Comma 4 2 4 3 5 2 2" xfId="29431" xr:uid="{C3FB628E-B455-4051-81C5-3838D3F41A6B}"/>
    <cellStyle name="Comma 4 2 4 3 5 2 2 2" xfId="59671" xr:uid="{CA4556A4-A62A-4756-BC70-44F740052D62}"/>
    <cellStyle name="Comma 4 2 4 3 5 2 3" xfId="44551" xr:uid="{B4058FD2-FAEB-49A8-A688-C1ADB73B97E7}"/>
    <cellStyle name="Comma 4 2 4 3 5 3" xfId="20359" xr:uid="{760B4BCD-8724-4896-992E-9A3709812996}"/>
    <cellStyle name="Comma 4 2 4 3 5 3 2" xfId="50599" xr:uid="{C194A452-1BC6-4984-A474-C559FCC7AD12}"/>
    <cellStyle name="Comma 4 2 4 3 5 4" xfId="35479" xr:uid="{6C78EAD9-2503-42AB-BC9E-606536066F95}"/>
    <cellStyle name="Comma 4 2 4 3 6" xfId="6751" xr:uid="{3CD8AA87-B5D7-44C9-B809-A7191E0958E9}"/>
    <cellStyle name="Comma 4 2 4 3 6 2" xfId="21871" xr:uid="{910B5D53-56D5-4CBE-A5BF-C36D925080AA}"/>
    <cellStyle name="Comma 4 2 4 3 6 2 2" xfId="52111" xr:uid="{A6C6B1C9-030F-4C00-8EEB-2FA7EA9D3C71}"/>
    <cellStyle name="Comma 4 2 4 3 6 3" xfId="36991" xr:uid="{AD39D199-B8B8-460A-BADC-ED70BCFDF2FB}"/>
    <cellStyle name="Comma 4 2 4 3 7" xfId="8263" xr:uid="{6CC04A51-7AB5-4E3A-AF11-72E81A8C8687}"/>
    <cellStyle name="Comma 4 2 4 3 7 2" xfId="23383" xr:uid="{722CF333-D236-407D-BA8D-35235F79CE7D}"/>
    <cellStyle name="Comma 4 2 4 3 7 2 2" xfId="53623" xr:uid="{9AD3DCA3-A230-482F-B732-92B0374A7B00}"/>
    <cellStyle name="Comma 4 2 4 3 7 3" xfId="38503" xr:uid="{69B899A3-B054-4CA1-9F29-EDD0538A59D6}"/>
    <cellStyle name="Comma 4 2 4 3 8" xfId="9775" xr:uid="{9F2377BE-D961-4EB1-B9BF-F29B1E374148}"/>
    <cellStyle name="Comma 4 2 4 3 8 2" xfId="24895" xr:uid="{352496AF-1479-473F-846F-F96C9E64DEB0}"/>
    <cellStyle name="Comma 4 2 4 3 8 2 2" xfId="55135" xr:uid="{82916F46-BF1A-4E9F-8D60-3C60F082959C}"/>
    <cellStyle name="Comma 4 2 4 3 8 3" xfId="40015" xr:uid="{6BBFB674-A1BC-4791-AD52-0A583D26FC0F}"/>
    <cellStyle name="Comma 4 2 4 3 9" xfId="15823" xr:uid="{6707118E-7EC0-49F8-AA40-115FBC7B2993}"/>
    <cellStyle name="Comma 4 2 4 3 9 2" xfId="46063" xr:uid="{42C6B109-FB0C-4F8E-8CB7-DD00FC9F6A59}"/>
    <cellStyle name="Comma 4 2 4 4" xfId="955" xr:uid="{FF560533-3DE4-4398-9C77-2FE6557BC12D}"/>
    <cellStyle name="Comma 4 2 4 4 2" xfId="2467" xr:uid="{0C8386E6-4D2C-4E62-8804-7E46D967755A}"/>
    <cellStyle name="Comma 4 2 4 4 2 2" xfId="11539" xr:uid="{78A00B79-FF0B-41C9-B1CE-2E9F0770FBE0}"/>
    <cellStyle name="Comma 4 2 4 4 2 2 2" xfId="26659" xr:uid="{1511D93F-216A-483F-8D11-6CCC631A022D}"/>
    <cellStyle name="Comma 4 2 4 4 2 2 2 2" xfId="56899" xr:uid="{414DC5E9-D95A-4C28-8E87-71769B7FB941}"/>
    <cellStyle name="Comma 4 2 4 4 2 2 3" xfId="41779" xr:uid="{7A278FF0-9925-497C-BE8A-052A93872046}"/>
    <cellStyle name="Comma 4 2 4 4 2 3" xfId="17587" xr:uid="{BB768D45-0E5C-4F25-AB9E-6E7103D89408}"/>
    <cellStyle name="Comma 4 2 4 4 2 3 2" xfId="47827" xr:uid="{6AB9AFF4-11DC-4447-B596-18AD3DB12DD9}"/>
    <cellStyle name="Comma 4 2 4 4 2 4" xfId="32707" xr:uid="{94481BF6-1390-46B1-BC52-6E353DE7935E}"/>
    <cellStyle name="Comma 4 2 4 4 3" xfId="3979" xr:uid="{7F77C37B-DDD4-4FB5-B241-DA22DC04DBFF}"/>
    <cellStyle name="Comma 4 2 4 4 3 2" xfId="13051" xr:uid="{D7AF417E-2546-4066-8DFE-2E46409BA7DC}"/>
    <cellStyle name="Comma 4 2 4 4 3 2 2" xfId="28171" xr:uid="{ED3C4464-A7F1-49F9-8795-A618F982094D}"/>
    <cellStyle name="Comma 4 2 4 4 3 2 2 2" xfId="58411" xr:uid="{4729BAFD-84CF-4D23-800B-E982E2DF9E53}"/>
    <cellStyle name="Comma 4 2 4 4 3 2 3" xfId="43291" xr:uid="{5EEED9AE-9F20-466F-B906-08242449DCF7}"/>
    <cellStyle name="Comma 4 2 4 4 3 3" xfId="19099" xr:uid="{1F847E0F-6189-4491-80C1-5CB00BCA18BD}"/>
    <cellStyle name="Comma 4 2 4 4 3 3 2" xfId="49339" xr:uid="{F546CC2A-0DF0-4761-8A27-9C75AE305D2C}"/>
    <cellStyle name="Comma 4 2 4 4 3 4" xfId="34219" xr:uid="{9E6AD6AC-589D-470D-8D21-2E4EE8AAE6C7}"/>
    <cellStyle name="Comma 4 2 4 4 4" xfId="5491" xr:uid="{AB4A080E-DCD2-4560-961A-E3010CA444E5}"/>
    <cellStyle name="Comma 4 2 4 4 4 2" xfId="14563" xr:uid="{1476041C-4843-4227-97FB-367E0D203987}"/>
    <cellStyle name="Comma 4 2 4 4 4 2 2" xfId="29683" xr:uid="{91F5F424-AF31-4AFA-BD0E-45DB1CC334B3}"/>
    <cellStyle name="Comma 4 2 4 4 4 2 2 2" xfId="59923" xr:uid="{983F7606-3824-4862-A152-6ED0F365FFA5}"/>
    <cellStyle name="Comma 4 2 4 4 4 2 3" xfId="44803" xr:uid="{A03D2813-4C84-476D-B465-B7DD7ABFFBB6}"/>
    <cellStyle name="Comma 4 2 4 4 4 3" xfId="20611" xr:uid="{4AF39200-1746-4639-A552-28A525B6660D}"/>
    <cellStyle name="Comma 4 2 4 4 4 3 2" xfId="50851" xr:uid="{C5121473-8AA8-44BE-9BBD-FCBD09639AE9}"/>
    <cellStyle name="Comma 4 2 4 4 4 4" xfId="35731" xr:uid="{CC9B31BA-913E-4B81-88A3-6043A8DCAF46}"/>
    <cellStyle name="Comma 4 2 4 4 5" xfId="7003" xr:uid="{A09E2EE7-E5C1-45BF-9174-8FA52D5C3D4F}"/>
    <cellStyle name="Comma 4 2 4 4 5 2" xfId="22123" xr:uid="{08DBE98C-223D-4773-935C-8876BC0F2C53}"/>
    <cellStyle name="Comma 4 2 4 4 5 2 2" xfId="52363" xr:uid="{20922847-06FB-41B6-88EC-A908ABF04F8C}"/>
    <cellStyle name="Comma 4 2 4 4 5 3" xfId="37243" xr:uid="{EDA7BD0D-7AD6-487C-9D35-65AE7311872B}"/>
    <cellStyle name="Comma 4 2 4 4 6" xfId="8515" xr:uid="{8F9A979B-5ECD-4F04-BD9B-839549C29104}"/>
    <cellStyle name="Comma 4 2 4 4 6 2" xfId="23635" xr:uid="{751DA5B3-3D2E-4C74-938C-6513F7E1A50E}"/>
    <cellStyle name="Comma 4 2 4 4 6 2 2" xfId="53875" xr:uid="{C140A855-3FE9-4F00-A2CE-7E9DA4765132}"/>
    <cellStyle name="Comma 4 2 4 4 6 3" xfId="38755" xr:uid="{BF92F03F-D7C3-4A88-83C8-C231AEEF38F9}"/>
    <cellStyle name="Comma 4 2 4 4 7" xfId="10027" xr:uid="{D9208FF5-6A2D-4A96-A5AB-F51FD57E78FB}"/>
    <cellStyle name="Comma 4 2 4 4 7 2" xfId="25147" xr:uid="{821A7F93-9351-46C1-8CDC-0EE9961CA33A}"/>
    <cellStyle name="Comma 4 2 4 4 7 2 2" xfId="55387" xr:uid="{991A7582-C2EF-47AC-A8B7-0AD87D421042}"/>
    <cellStyle name="Comma 4 2 4 4 7 3" xfId="40267" xr:uid="{C8AC8E09-EC49-4518-AA86-5B4FC3A2B003}"/>
    <cellStyle name="Comma 4 2 4 4 8" xfId="16075" xr:uid="{BA75B7BE-1460-4E64-8873-8A1EDEF001C4}"/>
    <cellStyle name="Comma 4 2 4 4 8 2" xfId="46315" xr:uid="{5A58CE61-0408-4E5C-8C8B-D2A5AB74923D}"/>
    <cellStyle name="Comma 4 2 4 4 9" xfId="31195" xr:uid="{A6F664AB-A464-487B-ABF2-2EFBB554ED2D}"/>
    <cellStyle name="Comma 4 2 4 5" xfId="1711" xr:uid="{2B9FE013-823D-4FF3-A403-35B075785B06}"/>
    <cellStyle name="Comma 4 2 4 5 2" xfId="10783" xr:uid="{46517C11-C0F8-4A14-A8ED-26B1C2FAEE97}"/>
    <cellStyle name="Comma 4 2 4 5 2 2" xfId="25903" xr:uid="{D677CF13-544C-4457-8107-A6677983EE9E}"/>
    <cellStyle name="Comma 4 2 4 5 2 2 2" xfId="56143" xr:uid="{3FA3C1B6-7B62-4594-9160-04F4BF722F6F}"/>
    <cellStyle name="Comma 4 2 4 5 2 3" xfId="41023" xr:uid="{1E617FD0-2E6D-4C02-AFA5-AB7C515D5D54}"/>
    <cellStyle name="Comma 4 2 4 5 3" xfId="16831" xr:uid="{4E341A89-0582-41E3-92EC-EF93953E82E4}"/>
    <cellStyle name="Comma 4 2 4 5 3 2" xfId="47071" xr:uid="{91F00760-586E-47B3-B11B-AFC0AF038584}"/>
    <cellStyle name="Comma 4 2 4 5 4" xfId="31951" xr:uid="{64F0FC8E-1BDD-422E-A1BF-03B3568DF726}"/>
    <cellStyle name="Comma 4 2 4 6" xfId="3223" xr:uid="{FF91A78B-829C-4841-B264-84566D866534}"/>
    <cellStyle name="Comma 4 2 4 6 2" xfId="12295" xr:uid="{9AEE3FDD-2BF8-441C-A11B-83C9691577C6}"/>
    <cellStyle name="Comma 4 2 4 6 2 2" xfId="27415" xr:uid="{CD3A93C3-C74F-4524-86FC-1898C8E50703}"/>
    <cellStyle name="Comma 4 2 4 6 2 2 2" xfId="57655" xr:uid="{492E10C5-C263-4881-9A39-EB0C5403A846}"/>
    <cellStyle name="Comma 4 2 4 6 2 3" xfId="42535" xr:uid="{8AF07D38-BFE9-42F4-A716-298D3D6EA8A2}"/>
    <cellStyle name="Comma 4 2 4 6 3" xfId="18343" xr:uid="{096DAE04-25C2-4DB4-9EDF-B557F0E282A5}"/>
    <cellStyle name="Comma 4 2 4 6 3 2" xfId="48583" xr:uid="{991B9655-B9FB-4DB2-BB47-B51744EC65FF}"/>
    <cellStyle name="Comma 4 2 4 6 4" xfId="33463" xr:uid="{5226D510-68F5-46BB-94BA-98B1944CAF74}"/>
    <cellStyle name="Comma 4 2 4 7" xfId="4735" xr:uid="{DBABDD1C-B761-4620-A790-02016C7BB79E}"/>
    <cellStyle name="Comma 4 2 4 7 2" xfId="13807" xr:uid="{C05D2EEB-13FF-4D2F-95A5-A8F8BA7C0028}"/>
    <cellStyle name="Comma 4 2 4 7 2 2" xfId="28927" xr:uid="{EDA668DC-C9FE-4A44-B594-21E4423EF2F3}"/>
    <cellStyle name="Comma 4 2 4 7 2 2 2" xfId="59167" xr:uid="{BE92A1A6-3A4F-441A-91DB-F541D1E4D064}"/>
    <cellStyle name="Comma 4 2 4 7 2 3" xfId="44047" xr:uid="{2C3C7CA6-3962-4B46-A5E0-B7C7F059C123}"/>
    <cellStyle name="Comma 4 2 4 7 3" xfId="19855" xr:uid="{FABA50D0-7546-425A-9CBB-426B2937512F}"/>
    <cellStyle name="Comma 4 2 4 7 3 2" xfId="50095" xr:uid="{A1D3E359-5A11-4953-9A48-85FAE9F0651E}"/>
    <cellStyle name="Comma 4 2 4 7 4" xfId="34975" xr:uid="{0F0D8D63-04F6-47DE-899A-785A90A1620C}"/>
    <cellStyle name="Comma 4 2 4 8" xfId="6247" xr:uid="{02BE7B0C-3C94-4C9B-A721-663A5BD63999}"/>
    <cellStyle name="Comma 4 2 4 8 2" xfId="21367" xr:uid="{D058F02F-368A-4B81-B395-9DEF8CA1A472}"/>
    <cellStyle name="Comma 4 2 4 8 2 2" xfId="51607" xr:uid="{0410A690-07C1-4156-A9BB-44939724A707}"/>
    <cellStyle name="Comma 4 2 4 8 3" xfId="36487" xr:uid="{8FA683CD-9F66-40B2-8651-92156422740C}"/>
    <cellStyle name="Comma 4 2 4 9" xfId="7759" xr:uid="{33B983C8-5929-4122-8BC2-DAE65A145355}"/>
    <cellStyle name="Comma 4 2 4 9 2" xfId="22879" xr:uid="{0A2D6DD2-E24C-44CF-82E2-1D7DE9669A64}"/>
    <cellStyle name="Comma 4 2 4 9 2 2" xfId="53119" xr:uid="{2F3606A6-4EED-4EFB-844B-6520E0196EC1}"/>
    <cellStyle name="Comma 4 2 4 9 3" xfId="37999" xr:uid="{78230948-0011-4028-B4AE-339383C6C74A}"/>
    <cellStyle name="Comma 4 2 5" xfId="283" xr:uid="{BF13C059-A3B8-49F3-8662-4EA472875F66}"/>
    <cellStyle name="Comma 4 2 5 10" xfId="30523" xr:uid="{E9C7AAD7-92A4-49D5-A56C-511D32616867}"/>
    <cellStyle name="Comma 4 2 5 2" xfId="1039" xr:uid="{33D68A00-8753-4DAE-A91B-4D129E0F60AB}"/>
    <cellStyle name="Comma 4 2 5 2 2" xfId="2551" xr:uid="{7BA4A679-0DAB-461D-8B0C-F9AC845370AF}"/>
    <cellStyle name="Comma 4 2 5 2 2 2" xfId="11623" xr:uid="{84DE9B1C-C7A9-47E3-8EA4-243535DAC5A9}"/>
    <cellStyle name="Comma 4 2 5 2 2 2 2" xfId="26743" xr:uid="{E6CBFEB9-27EC-45AE-B5D1-C2CA879E0A2E}"/>
    <cellStyle name="Comma 4 2 5 2 2 2 2 2" xfId="56983" xr:uid="{8BC92379-9F03-40C6-BBDA-66B8AD95083F}"/>
    <cellStyle name="Comma 4 2 5 2 2 2 3" xfId="41863" xr:uid="{ADAE2E84-2A47-4A1B-91F5-BB32E94C672B}"/>
    <cellStyle name="Comma 4 2 5 2 2 3" xfId="17671" xr:uid="{E3356ADD-9057-429F-AE0D-F4D5FBDEF7F7}"/>
    <cellStyle name="Comma 4 2 5 2 2 3 2" xfId="47911" xr:uid="{2F053797-9423-478B-BD23-A90927E88920}"/>
    <cellStyle name="Comma 4 2 5 2 2 4" xfId="32791" xr:uid="{63BC7555-E436-44CE-85E8-5F07C1CD11DF}"/>
    <cellStyle name="Comma 4 2 5 2 3" xfId="4063" xr:uid="{40C78EC8-667F-45C7-9946-5A5C5401559F}"/>
    <cellStyle name="Comma 4 2 5 2 3 2" xfId="13135" xr:uid="{A120C286-8446-48C1-9E1B-09741668FF00}"/>
    <cellStyle name="Comma 4 2 5 2 3 2 2" xfId="28255" xr:uid="{3AC8F63B-6A0A-427D-91B8-377EF542CD89}"/>
    <cellStyle name="Comma 4 2 5 2 3 2 2 2" xfId="58495" xr:uid="{63CD55FE-DD77-4E9A-9FC0-F9B77993BBF2}"/>
    <cellStyle name="Comma 4 2 5 2 3 2 3" xfId="43375" xr:uid="{B2825C0F-7099-41B9-B1D4-A0E3B9A1CCD2}"/>
    <cellStyle name="Comma 4 2 5 2 3 3" xfId="19183" xr:uid="{C32BE492-2A6F-4790-88AD-5C9FCA60B72B}"/>
    <cellStyle name="Comma 4 2 5 2 3 3 2" xfId="49423" xr:uid="{02F0BDB3-DC97-41E5-9854-BAE7488B9720}"/>
    <cellStyle name="Comma 4 2 5 2 3 4" xfId="34303" xr:uid="{D3A3F023-4C02-4D16-8CAC-7481AAD9E6E5}"/>
    <cellStyle name="Comma 4 2 5 2 4" xfId="5575" xr:uid="{059CE11D-A8B2-4B1E-AAEB-39C204C8AB49}"/>
    <cellStyle name="Comma 4 2 5 2 4 2" xfId="14647" xr:uid="{62A72121-6539-4D98-8F8C-249BEAA6E9A5}"/>
    <cellStyle name="Comma 4 2 5 2 4 2 2" xfId="29767" xr:uid="{AAF1816C-89B2-4FD9-B096-95A22E383715}"/>
    <cellStyle name="Comma 4 2 5 2 4 2 2 2" xfId="60007" xr:uid="{5A69FC43-D1F6-4EFE-9BF0-E99773F7552E}"/>
    <cellStyle name="Comma 4 2 5 2 4 2 3" xfId="44887" xr:uid="{9606D5EC-057A-4C5E-AFA3-AF9DE24DB612}"/>
    <cellStyle name="Comma 4 2 5 2 4 3" xfId="20695" xr:uid="{E9731184-E145-4A74-892C-2A1E3286F7C1}"/>
    <cellStyle name="Comma 4 2 5 2 4 3 2" xfId="50935" xr:uid="{74AF7753-CA05-48A8-9BE7-71CB2A64EDD4}"/>
    <cellStyle name="Comma 4 2 5 2 4 4" xfId="35815" xr:uid="{819F1111-C7C7-4E0C-BD35-7899C667FB47}"/>
    <cellStyle name="Comma 4 2 5 2 5" xfId="7087" xr:uid="{8891536B-3D21-4AE4-AF44-A10D96FDE282}"/>
    <cellStyle name="Comma 4 2 5 2 5 2" xfId="22207" xr:uid="{B044A794-24C5-42CE-A09F-9B9E9796C34C}"/>
    <cellStyle name="Comma 4 2 5 2 5 2 2" xfId="52447" xr:uid="{776F34B1-E454-4E8F-A9B4-D0035415D9C1}"/>
    <cellStyle name="Comma 4 2 5 2 5 3" xfId="37327" xr:uid="{477F6C0E-12D3-4BA6-B3A5-5E64C0751C68}"/>
    <cellStyle name="Comma 4 2 5 2 6" xfId="8599" xr:uid="{E9AA74E6-200A-40D3-A865-3F25CA4E7F98}"/>
    <cellStyle name="Comma 4 2 5 2 6 2" xfId="23719" xr:uid="{5EC111B5-9B1B-43A8-98B4-7B2C7BC0A4D7}"/>
    <cellStyle name="Comma 4 2 5 2 6 2 2" xfId="53959" xr:uid="{16B11E1E-463F-4CBF-BE0C-AD7BAD8E4AFC}"/>
    <cellStyle name="Comma 4 2 5 2 6 3" xfId="38839" xr:uid="{6137B304-BC53-497B-9A6C-0C91D6EB92C9}"/>
    <cellStyle name="Comma 4 2 5 2 7" xfId="10111" xr:uid="{0ADE07F3-064D-4FE6-B5B7-B6523317E2A1}"/>
    <cellStyle name="Comma 4 2 5 2 7 2" xfId="25231" xr:uid="{429CD780-1824-4AD4-A920-883222CFC262}"/>
    <cellStyle name="Comma 4 2 5 2 7 2 2" xfId="55471" xr:uid="{5B96339C-7562-40B8-89C5-86DFF3FB2FCF}"/>
    <cellStyle name="Comma 4 2 5 2 7 3" xfId="40351" xr:uid="{DBC9843E-2A57-4EBF-88BF-DD2EB38FBD43}"/>
    <cellStyle name="Comma 4 2 5 2 8" xfId="16159" xr:uid="{9B2D96F8-7ED0-42EA-8106-E9AC416111BA}"/>
    <cellStyle name="Comma 4 2 5 2 8 2" xfId="46399" xr:uid="{F06194C6-5D33-4A4E-9910-0BE0948A5886}"/>
    <cellStyle name="Comma 4 2 5 2 9" xfId="31279" xr:uid="{C964C02B-C829-4F05-AEB3-0E23C52A85CD}"/>
    <cellStyle name="Comma 4 2 5 3" xfId="1795" xr:uid="{9C50950E-D2E1-445A-B45B-47E68739B214}"/>
    <cellStyle name="Comma 4 2 5 3 2" xfId="10867" xr:uid="{7D816A8D-77AF-471B-A91F-7D7FE24D720B}"/>
    <cellStyle name="Comma 4 2 5 3 2 2" xfId="25987" xr:uid="{F283BFC6-E36F-41F5-B85A-1225362BE9C2}"/>
    <cellStyle name="Comma 4 2 5 3 2 2 2" xfId="56227" xr:uid="{CE741A08-B98B-4BAB-8918-9E4077354A83}"/>
    <cellStyle name="Comma 4 2 5 3 2 3" xfId="41107" xr:uid="{E440292D-A8DB-452D-8498-EDD591A62057}"/>
    <cellStyle name="Comma 4 2 5 3 3" xfId="16915" xr:uid="{AD3E49DF-DA73-494E-9889-FBFB0E7613C0}"/>
    <cellStyle name="Comma 4 2 5 3 3 2" xfId="47155" xr:uid="{679FE259-9FB7-4D14-AB49-28E621C9A785}"/>
    <cellStyle name="Comma 4 2 5 3 4" xfId="32035" xr:uid="{E0CF4EDD-B673-4F37-AF89-6B752CA61CF2}"/>
    <cellStyle name="Comma 4 2 5 4" xfId="3307" xr:uid="{11C49318-99DA-4C39-9EC3-BA263522A620}"/>
    <cellStyle name="Comma 4 2 5 4 2" xfId="12379" xr:uid="{D1B88F52-DBE1-4AB3-87A0-F4E298909A7F}"/>
    <cellStyle name="Comma 4 2 5 4 2 2" xfId="27499" xr:uid="{2D3BECF4-F2EC-4FB7-9382-AC9010A08793}"/>
    <cellStyle name="Comma 4 2 5 4 2 2 2" xfId="57739" xr:uid="{6E8F4E88-00E0-4785-8100-C5EBD6BEC774}"/>
    <cellStyle name="Comma 4 2 5 4 2 3" xfId="42619" xr:uid="{F1782FA7-12D1-4A4F-ADC4-6A640320ABD9}"/>
    <cellStyle name="Comma 4 2 5 4 3" xfId="18427" xr:uid="{5AA4F730-D563-400B-B50B-2EE80D4688C4}"/>
    <cellStyle name="Comma 4 2 5 4 3 2" xfId="48667" xr:uid="{ABC3DE7D-8869-42C3-A535-89917B0DDB93}"/>
    <cellStyle name="Comma 4 2 5 4 4" xfId="33547" xr:uid="{3845016A-8138-4C54-8550-AD103EE9A485}"/>
    <cellStyle name="Comma 4 2 5 5" xfId="4819" xr:uid="{D16223FC-6E54-4D5B-8EFF-B5FDBA4970ED}"/>
    <cellStyle name="Comma 4 2 5 5 2" xfId="13891" xr:uid="{4B00DC82-63E0-4F38-9B48-2226A91D8286}"/>
    <cellStyle name="Comma 4 2 5 5 2 2" xfId="29011" xr:uid="{254C6C79-2342-4635-AE15-FA13E99BDA41}"/>
    <cellStyle name="Comma 4 2 5 5 2 2 2" xfId="59251" xr:uid="{D0FA5E8A-1063-4D88-A0A4-37B04CE5F213}"/>
    <cellStyle name="Comma 4 2 5 5 2 3" xfId="44131" xr:uid="{5C8D36A9-AADD-4148-A39A-F6AF5D421539}"/>
    <cellStyle name="Comma 4 2 5 5 3" xfId="19939" xr:uid="{70C80539-0C76-4129-A70A-347DC26A3F84}"/>
    <cellStyle name="Comma 4 2 5 5 3 2" xfId="50179" xr:uid="{9D0DCC4B-1CFF-4F36-9E6C-A3D814540664}"/>
    <cellStyle name="Comma 4 2 5 5 4" xfId="35059" xr:uid="{61D6E7E3-A48B-4EB9-886A-AFCB950666CC}"/>
    <cellStyle name="Comma 4 2 5 6" xfId="6331" xr:uid="{FB1B4958-75E4-44E7-8A13-B1A873F252AC}"/>
    <cellStyle name="Comma 4 2 5 6 2" xfId="21451" xr:uid="{E2EF88D6-C76E-4443-84F1-D197C8FEDB18}"/>
    <cellStyle name="Comma 4 2 5 6 2 2" xfId="51691" xr:uid="{4CA69D15-6A45-4AED-A95C-EB9499756CEF}"/>
    <cellStyle name="Comma 4 2 5 6 3" xfId="36571" xr:uid="{0079648D-2EBE-4EE3-8342-FA160F4D8998}"/>
    <cellStyle name="Comma 4 2 5 7" xfId="7843" xr:uid="{BC3DD860-D2EE-4D61-9A6B-CEB3D1559507}"/>
    <cellStyle name="Comma 4 2 5 7 2" xfId="22963" xr:uid="{FBFB9A94-1460-4092-BD53-21F7E5FA58B8}"/>
    <cellStyle name="Comma 4 2 5 7 2 2" xfId="53203" xr:uid="{9BC777B2-AE7E-49E6-808C-5154B8B55AD5}"/>
    <cellStyle name="Comma 4 2 5 7 3" xfId="38083" xr:uid="{87B748BC-3123-4D5A-8B8F-A47175126BDF}"/>
    <cellStyle name="Comma 4 2 5 8" xfId="9355" xr:uid="{D971EA96-2D83-472D-9970-3552E59DB41C}"/>
    <cellStyle name="Comma 4 2 5 8 2" xfId="24475" xr:uid="{96CE6F48-2EA8-4690-993F-CA50F9F54827}"/>
    <cellStyle name="Comma 4 2 5 8 2 2" xfId="54715" xr:uid="{97B501E3-BF9B-4BD5-BBAE-41F21C1F82CE}"/>
    <cellStyle name="Comma 4 2 5 8 3" xfId="39595" xr:uid="{F62D94B6-D1DD-4B4E-9B24-822219C39E08}"/>
    <cellStyle name="Comma 4 2 5 9" xfId="15403" xr:uid="{455423D5-2CD6-4FDD-B8B2-4DA2A6BA21C4}"/>
    <cellStyle name="Comma 4 2 5 9 2" xfId="45643" xr:uid="{A6C84BD3-BD00-44B5-AC94-EBCECA107AAA}"/>
    <cellStyle name="Comma 4 2 6" xfId="535" xr:uid="{B406CA29-95CB-4A9B-814C-E89FBCC7E95C}"/>
    <cellStyle name="Comma 4 2 6 10" xfId="30775" xr:uid="{8C8DFEAC-8014-4134-AB45-7B0C532BC413}"/>
    <cellStyle name="Comma 4 2 6 2" xfId="1291" xr:uid="{DFD4E85C-5EDB-44E0-BCA7-B93FE94A33F5}"/>
    <cellStyle name="Comma 4 2 6 2 2" xfId="2803" xr:uid="{9A79349E-6F67-40F9-967C-BFA175F0715E}"/>
    <cellStyle name="Comma 4 2 6 2 2 2" xfId="11875" xr:uid="{F26E186B-FE9B-4DBB-9694-FCAFF2EC98F4}"/>
    <cellStyle name="Comma 4 2 6 2 2 2 2" xfId="26995" xr:uid="{F5F6D12C-8DB2-4A36-A683-447B7A4F2A00}"/>
    <cellStyle name="Comma 4 2 6 2 2 2 2 2" xfId="57235" xr:uid="{0A5E9BE4-C4E4-425A-8548-D88308085305}"/>
    <cellStyle name="Comma 4 2 6 2 2 2 3" xfId="42115" xr:uid="{334D06EC-FDBD-4E1C-8FF5-760DDC10C4F3}"/>
    <cellStyle name="Comma 4 2 6 2 2 3" xfId="17923" xr:uid="{C35E9480-8DFE-4198-9037-BD59E9F6A3B6}"/>
    <cellStyle name="Comma 4 2 6 2 2 3 2" xfId="48163" xr:uid="{50B3B819-286E-40BC-A9EF-291342817207}"/>
    <cellStyle name="Comma 4 2 6 2 2 4" xfId="33043" xr:uid="{33556551-FCAA-4287-B65B-D80EF11FC5E5}"/>
    <cellStyle name="Comma 4 2 6 2 3" xfId="4315" xr:uid="{B8C6DE17-B3E1-4473-A4A5-084E82CFEC0B}"/>
    <cellStyle name="Comma 4 2 6 2 3 2" xfId="13387" xr:uid="{47B52BBF-21BB-4C61-BE7A-C5E7A6AFB4C8}"/>
    <cellStyle name="Comma 4 2 6 2 3 2 2" xfId="28507" xr:uid="{61DA8E02-F9DC-4002-99EE-2B2E513FE283}"/>
    <cellStyle name="Comma 4 2 6 2 3 2 2 2" xfId="58747" xr:uid="{D3DA2E29-E722-425C-9008-03B529DFC938}"/>
    <cellStyle name="Comma 4 2 6 2 3 2 3" xfId="43627" xr:uid="{488FB4BB-07F7-4680-AED8-393437F11233}"/>
    <cellStyle name="Comma 4 2 6 2 3 3" xfId="19435" xr:uid="{683B3E3D-E274-4D18-905D-09388A512AEB}"/>
    <cellStyle name="Comma 4 2 6 2 3 3 2" xfId="49675" xr:uid="{9359ECD6-0271-4D26-8391-BE8C49304466}"/>
    <cellStyle name="Comma 4 2 6 2 3 4" xfId="34555" xr:uid="{7B08B7E8-E98D-4EDD-AD47-5F9E552AA04E}"/>
    <cellStyle name="Comma 4 2 6 2 4" xfId="5827" xr:uid="{D5E091C6-8FB5-496F-972B-704F6DA7F144}"/>
    <cellStyle name="Comma 4 2 6 2 4 2" xfId="14899" xr:uid="{93F1785E-0B6F-44B7-BD3D-9D704EDE6568}"/>
    <cellStyle name="Comma 4 2 6 2 4 2 2" xfId="30019" xr:uid="{B35B710E-D7E7-4D9A-AD79-5FC7CA5B725A}"/>
    <cellStyle name="Comma 4 2 6 2 4 2 2 2" xfId="60259" xr:uid="{6F9D7CD2-174D-4C92-8556-381C7BC62905}"/>
    <cellStyle name="Comma 4 2 6 2 4 2 3" xfId="45139" xr:uid="{471762CA-7039-4F51-8E58-1C272C451F88}"/>
    <cellStyle name="Comma 4 2 6 2 4 3" xfId="20947" xr:uid="{696BA642-ABCD-4289-96FE-6955E973211F}"/>
    <cellStyle name="Comma 4 2 6 2 4 3 2" xfId="51187" xr:uid="{FB164631-8E94-4F52-9BCF-C19CDB0E6973}"/>
    <cellStyle name="Comma 4 2 6 2 4 4" xfId="36067" xr:uid="{189FC885-E659-454C-A122-CB317F8EFE97}"/>
    <cellStyle name="Comma 4 2 6 2 5" xfId="7339" xr:uid="{C87811B1-A597-46F1-82D2-55B33F74248A}"/>
    <cellStyle name="Comma 4 2 6 2 5 2" xfId="22459" xr:uid="{0F02100F-63EB-4C08-91AF-026974631B90}"/>
    <cellStyle name="Comma 4 2 6 2 5 2 2" xfId="52699" xr:uid="{ECCCD876-4E5E-45CF-9BF3-AC0004711083}"/>
    <cellStyle name="Comma 4 2 6 2 5 3" xfId="37579" xr:uid="{6E0740FE-64AB-4D7F-84DA-F82B150A00D6}"/>
    <cellStyle name="Comma 4 2 6 2 6" xfId="8851" xr:uid="{632BA814-7E88-4836-B665-E7EB79F20D03}"/>
    <cellStyle name="Comma 4 2 6 2 6 2" xfId="23971" xr:uid="{02E0DA6F-CF6F-45F1-8233-D3FD2721156E}"/>
    <cellStyle name="Comma 4 2 6 2 6 2 2" xfId="54211" xr:uid="{8524D455-377B-43E2-A14B-AC1CDE5FBB24}"/>
    <cellStyle name="Comma 4 2 6 2 6 3" xfId="39091" xr:uid="{F99774E3-0D14-4D50-BE56-5870A797F3E3}"/>
    <cellStyle name="Comma 4 2 6 2 7" xfId="10363" xr:uid="{BA861EFD-993A-45CB-9AA6-CB784B66A08D}"/>
    <cellStyle name="Comma 4 2 6 2 7 2" xfId="25483" xr:uid="{DFA72EBA-C75A-46C6-A8E2-CA67C1B513DF}"/>
    <cellStyle name="Comma 4 2 6 2 7 2 2" xfId="55723" xr:uid="{D3F99F38-B495-4E9D-8616-46C13D19A8FB}"/>
    <cellStyle name="Comma 4 2 6 2 7 3" xfId="40603" xr:uid="{507E16D1-9E3A-4A57-830A-2479869F4039}"/>
    <cellStyle name="Comma 4 2 6 2 8" xfId="16411" xr:uid="{3A9D1371-85D5-4A50-B5C1-5790A4D3169C}"/>
    <cellStyle name="Comma 4 2 6 2 8 2" xfId="46651" xr:uid="{776286FE-448C-41E0-9E99-5F9414FB9BE6}"/>
    <cellStyle name="Comma 4 2 6 2 9" xfId="31531" xr:uid="{36CB0C7C-1790-4C42-879E-0297CB6C31B8}"/>
    <cellStyle name="Comma 4 2 6 3" xfId="2047" xr:uid="{353CC048-3667-482C-B718-5CEEF35196F5}"/>
    <cellStyle name="Comma 4 2 6 3 2" xfId="11119" xr:uid="{BD07DE37-C916-4483-B857-75F55302BD59}"/>
    <cellStyle name="Comma 4 2 6 3 2 2" xfId="26239" xr:uid="{A457756A-02BA-4454-AA16-158B65AB9A11}"/>
    <cellStyle name="Comma 4 2 6 3 2 2 2" xfId="56479" xr:uid="{BB46E2AB-4F6D-4FFC-8CDF-65CDD2E4FBE9}"/>
    <cellStyle name="Comma 4 2 6 3 2 3" xfId="41359" xr:uid="{487C7149-05FF-46E7-BBD6-D7DE7D5D5A0F}"/>
    <cellStyle name="Comma 4 2 6 3 3" xfId="17167" xr:uid="{0BFAEDE6-7930-4A0A-80E7-7550F0F4BF40}"/>
    <cellStyle name="Comma 4 2 6 3 3 2" xfId="47407" xr:uid="{F91964CA-0980-4593-A037-D6C692B2778F}"/>
    <cellStyle name="Comma 4 2 6 3 4" xfId="32287" xr:uid="{C42DFD12-F795-46F2-9D6D-2A133CA1115D}"/>
    <cellStyle name="Comma 4 2 6 4" xfId="3559" xr:uid="{DEA9A2B7-18AF-422C-B1C0-F81D2B8E2A97}"/>
    <cellStyle name="Comma 4 2 6 4 2" xfId="12631" xr:uid="{8E44C225-3088-4121-BABD-A2631CBE1722}"/>
    <cellStyle name="Comma 4 2 6 4 2 2" xfId="27751" xr:uid="{5C5FC065-EE0E-491D-B29F-A23C82D1E4E2}"/>
    <cellStyle name="Comma 4 2 6 4 2 2 2" xfId="57991" xr:uid="{B19D363B-0010-4316-A9FE-404FC3A54511}"/>
    <cellStyle name="Comma 4 2 6 4 2 3" xfId="42871" xr:uid="{D62BE103-3261-441C-8B61-B3A227978C4E}"/>
    <cellStyle name="Comma 4 2 6 4 3" xfId="18679" xr:uid="{93A75E70-D696-4BA3-A45D-64FF5AC51E5D}"/>
    <cellStyle name="Comma 4 2 6 4 3 2" xfId="48919" xr:uid="{B89B4858-74E5-4F96-83C7-14FC1EA60046}"/>
    <cellStyle name="Comma 4 2 6 4 4" xfId="33799" xr:uid="{7F4818CC-2974-48F6-BD5B-E26283EA1B91}"/>
    <cellStyle name="Comma 4 2 6 5" xfId="5071" xr:uid="{B43D046A-1AA5-4A29-A287-B5781C7A6F88}"/>
    <cellStyle name="Comma 4 2 6 5 2" xfId="14143" xr:uid="{F61EE487-419F-404F-937F-999DD4BDE856}"/>
    <cellStyle name="Comma 4 2 6 5 2 2" xfId="29263" xr:uid="{FCD8B985-1E7F-4632-8617-9A9B88233DCC}"/>
    <cellStyle name="Comma 4 2 6 5 2 2 2" xfId="59503" xr:uid="{100172B3-DF8C-4964-BDB7-B0917E22867A}"/>
    <cellStyle name="Comma 4 2 6 5 2 3" xfId="44383" xr:uid="{DD9AD6F6-475A-4268-BD29-8694DEA62147}"/>
    <cellStyle name="Comma 4 2 6 5 3" xfId="20191" xr:uid="{F3B15622-0F1B-4CF5-824A-C6C1E2BC4C05}"/>
    <cellStyle name="Comma 4 2 6 5 3 2" xfId="50431" xr:uid="{FCA1115B-3110-4ADF-B9BD-104CD04ED430}"/>
    <cellStyle name="Comma 4 2 6 5 4" xfId="35311" xr:uid="{315C9129-24C8-4AE0-B574-66FDAF32D814}"/>
    <cellStyle name="Comma 4 2 6 6" xfId="6583" xr:uid="{2F1AA464-60D8-4667-B121-DA5A425F58BB}"/>
    <cellStyle name="Comma 4 2 6 6 2" xfId="21703" xr:uid="{219DECD2-1821-4F75-80F1-3AE63BF92192}"/>
    <cellStyle name="Comma 4 2 6 6 2 2" xfId="51943" xr:uid="{3AB63DF9-7C62-47A7-94DB-7ED3C753AD48}"/>
    <cellStyle name="Comma 4 2 6 6 3" xfId="36823" xr:uid="{22424759-B3B0-4118-8467-96790B6AA4A7}"/>
    <cellStyle name="Comma 4 2 6 7" xfId="8095" xr:uid="{16824F9E-5ADB-42FC-9886-A345A373C0A0}"/>
    <cellStyle name="Comma 4 2 6 7 2" xfId="23215" xr:uid="{39D167DC-29E6-4CFF-8634-44CCB3FC534C}"/>
    <cellStyle name="Comma 4 2 6 7 2 2" xfId="53455" xr:uid="{3F55912A-B552-46E0-847A-EDDFCF61DCCB}"/>
    <cellStyle name="Comma 4 2 6 7 3" xfId="38335" xr:uid="{401796F9-4CB4-4F4A-8C3B-E1D5D24E79A8}"/>
    <cellStyle name="Comma 4 2 6 8" xfId="9607" xr:uid="{A5EAFBB4-BBE7-40C9-ADCC-CCE4396D278D}"/>
    <cellStyle name="Comma 4 2 6 8 2" xfId="24727" xr:uid="{DE03E0B1-ADA2-428E-8300-DD791AE3F30E}"/>
    <cellStyle name="Comma 4 2 6 8 2 2" xfId="54967" xr:uid="{813D25D0-0AB6-4DA7-99B1-ABB35E715D25}"/>
    <cellStyle name="Comma 4 2 6 8 3" xfId="39847" xr:uid="{A6AF504A-D689-40A1-AE69-995AA847A4E2}"/>
    <cellStyle name="Comma 4 2 6 9" xfId="15655" xr:uid="{A11E478A-06CE-461E-AE16-35B4864E0A1A}"/>
    <cellStyle name="Comma 4 2 6 9 2" xfId="45895" xr:uid="{9CE27DF6-815B-4F99-BB9C-7FCA9CF31673}"/>
    <cellStyle name="Comma 4 2 7" xfId="787" xr:uid="{044E037A-6067-4A70-B063-D98E7EE0E870}"/>
    <cellStyle name="Comma 4 2 7 2" xfId="2299" xr:uid="{0F37B83E-D701-49EF-BC2B-1A70EB52FE8F}"/>
    <cellStyle name="Comma 4 2 7 2 2" xfId="11371" xr:uid="{1FB68CD8-FB8A-4118-BDDE-B28748CED880}"/>
    <cellStyle name="Comma 4 2 7 2 2 2" xfId="26491" xr:uid="{2DD3044F-3699-4FAA-BDF0-D3A1C0378529}"/>
    <cellStyle name="Comma 4 2 7 2 2 2 2" xfId="56731" xr:uid="{B00E5093-538B-4C30-B199-CA32CD862919}"/>
    <cellStyle name="Comma 4 2 7 2 2 3" xfId="41611" xr:uid="{1FC63D84-AFFB-4DFE-9EF0-27939EF67CBC}"/>
    <cellStyle name="Comma 4 2 7 2 3" xfId="17419" xr:uid="{45FB9DAD-4CA3-43D2-A5D1-964470FB21AF}"/>
    <cellStyle name="Comma 4 2 7 2 3 2" xfId="47659" xr:uid="{85D9C258-A8DC-405D-AAE0-84D3D0DABD96}"/>
    <cellStyle name="Comma 4 2 7 2 4" xfId="32539" xr:uid="{64BDB157-BC97-456A-93C9-3F785CB8829E}"/>
    <cellStyle name="Comma 4 2 7 3" xfId="3811" xr:uid="{63A5B445-DA23-4455-A7EC-C98FDB1D87E6}"/>
    <cellStyle name="Comma 4 2 7 3 2" xfId="12883" xr:uid="{EE921EF0-ABDC-43EF-B300-8C3CA9EAF8F1}"/>
    <cellStyle name="Comma 4 2 7 3 2 2" xfId="28003" xr:uid="{2108504B-52CA-4C29-96BB-4F13E5EB7176}"/>
    <cellStyle name="Comma 4 2 7 3 2 2 2" xfId="58243" xr:uid="{7A9724DA-477F-4893-83F0-58DEE4B8AF50}"/>
    <cellStyle name="Comma 4 2 7 3 2 3" xfId="43123" xr:uid="{C2BE4DF0-3DAC-441F-8E1C-837292774C9D}"/>
    <cellStyle name="Comma 4 2 7 3 3" xfId="18931" xr:uid="{6E2EE735-5560-4627-9263-0E3ACCF456D6}"/>
    <cellStyle name="Comma 4 2 7 3 3 2" xfId="49171" xr:uid="{80A99A3B-67E4-4DB3-B8A6-875416C911FD}"/>
    <cellStyle name="Comma 4 2 7 3 4" xfId="34051" xr:uid="{275A6C5B-0BB3-417E-AEB7-20E85B8C2C42}"/>
    <cellStyle name="Comma 4 2 7 4" xfId="5323" xr:uid="{4CA45624-F74B-41DC-AC48-60CB514A72B2}"/>
    <cellStyle name="Comma 4 2 7 4 2" xfId="14395" xr:uid="{91068D4F-7B07-461B-804D-FF2B62593BA6}"/>
    <cellStyle name="Comma 4 2 7 4 2 2" xfId="29515" xr:uid="{37C5DAFF-0F5F-4DD3-97B2-F033C51EFEB1}"/>
    <cellStyle name="Comma 4 2 7 4 2 2 2" xfId="59755" xr:uid="{D77730D8-4E04-4CDD-9259-C1189B4E458D}"/>
    <cellStyle name="Comma 4 2 7 4 2 3" xfId="44635" xr:uid="{B5A255C9-0CBA-4BBA-9B4E-A9CD9B3DC474}"/>
    <cellStyle name="Comma 4 2 7 4 3" xfId="20443" xr:uid="{172D5F5F-37B0-4F5B-A980-D5EF30C22225}"/>
    <cellStyle name="Comma 4 2 7 4 3 2" xfId="50683" xr:uid="{FC9D9AD8-6513-4B41-8157-147576E03F3E}"/>
    <cellStyle name="Comma 4 2 7 4 4" xfId="35563" xr:uid="{BD0E426F-9390-4175-BA28-9CE919489BCD}"/>
    <cellStyle name="Comma 4 2 7 5" xfId="6835" xr:uid="{7B08D960-7AB1-4F86-96E3-F4595D33F850}"/>
    <cellStyle name="Comma 4 2 7 5 2" xfId="21955" xr:uid="{1F1F6C72-3042-4EC9-8471-F52491A5B054}"/>
    <cellStyle name="Comma 4 2 7 5 2 2" xfId="52195" xr:uid="{2CC9E97B-04B7-4BED-A8EE-EF113C156D43}"/>
    <cellStyle name="Comma 4 2 7 5 3" xfId="37075" xr:uid="{9D63069E-0935-4709-8D90-6E7346AF4982}"/>
    <cellStyle name="Comma 4 2 7 6" xfId="8347" xr:uid="{69E8AC94-6A04-4622-8765-F8DCEE9DDB42}"/>
    <cellStyle name="Comma 4 2 7 6 2" xfId="23467" xr:uid="{93602C67-856C-416B-A27F-411B3B88A2D8}"/>
    <cellStyle name="Comma 4 2 7 6 2 2" xfId="53707" xr:uid="{6C5BAFE0-1E15-47B2-984D-402EE11380EC}"/>
    <cellStyle name="Comma 4 2 7 6 3" xfId="38587" xr:uid="{ED7E8F8D-AE5D-429E-8A10-7D2691FA65E0}"/>
    <cellStyle name="Comma 4 2 7 7" xfId="9859" xr:uid="{D14B95FC-6D9F-4FD4-8717-A6AA5E3D26EE}"/>
    <cellStyle name="Comma 4 2 7 7 2" xfId="24979" xr:uid="{60CFD67A-8CFA-4166-BFB0-F0FF6D54A63F}"/>
    <cellStyle name="Comma 4 2 7 7 2 2" xfId="55219" xr:uid="{FDB65736-9B7F-4C9F-BB7A-01E8D2F2D87D}"/>
    <cellStyle name="Comma 4 2 7 7 3" xfId="40099" xr:uid="{DB575385-385D-4B14-9298-EED9BBC3F10A}"/>
    <cellStyle name="Comma 4 2 7 8" xfId="15907" xr:uid="{52E27229-5BA2-4726-A249-C288CDA3A8C8}"/>
    <cellStyle name="Comma 4 2 7 8 2" xfId="46147" xr:uid="{8CE66A47-CB1A-4F53-A12B-75BF94CC374F}"/>
    <cellStyle name="Comma 4 2 7 9" xfId="31027" xr:uid="{265A38F7-6B75-413C-A0AB-3F984DE4186B}"/>
    <cellStyle name="Comma 4 2 8" xfId="1543" xr:uid="{B5389919-96E3-4804-B008-DAB57ACBEF19}"/>
    <cellStyle name="Comma 4 2 8 2" xfId="10615" xr:uid="{DB8088AE-F44F-44E7-BE65-297192E788C1}"/>
    <cellStyle name="Comma 4 2 8 2 2" xfId="25735" xr:uid="{2CE80A9A-F488-4ABB-8C42-ED3B713D8A65}"/>
    <cellStyle name="Comma 4 2 8 2 2 2" xfId="55975" xr:uid="{39FF85DA-2DCC-453F-9B05-436A39F71FDC}"/>
    <cellStyle name="Comma 4 2 8 2 3" xfId="40855" xr:uid="{0045C241-6E8B-4BD5-9BF3-84628F630CB0}"/>
    <cellStyle name="Comma 4 2 8 3" xfId="16663" xr:uid="{7812B565-2276-4C15-863C-710F666F788C}"/>
    <cellStyle name="Comma 4 2 8 3 2" xfId="46903" xr:uid="{7DDBCD64-3978-4161-80A7-C83EB4F4F321}"/>
    <cellStyle name="Comma 4 2 8 4" xfId="31783" xr:uid="{41574573-695B-47AC-AD2B-30CFB6419626}"/>
    <cellStyle name="Comma 4 2 9" xfId="3055" xr:uid="{13E30EFA-8ECF-49F4-939F-9DE677A0F9C2}"/>
    <cellStyle name="Comma 4 2 9 2" xfId="12127" xr:uid="{773A0956-E27E-474B-9F32-DBC3971BBF82}"/>
    <cellStyle name="Comma 4 2 9 2 2" xfId="27247" xr:uid="{6449F085-4CC9-4979-A76F-DD2DDECAFF56}"/>
    <cellStyle name="Comma 4 2 9 2 2 2" xfId="57487" xr:uid="{199A5870-F9CD-4BEB-A2E5-F46BF2CDA269}"/>
    <cellStyle name="Comma 4 2 9 2 3" xfId="42367" xr:uid="{C7094299-5A32-4A88-A9A5-CA4DDF0B4DAF}"/>
    <cellStyle name="Comma 4 2 9 3" xfId="18175" xr:uid="{7F85B4BB-E172-4758-87BA-2065CC992D35}"/>
    <cellStyle name="Comma 4 2 9 3 2" xfId="48415" xr:uid="{B3CAFD31-8B9F-499C-A6EC-057AFF2E7131}"/>
    <cellStyle name="Comma 4 2 9 4" xfId="33295" xr:uid="{434EC265-9111-47FD-B8A1-B37AC0B43716}"/>
    <cellStyle name="Comma 4 3" xfId="45" xr:uid="{E8FE6A82-EB6C-40F4-AF8A-1B920BF8A560}"/>
    <cellStyle name="Comma 4 3 10" xfId="4581" xr:uid="{B82AACEF-CCC5-46B9-9509-06A60CE8F777}"/>
    <cellStyle name="Comma 4 3 10 2" xfId="13653" xr:uid="{41977824-C0EF-451E-A780-F37840ACB09D}"/>
    <cellStyle name="Comma 4 3 10 2 2" xfId="28773" xr:uid="{74E2A6D2-ABAC-482A-8492-E6461F0A776A}"/>
    <cellStyle name="Comma 4 3 10 2 2 2" xfId="59013" xr:uid="{E9479592-77AE-4B76-93A2-2E91746072BA}"/>
    <cellStyle name="Comma 4 3 10 2 3" xfId="43893" xr:uid="{A196FD87-57A8-47EA-9C34-2BF68ADC168B}"/>
    <cellStyle name="Comma 4 3 10 3" xfId="19701" xr:uid="{A77E6082-C55E-499E-B727-F08C408D00B7}"/>
    <cellStyle name="Comma 4 3 10 3 2" xfId="49941" xr:uid="{7002A968-0147-42BD-BD6E-48B260130137}"/>
    <cellStyle name="Comma 4 3 10 4" xfId="34821" xr:uid="{4DB137B8-C18F-4183-8857-122AA47DC692}"/>
    <cellStyle name="Comma 4 3 11" xfId="6093" xr:uid="{35B06214-9CA1-4DD7-8435-E6F99DE41949}"/>
    <cellStyle name="Comma 4 3 11 2" xfId="21213" xr:uid="{FB7ECDE2-D395-42EC-B618-D974F241376C}"/>
    <cellStyle name="Comma 4 3 11 2 2" xfId="51453" xr:uid="{F4813E8E-E56D-4D13-8481-8070D4B855F0}"/>
    <cellStyle name="Comma 4 3 11 3" xfId="36333" xr:uid="{23C0DF4B-4444-4141-9922-5E3F1F1DFCAA}"/>
    <cellStyle name="Comma 4 3 12" xfId="7605" xr:uid="{938CA2A5-3B9E-451C-909C-D6C275A6BE52}"/>
    <cellStyle name="Comma 4 3 12 2" xfId="22725" xr:uid="{A0B6784E-64A9-4FDD-AE31-3A9E4D536890}"/>
    <cellStyle name="Comma 4 3 12 2 2" xfId="52965" xr:uid="{EA090029-5C9B-4E0D-BE04-CE410CD171B8}"/>
    <cellStyle name="Comma 4 3 12 3" xfId="37845" xr:uid="{CA652286-1F3F-431F-BCAB-F0E96E9DF4A0}"/>
    <cellStyle name="Comma 4 3 13" xfId="9117" xr:uid="{08B27956-70EA-47C6-9594-790554D3E2C3}"/>
    <cellStyle name="Comma 4 3 13 2" xfId="24237" xr:uid="{86205311-80CE-414F-92EC-31D0199971B0}"/>
    <cellStyle name="Comma 4 3 13 2 2" xfId="54477" xr:uid="{89C2F7F2-F7D9-48A4-A415-731574D72467}"/>
    <cellStyle name="Comma 4 3 13 3" xfId="39357" xr:uid="{4EA740EC-88A1-415C-A27C-1EB1E162781B}"/>
    <cellStyle name="Comma 4 3 14" xfId="15165" xr:uid="{311BF737-F899-44FC-BBF6-39FAA16E0FE5}"/>
    <cellStyle name="Comma 4 3 14 2" xfId="45405" xr:uid="{E3E6FCDC-C630-4DDD-BD13-2B2CDBFD4956}"/>
    <cellStyle name="Comma 4 3 15" xfId="30285" xr:uid="{C797BF58-AE85-4FD0-A6DB-67BE3E5F4DE9}"/>
    <cellStyle name="Comma 4 3 2" xfId="87" xr:uid="{D702B68A-3F73-47F4-9787-925BE2F5C74F}"/>
    <cellStyle name="Comma 4 3 2 10" xfId="6135" xr:uid="{F6E5B75B-6CED-434D-A956-15104D4FA7FA}"/>
    <cellStyle name="Comma 4 3 2 10 2" xfId="21255" xr:uid="{E71D2058-2A35-4221-9FAF-CF2020A4B290}"/>
    <cellStyle name="Comma 4 3 2 10 2 2" xfId="51495" xr:uid="{59506A9D-04A8-4AA0-B5EC-16E6DCA4B7A3}"/>
    <cellStyle name="Comma 4 3 2 10 3" xfId="36375" xr:uid="{34EBDE32-29D1-4B99-B7AB-47AE9B63095C}"/>
    <cellStyle name="Comma 4 3 2 11" xfId="7647" xr:uid="{4C1E49CD-9184-4ED8-9515-92B7B46C24BF}"/>
    <cellStyle name="Comma 4 3 2 11 2" xfId="22767" xr:uid="{4716D16C-F3F8-4E1E-9F9A-D4418AAFF939}"/>
    <cellStyle name="Comma 4 3 2 11 2 2" xfId="53007" xr:uid="{CE6C96DB-E191-497C-9E90-5D6C86E77CE8}"/>
    <cellStyle name="Comma 4 3 2 11 3" xfId="37887" xr:uid="{A99868C2-F253-47FF-8E92-C517F60A6D68}"/>
    <cellStyle name="Comma 4 3 2 12" xfId="9159" xr:uid="{51F4E303-1316-4E4A-B491-DE5372D9E8BF}"/>
    <cellStyle name="Comma 4 3 2 12 2" xfId="24279" xr:uid="{2C1A21BC-7F8C-449E-9C7A-CF3C7DAF563D}"/>
    <cellStyle name="Comma 4 3 2 12 2 2" xfId="54519" xr:uid="{537CB725-1D96-458E-9309-D2887657FBA3}"/>
    <cellStyle name="Comma 4 3 2 12 3" xfId="39399" xr:uid="{27431FF1-4D4D-4054-B686-8A35270B1AA4}"/>
    <cellStyle name="Comma 4 3 2 13" xfId="15207" xr:uid="{612D7B1C-A30F-4188-B045-B23DF9A6CC68}"/>
    <cellStyle name="Comma 4 3 2 13 2" xfId="45447" xr:uid="{5166BD31-9945-4D40-9F9C-CC69EB17741A}"/>
    <cellStyle name="Comma 4 3 2 14" xfId="30327" xr:uid="{8CAF4B85-BEE3-4BAF-AFC2-C280EA925097}"/>
    <cellStyle name="Comma 4 3 2 2" xfId="171" xr:uid="{F2E409AD-D0FA-4D04-9DD3-BB25545B1047}"/>
    <cellStyle name="Comma 4 3 2 2 10" xfId="9243" xr:uid="{3F48B281-EA07-44CB-B3A0-03529D3C813B}"/>
    <cellStyle name="Comma 4 3 2 2 10 2" xfId="24363" xr:uid="{0A10D921-E632-498A-87B6-995723895EA4}"/>
    <cellStyle name="Comma 4 3 2 2 10 2 2" xfId="54603" xr:uid="{CF45F641-FAA9-42AD-904A-AC8496FC13F0}"/>
    <cellStyle name="Comma 4 3 2 2 10 3" xfId="39483" xr:uid="{2CD1C149-486A-4343-97BC-DEAED43B33E6}"/>
    <cellStyle name="Comma 4 3 2 2 11" xfId="15291" xr:uid="{1A1C0D1A-6165-41CE-B1D4-7E10A0E06CBF}"/>
    <cellStyle name="Comma 4 3 2 2 11 2" xfId="45531" xr:uid="{AF9A4B9C-8EA1-49D2-9E05-D75FC8AF25CB}"/>
    <cellStyle name="Comma 4 3 2 2 12" xfId="30411" xr:uid="{241C6AD5-2D82-4B68-A029-E4602CFA10A5}"/>
    <cellStyle name="Comma 4 3 2 2 2" xfId="423" xr:uid="{1613FF0C-1200-4C70-AEF1-B0148D9AE89C}"/>
    <cellStyle name="Comma 4 3 2 2 2 10" xfId="30663" xr:uid="{BD79D0B4-0768-42A0-895C-AED276C481E4}"/>
    <cellStyle name="Comma 4 3 2 2 2 2" xfId="1179" xr:uid="{A78F7B4F-5F06-4A9F-B392-3900C986A6CA}"/>
    <cellStyle name="Comma 4 3 2 2 2 2 2" xfId="2691" xr:uid="{F4F35ED9-C046-4B7E-ABCF-03EB67C83C44}"/>
    <cellStyle name="Comma 4 3 2 2 2 2 2 2" xfId="11763" xr:uid="{2B48DB80-B0D6-4978-A541-F2EDB76AB20A}"/>
    <cellStyle name="Comma 4 3 2 2 2 2 2 2 2" xfId="26883" xr:uid="{F4C6B40C-CDDF-4F65-9FC2-3EE64AA28F5A}"/>
    <cellStyle name="Comma 4 3 2 2 2 2 2 2 2 2" xfId="57123" xr:uid="{803BB864-612D-423E-B290-30625D1E2E78}"/>
    <cellStyle name="Comma 4 3 2 2 2 2 2 2 3" xfId="42003" xr:uid="{8FCF4420-20A4-4441-8D2D-3660E84C0C18}"/>
    <cellStyle name="Comma 4 3 2 2 2 2 2 3" xfId="17811" xr:uid="{0E6DE1B4-E2A8-499E-897E-67E811EAAAC0}"/>
    <cellStyle name="Comma 4 3 2 2 2 2 2 3 2" xfId="48051" xr:uid="{5F2D221E-1EBC-404B-893F-147970E28D5A}"/>
    <cellStyle name="Comma 4 3 2 2 2 2 2 4" xfId="32931" xr:uid="{FFB00FD6-2B8B-44DE-A439-114CA230BC4D}"/>
    <cellStyle name="Comma 4 3 2 2 2 2 3" xfId="4203" xr:uid="{F5C2D037-7837-479D-95DD-EE9896A395AA}"/>
    <cellStyle name="Comma 4 3 2 2 2 2 3 2" xfId="13275" xr:uid="{091D38EC-D875-420D-B793-72EA49CAEA6D}"/>
    <cellStyle name="Comma 4 3 2 2 2 2 3 2 2" xfId="28395" xr:uid="{4E458AD2-45CC-47BB-AD4F-54557658A691}"/>
    <cellStyle name="Comma 4 3 2 2 2 2 3 2 2 2" xfId="58635" xr:uid="{28C1CDC7-3F9F-4B96-B4BB-A3B194B414CF}"/>
    <cellStyle name="Comma 4 3 2 2 2 2 3 2 3" xfId="43515" xr:uid="{2363533A-48FF-47EB-B55D-61E45AE43258}"/>
    <cellStyle name="Comma 4 3 2 2 2 2 3 3" xfId="19323" xr:uid="{0FB85951-3B9D-43F6-9723-DCB1AC42E767}"/>
    <cellStyle name="Comma 4 3 2 2 2 2 3 3 2" xfId="49563" xr:uid="{E07B0000-931A-4609-A248-D6969610F1BC}"/>
    <cellStyle name="Comma 4 3 2 2 2 2 3 4" xfId="34443" xr:uid="{A792FE97-B5C0-470A-A39A-1EB1D3170110}"/>
    <cellStyle name="Comma 4 3 2 2 2 2 4" xfId="5715" xr:uid="{D80E983E-2A56-43B0-B3B9-CAE6BD577F79}"/>
    <cellStyle name="Comma 4 3 2 2 2 2 4 2" xfId="14787" xr:uid="{EC72EA14-280B-494C-954F-CF5A71A26DDD}"/>
    <cellStyle name="Comma 4 3 2 2 2 2 4 2 2" xfId="29907" xr:uid="{F8B47C72-FFA7-4351-A0AF-F3B184092C8F}"/>
    <cellStyle name="Comma 4 3 2 2 2 2 4 2 2 2" xfId="60147" xr:uid="{E531B996-895B-42CC-B213-5764A749648F}"/>
    <cellStyle name="Comma 4 3 2 2 2 2 4 2 3" xfId="45027" xr:uid="{4AD74879-6857-4159-9D71-171D84A83DDF}"/>
    <cellStyle name="Comma 4 3 2 2 2 2 4 3" xfId="20835" xr:uid="{FBDE66C1-A276-40D4-A9C1-A1BFEEC87F13}"/>
    <cellStyle name="Comma 4 3 2 2 2 2 4 3 2" xfId="51075" xr:uid="{A53BFF9F-C74C-4584-8C13-644D9DF8ADB4}"/>
    <cellStyle name="Comma 4 3 2 2 2 2 4 4" xfId="35955" xr:uid="{B5CAF34F-5C98-4E3C-80E3-62CBB73AB59B}"/>
    <cellStyle name="Comma 4 3 2 2 2 2 5" xfId="7227" xr:uid="{4947287D-91EC-4918-A143-8DDFE1DC6232}"/>
    <cellStyle name="Comma 4 3 2 2 2 2 5 2" xfId="22347" xr:uid="{84AB35EF-5360-408A-8CE1-3DAE8745295D}"/>
    <cellStyle name="Comma 4 3 2 2 2 2 5 2 2" xfId="52587" xr:uid="{D3375CB4-E436-48A7-83EE-13880AC5892B}"/>
    <cellStyle name="Comma 4 3 2 2 2 2 5 3" xfId="37467" xr:uid="{748B331F-AA8D-485A-A425-B636B98C6D4D}"/>
    <cellStyle name="Comma 4 3 2 2 2 2 6" xfId="8739" xr:uid="{27FB6480-7DAC-40AE-BE89-1BABAE4EB016}"/>
    <cellStyle name="Comma 4 3 2 2 2 2 6 2" xfId="23859" xr:uid="{DE20D54D-9083-49CD-86EB-8DEEC8FE5EAE}"/>
    <cellStyle name="Comma 4 3 2 2 2 2 6 2 2" xfId="54099" xr:uid="{18D80E7A-47B0-42A0-A5B0-519C251C148C}"/>
    <cellStyle name="Comma 4 3 2 2 2 2 6 3" xfId="38979" xr:uid="{1A82B586-3F59-4AA3-9CD6-620DBBF044A7}"/>
    <cellStyle name="Comma 4 3 2 2 2 2 7" xfId="10251" xr:uid="{2E0C00B5-88D6-44C1-944A-527F6A3C9C4E}"/>
    <cellStyle name="Comma 4 3 2 2 2 2 7 2" xfId="25371" xr:uid="{805CF8C2-5F8F-4C7E-8D04-CD18C56E5834}"/>
    <cellStyle name="Comma 4 3 2 2 2 2 7 2 2" xfId="55611" xr:uid="{9C150A2D-4745-4A9D-B628-87F108CF97CB}"/>
    <cellStyle name="Comma 4 3 2 2 2 2 7 3" xfId="40491" xr:uid="{CAD8C78A-8C4C-4990-8AA8-726160ACBB6F}"/>
    <cellStyle name="Comma 4 3 2 2 2 2 8" xfId="16299" xr:uid="{40174003-53E4-40B5-993C-D78ACC722A0E}"/>
    <cellStyle name="Comma 4 3 2 2 2 2 8 2" xfId="46539" xr:uid="{E04E8397-9D6A-4306-B423-167011EFAEE2}"/>
    <cellStyle name="Comma 4 3 2 2 2 2 9" xfId="31419" xr:uid="{5D9433F4-DF00-4297-8B23-05859FE3ABCB}"/>
    <cellStyle name="Comma 4 3 2 2 2 3" xfId="1935" xr:uid="{2599946D-8F23-48E3-B268-0E3179D3EFB9}"/>
    <cellStyle name="Comma 4 3 2 2 2 3 2" xfId="11007" xr:uid="{7E46594B-B97E-4152-918F-4A7194531E2F}"/>
    <cellStyle name="Comma 4 3 2 2 2 3 2 2" xfId="26127" xr:uid="{3520F61D-E7C0-47B9-929E-4834F55B209B}"/>
    <cellStyle name="Comma 4 3 2 2 2 3 2 2 2" xfId="56367" xr:uid="{2A3EA593-E379-404B-BF9D-311D33EA3AE1}"/>
    <cellStyle name="Comma 4 3 2 2 2 3 2 3" xfId="41247" xr:uid="{A88FEDBD-B81C-4ACC-A850-56C62622F208}"/>
    <cellStyle name="Comma 4 3 2 2 2 3 3" xfId="17055" xr:uid="{FFDB635C-2D9D-4FE4-A394-844E222CB9D1}"/>
    <cellStyle name="Comma 4 3 2 2 2 3 3 2" xfId="47295" xr:uid="{2D28D5BF-5EA1-43D3-8386-382135F140F9}"/>
    <cellStyle name="Comma 4 3 2 2 2 3 4" xfId="32175" xr:uid="{8CCE6C00-F822-4421-A885-7E397B2CFF81}"/>
    <cellStyle name="Comma 4 3 2 2 2 4" xfId="3447" xr:uid="{410251BF-2B9D-4009-A2D6-1469BEA6BB8A}"/>
    <cellStyle name="Comma 4 3 2 2 2 4 2" xfId="12519" xr:uid="{D84B4CFC-81D7-49B4-98CA-CE3AEC25BAD3}"/>
    <cellStyle name="Comma 4 3 2 2 2 4 2 2" xfId="27639" xr:uid="{E31A5B54-D61C-4AE7-B5BF-C4E8C5AE1B4C}"/>
    <cellStyle name="Comma 4 3 2 2 2 4 2 2 2" xfId="57879" xr:uid="{091BC921-E1C0-4841-B7E9-BDBEA33B5D1C}"/>
    <cellStyle name="Comma 4 3 2 2 2 4 2 3" xfId="42759" xr:uid="{26688C9B-DF05-4C54-9F15-923BDCE7C023}"/>
    <cellStyle name="Comma 4 3 2 2 2 4 3" xfId="18567" xr:uid="{60D6450B-000B-4B03-B1C2-29CC89924D29}"/>
    <cellStyle name="Comma 4 3 2 2 2 4 3 2" xfId="48807" xr:uid="{F8AA441B-BA78-4F3A-934B-855944C66F74}"/>
    <cellStyle name="Comma 4 3 2 2 2 4 4" xfId="33687" xr:uid="{D8CE38EF-742D-4F8F-A42E-ED3CD5D3182B}"/>
    <cellStyle name="Comma 4 3 2 2 2 5" xfId="4959" xr:uid="{6F0C0872-0734-4B1E-965C-376BCC0B3D18}"/>
    <cellStyle name="Comma 4 3 2 2 2 5 2" xfId="14031" xr:uid="{BDDE9E7F-F183-4EE3-B7EA-36543AE5772C}"/>
    <cellStyle name="Comma 4 3 2 2 2 5 2 2" xfId="29151" xr:uid="{117F129A-A02D-456C-AC56-EC46BE88A337}"/>
    <cellStyle name="Comma 4 3 2 2 2 5 2 2 2" xfId="59391" xr:uid="{164E9AB6-5AF9-42BB-8BB0-C7C15F89DE95}"/>
    <cellStyle name="Comma 4 3 2 2 2 5 2 3" xfId="44271" xr:uid="{4EFDEDA6-90EB-470C-950A-B1B1B5BFB4F0}"/>
    <cellStyle name="Comma 4 3 2 2 2 5 3" xfId="20079" xr:uid="{AFC40724-3BFA-4F20-888A-5C0125757440}"/>
    <cellStyle name="Comma 4 3 2 2 2 5 3 2" xfId="50319" xr:uid="{2977B379-D406-412B-8AE1-07836F9D55E6}"/>
    <cellStyle name="Comma 4 3 2 2 2 5 4" xfId="35199" xr:uid="{BBF7573C-0850-4117-B6B1-62C9BD6180D9}"/>
    <cellStyle name="Comma 4 3 2 2 2 6" xfId="6471" xr:uid="{46296C3A-880E-4310-A213-98C27918B47E}"/>
    <cellStyle name="Comma 4 3 2 2 2 6 2" xfId="21591" xr:uid="{650EF3EE-C395-4178-9287-3C1638AB81C1}"/>
    <cellStyle name="Comma 4 3 2 2 2 6 2 2" xfId="51831" xr:uid="{D2E14480-BE55-4758-BFD2-52789ACAC555}"/>
    <cellStyle name="Comma 4 3 2 2 2 6 3" xfId="36711" xr:uid="{668E2B4F-6475-4EAB-8115-349E09E9B20B}"/>
    <cellStyle name="Comma 4 3 2 2 2 7" xfId="7983" xr:uid="{9DEC6026-518F-4167-85ED-C40D31C2A785}"/>
    <cellStyle name="Comma 4 3 2 2 2 7 2" xfId="23103" xr:uid="{1BBB818D-03CB-4EE5-9265-08B476BEADC9}"/>
    <cellStyle name="Comma 4 3 2 2 2 7 2 2" xfId="53343" xr:uid="{368AEB34-5B7D-4142-B487-6EFDF12F4A67}"/>
    <cellStyle name="Comma 4 3 2 2 2 7 3" xfId="38223" xr:uid="{38FE3537-8FFB-46D6-958B-7EE242D300F6}"/>
    <cellStyle name="Comma 4 3 2 2 2 8" xfId="9495" xr:uid="{FA1F63AA-BBAE-4F97-90A0-96E132ED9148}"/>
    <cellStyle name="Comma 4 3 2 2 2 8 2" xfId="24615" xr:uid="{9DE548D1-91CB-4775-8042-8CA4C879C7B2}"/>
    <cellStyle name="Comma 4 3 2 2 2 8 2 2" xfId="54855" xr:uid="{BBDD7E59-1F15-4990-BD56-78E5588C77BD}"/>
    <cellStyle name="Comma 4 3 2 2 2 8 3" xfId="39735" xr:uid="{23A7B9D4-8781-4CC1-90BC-33731F0641AB}"/>
    <cellStyle name="Comma 4 3 2 2 2 9" xfId="15543" xr:uid="{C8DFA672-ECE0-4F12-B471-E1F00F811553}"/>
    <cellStyle name="Comma 4 3 2 2 2 9 2" xfId="45783" xr:uid="{1FD370AD-C034-43E3-B3FF-CB90C0194E6F}"/>
    <cellStyle name="Comma 4 3 2 2 3" xfId="675" xr:uid="{FB4C6ABF-81D4-4AD5-B74B-97B8D1DEF26F}"/>
    <cellStyle name="Comma 4 3 2 2 3 10" xfId="30915" xr:uid="{422F772A-7EA8-4CD7-B8F9-FD40E5506C8A}"/>
    <cellStyle name="Comma 4 3 2 2 3 2" xfId="1431" xr:uid="{CE63D0CA-BE6C-4579-BE59-68EAA5C17321}"/>
    <cellStyle name="Comma 4 3 2 2 3 2 2" xfId="2943" xr:uid="{5A712703-ED2D-40A9-BD71-36B5F16BE831}"/>
    <cellStyle name="Comma 4 3 2 2 3 2 2 2" xfId="12015" xr:uid="{5E47EA29-BBCA-428A-A7D2-D7BFD4DCBA13}"/>
    <cellStyle name="Comma 4 3 2 2 3 2 2 2 2" xfId="27135" xr:uid="{D47ECC4E-7750-4AAB-957D-A9A2FE3C86CA}"/>
    <cellStyle name="Comma 4 3 2 2 3 2 2 2 2 2" xfId="57375" xr:uid="{F0632F4B-CB12-4937-BA97-38ACF5D86E83}"/>
    <cellStyle name="Comma 4 3 2 2 3 2 2 2 3" xfId="42255" xr:uid="{682F04BF-65F5-46C1-9794-687261DCF1CC}"/>
    <cellStyle name="Comma 4 3 2 2 3 2 2 3" xfId="18063" xr:uid="{1F8FBAC8-8DB8-4B6E-953B-6110BE143688}"/>
    <cellStyle name="Comma 4 3 2 2 3 2 2 3 2" xfId="48303" xr:uid="{A9638C22-C049-4F38-BEFA-E6A79B091679}"/>
    <cellStyle name="Comma 4 3 2 2 3 2 2 4" xfId="33183" xr:uid="{A987A19D-5FF1-46E2-9A04-0BD8CF221E71}"/>
    <cellStyle name="Comma 4 3 2 2 3 2 3" xfId="4455" xr:uid="{0F9447D7-18D6-40C3-9D50-BC4EFE3D53FB}"/>
    <cellStyle name="Comma 4 3 2 2 3 2 3 2" xfId="13527" xr:uid="{C0C05E9E-B074-45B7-B3B2-C73B6165F890}"/>
    <cellStyle name="Comma 4 3 2 2 3 2 3 2 2" xfId="28647" xr:uid="{423155CE-BA3A-4E4C-A358-EFA408043B33}"/>
    <cellStyle name="Comma 4 3 2 2 3 2 3 2 2 2" xfId="58887" xr:uid="{CF781A5F-BC21-494F-82AB-726E38227074}"/>
    <cellStyle name="Comma 4 3 2 2 3 2 3 2 3" xfId="43767" xr:uid="{85DD52AD-941A-4188-8D31-0F03C6A54084}"/>
    <cellStyle name="Comma 4 3 2 2 3 2 3 3" xfId="19575" xr:uid="{5CEEA5F9-20C8-4C0B-B0FC-B41458338DD4}"/>
    <cellStyle name="Comma 4 3 2 2 3 2 3 3 2" xfId="49815" xr:uid="{75163874-1484-4697-A3E6-8039F772C4B9}"/>
    <cellStyle name="Comma 4 3 2 2 3 2 3 4" xfId="34695" xr:uid="{13435694-6DF8-4718-8755-844245EEAFF6}"/>
    <cellStyle name="Comma 4 3 2 2 3 2 4" xfId="5967" xr:uid="{08A8A73D-9AC3-4B1B-8461-120ADCB3BAD2}"/>
    <cellStyle name="Comma 4 3 2 2 3 2 4 2" xfId="15039" xr:uid="{AB26C3DD-8AF5-4880-AFAB-9BEA38FC1084}"/>
    <cellStyle name="Comma 4 3 2 2 3 2 4 2 2" xfId="30159" xr:uid="{5805A73D-FC80-4A73-8C59-CCC5084B7E3C}"/>
    <cellStyle name="Comma 4 3 2 2 3 2 4 2 2 2" xfId="60399" xr:uid="{725C2775-4C23-48D2-A2C8-E6ADB4DD4253}"/>
    <cellStyle name="Comma 4 3 2 2 3 2 4 2 3" xfId="45279" xr:uid="{B7DA2D31-E4EF-4FDD-AA74-E88A596B1D7A}"/>
    <cellStyle name="Comma 4 3 2 2 3 2 4 3" xfId="21087" xr:uid="{EF922733-B5E4-4A57-93B0-C4EA92A7F568}"/>
    <cellStyle name="Comma 4 3 2 2 3 2 4 3 2" xfId="51327" xr:uid="{1783106B-9609-418C-ACF2-C55210AADB1D}"/>
    <cellStyle name="Comma 4 3 2 2 3 2 4 4" xfId="36207" xr:uid="{9E6CE051-7E64-48BC-9F14-74853D72CFCE}"/>
    <cellStyle name="Comma 4 3 2 2 3 2 5" xfId="7479" xr:uid="{CFDF1315-1739-4719-961F-65EC95016D8E}"/>
    <cellStyle name="Comma 4 3 2 2 3 2 5 2" xfId="22599" xr:uid="{8BBA8DE5-ADF5-458F-8174-A031EC21D499}"/>
    <cellStyle name="Comma 4 3 2 2 3 2 5 2 2" xfId="52839" xr:uid="{EBE59B89-448D-4FF3-A8E9-9E18761372C1}"/>
    <cellStyle name="Comma 4 3 2 2 3 2 5 3" xfId="37719" xr:uid="{2707ECA3-CFEB-4D04-8E2D-C04E650D8C51}"/>
    <cellStyle name="Comma 4 3 2 2 3 2 6" xfId="8991" xr:uid="{E718C216-C3EB-4B5B-8C14-A732A4F089AA}"/>
    <cellStyle name="Comma 4 3 2 2 3 2 6 2" xfId="24111" xr:uid="{C6DE799A-C970-4E1C-ACA3-4E356C6CC1C8}"/>
    <cellStyle name="Comma 4 3 2 2 3 2 6 2 2" xfId="54351" xr:uid="{126F486D-BD6F-49C5-957E-C3F1F136479E}"/>
    <cellStyle name="Comma 4 3 2 2 3 2 6 3" xfId="39231" xr:uid="{4BC063B3-6475-4165-80D3-F987F494BF63}"/>
    <cellStyle name="Comma 4 3 2 2 3 2 7" xfId="10503" xr:uid="{959CE1EE-D8E6-46B4-9C7C-B005B5015679}"/>
    <cellStyle name="Comma 4 3 2 2 3 2 7 2" xfId="25623" xr:uid="{D51DEF65-9990-49AB-809F-8AB944E4274D}"/>
    <cellStyle name="Comma 4 3 2 2 3 2 7 2 2" xfId="55863" xr:uid="{514D3E05-C3C1-455C-B508-656EBC5A1F54}"/>
    <cellStyle name="Comma 4 3 2 2 3 2 7 3" xfId="40743" xr:uid="{28C83942-439B-44CC-8B4F-9647AFB2074D}"/>
    <cellStyle name="Comma 4 3 2 2 3 2 8" xfId="16551" xr:uid="{B73595D0-0879-4B2B-8234-BC0117C9DA7D}"/>
    <cellStyle name="Comma 4 3 2 2 3 2 8 2" xfId="46791" xr:uid="{DA6F6D68-94DB-4948-B1E1-52CB57427E61}"/>
    <cellStyle name="Comma 4 3 2 2 3 2 9" xfId="31671" xr:uid="{94944701-1CF3-425B-BEC9-A53616B6F454}"/>
    <cellStyle name="Comma 4 3 2 2 3 3" xfId="2187" xr:uid="{2495587C-A839-48DA-A559-0AF721FEA92A}"/>
    <cellStyle name="Comma 4 3 2 2 3 3 2" xfId="11259" xr:uid="{51465809-D12B-4442-9C2D-BC87BA7174C1}"/>
    <cellStyle name="Comma 4 3 2 2 3 3 2 2" xfId="26379" xr:uid="{B07771E5-569F-47CC-B13C-188A8587E076}"/>
    <cellStyle name="Comma 4 3 2 2 3 3 2 2 2" xfId="56619" xr:uid="{F843AA98-C679-4D5C-A997-7302A63A3E17}"/>
    <cellStyle name="Comma 4 3 2 2 3 3 2 3" xfId="41499" xr:uid="{CB9E0AAA-4C45-4262-A180-0087FB140C76}"/>
    <cellStyle name="Comma 4 3 2 2 3 3 3" xfId="17307" xr:uid="{0ACDF549-B0DB-4D4B-9F08-91234621D763}"/>
    <cellStyle name="Comma 4 3 2 2 3 3 3 2" xfId="47547" xr:uid="{0FEBE1A1-9A44-4834-9BF6-5892BED2CA2B}"/>
    <cellStyle name="Comma 4 3 2 2 3 3 4" xfId="32427" xr:uid="{D3A7585F-4EEA-4B91-AE63-1CB51E565302}"/>
    <cellStyle name="Comma 4 3 2 2 3 4" xfId="3699" xr:uid="{76464827-55AC-4884-A0D9-758BB4164EC5}"/>
    <cellStyle name="Comma 4 3 2 2 3 4 2" xfId="12771" xr:uid="{7149A731-96E7-45F7-A534-1100C477675C}"/>
    <cellStyle name="Comma 4 3 2 2 3 4 2 2" xfId="27891" xr:uid="{1400700A-7D72-4A02-ADC4-A6A005B247BB}"/>
    <cellStyle name="Comma 4 3 2 2 3 4 2 2 2" xfId="58131" xr:uid="{C4113F6B-A2D4-482A-9D2E-9F52A6A8D998}"/>
    <cellStyle name="Comma 4 3 2 2 3 4 2 3" xfId="43011" xr:uid="{6A27650A-11BD-46DA-A5B9-7FCA1CAFF082}"/>
    <cellStyle name="Comma 4 3 2 2 3 4 3" xfId="18819" xr:uid="{AB08DBB7-63DF-4A71-9107-C1C0F96B1E47}"/>
    <cellStyle name="Comma 4 3 2 2 3 4 3 2" xfId="49059" xr:uid="{F05DAC76-8758-4B81-8997-440BAC287C6B}"/>
    <cellStyle name="Comma 4 3 2 2 3 4 4" xfId="33939" xr:uid="{AE3D73AA-EEB9-4A60-AC10-ED4D807031DD}"/>
    <cellStyle name="Comma 4 3 2 2 3 5" xfId="5211" xr:uid="{E3414A78-CBA2-4E36-9C5D-56FA3F889B27}"/>
    <cellStyle name="Comma 4 3 2 2 3 5 2" xfId="14283" xr:uid="{0173D500-537C-4A79-BFB7-2E366B0A0C9F}"/>
    <cellStyle name="Comma 4 3 2 2 3 5 2 2" xfId="29403" xr:uid="{081C6A1E-1D03-47A9-94E9-2E5AE3535530}"/>
    <cellStyle name="Comma 4 3 2 2 3 5 2 2 2" xfId="59643" xr:uid="{6D4A41BD-4BBD-44AA-A6C7-60F795169F8A}"/>
    <cellStyle name="Comma 4 3 2 2 3 5 2 3" xfId="44523" xr:uid="{42DBC088-1671-4C86-A37B-8348173A585E}"/>
    <cellStyle name="Comma 4 3 2 2 3 5 3" xfId="20331" xr:uid="{5807B0F5-0578-48DC-974B-8348BD8EB3B8}"/>
    <cellStyle name="Comma 4 3 2 2 3 5 3 2" xfId="50571" xr:uid="{FBE33559-EF69-4333-A680-4B398F41F696}"/>
    <cellStyle name="Comma 4 3 2 2 3 5 4" xfId="35451" xr:uid="{C6630915-5BD6-4CF0-BB20-EE8D74FCEA0F}"/>
    <cellStyle name="Comma 4 3 2 2 3 6" xfId="6723" xr:uid="{9AE5F3BE-EC0A-4F36-B3E3-4877758DE9BD}"/>
    <cellStyle name="Comma 4 3 2 2 3 6 2" xfId="21843" xr:uid="{E35ABEBB-28C5-41FA-B2D3-62A5CC228CCD}"/>
    <cellStyle name="Comma 4 3 2 2 3 6 2 2" xfId="52083" xr:uid="{6F69964A-87F7-4A54-ADF5-D472916C6C48}"/>
    <cellStyle name="Comma 4 3 2 2 3 6 3" xfId="36963" xr:uid="{B42E3D84-2358-4AA2-A4A1-A5702809FE31}"/>
    <cellStyle name="Comma 4 3 2 2 3 7" xfId="8235" xr:uid="{20144B07-426B-47EF-980C-99701CDEEC3E}"/>
    <cellStyle name="Comma 4 3 2 2 3 7 2" xfId="23355" xr:uid="{50A82C01-E4FC-44AF-9B94-A6FEF261C62B}"/>
    <cellStyle name="Comma 4 3 2 2 3 7 2 2" xfId="53595" xr:uid="{12370DDB-2435-4638-BE4B-A1E595A12CCA}"/>
    <cellStyle name="Comma 4 3 2 2 3 7 3" xfId="38475" xr:uid="{BB0F161B-0507-43DA-A2C8-4ADB68FEA5E0}"/>
    <cellStyle name="Comma 4 3 2 2 3 8" xfId="9747" xr:uid="{F7709862-935C-4EDC-AB53-5BCB0B8D16BA}"/>
    <cellStyle name="Comma 4 3 2 2 3 8 2" xfId="24867" xr:uid="{C182E3D7-9889-424E-9CC5-646792227EC5}"/>
    <cellStyle name="Comma 4 3 2 2 3 8 2 2" xfId="55107" xr:uid="{74CA1330-3D73-4B92-B101-665F3E889DA2}"/>
    <cellStyle name="Comma 4 3 2 2 3 8 3" xfId="39987" xr:uid="{B1258112-ECB0-4A4A-B46A-A578196580BB}"/>
    <cellStyle name="Comma 4 3 2 2 3 9" xfId="15795" xr:uid="{E425463C-FF01-4595-AE0A-9F955B61F769}"/>
    <cellStyle name="Comma 4 3 2 2 3 9 2" xfId="46035" xr:uid="{2687178E-1131-4CE5-AA9E-618F6EBC0FB5}"/>
    <cellStyle name="Comma 4 3 2 2 4" xfId="927" xr:uid="{30C15F1B-C306-4054-96CE-7DF69239BCE1}"/>
    <cellStyle name="Comma 4 3 2 2 4 2" xfId="2439" xr:uid="{CB1B24D6-6872-4854-8362-556FBE7FC006}"/>
    <cellStyle name="Comma 4 3 2 2 4 2 2" xfId="11511" xr:uid="{9FC991C2-E1B3-4AA0-AB42-86090DD0BC4E}"/>
    <cellStyle name="Comma 4 3 2 2 4 2 2 2" xfId="26631" xr:uid="{7FC24FC7-7ADA-4129-9C3B-9B778CD823C8}"/>
    <cellStyle name="Comma 4 3 2 2 4 2 2 2 2" xfId="56871" xr:uid="{7ACD9887-23A9-4C99-A2D9-E7404FB7AAED}"/>
    <cellStyle name="Comma 4 3 2 2 4 2 2 3" xfId="41751" xr:uid="{FE4845E2-AEE2-4E00-9363-09B5D33D0ADE}"/>
    <cellStyle name="Comma 4 3 2 2 4 2 3" xfId="17559" xr:uid="{EBC25CDA-212E-4330-87D4-4CB559540C74}"/>
    <cellStyle name="Comma 4 3 2 2 4 2 3 2" xfId="47799" xr:uid="{487F193E-DF84-4940-80E4-18D61D2F825F}"/>
    <cellStyle name="Comma 4 3 2 2 4 2 4" xfId="32679" xr:uid="{198FF708-B527-48C7-AF0E-C9B7B82C5FF4}"/>
    <cellStyle name="Comma 4 3 2 2 4 3" xfId="3951" xr:uid="{FE264E69-744C-4C92-AB9D-0701E85A674F}"/>
    <cellStyle name="Comma 4 3 2 2 4 3 2" xfId="13023" xr:uid="{8B817010-52C4-4631-9F98-F0261B9BE824}"/>
    <cellStyle name="Comma 4 3 2 2 4 3 2 2" xfId="28143" xr:uid="{B96AB193-B6C0-47D6-8219-12A483B32DAA}"/>
    <cellStyle name="Comma 4 3 2 2 4 3 2 2 2" xfId="58383" xr:uid="{B7702F0A-B82E-424A-96F3-60D7500B68C4}"/>
    <cellStyle name="Comma 4 3 2 2 4 3 2 3" xfId="43263" xr:uid="{1396FF2E-A680-4B5E-BEC8-968E62EC7125}"/>
    <cellStyle name="Comma 4 3 2 2 4 3 3" xfId="19071" xr:uid="{D0FC6F6F-FE1E-4AC7-9BD6-EE83FE3E1CE6}"/>
    <cellStyle name="Comma 4 3 2 2 4 3 3 2" xfId="49311" xr:uid="{A6FD957D-3A22-4372-8DA6-24254C9D6474}"/>
    <cellStyle name="Comma 4 3 2 2 4 3 4" xfId="34191" xr:uid="{BAFE8E7E-4069-4676-8574-3F88226C0C93}"/>
    <cellStyle name="Comma 4 3 2 2 4 4" xfId="5463" xr:uid="{8F1ECE16-5984-4C5C-8EB5-CA6F817F1AB8}"/>
    <cellStyle name="Comma 4 3 2 2 4 4 2" xfId="14535" xr:uid="{021507F7-B0E1-460E-B977-83618B8B6799}"/>
    <cellStyle name="Comma 4 3 2 2 4 4 2 2" xfId="29655" xr:uid="{61682E49-9302-478A-AF2D-6068C8DFF766}"/>
    <cellStyle name="Comma 4 3 2 2 4 4 2 2 2" xfId="59895" xr:uid="{29082C02-7932-43C3-9254-88000D88DCBA}"/>
    <cellStyle name="Comma 4 3 2 2 4 4 2 3" xfId="44775" xr:uid="{4DFB741F-1FD0-4B0C-B5CA-A120376C735A}"/>
    <cellStyle name="Comma 4 3 2 2 4 4 3" xfId="20583" xr:uid="{76F2D920-6136-48D5-9F71-2C1C5008B423}"/>
    <cellStyle name="Comma 4 3 2 2 4 4 3 2" xfId="50823" xr:uid="{37D3F254-5E8B-4AD9-9CFB-AE7186F4899E}"/>
    <cellStyle name="Comma 4 3 2 2 4 4 4" xfId="35703" xr:uid="{9FE71F64-5800-4844-B2B9-E2D490E26AB6}"/>
    <cellStyle name="Comma 4 3 2 2 4 5" xfId="6975" xr:uid="{8A648988-248E-40BE-9BC8-E433FE28174F}"/>
    <cellStyle name="Comma 4 3 2 2 4 5 2" xfId="22095" xr:uid="{B3E47BA9-81B9-4EB5-B9E6-C51551AB3200}"/>
    <cellStyle name="Comma 4 3 2 2 4 5 2 2" xfId="52335" xr:uid="{FE54B3BA-4EA3-4FBE-89E3-E12B3FCC8F35}"/>
    <cellStyle name="Comma 4 3 2 2 4 5 3" xfId="37215" xr:uid="{F9DDEC74-2403-4F88-BF2F-2C8C6852AC7D}"/>
    <cellStyle name="Comma 4 3 2 2 4 6" xfId="8487" xr:uid="{19BFDC48-C974-4DC9-B257-CB3C6D2BACE3}"/>
    <cellStyle name="Comma 4 3 2 2 4 6 2" xfId="23607" xr:uid="{7D003B43-604C-493D-A9D1-825B25F548A3}"/>
    <cellStyle name="Comma 4 3 2 2 4 6 2 2" xfId="53847" xr:uid="{7ED7D5ED-CEB2-4E6D-83CD-CD2197508AAF}"/>
    <cellStyle name="Comma 4 3 2 2 4 6 3" xfId="38727" xr:uid="{20BBA782-0AA7-4906-A426-3492562718E3}"/>
    <cellStyle name="Comma 4 3 2 2 4 7" xfId="9999" xr:uid="{A2927A8C-BB8B-4EB2-8B0B-66E4AE879DC0}"/>
    <cellStyle name="Comma 4 3 2 2 4 7 2" xfId="25119" xr:uid="{2E9AB1C4-5F0E-4356-9BDC-82BE5D3B85CD}"/>
    <cellStyle name="Comma 4 3 2 2 4 7 2 2" xfId="55359" xr:uid="{57CE18B3-C6DB-4B8B-8BE5-773FFEA4E82E}"/>
    <cellStyle name="Comma 4 3 2 2 4 7 3" xfId="40239" xr:uid="{42382679-8445-4A2B-8883-91E1D0E1C998}"/>
    <cellStyle name="Comma 4 3 2 2 4 8" xfId="16047" xr:uid="{F78303DF-1DBE-4E40-95EB-466993926CB5}"/>
    <cellStyle name="Comma 4 3 2 2 4 8 2" xfId="46287" xr:uid="{5F2BFAB3-C61F-4981-8A85-DB37DB6DF76B}"/>
    <cellStyle name="Comma 4 3 2 2 4 9" xfId="31167" xr:uid="{70813EC1-052A-4EE3-A6AA-3F6470AD4F3D}"/>
    <cellStyle name="Comma 4 3 2 2 5" xfId="1683" xr:uid="{BBAE3B5B-E462-40E5-B5FF-BC9119AA0CCF}"/>
    <cellStyle name="Comma 4 3 2 2 5 2" xfId="10755" xr:uid="{ACE5A0B5-6C6B-4983-BD57-3FB0D0B509C5}"/>
    <cellStyle name="Comma 4 3 2 2 5 2 2" xfId="25875" xr:uid="{F188D766-2815-4903-8943-295CEECA85E7}"/>
    <cellStyle name="Comma 4 3 2 2 5 2 2 2" xfId="56115" xr:uid="{EAA06BF4-9242-48D6-A688-39ADB1A2BDCD}"/>
    <cellStyle name="Comma 4 3 2 2 5 2 3" xfId="40995" xr:uid="{B8A30A35-F055-44F4-BB42-2D7683125C74}"/>
    <cellStyle name="Comma 4 3 2 2 5 3" xfId="16803" xr:uid="{82537C79-2BB2-4038-9665-C2B8B99615C0}"/>
    <cellStyle name="Comma 4 3 2 2 5 3 2" xfId="47043" xr:uid="{C6C5570C-C930-4E85-97E7-6A449DAF08D9}"/>
    <cellStyle name="Comma 4 3 2 2 5 4" xfId="31923" xr:uid="{0789D089-607C-46BF-AC49-B2F2888EA649}"/>
    <cellStyle name="Comma 4 3 2 2 6" xfId="3195" xr:uid="{05964E8F-4C2E-4759-AD0D-91657537BC8A}"/>
    <cellStyle name="Comma 4 3 2 2 6 2" xfId="12267" xr:uid="{8F7D8361-CD56-4DD7-9172-62B0E923A0C9}"/>
    <cellStyle name="Comma 4 3 2 2 6 2 2" xfId="27387" xr:uid="{985BBAED-8D72-4E93-AA73-DEFE80AA6028}"/>
    <cellStyle name="Comma 4 3 2 2 6 2 2 2" xfId="57627" xr:uid="{F6801D6F-2F2F-432B-B63D-93319B8AEF1D}"/>
    <cellStyle name="Comma 4 3 2 2 6 2 3" xfId="42507" xr:uid="{49A5DA21-1333-4805-9929-35D10D924CCF}"/>
    <cellStyle name="Comma 4 3 2 2 6 3" xfId="18315" xr:uid="{E27FFC90-7E5D-4BE1-9683-5433F2D76D57}"/>
    <cellStyle name="Comma 4 3 2 2 6 3 2" xfId="48555" xr:uid="{CEB34031-3673-44AD-8265-93D23E51381F}"/>
    <cellStyle name="Comma 4 3 2 2 6 4" xfId="33435" xr:uid="{6A4ECDAF-5B18-4AA1-9839-2C891310E2F1}"/>
    <cellStyle name="Comma 4 3 2 2 7" xfId="4707" xr:uid="{FF074F38-3BCB-4C6C-8AC6-1956C7E76C19}"/>
    <cellStyle name="Comma 4 3 2 2 7 2" xfId="13779" xr:uid="{ED16F000-02BB-474F-B6CA-9A1EC5F616DB}"/>
    <cellStyle name="Comma 4 3 2 2 7 2 2" xfId="28899" xr:uid="{968CBF36-51D4-4FF8-9E0F-6F440B231755}"/>
    <cellStyle name="Comma 4 3 2 2 7 2 2 2" xfId="59139" xr:uid="{79967DC6-1FA6-48C8-A3E0-823607515833}"/>
    <cellStyle name="Comma 4 3 2 2 7 2 3" xfId="44019" xr:uid="{70394B08-9BD3-4A8A-AC50-D08EC159D47E}"/>
    <cellStyle name="Comma 4 3 2 2 7 3" xfId="19827" xr:uid="{9731AA62-B07E-46B3-AF5E-F0CFDB7396F2}"/>
    <cellStyle name="Comma 4 3 2 2 7 3 2" xfId="50067" xr:uid="{1BA97A23-C7B3-4A67-8662-51A5D4348338}"/>
    <cellStyle name="Comma 4 3 2 2 7 4" xfId="34947" xr:uid="{A74B4A72-A0B1-4050-97F3-B2B448944F3A}"/>
    <cellStyle name="Comma 4 3 2 2 8" xfId="6219" xr:uid="{A7DF305A-156D-4E71-8BAD-D74F2D329B71}"/>
    <cellStyle name="Comma 4 3 2 2 8 2" xfId="21339" xr:uid="{96058204-43A7-4236-A27A-C1B672E02CA4}"/>
    <cellStyle name="Comma 4 3 2 2 8 2 2" xfId="51579" xr:uid="{7E7CF722-92BC-4DFB-8505-5D2224549279}"/>
    <cellStyle name="Comma 4 3 2 2 8 3" xfId="36459" xr:uid="{0E2FF775-4170-40B9-BE91-7E11E3C78DFB}"/>
    <cellStyle name="Comma 4 3 2 2 9" xfId="7731" xr:uid="{E9158D75-F085-42B4-B01E-ED3000233185}"/>
    <cellStyle name="Comma 4 3 2 2 9 2" xfId="22851" xr:uid="{B9D199A3-C1C7-4171-AC9E-4B9FA1BBFF3F}"/>
    <cellStyle name="Comma 4 3 2 2 9 2 2" xfId="53091" xr:uid="{2145BB53-C94D-4B5E-B9D4-91CFA1D38731}"/>
    <cellStyle name="Comma 4 3 2 2 9 3" xfId="37971" xr:uid="{00594DCA-BDFB-4BBA-BE51-37B113529306}"/>
    <cellStyle name="Comma 4 3 2 3" xfId="255" xr:uid="{8EFC2421-CE4D-494C-998D-F6AE3F6C01C8}"/>
    <cellStyle name="Comma 4 3 2 3 10" xfId="9327" xr:uid="{8A298186-8BF9-4971-8731-516CFC968CAE}"/>
    <cellStyle name="Comma 4 3 2 3 10 2" xfId="24447" xr:uid="{F570A75D-398A-4A73-98EC-2F8A8F9C2D2F}"/>
    <cellStyle name="Comma 4 3 2 3 10 2 2" xfId="54687" xr:uid="{BCAF2092-284F-43FE-9DE5-B22CE4115F91}"/>
    <cellStyle name="Comma 4 3 2 3 10 3" xfId="39567" xr:uid="{1E9B3E2E-7E69-4640-B790-C620CD9A56E0}"/>
    <cellStyle name="Comma 4 3 2 3 11" xfId="15375" xr:uid="{286D1412-C2EA-4007-91A4-5816530465BB}"/>
    <cellStyle name="Comma 4 3 2 3 11 2" xfId="45615" xr:uid="{B35F7D27-7A88-410F-9A56-16343E6E0009}"/>
    <cellStyle name="Comma 4 3 2 3 12" xfId="30495" xr:uid="{D5433F52-DFB2-436F-966C-62DA8F06F773}"/>
    <cellStyle name="Comma 4 3 2 3 2" xfId="507" xr:uid="{34D270F1-A86D-4736-AFD8-2F7BF94E6A6C}"/>
    <cellStyle name="Comma 4 3 2 3 2 10" xfId="30747" xr:uid="{E10E5F38-6083-499C-B895-02EC6C2CB808}"/>
    <cellStyle name="Comma 4 3 2 3 2 2" xfId="1263" xr:uid="{60C98866-FABF-40D4-B0D6-E27E73F418F3}"/>
    <cellStyle name="Comma 4 3 2 3 2 2 2" xfId="2775" xr:uid="{8D89CE37-30F5-49C0-9A64-052A46CD6983}"/>
    <cellStyle name="Comma 4 3 2 3 2 2 2 2" xfId="11847" xr:uid="{3C4D59F0-E43C-48C6-961B-B3738552E4B2}"/>
    <cellStyle name="Comma 4 3 2 3 2 2 2 2 2" xfId="26967" xr:uid="{7E84B4B1-82E1-4C4C-ADC1-F6229BCD5B95}"/>
    <cellStyle name="Comma 4 3 2 3 2 2 2 2 2 2" xfId="57207" xr:uid="{BFFFB995-ECF4-48AA-8B2F-6D539E7C001D}"/>
    <cellStyle name="Comma 4 3 2 3 2 2 2 2 3" xfId="42087" xr:uid="{76FCDDA8-F63F-4442-AEB1-808399DE6A6B}"/>
    <cellStyle name="Comma 4 3 2 3 2 2 2 3" xfId="17895" xr:uid="{71022897-8B15-41C7-B3DB-8A10EF626E82}"/>
    <cellStyle name="Comma 4 3 2 3 2 2 2 3 2" xfId="48135" xr:uid="{332CD2C1-7309-4B9A-9074-1BD7CCA59097}"/>
    <cellStyle name="Comma 4 3 2 3 2 2 2 4" xfId="33015" xr:uid="{F2A7C6E7-79C5-4982-8B8A-8022AC15E47D}"/>
    <cellStyle name="Comma 4 3 2 3 2 2 3" xfId="4287" xr:uid="{C70E1732-40DC-45E8-B15C-3B10ED008632}"/>
    <cellStyle name="Comma 4 3 2 3 2 2 3 2" xfId="13359" xr:uid="{7823C847-527E-4034-8A40-64CC5F1A06EA}"/>
    <cellStyle name="Comma 4 3 2 3 2 2 3 2 2" xfId="28479" xr:uid="{7FAE2305-BFB0-43DD-BCD1-6B9311A41C09}"/>
    <cellStyle name="Comma 4 3 2 3 2 2 3 2 2 2" xfId="58719" xr:uid="{B3B47A43-BF05-48CC-BE2B-68298F4C4DEE}"/>
    <cellStyle name="Comma 4 3 2 3 2 2 3 2 3" xfId="43599" xr:uid="{F1AFB607-C309-4056-A718-298540149061}"/>
    <cellStyle name="Comma 4 3 2 3 2 2 3 3" xfId="19407" xr:uid="{79C8ACB6-D743-420D-BCE3-FCD9C085AE30}"/>
    <cellStyle name="Comma 4 3 2 3 2 2 3 3 2" xfId="49647" xr:uid="{827545A1-C261-495D-BB04-23DF88A8DD80}"/>
    <cellStyle name="Comma 4 3 2 3 2 2 3 4" xfId="34527" xr:uid="{AE03C529-6F5F-41CB-9639-128E7C0962ED}"/>
    <cellStyle name="Comma 4 3 2 3 2 2 4" xfId="5799" xr:uid="{1BD2C151-E04D-4A87-BF39-FD849A116860}"/>
    <cellStyle name="Comma 4 3 2 3 2 2 4 2" xfId="14871" xr:uid="{2CB7D83E-B805-4C87-BEB8-0C73F8BBFC68}"/>
    <cellStyle name="Comma 4 3 2 3 2 2 4 2 2" xfId="29991" xr:uid="{40CD5567-40C2-4A72-A3BA-1A5FCC980996}"/>
    <cellStyle name="Comma 4 3 2 3 2 2 4 2 2 2" xfId="60231" xr:uid="{B568C10A-A5B7-488A-84F8-5127053419C6}"/>
    <cellStyle name="Comma 4 3 2 3 2 2 4 2 3" xfId="45111" xr:uid="{83EF03AD-3EF8-4BFA-8703-9D68F8FFCE87}"/>
    <cellStyle name="Comma 4 3 2 3 2 2 4 3" xfId="20919" xr:uid="{5CB77213-594D-42D0-9179-64B5A1AE0C82}"/>
    <cellStyle name="Comma 4 3 2 3 2 2 4 3 2" xfId="51159" xr:uid="{3E92C99C-5209-413F-995A-8D9CEDB6D31A}"/>
    <cellStyle name="Comma 4 3 2 3 2 2 4 4" xfId="36039" xr:uid="{09D9BE35-030D-483E-B3B4-6E85320BCFAE}"/>
    <cellStyle name="Comma 4 3 2 3 2 2 5" xfId="7311" xr:uid="{8444A2A0-9A42-48BA-A730-C8791A8BF90E}"/>
    <cellStyle name="Comma 4 3 2 3 2 2 5 2" xfId="22431" xr:uid="{F7436E4F-693F-4FD5-89F6-E4D651560D29}"/>
    <cellStyle name="Comma 4 3 2 3 2 2 5 2 2" xfId="52671" xr:uid="{A6DF05BF-C38E-4731-B7AE-964483450D50}"/>
    <cellStyle name="Comma 4 3 2 3 2 2 5 3" xfId="37551" xr:uid="{E01541E8-69CC-4FCD-81EF-B32B8565F550}"/>
    <cellStyle name="Comma 4 3 2 3 2 2 6" xfId="8823" xr:uid="{8EBE5E99-AC23-40C7-A66C-9F24F422C176}"/>
    <cellStyle name="Comma 4 3 2 3 2 2 6 2" xfId="23943" xr:uid="{1C23FAF6-758F-49C6-BE3C-569C2ABB9D1C}"/>
    <cellStyle name="Comma 4 3 2 3 2 2 6 2 2" xfId="54183" xr:uid="{12374B15-4ECB-43DE-8138-236FCF8D4BC1}"/>
    <cellStyle name="Comma 4 3 2 3 2 2 6 3" xfId="39063" xr:uid="{14E3F315-44AE-4EDB-9B9E-464A9DEFD423}"/>
    <cellStyle name="Comma 4 3 2 3 2 2 7" xfId="10335" xr:uid="{50E975FE-391E-4099-9A30-82D6A6CBA5DB}"/>
    <cellStyle name="Comma 4 3 2 3 2 2 7 2" xfId="25455" xr:uid="{102A9320-129A-4E1E-9AA9-7BCB87F10218}"/>
    <cellStyle name="Comma 4 3 2 3 2 2 7 2 2" xfId="55695" xr:uid="{2403488B-DAD8-408B-839C-04CDE48BBED0}"/>
    <cellStyle name="Comma 4 3 2 3 2 2 7 3" xfId="40575" xr:uid="{15AFD5C8-652F-4E05-A666-539A428AAED1}"/>
    <cellStyle name="Comma 4 3 2 3 2 2 8" xfId="16383" xr:uid="{3E2B1B1B-8E01-48BF-9FD4-007014B32FC4}"/>
    <cellStyle name="Comma 4 3 2 3 2 2 8 2" xfId="46623" xr:uid="{3BF4140E-1C0C-49C2-A326-DCC9214C4B52}"/>
    <cellStyle name="Comma 4 3 2 3 2 2 9" xfId="31503" xr:uid="{0BD978C3-B2C0-400E-A00C-31B782DC49E8}"/>
    <cellStyle name="Comma 4 3 2 3 2 3" xfId="2019" xr:uid="{8AFD2229-B311-42D8-86F6-479AE6B5585A}"/>
    <cellStyle name="Comma 4 3 2 3 2 3 2" xfId="11091" xr:uid="{07015E3C-B62C-41DE-B80F-FA6442C07B3F}"/>
    <cellStyle name="Comma 4 3 2 3 2 3 2 2" xfId="26211" xr:uid="{E614F080-9E8F-4620-A248-69BB065CC556}"/>
    <cellStyle name="Comma 4 3 2 3 2 3 2 2 2" xfId="56451" xr:uid="{89A4C9AC-D2F8-424F-98BD-671FA1FCE1E4}"/>
    <cellStyle name="Comma 4 3 2 3 2 3 2 3" xfId="41331" xr:uid="{E15F147E-DDA0-4179-BF07-51466E2E1191}"/>
    <cellStyle name="Comma 4 3 2 3 2 3 3" xfId="17139" xr:uid="{D7DCF60F-941F-42BB-B2A5-95EBACC2E6B4}"/>
    <cellStyle name="Comma 4 3 2 3 2 3 3 2" xfId="47379" xr:uid="{A05F56EA-C027-479D-BE0A-5460E6E0EB1F}"/>
    <cellStyle name="Comma 4 3 2 3 2 3 4" xfId="32259" xr:uid="{9EEE557E-8205-4730-98B9-496457A40A88}"/>
    <cellStyle name="Comma 4 3 2 3 2 4" xfId="3531" xr:uid="{49B4EA8C-0583-4190-BA47-531740006861}"/>
    <cellStyle name="Comma 4 3 2 3 2 4 2" xfId="12603" xr:uid="{E22A6AD3-1C10-4E85-AE8D-B8BA24B5D5BC}"/>
    <cellStyle name="Comma 4 3 2 3 2 4 2 2" xfId="27723" xr:uid="{6040688E-6BAD-479D-A37A-8987B101F120}"/>
    <cellStyle name="Comma 4 3 2 3 2 4 2 2 2" xfId="57963" xr:uid="{FA0DEE4A-4A14-45F3-9B43-94CC61B44280}"/>
    <cellStyle name="Comma 4 3 2 3 2 4 2 3" xfId="42843" xr:uid="{4906CB87-E780-4C08-9E86-2BBB57F28520}"/>
    <cellStyle name="Comma 4 3 2 3 2 4 3" xfId="18651" xr:uid="{6348479C-EAF8-4AE4-B040-743FEBB57DA6}"/>
    <cellStyle name="Comma 4 3 2 3 2 4 3 2" xfId="48891" xr:uid="{F094511D-1DA4-4587-AD33-5B97F7339C26}"/>
    <cellStyle name="Comma 4 3 2 3 2 4 4" xfId="33771" xr:uid="{2A69F01F-33B3-4B8A-9002-8710226FD719}"/>
    <cellStyle name="Comma 4 3 2 3 2 5" xfId="5043" xr:uid="{5FF7417B-333D-4547-82F9-674A3CDC4E8A}"/>
    <cellStyle name="Comma 4 3 2 3 2 5 2" xfId="14115" xr:uid="{B6C1EC20-4F70-46CA-9381-4B59EE5AEAC7}"/>
    <cellStyle name="Comma 4 3 2 3 2 5 2 2" xfId="29235" xr:uid="{4F907521-F3CC-442F-8F94-51BFD4CFAF03}"/>
    <cellStyle name="Comma 4 3 2 3 2 5 2 2 2" xfId="59475" xr:uid="{4A76FF23-5628-49DB-9018-4C04D2F399AC}"/>
    <cellStyle name="Comma 4 3 2 3 2 5 2 3" xfId="44355" xr:uid="{8595EEC9-3ECF-41A0-ACA5-87AD24A2A0BE}"/>
    <cellStyle name="Comma 4 3 2 3 2 5 3" xfId="20163" xr:uid="{E94700C7-A258-46E6-B15E-F8764097D80F}"/>
    <cellStyle name="Comma 4 3 2 3 2 5 3 2" xfId="50403" xr:uid="{D1D7FF35-8E5C-48F5-840B-C7E5A2C91162}"/>
    <cellStyle name="Comma 4 3 2 3 2 5 4" xfId="35283" xr:uid="{E8A52045-0BDD-4983-89D2-4AC519C70148}"/>
    <cellStyle name="Comma 4 3 2 3 2 6" xfId="6555" xr:uid="{948A5826-3506-4091-A21A-85576CFA128A}"/>
    <cellStyle name="Comma 4 3 2 3 2 6 2" xfId="21675" xr:uid="{8A7955F7-D3B9-4F1D-9B7C-3FB7D6CA5A6A}"/>
    <cellStyle name="Comma 4 3 2 3 2 6 2 2" xfId="51915" xr:uid="{C475960F-BDB0-432C-B268-44BCABE9705C}"/>
    <cellStyle name="Comma 4 3 2 3 2 6 3" xfId="36795" xr:uid="{8D8C2EE4-DD9A-4B96-B708-2E48C3E730DE}"/>
    <cellStyle name="Comma 4 3 2 3 2 7" xfId="8067" xr:uid="{ABD3AD65-E7A9-42CE-9481-C4363707BA6A}"/>
    <cellStyle name="Comma 4 3 2 3 2 7 2" xfId="23187" xr:uid="{775FEAC7-5B38-4D6A-9F5B-A1D5BBF5C446}"/>
    <cellStyle name="Comma 4 3 2 3 2 7 2 2" xfId="53427" xr:uid="{D43180EF-7ABC-440E-B7F9-9D3DA5CC3CA9}"/>
    <cellStyle name="Comma 4 3 2 3 2 7 3" xfId="38307" xr:uid="{3A5E8DC9-B5C3-4125-A1D0-C0FBCD43200D}"/>
    <cellStyle name="Comma 4 3 2 3 2 8" xfId="9579" xr:uid="{77897DDB-4CAD-4F6F-AE29-BFDA3271AC1C}"/>
    <cellStyle name="Comma 4 3 2 3 2 8 2" xfId="24699" xr:uid="{E2ACD6FF-0F7B-437E-8528-E94AF2B338E4}"/>
    <cellStyle name="Comma 4 3 2 3 2 8 2 2" xfId="54939" xr:uid="{3115F7EA-300E-4F0D-9D31-9D5FC85ECC6B}"/>
    <cellStyle name="Comma 4 3 2 3 2 8 3" xfId="39819" xr:uid="{E8D353CE-0E6A-4FD4-8C07-6106C8F8B7D0}"/>
    <cellStyle name="Comma 4 3 2 3 2 9" xfId="15627" xr:uid="{22178F8D-BE34-44B2-91FB-5FA2E06DED07}"/>
    <cellStyle name="Comma 4 3 2 3 2 9 2" xfId="45867" xr:uid="{058D66DD-7441-4C0D-9FDC-D47ACF467A5B}"/>
    <cellStyle name="Comma 4 3 2 3 3" xfId="759" xr:uid="{420A51C5-75FC-4020-95FB-A77B2F363E7C}"/>
    <cellStyle name="Comma 4 3 2 3 3 10" xfId="30999" xr:uid="{8FBD2C55-01D9-400A-8FDC-5F925AFA471E}"/>
    <cellStyle name="Comma 4 3 2 3 3 2" xfId="1515" xr:uid="{357F4869-3EB4-4943-9BD0-45BD29EEB344}"/>
    <cellStyle name="Comma 4 3 2 3 3 2 2" xfId="3027" xr:uid="{43A315CF-1C04-4AD2-8F29-5E7D3F9CE036}"/>
    <cellStyle name="Comma 4 3 2 3 3 2 2 2" xfId="12099" xr:uid="{C48EFA54-E781-4FED-82A2-451EDE707AA8}"/>
    <cellStyle name="Comma 4 3 2 3 3 2 2 2 2" xfId="27219" xr:uid="{6E956971-8A02-4818-BE6A-8DF9187CE0BE}"/>
    <cellStyle name="Comma 4 3 2 3 3 2 2 2 2 2" xfId="57459" xr:uid="{00E69B2A-94D4-4F38-B636-59386BDA0CF7}"/>
    <cellStyle name="Comma 4 3 2 3 3 2 2 2 3" xfId="42339" xr:uid="{D9C0F25B-76C5-4FFC-A84C-4055B703D6F3}"/>
    <cellStyle name="Comma 4 3 2 3 3 2 2 3" xfId="18147" xr:uid="{CD57F557-C7F5-4EEF-845D-91EC6203B46F}"/>
    <cellStyle name="Comma 4 3 2 3 3 2 2 3 2" xfId="48387" xr:uid="{2DEC3E40-51D0-475B-BB09-7E56927D6CF6}"/>
    <cellStyle name="Comma 4 3 2 3 3 2 2 4" xfId="33267" xr:uid="{BC6CE6A5-32B0-45E7-B4F3-2D8670766030}"/>
    <cellStyle name="Comma 4 3 2 3 3 2 3" xfId="4539" xr:uid="{B1FC075C-7FE6-48C6-A9FB-7BA45FB357DE}"/>
    <cellStyle name="Comma 4 3 2 3 3 2 3 2" xfId="13611" xr:uid="{C456E029-E18C-45FF-A759-6517A3EC7E8D}"/>
    <cellStyle name="Comma 4 3 2 3 3 2 3 2 2" xfId="28731" xr:uid="{F5DB054B-7BCD-4827-A4D4-2ECCBEA88E95}"/>
    <cellStyle name="Comma 4 3 2 3 3 2 3 2 2 2" xfId="58971" xr:uid="{DC12217A-E94B-41C9-BDC9-606C5369794C}"/>
    <cellStyle name="Comma 4 3 2 3 3 2 3 2 3" xfId="43851" xr:uid="{A743592D-5647-4B9A-9E84-17C73662E120}"/>
    <cellStyle name="Comma 4 3 2 3 3 2 3 3" xfId="19659" xr:uid="{38E21CFF-0F9C-49E2-964A-CB798206E5D5}"/>
    <cellStyle name="Comma 4 3 2 3 3 2 3 3 2" xfId="49899" xr:uid="{599585E2-994C-4104-9167-F028D397CE9F}"/>
    <cellStyle name="Comma 4 3 2 3 3 2 3 4" xfId="34779" xr:uid="{B52025C3-2AB4-41AA-AE55-247F70292441}"/>
    <cellStyle name="Comma 4 3 2 3 3 2 4" xfId="6051" xr:uid="{4DEF024C-959B-4275-ADDB-E91C6B5430A8}"/>
    <cellStyle name="Comma 4 3 2 3 3 2 4 2" xfId="15123" xr:uid="{345961E1-2581-4A6B-8A44-02FDF76CCD7E}"/>
    <cellStyle name="Comma 4 3 2 3 3 2 4 2 2" xfId="30243" xr:uid="{60328DD8-7C44-47D2-93FC-959FBBE72B64}"/>
    <cellStyle name="Comma 4 3 2 3 3 2 4 2 2 2" xfId="60483" xr:uid="{F85DB0C6-9B1B-4508-B74B-8483121CA861}"/>
    <cellStyle name="Comma 4 3 2 3 3 2 4 2 3" xfId="45363" xr:uid="{9984A4ED-9DDF-4428-99CD-7A7B2A7B819C}"/>
    <cellStyle name="Comma 4 3 2 3 3 2 4 3" xfId="21171" xr:uid="{F05FD3EE-765D-4F71-A288-3754182EA45B}"/>
    <cellStyle name="Comma 4 3 2 3 3 2 4 3 2" xfId="51411" xr:uid="{B5B482C3-EBAF-42A3-AEC2-50D6CA0DF06B}"/>
    <cellStyle name="Comma 4 3 2 3 3 2 4 4" xfId="36291" xr:uid="{1E130243-51A4-402A-9F18-1B84EF9763A9}"/>
    <cellStyle name="Comma 4 3 2 3 3 2 5" xfId="7563" xr:uid="{93F2D066-335E-43A9-B94A-18D710A3737B}"/>
    <cellStyle name="Comma 4 3 2 3 3 2 5 2" xfId="22683" xr:uid="{0C429204-39C7-4AED-9CFB-792EE42C0D09}"/>
    <cellStyle name="Comma 4 3 2 3 3 2 5 2 2" xfId="52923" xr:uid="{CB55D95E-2EB4-4286-83DB-0487B9A9A936}"/>
    <cellStyle name="Comma 4 3 2 3 3 2 5 3" xfId="37803" xr:uid="{EDC35BEE-4560-4CF5-8A67-391FB919242F}"/>
    <cellStyle name="Comma 4 3 2 3 3 2 6" xfId="9075" xr:uid="{997F2ED9-2ACD-49CB-9F15-2CB477E6CC38}"/>
    <cellStyle name="Comma 4 3 2 3 3 2 6 2" xfId="24195" xr:uid="{9620145D-F36C-460B-B3E8-462B24EC4084}"/>
    <cellStyle name="Comma 4 3 2 3 3 2 6 2 2" xfId="54435" xr:uid="{2E942A53-F823-49EA-8A2C-A878C8B9F934}"/>
    <cellStyle name="Comma 4 3 2 3 3 2 6 3" xfId="39315" xr:uid="{74A625D5-B4D5-4DEC-9B05-647B42A7A452}"/>
    <cellStyle name="Comma 4 3 2 3 3 2 7" xfId="10587" xr:uid="{3FBAC2E6-F524-4E68-80EA-F17A838ABF19}"/>
    <cellStyle name="Comma 4 3 2 3 3 2 7 2" xfId="25707" xr:uid="{4C7D950D-9339-4152-93CE-376F777865A4}"/>
    <cellStyle name="Comma 4 3 2 3 3 2 7 2 2" xfId="55947" xr:uid="{FE9356D2-8447-4BF4-8AA7-29722E6EC49D}"/>
    <cellStyle name="Comma 4 3 2 3 3 2 7 3" xfId="40827" xr:uid="{6E2733D7-C18E-442D-8F84-2524BD987B0D}"/>
    <cellStyle name="Comma 4 3 2 3 3 2 8" xfId="16635" xr:uid="{B624E320-EBC4-4B98-B164-6135AE7A0394}"/>
    <cellStyle name="Comma 4 3 2 3 3 2 8 2" xfId="46875" xr:uid="{C5B0DB7D-A3EA-4D3C-A74E-ED03ED1C34B0}"/>
    <cellStyle name="Comma 4 3 2 3 3 2 9" xfId="31755" xr:uid="{106F5333-4767-49CE-937E-AEFB16BF946F}"/>
    <cellStyle name="Comma 4 3 2 3 3 3" xfId="2271" xr:uid="{E37AD972-E765-4789-A80A-768111A129E5}"/>
    <cellStyle name="Comma 4 3 2 3 3 3 2" xfId="11343" xr:uid="{BDD42C3E-716D-4BB2-9A99-993042C909D1}"/>
    <cellStyle name="Comma 4 3 2 3 3 3 2 2" xfId="26463" xr:uid="{7C74FEFE-8A97-4E5F-81C3-748E7DB8E78F}"/>
    <cellStyle name="Comma 4 3 2 3 3 3 2 2 2" xfId="56703" xr:uid="{AAA8A8D8-6B7D-486B-9BAC-1D1BDF6F3A61}"/>
    <cellStyle name="Comma 4 3 2 3 3 3 2 3" xfId="41583" xr:uid="{165C5553-01AC-4533-82D0-EED6F74FE12F}"/>
    <cellStyle name="Comma 4 3 2 3 3 3 3" xfId="17391" xr:uid="{8FEFE767-18C2-447E-8405-00F79B4853B9}"/>
    <cellStyle name="Comma 4 3 2 3 3 3 3 2" xfId="47631" xr:uid="{8490026E-9365-43ED-87F7-8B4E512FDD2F}"/>
    <cellStyle name="Comma 4 3 2 3 3 3 4" xfId="32511" xr:uid="{59D5F91F-0BE2-4A93-8E5D-C44E9DD5AB88}"/>
    <cellStyle name="Comma 4 3 2 3 3 4" xfId="3783" xr:uid="{4FF78338-5723-4469-A4AE-13EEBB0900F5}"/>
    <cellStyle name="Comma 4 3 2 3 3 4 2" xfId="12855" xr:uid="{8BB3A180-AC83-4F26-9700-9A8BEF292750}"/>
    <cellStyle name="Comma 4 3 2 3 3 4 2 2" xfId="27975" xr:uid="{7542EC26-0B41-40B5-988A-6FD75B167FA4}"/>
    <cellStyle name="Comma 4 3 2 3 3 4 2 2 2" xfId="58215" xr:uid="{B503DE0E-1E26-4635-B2AB-FABC4F0FDF0A}"/>
    <cellStyle name="Comma 4 3 2 3 3 4 2 3" xfId="43095" xr:uid="{37B4FED4-FCBD-4438-BF61-82E6CEB5D934}"/>
    <cellStyle name="Comma 4 3 2 3 3 4 3" xfId="18903" xr:uid="{5492D740-8217-42CC-BEE5-B9835017774E}"/>
    <cellStyle name="Comma 4 3 2 3 3 4 3 2" xfId="49143" xr:uid="{061572FC-41D7-4D19-ACE0-C2A09D0AAE9B}"/>
    <cellStyle name="Comma 4 3 2 3 3 4 4" xfId="34023" xr:uid="{EE8627BC-3EFE-43C1-8677-EEFD53331AFE}"/>
    <cellStyle name="Comma 4 3 2 3 3 5" xfId="5295" xr:uid="{50F93833-43E8-4367-9323-517BA9E7B224}"/>
    <cellStyle name="Comma 4 3 2 3 3 5 2" xfId="14367" xr:uid="{80DBFC71-E73A-4D3A-9D92-C6B850DE9720}"/>
    <cellStyle name="Comma 4 3 2 3 3 5 2 2" xfId="29487" xr:uid="{7A08D810-3EB2-4FBA-9C2A-FDA82DD8863F}"/>
    <cellStyle name="Comma 4 3 2 3 3 5 2 2 2" xfId="59727" xr:uid="{DCBCFA66-B264-48F9-ADAB-B833DE5136E8}"/>
    <cellStyle name="Comma 4 3 2 3 3 5 2 3" xfId="44607" xr:uid="{11C61313-7F4B-4C01-A6B2-48ADA8D78AEA}"/>
    <cellStyle name="Comma 4 3 2 3 3 5 3" xfId="20415" xr:uid="{4FD16780-CF5B-4BE7-B326-990FA929AB93}"/>
    <cellStyle name="Comma 4 3 2 3 3 5 3 2" xfId="50655" xr:uid="{8E40340A-7311-43C7-99A7-D3ECEA5696B5}"/>
    <cellStyle name="Comma 4 3 2 3 3 5 4" xfId="35535" xr:uid="{8A7FFC8C-F43C-40B1-9AB7-33CEE70F6FF6}"/>
    <cellStyle name="Comma 4 3 2 3 3 6" xfId="6807" xr:uid="{CF45E046-9B7E-482F-897D-53FE70E83C25}"/>
    <cellStyle name="Comma 4 3 2 3 3 6 2" xfId="21927" xr:uid="{72B158FB-6C13-41FB-8C88-D6AEC9083148}"/>
    <cellStyle name="Comma 4 3 2 3 3 6 2 2" xfId="52167" xr:uid="{803F009B-ECAD-46B9-8B20-CC09C6FEFB73}"/>
    <cellStyle name="Comma 4 3 2 3 3 6 3" xfId="37047" xr:uid="{C6918981-CF1E-444D-B7AF-5F27AC874807}"/>
    <cellStyle name="Comma 4 3 2 3 3 7" xfId="8319" xr:uid="{9C541F6D-1D00-4D36-8B52-DB7BF366D6F7}"/>
    <cellStyle name="Comma 4 3 2 3 3 7 2" xfId="23439" xr:uid="{028388E9-CC02-4366-A704-CFCDBC7FDB07}"/>
    <cellStyle name="Comma 4 3 2 3 3 7 2 2" xfId="53679" xr:uid="{00D87C75-842F-4ABA-982E-7CB9D25C27A4}"/>
    <cellStyle name="Comma 4 3 2 3 3 7 3" xfId="38559" xr:uid="{2E9979CC-FEB0-4443-A811-890C7D3E6688}"/>
    <cellStyle name="Comma 4 3 2 3 3 8" xfId="9831" xr:uid="{3C984DBF-EDFE-47C7-9760-4C26FC376326}"/>
    <cellStyle name="Comma 4 3 2 3 3 8 2" xfId="24951" xr:uid="{8FBAFBE7-A4BD-4689-B906-A644EA6C34D0}"/>
    <cellStyle name="Comma 4 3 2 3 3 8 2 2" xfId="55191" xr:uid="{12FB4DC0-4254-4097-B2C4-F0676DBCBC01}"/>
    <cellStyle name="Comma 4 3 2 3 3 8 3" xfId="40071" xr:uid="{D9E53B97-35ED-4CE4-B062-70FF4DD6230E}"/>
    <cellStyle name="Comma 4 3 2 3 3 9" xfId="15879" xr:uid="{F3FBB2F1-2517-49A6-A4EA-75065B106D9C}"/>
    <cellStyle name="Comma 4 3 2 3 3 9 2" xfId="46119" xr:uid="{FE5E4ECC-7F62-4516-A0D8-DDBE5CF980F4}"/>
    <cellStyle name="Comma 4 3 2 3 4" xfId="1011" xr:uid="{7EA068E8-8602-437B-BC9B-C750370CFA5E}"/>
    <cellStyle name="Comma 4 3 2 3 4 2" xfId="2523" xr:uid="{CEC687D4-17D2-497E-AACE-ACC403178E30}"/>
    <cellStyle name="Comma 4 3 2 3 4 2 2" xfId="11595" xr:uid="{B30CEEAF-EE52-48F6-BA08-FE99F5E17294}"/>
    <cellStyle name="Comma 4 3 2 3 4 2 2 2" xfId="26715" xr:uid="{852D0998-61D5-4162-9DC9-C52F2B0D3EB1}"/>
    <cellStyle name="Comma 4 3 2 3 4 2 2 2 2" xfId="56955" xr:uid="{078B6D60-2AAD-426A-8281-20E6B48DD907}"/>
    <cellStyle name="Comma 4 3 2 3 4 2 2 3" xfId="41835" xr:uid="{E4A57F64-7158-417C-873C-12EA7C7DE1AC}"/>
    <cellStyle name="Comma 4 3 2 3 4 2 3" xfId="17643" xr:uid="{36D7EB4A-005B-43D1-9336-D88830EA1D1D}"/>
    <cellStyle name="Comma 4 3 2 3 4 2 3 2" xfId="47883" xr:uid="{B7F88A03-4EEE-4B69-B1EA-C911E2937A06}"/>
    <cellStyle name="Comma 4 3 2 3 4 2 4" xfId="32763" xr:uid="{BEA1FDC1-DFE3-48AE-B9CF-9830ECB02D5A}"/>
    <cellStyle name="Comma 4 3 2 3 4 3" xfId="4035" xr:uid="{45DFA0A6-E831-4F1C-AB11-76612A9EF8EA}"/>
    <cellStyle name="Comma 4 3 2 3 4 3 2" xfId="13107" xr:uid="{E52FA5A6-FD1B-4392-8CDA-21339CE9A93F}"/>
    <cellStyle name="Comma 4 3 2 3 4 3 2 2" xfId="28227" xr:uid="{D7E83FD4-A03D-4EA6-A459-C6819DC096E0}"/>
    <cellStyle name="Comma 4 3 2 3 4 3 2 2 2" xfId="58467" xr:uid="{3C257A1E-8F54-413B-B590-C3BBF031D811}"/>
    <cellStyle name="Comma 4 3 2 3 4 3 2 3" xfId="43347" xr:uid="{3BCD19B5-EFC4-4824-85CC-887C2F4FEE13}"/>
    <cellStyle name="Comma 4 3 2 3 4 3 3" xfId="19155" xr:uid="{9D92A4BA-5F4B-428E-A610-FAEE5CD71B04}"/>
    <cellStyle name="Comma 4 3 2 3 4 3 3 2" xfId="49395" xr:uid="{552C5F82-D73F-4454-823A-EA3D3B030F62}"/>
    <cellStyle name="Comma 4 3 2 3 4 3 4" xfId="34275" xr:uid="{BDACCA80-35C4-41BC-BB08-F874A99E84CB}"/>
    <cellStyle name="Comma 4 3 2 3 4 4" xfId="5547" xr:uid="{35AA5572-6AE9-4662-8BDB-A65AA91BC978}"/>
    <cellStyle name="Comma 4 3 2 3 4 4 2" xfId="14619" xr:uid="{BB9E4A12-6319-4CA1-A2C4-5EFEB99B467A}"/>
    <cellStyle name="Comma 4 3 2 3 4 4 2 2" xfId="29739" xr:uid="{BCA0511F-9370-4B63-83BB-D8D4929B99CC}"/>
    <cellStyle name="Comma 4 3 2 3 4 4 2 2 2" xfId="59979" xr:uid="{E473293F-CEF1-4245-8784-AC3A34B416ED}"/>
    <cellStyle name="Comma 4 3 2 3 4 4 2 3" xfId="44859" xr:uid="{32259E27-F098-4A96-B2E3-29558E30205F}"/>
    <cellStyle name="Comma 4 3 2 3 4 4 3" xfId="20667" xr:uid="{6B7AC042-9789-4C31-BCB7-B9B3327739CF}"/>
    <cellStyle name="Comma 4 3 2 3 4 4 3 2" xfId="50907" xr:uid="{36824903-D31D-47F4-BDBD-27CC8F50CF5A}"/>
    <cellStyle name="Comma 4 3 2 3 4 4 4" xfId="35787" xr:uid="{02261121-0163-4129-B6BF-510C7F1D3358}"/>
    <cellStyle name="Comma 4 3 2 3 4 5" xfId="7059" xr:uid="{46B13EB3-9BEA-44EA-876E-79FD0D18EFB0}"/>
    <cellStyle name="Comma 4 3 2 3 4 5 2" xfId="22179" xr:uid="{723FC373-5446-4933-9632-E4937EE11FC6}"/>
    <cellStyle name="Comma 4 3 2 3 4 5 2 2" xfId="52419" xr:uid="{200E2AC1-AE01-4BB8-9E2C-F0FCDBE08ED0}"/>
    <cellStyle name="Comma 4 3 2 3 4 5 3" xfId="37299" xr:uid="{7F1DC76B-9540-414F-8F08-4AC41BDEBD35}"/>
    <cellStyle name="Comma 4 3 2 3 4 6" xfId="8571" xr:uid="{DCDB3396-7136-4BC4-BDA6-1285F05817AF}"/>
    <cellStyle name="Comma 4 3 2 3 4 6 2" xfId="23691" xr:uid="{5CF1DD23-45E8-4E0A-833F-D65C00974EA3}"/>
    <cellStyle name="Comma 4 3 2 3 4 6 2 2" xfId="53931" xr:uid="{08489656-B13B-4A33-8C6F-D55EF009F117}"/>
    <cellStyle name="Comma 4 3 2 3 4 6 3" xfId="38811" xr:uid="{E9220F12-D73B-4672-B300-30AB21AF4C5E}"/>
    <cellStyle name="Comma 4 3 2 3 4 7" xfId="10083" xr:uid="{11B0E6E9-103C-4029-8926-ED385158EBCC}"/>
    <cellStyle name="Comma 4 3 2 3 4 7 2" xfId="25203" xr:uid="{F13ABAED-E557-4155-BB89-24856C759A9F}"/>
    <cellStyle name="Comma 4 3 2 3 4 7 2 2" xfId="55443" xr:uid="{10CC3403-AAF7-4298-9084-CABBB24C7B82}"/>
    <cellStyle name="Comma 4 3 2 3 4 7 3" xfId="40323" xr:uid="{355C6561-677E-44C6-8758-09CD4152889E}"/>
    <cellStyle name="Comma 4 3 2 3 4 8" xfId="16131" xr:uid="{C5DB68FD-03AB-4E95-AA72-688023BB3268}"/>
    <cellStyle name="Comma 4 3 2 3 4 8 2" xfId="46371" xr:uid="{EAFDBEE0-5E3E-4FF2-9F9B-536AAF4F9226}"/>
    <cellStyle name="Comma 4 3 2 3 4 9" xfId="31251" xr:uid="{DCF03627-D8F9-488A-81F7-B0B2D3213BD1}"/>
    <cellStyle name="Comma 4 3 2 3 5" xfId="1767" xr:uid="{8BDE21D0-7530-4210-AD73-2D85EEBC80A6}"/>
    <cellStyle name="Comma 4 3 2 3 5 2" xfId="10839" xr:uid="{2651EEE6-F13C-498A-A252-53B4B4C1145B}"/>
    <cellStyle name="Comma 4 3 2 3 5 2 2" xfId="25959" xr:uid="{F0F3CAEA-8F53-4083-BC79-62C10CDA318A}"/>
    <cellStyle name="Comma 4 3 2 3 5 2 2 2" xfId="56199" xr:uid="{31EAC0C8-D374-43C2-A160-3FE859E10FE6}"/>
    <cellStyle name="Comma 4 3 2 3 5 2 3" xfId="41079" xr:uid="{FF9AF234-3B3B-495F-B9F4-E937C58DC00F}"/>
    <cellStyle name="Comma 4 3 2 3 5 3" xfId="16887" xr:uid="{748F7B24-2BF3-4BE7-BA43-8D2F647D6F08}"/>
    <cellStyle name="Comma 4 3 2 3 5 3 2" xfId="47127" xr:uid="{331A35A2-808D-49D5-9DCE-E29FD4E650FD}"/>
    <cellStyle name="Comma 4 3 2 3 5 4" xfId="32007" xr:uid="{5A823FBB-300F-4B10-B90E-0DEA0AA01896}"/>
    <cellStyle name="Comma 4 3 2 3 6" xfId="3279" xr:uid="{64DE50FE-9861-4FBF-BFB8-943E7EB5EA17}"/>
    <cellStyle name="Comma 4 3 2 3 6 2" xfId="12351" xr:uid="{05C1CADA-BA67-4359-814F-D59186A86E13}"/>
    <cellStyle name="Comma 4 3 2 3 6 2 2" xfId="27471" xr:uid="{0C4AC457-7981-40F5-987A-BE054FDF603D}"/>
    <cellStyle name="Comma 4 3 2 3 6 2 2 2" xfId="57711" xr:uid="{E1BF812D-6C75-4667-8D43-78C4C2A78A9E}"/>
    <cellStyle name="Comma 4 3 2 3 6 2 3" xfId="42591" xr:uid="{83C1B026-FA10-4A02-94FC-95280336E961}"/>
    <cellStyle name="Comma 4 3 2 3 6 3" xfId="18399" xr:uid="{38FC1458-A4E6-43B7-A11F-43BF21E1FF8A}"/>
    <cellStyle name="Comma 4 3 2 3 6 3 2" xfId="48639" xr:uid="{6CAC4930-B12A-44CE-9C6E-F923D8A75551}"/>
    <cellStyle name="Comma 4 3 2 3 6 4" xfId="33519" xr:uid="{EA4ECF1C-AD65-4098-A31A-7C0EA7B1754B}"/>
    <cellStyle name="Comma 4 3 2 3 7" xfId="4791" xr:uid="{117A89E7-ECEF-45F3-AABB-2DCE3B22D258}"/>
    <cellStyle name="Comma 4 3 2 3 7 2" xfId="13863" xr:uid="{8D266E58-9442-4AB4-9363-46BEA5A2D47A}"/>
    <cellStyle name="Comma 4 3 2 3 7 2 2" xfId="28983" xr:uid="{D0A7E5DA-BC88-4618-A0B7-D7A09127401E}"/>
    <cellStyle name="Comma 4 3 2 3 7 2 2 2" xfId="59223" xr:uid="{079FF61A-458F-4EC1-920C-CBAAAE95CB42}"/>
    <cellStyle name="Comma 4 3 2 3 7 2 3" xfId="44103" xr:uid="{4A778568-1EDE-4D65-895E-F1EBA8AE7F6D}"/>
    <cellStyle name="Comma 4 3 2 3 7 3" xfId="19911" xr:uid="{9932D4D2-B67E-4B37-9509-395C30D30CAE}"/>
    <cellStyle name="Comma 4 3 2 3 7 3 2" xfId="50151" xr:uid="{25B10C37-13A3-4F83-B707-78C1640587DE}"/>
    <cellStyle name="Comma 4 3 2 3 7 4" xfId="35031" xr:uid="{A9CB27B0-5A50-49C0-AB1D-44A38620384B}"/>
    <cellStyle name="Comma 4 3 2 3 8" xfId="6303" xr:uid="{5DC70594-C468-4C7B-BB8B-A5BC42614222}"/>
    <cellStyle name="Comma 4 3 2 3 8 2" xfId="21423" xr:uid="{297CD58D-CB58-434A-8836-5477179FDFF5}"/>
    <cellStyle name="Comma 4 3 2 3 8 2 2" xfId="51663" xr:uid="{A903EC13-B03A-46E7-B615-4C90F79B8A25}"/>
    <cellStyle name="Comma 4 3 2 3 8 3" xfId="36543" xr:uid="{9DA5B215-F290-4292-9AF0-667C2C18142D}"/>
    <cellStyle name="Comma 4 3 2 3 9" xfId="7815" xr:uid="{C1E9E6CB-7BA6-4409-9B17-EE7107346316}"/>
    <cellStyle name="Comma 4 3 2 3 9 2" xfId="22935" xr:uid="{A2B9BEB5-B8F9-4565-BB7E-2463A0657321}"/>
    <cellStyle name="Comma 4 3 2 3 9 2 2" xfId="53175" xr:uid="{67F1D4CA-3114-4EEA-B420-0253E6F7E278}"/>
    <cellStyle name="Comma 4 3 2 3 9 3" xfId="38055" xr:uid="{E5BA65C3-98E9-4915-82C7-3C778ABFEFA1}"/>
    <cellStyle name="Comma 4 3 2 4" xfId="339" xr:uid="{97A0F8D2-C567-4932-B5F9-2E1FC4121281}"/>
    <cellStyle name="Comma 4 3 2 4 10" xfId="30579" xr:uid="{476EDA49-D625-4F21-A25B-1F16FE25AF7E}"/>
    <cellStyle name="Comma 4 3 2 4 2" xfId="1095" xr:uid="{C04235FD-EDFD-4512-B1E5-E8CE92A86759}"/>
    <cellStyle name="Comma 4 3 2 4 2 2" xfId="2607" xr:uid="{428976CB-3B50-4D0A-9974-AE327AE5BBDF}"/>
    <cellStyle name="Comma 4 3 2 4 2 2 2" xfId="11679" xr:uid="{AC2985D9-1B41-4E3A-87ED-91E7117ED784}"/>
    <cellStyle name="Comma 4 3 2 4 2 2 2 2" xfId="26799" xr:uid="{D3D9F1DA-7690-4705-A2CA-C7FA1624E242}"/>
    <cellStyle name="Comma 4 3 2 4 2 2 2 2 2" xfId="57039" xr:uid="{9E8A6F5E-773B-427A-BB7C-C6275D452E11}"/>
    <cellStyle name="Comma 4 3 2 4 2 2 2 3" xfId="41919" xr:uid="{1A91D3E2-44DF-410F-9DE3-BA76F34C1BF7}"/>
    <cellStyle name="Comma 4 3 2 4 2 2 3" xfId="17727" xr:uid="{45EAACA4-C23E-465E-A545-32F89CE77BAD}"/>
    <cellStyle name="Comma 4 3 2 4 2 2 3 2" xfId="47967" xr:uid="{5C36BCAA-5977-4470-B434-E2502358F414}"/>
    <cellStyle name="Comma 4 3 2 4 2 2 4" xfId="32847" xr:uid="{6C28EB3F-B6AB-4C27-9FFB-6997CD3A17EE}"/>
    <cellStyle name="Comma 4 3 2 4 2 3" xfId="4119" xr:uid="{F2E7A495-58BE-4A3E-955A-160BED40A99A}"/>
    <cellStyle name="Comma 4 3 2 4 2 3 2" xfId="13191" xr:uid="{5B23C3FA-4930-4EB6-B6A3-1714C9C05F7B}"/>
    <cellStyle name="Comma 4 3 2 4 2 3 2 2" xfId="28311" xr:uid="{EFD166EA-4BF3-4F37-B2D5-86EA215940B0}"/>
    <cellStyle name="Comma 4 3 2 4 2 3 2 2 2" xfId="58551" xr:uid="{9A905890-DDF2-4BCF-AF7E-AB86F0FA0584}"/>
    <cellStyle name="Comma 4 3 2 4 2 3 2 3" xfId="43431" xr:uid="{61567992-1B8F-4DE0-99F4-24DCFD5A44C3}"/>
    <cellStyle name="Comma 4 3 2 4 2 3 3" xfId="19239" xr:uid="{60251F70-C971-4D90-AFB3-7DDE72C116C6}"/>
    <cellStyle name="Comma 4 3 2 4 2 3 3 2" xfId="49479" xr:uid="{35E2CB81-9FDD-4E9C-B18E-8D0745E196B6}"/>
    <cellStyle name="Comma 4 3 2 4 2 3 4" xfId="34359" xr:uid="{912C7ABA-5F9D-495D-B62C-9B3E896F11B1}"/>
    <cellStyle name="Comma 4 3 2 4 2 4" xfId="5631" xr:uid="{3A25A647-2E24-4E4E-BC31-1BED2A23FB8E}"/>
    <cellStyle name="Comma 4 3 2 4 2 4 2" xfId="14703" xr:uid="{517D3029-A8FC-4B83-A168-006FE016D216}"/>
    <cellStyle name="Comma 4 3 2 4 2 4 2 2" xfId="29823" xr:uid="{E2A9C0D6-B325-4A65-B765-A22A41440FA6}"/>
    <cellStyle name="Comma 4 3 2 4 2 4 2 2 2" xfId="60063" xr:uid="{038F9493-F675-4996-95DF-48B58B551233}"/>
    <cellStyle name="Comma 4 3 2 4 2 4 2 3" xfId="44943" xr:uid="{80202019-8513-483F-87C7-F7C3A12FA735}"/>
    <cellStyle name="Comma 4 3 2 4 2 4 3" xfId="20751" xr:uid="{99D87E6D-4B7E-4C26-9292-BF4998B255E6}"/>
    <cellStyle name="Comma 4 3 2 4 2 4 3 2" xfId="50991" xr:uid="{0F251BA0-5988-4E6C-B99D-4DB89AF8EB9F}"/>
    <cellStyle name="Comma 4 3 2 4 2 4 4" xfId="35871" xr:uid="{64B4C409-AC80-4622-9183-2498B0366C4C}"/>
    <cellStyle name="Comma 4 3 2 4 2 5" xfId="7143" xr:uid="{7C33F201-94AC-472D-98F6-2B8B66D86129}"/>
    <cellStyle name="Comma 4 3 2 4 2 5 2" xfId="22263" xr:uid="{8D358C22-54A8-4564-9EB2-B994051FB18A}"/>
    <cellStyle name="Comma 4 3 2 4 2 5 2 2" xfId="52503" xr:uid="{D40A3519-13F5-40E0-9191-19ED90643DC6}"/>
    <cellStyle name="Comma 4 3 2 4 2 5 3" xfId="37383" xr:uid="{1F07F802-C7F3-46EE-B9FB-568FE3538ADE}"/>
    <cellStyle name="Comma 4 3 2 4 2 6" xfId="8655" xr:uid="{ED1D69FE-31D2-42B7-95F0-E1AD43303336}"/>
    <cellStyle name="Comma 4 3 2 4 2 6 2" xfId="23775" xr:uid="{7B240BF4-0EAD-4360-8107-5FE5E0F79F43}"/>
    <cellStyle name="Comma 4 3 2 4 2 6 2 2" xfId="54015" xr:uid="{A6BD0FCA-4184-4E3B-ACE7-0A747C0B7444}"/>
    <cellStyle name="Comma 4 3 2 4 2 6 3" xfId="38895" xr:uid="{A4FF8402-BF12-4D05-A291-318EE118EC6D}"/>
    <cellStyle name="Comma 4 3 2 4 2 7" xfId="10167" xr:uid="{B51BF2B3-8E2B-4F38-A8AE-D9E8F03DCAFD}"/>
    <cellStyle name="Comma 4 3 2 4 2 7 2" xfId="25287" xr:uid="{CF8DD67E-F894-4C80-993F-916231F3DFB7}"/>
    <cellStyle name="Comma 4 3 2 4 2 7 2 2" xfId="55527" xr:uid="{45A4C97D-34B2-4A52-8CC2-3252DCB927D9}"/>
    <cellStyle name="Comma 4 3 2 4 2 7 3" xfId="40407" xr:uid="{38644ED5-58BE-4CF2-9F52-4F9B4633707E}"/>
    <cellStyle name="Comma 4 3 2 4 2 8" xfId="16215" xr:uid="{7F76447C-A7E8-43C0-8196-4CECBEA2FF76}"/>
    <cellStyle name="Comma 4 3 2 4 2 8 2" xfId="46455" xr:uid="{A824FBD3-C43F-4FF6-BA05-B582ACF84895}"/>
    <cellStyle name="Comma 4 3 2 4 2 9" xfId="31335" xr:uid="{54F46F44-AD18-48B6-B0E5-FD4C84AB714E}"/>
    <cellStyle name="Comma 4 3 2 4 3" xfId="1851" xr:uid="{F630EBED-DE52-458C-B6ED-1CF96E70CF9F}"/>
    <cellStyle name="Comma 4 3 2 4 3 2" xfId="10923" xr:uid="{448860C0-E4F3-4549-8AB7-F6FD2198A194}"/>
    <cellStyle name="Comma 4 3 2 4 3 2 2" xfId="26043" xr:uid="{6868D6C6-726D-4B5D-9411-00220CF48F1C}"/>
    <cellStyle name="Comma 4 3 2 4 3 2 2 2" xfId="56283" xr:uid="{6907BC2B-C985-402B-A8E7-D99EFD5E853A}"/>
    <cellStyle name="Comma 4 3 2 4 3 2 3" xfId="41163" xr:uid="{12299281-6FF9-4ECA-8B51-C9FAD9B545E2}"/>
    <cellStyle name="Comma 4 3 2 4 3 3" xfId="16971" xr:uid="{B05AEB9A-336E-41EC-A5C1-76090AC5AD73}"/>
    <cellStyle name="Comma 4 3 2 4 3 3 2" xfId="47211" xr:uid="{960B8D97-A91F-4C9F-B8D3-DF7E1B203D6B}"/>
    <cellStyle name="Comma 4 3 2 4 3 4" xfId="32091" xr:uid="{EC314008-9BEF-4E5B-AABC-0067D183078D}"/>
    <cellStyle name="Comma 4 3 2 4 4" xfId="3363" xr:uid="{98AFC38A-016E-4E1A-8787-350A0BBDE5C9}"/>
    <cellStyle name="Comma 4 3 2 4 4 2" xfId="12435" xr:uid="{404112F8-FCF5-4A2E-8788-3B4F104892EE}"/>
    <cellStyle name="Comma 4 3 2 4 4 2 2" xfId="27555" xr:uid="{36BF3609-D67A-4C7E-A13C-CFE5F4AE53B1}"/>
    <cellStyle name="Comma 4 3 2 4 4 2 2 2" xfId="57795" xr:uid="{E61AD3CA-BB22-4965-8139-D11BAD573E51}"/>
    <cellStyle name="Comma 4 3 2 4 4 2 3" xfId="42675" xr:uid="{98D0259A-BE0D-4783-8784-83F0AEBB8719}"/>
    <cellStyle name="Comma 4 3 2 4 4 3" xfId="18483" xr:uid="{D47BA156-FFE6-4D7E-AFD6-ED75AACF0999}"/>
    <cellStyle name="Comma 4 3 2 4 4 3 2" xfId="48723" xr:uid="{1257FAE2-EFFF-4E07-92D3-03313B35ED04}"/>
    <cellStyle name="Comma 4 3 2 4 4 4" xfId="33603" xr:uid="{9B562440-12D5-4D27-880D-2E39F6A114FC}"/>
    <cellStyle name="Comma 4 3 2 4 5" xfId="4875" xr:uid="{6EC31F78-FA8B-4AFF-B6D7-329AC123184B}"/>
    <cellStyle name="Comma 4 3 2 4 5 2" xfId="13947" xr:uid="{A10558B7-1F38-4BED-A6ED-8119B1CCCAB8}"/>
    <cellStyle name="Comma 4 3 2 4 5 2 2" xfId="29067" xr:uid="{D9BF281B-97AF-4364-9ACE-563548FF9CE4}"/>
    <cellStyle name="Comma 4 3 2 4 5 2 2 2" xfId="59307" xr:uid="{9629B7F9-F20E-4E0E-BC90-775DD57F7B81}"/>
    <cellStyle name="Comma 4 3 2 4 5 2 3" xfId="44187" xr:uid="{0155D168-5C46-4A81-9EDB-E04A8634D296}"/>
    <cellStyle name="Comma 4 3 2 4 5 3" xfId="19995" xr:uid="{83A644DE-A22C-49F4-84E3-05160D7DB16A}"/>
    <cellStyle name="Comma 4 3 2 4 5 3 2" xfId="50235" xr:uid="{1462D120-EB68-47A6-84DA-BC9ED13015CB}"/>
    <cellStyle name="Comma 4 3 2 4 5 4" xfId="35115" xr:uid="{8EB85FFC-FC51-4844-ACAE-093561DA4A6E}"/>
    <cellStyle name="Comma 4 3 2 4 6" xfId="6387" xr:uid="{CC21788A-EB17-49B1-88B2-F925F32F2923}"/>
    <cellStyle name="Comma 4 3 2 4 6 2" xfId="21507" xr:uid="{5958A2D2-7933-4AC2-9D0B-6775117D2628}"/>
    <cellStyle name="Comma 4 3 2 4 6 2 2" xfId="51747" xr:uid="{C26A042A-4E9E-4D7B-94A7-4A690E71564F}"/>
    <cellStyle name="Comma 4 3 2 4 6 3" xfId="36627" xr:uid="{E6D316C3-EAEC-4A47-914B-9D2F92FCCA53}"/>
    <cellStyle name="Comma 4 3 2 4 7" xfId="7899" xr:uid="{59546A22-52A9-4B99-904C-C8DE34732D51}"/>
    <cellStyle name="Comma 4 3 2 4 7 2" xfId="23019" xr:uid="{ED9EBF41-649F-4D0D-948E-D797930DD31F}"/>
    <cellStyle name="Comma 4 3 2 4 7 2 2" xfId="53259" xr:uid="{EC4F7DDE-9802-426A-9B3F-2FA3CC36952B}"/>
    <cellStyle name="Comma 4 3 2 4 7 3" xfId="38139" xr:uid="{DA800C0C-08DF-4FF9-B787-1704F5482CAA}"/>
    <cellStyle name="Comma 4 3 2 4 8" xfId="9411" xr:uid="{A40015F4-5D82-4F27-B528-689F16B161CB}"/>
    <cellStyle name="Comma 4 3 2 4 8 2" xfId="24531" xr:uid="{47B7FF11-B2E5-466F-87A2-DE56E9CAEE18}"/>
    <cellStyle name="Comma 4 3 2 4 8 2 2" xfId="54771" xr:uid="{1877F97C-6CD1-4DD4-9020-5FB022C4FD6A}"/>
    <cellStyle name="Comma 4 3 2 4 8 3" xfId="39651" xr:uid="{80C973FA-0603-45EE-8309-FFB7B1CDCC35}"/>
    <cellStyle name="Comma 4 3 2 4 9" xfId="15459" xr:uid="{6188A57E-85AC-492C-AF14-BA1DB9362FFD}"/>
    <cellStyle name="Comma 4 3 2 4 9 2" xfId="45699" xr:uid="{ABBE2015-021E-4E18-888E-C125DEAE8F6D}"/>
    <cellStyle name="Comma 4 3 2 5" xfId="591" xr:uid="{2CAFA773-1AD9-4ECB-9080-36514DD8D1F9}"/>
    <cellStyle name="Comma 4 3 2 5 10" xfId="30831" xr:uid="{D6DD3B36-44FA-4B70-8C2E-B3D09D287752}"/>
    <cellStyle name="Comma 4 3 2 5 2" xfId="1347" xr:uid="{5D2255A9-46CB-4A70-9337-10E1BBFFEBF8}"/>
    <cellStyle name="Comma 4 3 2 5 2 2" xfId="2859" xr:uid="{9624FB91-BE35-45FA-BB04-80FA493F73D4}"/>
    <cellStyle name="Comma 4 3 2 5 2 2 2" xfId="11931" xr:uid="{07497FCF-3E89-4B74-BC19-4B9921AFCC38}"/>
    <cellStyle name="Comma 4 3 2 5 2 2 2 2" xfId="27051" xr:uid="{FA6C4F22-421F-44D6-A860-4FE78FAA2511}"/>
    <cellStyle name="Comma 4 3 2 5 2 2 2 2 2" xfId="57291" xr:uid="{0C9A9E97-B19A-4B3D-BEDC-9EBFE0AB4744}"/>
    <cellStyle name="Comma 4 3 2 5 2 2 2 3" xfId="42171" xr:uid="{79A62A49-A6E3-4543-AEF1-F89D084A44E2}"/>
    <cellStyle name="Comma 4 3 2 5 2 2 3" xfId="17979" xr:uid="{F49A9445-DA11-4F78-B834-5E73EEC002C4}"/>
    <cellStyle name="Comma 4 3 2 5 2 2 3 2" xfId="48219" xr:uid="{DED8C180-2E50-4FD6-B64B-135017AB25D3}"/>
    <cellStyle name="Comma 4 3 2 5 2 2 4" xfId="33099" xr:uid="{71F284F9-D34B-48BC-B5A0-88FA5A5381F6}"/>
    <cellStyle name="Comma 4 3 2 5 2 3" xfId="4371" xr:uid="{598D6C87-C01F-4C17-B0EA-60D5D97DB356}"/>
    <cellStyle name="Comma 4 3 2 5 2 3 2" xfId="13443" xr:uid="{9EBDA9FA-8976-4113-9547-6A63D1C8EA6E}"/>
    <cellStyle name="Comma 4 3 2 5 2 3 2 2" xfId="28563" xr:uid="{D42C5CAF-B937-4112-B62C-E7CDCAE01133}"/>
    <cellStyle name="Comma 4 3 2 5 2 3 2 2 2" xfId="58803" xr:uid="{3B32C5BB-B4D5-4843-B9A2-9E47CC172329}"/>
    <cellStyle name="Comma 4 3 2 5 2 3 2 3" xfId="43683" xr:uid="{5B11205E-C394-41F9-970B-2A31414DB92B}"/>
    <cellStyle name="Comma 4 3 2 5 2 3 3" xfId="19491" xr:uid="{6B04CAFE-5CF7-4070-B23F-7728133F6830}"/>
    <cellStyle name="Comma 4 3 2 5 2 3 3 2" xfId="49731" xr:uid="{8BFDC17F-5D72-48C0-81B3-873C3A9D7C81}"/>
    <cellStyle name="Comma 4 3 2 5 2 3 4" xfId="34611" xr:uid="{D64B724C-2635-4A99-B436-B1588F2FFAB5}"/>
    <cellStyle name="Comma 4 3 2 5 2 4" xfId="5883" xr:uid="{1C598520-2DC0-4093-971C-1F837B919743}"/>
    <cellStyle name="Comma 4 3 2 5 2 4 2" xfId="14955" xr:uid="{C5F96BA9-CEA0-4082-B255-DC00E0E3DEAA}"/>
    <cellStyle name="Comma 4 3 2 5 2 4 2 2" xfId="30075" xr:uid="{C837C76B-772A-46A9-859F-ED2F9A4FD2AB}"/>
    <cellStyle name="Comma 4 3 2 5 2 4 2 2 2" xfId="60315" xr:uid="{5AAF9661-B63C-4AED-8E41-5E15E253C424}"/>
    <cellStyle name="Comma 4 3 2 5 2 4 2 3" xfId="45195" xr:uid="{BF725B1B-925B-4A2F-BD6F-B19A9907E446}"/>
    <cellStyle name="Comma 4 3 2 5 2 4 3" xfId="21003" xr:uid="{2BF93AA5-D64E-425D-B1E0-360273A55A0A}"/>
    <cellStyle name="Comma 4 3 2 5 2 4 3 2" xfId="51243" xr:uid="{625D52C7-9926-4BCD-AD6F-3BA53E7EA0FB}"/>
    <cellStyle name="Comma 4 3 2 5 2 4 4" xfId="36123" xr:uid="{6A0C9E06-BF29-4F87-9AB7-745686B3F261}"/>
    <cellStyle name="Comma 4 3 2 5 2 5" xfId="7395" xr:uid="{E089F063-60F2-4E45-8872-F352D8070F66}"/>
    <cellStyle name="Comma 4 3 2 5 2 5 2" xfId="22515" xr:uid="{E9D27F96-320F-46D2-B345-B46CCEDA2429}"/>
    <cellStyle name="Comma 4 3 2 5 2 5 2 2" xfId="52755" xr:uid="{B87D5469-670B-4478-933C-D2D08AE72AB9}"/>
    <cellStyle name="Comma 4 3 2 5 2 5 3" xfId="37635" xr:uid="{2FFA0BFF-EF34-4560-BA55-BD9A60E59C96}"/>
    <cellStyle name="Comma 4 3 2 5 2 6" xfId="8907" xr:uid="{AF2F5C07-EA7D-4D98-A013-79966FB1A791}"/>
    <cellStyle name="Comma 4 3 2 5 2 6 2" xfId="24027" xr:uid="{82BECC57-0A2E-43FC-BB50-33704D0E5DE8}"/>
    <cellStyle name="Comma 4 3 2 5 2 6 2 2" xfId="54267" xr:uid="{A5B4F059-1BED-4CA7-BF7A-7636760679DA}"/>
    <cellStyle name="Comma 4 3 2 5 2 6 3" xfId="39147" xr:uid="{D91BF8A1-01F1-4EC7-96D4-1DD825D9D373}"/>
    <cellStyle name="Comma 4 3 2 5 2 7" xfId="10419" xr:uid="{60C3FF82-522B-4667-B4E0-48B9114D5200}"/>
    <cellStyle name="Comma 4 3 2 5 2 7 2" xfId="25539" xr:uid="{08DC7CF6-930C-433F-9201-383CD866892A}"/>
    <cellStyle name="Comma 4 3 2 5 2 7 2 2" xfId="55779" xr:uid="{07D389C9-FE56-4549-9FC0-18FBC4B87776}"/>
    <cellStyle name="Comma 4 3 2 5 2 7 3" xfId="40659" xr:uid="{33A0CD40-866D-4163-8464-B368F6FD5CB9}"/>
    <cellStyle name="Comma 4 3 2 5 2 8" xfId="16467" xr:uid="{2D6CE388-148A-42FC-BF6D-B39E79EE5787}"/>
    <cellStyle name="Comma 4 3 2 5 2 8 2" xfId="46707" xr:uid="{A9D56F3B-3501-4C0E-9B79-5C6790486B19}"/>
    <cellStyle name="Comma 4 3 2 5 2 9" xfId="31587" xr:uid="{EF5658EE-6068-49D4-8DDB-BB63DAAD60A6}"/>
    <cellStyle name="Comma 4 3 2 5 3" xfId="2103" xr:uid="{E6631B61-01E3-4D8F-9C9A-915A8A538B56}"/>
    <cellStyle name="Comma 4 3 2 5 3 2" xfId="11175" xr:uid="{F058FCF3-FFD1-4F92-9958-706F9BE4BB06}"/>
    <cellStyle name="Comma 4 3 2 5 3 2 2" xfId="26295" xr:uid="{FD1A98FA-5B06-4775-BC7A-8B6E39E54133}"/>
    <cellStyle name="Comma 4 3 2 5 3 2 2 2" xfId="56535" xr:uid="{DFF57623-3A29-4C62-83A3-F15A226C79DA}"/>
    <cellStyle name="Comma 4 3 2 5 3 2 3" xfId="41415" xr:uid="{6C8414C1-422D-4A96-8493-3593CA1DA34A}"/>
    <cellStyle name="Comma 4 3 2 5 3 3" xfId="17223" xr:uid="{13BD8562-30BE-42B9-9223-E98890B8D394}"/>
    <cellStyle name="Comma 4 3 2 5 3 3 2" xfId="47463" xr:uid="{9EB0D5CE-C9B5-4D22-9B0C-65DEA1CAC989}"/>
    <cellStyle name="Comma 4 3 2 5 3 4" xfId="32343" xr:uid="{512F9B65-9700-41F4-B6B2-0F36B1EEF222}"/>
    <cellStyle name="Comma 4 3 2 5 4" xfId="3615" xr:uid="{35BDC421-853A-448E-82F8-1071AE862376}"/>
    <cellStyle name="Comma 4 3 2 5 4 2" xfId="12687" xr:uid="{B59CC27E-D157-4AF5-A262-EE2E8236D5E5}"/>
    <cellStyle name="Comma 4 3 2 5 4 2 2" xfId="27807" xr:uid="{3A183D44-ADFC-4933-9E37-DC981CEAA8F6}"/>
    <cellStyle name="Comma 4 3 2 5 4 2 2 2" xfId="58047" xr:uid="{EEE8BA9E-7041-499E-B43A-A0CB32328C4A}"/>
    <cellStyle name="Comma 4 3 2 5 4 2 3" xfId="42927" xr:uid="{825D8798-234D-4A32-B33B-D5F5406D7BAC}"/>
    <cellStyle name="Comma 4 3 2 5 4 3" xfId="18735" xr:uid="{28C1F4F5-10C7-48C4-B3FC-1BEF8C0FECF8}"/>
    <cellStyle name="Comma 4 3 2 5 4 3 2" xfId="48975" xr:uid="{FEF22E82-8B5F-4992-8B98-E9350702C9A3}"/>
    <cellStyle name="Comma 4 3 2 5 4 4" xfId="33855" xr:uid="{D56F5B6D-29AF-4E15-90E6-535B714CF710}"/>
    <cellStyle name="Comma 4 3 2 5 5" xfId="5127" xr:uid="{2B3DB08E-33CF-499F-A26B-A628380C9058}"/>
    <cellStyle name="Comma 4 3 2 5 5 2" xfId="14199" xr:uid="{E5F5DCE3-6F0E-4DCD-A6A5-2ED3643AC3E3}"/>
    <cellStyle name="Comma 4 3 2 5 5 2 2" xfId="29319" xr:uid="{EAE60309-93B2-4E14-8218-BDE699671D0F}"/>
    <cellStyle name="Comma 4 3 2 5 5 2 2 2" xfId="59559" xr:uid="{A441D189-3ACF-4E0F-9FD5-01FA9B5F4FBE}"/>
    <cellStyle name="Comma 4 3 2 5 5 2 3" xfId="44439" xr:uid="{7DBA80CE-0485-45E2-99AD-DF3834DB2089}"/>
    <cellStyle name="Comma 4 3 2 5 5 3" xfId="20247" xr:uid="{D057FFE2-30A2-4814-B153-DA7D3D80E28D}"/>
    <cellStyle name="Comma 4 3 2 5 5 3 2" xfId="50487" xr:uid="{653E8698-2862-429A-B835-4F90C6DAD5FC}"/>
    <cellStyle name="Comma 4 3 2 5 5 4" xfId="35367" xr:uid="{B2B810A2-4E31-4C8D-8020-F2E619181733}"/>
    <cellStyle name="Comma 4 3 2 5 6" xfId="6639" xr:uid="{7004A2C0-496C-4F3E-96E0-F792C285A630}"/>
    <cellStyle name="Comma 4 3 2 5 6 2" xfId="21759" xr:uid="{D30E3CBC-D901-4E0B-B00F-95D0617EDA16}"/>
    <cellStyle name="Comma 4 3 2 5 6 2 2" xfId="51999" xr:uid="{2682E962-42C4-4063-A157-3B818FE63D26}"/>
    <cellStyle name="Comma 4 3 2 5 6 3" xfId="36879" xr:uid="{93613809-D110-4C79-8D33-20347CE93A69}"/>
    <cellStyle name="Comma 4 3 2 5 7" xfId="8151" xr:uid="{8CCEF4C2-8C75-40E1-9BA9-8C261D2E08B2}"/>
    <cellStyle name="Comma 4 3 2 5 7 2" xfId="23271" xr:uid="{3B70FAFD-4DB5-4C4B-BD41-0863847546CD}"/>
    <cellStyle name="Comma 4 3 2 5 7 2 2" xfId="53511" xr:uid="{B80DB205-88E1-4F0B-B588-247AAF81A663}"/>
    <cellStyle name="Comma 4 3 2 5 7 3" xfId="38391" xr:uid="{46524EF2-5764-4C7C-86D6-63D613D7F9D6}"/>
    <cellStyle name="Comma 4 3 2 5 8" xfId="9663" xr:uid="{92D3F1AA-429F-473A-A8EF-D0AFFAA396A0}"/>
    <cellStyle name="Comma 4 3 2 5 8 2" xfId="24783" xr:uid="{846E461D-0089-41AF-AC27-1FAAA0166E66}"/>
    <cellStyle name="Comma 4 3 2 5 8 2 2" xfId="55023" xr:uid="{CA12CAA1-6FF8-4667-B800-B89D71CFA7F9}"/>
    <cellStyle name="Comma 4 3 2 5 8 3" xfId="39903" xr:uid="{C0B49D6C-3D9E-4AA2-ABBE-EC0B84669F8C}"/>
    <cellStyle name="Comma 4 3 2 5 9" xfId="15711" xr:uid="{6B16203C-294F-444D-9B30-7817F4994C34}"/>
    <cellStyle name="Comma 4 3 2 5 9 2" xfId="45951" xr:uid="{4E6A13D2-4056-42EF-9C75-64AB52E3D8D9}"/>
    <cellStyle name="Comma 4 3 2 6" xfId="843" xr:uid="{F8C699A9-74C7-4ED5-AFB1-B0751B3B9135}"/>
    <cellStyle name="Comma 4 3 2 6 2" xfId="2355" xr:uid="{57183503-15ED-4065-86A5-7393F35CCFE0}"/>
    <cellStyle name="Comma 4 3 2 6 2 2" xfId="11427" xr:uid="{9BAD7A6A-E75F-475A-ACE9-37D75A9C70BD}"/>
    <cellStyle name="Comma 4 3 2 6 2 2 2" xfId="26547" xr:uid="{54C76F99-4047-4D27-991F-B17C8329EBAD}"/>
    <cellStyle name="Comma 4 3 2 6 2 2 2 2" xfId="56787" xr:uid="{EC699277-4E02-4B65-A975-121B03D9AFB8}"/>
    <cellStyle name="Comma 4 3 2 6 2 2 3" xfId="41667" xr:uid="{6C859159-5679-4586-820E-D01C38AAF417}"/>
    <cellStyle name="Comma 4 3 2 6 2 3" xfId="17475" xr:uid="{18B5BA5E-91C1-4CDC-8814-082639D244AB}"/>
    <cellStyle name="Comma 4 3 2 6 2 3 2" xfId="47715" xr:uid="{5C24047E-6A8C-47E2-A65F-6A3D74011057}"/>
    <cellStyle name="Comma 4 3 2 6 2 4" xfId="32595" xr:uid="{FCD9CD10-9568-4EE4-A496-E294A579FFC1}"/>
    <cellStyle name="Comma 4 3 2 6 3" xfId="3867" xr:uid="{019398A2-146D-49FB-A35A-FA546D734EF1}"/>
    <cellStyle name="Comma 4 3 2 6 3 2" xfId="12939" xr:uid="{AD41983F-B1C0-414A-9AA4-A74C702F5DE1}"/>
    <cellStyle name="Comma 4 3 2 6 3 2 2" xfId="28059" xr:uid="{9EF1C215-EF43-4F03-9849-60CB2CC7E3EC}"/>
    <cellStyle name="Comma 4 3 2 6 3 2 2 2" xfId="58299" xr:uid="{C23D0967-BF38-4EB9-824E-1390A24BD690}"/>
    <cellStyle name="Comma 4 3 2 6 3 2 3" xfId="43179" xr:uid="{023764BF-2DF3-44E7-A61A-39F8BEC5B6CD}"/>
    <cellStyle name="Comma 4 3 2 6 3 3" xfId="18987" xr:uid="{2A5DB6B6-1EEA-4102-BFB5-54740AE421DE}"/>
    <cellStyle name="Comma 4 3 2 6 3 3 2" xfId="49227" xr:uid="{FC70367A-204F-478A-BC92-8A0D00B23D57}"/>
    <cellStyle name="Comma 4 3 2 6 3 4" xfId="34107" xr:uid="{E9BD3A6A-4C39-4E70-84E4-2806ABD94947}"/>
    <cellStyle name="Comma 4 3 2 6 4" xfId="5379" xr:uid="{1CDC1604-2A7A-471D-9ECC-5245EAC382A1}"/>
    <cellStyle name="Comma 4 3 2 6 4 2" xfId="14451" xr:uid="{904BD903-2DE6-43CA-9D89-7797A1E88B7D}"/>
    <cellStyle name="Comma 4 3 2 6 4 2 2" xfId="29571" xr:uid="{276E120B-B13A-4398-B454-471B759D635D}"/>
    <cellStyle name="Comma 4 3 2 6 4 2 2 2" xfId="59811" xr:uid="{2BD47D27-3600-4B35-8235-428F188E070F}"/>
    <cellStyle name="Comma 4 3 2 6 4 2 3" xfId="44691" xr:uid="{B10D81D0-ED53-4BFE-90F7-07AC4A544077}"/>
    <cellStyle name="Comma 4 3 2 6 4 3" xfId="20499" xr:uid="{06B3CF36-165A-49E1-B94F-142F590E2928}"/>
    <cellStyle name="Comma 4 3 2 6 4 3 2" xfId="50739" xr:uid="{B914E030-4761-4FDD-9546-62209A869D82}"/>
    <cellStyle name="Comma 4 3 2 6 4 4" xfId="35619" xr:uid="{5900D1C7-4EEF-41CB-B36D-2A7C3AEAD70E}"/>
    <cellStyle name="Comma 4 3 2 6 5" xfId="6891" xr:uid="{3AA14794-7F60-4C6E-ACE5-C785C5DBA80C}"/>
    <cellStyle name="Comma 4 3 2 6 5 2" xfId="22011" xr:uid="{15719848-4435-4FA9-A7C6-8B2471C415EC}"/>
    <cellStyle name="Comma 4 3 2 6 5 2 2" xfId="52251" xr:uid="{412B7B13-37C9-48BC-854D-B7C6F61018B8}"/>
    <cellStyle name="Comma 4 3 2 6 5 3" xfId="37131" xr:uid="{2FF921A4-583D-42FE-9267-76C4D51CE2EF}"/>
    <cellStyle name="Comma 4 3 2 6 6" xfId="8403" xr:uid="{CE9C1521-3AC7-4B9F-8174-9F0EBF152755}"/>
    <cellStyle name="Comma 4 3 2 6 6 2" xfId="23523" xr:uid="{5D83FF9F-3D6B-43C7-A8C6-330EA699DACF}"/>
    <cellStyle name="Comma 4 3 2 6 6 2 2" xfId="53763" xr:uid="{EFE827E9-C41F-4824-86A1-0CE7329F66B0}"/>
    <cellStyle name="Comma 4 3 2 6 6 3" xfId="38643" xr:uid="{4A5E7B62-C443-4A7E-BFD3-760CC381E14E}"/>
    <cellStyle name="Comma 4 3 2 6 7" xfId="9915" xr:uid="{1B99A01C-4C55-48AE-B1DD-B0173E5ED2E6}"/>
    <cellStyle name="Comma 4 3 2 6 7 2" xfId="25035" xr:uid="{F639E691-5B96-4E7C-8439-86593CB17037}"/>
    <cellStyle name="Comma 4 3 2 6 7 2 2" xfId="55275" xr:uid="{E6DF9CDE-29FF-4306-A348-3B401FF68390}"/>
    <cellStyle name="Comma 4 3 2 6 7 3" xfId="40155" xr:uid="{5A21C7B6-C2F6-4B64-B0BD-18583D51CBE4}"/>
    <cellStyle name="Comma 4 3 2 6 8" xfId="15963" xr:uid="{02756D35-9835-427E-A893-2EBBF319DB74}"/>
    <cellStyle name="Comma 4 3 2 6 8 2" xfId="46203" xr:uid="{79B4EDC1-EC3D-49B6-8660-09ECCB6569B2}"/>
    <cellStyle name="Comma 4 3 2 6 9" xfId="31083" xr:uid="{41A50880-20B8-4286-B590-A898A544D070}"/>
    <cellStyle name="Comma 4 3 2 7" xfId="1599" xr:uid="{FBD5C6F9-C140-4E75-AD71-C338AF8F010D}"/>
    <cellStyle name="Comma 4 3 2 7 2" xfId="10671" xr:uid="{09C3A19C-6F55-4DAF-A939-02D0E7C62F36}"/>
    <cellStyle name="Comma 4 3 2 7 2 2" xfId="25791" xr:uid="{A1AA55DB-DEA4-4B62-A72B-2A74C3C3162C}"/>
    <cellStyle name="Comma 4 3 2 7 2 2 2" xfId="56031" xr:uid="{2DFE3E42-10D1-492D-8E4C-A88A2EB59D80}"/>
    <cellStyle name="Comma 4 3 2 7 2 3" xfId="40911" xr:uid="{FF8EE4C3-E0D7-49AB-A527-38B436289DF0}"/>
    <cellStyle name="Comma 4 3 2 7 3" xfId="16719" xr:uid="{39A6E16F-E1B5-45FF-A58D-C559435A1C69}"/>
    <cellStyle name="Comma 4 3 2 7 3 2" xfId="46959" xr:uid="{B9EEB3D0-DD3D-4012-9AAC-26D874A03A52}"/>
    <cellStyle name="Comma 4 3 2 7 4" xfId="31839" xr:uid="{830381BC-A5A0-425E-AB50-05472DB15AB5}"/>
    <cellStyle name="Comma 4 3 2 8" xfId="3111" xr:uid="{617EA464-531B-4B3E-91AA-1FE6DBDDEE0C}"/>
    <cellStyle name="Comma 4 3 2 8 2" xfId="12183" xr:uid="{B762E16A-BFEE-4C29-8264-C0038FF2CC52}"/>
    <cellStyle name="Comma 4 3 2 8 2 2" xfId="27303" xr:uid="{530DD5AC-EECA-4D8F-9816-E12D3814A669}"/>
    <cellStyle name="Comma 4 3 2 8 2 2 2" xfId="57543" xr:uid="{D8A7BF7C-5211-4C1F-A556-B9A939C645E2}"/>
    <cellStyle name="Comma 4 3 2 8 2 3" xfId="42423" xr:uid="{C50C0043-8FE9-488D-AF34-D20A3A2E08D8}"/>
    <cellStyle name="Comma 4 3 2 8 3" xfId="18231" xr:uid="{D0007DD3-78CE-4378-A1AE-FDEBBC3FC29B}"/>
    <cellStyle name="Comma 4 3 2 8 3 2" xfId="48471" xr:uid="{AD77C21A-4355-4D87-80D1-7C277EB9CFC2}"/>
    <cellStyle name="Comma 4 3 2 8 4" xfId="33351" xr:uid="{23EDC8C5-5C0D-4CE4-83F4-E52FDC65A488}"/>
    <cellStyle name="Comma 4 3 2 9" xfId="4623" xr:uid="{843CE0D5-3449-44E8-8C7B-8E904657520D}"/>
    <cellStyle name="Comma 4 3 2 9 2" xfId="13695" xr:uid="{5414072A-E7D5-4310-AE30-0FBE05379D79}"/>
    <cellStyle name="Comma 4 3 2 9 2 2" xfId="28815" xr:uid="{5E12397A-B449-45C4-A1F0-85BE5E4C2346}"/>
    <cellStyle name="Comma 4 3 2 9 2 2 2" xfId="59055" xr:uid="{8C4A04C8-8128-48D1-BE77-D822DA915537}"/>
    <cellStyle name="Comma 4 3 2 9 2 3" xfId="43935" xr:uid="{C025F201-EFE4-4C57-B1B0-B4DE61EB1F7C}"/>
    <cellStyle name="Comma 4 3 2 9 3" xfId="19743" xr:uid="{7A6703DC-EF3A-43FD-A13D-67BBCB0E6CB1}"/>
    <cellStyle name="Comma 4 3 2 9 3 2" xfId="49983" xr:uid="{6DAF8D2A-6848-442D-9067-A44E2563F548}"/>
    <cellStyle name="Comma 4 3 2 9 4" xfId="34863" xr:uid="{5ED09BEF-64CD-4A62-9724-DCAE123464FB}"/>
    <cellStyle name="Comma 4 3 3" xfId="129" xr:uid="{5302DDE7-927B-48FE-94F8-09728AC0F383}"/>
    <cellStyle name="Comma 4 3 3 10" xfId="9201" xr:uid="{16F2AB55-B741-4E24-9EBE-1E76E3097809}"/>
    <cellStyle name="Comma 4 3 3 10 2" xfId="24321" xr:uid="{B623C151-B7B5-419E-B07E-FDC83BE00439}"/>
    <cellStyle name="Comma 4 3 3 10 2 2" xfId="54561" xr:uid="{2C80B356-4D61-4517-B665-EAF5D2B93BBE}"/>
    <cellStyle name="Comma 4 3 3 10 3" xfId="39441" xr:uid="{F1A5521B-2111-44F6-A41F-8F10108F66A2}"/>
    <cellStyle name="Comma 4 3 3 11" xfId="15249" xr:uid="{A2208791-9148-436C-8936-957C4B013E70}"/>
    <cellStyle name="Comma 4 3 3 11 2" xfId="45489" xr:uid="{91900EA8-05CB-44A4-8EF7-ED93CB54EA16}"/>
    <cellStyle name="Comma 4 3 3 12" xfId="30369" xr:uid="{7FF60E95-C0E7-4297-A07D-37E00A5ECDAB}"/>
    <cellStyle name="Comma 4 3 3 2" xfId="381" xr:uid="{59C6752E-2FEF-4230-B6DF-A0B0C0C508D1}"/>
    <cellStyle name="Comma 4 3 3 2 10" xfId="30621" xr:uid="{7417410E-B923-4F80-BB11-97513CF150CE}"/>
    <cellStyle name="Comma 4 3 3 2 2" xfId="1137" xr:uid="{18655610-D0D8-4D74-9D6A-05C6812E4CB3}"/>
    <cellStyle name="Comma 4 3 3 2 2 2" xfId="2649" xr:uid="{AC28A552-A091-4C9B-8DDF-3577D5B6F4C4}"/>
    <cellStyle name="Comma 4 3 3 2 2 2 2" xfId="11721" xr:uid="{7F632CD9-AA20-4475-ACE8-13BE26B7FA2D}"/>
    <cellStyle name="Comma 4 3 3 2 2 2 2 2" xfId="26841" xr:uid="{9E06CADF-6D73-4C9A-8F36-DF0BF652F042}"/>
    <cellStyle name="Comma 4 3 3 2 2 2 2 2 2" xfId="57081" xr:uid="{C71E3180-B3AB-4B93-A21E-D710BD235D86}"/>
    <cellStyle name="Comma 4 3 3 2 2 2 2 3" xfId="41961" xr:uid="{68401B5C-E249-4CF7-AF15-07C7F7C91C19}"/>
    <cellStyle name="Comma 4 3 3 2 2 2 3" xfId="17769" xr:uid="{023819E4-317B-4D0A-B5A2-947BA764943C}"/>
    <cellStyle name="Comma 4 3 3 2 2 2 3 2" xfId="48009" xr:uid="{DD85D14A-B6F6-4001-A617-19260D851386}"/>
    <cellStyle name="Comma 4 3 3 2 2 2 4" xfId="32889" xr:uid="{DBA57187-A298-4403-816E-EAB09BCC9307}"/>
    <cellStyle name="Comma 4 3 3 2 2 3" xfId="4161" xr:uid="{49B37AB0-0277-4299-ADD9-EBF08AE3F48D}"/>
    <cellStyle name="Comma 4 3 3 2 2 3 2" xfId="13233" xr:uid="{14308C6A-4C20-4ED9-8B4E-B2FF150E6F73}"/>
    <cellStyle name="Comma 4 3 3 2 2 3 2 2" xfId="28353" xr:uid="{E092B6FA-F682-49A4-BA95-39803336F1B8}"/>
    <cellStyle name="Comma 4 3 3 2 2 3 2 2 2" xfId="58593" xr:uid="{2521C203-2DC2-42A5-AC0F-431D639EFCC0}"/>
    <cellStyle name="Comma 4 3 3 2 2 3 2 3" xfId="43473" xr:uid="{93D4E443-930A-4D47-830C-A868ACA4A836}"/>
    <cellStyle name="Comma 4 3 3 2 2 3 3" xfId="19281" xr:uid="{C85623A5-03A9-401B-9246-DBC209D77025}"/>
    <cellStyle name="Comma 4 3 3 2 2 3 3 2" xfId="49521" xr:uid="{7B333B6A-FDDA-414E-BE99-9086F2A54594}"/>
    <cellStyle name="Comma 4 3 3 2 2 3 4" xfId="34401" xr:uid="{0EC4576D-60C3-44EC-AD0C-5D08A98C9180}"/>
    <cellStyle name="Comma 4 3 3 2 2 4" xfId="5673" xr:uid="{30127C1C-80F0-4559-AB05-6F25102B90FB}"/>
    <cellStyle name="Comma 4 3 3 2 2 4 2" xfId="14745" xr:uid="{9559798D-08D6-461B-9C55-A3E863ECEFC7}"/>
    <cellStyle name="Comma 4 3 3 2 2 4 2 2" xfId="29865" xr:uid="{D798E3C6-20F3-428D-AAB1-F65940BC02F0}"/>
    <cellStyle name="Comma 4 3 3 2 2 4 2 2 2" xfId="60105" xr:uid="{000EED6E-F310-4A59-A4BE-0568AAE07EE7}"/>
    <cellStyle name="Comma 4 3 3 2 2 4 2 3" xfId="44985" xr:uid="{2C80F868-41CE-4166-B855-1B2B8031FE26}"/>
    <cellStyle name="Comma 4 3 3 2 2 4 3" xfId="20793" xr:uid="{F5F7744B-31D5-4392-8E05-62F3B9223AD8}"/>
    <cellStyle name="Comma 4 3 3 2 2 4 3 2" xfId="51033" xr:uid="{02852862-4876-489F-9F7F-D8AB65333F03}"/>
    <cellStyle name="Comma 4 3 3 2 2 4 4" xfId="35913" xr:uid="{B169AE0B-290A-44AB-A571-04942FBBD691}"/>
    <cellStyle name="Comma 4 3 3 2 2 5" xfId="7185" xr:uid="{93CFBF0A-ADA9-42D3-80D5-93B1A88DD68F}"/>
    <cellStyle name="Comma 4 3 3 2 2 5 2" xfId="22305" xr:uid="{8494F7F8-4F65-4246-89D8-F27ECBE46791}"/>
    <cellStyle name="Comma 4 3 3 2 2 5 2 2" xfId="52545" xr:uid="{323DFE9A-D92A-4797-873C-C10A943CB610}"/>
    <cellStyle name="Comma 4 3 3 2 2 5 3" xfId="37425" xr:uid="{B4EB3C5C-02BB-42C5-8A45-2930A6C0B404}"/>
    <cellStyle name="Comma 4 3 3 2 2 6" xfId="8697" xr:uid="{0EFEC924-131C-4514-9967-4FC59DFA77C7}"/>
    <cellStyle name="Comma 4 3 3 2 2 6 2" xfId="23817" xr:uid="{D25F0ACC-875D-45D6-96BC-50B981AECFE0}"/>
    <cellStyle name="Comma 4 3 3 2 2 6 2 2" xfId="54057" xr:uid="{2D376451-F49A-41B2-A717-FD501A4FFF6F}"/>
    <cellStyle name="Comma 4 3 3 2 2 6 3" xfId="38937" xr:uid="{AD19D9B9-07D1-4450-AFFD-679A2FEB2D2B}"/>
    <cellStyle name="Comma 4 3 3 2 2 7" xfId="10209" xr:uid="{A933C16F-BCB3-4527-B88C-F664FDDD8715}"/>
    <cellStyle name="Comma 4 3 3 2 2 7 2" xfId="25329" xr:uid="{4BEEB730-73A4-4F6A-A1B4-123CDD5C4D6D}"/>
    <cellStyle name="Comma 4 3 3 2 2 7 2 2" xfId="55569" xr:uid="{7178B17A-FD10-4D51-AF6D-7ACF6304754C}"/>
    <cellStyle name="Comma 4 3 3 2 2 7 3" xfId="40449" xr:uid="{E5F9525F-5075-4FB6-A897-D16575B45655}"/>
    <cellStyle name="Comma 4 3 3 2 2 8" xfId="16257" xr:uid="{5891E2B2-8C34-4CA6-887D-F6A4DEA801B2}"/>
    <cellStyle name="Comma 4 3 3 2 2 8 2" xfId="46497" xr:uid="{66B79A3F-1FD3-42CC-8884-23F50F4316DA}"/>
    <cellStyle name="Comma 4 3 3 2 2 9" xfId="31377" xr:uid="{67A310B3-4F2D-4160-B7FA-F21AD6D2F150}"/>
    <cellStyle name="Comma 4 3 3 2 3" xfId="1893" xr:uid="{68B5FA76-81E7-4DEB-A20F-C167A3A4F418}"/>
    <cellStyle name="Comma 4 3 3 2 3 2" xfId="10965" xr:uid="{C0C68DA8-DF65-48EB-B895-B1D75F2B05A7}"/>
    <cellStyle name="Comma 4 3 3 2 3 2 2" xfId="26085" xr:uid="{0A3606AF-B4C9-462A-ABF5-B5078DC2602F}"/>
    <cellStyle name="Comma 4 3 3 2 3 2 2 2" xfId="56325" xr:uid="{1D9E4EF1-1EA9-4208-9A56-5A8DCB6A39F7}"/>
    <cellStyle name="Comma 4 3 3 2 3 2 3" xfId="41205" xr:uid="{8E5C6EE0-EF0E-454E-866E-64DC7C6C30A0}"/>
    <cellStyle name="Comma 4 3 3 2 3 3" xfId="17013" xr:uid="{D5529AC1-8AAD-4AD6-879D-DAD28668C3BD}"/>
    <cellStyle name="Comma 4 3 3 2 3 3 2" xfId="47253" xr:uid="{AC4DB2B8-539E-4F24-92F0-E9561A9A22F3}"/>
    <cellStyle name="Comma 4 3 3 2 3 4" xfId="32133" xr:uid="{C28858FF-FE34-47F8-B296-AB923E83B13E}"/>
    <cellStyle name="Comma 4 3 3 2 4" xfId="3405" xr:uid="{147B3D87-4B0E-45F6-8595-64DC4A80A94F}"/>
    <cellStyle name="Comma 4 3 3 2 4 2" xfId="12477" xr:uid="{811E7D69-2D9E-4CD1-9DC0-5D5B02ECD626}"/>
    <cellStyle name="Comma 4 3 3 2 4 2 2" xfId="27597" xr:uid="{F3712FCE-E710-416E-888C-D92FFCCCB3F5}"/>
    <cellStyle name="Comma 4 3 3 2 4 2 2 2" xfId="57837" xr:uid="{94EC865E-A01F-49AE-BA75-5B8FD7E12174}"/>
    <cellStyle name="Comma 4 3 3 2 4 2 3" xfId="42717" xr:uid="{36366699-6FE8-4E07-B6C3-65D0CBA74BED}"/>
    <cellStyle name="Comma 4 3 3 2 4 3" xfId="18525" xr:uid="{42464981-7028-4291-8602-C2599ED9F4FA}"/>
    <cellStyle name="Comma 4 3 3 2 4 3 2" xfId="48765" xr:uid="{9F304932-D017-4097-91A8-B750939573EE}"/>
    <cellStyle name="Comma 4 3 3 2 4 4" xfId="33645" xr:uid="{EF042A48-1317-459F-BDEF-DA7B362F2BA0}"/>
    <cellStyle name="Comma 4 3 3 2 5" xfId="4917" xr:uid="{0D03EF1D-0914-4512-A7D0-32F2DB748163}"/>
    <cellStyle name="Comma 4 3 3 2 5 2" xfId="13989" xr:uid="{CF1F2EB9-5336-4783-A77E-D4DF2A0F4634}"/>
    <cellStyle name="Comma 4 3 3 2 5 2 2" xfId="29109" xr:uid="{333B3C85-C9D0-482D-A930-DDCF10583A39}"/>
    <cellStyle name="Comma 4 3 3 2 5 2 2 2" xfId="59349" xr:uid="{E4B48032-37E6-4BC8-BE1B-CCA09AD16503}"/>
    <cellStyle name="Comma 4 3 3 2 5 2 3" xfId="44229" xr:uid="{843974E3-A5CC-40E9-963E-D05C583B9835}"/>
    <cellStyle name="Comma 4 3 3 2 5 3" xfId="20037" xr:uid="{B1866F2E-4C94-4E78-8D8A-72464F08E54C}"/>
    <cellStyle name="Comma 4 3 3 2 5 3 2" xfId="50277" xr:uid="{74B82685-7DB0-411B-B661-DF5CF3407E79}"/>
    <cellStyle name="Comma 4 3 3 2 5 4" xfId="35157" xr:uid="{90800658-E30E-430B-95B5-E4DF1717A25C}"/>
    <cellStyle name="Comma 4 3 3 2 6" xfId="6429" xr:uid="{9FCBF1EB-5A7A-423F-8B70-D9357195F141}"/>
    <cellStyle name="Comma 4 3 3 2 6 2" xfId="21549" xr:uid="{08F36417-64BF-41AF-A461-BD42F889C4E7}"/>
    <cellStyle name="Comma 4 3 3 2 6 2 2" xfId="51789" xr:uid="{783C0964-3515-4B38-8559-C61C5463BDCF}"/>
    <cellStyle name="Comma 4 3 3 2 6 3" xfId="36669" xr:uid="{C35F3798-A7E9-4ED2-8802-4B80723EAC03}"/>
    <cellStyle name="Comma 4 3 3 2 7" xfId="7941" xr:uid="{A2569C80-FB63-4F15-A80F-A74B097F34CD}"/>
    <cellStyle name="Comma 4 3 3 2 7 2" xfId="23061" xr:uid="{92324CB3-F140-4634-AFD1-AD0457343F04}"/>
    <cellStyle name="Comma 4 3 3 2 7 2 2" xfId="53301" xr:uid="{783F477D-BB88-4047-96E8-58DDD6BD3BF1}"/>
    <cellStyle name="Comma 4 3 3 2 7 3" xfId="38181" xr:uid="{3CD2E3BD-4511-4D82-8B44-6958BD7CD2D7}"/>
    <cellStyle name="Comma 4 3 3 2 8" xfId="9453" xr:uid="{F0F5CDE1-999B-4A50-82E4-3C133404CF44}"/>
    <cellStyle name="Comma 4 3 3 2 8 2" xfId="24573" xr:uid="{5A3364A7-40BA-4B6E-A437-81806B78E94E}"/>
    <cellStyle name="Comma 4 3 3 2 8 2 2" xfId="54813" xr:uid="{1D679F0B-5435-4792-B2D4-A419249CD2EB}"/>
    <cellStyle name="Comma 4 3 3 2 8 3" xfId="39693" xr:uid="{6FD6D032-53AF-44AB-8794-5B7F71435C68}"/>
    <cellStyle name="Comma 4 3 3 2 9" xfId="15501" xr:uid="{0065218C-6FF6-4BC8-A44A-97D236302FD7}"/>
    <cellStyle name="Comma 4 3 3 2 9 2" xfId="45741" xr:uid="{AD3B8C73-30F9-4F0E-8E3A-98D3877D0457}"/>
    <cellStyle name="Comma 4 3 3 3" xfId="633" xr:uid="{71DCB7EA-A151-4CA1-9294-74356167579A}"/>
    <cellStyle name="Comma 4 3 3 3 10" xfId="30873" xr:uid="{B53C57F4-1DF8-4B04-8630-C6753364E3D6}"/>
    <cellStyle name="Comma 4 3 3 3 2" xfId="1389" xr:uid="{74EED889-CD5F-4258-AA33-E0EAA6F8310E}"/>
    <cellStyle name="Comma 4 3 3 3 2 2" xfId="2901" xr:uid="{1DE615D5-B533-47CC-8788-2C2D987C3ABE}"/>
    <cellStyle name="Comma 4 3 3 3 2 2 2" xfId="11973" xr:uid="{FCA488B8-C41E-4BDA-B425-579CBF0B83F4}"/>
    <cellStyle name="Comma 4 3 3 3 2 2 2 2" xfId="27093" xr:uid="{10C5D3FB-445B-4795-B00F-78EE8BFD1DBA}"/>
    <cellStyle name="Comma 4 3 3 3 2 2 2 2 2" xfId="57333" xr:uid="{93FD348E-897B-46D1-AFC9-174AFA5A4DC9}"/>
    <cellStyle name="Comma 4 3 3 3 2 2 2 3" xfId="42213" xr:uid="{518D26E4-674E-449B-8C99-56AFFE22AA1A}"/>
    <cellStyle name="Comma 4 3 3 3 2 2 3" xfId="18021" xr:uid="{DA377B54-69BE-4D2F-94DD-8CAE1E8A0B76}"/>
    <cellStyle name="Comma 4 3 3 3 2 2 3 2" xfId="48261" xr:uid="{4FB1563F-7CB1-437D-ADE0-2C8FA160269F}"/>
    <cellStyle name="Comma 4 3 3 3 2 2 4" xfId="33141" xr:uid="{B512188F-1E70-4C6C-9683-A975B0402D60}"/>
    <cellStyle name="Comma 4 3 3 3 2 3" xfId="4413" xr:uid="{84B0E915-E1D8-4227-A434-DCF4BBD2826A}"/>
    <cellStyle name="Comma 4 3 3 3 2 3 2" xfId="13485" xr:uid="{AEED4E62-601F-4B12-B0B1-1B374EA56466}"/>
    <cellStyle name="Comma 4 3 3 3 2 3 2 2" xfId="28605" xr:uid="{262AA011-6D15-4F8C-8AEF-935DA4F8B864}"/>
    <cellStyle name="Comma 4 3 3 3 2 3 2 2 2" xfId="58845" xr:uid="{4251D177-3DEE-4AE3-9E52-E3C32D03E9F6}"/>
    <cellStyle name="Comma 4 3 3 3 2 3 2 3" xfId="43725" xr:uid="{EAC32632-830D-4940-A158-BD1CCEB0EE64}"/>
    <cellStyle name="Comma 4 3 3 3 2 3 3" xfId="19533" xr:uid="{E1F01C3B-B580-4EDD-9CB4-5ECA80328418}"/>
    <cellStyle name="Comma 4 3 3 3 2 3 3 2" xfId="49773" xr:uid="{63E4E852-8F42-41E1-9178-E07645AB1EB0}"/>
    <cellStyle name="Comma 4 3 3 3 2 3 4" xfId="34653" xr:uid="{C8A87BE5-3A86-4D21-BF58-8D5194D6702D}"/>
    <cellStyle name="Comma 4 3 3 3 2 4" xfId="5925" xr:uid="{AB933F93-35A0-4D55-AC15-652D13CECFE0}"/>
    <cellStyle name="Comma 4 3 3 3 2 4 2" xfId="14997" xr:uid="{CDDA4B43-1CFD-4C9B-A18A-3044E3DAD38C}"/>
    <cellStyle name="Comma 4 3 3 3 2 4 2 2" xfId="30117" xr:uid="{CC9260F4-6D15-4C2B-8151-AB852A2266AE}"/>
    <cellStyle name="Comma 4 3 3 3 2 4 2 2 2" xfId="60357" xr:uid="{AB3164A7-56AC-4C87-9764-1E95F0C8FBFF}"/>
    <cellStyle name="Comma 4 3 3 3 2 4 2 3" xfId="45237" xr:uid="{2BBFD103-C0CF-47B5-9CB7-19E9ADABEA1F}"/>
    <cellStyle name="Comma 4 3 3 3 2 4 3" xfId="21045" xr:uid="{13F454E0-2C19-40BA-9C21-A13EE7327605}"/>
    <cellStyle name="Comma 4 3 3 3 2 4 3 2" xfId="51285" xr:uid="{FBBF11CA-6FDB-4C3E-BE07-7FC40DA6E355}"/>
    <cellStyle name="Comma 4 3 3 3 2 4 4" xfId="36165" xr:uid="{25E8B16A-7B1F-4D5F-BDE2-58CF30083495}"/>
    <cellStyle name="Comma 4 3 3 3 2 5" xfId="7437" xr:uid="{4B57EF49-CFE1-478C-8764-C04830ABAC91}"/>
    <cellStyle name="Comma 4 3 3 3 2 5 2" xfId="22557" xr:uid="{ECEF18F1-3DA5-4D8B-908C-E6E58C84F2B9}"/>
    <cellStyle name="Comma 4 3 3 3 2 5 2 2" xfId="52797" xr:uid="{2D80A65C-DD4D-4D89-8208-347EFF07EB24}"/>
    <cellStyle name="Comma 4 3 3 3 2 5 3" xfId="37677" xr:uid="{E8DD68A5-591B-49BC-9621-8E18656FE961}"/>
    <cellStyle name="Comma 4 3 3 3 2 6" xfId="8949" xr:uid="{DDC78D16-9D53-4F7C-8F70-45237C91D6AE}"/>
    <cellStyle name="Comma 4 3 3 3 2 6 2" xfId="24069" xr:uid="{21959670-B8F6-49C0-8453-3A88ED4B7CD1}"/>
    <cellStyle name="Comma 4 3 3 3 2 6 2 2" xfId="54309" xr:uid="{C9A0AA14-ABE9-49F9-BF11-BAF2F99556CC}"/>
    <cellStyle name="Comma 4 3 3 3 2 6 3" xfId="39189" xr:uid="{E78D3AB3-EBE4-498A-A679-5104A711D304}"/>
    <cellStyle name="Comma 4 3 3 3 2 7" xfId="10461" xr:uid="{088648B7-25E7-4E14-B8BF-33ECA7435BE1}"/>
    <cellStyle name="Comma 4 3 3 3 2 7 2" xfId="25581" xr:uid="{14348C2F-7084-49B2-BC20-2056C9F07C7F}"/>
    <cellStyle name="Comma 4 3 3 3 2 7 2 2" xfId="55821" xr:uid="{95785F11-9118-4201-BFF6-35650C31E62C}"/>
    <cellStyle name="Comma 4 3 3 3 2 7 3" xfId="40701" xr:uid="{5C40B53F-8A95-49BC-B240-3C6298042640}"/>
    <cellStyle name="Comma 4 3 3 3 2 8" xfId="16509" xr:uid="{49954B1E-E3CC-4EDE-A604-44FC6DF0B944}"/>
    <cellStyle name="Comma 4 3 3 3 2 8 2" xfId="46749" xr:uid="{EF478060-564E-4679-93BE-CCDCE82CE0EA}"/>
    <cellStyle name="Comma 4 3 3 3 2 9" xfId="31629" xr:uid="{018ED58A-06A9-4225-BCE1-99B2D65F0490}"/>
    <cellStyle name="Comma 4 3 3 3 3" xfId="2145" xr:uid="{F8BDF380-D77E-487B-B8BC-06B9F521CA88}"/>
    <cellStyle name="Comma 4 3 3 3 3 2" xfId="11217" xr:uid="{1A328C5E-F18B-4D01-9D17-7CE71573AC48}"/>
    <cellStyle name="Comma 4 3 3 3 3 2 2" xfId="26337" xr:uid="{1B79C085-8F98-4B77-92D0-887BAFCE56B2}"/>
    <cellStyle name="Comma 4 3 3 3 3 2 2 2" xfId="56577" xr:uid="{86DBDB3A-50C7-4CC0-A4B4-E4C1C47D2812}"/>
    <cellStyle name="Comma 4 3 3 3 3 2 3" xfId="41457" xr:uid="{DE1F097A-7CAD-4A93-A385-DA30AB5FEA4D}"/>
    <cellStyle name="Comma 4 3 3 3 3 3" xfId="17265" xr:uid="{CCFD6B0F-4F78-4FF1-AA87-0A453B51EBBE}"/>
    <cellStyle name="Comma 4 3 3 3 3 3 2" xfId="47505" xr:uid="{8D5F5922-C8B6-4AB5-BE4C-B12F1B1E10C2}"/>
    <cellStyle name="Comma 4 3 3 3 3 4" xfId="32385" xr:uid="{C4932B7B-2826-4CE8-8159-43BFE3B86CDC}"/>
    <cellStyle name="Comma 4 3 3 3 4" xfId="3657" xr:uid="{F0F1879B-1C14-4A73-9B5E-7BC7BFE4ABBE}"/>
    <cellStyle name="Comma 4 3 3 3 4 2" xfId="12729" xr:uid="{1732D495-1631-4B09-A3E5-A50E529CA801}"/>
    <cellStyle name="Comma 4 3 3 3 4 2 2" xfId="27849" xr:uid="{E224857E-CC91-4008-A0E7-0B687B29BA06}"/>
    <cellStyle name="Comma 4 3 3 3 4 2 2 2" xfId="58089" xr:uid="{D8C29A27-B82B-45A0-9803-96F758282A0C}"/>
    <cellStyle name="Comma 4 3 3 3 4 2 3" xfId="42969" xr:uid="{F0B9B672-3F44-4F55-ACD3-2A4D66C796BE}"/>
    <cellStyle name="Comma 4 3 3 3 4 3" xfId="18777" xr:uid="{3E64D1CE-8C4F-40F9-B669-B887D7494925}"/>
    <cellStyle name="Comma 4 3 3 3 4 3 2" xfId="49017" xr:uid="{409686B2-8C8B-4B3A-A066-DD778E1FA30C}"/>
    <cellStyle name="Comma 4 3 3 3 4 4" xfId="33897" xr:uid="{1AD743FB-04F1-4AF5-B3B7-78C4631DC336}"/>
    <cellStyle name="Comma 4 3 3 3 5" xfId="5169" xr:uid="{123A52A2-B856-4C5D-AACA-DB28CFB7E0B3}"/>
    <cellStyle name="Comma 4 3 3 3 5 2" xfId="14241" xr:uid="{894D4DDF-9D79-46FF-95F0-8B7B9EAA53C6}"/>
    <cellStyle name="Comma 4 3 3 3 5 2 2" xfId="29361" xr:uid="{F6AF1CB3-F9C2-4B9F-9ECB-DDB8AE6DE041}"/>
    <cellStyle name="Comma 4 3 3 3 5 2 2 2" xfId="59601" xr:uid="{6A065F1D-5336-4459-A7D3-B17E485F8BD1}"/>
    <cellStyle name="Comma 4 3 3 3 5 2 3" xfId="44481" xr:uid="{DEFA76FF-59C6-4AEC-AF49-E27D03D6D181}"/>
    <cellStyle name="Comma 4 3 3 3 5 3" xfId="20289" xr:uid="{7C57817C-816E-4DCA-B913-346FD1D4BB7A}"/>
    <cellStyle name="Comma 4 3 3 3 5 3 2" xfId="50529" xr:uid="{3A8B7E33-6D60-43A9-9970-3834DF4C4884}"/>
    <cellStyle name="Comma 4 3 3 3 5 4" xfId="35409" xr:uid="{B688F6DA-E1B2-4259-87BC-2CECEE5A53E4}"/>
    <cellStyle name="Comma 4 3 3 3 6" xfId="6681" xr:uid="{A82776D9-E426-4297-86C2-B5D85D9E3DDA}"/>
    <cellStyle name="Comma 4 3 3 3 6 2" xfId="21801" xr:uid="{D07DACD9-4DC7-4B57-9DBD-B3AC51A9552A}"/>
    <cellStyle name="Comma 4 3 3 3 6 2 2" xfId="52041" xr:uid="{6F8EB156-F006-43AE-BB57-F60DD46949A6}"/>
    <cellStyle name="Comma 4 3 3 3 6 3" xfId="36921" xr:uid="{ECA5C013-AE54-4C30-BAE8-8B343933D37B}"/>
    <cellStyle name="Comma 4 3 3 3 7" xfId="8193" xr:uid="{4E085439-B116-41EC-97DC-C4395B215A3E}"/>
    <cellStyle name="Comma 4 3 3 3 7 2" xfId="23313" xr:uid="{B5863E0B-5489-4FDB-88FB-8652FCF942FC}"/>
    <cellStyle name="Comma 4 3 3 3 7 2 2" xfId="53553" xr:uid="{A84FEF84-C047-4787-BE92-4818EADCCE54}"/>
    <cellStyle name="Comma 4 3 3 3 7 3" xfId="38433" xr:uid="{C44E557C-F3DD-49AC-A4E7-F4DE26AB8775}"/>
    <cellStyle name="Comma 4 3 3 3 8" xfId="9705" xr:uid="{3AC7884E-F534-496F-A0B5-B05F5072183E}"/>
    <cellStyle name="Comma 4 3 3 3 8 2" xfId="24825" xr:uid="{CA531A3B-6CDD-4CAD-8F46-092B44E208C1}"/>
    <cellStyle name="Comma 4 3 3 3 8 2 2" xfId="55065" xr:uid="{BF37A653-60E7-42A3-BE11-5DA7D90564A0}"/>
    <cellStyle name="Comma 4 3 3 3 8 3" xfId="39945" xr:uid="{F4FA83B4-6749-4018-91CB-0061843E65E8}"/>
    <cellStyle name="Comma 4 3 3 3 9" xfId="15753" xr:uid="{6C6996FB-A88B-47FD-96B6-4971F4678C4C}"/>
    <cellStyle name="Comma 4 3 3 3 9 2" xfId="45993" xr:uid="{F772F211-A150-4791-AD31-CF574B4274B8}"/>
    <cellStyle name="Comma 4 3 3 4" xfId="885" xr:uid="{D4E6C389-1558-444B-BE7B-DB1F2CD57424}"/>
    <cellStyle name="Comma 4 3 3 4 2" xfId="2397" xr:uid="{5618DC0F-01DF-41F1-B0CD-E63972F95169}"/>
    <cellStyle name="Comma 4 3 3 4 2 2" xfId="11469" xr:uid="{93A3D710-A1C1-4AD7-8D10-69BB7E93CBE1}"/>
    <cellStyle name="Comma 4 3 3 4 2 2 2" xfId="26589" xr:uid="{AC99F4E4-76FC-409B-AFCD-125A8113057A}"/>
    <cellStyle name="Comma 4 3 3 4 2 2 2 2" xfId="56829" xr:uid="{9B6296D4-4647-416D-8B30-CB2BA6C2A663}"/>
    <cellStyle name="Comma 4 3 3 4 2 2 3" xfId="41709" xr:uid="{43969701-953B-40DA-BBB0-55A726ACAED9}"/>
    <cellStyle name="Comma 4 3 3 4 2 3" xfId="17517" xr:uid="{248B862D-CBD2-4745-986E-A24BC6E770A6}"/>
    <cellStyle name="Comma 4 3 3 4 2 3 2" xfId="47757" xr:uid="{3E027B99-650A-4CED-BA18-E63AC5C2A0CA}"/>
    <cellStyle name="Comma 4 3 3 4 2 4" xfId="32637" xr:uid="{DE58D48E-8B8C-44E8-BCE4-57A24DDBB7E7}"/>
    <cellStyle name="Comma 4 3 3 4 3" xfId="3909" xr:uid="{FAD93057-C46D-41CC-9591-02314127B318}"/>
    <cellStyle name="Comma 4 3 3 4 3 2" xfId="12981" xr:uid="{A91891B0-22A5-4DF6-AC43-25BE50EB7E31}"/>
    <cellStyle name="Comma 4 3 3 4 3 2 2" xfId="28101" xr:uid="{410B4267-80BA-415C-8780-C4A8946347A4}"/>
    <cellStyle name="Comma 4 3 3 4 3 2 2 2" xfId="58341" xr:uid="{95D3D449-5A33-4F0E-841D-20406625403D}"/>
    <cellStyle name="Comma 4 3 3 4 3 2 3" xfId="43221" xr:uid="{F7E2AD2E-1AEE-4A23-AE1D-8B20F860BA17}"/>
    <cellStyle name="Comma 4 3 3 4 3 3" xfId="19029" xr:uid="{3C6ABBE1-042B-450F-B9FB-F0DA92359677}"/>
    <cellStyle name="Comma 4 3 3 4 3 3 2" xfId="49269" xr:uid="{5A2BB207-C91B-467B-A1C3-9AF7A06B8A6B}"/>
    <cellStyle name="Comma 4 3 3 4 3 4" xfId="34149" xr:uid="{B8A0A2DE-B802-40B3-B79E-D6B001D01123}"/>
    <cellStyle name="Comma 4 3 3 4 4" xfId="5421" xr:uid="{2CD263DF-679B-48E8-941D-F1FB7EFA8CC6}"/>
    <cellStyle name="Comma 4 3 3 4 4 2" xfId="14493" xr:uid="{EFBDE767-4344-4FB7-9749-1C8F6F2AD07D}"/>
    <cellStyle name="Comma 4 3 3 4 4 2 2" xfId="29613" xr:uid="{A1BDBAC2-3828-4E4F-835C-354E149A14CA}"/>
    <cellStyle name="Comma 4 3 3 4 4 2 2 2" xfId="59853" xr:uid="{8807DB84-A361-4AF0-9CF4-74F03669B959}"/>
    <cellStyle name="Comma 4 3 3 4 4 2 3" xfId="44733" xr:uid="{9082E651-4D37-4917-AE9B-732C45BBAE85}"/>
    <cellStyle name="Comma 4 3 3 4 4 3" xfId="20541" xr:uid="{2CB45BE5-7179-4AFC-8BAE-367910377397}"/>
    <cellStyle name="Comma 4 3 3 4 4 3 2" xfId="50781" xr:uid="{6276603B-998E-411A-BA2D-5A80B77364AE}"/>
    <cellStyle name="Comma 4 3 3 4 4 4" xfId="35661" xr:uid="{8D8F9CBE-DC4B-4661-8E1F-817899C219A5}"/>
    <cellStyle name="Comma 4 3 3 4 5" xfId="6933" xr:uid="{9F0EA5B1-B76F-44A2-88FA-D19A7F8AAAB9}"/>
    <cellStyle name="Comma 4 3 3 4 5 2" xfId="22053" xr:uid="{341576C8-620D-4A1C-A6C5-0D2DC05B7DF7}"/>
    <cellStyle name="Comma 4 3 3 4 5 2 2" xfId="52293" xr:uid="{8DF49DA4-480D-42CA-9395-F5059E162CC4}"/>
    <cellStyle name="Comma 4 3 3 4 5 3" xfId="37173" xr:uid="{ED7145D6-4659-46D0-8C43-7635041B5BF1}"/>
    <cellStyle name="Comma 4 3 3 4 6" xfId="8445" xr:uid="{BD5C4B3E-8FF0-41FB-9B36-F728A95A202C}"/>
    <cellStyle name="Comma 4 3 3 4 6 2" xfId="23565" xr:uid="{162E02AE-1746-44A6-97AE-E41B20B2C136}"/>
    <cellStyle name="Comma 4 3 3 4 6 2 2" xfId="53805" xr:uid="{2A0FB24C-3E33-44DB-9906-E424E2D4E972}"/>
    <cellStyle name="Comma 4 3 3 4 6 3" xfId="38685" xr:uid="{3DB316D0-39A4-484B-84CD-777511B6CD6B}"/>
    <cellStyle name="Comma 4 3 3 4 7" xfId="9957" xr:uid="{4BD6786E-B0D1-47B9-A8C6-AD45B482F4BD}"/>
    <cellStyle name="Comma 4 3 3 4 7 2" xfId="25077" xr:uid="{28CC1E6E-920E-4183-BFF5-A8323A1FA660}"/>
    <cellStyle name="Comma 4 3 3 4 7 2 2" xfId="55317" xr:uid="{5D0F1608-88EA-4476-8BBF-FB3B14CB43B1}"/>
    <cellStyle name="Comma 4 3 3 4 7 3" xfId="40197" xr:uid="{A25FFCF9-0607-4A67-95C8-44E9324E54E3}"/>
    <cellStyle name="Comma 4 3 3 4 8" xfId="16005" xr:uid="{C86D607B-1E87-4E95-A77D-D13221D0B44F}"/>
    <cellStyle name="Comma 4 3 3 4 8 2" xfId="46245" xr:uid="{7BBB1FB9-01FB-4D55-87CA-210B020C8871}"/>
    <cellStyle name="Comma 4 3 3 4 9" xfId="31125" xr:uid="{A108DE75-B1C5-49ED-9D3F-BF93B7843E98}"/>
    <cellStyle name="Comma 4 3 3 5" xfId="1641" xr:uid="{5AF8B84F-C115-4BF3-9C02-8E8FC10CC2A7}"/>
    <cellStyle name="Comma 4 3 3 5 2" xfId="10713" xr:uid="{59B339DC-C75A-49D2-8563-AC59E23B0EF4}"/>
    <cellStyle name="Comma 4 3 3 5 2 2" xfId="25833" xr:uid="{769A58F6-34C3-4F86-8426-253726EEC23F}"/>
    <cellStyle name="Comma 4 3 3 5 2 2 2" xfId="56073" xr:uid="{32585920-39E9-4944-822A-D58A47193FC0}"/>
    <cellStyle name="Comma 4 3 3 5 2 3" xfId="40953" xr:uid="{560B6726-F7F3-4EB2-804F-20DC816DAC6A}"/>
    <cellStyle name="Comma 4 3 3 5 3" xfId="16761" xr:uid="{3C265637-08EF-470C-B8C7-1207473FE499}"/>
    <cellStyle name="Comma 4 3 3 5 3 2" xfId="47001" xr:uid="{6BB75278-E27F-4B50-84A3-DEB69FDC1773}"/>
    <cellStyle name="Comma 4 3 3 5 4" xfId="31881" xr:uid="{83782F44-20A3-42B1-BBEC-C9FD40F7C018}"/>
    <cellStyle name="Comma 4 3 3 6" xfId="3153" xr:uid="{502E5A5C-96BA-46CD-8C26-2FA7661708C7}"/>
    <cellStyle name="Comma 4 3 3 6 2" xfId="12225" xr:uid="{C4D60616-0751-475D-AA5D-11302407A12E}"/>
    <cellStyle name="Comma 4 3 3 6 2 2" xfId="27345" xr:uid="{5621651D-D477-4E6B-A813-FB9327B33666}"/>
    <cellStyle name="Comma 4 3 3 6 2 2 2" xfId="57585" xr:uid="{B9A801AC-693D-4FC3-9F78-D90255F6DE05}"/>
    <cellStyle name="Comma 4 3 3 6 2 3" xfId="42465" xr:uid="{48C30A2B-897C-428F-8A57-7B8204CDBC90}"/>
    <cellStyle name="Comma 4 3 3 6 3" xfId="18273" xr:uid="{5B34608B-B6C1-4E36-856F-B3102C944D22}"/>
    <cellStyle name="Comma 4 3 3 6 3 2" xfId="48513" xr:uid="{04C9992F-365B-4895-9BC6-35F104290759}"/>
    <cellStyle name="Comma 4 3 3 6 4" xfId="33393" xr:uid="{D20B7A21-829E-443B-87AE-D0E741759CC4}"/>
    <cellStyle name="Comma 4 3 3 7" xfId="4665" xr:uid="{E929CAEF-E14C-452C-808D-2E663791FAF0}"/>
    <cellStyle name="Comma 4 3 3 7 2" xfId="13737" xr:uid="{787696E8-90C1-45E6-8922-6E40A940DF80}"/>
    <cellStyle name="Comma 4 3 3 7 2 2" xfId="28857" xr:uid="{79826FD0-DA5C-4EEA-8AB5-00301B8205D3}"/>
    <cellStyle name="Comma 4 3 3 7 2 2 2" xfId="59097" xr:uid="{8BEDE2E0-5A0C-48E3-8A30-248D776A889F}"/>
    <cellStyle name="Comma 4 3 3 7 2 3" xfId="43977" xr:uid="{D93873B9-49FB-443D-B735-CE0DFB740D5E}"/>
    <cellStyle name="Comma 4 3 3 7 3" xfId="19785" xr:uid="{99BF2CC6-7B48-48B0-BB15-E5BC62ECC1EE}"/>
    <cellStyle name="Comma 4 3 3 7 3 2" xfId="50025" xr:uid="{66A2418B-8823-4784-BB0E-1764F8A1A07E}"/>
    <cellStyle name="Comma 4 3 3 7 4" xfId="34905" xr:uid="{6F541BAC-E185-4D31-8315-9B9D83E9B0E0}"/>
    <cellStyle name="Comma 4 3 3 8" xfId="6177" xr:uid="{241E9B78-4DDA-4171-BE96-C04D1F6C27EA}"/>
    <cellStyle name="Comma 4 3 3 8 2" xfId="21297" xr:uid="{612E3BD5-E27F-4F9A-95C6-F142D957E5D0}"/>
    <cellStyle name="Comma 4 3 3 8 2 2" xfId="51537" xr:uid="{753E0C30-36C2-4847-B876-E50D6415F89D}"/>
    <cellStyle name="Comma 4 3 3 8 3" xfId="36417" xr:uid="{1BE04C06-7FBC-4C00-8417-ED9F4999DBA7}"/>
    <cellStyle name="Comma 4 3 3 9" xfId="7689" xr:uid="{E16F3B2F-CED3-4196-87FC-24FD53E4C451}"/>
    <cellStyle name="Comma 4 3 3 9 2" xfId="22809" xr:uid="{2ED063C8-C142-4EFA-AF23-48AED19E992A}"/>
    <cellStyle name="Comma 4 3 3 9 2 2" xfId="53049" xr:uid="{7FFDF474-C32A-4C08-8AD1-AA06D1490127}"/>
    <cellStyle name="Comma 4 3 3 9 3" xfId="37929" xr:uid="{8C6F8916-9586-4E22-8CD7-BF5F264CDFCB}"/>
    <cellStyle name="Comma 4 3 4" xfId="213" xr:uid="{9BBCD9AE-2BB8-48A5-BECA-DDC5366627DF}"/>
    <cellStyle name="Comma 4 3 4 10" xfId="9285" xr:uid="{EF7506AE-ADA9-40E7-9A5B-8A0E7B16DE3E}"/>
    <cellStyle name="Comma 4 3 4 10 2" xfId="24405" xr:uid="{62699F7F-0D1F-4331-90B8-39244CFDAF4B}"/>
    <cellStyle name="Comma 4 3 4 10 2 2" xfId="54645" xr:uid="{C12632DF-90B1-4B85-A789-9654CAFB1089}"/>
    <cellStyle name="Comma 4 3 4 10 3" xfId="39525" xr:uid="{47698C83-228C-4BC4-B9DF-50E59D50938D}"/>
    <cellStyle name="Comma 4 3 4 11" xfId="15333" xr:uid="{81DD7C2C-9903-4DB0-8EA7-DB78879AEEBF}"/>
    <cellStyle name="Comma 4 3 4 11 2" xfId="45573" xr:uid="{C7F76B95-292A-43E2-A9E4-B9A41D6CEA85}"/>
    <cellStyle name="Comma 4 3 4 12" xfId="30453" xr:uid="{A4656059-1D45-4F0B-A201-AC5678701156}"/>
    <cellStyle name="Comma 4 3 4 2" xfId="465" xr:uid="{994B03EE-55D8-40B5-8183-B284E9C31F46}"/>
    <cellStyle name="Comma 4 3 4 2 10" xfId="30705" xr:uid="{BEF83E3A-A352-44AD-965F-078B25647E80}"/>
    <cellStyle name="Comma 4 3 4 2 2" xfId="1221" xr:uid="{EEE8A566-EA0E-4478-8B8C-718C114C77C5}"/>
    <cellStyle name="Comma 4 3 4 2 2 2" xfId="2733" xr:uid="{B79B8FAC-429C-47CF-8C26-EC2E0C2145B1}"/>
    <cellStyle name="Comma 4 3 4 2 2 2 2" xfId="11805" xr:uid="{06E33A46-45A3-4B9D-AF5C-A53C3C68E386}"/>
    <cellStyle name="Comma 4 3 4 2 2 2 2 2" xfId="26925" xr:uid="{F21C7C7F-5063-44D1-879D-53D778EE80D3}"/>
    <cellStyle name="Comma 4 3 4 2 2 2 2 2 2" xfId="57165" xr:uid="{049C8597-61D7-4FC5-BF26-C782FF2D84F9}"/>
    <cellStyle name="Comma 4 3 4 2 2 2 2 3" xfId="42045" xr:uid="{39245238-198D-4ABD-B7A9-BE0E4E936A53}"/>
    <cellStyle name="Comma 4 3 4 2 2 2 3" xfId="17853" xr:uid="{EC47B2EC-5A32-4787-9DB2-3C3F47C02770}"/>
    <cellStyle name="Comma 4 3 4 2 2 2 3 2" xfId="48093" xr:uid="{AD784711-A6A1-48B3-9B07-D7E9815770A7}"/>
    <cellStyle name="Comma 4 3 4 2 2 2 4" xfId="32973" xr:uid="{F0083681-85F8-40D1-86F9-50F38DD79FA5}"/>
    <cellStyle name="Comma 4 3 4 2 2 3" xfId="4245" xr:uid="{CD6CFFCB-776E-48BD-9B08-5A010F1329AC}"/>
    <cellStyle name="Comma 4 3 4 2 2 3 2" xfId="13317" xr:uid="{91512C4D-06DD-418C-B058-34019716CB5D}"/>
    <cellStyle name="Comma 4 3 4 2 2 3 2 2" xfId="28437" xr:uid="{E457CD5B-B9E6-4A20-8255-575E2AD4D42F}"/>
    <cellStyle name="Comma 4 3 4 2 2 3 2 2 2" xfId="58677" xr:uid="{EF102AB9-F29C-4436-B35A-96540C4B89A7}"/>
    <cellStyle name="Comma 4 3 4 2 2 3 2 3" xfId="43557" xr:uid="{F40C9718-4291-4B58-BB55-EE4257428AF1}"/>
    <cellStyle name="Comma 4 3 4 2 2 3 3" xfId="19365" xr:uid="{BAC10261-2DC6-4111-BD2A-0DAA2C19D637}"/>
    <cellStyle name="Comma 4 3 4 2 2 3 3 2" xfId="49605" xr:uid="{4056D2C8-CA47-44C6-9488-AC93F57E2B32}"/>
    <cellStyle name="Comma 4 3 4 2 2 3 4" xfId="34485" xr:uid="{572062F9-2F2F-42C8-A032-C0FF28A3C6E6}"/>
    <cellStyle name="Comma 4 3 4 2 2 4" xfId="5757" xr:uid="{B2B51D65-2B35-4662-92C4-BA904552BFF5}"/>
    <cellStyle name="Comma 4 3 4 2 2 4 2" xfId="14829" xr:uid="{CE46B8D1-6614-4147-8C2D-A8ACEF8E4BAC}"/>
    <cellStyle name="Comma 4 3 4 2 2 4 2 2" xfId="29949" xr:uid="{E58149D1-3249-4154-A9FF-ABC22D5088EF}"/>
    <cellStyle name="Comma 4 3 4 2 2 4 2 2 2" xfId="60189" xr:uid="{33970A1F-0241-46A8-912D-AD6126922664}"/>
    <cellStyle name="Comma 4 3 4 2 2 4 2 3" xfId="45069" xr:uid="{EE05AB56-7988-45E2-9EC5-1FC23A9729D8}"/>
    <cellStyle name="Comma 4 3 4 2 2 4 3" xfId="20877" xr:uid="{17079967-C371-4296-BE22-CF79FC66143A}"/>
    <cellStyle name="Comma 4 3 4 2 2 4 3 2" xfId="51117" xr:uid="{A8D85101-FB9E-4E80-89C4-89D9FB475024}"/>
    <cellStyle name="Comma 4 3 4 2 2 4 4" xfId="35997" xr:uid="{9626EB60-0CE6-4C87-9A0C-AE487D9C4371}"/>
    <cellStyle name="Comma 4 3 4 2 2 5" xfId="7269" xr:uid="{468622C6-4500-4D42-B2F5-477D4CAE79AE}"/>
    <cellStyle name="Comma 4 3 4 2 2 5 2" xfId="22389" xr:uid="{E0E70196-0C3E-483F-85A0-5F6E993D41E5}"/>
    <cellStyle name="Comma 4 3 4 2 2 5 2 2" xfId="52629" xr:uid="{F4A8A6C9-B5F9-4501-9057-3F870A8ACDDF}"/>
    <cellStyle name="Comma 4 3 4 2 2 5 3" xfId="37509" xr:uid="{A69E164A-2994-4AE2-B45E-07F734318E78}"/>
    <cellStyle name="Comma 4 3 4 2 2 6" xfId="8781" xr:uid="{F90CA8D9-9059-41D1-B090-C4D9A3EE353C}"/>
    <cellStyle name="Comma 4 3 4 2 2 6 2" xfId="23901" xr:uid="{03FC9029-9448-4871-BE11-96D009869D7D}"/>
    <cellStyle name="Comma 4 3 4 2 2 6 2 2" xfId="54141" xr:uid="{8CEDA84C-792C-43BB-85F9-146F37CA207D}"/>
    <cellStyle name="Comma 4 3 4 2 2 6 3" xfId="39021" xr:uid="{9F73FDB4-8A8A-41A8-89BA-EE4E97575442}"/>
    <cellStyle name="Comma 4 3 4 2 2 7" xfId="10293" xr:uid="{E695431D-65CF-49A7-A787-A16C14E071CC}"/>
    <cellStyle name="Comma 4 3 4 2 2 7 2" xfId="25413" xr:uid="{75C0576E-8436-46BA-8D71-8A7DF269A266}"/>
    <cellStyle name="Comma 4 3 4 2 2 7 2 2" xfId="55653" xr:uid="{FA3997E1-1AD2-430A-9551-D945604FD837}"/>
    <cellStyle name="Comma 4 3 4 2 2 7 3" xfId="40533" xr:uid="{BC025FE0-A6C5-4D45-8F6E-4C3BC6F63F58}"/>
    <cellStyle name="Comma 4 3 4 2 2 8" xfId="16341" xr:uid="{0589013A-7FD4-48F5-99A3-51F7D8C9E9D0}"/>
    <cellStyle name="Comma 4 3 4 2 2 8 2" xfId="46581" xr:uid="{ECC0F6DB-77AD-411F-B3AD-59239874670C}"/>
    <cellStyle name="Comma 4 3 4 2 2 9" xfId="31461" xr:uid="{B9DCAECD-AA38-4B29-B31E-729B59078D49}"/>
    <cellStyle name="Comma 4 3 4 2 3" xfId="1977" xr:uid="{E8DAF45E-85EE-45EF-B272-B797F6A91FAA}"/>
    <cellStyle name="Comma 4 3 4 2 3 2" xfId="11049" xr:uid="{237FC974-E81C-4518-8D85-F8B11253E620}"/>
    <cellStyle name="Comma 4 3 4 2 3 2 2" xfId="26169" xr:uid="{81E2A4F6-F36A-41CC-8CCA-17387582CE1F}"/>
    <cellStyle name="Comma 4 3 4 2 3 2 2 2" xfId="56409" xr:uid="{73F849F9-9387-4C65-BD3A-59EE06DF6F64}"/>
    <cellStyle name="Comma 4 3 4 2 3 2 3" xfId="41289" xr:uid="{87586459-21CC-4728-A566-324F81FB4C93}"/>
    <cellStyle name="Comma 4 3 4 2 3 3" xfId="17097" xr:uid="{875D2D9F-6F07-4432-B40E-EB3581C0B4CA}"/>
    <cellStyle name="Comma 4 3 4 2 3 3 2" xfId="47337" xr:uid="{D209CBFE-8202-4AE5-8E36-6783FDE38F58}"/>
    <cellStyle name="Comma 4 3 4 2 3 4" xfId="32217" xr:uid="{BFC0C713-65C6-457D-9940-DD187195D475}"/>
    <cellStyle name="Comma 4 3 4 2 4" xfId="3489" xr:uid="{A271E670-D91E-4501-9A3B-20086C22317A}"/>
    <cellStyle name="Comma 4 3 4 2 4 2" xfId="12561" xr:uid="{CF9505EA-3B8C-4447-AD0D-ED25BDBEF7A2}"/>
    <cellStyle name="Comma 4 3 4 2 4 2 2" xfId="27681" xr:uid="{983B6F1F-8BFC-45EE-B95C-53CB4E2AA1A6}"/>
    <cellStyle name="Comma 4 3 4 2 4 2 2 2" xfId="57921" xr:uid="{025F83B7-72E3-4806-B912-9D7B23B3E652}"/>
    <cellStyle name="Comma 4 3 4 2 4 2 3" xfId="42801" xr:uid="{C14B1054-5F7C-4308-B277-1B96B505D874}"/>
    <cellStyle name="Comma 4 3 4 2 4 3" xfId="18609" xr:uid="{B6E99C77-2366-4F19-9C8F-5C233FF279C0}"/>
    <cellStyle name="Comma 4 3 4 2 4 3 2" xfId="48849" xr:uid="{22D829E6-8EAF-4640-AD2F-71DBCF800EAD}"/>
    <cellStyle name="Comma 4 3 4 2 4 4" xfId="33729" xr:uid="{0A45012F-39C8-4AA4-B289-F1A1FA241D55}"/>
    <cellStyle name="Comma 4 3 4 2 5" xfId="5001" xr:uid="{891024E5-1530-4C9C-BD93-13DA09867956}"/>
    <cellStyle name="Comma 4 3 4 2 5 2" xfId="14073" xr:uid="{31292DEC-2F3A-4044-8EC0-7238468B9DAE}"/>
    <cellStyle name="Comma 4 3 4 2 5 2 2" xfId="29193" xr:uid="{4E7E4A47-CEB3-446C-926E-3918501AE58A}"/>
    <cellStyle name="Comma 4 3 4 2 5 2 2 2" xfId="59433" xr:uid="{FEC04C29-255F-4721-98AF-8C3DC91E8833}"/>
    <cellStyle name="Comma 4 3 4 2 5 2 3" xfId="44313" xr:uid="{019E298D-DAC5-45E9-81E1-392641452FF4}"/>
    <cellStyle name="Comma 4 3 4 2 5 3" xfId="20121" xr:uid="{71D0299F-06BA-41AB-9433-72F17CBBB469}"/>
    <cellStyle name="Comma 4 3 4 2 5 3 2" xfId="50361" xr:uid="{9EAB7C6D-0109-4334-9B8E-2EB17191037E}"/>
    <cellStyle name="Comma 4 3 4 2 5 4" xfId="35241" xr:uid="{E6E7AEA6-F2D4-4856-AC95-CEA2DE4DC70E}"/>
    <cellStyle name="Comma 4 3 4 2 6" xfId="6513" xr:uid="{CF074A3E-FF80-4EC5-8460-E356C6CECA96}"/>
    <cellStyle name="Comma 4 3 4 2 6 2" xfId="21633" xr:uid="{058432DB-9E16-4A20-88A2-293DBAE2FBD5}"/>
    <cellStyle name="Comma 4 3 4 2 6 2 2" xfId="51873" xr:uid="{DCAE4A27-9FC6-4824-8C52-12BC069599CD}"/>
    <cellStyle name="Comma 4 3 4 2 6 3" xfId="36753" xr:uid="{0A5AAB6F-B6D2-40E7-AC26-01040B26678A}"/>
    <cellStyle name="Comma 4 3 4 2 7" xfId="8025" xr:uid="{52546709-457F-47F1-A2B3-039A90F7EDEF}"/>
    <cellStyle name="Comma 4 3 4 2 7 2" xfId="23145" xr:uid="{8ADB9F96-B2A1-470F-841C-8E8315810D96}"/>
    <cellStyle name="Comma 4 3 4 2 7 2 2" xfId="53385" xr:uid="{E02D7206-B560-479B-AFCB-41B8608B2BB3}"/>
    <cellStyle name="Comma 4 3 4 2 7 3" xfId="38265" xr:uid="{238AB047-FECC-4F03-817B-DBA943961B53}"/>
    <cellStyle name="Comma 4 3 4 2 8" xfId="9537" xr:uid="{A3D1EB88-6082-491E-B002-ABFFB6E9F9A3}"/>
    <cellStyle name="Comma 4 3 4 2 8 2" xfId="24657" xr:uid="{37C6D6FF-6410-47CE-B95C-A6A7CD9F98C7}"/>
    <cellStyle name="Comma 4 3 4 2 8 2 2" xfId="54897" xr:uid="{76B26DE0-03FC-425E-B17E-C5B38506566F}"/>
    <cellStyle name="Comma 4 3 4 2 8 3" xfId="39777" xr:uid="{4BA4AC5B-B783-4D7E-B186-FB301A1428D4}"/>
    <cellStyle name="Comma 4 3 4 2 9" xfId="15585" xr:uid="{2A790269-5B79-436A-A6BA-4351377833CB}"/>
    <cellStyle name="Comma 4 3 4 2 9 2" xfId="45825" xr:uid="{B92333A5-528E-416F-9CDD-FC09EBCCC2A8}"/>
    <cellStyle name="Comma 4 3 4 3" xfId="717" xr:uid="{A3FF9F85-2914-42AD-BE5A-C51140CF4DB1}"/>
    <cellStyle name="Comma 4 3 4 3 10" xfId="30957" xr:uid="{A36C5A72-7A74-44F0-ABEB-72B0513C9C64}"/>
    <cellStyle name="Comma 4 3 4 3 2" xfId="1473" xr:uid="{EDF3248C-D68F-4723-8D82-9439E18F277A}"/>
    <cellStyle name="Comma 4 3 4 3 2 2" xfId="2985" xr:uid="{445B92F6-515C-4121-B157-1AFF4D7138AC}"/>
    <cellStyle name="Comma 4 3 4 3 2 2 2" xfId="12057" xr:uid="{BA900B94-0A0E-4F6E-90BC-28E18C1EC243}"/>
    <cellStyle name="Comma 4 3 4 3 2 2 2 2" xfId="27177" xr:uid="{29168159-01E5-4C31-8AF9-897D9BC81909}"/>
    <cellStyle name="Comma 4 3 4 3 2 2 2 2 2" xfId="57417" xr:uid="{81E46F46-34C3-4E04-BF6A-D6C85D19F23B}"/>
    <cellStyle name="Comma 4 3 4 3 2 2 2 3" xfId="42297" xr:uid="{AE66851B-D68C-45BE-9D63-42C1BC77FA94}"/>
    <cellStyle name="Comma 4 3 4 3 2 2 3" xfId="18105" xr:uid="{315544BE-4951-4C2A-ADFF-7930B95DA33D}"/>
    <cellStyle name="Comma 4 3 4 3 2 2 3 2" xfId="48345" xr:uid="{B62556A1-F11B-427E-8174-B56EC0B4720F}"/>
    <cellStyle name="Comma 4 3 4 3 2 2 4" xfId="33225" xr:uid="{68C66BE6-3341-4CC2-B92E-21DFF05DF82A}"/>
    <cellStyle name="Comma 4 3 4 3 2 3" xfId="4497" xr:uid="{6475EC0E-5D3B-4F1A-AA92-D84E179A4660}"/>
    <cellStyle name="Comma 4 3 4 3 2 3 2" xfId="13569" xr:uid="{40A63955-7028-4569-B222-8D5186CEFAF7}"/>
    <cellStyle name="Comma 4 3 4 3 2 3 2 2" xfId="28689" xr:uid="{068C8783-1DA5-4518-A9C6-9644B5E82B8A}"/>
    <cellStyle name="Comma 4 3 4 3 2 3 2 2 2" xfId="58929" xr:uid="{19F08465-24EB-4963-8F57-EB0A7C90B85D}"/>
    <cellStyle name="Comma 4 3 4 3 2 3 2 3" xfId="43809" xr:uid="{378294A5-C27B-4046-A1D7-CF4401395C61}"/>
    <cellStyle name="Comma 4 3 4 3 2 3 3" xfId="19617" xr:uid="{C7D290A0-66E7-4950-A0C2-B781FEE143EC}"/>
    <cellStyle name="Comma 4 3 4 3 2 3 3 2" xfId="49857" xr:uid="{D44FDE43-E3BF-4A48-AAA5-4895AD3E1B05}"/>
    <cellStyle name="Comma 4 3 4 3 2 3 4" xfId="34737" xr:uid="{D220FB86-833A-4E29-B501-660DE62A4E6B}"/>
    <cellStyle name="Comma 4 3 4 3 2 4" xfId="6009" xr:uid="{29C47943-C16D-41D5-88A5-1A95D443EF8F}"/>
    <cellStyle name="Comma 4 3 4 3 2 4 2" xfId="15081" xr:uid="{5867E246-16A5-4A8C-A465-740451DCD54C}"/>
    <cellStyle name="Comma 4 3 4 3 2 4 2 2" xfId="30201" xr:uid="{03A2C0C3-9CEE-401C-A1F3-F995EC76D961}"/>
    <cellStyle name="Comma 4 3 4 3 2 4 2 2 2" xfId="60441" xr:uid="{83E31151-DC73-47F7-8496-D11C466071C4}"/>
    <cellStyle name="Comma 4 3 4 3 2 4 2 3" xfId="45321" xr:uid="{16AB710C-90DE-429B-B0EE-1AB36F753E85}"/>
    <cellStyle name="Comma 4 3 4 3 2 4 3" xfId="21129" xr:uid="{F4BD2D32-38AC-4B1E-9556-C96C4D9D5D1C}"/>
    <cellStyle name="Comma 4 3 4 3 2 4 3 2" xfId="51369" xr:uid="{CA529328-E34A-45E2-8DF5-4CA5365B6C34}"/>
    <cellStyle name="Comma 4 3 4 3 2 4 4" xfId="36249" xr:uid="{3FCF0CC3-79E5-4F96-812E-F3BDF4C912AB}"/>
    <cellStyle name="Comma 4 3 4 3 2 5" xfId="7521" xr:uid="{07781306-55EA-4AF0-A69F-1BE4B7BEBCC8}"/>
    <cellStyle name="Comma 4 3 4 3 2 5 2" xfId="22641" xr:uid="{5143796A-5A2D-496A-8323-94E6D7B89AE4}"/>
    <cellStyle name="Comma 4 3 4 3 2 5 2 2" xfId="52881" xr:uid="{2217A8C9-14E5-4968-BFBC-8EC485C96F85}"/>
    <cellStyle name="Comma 4 3 4 3 2 5 3" xfId="37761" xr:uid="{036874B6-43A1-4090-981F-658D65ED5A15}"/>
    <cellStyle name="Comma 4 3 4 3 2 6" xfId="9033" xr:uid="{6B478459-1E22-4DB8-8EB8-41445263812D}"/>
    <cellStyle name="Comma 4 3 4 3 2 6 2" xfId="24153" xr:uid="{9C9FFC23-9280-4751-BDCD-68E2DB5DB231}"/>
    <cellStyle name="Comma 4 3 4 3 2 6 2 2" xfId="54393" xr:uid="{87A1AA42-6E2C-4D39-9E6F-34D7B04924FC}"/>
    <cellStyle name="Comma 4 3 4 3 2 6 3" xfId="39273" xr:uid="{B0856C09-FCCD-4E37-8146-EEFAD3F4DEEE}"/>
    <cellStyle name="Comma 4 3 4 3 2 7" xfId="10545" xr:uid="{4A5B0FD8-285E-4791-839A-D932E9A4CA85}"/>
    <cellStyle name="Comma 4 3 4 3 2 7 2" xfId="25665" xr:uid="{6AD8EC1A-BAF1-4112-91F5-EA71AAC64DF7}"/>
    <cellStyle name="Comma 4 3 4 3 2 7 2 2" xfId="55905" xr:uid="{53225A59-21B2-4846-A1FE-7BA7393275BD}"/>
    <cellStyle name="Comma 4 3 4 3 2 7 3" xfId="40785" xr:uid="{87CA11EA-43E6-4483-B7DC-4F9BA75ABC2A}"/>
    <cellStyle name="Comma 4 3 4 3 2 8" xfId="16593" xr:uid="{F446E2B1-B880-45AA-8167-2EACE56F89AA}"/>
    <cellStyle name="Comma 4 3 4 3 2 8 2" xfId="46833" xr:uid="{3079999D-E2EF-4549-BE17-8BE866D3110B}"/>
    <cellStyle name="Comma 4 3 4 3 2 9" xfId="31713" xr:uid="{A6CAB8F7-902E-4B63-8D19-E781DF47BC6D}"/>
    <cellStyle name="Comma 4 3 4 3 3" xfId="2229" xr:uid="{0BDFE816-1FEF-493F-9BBC-661A1AD19DBE}"/>
    <cellStyle name="Comma 4 3 4 3 3 2" xfId="11301" xr:uid="{7D03060C-BC92-4FA7-A51E-EBE0FA7AC3F6}"/>
    <cellStyle name="Comma 4 3 4 3 3 2 2" xfId="26421" xr:uid="{7B0F23D3-0011-41E0-A5D3-91C0AFF5C0CB}"/>
    <cellStyle name="Comma 4 3 4 3 3 2 2 2" xfId="56661" xr:uid="{4CA0DAF5-D05A-45EF-8357-D506B9070C35}"/>
    <cellStyle name="Comma 4 3 4 3 3 2 3" xfId="41541" xr:uid="{CABC1A90-B373-4A1B-88D4-17C486268731}"/>
    <cellStyle name="Comma 4 3 4 3 3 3" xfId="17349" xr:uid="{54ED595D-64DA-4B30-B5B9-ECFCFA165CAE}"/>
    <cellStyle name="Comma 4 3 4 3 3 3 2" xfId="47589" xr:uid="{219D73A1-C160-48C3-A84C-09E3A0CAC549}"/>
    <cellStyle name="Comma 4 3 4 3 3 4" xfId="32469" xr:uid="{9F1701BD-1A63-47B0-A62D-A43632AA4B91}"/>
    <cellStyle name="Comma 4 3 4 3 4" xfId="3741" xr:uid="{1A8C24E6-BAD5-4168-B29F-D634528DBD21}"/>
    <cellStyle name="Comma 4 3 4 3 4 2" xfId="12813" xr:uid="{C47BEC44-C0E6-4B4C-B068-A7EB524EC34A}"/>
    <cellStyle name="Comma 4 3 4 3 4 2 2" xfId="27933" xr:uid="{AF95369E-12AE-4D69-99A8-03318AC107E7}"/>
    <cellStyle name="Comma 4 3 4 3 4 2 2 2" xfId="58173" xr:uid="{3E63545C-FE26-40E4-A6BD-279569393F93}"/>
    <cellStyle name="Comma 4 3 4 3 4 2 3" xfId="43053" xr:uid="{C71F041B-A259-413A-AD2A-9D40BA2AF8E0}"/>
    <cellStyle name="Comma 4 3 4 3 4 3" xfId="18861" xr:uid="{71B40D51-B46A-41C6-8CB6-2416EFB0A1A4}"/>
    <cellStyle name="Comma 4 3 4 3 4 3 2" xfId="49101" xr:uid="{5A7D24B7-5F2A-463B-859C-43EC21F91285}"/>
    <cellStyle name="Comma 4 3 4 3 4 4" xfId="33981" xr:uid="{9C2B0A98-F6E2-4DBC-9804-5DB4B546A245}"/>
    <cellStyle name="Comma 4 3 4 3 5" xfId="5253" xr:uid="{6E5AC335-F7D9-46AB-8A0E-83B4C448105F}"/>
    <cellStyle name="Comma 4 3 4 3 5 2" xfId="14325" xr:uid="{EA6A7ABB-42DC-47F2-A847-1ED798DF48AF}"/>
    <cellStyle name="Comma 4 3 4 3 5 2 2" xfId="29445" xr:uid="{051F2EA3-C22D-4A5A-97A5-68ED3F20195C}"/>
    <cellStyle name="Comma 4 3 4 3 5 2 2 2" xfId="59685" xr:uid="{97F02A74-AE27-4F7D-B5D9-87D100229465}"/>
    <cellStyle name="Comma 4 3 4 3 5 2 3" xfId="44565" xr:uid="{B003B548-D816-4A8C-A104-26F46604D7B6}"/>
    <cellStyle name="Comma 4 3 4 3 5 3" xfId="20373" xr:uid="{AECFF408-1057-48D1-B0EC-9BFBAF4C0B73}"/>
    <cellStyle name="Comma 4 3 4 3 5 3 2" xfId="50613" xr:uid="{2BB2F3AC-7C91-4139-BA97-06F0DCEC6A40}"/>
    <cellStyle name="Comma 4 3 4 3 5 4" xfId="35493" xr:uid="{39CDA837-C548-4E38-B94E-EDD8262565E9}"/>
    <cellStyle name="Comma 4 3 4 3 6" xfId="6765" xr:uid="{EF17B9B6-A16E-43A9-91E2-AE8C288CE881}"/>
    <cellStyle name="Comma 4 3 4 3 6 2" xfId="21885" xr:uid="{E069818B-4CF4-4D49-A2D2-BC88FFE5799D}"/>
    <cellStyle name="Comma 4 3 4 3 6 2 2" xfId="52125" xr:uid="{DC5274ED-4379-46FF-8877-11A95DFB1DB7}"/>
    <cellStyle name="Comma 4 3 4 3 6 3" xfId="37005" xr:uid="{7B4B118B-8891-4360-8DB3-7685FD2450C6}"/>
    <cellStyle name="Comma 4 3 4 3 7" xfId="8277" xr:uid="{42F4B4BA-63DE-490D-B669-60C8A3B3FFBE}"/>
    <cellStyle name="Comma 4 3 4 3 7 2" xfId="23397" xr:uid="{4F8AEB7D-A4F4-4024-94CA-C33F48F0CE0C}"/>
    <cellStyle name="Comma 4 3 4 3 7 2 2" xfId="53637" xr:uid="{AB48EE36-DED1-441C-B328-8829FCBD84D4}"/>
    <cellStyle name="Comma 4 3 4 3 7 3" xfId="38517" xr:uid="{7EDDEB26-762B-4E2F-8518-15773A74844C}"/>
    <cellStyle name="Comma 4 3 4 3 8" xfId="9789" xr:uid="{233E5340-1BD6-48BA-98DC-F68DB5E29B19}"/>
    <cellStyle name="Comma 4 3 4 3 8 2" xfId="24909" xr:uid="{784CE3A7-C8D0-4DB2-B8D3-F5D8FCB9C010}"/>
    <cellStyle name="Comma 4 3 4 3 8 2 2" xfId="55149" xr:uid="{60928CAC-F5D2-4B80-91E7-3ED8AF77EEF7}"/>
    <cellStyle name="Comma 4 3 4 3 8 3" xfId="40029" xr:uid="{0D81FD61-2CB7-425E-858D-08E47CB4EF7F}"/>
    <cellStyle name="Comma 4 3 4 3 9" xfId="15837" xr:uid="{AF2BBA5B-97F7-4EC2-B724-946930F9B24A}"/>
    <cellStyle name="Comma 4 3 4 3 9 2" xfId="46077" xr:uid="{CF8D6438-8646-4448-A8CC-8C3D1F07C713}"/>
    <cellStyle name="Comma 4 3 4 4" xfId="969" xr:uid="{473AF69A-8D38-4A79-9B5D-240CD6E74409}"/>
    <cellStyle name="Comma 4 3 4 4 2" xfId="2481" xr:uid="{8DBA534C-02F1-4550-8929-9C4ADEB90792}"/>
    <cellStyle name="Comma 4 3 4 4 2 2" xfId="11553" xr:uid="{2151BB50-3EC0-4C88-956C-112D41975E05}"/>
    <cellStyle name="Comma 4 3 4 4 2 2 2" xfId="26673" xr:uid="{BD019D95-8AD7-4909-B9EE-B23876B4643F}"/>
    <cellStyle name="Comma 4 3 4 4 2 2 2 2" xfId="56913" xr:uid="{EE9E2D5F-CFD4-483F-9581-C1276163C301}"/>
    <cellStyle name="Comma 4 3 4 4 2 2 3" xfId="41793" xr:uid="{91006B24-88E5-4AAB-98C3-2F1453F38186}"/>
    <cellStyle name="Comma 4 3 4 4 2 3" xfId="17601" xr:uid="{B2E3A835-F204-45C5-B31E-15EE6C4850B3}"/>
    <cellStyle name="Comma 4 3 4 4 2 3 2" xfId="47841" xr:uid="{8CB10036-2908-45FD-9670-8A181CDD2B90}"/>
    <cellStyle name="Comma 4 3 4 4 2 4" xfId="32721" xr:uid="{E5488D5F-3A6E-4716-A437-9F8EF1E7CD2A}"/>
    <cellStyle name="Comma 4 3 4 4 3" xfId="3993" xr:uid="{E6EADD6F-20D3-4A41-9D5D-DF860B12F086}"/>
    <cellStyle name="Comma 4 3 4 4 3 2" xfId="13065" xr:uid="{D3C5B68E-0622-4E59-9EF5-F32E70448498}"/>
    <cellStyle name="Comma 4 3 4 4 3 2 2" xfId="28185" xr:uid="{E8B3C9CD-964D-477C-AB8A-7157A74842F8}"/>
    <cellStyle name="Comma 4 3 4 4 3 2 2 2" xfId="58425" xr:uid="{70F26887-70D5-4D6F-B411-B8B0462A6CED}"/>
    <cellStyle name="Comma 4 3 4 4 3 2 3" xfId="43305" xr:uid="{EE409B0B-830C-437E-ACC7-2900D979649A}"/>
    <cellStyle name="Comma 4 3 4 4 3 3" xfId="19113" xr:uid="{A0F0D0AE-7716-4F9E-8F72-A39E9BB1FBF1}"/>
    <cellStyle name="Comma 4 3 4 4 3 3 2" xfId="49353" xr:uid="{25032FB5-49FD-483F-A1EF-2B701765F8D5}"/>
    <cellStyle name="Comma 4 3 4 4 3 4" xfId="34233" xr:uid="{796DFED6-3046-45BF-9230-CB4C7D9809C4}"/>
    <cellStyle name="Comma 4 3 4 4 4" xfId="5505" xr:uid="{EC273E4C-91DE-4AD5-979D-8C03F14B7E26}"/>
    <cellStyle name="Comma 4 3 4 4 4 2" xfId="14577" xr:uid="{65CE0C91-8E26-438E-8534-0874F11AD9E8}"/>
    <cellStyle name="Comma 4 3 4 4 4 2 2" xfId="29697" xr:uid="{5B61CDE7-9685-4D9D-9DA0-03175685F5A5}"/>
    <cellStyle name="Comma 4 3 4 4 4 2 2 2" xfId="59937" xr:uid="{C4A71953-902F-4926-B92D-D1B4F69615D4}"/>
    <cellStyle name="Comma 4 3 4 4 4 2 3" xfId="44817" xr:uid="{7AA75845-86DC-4C49-B33F-E1021896AFB2}"/>
    <cellStyle name="Comma 4 3 4 4 4 3" xfId="20625" xr:uid="{181ED1AB-874A-4AB9-9065-603A795FA8E0}"/>
    <cellStyle name="Comma 4 3 4 4 4 3 2" xfId="50865" xr:uid="{C8E4EAD1-ADC6-4C0B-A191-629BA447E75B}"/>
    <cellStyle name="Comma 4 3 4 4 4 4" xfId="35745" xr:uid="{E891A026-5487-4F2E-841B-F46DE4AD2169}"/>
    <cellStyle name="Comma 4 3 4 4 5" xfId="7017" xr:uid="{B7ECD026-CA76-4697-AACC-6DCFAA52449F}"/>
    <cellStyle name="Comma 4 3 4 4 5 2" xfId="22137" xr:uid="{AF2686E0-B365-4D8C-9DB5-AC2C6BF1C8CE}"/>
    <cellStyle name="Comma 4 3 4 4 5 2 2" xfId="52377" xr:uid="{0220B2CF-C8A9-44E4-A0FC-D5C77D1E3677}"/>
    <cellStyle name="Comma 4 3 4 4 5 3" xfId="37257" xr:uid="{5C4D7A1F-96C6-410A-A565-D0E8D7D9DC88}"/>
    <cellStyle name="Comma 4 3 4 4 6" xfId="8529" xr:uid="{2F9AD7AE-664F-4357-9481-B39B9753571E}"/>
    <cellStyle name="Comma 4 3 4 4 6 2" xfId="23649" xr:uid="{973DED43-C5CB-4776-ADDF-1A06BBE8F5D1}"/>
    <cellStyle name="Comma 4 3 4 4 6 2 2" xfId="53889" xr:uid="{760851CB-E3D2-4336-9DC6-AE04B6810844}"/>
    <cellStyle name="Comma 4 3 4 4 6 3" xfId="38769" xr:uid="{11AA15C5-F191-4D5B-B124-530FE4E7333A}"/>
    <cellStyle name="Comma 4 3 4 4 7" xfId="10041" xr:uid="{83C89D4E-BAFE-4685-B08E-04BDF81A7978}"/>
    <cellStyle name="Comma 4 3 4 4 7 2" xfId="25161" xr:uid="{AF902160-F72A-4D10-B4C1-DB77C99A6718}"/>
    <cellStyle name="Comma 4 3 4 4 7 2 2" xfId="55401" xr:uid="{09F82D06-643C-435C-BE79-FEFEF5AD48F1}"/>
    <cellStyle name="Comma 4 3 4 4 7 3" xfId="40281" xr:uid="{F26C41B8-7BDE-4D6F-93A4-689AA8432518}"/>
    <cellStyle name="Comma 4 3 4 4 8" xfId="16089" xr:uid="{11A94EE1-246C-410A-A6F7-75B1FC8A22BB}"/>
    <cellStyle name="Comma 4 3 4 4 8 2" xfId="46329" xr:uid="{5BEDB8DE-20D2-45D0-B41A-BA51EE3139FC}"/>
    <cellStyle name="Comma 4 3 4 4 9" xfId="31209" xr:uid="{BCD4EFAC-EC26-475D-A045-141B43D8E2B1}"/>
    <cellStyle name="Comma 4 3 4 5" xfId="1725" xr:uid="{D614527F-5721-4281-8D2E-4319830F1F3C}"/>
    <cellStyle name="Comma 4 3 4 5 2" xfId="10797" xr:uid="{5E392790-1236-4E9C-83CB-F34ECE584D5C}"/>
    <cellStyle name="Comma 4 3 4 5 2 2" xfId="25917" xr:uid="{B0B9CDF0-9ADE-40B8-B99A-686D1792C410}"/>
    <cellStyle name="Comma 4 3 4 5 2 2 2" xfId="56157" xr:uid="{DB9C7261-EAA7-421A-B465-2FAE0FAD51FA}"/>
    <cellStyle name="Comma 4 3 4 5 2 3" xfId="41037" xr:uid="{D68FB70C-5AC1-4B11-834A-73A66956CDD9}"/>
    <cellStyle name="Comma 4 3 4 5 3" xfId="16845" xr:uid="{FE528469-B0E1-4668-AA9E-0B550DAD22AC}"/>
    <cellStyle name="Comma 4 3 4 5 3 2" xfId="47085" xr:uid="{2982253E-E872-4640-A691-9B33213CB8C7}"/>
    <cellStyle name="Comma 4 3 4 5 4" xfId="31965" xr:uid="{ADCD1320-5CEF-4D63-AB19-57C6670FDA3D}"/>
    <cellStyle name="Comma 4 3 4 6" xfId="3237" xr:uid="{CF2E0A87-1975-4E4F-AA20-0E09B7DD01D0}"/>
    <cellStyle name="Comma 4 3 4 6 2" xfId="12309" xr:uid="{F20A71A4-DF57-41F1-867C-BCEC03BE23B1}"/>
    <cellStyle name="Comma 4 3 4 6 2 2" xfId="27429" xr:uid="{60089158-5F05-4B05-90FC-57DA7CA4FA79}"/>
    <cellStyle name="Comma 4 3 4 6 2 2 2" xfId="57669" xr:uid="{0328CFA0-F975-4F0E-9E41-826F22575C70}"/>
    <cellStyle name="Comma 4 3 4 6 2 3" xfId="42549" xr:uid="{780666FB-FB3A-446D-B949-E952619CAD8A}"/>
    <cellStyle name="Comma 4 3 4 6 3" xfId="18357" xr:uid="{BEC3D617-6245-4ED8-82FF-FB6B2F77EF3E}"/>
    <cellStyle name="Comma 4 3 4 6 3 2" xfId="48597" xr:uid="{C2B75CF7-CA79-4328-82D0-605319E3E1C1}"/>
    <cellStyle name="Comma 4 3 4 6 4" xfId="33477" xr:uid="{317F317E-90B4-466F-95FD-7F0568B1325E}"/>
    <cellStyle name="Comma 4 3 4 7" xfId="4749" xr:uid="{2B310518-B251-456B-8459-97D5FBA1A0C5}"/>
    <cellStyle name="Comma 4 3 4 7 2" xfId="13821" xr:uid="{49F5EE9B-7C5B-4748-910E-5B209AF11A5D}"/>
    <cellStyle name="Comma 4 3 4 7 2 2" xfId="28941" xr:uid="{5F1AF55A-A911-4962-BC70-5D4394E324BA}"/>
    <cellStyle name="Comma 4 3 4 7 2 2 2" xfId="59181" xr:uid="{1F99A32D-CCA4-4A6E-B8B5-92169059C89B}"/>
    <cellStyle name="Comma 4 3 4 7 2 3" xfId="44061" xr:uid="{2F5FC9B0-0788-4E57-9F96-90AA70E41CB5}"/>
    <cellStyle name="Comma 4 3 4 7 3" xfId="19869" xr:uid="{FE47153F-03F2-4FC2-B3FA-748711761170}"/>
    <cellStyle name="Comma 4 3 4 7 3 2" xfId="50109" xr:uid="{B408CDD7-8CB2-4917-AB4E-7047DA9EB346}"/>
    <cellStyle name="Comma 4 3 4 7 4" xfId="34989" xr:uid="{A49E0734-87BF-49EF-AC58-3A96553AC2C8}"/>
    <cellStyle name="Comma 4 3 4 8" xfId="6261" xr:uid="{4AD5C6B4-9F96-4A98-99A6-88DAAC576222}"/>
    <cellStyle name="Comma 4 3 4 8 2" xfId="21381" xr:uid="{F9197EA3-87E7-470C-A395-DF14F50C1D29}"/>
    <cellStyle name="Comma 4 3 4 8 2 2" xfId="51621" xr:uid="{D0DD8DCA-08A5-499A-BE40-BE79FBE3F8D2}"/>
    <cellStyle name="Comma 4 3 4 8 3" xfId="36501" xr:uid="{87DC8A78-D151-4AC5-98CD-0C820E1443FB}"/>
    <cellStyle name="Comma 4 3 4 9" xfId="7773" xr:uid="{7144CF50-F32D-48AF-9029-2E04315A72B5}"/>
    <cellStyle name="Comma 4 3 4 9 2" xfId="22893" xr:uid="{4DBE3BEB-5D86-45B6-9B71-A3AFF8C77230}"/>
    <cellStyle name="Comma 4 3 4 9 2 2" xfId="53133" xr:uid="{4BEB35A2-FDF9-4338-9AF4-1B30EE040DBE}"/>
    <cellStyle name="Comma 4 3 4 9 3" xfId="38013" xr:uid="{4C3F69AF-C20B-4595-A5EF-8F9F7DC26A81}"/>
    <cellStyle name="Comma 4 3 5" xfId="297" xr:uid="{5127480B-7C6E-4CA1-87F3-996E2749B0EA}"/>
    <cellStyle name="Comma 4 3 5 10" xfId="30537" xr:uid="{1539A6DE-8DA5-4637-BCDA-5956B4A28145}"/>
    <cellStyle name="Comma 4 3 5 2" xfId="1053" xr:uid="{974D7B32-3560-4D3C-B1C2-CDD4CA5AC472}"/>
    <cellStyle name="Comma 4 3 5 2 2" xfId="2565" xr:uid="{9E88EA7A-7F9B-4C37-A3E7-11C2D3649387}"/>
    <cellStyle name="Comma 4 3 5 2 2 2" xfId="11637" xr:uid="{8C7B243F-A429-43CB-83A6-5CFAAB3D1FD8}"/>
    <cellStyle name="Comma 4 3 5 2 2 2 2" xfId="26757" xr:uid="{53AAA9A7-CCB3-424C-9E66-1BD0B8117570}"/>
    <cellStyle name="Comma 4 3 5 2 2 2 2 2" xfId="56997" xr:uid="{1A4682F4-6ED8-4674-8E15-7F67120D77E8}"/>
    <cellStyle name="Comma 4 3 5 2 2 2 3" xfId="41877" xr:uid="{8FCE0C6F-F080-4E41-925C-4571590FA3B5}"/>
    <cellStyle name="Comma 4 3 5 2 2 3" xfId="17685" xr:uid="{F698E60B-16DE-4EAF-B1AB-8437B8809D66}"/>
    <cellStyle name="Comma 4 3 5 2 2 3 2" xfId="47925" xr:uid="{D9F268D8-8849-4EA0-A43C-50D4B18D660D}"/>
    <cellStyle name="Comma 4 3 5 2 2 4" xfId="32805" xr:uid="{D6C82A51-BE9F-4E3E-B4AF-EAE762F1D4C3}"/>
    <cellStyle name="Comma 4 3 5 2 3" xfId="4077" xr:uid="{458EA819-66D3-4E18-A12B-A4F86BE8C13A}"/>
    <cellStyle name="Comma 4 3 5 2 3 2" xfId="13149" xr:uid="{B2C9B86C-584D-4FEB-A533-63F7B8886B75}"/>
    <cellStyle name="Comma 4 3 5 2 3 2 2" xfId="28269" xr:uid="{3E810BE6-C031-4A51-A138-687F87DCEB7A}"/>
    <cellStyle name="Comma 4 3 5 2 3 2 2 2" xfId="58509" xr:uid="{7CCEDFCD-CA1B-49CF-B3BA-87FD47B2DD32}"/>
    <cellStyle name="Comma 4 3 5 2 3 2 3" xfId="43389" xr:uid="{863B442C-22FD-4C79-966E-4E86AE23D96B}"/>
    <cellStyle name="Comma 4 3 5 2 3 3" xfId="19197" xr:uid="{93E82D70-89B6-444E-ABF9-57582F8383C6}"/>
    <cellStyle name="Comma 4 3 5 2 3 3 2" xfId="49437" xr:uid="{9AF58759-380F-4861-8A32-3AF7F6B47248}"/>
    <cellStyle name="Comma 4 3 5 2 3 4" xfId="34317" xr:uid="{21F1FA25-887F-4FF7-BAA8-7EC577DCB562}"/>
    <cellStyle name="Comma 4 3 5 2 4" xfId="5589" xr:uid="{4B24D2A4-2E2C-4F69-982E-1D616486028A}"/>
    <cellStyle name="Comma 4 3 5 2 4 2" xfId="14661" xr:uid="{51652D1A-C7E5-4E12-994B-0072B4F32B3F}"/>
    <cellStyle name="Comma 4 3 5 2 4 2 2" xfId="29781" xr:uid="{7BCEEB53-D4D3-4230-8C98-B968E1223883}"/>
    <cellStyle name="Comma 4 3 5 2 4 2 2 2" xfId="60021" xr:uid="{7B569846-A188-4826-B676-4D516DE1E84F}"/>
    <cellStyle name="Comma 4 3 5 2 4 2 3" xfId="44901" xr:uid="{02689D3E-37AB-4DA7-8999-827EE17486BB}"/>
    <cellStyle name="Comma 4 3 5 2 4 3" xfId="20709" xr:uid="{67B959E6-AA49-4A94-91DD-B06697A08FF0}"/>
    <cellStyle name="Comma 4 3 5 2 4 3 2" xfId="50949" xr:uid="{77134C04-A3BD-44E6-86CC-89F341924DC5}"/>
    <cellStyle name="Comma 4 3 5 2 4 4" xfId="35829" xr:uid="{400906A7-A1D6-4924-B87F-03F6CF09D46D}"/>
    <cellStyle name="Comma 4 3 5 2 5" xfId="7101" xr:uid="{AC3AF216-A5B7-4E7A-9DF6-4AF024F6195E}"/>
    <cellStyle name="Comma 4 3 5 2 5 2" xfId="22221" xr:uid="{65585F60-72BA-4710-95FF-BA58274530D6}"/>
    <cellStyle name="Comma 4 3 5 2 5 2 2" xfId="52461" xr:uid="{B2425CD3-6D7A-441D-9487-34F2550A04D4}"/>
    <cellStyle name="Comma 4 3 5 2 5 3" xfId="37341" xr:uid="{35C20C97-1CFC-4A36-B3AD-9CCC65845864}"/>
    <cellStyle name="Comma 4 3 5 2 6" xfId="8613" xr:uid="{5E12EB4C-648C-4317-A363-C38E914D748F}"/>
    <cellStyle name="Comma 4 3 5 2 6 2" xfId="23733" xr:uid="{ADF16FDA-2582-45A7-921D-66EF7E9B3C16}"/>
    <cellStyle name="Comma 4 3 5 2 6 2 2" xfId="53973" xr:uid="{108C38FE-5E86-4C5D-9F3E-926F8709DA06}"/>
    <cellStyle name="Comma 4 3 5 2 6 3" xfId="38853" xr:uid="{D32C98B0-67F0-441E-97CC-4B3687305732}"/>
    <cellStyle name="Comma 4 3 5 2 7" xfId="10125" xr:uid="{ABC275F7-FCB2-4D47-8B91-896FB4FC77C4}"/>
    <cellStyle name="Comma 4 3 5 2 7 2" xfId="25245" xr:uid="{3B22A554-5A4A-4AF9-80F7-BA1EF7D197C3}"/>
    <cellStyle name="Comma 4 3 5 2 7 2 2" xfId="55485" xr:uid="{856B6621-C6C5-4D5B-966F-AF574B4DD831}"/>
    <cellStyle name="Comma 4 3 5 2 7 3" xfId="40365" xr:uid="{0262B1C6-CC92-4816-97C0-4005323E9202}"/>
    <cellStyle name="Comma 4 3 5 2 8" xfId="16173" xr:uid="{0639B86D-2E22-4EEB-AD3A-762C22CE266E}"/>
    <cellStyle name="Comma 4 3 5 2 8 2" xfId="46413" xr:uid="{BA9BCB7B-8AB1-41B0-BB25-302C7DEA66AE}"/>
    <cellStyle name="Comma 4 3 5 2 9" xfId="31293" xr:uid="{E614EA12-912E-4BBC-A945-C6206E2DF3AD}"/>
    <cellStyle name="Comma 4 3 5 3" xfId="1809" xr:uid="{F96A1E34-F579-4382-91D8-4A71F87A1E2A}"/>
    <cellStyle name="Comma 4 3 5 3 2" xfId="10881" xr:uid="{0F88265C-2A87-4357-BAC6-F659E409AD75}"/>
    <cellStyle name="Comma 4 3 5 3 2 2" xfId="26001" xr:uid="{EB8F2045-A4A2-4421-978E-3E1AEB408790}"/>
    <cellStyle name="Comma 4 3 5 3 2 2 2" xfId="56241" xr:uid="{0528D396-69F3-4C2E-B604-476FECCA8CB9}"/>
    <cellStyle name="Comma 4 3 5 3 2 3" xfId="41121" xr:uid="{6EAEC712-7C95-4216-9478-927F3B21D0EE}"/>
    <cellStyle name="Comma 4 3 5 3 3" xfId="16929" xr:uid="{08B3BB56-8105-49AF-B5B9-B973B60CB51B}"/>
    <cellStyle name="Comma 4 3 5 3 3 2" xfId="47169" xr:uid="{9D3BE8BD-380B-46D8-9533-9378155E93B2}"/>
    <cellStyle name="Comma 4 3 5 3 4" xfId="32049" xr:uid="{37149772-B808-4B38-AD8A-14CF64DE835D}"/>
    <cellStyle name="Comma 4 3 5 4" xfId="3321" xr:uid="{557049A4-AFDB-4F47-B012-2C2A4E8D63C5}"/>
    <cellStyle name="Comma 4 3 5 4 2" xfId="12393" xr:uid="{8598FE6D-49C2-4F04-94ED-EB45AA1F0661}"/>
    <cellStyle name="Comma 4 3 5 4 2 2" xfId="27513" xr:uid="{A4B767E6-9B75-4193-98A2-C13B95A120CA}"/>
    <cellStyle name="Comma 4 3 5 4 2 2 2" xfId="57753" xr:uid="{2C2F9B83-F003-4181-9661-B3383F15B821}"/>
    <cellStyle name="Comma 4 3 5 4 2 3" xfId="42633" xr:uid="{596AEB45-E5A7-4F4D-ACE6-53FA696D37BA}"/>
    <cellStyle name="Comma 4 3 5 4 3" xfId="18441" xr:uid="{2335C162-CD7B-4986-B12E-AB2A8AE73618}"/>
    <cellStyle name="Comma 4 3 5 4 3 2" xfId="48681" xr:uid="{777AE350-473A-47AA-AD05-5EEA971E0F81}"/>
    <cellStyle name="Comma 4 3 5 4 4" xfId="33561" xr:uid="{361672F7-6304-41FB-B97A-58BF15B6FD7F}"/>
    <cellStyle name="Comma 4 3 5 5" xfId="4833" xr:uid="{D899BBE4-C0E1-435A-8D96-919149A6A2AF}"/>
    <cellStyle name="Comma 4 3 5 5 2" xfId="13905" xr:uid="{9297AFB2-B031-4671-A84A-BE26735C9DE0}"/>
    <cellStyle name="Comma 4 3 5 5 2 2" xfId="29025" xr:uid="{3AC7E9B4-EB52-4CDE-AF4D-13D8C024DCF0}"/>
    <cellStyle name="Comma 4 3 5 5 2 2 2" xfId="59265" xr:uid="{E99322D7-E235-4B35-A9A6-0B6EFEB2DA38}"/>
    <cellStyle name="Comma 4 3 5 5 2 3" xfId="44145" xr:uid="{B9A730EB-695D-4461-BB9E-9A36801AECEA}"/>
    <cellStyle name="Comma 4 3 5 5 3" xfId="19953" xr:uid="{C022F167-3CFF-4AA0-900F-5878DA3A4337}"/>
    <cellStyle name="Comma 4 3 5 5 3 2" xfId="50193" xr:uid="{655AD1E4-B485-4777-8578-30855CD48198}"/>
    <cellStyle name="Comma 4 3 5 5 4" xfId="35073" xr:uid="{2D2EDCCE-9087-488D-860A-394F854CEFB5}"/>
    <cellStyle name="Comma 4 3 5 6" xfId="6345" xr:uid="{BFABE930-EF97-4BD6-84DA-DE571578079B}"/>
    <cellStyle name="Comma 4 3 5 6 2" xfId="21465" xr:uid="{980C8097-DC92-4DDE-A875-3D616BAE70B1}"/>
    <cellStyle name="Comma 4 3 5 6 2 2" xfId="51705" xr:uid="{DED33CC2-F4F4-4AE5-A769-2CC7F7A894F3}"/>
    <cellStyle name="Comma 4 3 5 6 3" xfId="36585" xr:uid="{F06F2224-B30E-4E91-AFE1-F8C6DD52D219}"/>
    <cellStyle name="Comma 4 3 5 7" xfId="7857" xr:uid="{10E46EF5-D850-40DF-A962-516DEF3678C4}"/>
    <cellStyle name="Comma 4 3 5 7 2" xfId="22977" xr:uid="{936532EF-73DE-494F-B4A4-32D30340B751}"/>
    <cellStyle name="Comma 4 3 5 7 2 2" xfId="53217" xr:uid="{F612783C-985C-4B86-8773-263FE34A00AF}"/>
    <cellStyle name="Comma 4 3 5 7 3" xfId="38097" xr:uid="{B8044754-3179-4F86-B1B2-FC5C17D367D5}"/>
    <cellStyle name="Comma 4 3 5 8" xfId="9369" xr:uid="{7EFCF821-2375-427F-943E-3100A8D365F9}"/>
    <cellStyle name="Comma 4 3 5 8 2" xfId="24489" xr:uid="{58DB295B-66E6-4888-AB2F-A356A2730054}"/>
    <cellStyle name="Comma 4 3 5 8 2 2" xfId="54729" xr:uid="{CA8BBE55-8ECE-4347-B38B-8D5D016FD175}"/>
    <cellStyle name="Comma 4 3 5 8 3" xfId="39609" xr:uid="{250FAE57-5E40-405F-99FE-B0D4BEDED708}"/>
    <cellStyle name="Comma 4 3 5 9" xfId="15417" xr:uid="{EB9258E8-5775-4329-8498-C26708493733}"/>
    <cellStyle name="Comma 4 3 5 9 2" xfId="45657" xr:uid="{26E7CC44-107B-4C33-9364-611B908B1DC7}"/>
    <cellStyle name="Comma 4 3 6" xfId="549" xr:uid="{F0613882-D9DC-43A4-B19A-DEA0AD218ABA}"/>
    <cellStyle name="Comma 4 3 6 10" xfId="30789" xr:uid="{870CD0C5-B693-4746-AE82-FC2C746DDB62}"/>
    <cellStyle name="Comma 4 3 6 2" xfId="1305" xr:uid="{EB997075-3FE7-4A25-A0EF-C0D9F3F90C92}"/>
    <cellStyle name="Comma 4 3 6 2 2" xfId="2817" xr:uid="{AAC7612C-64ED-482E-A844-25531FC8E36C}"/>
    <cellStyle name="Comma 4 3 6 2 2 2" xfId="11889" xr:uid="{095E98CA-6E1E-41B9-B7EF-02A02DB48524}"/>
    <cellStyle name="Comma 4 3 6 2 2 2 2" xfId="27009" xr:uid="{18107D60-AAD2-41B9-937C-C3C1A8118089}"/>
    <cellStyle name="Comma 4 3 6 2 2 2 2 2" xfId="57249" xr:uid="{847AD5BE-9C2E-46A6-A49A-179E5B9AF8CB}"/>
    <cellStyle name="Comma 4 3 6 2 2 2 3" xfId="42129" xr:uid="{F5852C99-8BBD-452B-B2BD-0CD5F340E366}"/>
    <cellStyle name="Comma 4 3 6 2 2 3" xfId="17937" xr:uid="{C4CD8C1A-87CA-465B-BC7A-FC08E02295E5}"/>
    <cellStyle name="Comma 4 3 6 2 2 3 2" xfId="48177" xr:uid="{7065FA8E-4BC2-4F80-9A7F-DF5A723DC02D}"/>
    <cellStyle name="Comma 4 3 6 2 2 4" xfId="33057" xr:uid="{7D0154FF-2A10-4EA2-B2C2-39A2E320232D}"/>
    <cellStyle name="Comma 4 3 6 2 3" xfId="4329" xr:uid="{0B7FF554-6C8F-46FC-9D04-406BDDF92331}"/>
    <cellStyle name="Comma 4 3 6 2 3 2" xfId="13401" xr:uid="{98C79605-352C-48CF-8F82-6EFECD01D25C}"/>
    <cellStyle name="Comma 4 3 6 2 3 2 2" xfId="28521" xr:uid="{CD82B8CC-DE47-4863-A5C8-C1A1CAC8A7E2}"/>
    <cellStyle name="Comma 4 3 6 2 3 2 2 2" xfId="58761" xr:uid="{BC485336-C739-474F-BDCE-B915289EB696}"/>
    <cellStyle name="Comma 4 3 6 2 3 2 3" xfId="43641" xr:uid="{E8E0E2CA-3429-403C-9B31-6F35AAF60274}"/>
    <cellStyle name="Comma 4 3 6 2 3 3" xfId="19449" xr:uid="{9FA7BB98-5B5D-410F-8030-EBD703BC2C27}"/>
    <cellStyle name="Comma 4 3 6 2 3 3 2" xfId="49689" xr:uid="{85B47B78-E8C5-494E-B395-4788D412D8DE}"/>
    <cellStyle name="Comma 4 3 6 2 3 4" xfId="34569" xr:uid="{45BF5F71-8F88-45BC-9900-EC7D357A283D}"/>
    <cellStyle name="Comma 4 3 6 2 4" xfId="5841" xr:uid="{D3E6564C-85EB-4BA5-9A58-FB6130E6765A}"/>
    <cellStyle name="Comma 4 3 6 2 4 2" xfId="14913" xr:uid="{7D48BDAF-8BD6-4ADD-9A27-109EAA9FC447}"/>
    <cellStyle name="Comma 4 3 6 2 4 2 2" xfId="30033" xr:uid="{0CB4AD37-178C-4698-A646-6F0D69F39690}"/>
    <cellStyle name="Comma 4 3 6 2 4 2 2 2" xfId="60273" xr:uid="{74F88C8C-C3E1-450E-A5DC-703F1CAF6E91}"/>
    <cellStyle name="Comma 4 3 6 2 4 2 3" xfId="45153" xr:uid="{4CE9760A-723D-445D-A000-E13A7361C410}"/>
    <cellStyle name="Comma 4 3 6 2 4 3" xfId="20961" xr:uid="{B8F2686D-617B-4B02-ACA7-BE9EE8851732}"/>
    <cellStyle name="Comma 4 3 6 2 4 3 2" xfId="51201" xr:uid="{115ECA83-D2D3-4860-8CCD-A29B236C8F0A}"/>
    <cellStyle name="Comma 4 3 6 2 4 4" xfId="36081" xr:uid="{70EF2BAD-3F66-4C74-9C2E-E7150D2D28B9}"/>
    <cellStyle name="Comma 4 3 6 2 5" xfId="7353" xr:uid="{8F0F457B-5BB2-4E07-BB83-BCF7963961A2}"/>
    <cellStyle name="Comma 4 3 6 2 5 2" xfId="22473" xr:uid="{3EC4BFDD-4194-497D-8D6E-235BD6DA61EA}"/>
    <cellStyle name="Comma 4 3 6 2 5 2 2" xfId="52713" xr:uid="{589972B0-24C0-4880-A4E4-DE179E3C57AC}"/>
    <cellStyle name="Comma 4 3 6 2 5 3" xfId="37593" xr:uid="{D0375203-FEC4-4782-8BD9-94ED80E01A19}"/>
    <cellStyle name="Comma 4 3 6 2 6" xfId="8865" xr:uid="{3AFE7E3D-05D8-4A43-AC6F-8A5E12F4FB7F}"/>
    <cellStyle name="Comma 4 3 6 2 6 2" xfId="23985" xr:uid="{D56CFF73-9919-42B0-B9F9-5625D0381452}"/>
    <cellStyle name="Comma 4 3 6 2 6 2 2" xfId="54225" xr:uid="{34297B40-5051-4D01-ACE4-5B49DC41E271}"/>
    <cellStyle name="Comma 4 3 6 2 6 3" xfId="39105" xr:uid="{18FB1AF1-4048-4866-88CA-7AFE33263452}"/>
    <cellStyle name="Comma 4 3 6 2 7" xfId="10377" xr:uid="{53FB56D7-D337-4ABF-8D58-138F5347C6A5}"/>
    <cellStyle name="Comma 4 3 6 2 7 2" xfId="25497" xr:uid="{71125176-FC84-4ED2-BBFC-BF5048D1EF1E}"/>
    <cellStyle name="Comma 4 3 6 2 7 2 2" xfId="55737" xr:uid="{E16C5B1F-0CFE-4B36-95DC-7CF1E354640E}"/>
    <cellStyle name="Comma 4 3 6 2 7 3" xfId="40617" xr:uid="{797A0D17-AFF7-4DBD-BEEF-F90F58FB3AEE}"/>
    <cellStyle name="Comma 4 3 6 2 8" xfId="16425" xr:uid="{5CBFB3CF-1CFE-404F-B6D1-19BA8BD5AF3A}"/>
    <cellStyle name="Comma 4 3 6 2 8 2" xfId="46665" xr:uid="{F45886FE-FFBC-4ACE-93DD-D8F5A51BF388}"/>
    <cellStyle name="Comma 4 3 6 2 9" xfId="31545" xr:uid="{D045AE63-4B4F-4F7B-A7C1-A3277896CDE1}"/>
    <cellStyle name="Comma 4 3 6 3" xfId="2061" xr:uid="{1061FFB7-EFBD-445E-B98A-7AC090C955D6}"/>
    <cellStyle name="Comma 4 3 6 3 2" xfId="11133" xr:uid="{259B89E6-ECD3-40A0-A5E8-701D2D32A486}"/>
    <cellStyle name="Comma 4 3 6 3 2 2" xfId="26253" xr:uid="{F3101F15-F745-4FB2-B711-C25E77E33D55}"/>
    <cellStyle name="Comma 4 3 6 3 2 2 2" xfId="56493" xr:uid="{6B153BAD-DB35-4971-95B8-193E0BC633D7}"/>
    <cellStyle name="Comma 4 3 6 3 2 3" xfId="41373" xr:uid="{811DA412-FA4B-4B44-952E-AAFAC56B084C}"/>
    <cellStyle name="Comma 4 3 6 3 3" xfId="17181" xr:uid="{B9837062-BE44-42AD-9491-D2122FA7F744}"/>
    <cellStyle name="Comma 4 3 6 3 3 2" xfId="47421" xr:uid="{D3ECD763-4BFF-48DA-91BD-4C82F22F5D4C}"/>
    <cellStyle name="Comma 4 3 6 3 4" xfId="32301" xr:uid="{D6C395D9-CFC6-4F99-8E14-8734B18B6FB1}"/>
    <cellStyle name="Comma 4 3 6 4" xfId="3573" xr:uid="{5242D314-C5AF-40DB-A2E1-85CF49D5EB4D}"/>
    <cellStyle name="Comma 4 3 6 4 2" xfId="12645" xr:uid="{C5EA5112-DC4E-4A16-BAAB-733004EC3B68}"/>
    <cellStyle name="Comma 4 3 6 4 2 2" xfId="27765" xr:uid="{E2883D6A-3CD9-4D43-932F-422059C7AF45}"/>
    <cellStyle name="Comma 4 3 6 4 2 2 2" xfId="58005" xr:uid="{383B5535-7AE5-42FD-B843-C54E06D5B1DD}"/>
    <cellStyle name="Comma 4 3 6 4 2 3" xfId="42885" xr:uid="{AD997D81-8C91-4F56-AD4A-33CDA749D473}"/>
    <cellStyle name="Comma 4 3 6 4 3" xfId="18693" xr:uid="{4A16695B-BD55-42D4-99A1-A3A60E709ED1}"/>
    <cellStyle name="Comma 4 3 6 4 3 2" xfId="48933" xr:uid="{CACF720A-49BD-4873-B157-B0A4850EABB6}"/>
    <cellStyle name="Comma 4 3 6 4 4" xfId="33813" xr:uid="{F2481A8C-6A73-4957-BA7E-53A6577DB891}"/>
    <cellStyle name="Comma 4 3 6 5" xfId="5085" xr:uid="{5316666A-7A1A-4C9B-9709-2C223FCC7B59}"/>
    <cellStyle name="Comma 4 3 6 5 2" xfId="14157" xr:uid="{C91D55CF-B369-4178-AF4B-3FA521163D40}"/>
    <cellStyle name="Comma 4 3 6 5 2 2" xfId="29277" xr:uid="{4E97638D-CC8F-495A-B6C8-60AE0F402DEB}"/>
    <cellStyle name="Comma 4 3 6 5 2 2 2" xfId="59517" xr:uid="{8DD060EC-EC13-40F3-BF96-2704C9750DE9}"/>
    <cellStyle name="Comma 4 3 6 5 2 3" xfId="44397" xr:uid="{97A402C1-19E3-435B-947D-FB6228ED768B}"/>
    <cellStyle name="Comma 4 3 6 5 3" xfId="20205" xr:uid="{78B904DF-5C55-4F12-BD61-67333A92F521}"/>
    <cellStyle name="Comma 4 3 6 5 3 2" xfId="50445" xr:uid="{12C98638-55B4-4A74-9540-F3D89C5AA3D6}"/>
    <cellStyle name="Comma 4 3 6 5 4" xfId="35325" xr:uid="{D9DF67E8-6664-4FDB-92F4-BC57248FD155}"/>
    <cellStyle name="Comma 4 3 6 6" xfId="6597" xr:uid="{C1C57398-BA54-4653-8C1C-6F5BC8F242BE}"/>
    <cellStyle name="Comma 4 3 6 6 2" xfId="21717" xr:uid="{8653A93A-1C4E-4C50-B1E9-E5D0F2AAC20B}"/>
    <cellStyle name="Comma 4 3 6 6 2 2" xfId="51957" xr:uid="{97007C09-F84C-4F02-AF1D-47D408EBA36D}"/>
    <cellStyle name="Comma 4 3 6 6 3" xfId="36837" xr:uid="{DF3BF90B-112F-434E-AB8F-8B6D03574BC3}"/>
    <cellStyle name="Comma 4 3 6 7" xfId="8109" xr:uid="{ECF40EFD-90CF-4E6B-BFD6-3529FD80F5D6}"/>
    <cellStyle name="Comma 4 3 6 7 2" xfId="23229" xr:uid="{3D3FA9B8-A532-4513-9ED9-14907975756B}"/>
    <cellStyle name="Comma 4 3 6 7 2 2" xfId="53469" xr:uid="{7E2A3C14-9643-4972-B0BD-6A34A88F0248}"/>
    <cellStyle name="Comma 4 3 6 7 3" xfId="38349" xr:uid="{1E765741-2D2A-4E69-9063-5D0B2378A916}"/>
    <cellStyle name="Comma 4 3 6 8" xfId="9621" xr:uid="{9CE1C973-5CE7-4A5C-BA91-D0FCF40C4AE5}"/>
    <cellStyle name="Comma 4 3 6 8 2" xfId="24741" xr:uid="{F702F515-DBE2-476C-9075-6404D8AB776F}"/>
    <cellStyle name="Comma 4 3 6 8 2 2" xfId="54981" xr:uid="{2EBA2880-6834-4D37-826A-C1B805F1A407}"/>
    <cellStyle name="Comma 4 3 6 8 3" xfId="39861" xr:uid="{8DF7A378-8411-4EFE-A51D-77583E81C7CD}"/>
    <cellStyle name="Comma 4 3 6 9" xfId="15669" xr:uid="{34F90F0F-A9EF-4F4D-B19B-4368D0676F85}"/>
    <cellStyle name="Comma 4 3 6 9 2" xfId="45909" xr:uid="{1F3939B4-5D81-4BE5-9704-34F734680665}"/>
    <cellStyle name="Comma 4 3 7" xfId="801" xr:uid="{D58EF605-4F6B-4A01-BE1F-1FFDA56E5CEB}"/>
    <cellStyle name="Comma 4 3 7 2" xfId="2313" xr:uid="{95F9E0CE-DB99-4461-9427-CD019D2C27EE}"/>
    <cellStyle name="Comma 4 3 7 2 2" xfId="11385" xr:uid="{837223A1-5E07-480B-BF0E-78072D605BFE}"/>
    <cellStyle name="Comma 4 3 7 2 2 2" xfId="26505" xr:uid="{5412DFC6-0C26-4B81-B8CD-669B98B77EEA}"/>
    <cellStyle name="Comma 4 3 7 2 2 2 2" xfId="56745" xr:uid="{00310C66-8B11-46AF-BBCB-CD7233BCD198}"/>
    <cellStyle name="Comma 4 3 7 2 2 3" xfId="41625" xr:uid="{45170510-263C-473C-84E4-22E10965A4C6}"/>
    <cellStyle name="Comma 4 3 7 2 3" xfId="17433" xr:uid="{5EC32C04-68FD-4DFF-9CC6-F3EEAEFE08B7}"/>
    <cellStyle name="Comma 4 3 7 2 3 2" xfId="47673" xr:uid="{9EC18D20-32BE-44AF-851C-CE29828371FE}"/>
    <cellStyle name="Comma 4 3 7 2 4" xfId="32553" xr:uid="{CC38B93C-B8DF-43D8-8061-6EA4426B9AE8}"/>
    <cellStyle name="Comma 4 3 7 3" xfId="3825" xr:uid="{AFCAEEDB-7D2B-4DA6-A49D-50AE872C5EEE}"/>
    <cellStyle name="Comma 4 3 7 3 2" xfId="12897" xr:uid="{B3E168CB-81FB-4797-9E65-185036B44244}"/>
    <cellStyle name="Comma 4 3 7 3 2 2" xfId="28017" xr:uid="{1BD68A6B-4BE6-46C9-8AC5-7DF9BB3B7F87}"/>
    <cellStyle name="Comma 4 3 7 3 2 2 2" xfId="58257" xr:uid="{45CA23E6-269E-4999-9B05-BCB4211FBA33}"/>
    <cellStyle name="Comma 4 3 7 3 2 3" xfId="43137" xr:uid="{DCB081D6-9423-4B7C-95BF-27613676B8CD}"/>
    <cellStyle name="Comma 4 3 7 3 3" xfId="18945" xr:uid="{C5563E73-075A-4111-A263-75CA84C9D765}"/>
    <cellStyle name="Comma 4 3 7 3 3 2" xfId="49185" xr:uid="{BDB74627-442A-4963-ADB6-59E391F9A5D8}"/>
    <cellStyle name="Comma 4 3 7 3 4" xfId="34065" xr:uid="{2AF998DE-D327-4A07-98DA-DAE9D61C7181}"/>
    <cellStyle name="Comma 4 3 7 4" xfId="5337" xr:uid="{3A6D1083-2EC9-404A-93FD-1762A33823C5}"/>
    <cellStyle name="Comma 4 3 7 4 2" xfId="14409" xr:uid="{4C016487-21A0-4C60-B793-F298A6EC1D92}"/>
    <cellStyle name="Comma 4 3 7 4 2 2" xfId="29529" xr:uid="{BB92A3EE-5490-4FA5-8F2E-7E589E3C5EEF}"/>
    <cellStyle name="Comma 4 3 7 4 2 2 2" xfId="59769" xr:uid="{1231AC5D-CB3A-4CE0-9ED7-D2C1C174EBF0}"/>
    <cellStyle name="Comma 4 3 7 4 2 3" xfId="44649" xr:uid="{0EDCDDA1-CAD2-4CB3-9AE9-5BBCE951BDFE}"/>
    <cellStyle name="Comma 4 3 7 4 3" xfId="20457" xr:uid="{6B64D02F-9E80-43D6-8FAB-06A135153EE1}"/>
    <cellStyle name="Comma 4 3 7 4 3 2" xfId="50697" xr:uid="{C10B9072-FCC0-45C9-ACD9-F60837C94D10}"/>
    <cellStyle name="Comma 4 3 7 4 4" xfId="35577" xr:uid="{A4F65ECD-BC42-441D-A508-BCCB924A5460}"/>
    <cellStyle name="Comma 4 3 7 5" xfId="6849" xr:uid="{BC99F793-92B0-4061-BDFD-F963472902F2}"/>
    <cellStyle name="Comma 4 3 7 5 2" xfId="21969" xr:uid="{308D2868-490F-407A-A78A-801907350F11}"/>
    <cellStyle name="Comma 4 3 7 5 2 2" xfId="52209" xr:uid="{AC117D67-37E4-412B-BA6B-51B01D4D67B7}"/>
    <cellStyle name="Comma 4 3 7 5 3" xfId="37089" xr:uid="{7149FCE4-B6B5-4E5C-91A0-6C1B0842E2CE}"/>
    <cellStyle name="Comma 4 3 7 6" xfId="8361" xr:uid="{62B13CB4-0CBC-40E3-B453-8FC062C5C178}"/>
    <cellStyle name="Comma 4 3 7 6 2" xfId="23481" xr:uid="{CB55F06C-2067-4E86-921C-538FF814F999}"/>
    <cellStyle name="Comma 4 3 7 6 2 2" xfId="53721" xr:uid="{0AC1A64D-D9F0-4143-9570-F1902CC30F97}"/>
    <cellStyle name="Comma 4 3 7 6 3" xfId="38601" xr:uid="{6988767B-A609-4FA6-A477-7708129E4975}"/>
    <cellStyle name="Comma 4 3 7 7" xfId="9873" xr:uid="{3A5C330C-9309-4193-86C4-516F195F948F}"/>
    <cellStyle name="Comma 4 3 7 7 2" xfId="24993" xr:uid="{4568EB6F-95DB-45F1-92F0-B9915D24C80B}"/>
    <cellStyle name="Comma 4 3 7 7 2 2" xfId="55233" xr:uid="{3C2C73B0-8F2A-418D-8C14-A712A93C69BA}"/>
    <cellStyle name="Comma 4 3 7 7 3" xfId="40113" xr:uid="{5AF73943-91F6-4EE3-86C2-CCAC1DECFF5E}"/>
    <cellStyle name="Comma 4 3 7 8" xfId="15921" xr:uid="{7637E8BB-2C4F-4E78-A01B-D20E90661AAA}"/>
    <cellStyle name="Comma 4 3 7 8 2" xfId="46161" xr:uid="{581DD56A-1448-4C36-A4C6-2D64955373E5}"/>
    <cellStyle name="Comma 4 3 7 9" xfId="31041" xr:uid="{60EAFE86-6894-4F15-A2D6-20663B4BA278}"/>
    <cellStyle name="Comma 4 3 8" xfId="1557" xr:uid="{BA865889-6AE2-47D3-9285-CFFD1051C264}"/>
    <cellStyle name="Comma 4 3 8 2" xfId="10629" xr:uid="{D9C099A4-75FE-4093-9B74-D99C3ABFA178}"/>
    <cellStyle name="Comma 4 3 8 2 2" xfId="25749" xr:uid="{994ED107-7EB7-4194-8A62-F011786D0F09}"/>
    <cellStyle name="Comma 4 3 8 2 2 2" xfId="55989" xr:uid="{A18D9375-7FE3-4FC2-A2F6-DB8E9AC7D933}"/>
    <cellStyle name="Comma 4 3 8 2 3" xfId="40869" xr:uid="{8D7888D1-1FC2-460D-B61F-00253E249C70}"/>
    <cellStyle name="Comma 4 3 8 3" xfId="16677" xr:uid="{AB0C9D3E-E2A0-4511-B8D4-215FD9BF875F}"/>
    <cellStyle name="Comma 4 3 8 3 2" xfId="46917" xr:uid="{4AE61F93-F418-429C-92CE-7CC2B5DCD098}"/>
    <cellStyle name="Comma 4 3 8 4" xfId="31797" xr:uid="{4721F71E-65E2-46E2-A9DE-5A0EDF8F591E}"/>
    <cellStyle name="Comma 4 3 9" xfId="3069" xr:uid="{0C0B687A-C4C9-4B29-9063-65F01AA797B5}"/>
    <cellStyle name="Comma 4 3 9 2" xfId="12141" xr:uid="{419BDF4F-6418-4E5A-ADAE-54E8B1F2178A}"/>
    <cellStyle name="Comma 4 3 9 2 2" xfId="27261" xr:uid="{F75C77C7-95DF-404E-A36C-92A753284E8C}"/>
    <cellStyle name="Comma 4 3 9 2 2 2" xfId="57501" xr:uid="{7BA91BA9-78BD-4345-8F3C-2B774C64C37E}"/>
    <cellStyle name="Comma 4 3 9 2 3" xfId="42381" xr:uid="{0D36D6E7-B73D-4047-B0F4-7C315D567F32}"/>
    <cellStyle name="Comma 4 3 9 3" xfId="18189" xr:uid="{E05537E0-4602-4A49-A2DA-D7A56B7F24F7}"/>
    <cellStyle name="Comma 4 3 9 3 2" xfId="48429" xr:uid="{3348DB53-5585-4886-8D54-E65A47A861B1}"/>
    <cellStyle name="Comma 4 3 9 4" xfId="33309" xr:uid="{3B614C3B-F7DA-4605-B12C-49E7ECB84464}"/>
    <cellStyle name="Comma 4 4" xfId="59" xr:uid="{973BFBA9-8EED-494A-B046-B7CC415253F6}"/>
    <cellStyle name="Comma 4 4 10" xfId="6107" xr:uid="{2CFF1F84-F2A1-4EA0-91A7-2F3BF8A9C624}"/>
    <cellStyle name="Comma 4 4 10 2" xfId="21227" xr:uid="{ED3A471D-923D-4B20-BB28-2D478A881760}"/>
    <cellStyle name="Comma 4 4 10 2 2" xfId="51467" xr:uid="{8F46FAAA-7786-4F07-B500-DBB59203B8E1}"/>
    <cellStyle name="Comma 4 4 10 3" xfId="36347" xr:uid="{4C8AB8C6-686A-49EF-BC8D-654D428C4631}"/>
    <cellStyle name="Comma 4 4 11" xfId="7619" xr:uid="{A90DDE3E-1566-4D99-93E8-367B4C99C9F4}"/>
    <cellStyle name="Comma 4 4 11 2" xfId="22739" xr:uid="{04A5187E-AD13-412C-B9A1-DBD3EF6766E3}"/>
    <cellStyle name="Comma 4 4 11 2 2" xfId="52979" xr:uid="{8E17B546-1DEE-4913-99E2-4752A23C1089}"/>
    <cellStyle name="Comma 4 4 11 3" xfId="37859" xr:uid="{8F5FB1AA-92B9-4BB7-B8EE-4A28C57413ED}"/>
    <cellStyle name="Comma 4 4 12" xfId="9131" xr:uid="{0E767B15-9C0B-4F9F-A8BB-998B88891CD2}"/>
    <cellStyle name="Comma 4 4 12 2" xfId="24251" xr:uid="{33ED79C6-8999-411C-9927-F025657D288D}"/>
    <cellStyle name="Comma 4 4 12 2 2" xfId="54491" xr:uid="{DFB2C041-C0FD-4FE0-82C8-D99D7EDE207A}"/>
    <cellStyle name="Comma 4 4 12 3" xfId="39371" xr:uid="{1EB445E4-F8BF-4CD4-8B0D-8D189EE80847}"/>
    <cellStyle name="Comma 4 4 13" xfId="15179" xr:uid="{C77C98EB-0632-41BD-BFAD-060314BDD11B}"/>
    <cellStyle name="Comma 4 4 13 2" xfId="45419" xr:uid="{8B4183A4-E98F-44F8-B574-BC938072AF31}"/>
    <cellStyle name="Comma 4 4 14" xfId="30299" xr:uid="{F25C198D-A0B2-4CE4-BB5E-3C2983257750}"/>
    <cellStyle name="Comma 4 4 2" xfId="143" xr:uid="{20487D1D-F088-4A4E-A503-CB3F3A9F4D38}"/>
    <cellStyle name="Comma 4 4 2 10" xfId="9215" xr:uid="{0F8B4817-554E-446F-B8C0-7469D5124479}"/>
    <cellStyle name="Comma 4 4 2 10 2" xfId="24335" xr:uid="{28BE7147-01A4-4651-A972-829103A6E55D}"/>
    <cellStyle name="Comma 4 4 2 10 2 2" xfId="54575" xr:uid="{B0175AAF-8E73-4883-B570-7575C7B4AADB}"/>
    <cellStyle name="Comma 4 4 2 10 3" xfId="39455" xr:uid="{E0D08D69-2129-46D5-AE3F-94CB488DCA72}"/>
    <cellStyle name="Comma 4 4 2 11" xfId="15263" xr:uid="{E5C62B0B-3192-46CA-BE16-E82146AF2B10}"/>
    <cellStyle name="Comma 4 4 2 11 2" xfId="45503" xr:uid="{D9C3A58A-C947-4555-9DA8-A2F39FC6008D}"/>
    <cellStyle name="Comma 4 4 2 12" xfId="30383" xr:uid="{B684DE17-264B-4438-9E8A-5786087DF762}"/>
    <cellStyle name="Comma 4 4 2 2" xfId="395" xr:uid="{0D342022-7960-45B7-8799-18DB29A652F6}"/>
    <cellStyle name="Comma 4 4 2 2 10" xfId="30635" xr:uid="{9570A0E2-4CCD-41B4-B75E-39C3A0B89477}"/>
    <cellStyle name="Comma 4 4 2 2 2" xfId="1151" xr:uid="{2C917344-23CA-408B-8266-F511158610AE}"/>
    <cellStyle name="Comma 4 4 2 2 2 2" xfId="2663" xr:uid="{AAB4DA64-CFBB-43F6-A3B0-CB8B033CE630}"/>
    <cellStyle name="Comma 4 4 2 2 2 2 2" xfId="11735" xr:uid="{6F50BB37-5C1C-476C-A3A2-A1219CF8CF9F}"/>
    <cellStyle name="Comma 4 4 2 2 2 2 2 2" xfId="26855" xr:uid="{66A3E12A-6EFD-4F2A-96AC-444241A7195F}"/>
    <cellStyle name="Comma 4 4 2 2 2 2 2 2 2" xfId="57095" xr:uid="{ADD5DB9D-B2EA-4B92-ACD2-E8DB6340E002}"/>
    <cellStyle name="Comma 4 4 2 2 2 2 2 3" xfId="41975" xr:uid="{5416F261-28CF-40E7-B724-02D091FF6F97}"/>
    <cellStyle name="Comma 4 4 2 2 2 2 3" xfId="17783" xr:uid="{3A2D157C-53D6-42B9-9215-A3AD3EE55602}"/>
    <cellStyle name="Comma 4 4 2 2 2 2 3 2" xfId="48023" xr:uid="{EFAEE366-E486-4A89-BE61-A2AC05AE4A6D}"/>
    <cellStyle name="Comma 4 4 2 2 2 2 4" xfId="32903" xr:uid="{858CACAC-D33F-43B4-94DB-A19A882A0157}"/>
    <cellStyle name="Comma 4 4 2 2 2 3" xfId="4175" xr:uid="{ADA53A43-9C0C-407A-BC09-864E8586887B}"/>
    <cellStyle name="Comma 4 4 2 2 2 3 2" xfId="13247" xr:uid="{4AA5E8A2-81C3-457C-A3C1-BD44B7B3A3B1}"/>
    <cellStyle name="Comma 4 4 2 2 2 3 2 2" xfId="28367" xr:uid="{BDCAD247-022E-4800-8E04-704649D8D150}"/>
    <cellStyle name="Comma 4 4 2 2 2 3 2 2 2" xfId="58607" xr:uid="{D34CD2EB-DC78-4BD7-A9FC-F489A1DBFD29}"/>
    <cellStyle name="Comma 4 4 2 2 2 3 2 3" xfId="43487" xr:uid="{D635D32C-C278-4D94-A5CB-F712E1839C02}"/>
    <cellStyle name="Comma 4 4 2 2 2 3 3" xfId="19295" xr:uid="{1DF0E152-6C08-49A6-ABE2-032A0A71172A}"/>
    <cellStyle name="Comma 4 4 2 2 2 3 3 2" xfId="49535" xr:uid="{3049FA1F-BFCF-430F-BB8C-F6597FA8937A}"/>
    <cellStyle name="Comma 4 4 2 2 2 3 4" xfId="34415" xr:uid="{3B2C8399-DCE3-4972-B871-9DAF08F85DC2}"/>
    <cellStyle name="Comma 4 4 2 2 2 4" xfId="5687" xr:uid="{2D356112-13B3-4263-AE0C-6CA1B9020137}"/>
    <cellStyle name="Comma 4 4 2 2 2 4 2" xfId="14759" xr:uid="{86693F52-A83B-462B-81C5-2FB8B1461AB2}"/>
    <cellStyle name="Comma 4 4 2 2 2 4 2 2" xfId="29879" xr:uid="{E5ADF8A5-7866-4A89-AB7F-83103254B8D7}"/>
    <cellStyle name="Comma 4 4 2 2 2 4 2 2 2" xfId="60119" xr:uid="{138B661B-2DAC-4870-87D7-07F1E165EE3F}"/>
    <cellStyle name="Comma 4 4 2 2 2 4 2 3" xfId="44999" xr:uid="{A750A5DA-AEBB-48B4-8C4F-D1875D7EF7A7}"/>
    <cellStyle name="Comma 4 4 2 2 2 4 3" xfId="20807" xr:uid="{4D9E35A6-E23D-4792-90E7-57492EFA9BB7}"/>
    <cellStyle name="Comma 4 4 2 2 2 4 3 2" xfId="51047" xr:uid="{BA13F1B0-E811-4DB5-A725-0D71C6940E54}"/>
    <cellStyle name="Comma 4 4 2 2 2 4 4" xfId="35927" xr:uid="{249D7634-A48C-479C-9DA9-B3725827D309}"/>
    <cellStyle name="Comma 4 4 2 2 2 5" xfId="7199" xr:uid="{D38A5414-B339-43F9-A93A-EACAA359152C}"/>
    <cellStyle name="Comma 4 4 2 2 2 5 2" xfId="22319" xr:uid="{DE47EC81-F5C2-46B7-B1F8-C91634113F6E}"/>
    <cellStyle name="Comma 4 4 2 2 2 5 2 2" xfId="52559" xr:uid="{88B2ED52-9E4D-4433-8F73-983C47E294AC}"/>
    <cellStyle name="Comma 4 4 2 2 2 5 3" xfId="37439" xr:uid="{848ADF29-7D79-4531-8F74-CE23F136AB54}"/>
    <cellStyle name="Comma 4 4 2 2 2 6" xfId="8711" xr:uid="{59BC87DB-84E9-4695-BAC2-EC1FC33A06D2}"/>
    <cellStyle name="Comma 4 4 2 2 2 6 2" xfId="23831" xr:uid="{06082D26-FA28-40D0-807E-6D7124B36B2E}"/>
    <cellStyle name="Comma 4 4 2 2 2 6 2 2" xfId="54071" xr:uid="{228DE2EF-45FF-4249-8672-C25B700C425F}"/>
    <cellStyle name="Comma 4 4 2 2 2 6 3" xfId="38951" xr:uid="{25036D67-423E-4D31-B4D8-D0D4FFF6524C}"/>
    <cellStyle name="Comma 4 4 2 2 2 7" xfId="10223" xr:uid="{A75E2F6D-5191-4111-A794-A5F764CDC446}"/>
    <cellStyle name="Comma 4 4 2 2 2 7 2" xfId="25343" xr:uid="{62C1875D-BDD2-460E-9BFC-8258E31BA6E6}"/>
    <cellStyle name="Comma 4 4 2 2 2 7 2 2" xfId="55583" xr:uid="{A37F6C3F-38A0-4012-8EAF-27969ACB9C1A}"/>
    <cellStyle name="Comma 4 4 2 2 2 7 3" xfId="40463" xr:uid="{2F93C6F2-3549-4504-A3A7-7A3725F9F57C}"/>
    <cellStyle name="Comma 4 4 2 2 2 8" xfId="16271" xr:uid="{18F21368-8CEF-48A7-98E2-AADD7D7478A7}"/>
    <cellStyle name="Comma 4 4 2 2 2 8 2" xfId="46511" xr:uid="{1DF77D0D-5523-4539-A17E-FDB8BADBD857}"/>
    <cellStyle name="Comma 4 4 2 2 2 9" xfId="31391" xr:uid="{BE2C0392-7A05-4CB9-9233-9ED9BAF6406E}"/>
    <cellStyle name="Comma 4 4 2 2 3" xfId="1907" xr:uid="{62BE88C5-8737-4AD8-BC9B-AA11BF269FBF}"/>
    <cellStyle name="Comma 4 4 2 2 3 2" xfId="10979" xr:uid="{AA5BC5BB-52DF-4A3F-95D6-F1C9D32EFEC4}"/>
    <cellStyle name="Comma 4 4 2 2 3 2 2" xfId="26099" xr:uid="{24292871-7832-428A-AE09-F342AAFF49E5}"/>
    <cellStyle name="Comma 4 4 2 2 3 2 2 2" xfId="56339" xr:uid="{8B496CD6-8BAD-4319-ADF9-1F7471D16978}"/>
    <cellStyle name="Comma 4 4 2 2 3 2 3" xfId="41219" xr:uid="{A3107A62-6C2D-44F6-B73D-D208CA221A7B}"/>
    <cellStyle name="Comma 4 4 2 2 3 3" xfId="17027" xr:uid="{374500E1-FADF-46FF-9EB7-BEC85CEEADDF}"/>
    <cellStyle name="Comma 4 4 2 2 3 3 2" xfId="47267" xr:uid="{2C45C42A-7603-491F-8DD6-840B361FD522}"/>
    <cellStyle name="Comma 4 4 2 2 3 4" xfId="32147" xr:uid="{5F15E8B3-2327-4723-9D74-37720F91EC4F}"/>
    <cellStyle name="Comma 4 4 2 2 4" xfId="3419" xr:uid="{638BDB5E-E6F1-475C-AE3A-8D92162D7F38}"/>
    <cellStyle name="Comma 4 4 2 2 4 2" xfId="12491" xr:uid="{DEB261C5-D713-4C8C-8138-E957A5BB3362}"/>
    <cellStyle name="Comma 4 4 2 2 4 2 2" xfId="27611" xr:uid="{4A34BF9D-5A96-4233-965E-E0115C644C9F}"/>
    <cellStyle name="Comma 4 4 2 2 4 2 2 2" xfId="57851" xr:uid="{B8046CB4-3CA1-4403-8072-EE62D153CF5C}"/>
    <cellStyle name="Comma 4 4 2 2 4 2 3" xfId="42731" xr:uid="{85DF5636-D011-42BA-BBD2-713C1654C4F3}"/>
    <cellStyle name="Comma 4 4 2 2 4 3" xfId="18539" xr:uid="{6BB3B74A-AE61-47F8-AE79-B58D1506DAEF}"/>
    <cellStyle name="Comma 4 4 2 2 4 3 2" xfId="48779" xr:uid="{35847495-194E-4B2F-9A2E-CB285678A4BB}"/>
    <cellStyle name="Comma 4 4 2 2 4 4" xfId="33659" xr:uid="{DAE9DF76-63CF-4849-847A-EB97FF508254}"/>
    <cellStyle name="Comma 4 4 2 2 5" xfId="4931" xr:uid="{BCDAA8BE-0E1E-4445-B30E-5F1217786701}"/>
    <cellStyle name="Comma 4 4 2 2 5 2" xfId="14003" xr:uid="{6B561DA2-D5EB-49E2-A664-AE3855C77B1C}"/>
    <cellStyle name="Comma 4 4 2 2 5 2 2" xfId="29123" xr:uid="{B23926E4-92A4-4DF5-8F79-03F772C50F83}"/>
    <cellStyle name="Comma 4 4 2 2 5 2 2 2" xfId="59363" xr:uid="{D5DBC451-2449-46E0-B3E2-0B20F34A0D21}"/>
    <cellStyle name="Comma 4 4 2 2 5 2 3" xfId="44243" xr:uid="{5601A318-C69A-461F-BE22-BB60ECC20F48}"/>
    <cellStyle name="Comma 4 4 2 2 5 3" xfId="20051" xr:uid="{FB9022DD-18C1-48F3-88F9-B7D7194D9AFD}"/>
    <cellStyle name="Comma 4 4 2 2 5 3 2" xfId="50291" xr:uid="{135DB433-D1FB-41AA-ABF4-D1DF7A13C466}"/>
    <cellStyle name="Comma 4 4 2 2 5 4" xfId="35171" xr:uid="{6A992CCE-AD83-4593-97C0-2DD4A1B30150}"/>
    <cellStyle name="Comma 4 4 2 2 6" xfId="6443" xr:uid="{C2CCF79F-4E9B-4074-9C15-757750ED64A1}"/>
    <cellStyle name="Comma 4 4 2 2 6 2" xfId="21563" xr:uid="{50281DC5-C502-472C-A288-302690FAF279}"/>
    <cellStyle name="Comma 4 4 2 2 6 2 2" xfId="51803" xr:uid="{CE033246-2113-405F-9E10-F2104CD81E43}"/>
    <cellStyle name="Comma 4 4 2 2 6 3" xfId="36683" xr:uid="{F7025EDB-4DC1-4149-8BF8-7E1892222F10}"/>
    <cellStyle name="Comma 4 4 2 2 7" xfId="7955" xr:uid="{1596616A-7860-4880-B153-761F20DB9C68}"/>
    <cellStyle name="Comma 4 4 2 2 7 2" xfId="23075" xr:uid="{5674A312-F1B4-4275-8D58-127FA80F7D61}"/>
    <cellStyle name="Comma 4 4 2 2 7 2 2" xfId="53315" xr:uid="{C31AED0F-4AB5-45CB-8207-25322329706A}"/>
    <cellStyle name="Comma 4 4 2 2 7 3" xfId="38195" xr:uid="{B1270793-244C-4F67-AFC6-4A681B0409AB}"/>
    <cellStyle name="Comma 4 4 2 2 8" xfId="9467" xr:uid="{B93DD7CC-8FB6-4025-A371-C5593548A9BE}"/>
    <cellStyle name="Comma 4 4 2 2 8 2" xfId="24587" xr:uid="{05AEFF03-0EB3-4018-A1C1-ACBBA1D59E8F}"/>
    <cellStyle name="Comma 4 4 2 2 8 2 2" xfId="54827" xr:uid="{F992AAF0-7ED3-45F1-9EBA-EC28F41A6554}"/>
    <cellStyle name="Comma 4 4 2 2 8 3" xfId="39707" xr:uid="{0B90AE4B-0C9B-41EA-821B-4A3F31C098E1}"/>
    <cellStyle name="Comma 4 4 2 2 9" xfId="15515" xr:uid="{51A353CE-D483-4C07-B8F2-7641E36789FF}"/>
    <cellStyle name="Comma 4 4 2 2 9 2" xfId="45755" xr:uid="{95A74303-2986-44F1-8911-64E76DF0218A}"/>
    <cellStyle name="Comma 4 4 2 3" xfId="647" xr:uid="{D42B0088-A9F1-4F78-AFB2-E1AD1D881505}"/>
    <cellStyle name="Comma 4 4 2 3 10" xfId="30887" xr:uid="{131C1D39-93E0-465F-856C-75C0B6E76A5F}"/>
    <cellStyle name="Comma 4 4 2 3 2" xfId="1403" xr:uid="{481F0D3F-3D3D-4247-B5E9-CDB73E98BA19}"/>
    <cellStyle name="Comma 4 4 2 3 2 2" xfId="2915" xr:uid="{EBE177C1-7C21-41FF-91AA-75512E19A09C}"/>
    <cellStyle name="Comma 4 4 2 3 2 2 2" xfId="11987" xr:uid="{9101F3F0-916C-4207-A851-2C44220E597C}"/>
    <cellStyle name="Comma 4 4 2 3 2 2 2 2" xfId="27107" xr:uid="{4E3FAF9D-131E-476C-A964-D60A9C399024}"/>
    <cellStyle name="Comma 4 4 2 3 2 2 2 2 2" xfId="57347" xr:uid="{BE7F6D3F-5708-49C0-9E7F-E2A3C1B958FD}"/>
    <cellStyle name="Comma 4 4 2 3 2 2 2 3" xfId="42227" xr:uid="{138DB693-FC13-48F3-A166-DA9A57074B39}"/>
    <cellStyle name="Comma 4 4 2 3 2 2 3" xfId="18035" xr:uid="{0D442DCF-E03E-44F2-AE0F-72D2FB24DCD6}"/>
    <cellStyle name="Comma 4 4 2 3 2 2 3 2" xfId="48275" xr:uid="{037EFA98-993D-4724-8D4D-8FDB62AFB4AF}"/>
    <cellStyle name="Comma 4 4 2 3 2 2 4" xfId="33155" xr:uid="{F98E955F-0FB4-4D0F-A70C-47753B2DB946}"/>
    <cellStyle name="Comma 4 4 2 3 2 3" xfId="4427" xr:uid="{D49E4F00-0A02-4F33-BA3E-D48942CC46C0}"/>
    <cellStyle name="Comma 4 4 2 3 2 3 2" xfId="13499" xr:uid="{3B1EDA22-0557-4AC5-9BB9-E1FEA746F028}"/>
    <cellStyle name="Comma 4 4 2 3 2 3 2 2" xfId="28619" xr:uid="{D2E6CDF1-4002-4C82-A6C0-CACD18766DA4}"/>
    <cellStyle name="Comma 4 4 2 3 2 3 2 2 2" xfId="58859" xr:uid="{CA60C4C9-A149-4D1E-A1B7-7CC2C4476235}"/>
    <cellStyle name="Comma 4 4 2 3 2 3 2 3" xfId="43739" xr:uid="{BA31A6CA-D825-4EE5-B10D-36C9CA217A16}"/>
    <cellStyle name="Comma 4 4 2 3 2 3 3" xfId="19547" xr:uid="{5C043D0A-53B4-4FFE-9171-2BA72AFCDECF}"/>
    <cellStyle name="Comma 4 4 2 3 2 3 3 2" xfId="49787" xr:uid="{C3B6FA49-11D1-4CD4-A70A-3F674E37D0E8}"/>
    <cellStyle name="Comma 4 4 2 3 2 3 4" xfId="34667" xr:uid="{E471DC34-AB8A-4100-8236-18726AEAD7F6}"/>
    <cellStyle name="Comma 4 4 2 3 2 4" xfId="5939" xr:uid="{D0542289-3AFE-4780-AA56-A6229A6521EB}"/>
    <cellStyle name="Comma 4 4 2 3 2 4 2" xfId="15011" xr:uid="{0165223C-3B7D-436D-BAD5-51DBD4ECEDBD}"/>
    <cellStyle name="Comma 4 4 2 3 2 4 2 2" xfId="30131" xr:uid="{BF7BB308-603D-47DE-9155-C7CD0948BFE3}"/>
    <cellStyle name="Comma 4 4 2 3 2 4 2 2 2" xfId="60371" xr:uid="{287D42B2-054E-4AC6-B2FD-1ECBD3862225}"/>
    <cellStyle name="Comma 4 4 2 3 2 4 2 3" xfId="45251" xr:uid="{DB6AD647-CA1B-4102-8B05-3799F160C7AE}"/>
    <cellStyle name="Comma 4 4 2 3 2 4 3" xfId="21059" xr:uid="{C85F3895-E157-4D36-AEED-3E4C857B5989}"/>
    <cellStyle name="Comma 4 4 2 3 2 4 3 2" xfId="51299" xr:uid="{F877D14F-1548-4236-9828-12D4FFF142BE}"/>
    <cellStyle name="Comma 4 4 2 3 2 4 4" xfId="36179" xr:uid="{2888860D-AF56-4206-B859-5BF4B0E9317B}"/>
    <cellStyle name="Comma 4 4 2 3 2 5" xfId="7451" xr:uid="{DE82FB56-0AC2-4546-9C7A-EDF59A517BB3}"/>
    <cellStyle name="Comma 4 4 2 3 2 5 2" xfId="22571" xr:uid="{2D61A5AF-EB3D-4E96-B273-A0E9DC37C043}"/>
    <cellStyle name="Comma 4 4 2 3 2 5 2 2" xfId="52811" xr:uid="{C0842331-18C3-45AF-A490-887813FC1E76}"/>
    <cellStyle name="Comma 4 4 2 3 2 5 3" xfId="37691" xr:uid="{1B654363-FAFB-451C-8D86-59FC27AD5D83}"/>
    <cellStyle name="Comma 4 4 2 3 2 6" xfId="8963" xr:uid="{CA563163-8F75-4B05-9314-33648B62E4D9}"/>
    <cellStyle name="Comma 4 4 2 3 2 6 2" xfId="24083" xr:uid="{CE4539E5-C809-4BC0-AC73-19124654ADFA}"/>
    <cellStyle name="Comma 4 4 2 3 2 6 2 2" xfId="54323" xr:uid="{C40C0893-5D68-4A18-8937-6A54C983554B}"/>
    <cellStyle name="Comma 4 4 2 3 2 6 3" xfId="39203" xr:uid="{B520A385-C6B7-4F33-9B2E-86FB103EA69B}"/>
    <cellStyle name="Comma 4 4 2 3 2 7" xfId="10475" xr:uid="{577FDBF1-5540-4288-933A-84F77A3D571F}"/>
    <cellStyle name="Comma 4 4 2 3 2 7 2" xfId="25595" xr:uid="{E6AAA719-F320-4847-B186-FD3469E73941}"/>
    <cellStyle name="Comma 4 4 2 3 2 7 2 2" xfId="55835" xr:uid="{559AE63F-4825-4E22-B549-E61FF8155778}"/>
    <cellStyle name="Comma 4 4 2 3 2 7 3" xfId="40715" xr:uid="{B19A2E9D-2B97-49C7-B726-05F00FB9A485}"/>
    <cellStyle name="Comma 4 4 2 3 2 8" xfId="16523" xr:uid="{1CF884B5-A51F-40F0-A3F8-255B6BCB3913}"/>
    <cellStyle name="Comma 4 4 2 3 2 8 2" xfId="46763" xr:uid="{4276EF64-CA57-47F4-A741-D0B181F397DA}"/>
    <cellStyle name="Comma 4 4 2 3 2 9" xfId="31643" xr:uid="{DB675B26-DDBF-4950-8AFF-FFEEC7F4BB32}"/>
    <cellStyle name="Comma 4 4 2 3 3" xfId="2159" xr:uid="{4B9DACF0-A1C8-4650-B58B-6C12EC652DFC}"/>
    <cellStyle name="Comma 4 4 2 3 3 2" xfId="11231" xr:uid="{5B55D56A-453A-4C1A-9945-18155BF7D0AB}"/>
    <cellStyle name="Comma 4 4 2 3 3 2 2" xfId="26351" xr:uid="{C086C30E-6774-4CED-BE40-7D26631C4C37}"/>
    <cellStyle name="Comma 4 4 2 3 3 2 2 2" xfId="56591" xr:uid="{B367CD58-3168-4816-8EC2-B22EC9ABB6C8}"/>
    <cellStyle name="Comma 4 4 2 3 3 2 3" xfId="41471" xr:uid="{51BF7940-FA3B-4E56-BE38-FCCBE371822E}"/>
    <cellStyle name="Comma 4 4 2 3 3 3" xfId="17279" xr:uid="{5BBFFA66-2A5E-4109-8283-C79706E98564}"/>
    <cellStyle name="Comma 4 4 2 3 3 3 2" xfId="47519" xr:uid="{86C8ED6F-5625-48BE-AFC1-F285EE42B824}"/>
    <cellStyle name="Comma 4 4 2 3 3 4" xfId="32399" xr:uid="{B03B4D84-83C0-492B-89BA-8F50EE1C47AC}"/>
    <cellStyle name="Comma 4 4 2 3 4" xfId="3671" xr:uid="{76F77675-9B27-499E-B6F3-80C3BAA2804E}"/>
    <cellStyle name="Comma 4 4 2 3 4 2" xfId="12743" xr:uid="{E7D27A75-5CD0-451F-8230-509C11D467B7}"/>
    <cellStyle name="Comma 4 4 2 3 4 2 2" xfId="27863" xr:uid="{1D57CFD8-FA8B-4262-8BB2-83DFAF60069F}"/>
    <cellStyle name="Comma 4 4 2 3 4 2 2 2" xfId="58103" xr:uid="{FB17C8FF-BB5F-4ED3-90A3-C036DC20D0E5}"/>
    <cellStyle name="Comma 4 4 2 3 4 2 3" xfId="42983" xr:uid="{9515F255-534A-4C81-8DEF-55EB533DEA01}"/>
    <cellStyle name="Comma 4 4 2 3 4 3" xfId="18791" xr:uid="{7708E92D-E18F-4004-B698-A866DFD55B70}"/>
    <cellStyle name="Comma 4 4 2 3 4 3 2" xfId="49031" xr:uid="{79F3A053-3223-4F8C-8840-425EDAE04016}"/>
    <cellStyle name="Comma 4 4 2 3 4 4" xfId="33911" xr:uid="{AAD0C9AF-2194-403F-BDC4-C6C2A46FD3C2}"/>
    <cellStyle name="Comma 4 4 2 3 5" xfId="5183" xr:uid="{EBFC8A9D-1D3A-42AE-8F06-ED9BCF01C5F9}"/>
    <cellStyle name="Comma 4 4 2 3 5 2" xfId="14255" xr:uid="{DFB8DDC1-B581-4F32-9202-81A8D977C717}"/>
    <cellStyle name="Comma 4 4 2 3 5 2 2" xfId="29375" xr:uid="{7C1E3DE5-1320-4458-8D57-75D619BC8EBE}"/>
    <cellStyle name="Comma 4 4 2 3 5 2 2 2" xfId="59615" xr:uid="{6B4661E9-96AB-4D5E-9C1E-0D209EB561FE}"/>
    <cellStyle name="Comma 4 4 2 3 5 2 3" xfId="44495" xr:uid="{5848AFD5-3B02-4453-A175-62682416C346}"/>
    <cellStyle name="Comma 4 4 2 3 5 3" xfId="20303" xr:uid="{2102F290-9234-42E1-97EF-A42194BB2B1C}"/>
    <cellStyle name="Comma 4 4 2 3 5 3 2" xfId="50543" xr:uid="{94D4C447-A7F6-4585-80F8-05CD9032E898}"/>
    <cellStyle name="Comma 4 4 2 3 5 4" xfId="35423" xr:uid="{D9FB51A0-47B5-4302-9A2E-A5CAB29002CD}"/>
    <cellStyle name="Comma 4 4 2 3 6" xfId="6695" xr:uid="{A48EB189-382B-4183-96C8-FACCF7B37954}"/>
    <cellStyle name="Comma 4 4 2 3 6 2" xfId="21815" xr:uid="{3F0B16CC-1166-48CF-9C43-6542499E8F77}"/>
    <cellStyle name="Comma 4 4 2 3 6 2 2" xfId="52055" xr:uid="{3FD0C67A-6386-4F74-8603-06E126635CEE}"/>
    <cellStyle name="Comma 4 4 2 3 6 3" xfId="36935" xr:uid="{BA1EB909-5967-49E2-9941-2EC536CE8E15}"/>
    <cellStyle name="Comma 4 4 2 3 7" xfId="8207" xr:uid="{3D42E184-9596-4CDD-B76F-4B6DCB315E30}"/>
    <cellStyle name="Comma 4 4 2 3 7 2" xfId="23327" xr:uid="{3073E9B4-3CFF-4E4E-8471-AF34AA7C1D4D}"/>
    <cellStyle name="Comma 4 4 2 3 7 2 2" xfId="53567" xr:uid="{D6919BC5-CD15-4361-8171-C18CBB1F1BC2}"/>
    <cellStyle name="Comma 4 4 2 3 7 3" xfId="38447" xr:uid="{36D6904E-920E-4F44-9902-5A06672607D3}"/>
    <cellStyle name="Comma 4 4 2 3 8" xfId="9719" xr:uid="{D2EAFFE7-8001-4718-BA23-1239BE954836}"/>
    <cellStyle name="Comma 4 4 2 3 8 2" xfId="24839" xr:uid="{55B8B44D-D69F-4380-8015-00BB9B0E86D3}"/>
    <cellStyle name="Comma 4 4 2 3 8 2 2" xfId="55079" xr:uid="{B7209F2C-48A5-4A3D-BFE4-53C230792BD2}"/>
    <cellStyle name="Comma 4 4 2 3 8 3" xfId="39959" xr:uid="{CF168487-78C5-4971-AE40-8260BE7F37EE}"/>
    <cellStyle name="Comma 4 4 2 3 9" xfId="15767" xr:uid="{6794CAAE-2E40-4428-ACCA-EEC2E0E7A17B}"/>
    <cellStyle name="Comma 4 4 2 3 9 2" xfId="46007" xr:uid="{504ECFA4-80CC-4305-89EE-3EC99EFBC5AD}"/>
    <cellStyle name="Comma 4 4 2 4" xfId="899" xr:uid="{8C85D977-5F4A-4FE5-9EF8-2432B1CD0E9D}"/>
    <cellStyle name="Comma 4 4 2 4 2" xfId="2411" xr:uid="{89E9F2C4-4252-4A05-960D-FEEBE9BDB26D}"/>
    <cellStyle name="Comma 4 4 2 4 2 2" xfId="11483" xr:uid="{FEE85E33-A614-4543-AABA-6DA0EDA1EE32}"/>
    <cellStyle name="Comma 4 4 2 4 2 2 2" xfId="26603" xr:uid="{4BCDA9B8-D87C-4C6F-9DED-81D79096F7D6}"/>
    <cellStyle name="Comma 4 4 2 4 2 2 2 2" xfId="56843" xr:uid="{9C6E8ED3-B9C9-4829-89C0-67B9CA067CB1}"/>
    <cellStyle name="Comma 4 4 2 4 2 2 3" xfId="41723" xr:uid="{3E9A1DED-DCBA-48A0-B917-4ED5153C3578}"/>
    <cellStyle name="Comma 4 4 2 4 2 3" xfId="17531" xr:uid="{6A91515B-3527-4C60-B0C2-353AE02955C8}"/>
    <cellStyle name="Comma 4 4 2 4 2 3 2" xfId="47771" xr:uid="{FE9BFA4D-691B-4BD6-B737-0152041D6797}"/>
    <cellStyle name="Comma 4 4 2 4 2 4" xfId="32651" xr:uid="{D2351013-433C-4C33-839F-BCB957E5F004}"/>
    <cellStyle name="Comma 4 4 2 4 3" xfId="3923" xr:uid="{9CB14444-C2A6-46D1-98E7-F062C948F7FF}"/>
    <cellStyle name="Comma 4 4 2 4 3 2" xfId="12995" xr:uid="{39B82E31-25F8-4D50-92C3-BA4ADE33AF5C}"/>
    <cellStyle name="Comma 4 4 2 4 3 2 2" xfId="28115" xr:uid="{A6EA3EEE-EBB5-4A1A-A01C-9EE18451DF6D}"/>
    <cellStyle name="Comma 4 4 2 4 3 2 2 2" xfId="58355" xr:uid="{F74D2BC7-E62C-4C9E-9522-92A75ED96EBC}"/>
    <cellStyle name="Comma 4 4 2 4 3 2 3" xfId="43235" xr:uid="{F762D1D7-019D-42A1-B780-308DFC2ACBD8}"/>
    <cellStyle name="Comma 4 4 2 4 3 3" xfId="19043" xr:uid="{3414848B-EF10-49DD-A2F7-BDD479C93A72}"/>
    <cellStyle name="Comma 4 4 2 4 3 3 2" xfId="49283" xr:uid="{4A0231D3-834B-4D73-B39E-76268326D925}"/>
    <cellStyle name="Comma 4 4 2 4 3 4" xfId="34163" xr:uid="{2415CE99-5C06-49AD-8425-F755E99B4996}"/>
    <cellStyle name="Comma 4 4 2 4 4" xfId="5435" xr:uid="{66979B88-008F-4F43-B2C2-D22ACE3F2922}"/>
    <cellStyle name="Comma 4 4 2 4 4 2" xfId="14507" xr:uid="{DB15B4CE-CA6C-40EA-B6C4-F267BB9B65A5}"/>
    <cellStyle name="Comma 4 4 2 4 4 2 2" xfId="29627" xr:uid="{07397DB1-6785-45C0-81E7-60ED86726641}"/>
    <cellStyle name="Comma 4 4 2 4 4 2 2 2" xfId="59867" xr:uid="{72A0BBCB-A4FB-4265-8AB7-079778F691FA}"/>
    <cellStyle name="Comma 4 4 2 4 4 2 3" xfId="44747" xr:uid="{0453CC20-A8D9-4825-A528-B1686CB734CC}"/>
    <cellStyle name="Comma 4 4 2 4 4 3" xfId="20555" xr:uid="{192F7ECE-A439-4E84-8E11-B446C6BE0350}"/>
    <cellStyle name="Comma 4 4 2 4 4 3 2" xfId="50795" xr:uid="{D28DA241-CF59-48FC-9039-763D480C027A}"/>
    <cellStyle name="Comma 4 4 2 4 4 4" xfId="35675" xr:uid="{CDEB53C9-20D4-4194-A240-29F43DC38073}"/>
    <cellStyle name="Comma 4 4 2 4 5" xfId="6947" xr:uid="{39F86C6A-D6C1-4A8C-933E-DFB98AFB0E77}"/>
    <cellStyle name="Comma 4 4 2 4 5 2" xfId="22067" xr:uid="{17068C02-6453-4392-B111-0E53745F8AB5}"/>
    <cellStyle name="Comma 4 4 2 4 5 2 2" xfId="52307" xr:uid="{DB17552C-56AE-4D56-85D2-B5B0DEF9D779}"/>
    <cellStyle name="Comma 4 4 2 4 5 3" xfId="37187" xr:uid="{BF42E009-6794-4B50-8254-D21F7D5480F6}"/>
    <cellStyle name="Comma 4 4 2 4 6" xfId="8459" xr:uid="{08C912F2-DFC5-4994-B243-DCC321015F2B}"/>
    <cellStyle name="Comma 4 4 2 4 6 2" xfId="23579" xr:uid="{BFE2734A-FE0C-40AE-BEA3-038409129CFB}"/>
    <cellStyle name="Comma 4 4 2 4 6 2 2" xfId="53819" xr:uid="{0CB0C73C-F743-4481-A180-26A622FECDAF}"/>
    <cellStyle name="Comma 4 4 2 4 6 3" xfId="38699" xr:uid="{12270971-2594-4EE5-8121-F72D590B2B05}"/>
    <cellStyle name="Comma 4 4 2 4 7" xfId="9971" xr:uid="{0F0E99CD-D3F3-4212-93E6-03598B6E04F3}"/>
    <cellStyle name="Comma 4 4 2 4 7 2" xfId="25091" xr:uid="{74EF0DD1-886E-422C-8803-7CC3CCEA274E}"/>
    <cellStyle name="Comma 4 4 2 4 7 2 2" xfId="55331" xr:uid="{1B80E116-47A0-46B9-AAE9-CC39ADF4849E}"/>
    <cellStyle name="Comma 4 4 2 4 7 3" xfId="40211" xr:uid="{A3AF4504-B22D-4226-99FB-961D9464488F}"/>
    <cellStyle name="Comma 4 4 2 4 8" xfId="16019" xr:uid="{3CE61C8A-1B5C-4D7F-9653-5D8BED42C6CA}"/>
    <cellStyle name="Comma 4 4 2 4 8 2" xfId="46259" xr:uid="{5F14B8C9-55A4-49CA-B147-BF0D61A459A5}"/>
    <cellStyle name="Comma 4 4 2 4 9" xfId="31139" xr:uid="{D122D9B6-57BF-4A2C-BBC7-20D7DA8C30E8}"/>
    <cellStyle name="Comma 4 4 2 5" xfId="1655" xr:uid="{A21FC3BB-70EC-4D35-8F4D-C8EC29BE23C2}"/>
    <cellStyle name="Comma 4 4 2 5 2" xfId="10727" xr:uid="{44793913-CFD3-4EBD-99F6-0CD51E2FAB2E}"/>
    <cellStyle name="Comma 4 4 2 5 2 2" xfId="25847" xr:uid="{293AD5E2-2372-4CCA-BDF5-5AE11C97FBFB}"/>
    <cellStyle name="Comma 4 4 2 5 2 2 2" xfId="56087" xr:uid="{F2556CA8-5419-4557-A66B-62F39AB4E4F8}"/>
    <cellStyle name="Comma 4 4 2 5 2 3" xfId="40967" xr:uid="{4B546236-3098-4069-8926-C95948980A47}"/>
    <cellStyle name="Comma 4 4 2 5 3" xfId="16775" xr:uid="{FEE2D9EE-7399-4EB2-BFF1-D4D02AD6320C}"/>
    <cellStyle name="Comma 4 4 2 5 3 2" xfId="47015" xr:uid="{B88E2FB6-F7F9-4AF2-B85B-E9E09FB0A009}"/>
    <cellStyle name="Comma 4 4 2 5 4" xfId="31895" xr:uid="{E4306337-8680-43A8-889B-153D86960A25}"/>
    <cellStyle name="Comma 4 4 2 6" xfId="3167" xr:uid="{EF400AB7-1499-4FB9-B779-14ACB141ECF5}"/>
    <cellStyle name="Comma 4 4 2 6 2" xfId="12239" xr:uid="{6C039098-85F1-4C40-A1F6-6E5C842A8966}"/>
    <cellStyle name="Comma 4 4 2 6 2 2" xfId="27359" xr:uid="{BA78EFE9-E8E0-4C19-AF43-903D02800C4A}"/>
    <cellStyle name="Comma 4 4 2 6 2 2 2" xfId="57599" xr:uid="{80381372-F205-421A-8114-208606EA769E}"/>
    <cellStyle name="Comma 4 4 2 6 2 3" xfId="42479" xr:uid="{53756891-B028-4802-BB41-995E2B49BAB3}"/>
    <cellStyle name="Comma 4 4 2 6 3" xfId="18287" xr:uid="{92D05758-57AC-4C3F-A659-0640C0DBE8B7}"/>
    <cellStyle name="Comma 4 4 2 6 3 2" xfId="48527" xr:uid="{CC907A4B-2EE9-4430-AB8D-C24B03B1918D}"/>
    <cellStyle name="Comma 4 4 2 6 4" xfId="33407" xr:uid="{ECD5C02F-DC7E-4C4F-91D6-446AB4121DEF}"/>
    <cellStyle name="Comma 4 4 2 7" xfId="4679" xr:uid="{7B2B04B9-A9DD-4975-AB86-B59C1CCC644E}"/>
    <cellStyle name="Comma 4 4 2 7 2" xfId="13751" xr:uid="{ACBCA787-DEC7-4B07-9B3A-F1BFC5750449}"/>
    <cellStyle name="Comma 4 4 2 7 2 2" xfId="28871" xr:uid="{FF5D1477-A256-4EB2-ACE6-B1CFC8627E81}"/>
    <cellStyle name="Comma 4 4 2 7 2 2 2" xfId="59111" xr:uid="{81DBCE60-6ECD-45C8-BF39-3B921D22A976}"/>
    <cellStyle name="Comma 4 4 2 7 2 3" xfId="43991" xr:uid="{2BAC2119-C545-4A8C-9806-BBBCC9AB339A}"/>
    <cellStyle name="Comma 4 4 2 7 3" xfId="19799" xr:uid="{A9F01FB3-2D77-4A22-8E04-3BDF01D5CD3E}"/>
    <cellStyle name="Comma 4 4 2 7 3 2" xfId="50039" xr:uid="{1D8E5CC4-E45F-4B65-B262-C86721472294}"/>
    <cellStyle name="Comma 4 4 2 7 4" xfId="34919" xr:uid="{07618893-1B4A-4D36-8530-864D5E2B6A88}"/>
    <cellStyle name="Comma 4 4 2 8" xfId="6191" xr:uid="{FD9D8B39-E47B-49C5-A4E9-012E24C70FFC}"/>
    <cellStyle name="Comma 4 4 2 8 2" xfId="21311" xr:uid="{027858DC-865F-4987-BFF0-CF52DA9803F2}"/>
    <cellStyle name="Comma 4 4 2 8 2 2" xfId="51551" xr:uid="{63B73F5E-420D-4B88-928E-61D65C3FBF86}"/>
    <cellStyle name="Comma 4 4 2 8 3" xfId="36431" xr:uid="{2EF759C7-D22C-4FB5-AD30-8C09B047FD48}"/>
    <cellStyle name="Comma 4 4 2 9" xfId="7703" xr:uid="{7B9A2ED2-3A81-467F-89E6-91382A4B823C}"/>
    <cellStyle name="Comma 4 4 2 9 2" xfId="22823" xr:uid="{24AD195D-6170-4D52-A6B4-E360367F3F01}"/>
    <cellStyle name="Comma 4 4 2 9 2 2" xfId="53063" xr:uid="{97155FC1-2C29-4EAD-9C62-7EA818BFB172}"/>
    <cellStyle name="Comma 4 4 2 9 3" xfId="37943" xr:uid="{1FFED349-D3F2-47C7-834C-E0F0C8E7BB44}"/>
    <cellStyle name="Comma 4 4 3" xfId="227" xr:uid="{50A33B35-D6D8-4B60-943B-137A08FF2A19}"/>
    <cellStyle name="Comma 4 4 3 10" xfId="9299" xr:uid="{27B784CD-BCDE-48A3-865A-BBED3F9852C4}"/>
    <cellStyle name="Comma 4 4 3 10 2" xfId="24419" xr:uid="{BB899606-5F63-4560-8D39-F3006B50196F}"/>
    <cellStyle name="Comma 4 4 3 10 2 2" xfId="54659" xr:uid="{71119F93-34D9-4413-8527-B06290FB6B32}"/>
    <cellStyle name="Comma 4 4 3 10 3" xfId="39539" xr:uid="{D51A223D-2048-47A6-89B0-7E37D9833BBE}"/>
    <cellStyle name="Comma 4 4 3 11" xfId="15347" xr:uid="{E493A249-7B4D-48E9-A355-8FA1F20859AC}"/>
    <cellStyle name="Comma 4 4 3 11 2" xfId="45587" xr:uid="{ED852802-94E0-4817-A174-8118C9FF1A91}"/>
    <cellStyle name="Comma 4 4 3 12" xfId="30467" xr:uid="{45B6DAE2-2CD3-4C1D-855B-D16B5BAF54E6}"/>
    <cellStyle name="Comma 4 4 3 2" xfId="479" xr:uid="{0AFA8C73-70D9-403A-8202-9314939855A7}"/>
    <cellStyle name="Comma 4 4 3 2 10" xfId="30719" xr:uid="{FE9F7689-C2DD-4E36-B62E-AB205B8C2D6D}"/>
    <cellStyle name="Comma 4 4 3 2 2" xfId="1235" xr:uid="{4F7B277E-E7C3-43AE-A523-77BC05C0A5CC}"/>
    <cellStyle name="Comma 4 4 3 2 2 2" xfId="2747" xr:uid="{4E331E7E-1369-452C-9482-2CBF0A04A3C5}"/>
    <cellStyle name="Comma 4 4 3 2 2 2 2" xfId="11819" xr:uid="{90C96A25-3028-4C8D-9C00-B461ABD4344F}"/>
    <cellStyle name="Comma 4 4 3 2 2 2 2 2" xfId="26939" xr:uid="{BBF1A9CC-94C1-498B-B877-927CBD4DE557}"/>
    <cellStyle name="Comma 4 4 3 2 2 2 2 2 2" xfId="57179" xr:uid="{1EA3CD86-144A-4B60-90F3-D278B169D91B}"/>
    <cellStyle name="Comma 4 4 3 2 2 2 2 3" xfId="42059" xr:uid="{C4913914-31AD-46ED-A08F-8F84C4A79D9D}"/>
    <cellStyle name="Comma 4 4 3 2 2 2 3" xfId="17867" xr:uid="{D881D405-D3C6-4E87-B9D5-7547DCCF7078}"/>
    <cellStyle name="Comma 4 4 3 2 2 2 3 2" xfId="48107" xr:uid="{290FEAC0-C282-41BB-A6FA-117B7496D148}"/>
    <cellStyle name="Comma 4 4 3 2 2 2 4" xfId="32987" xr:uid="{9ACE1E24-84E8-4828-A472-E92C70F3CD73}"/>
    <cellStyle name="Comma 4 4 3 2 2 3" xfId="4259" xr:uid="{C69C8C5C-955D-46BD-B24B-5DA87755AD39}"/>
    <cellStyle name="Comma 4 4 3 2 2 3 2" xfId="13331" xr:uid="{F68FFCA9-58EC-4565-B480-B604DDEA3F9B}"/>
    <cellStyle name="Comma 4 4 3 2 2 3 2 2" xfId="28451" xr:uid="{3E1DFC79-283A-4181-8851-29C6C2315E20}"/>
    <cellStyle name="Comma 4 4 3 2 2 3 2 2 2" xfId="58691" xr:uid="{B6BD17E3-2943-4A3E-8C49-54D8AAFB90DB}"/>
    <cellStyle name="Comma 4 4 3 2 2 3 2 3" xfId="43571" xr:uid="{BB824506-42D1-48F9-9190-EE7913F260E3}"/>
    <cellStyle name="Comma 4 4 3 2 2 3 3" xfId="19379" xr:uid="{15B7FED3-2DE8-451E-826A-C7A31EB63C6D}"/>
    <cellStyle name="Comma 4 4 3 2 2 3 3 2" xfId="49619" xr:uid="{D0B3FF0F-37A2-4618-9EE1-DB76F1B8F694}"/>
    <cellStyle name="Comma 4 4 3 2 2 3 4" xfId="34499" xr:uid="{B3603B5E-F23A-4D97-9374-9A7C4149B261}"/>
    <cellStyle name="Comma 4 4 3 2 2 4" xfId="5771" xr:uid="{99B65E28-93D2-4E8A-BE2F-6F51819B2ABE}"/>
    <cellStyle name="Comma 4 4 3 2 2 4 2" xfId="14843" xr:uid="{2CB3ED13-8DE8-4BA7-BDD2-A2203F086B42}"/>
    <cellStyle name="Comma 4 4 3 2 2 4 2 2" xfId="29963" xr:uid="{160406DB-1523-4E5B-A57E-6E2150206F08}"/>
    <cellStyle name="Comma 4 4 3 2 2 4 2 2 2" xfId="60203" xr:uid="{518F4B0B-97FA-4489-8B61-8B6FF60F41A7}"/>
    <cellStyle name="Comma 4 4 3 2 2 4 2 3" xfId="45083" xr:uid="{47532422-8E0A-4BB1-BA2F-EF83D1A8ACE5}"/>
    <cellStyle name="Comma 4 4 3 2 2 4 3" xfId="20891" xr:uid="{61F99EA2-2D6D-4402-A0FB-C515F68B574F}"/>
    <cellStyle name="Comma 4 4 3 2 2 4 3 2" xfId="51131" xr:uid="{90C1E455-3E7C-4019-BE03-58CAAD1E3475}"/>
    <cellStyle name="Comma 4 4 3 2 2 4 4" xfId="36011" xr:uid="{3C2FB901-0A08-4498-89C9-BAAAEF06D1D6}"/>
    <cellStyle name="Comma 4 4 3 2 2 5" xfId="7283" xr:uid="{291C4F80-5815-45C5-97C7-67943F3A7228}"/>
    <cellStyle name="Comma 4 4 3 2 2 5 2" xfId="22403" xr:uid="{767DD81F-8288-427D-A2A6-709BCC8C0A21}"/>
    <cellStyle name="Comma 4 4 3 2 2 5 2 2" xfId="52643" xr:uid="{30A17FE1-256B-4C58-A94A-A2B6C2FEC8D9}"/>
    <cellStyle name="Comma 4 4 3 2 2 5 3" xfId="37523" xr:uid="{3E26499C-9421-4C6B-9E44-60011606D9A7}"/>
    <cellStyle name="Comma 4 4 3 2 2 6" xfId="8795" xr:uid="{4E1F2DFF-8E37-4BD4-87C6-04D62B69DF6D}"/>
    <cellStyle name="Comma 4 4 3 2 2 6 2" xfId="23915" xr:uid="{39E9B307-5B51-4B72-846D-9D8685CC9119}"/>
    <cellStyle name="Comma 4 4 3 2 2 6 2 2" xfId="54155" xr:uid="{271B6624-1914-4B2F-B529-35BADB5F732D}"/>
    <cellStyle name="Comma 4 4 3 2 2 6 3" xfId="39035" xr:uid="{6A81CC39-0622-4307-9692-5F8DFD995D4C}"/>
    <cellStyle name="Comma 4 4 3 2 2 7" xfId="10307" xr:uid="{11E593D1-8FAE-4A59-9306-1397CEDD6F22}"/>
    <cellStyle name="Comma 4 4 3 2 2 7 2" xfId="25427" xr:uid="{A62F9FAB-0CAD-4466-B89F-74EE2B9B6010}"/>
    <cellStyle name="Comma 4 4 3 2 2 7 2 2" xfId="55667" xr:uid="{457A181F-1C49-48B0-BAE5-DCB5BC05641F}"/>
    <cellStyle name="Comma 4 4 3 2 2 7 3" xfId="40547" xr:uid="{B52B23D8-4907-4D88-84A6-5B3A8DB0F9BA}"/>
    <cellStyle name="Comma 4 4 3 2 2 8" xfId="16355" xr:uid="{7694C22F-A96A-477A-98F4-17917B7AF969}"/>
    <cellStyle name="Comma 4 4 3 2 2 8 2" xfId="46595" xr:uid="{BFAA1492-A6B2-4CF1-8E4B-F4A758D567BA}"/>
    <cellStyle name="Comma 4 4 3 2 2 9" xfId="31475" xr:uid="{F656358B-2B30-4B13-AE9D-89297ED488C4}"/>
    <cellStyle name="Comma 4 4 3 2 3" xfId="1991" xr:uid="{4063BFEA-B75F-4CBC-AF62-939E3A45260B}"/>
    <cellStyle name="Comma 4 4 3 2 3 2" xfId="11063" xr:uid="{2AED8AD2-644D-487F-A652-F9E1CE91289A}"/>
    <cellStyle name="Comma 4 4 3 2 3 2 2" xfId="26183" xr:uid="{5C5A32F7-05DB-40CE-B41D-BF7224C3A30A}"/>
    <cellStyle name="Comma 4 4 3 2 3 2 2 2" xfId="56423" xr:uid="{6FE2A5D3-0A98-4F0E-9026-E1BDD8EBB880}"/>
    <cellStyle name="Comma 4 4 3 2 3 2 3" xfId="41303" xr:uid="{4B660376-A0F8-4F34-BBF5-348C1F5D4DF9}"/>
    <cellStyle name="Comma 4 4 3 2 3 3" xfId="17111" xr:uid="{4C00B39E-EB66-4C4F-A63F-CBD05D46C938}"/>
    <cellStyle name="Comma 4 4 3 2 3 3 2" xfId="47351" xr:uid="{9AAD1397-E438-45C0-BB66-FDF654AF6DD9}"/>
    <cellStyle name="Comma 4 4 3 2 3 4" xfId="32231" xr:uid="{61FBDD44-95A1-4F5F-A3D3-8C818C513179}"/>
    <cellStyle name="Comma 4 4 3 2 4" xfId="3503" xr:uid="{5081BEB2-D503-4A1A-82BC-2070CECDDF62}"/>
    <cellStyle name="Comma 4 4 3 2 4 2" xfId="12575" xr:uid="{60FA2CB1-C539-49D7-8121-4A4781DF3252}"/>
    <cellStyle name="Comma 4 4 3 2 4 2 2" xfId="27695" xr:uid="{8C9D3ACF-16BD-4CDD-8100-AFBB1E891350}"/>
    <cellStyle name="Comma 4 4 3 2 4 2 2 2" xfId="57935" xr:uid="{A3A217C6-8F4B-4992-A406-7F37D30D64B4}"/>
    <cellStyle name="Comma 4 4 3 2 4 2 3" xfId="42815" xr:uid="{589BC110-E237-4FF2-AE5E-45AF2063A5F0}"/>
    <cellStyle name="Comma 4 4 3 2 4 3" xfId="18623" xr:uid="{63D4F31A-C38D-4E33-BF8C-3ADD2DF7EA1F}"/>
    <cellStyle name="Comma 4 4 3 2 4 3 2" xfId="48863" xr:uid="{74F266A8-D2B2-4C3A-A2BD-17037A588DE0}"/>
    <cellStyle name="Comma 4 4 3 2 4 4" xfId="33743" xr:uid="{6B346540-DB76-4BA1-BFFE-93290279A860}"/>
    <cellStyle name="Comma 4 4 3 2 5" xfId="5015" xr:uid="{EE932D54-BD1A-4392-B591-E19FCD2AFB3C}"/>
    <cellStyle name="Comma 4 4 3 2 5 2" xfId="14087" xr:uid="{4BEE68DD-C8A2-4EB0-A0E5-D87DE4ED120D}"/>
    <cellStyle name="Comma 4 4 3 2 5 2 2" xfId="29207" xr:uid="{8FFA01D5-268D-4863-BEBF-23309AFD320F}"/>
    <cellStyle name="Comma 4 4 3 2 5 2 2 2" xfId="59447" xr:uid="{DF9DB9C9-CFC1-46F0-8AFF-B8AC6B1DF2B9}"/>
    <cellStyle name="Comma 4 4 3 2 5 2 3" xfId="44327" xr:uid="{B5333857-E501-4E0D-9D6C-B5A2B59911A0}"/>
    <cellStyle name="Comma 4 4 3 2 5 3" xfId="20135" xr:uid="{91FDAA8C-0A97-4B95-A9D9-62DE9837B78F}"/>
    <cellStyle name="Comma 4 4 3 2 5 3 2" xfId="50375" xr:uid="{40DB172D-963D-469C-B066-2D16709DD148}"/>
    <cellStyle name="Comma 4 4 3 2 5 4" xfId="35255" xr:uid="{1AC87748-8317-4F37-A811-7F3C1269D1D1}"/>
    <cellStyle name="Comma 4 4 3 2 6" xfId="6527" xr:uid="{7F7411FB-BC08-4D2C-B4C6-1F879EE95CBB}"/>
    <cellStyle name="Comma 4 4 3 2 6 2" xfId="21647" xr:uid="{3EDABBD3-15C3-4C0C-B649-AE1CECF18BF2}"/>
    <cellStyle name="Comma 4 4 3 2 6 2 2" xfId="51887" xr:uid="{AA9F3599-AC7A-4935-80F1-8406F18F84EB}"/>
    <cellStyle name="Comma 4 4 3 2 6 3" xfId="36767" xr:uid="{66892F14-494C-4B55-BA69-02F26AB77648}"/>
    <cellStyle name="Comma 4 4 3 2 7" xfId="8039" xr:uid="{B7782637-1943-48D9-ABD4-28B0F0A73D46}"/>
    <cellStyle name="Comma 4 4 3 2 7 2" xfId="23159" xr:uid="{9FF7DA85-B24B-49A0-B388-5D770231E594}"/>
    <cellStyle name="Comma 4 4 3 2 7 2 2" xfId="53399" xr:uid="{3BCDA5EA-659C-476B-8B38-79F00CBAD198}"/>
    <cellStyle name="Comma 4 4 3 2 7 3" xfId="38279" xr:uid="{11874995-CD0F-4E64-A0D2-EACCC0334404}"/>
    <cellStyle name="Comma 4 4 3 2 8" xfId="9551" xr:uid="{B3E60E47-4DB0-42C9-B342-85D05E413209}"/>
    <cellStyle name="Comma 4 4 3 2 8 2" xfId="24671" xr:uid="{27C3D30D-9E33-4402-A045-B2D9376F0713}"/>
    <cellStyle name="Comma 4 4 3 2 8 2 2" xfId="54911" xr:uid="{F3E33C00-2D5E-42DB-A4CD-C4660F9F4620}"/>
    <cellStyle name="Comma 4 4 3 2 8 3" xfId="39791" xr:uid="{83352FF1-DFE2-4DFE-9B50-FD5DEE6976E7}"/>
    <cellStyle name="Comma 4 4 3 2 9" xfId="15599" xr:uid="{F9A3A359-B1A6-48ED-9AE4-0091BE318C05}"/>
    <cellStyle name="Comma 4 4 3 2 9 2" xfId="45839" xr:uid="{2BAF4395-D8C9-423A-9978-8627D28FC6E9}"/>
    <cellStyle name="Comma 4 4 3 3" xfId="731" xr:uid="{08ED7A1E-FBBD-4DEE-92EF-4CD47FDB0480}"/>
    <cellStyle name="Comma 4 4 3 3 10" xfId="30971" xr:uid="{55ED69F4-0968-4C28-9D3E-960BD9BAABC5}"/>
    <cellStyle name="Comma 4 4 3 3 2" xfId="1487" xr:uid="{9738C00B-AFD2-466B-ABE6-563A13AC8169}"/>
    <cellStyle name="Comma 4 4 3 3 2 2" xfId="2999" xr:uid="{AC110E51-F00B-45A4-993D-359168F2912E}"/>
    <cellStyle name="Comma 4 4 3 3 2 2 2" xfId="12071" xr:uid="{E46E9C32-7191-48DF-9CB7-2A2D62A75994}"/>
    <cellStyle name="Comma 4 4 3 3 2 2 2 2" xfId="27191" xr:uid="{8523D379-06C8-4758-ACDC-F7CBFEE5BE71}"/>
    <cellStyle name="Comma 4 4 3 3 2 2 2 2 2" xfId="57431" xr:uid="{E0FE3367-9376-4B31-AC60-63C41AFA5261}"/>
    <cellStyle name="Comma 4 4 3 3 2 2 2 3" xfId="42311" xr:uid="{CF165076-3C08-4B06-BB04-9DA992DF3D21}"/>
    <cellStyle name="Comma 4 4 3 3 2 2 3" xfId="18119" xr:uid="{D70674C1-C12D-406F-8C71-EA2A1A1664E0}"/>
    <cellStyle name="Comma 4 4 3 3 2 2 3 2" xfId="48359" xr:uid="{ABA6F2B0-C6AA-42C1-9177-26571CE07209}"/>
    <cellStyle name="Comma 4 4 3 3 2 2 4" xfId="33239" xr:uid="{B924FC8D-58E3-4371-AD95-704E324F9CA1}"/>
    <cellStyle name="Comma 4 4 3 3 2 3" xfId="4511" xr:uid="{C7FC5B03-65CF-4209-AB25-B393FFC23A38}"/>
    <cellStyle name="Comma 4 4 3 3 2 3 2" xfId="13583" xr:uid="{ED6C113C-131C-4B8E-9D1B-11B9746B8D9B}"/>
    <cellStyle name="Comma 4 4 3 3 2 3 2 2" xfId="28703" xr:uid="{1EDEAC04-EF0A-425D-AE50-8423307DD3D7}"/>
    <cellStyle name="Comma 4 4 3 3 2 3 2 2 2" xfId="58943" xr:uid="{BAE23C46-3B9F-4BE7-80B8-2B82C501E10D}"/>
    <cellStyle name="Comma 4 4 3 3 2 3 2 3" xfId="43823" xr:uid="{9AC12421-DFD3-408F-9703-77F38AF2FE9A}"/>
    <cellStyle name="Comma 4 4 3 3 2 3 3" xfId="19631" xr:uid="{171B6206-37B0-4663-B74E-49C85FEC104A}"/>
    <cellStyle name="Comma 4 4 3 3 2 3 3 2" xfId="49871" xr:uid="{2090271D-F9FD-4E11-819E-0FE18CCA35E6}"/>
    <cellStyle name="Comma 4 4 3 3 2 3 4" xfId="34751" xr:uid="{1CE1D2B6-5BEF-4063-9D75-25F047EEB399}"/>
    <cellStyle name="Comma 4 4 3 3 2 4" xfId="6023" xr:uid="{8B96E8D1-8E33-4702-88C5-97227055E9CB}"/>
    <cellStyle name="Comma 4 4 3 3 2 4 2" xfId="15095" xr:uid="{76A452C8-E2C7-4AEC-A71C-342FD4815F7B}"/>
    <cellStyle name="Comma 4 4 3 3 2 4 2 2" xfId="30215" xr:uid="{2EAE6F18-8AFB-4B54-8990-B8BE9B745DD5}"/>
    <cellStyle name="Comma 4 4 3 3 2 4 2 2 2" xfId="60455" xr:uid="{0F26CCE3-C319-4E53-BA57-0B213D296FC9}"/>
    <cellStyle name="Comma 4 4 3 3 2 4 2 3" xfId="45335" xr:uid="{A5DB4C05-39E8-48EE-9A62-AF90D78059E0}"/>
    <cellStyle name="Comma 4 4 3 3 2 4 3" xfId="21143" xr:uid="{7C6B2C29-32BE-4A4D-A326-CA74BFA93A65}"/>
    <cellStyle name="Comma 4 4 3 3 2 4 3 2" xfId="51383" xr:uid="{64A7E0E4-1FE2-437C-95A1-8CB348A67716}"/>
    <cellStyle name="Comma 4 4 3 3 2 4 4" xfId="36263" xr:uid="{2C997086-3838-4C0E-8FA1-E7C28271275C}"/>
    <cellStyle name="Comma 4 4 3 3 2 5" xfId="7535" xr:uid="{73072B83-A416-4760-8D55-557E2E9EEEDE}"/>
    <cellStyle name="Comma 4 4 3 3 2 5 2" xfId="22655" xr:uid="{962128BA-3877-44BB-9128-88D284C19EA3}"/>
    <cellStyle name="Comma 4 4 3 3 2 5 2 2" xfId="52895" xr:uid="{0BDC3E22-E4FF-4C91-B5CC-DF64B9A90A6C}"/>
    <cellStyle name="Comma 4 4 3 3 2 5 3" xfId="37775" xr:uid="{757F67C2-D7DD-436C-B02C-59D2D0FDA851}"/>
    <cellStyle name="Comma 4 4 3 3 2 6" xfId="9047" xr:uid="{88263A47-CF2C-4AB7-9FD1-11876C2B2A4D}"/>
    <cellStyle name="Comma 4 4 3 3 2 6 2" xfId="24167" xr:uid="{DA3BCF31-C372-4DC5-8EA4-6344030CBE2A}"/>
    <cellStyle name="Comma 4 4 3 3 2 6 2 2" xfId="54407" xr:uid="{7213A645-A851-40DC-A91C-F9BAD69D0F8E}"/>
    <cellStyle name="Comma 4 4 3 3 2 6 3" xfId="39287" xr:uid="{AD7E9C7D-CC01-43CA-9227-388AC5915400}"/>
    <cellStyle name="Comma 4 4 3 3 2 7" xfId="10559" xr:uid="{33CCE309-1F1F-4577-9A53-827786D17D3C}"/>
    <cellStyle name="Comma 4 4 3 3 2 7 2" xfId="25679" xr:uid="{987407DC-F9EF-4381-9485-70DAB0F38E2A}"/>
    <cellStyle name="Comma 4 4 3 3 2 7 2 2" xfId="55919" xr:uid="{D51AB64D-CE6C-4BAD-8219-070DC679A3D9}"/>
    <cellStyle name="Comma 4 4 3 3 2 7 3" xfId="40799" xr:uid="{DA5AE1B1-897D-4FC5-ACF7-11D11F4D8789}"/>
    <cellStyle name="Comma 4 4 3 3 2 8" xfId="16607" xr:uid="{B70F6ACC-A859-4054-9FAB-AC4B8084AC27}"/>
    <cellStyle name="Comma 4 4 3 3 2 8 2" xfId="46847" xr:uid="{A5826EF4-F532-420C-B797-E77B3B3A62FF}"/>
    <cellStyle name="Comma 4 4 3 3 2 9" xfId="31727" xr:uid="{143A2ABF-1336-4BC3-9C03-1E0EE5488DC9}"/>
    <cellStyle name="Comma 4 4 3 3 3" xfId="2243" xr:uid="{27E78571-AC33-4E6C-ADA0-0CE3FD2B9DF3}"/>
    <cellStyle name="Comma 4 4 3 3 3 2" xfId="11315" xr:uid="{B3F3058C-6FED-4129-B90F-DF068C3E510D}"/>
    <cellStyle name="Comma 4 4 3 3 3 2 2" xfId="26435" xr:uid="{6093B455-0AF4-40BF-8F24-C4B5D97FFB8E}"/>
    <cellStyle name="Comma 4 4 3 3 3 2 2 2" xfId="56675" xr:uid="{88C613E3-BEBA-4EA0-A200-6A2581642530}"/>
    <cellStyle name="Comma 4 4 3 3 3 2 3" xfId="41555" xr:uid="{468A899E-B0C7-440C-A491-617C676F69E1}"/>
    <cellStyle name="Comma 4 4 3 3 3 3" xfId="17363" xr:uid="{94F45868-3CAE-4AD0-BBEC-BA5C2C445233}"/>
    <cellStyle name="Comma 4 4 3 3 3 3 2" xfId="47603" xr:uid="{19CC4848-5BA8-4C30-83DC-6AE8D9D23294}"/>
    <cellStyle name="Comma 4 4 3 3 3 4" xfId="32483" xr:uid="{1131ADC0-6071-47B4-822D-C8BDCF273C14}"/>
    <cellStyle name="Comma 4 4 3 3 4" xfId="3755" xr:uid="{EA46BE4C-606B-4D7C-95C0-708F6DAA7343}"/>
    <cellStyle name="Comma 4 4 3 3 4 2" xfId="12827" xr:uid="{01CEB957-0043-4C97-9FCB-3D0F6A1184B0}"/>
    <cellStyle name="Comma 4 4 3 3 4 2 2" xfId="27947" xr:uid="{8556F052-B739-4DAE-A75B-A65159A1857D}"/>
    <cellStyle name="Comma 4 4 3 3 4 2 2 2" xfId="58187" xr:uid="{2C1C01FC-0F9D-49DC-AA6E-5A9A93EF31A8}"/>
    <cellStyle name="Comma 4 4 3 3 4 2 3" xfId="43067" xr:uid="{901449A1-3CB3-4079-A77F-6E5A4BB2C9B1}"/>
    <cellStyle name="Comma 4 4 3 3 4 3" xfId="18875" xr:uid="{C639B108-788F-4E20-8CF3-645426B7F0AF}"/>
    <cellStyle name="Comma 4 4 3 3 4 3 2" xfId="49115" xr:uid="{AAADE04F-3332-44D0-928A-B54E5918A857}"/>
    <cellStyle name="Comma 4 4 3 3 4 4" xfId="33995" xr:uid="{F4191F10-9720-47D0-999B-AC8C43353188}"/>
    <cellStyle name="Comma 4 4 3 3 5" xfId="5267" xr:uid="{09A8910F-E92E-44E4-9464-66291CFBF9CA}"/>
    <cellStyle name="Comma 4 4 3 3 5 2" xfId="14339" xr:uid="{6F4BB14A-A3D3-4593-A29D-0523C1FD754B}"/>
    <cellStyle name="Comma 4 4 3 3 5 2 2" xfId="29459" xr:uid="{F7212A57-CAAC-490F-BA09-92E60FDE58C5}"/>
    <cellStyle name="Comma 4 4 3 3 5 2 2 2" xfId="59699" xr:uid="{05267152-727C-4279-88CC-262DE2312D10}"/>
    <cellStyle name="Comma 4 4 3 3 5 2 3" xfId="44579" xr:uid="{AE20A74C-9E96-4D0C-A8AC-5067132D0B29}"/>
    <cellStyle name="Comma 4 4 3 3 5 3" xfId="20387" xr:uid="{53F33B44-994C-44ED-83CA-B1A7D25F6C7F}"/>
    <cellStyle name="Comma 4 4 3 3 5 3 2" xfId="50627" xr:uid="{28C7C3B4-1F4F-4CD5-AAE2-499CD4A435F0}"/>
    <cellStyle name="Comma 4 4 3 3 5 4" xfId="35507" xr:uid="{CCAB0752-7A0F-40AF-ADEC-2A3FF61E90FA}"/>
    <cellStyle name="Comma 4 4 3 3 6" xfId="6779" xr:uid="{06EE9456-46AD-44D5-A9F1-771A2DF4B32B}"/>
    <cellStyle name="Comma 4 4 3 3 6 2" xfId="21899" xr:uid="{03D946EF-A862-4186-B176-BAC432A4BB5F}"/>
    <cellStyle name="Comma 4 4 3 3 6 2 2" xfId="52139" xr:uid="{6F96AC48-AE4E-46D7-99C5-6AE1E2FEDA16}"/>
    <cellStyle name="Comma 4 4 3 3 6 3" xfId="37019" xr:uid="{1E6F9CE4-4366-44F6-A1DD-A3E476212DC8}"/>
    <cellStyle name="Comma 4 4 3 3 7" xfId="8291" xr:uid="{0415C9D5-24BD-455E-93D0-33EC7DACCC65}"/>
    <cellStyle name="Comma 4 4 3 3 7 2" xfId="23411" xr:uid="{EE509A57-49C2-4D48-BBD0-F4A3939EA04B}"/>
    <cellStyle name="Comma 4 4 3 3 7 2 2" xfId="53651" xr:uid="{539AC444-82F7-4CC6-84FB-9AA5F65CE985}"/>
    <cellStyle name="Comma 4 4 3 3 7 3" xfId="38531" xr:uid="{4384B4D7-7F48-48A6-A9D5-8D28857DCA64}"/>
    <cellStyle name="Comma 4 4 3 3 8" xfId="9803" xr:uid="{6C307EC4-A2F5-414A-8765-7D47A122AC19}"/>
    <cellStyle name="Comma 4 4 3 3 8 2" xfId="24923" xr:uid="{43C0647C-A2CB-428A-9592-0C5C28FB63B4}"/>
    <cellStyle name="Comma 4 4 3 3 8 2 2" xfId="55163" xr:uid="{53E35879-63C9-4B8E-BFFB-D2ABB7E0A3B1}"/>
    <cellStyle name="Comma 4 4 3 3 8 3" xfId="40043" xr:uid="{01AF5D44-47B6-4D84-8F1D-F67B316A3C04}"/>
    <cellStyle name="Comma 4 4 3 3 9" xfId="15851" xr:uid="{EC07A046-899B-4D21-AE18-8BE671F6E5F4}"/>
    <cellStyle name="Comma 4 4 3 3 9 2" xfId="46091" xr:uid="{484F7E95-D96A-488C-9C9B-11152899BF32}"/>
    <cellStyle name="Comma 4 4 3 4" xfId="983" xr:uid="{D2DA343A-C470-456B-AE4C-7B8FC7DE078C}"/>
    <cellStyle name="Comma 4 4 3 4 2" xfId="2495" xr:uid="{A3D82B6F-03CF-409A-BD92-9F51FF61AC3A}"/>
    <cellStyle name="Comma 4 4 3 4 2 2" xfId="11567" xr:uid="{E2A062C4-B3BE-4200-A8DD-B2DDACA3F078}"/>
    <cellStyle name="Comma 4 4 3 4 2 2 2" xfId="26687" xr:uid="{A8347B8D-2374-475A-94CC-E9371035C1F1}"/>
    <cellStyle name="Comma 4 4 3 4 2 2 2 2" xfId="56927" xr:uid="{B32B6E98-2B38-40CC-AB9A-83FFEEAE3CF1}"/>
    <cellStyle name="Comma 4 4 3 4 2 2 3" xfId="41807" xr:uid="{EE492C2E-CE89-4516-9794-D15DA15386BE}"/>
    <cellStyle name="Comma 4 4 3 4 2 3" xfId="17615" xr:uid="{6C41F818-F8CF-4DC2-BA3C-3DB2D32D2D30}"/>
    <cellStyle name="Comma 4 4 3 4 2 3 2" xfId="47855" xr:uid="{6448DEBB-B9A1-444B-B2DB-DB992D7B86CD}"/>
    <cellStyle name="Comma 4 4 3 4 2 4" xfId="32735" xr:uid="{F1140A33-CF51-4A47-9FC4-FEEE0640D6A6}"/>
    <cellStyle name="Comma 4 4 3 4 3" xfId="4007" xr:uid="{0F25F04A-4015-4CEB-B32A-59B8D8C722E5}"/>
    <cellStyle name="Comma 4 4 3 4 3 2" xfId="13079" xr:uid="{1C6E8815-E368-4C7F-A403-D7AA07DBD621}"/>
    <cellStyle name="Comma 4 4 3 4 3 2 2" xfId="28199" xr:uid="{870C67A0-F3A5-4E32-B7CB-FEDEB296B2A5}"/>
    <cellStyle name="Comma 4 4 3 4 3 2 2 2" xfId="58439" xr:uid="{1453B56E-31E6-47A6-BA7C-868AEAE584BB}"/>
    <cellStyle name="Comma 4 4 3 4 3 2 3" xfId="43319" xr:uid="{FDC3CE0C-5233-43DA-8CE7-57BF240A9082}"/>
    <cellStyle name="Comma 4 4 3 4 3 3" xfId="19127" xr:uid="{0150E3A7-F85E-4D9E-92E9-F2036D7E7F48}"/>
    <cellStyle name="Comma 4 4 3 4 3 3 2" xfId="49367" xr:uid="{284A1016-1C96-4BD6-B9C5-9D2CF5B98B5E}"/>
    <cellStyle name="Comma 4 4 3 4 3 4" xfId="34247" xr:uid="{EDC9E9BB-0419-4C54-BC9A-9A86CF20B55C}"/>
    <cellStyle name="Comma 4 4 3 4 4" xfId="5519" xr:uid="{FB5750F5-295F-479F-A859-3DB4D847032C}"/>
    <cellStyle name="Comma 4 4 3 4 4 2" xfId="14591" xr:uid="{6131C19B-09F1-4EFA-BEA6-37F39B18FB3D}"/>
    <cellStyle name="Comma 4 4 3 4 4 2 2" xfId="29711" xr:uid="{8FB06F0D-76E1-4E58-9915-D676678B6D54}"/>
    <cellStyle name="Comma 4 4 3 4 4 2 2 2" xfId="59951" xr:uid="{2185D05A-4D22-4B8E-BD87-4F08628AE42B}"/>
    <cellStyle name="Comma 4 4 3 4 4 2 3" xfId="44831" xr:uid="{1308CEB3-1C43-461F-8F8C-A29AFE8E477B}"/>
    <cellStyle name="Comma 4 4 3 4 4 3" xfId="20639" xr:uid="{34855DD8-3DF2-4C85-8489-268CE39D73A4}"/>
    <cellStyle name="Comma 4 4 3 4 4 3 2" xfId="50879" xr:uid="{EA4280F9-63EF-47E4-8B22-E44D61711662}"/>
    <cellStyle name="Comma 4 4 3 4 4 4" xfId="35759" xr:uid="{9BE25094-F51D-4F7C-8B05-7F347FDB0772}"/>
    <cellStyle name="Comma 4 4 3 4 5" xfId="7031" xr:uid="{2676585E-0746-451B-BFF0-6083CCB77F96}"/>
    <cellStyle name="Comma 4 4 3 4 5 2" xfId="22151" xr:uid="{9203DEF3-1933-4946-89CC-E7F3F4E245A9}"/>
    <cellStyle name="Comma 4 4 3 4 5 2 2" xfId="52391" xr:uid="{D93F9C4B-72FE-4D81-B0D7-6CB127B9E56B}"/>
    <cellStyle name="Comma 4 4 3 4 5 3" xfId="37271" xr:uid="{2E557757-8BFE-467A-BE12-1BF60B5AC47A}"/>
    <cellStyle name="Comma 4 4 3 4 6" xfId="8543" xr:uid="{C1802D13-A871-43F5-B07B-76CDBA20AE7B}"/>
    <cellStyle name="Comma 4 4 3 4 6 2" xfId="23663" xr:uid="{4B8F1183-4174-40C8-AD3F-C0414879DE92}"/>
    <cellStyle name="Comma 4 4 3 4 6 2 2" xfId="53903" xr:uid="{845D6235-F733-4D9C-8D58-D7B6FC392B4D}"/>
    <cellStyle name="Comma 4 4 3 4 6 3" xfId="38783" xr:uid="{9334D7D4-3520-4646-ADBF-5A71218A5E91}"/>
    <cellStyle name="Comma 4 4 3 4 7" xfId="10055" xr:uid="{16006656-C04F-4BAE-AACA-87DEBACEEA79}"/>
    <cellStyle name="Comma 4 4 3 4 7 2" xfId="25175" xr:uid="{BC2D8641-D409-4D90-8733-E9005141B045}"/>
    <cellStyle name="Comma 4 4 3 4 7 2 2" xfId="55415" xr:uid="{864198F2-CFE8-4DBF-995C-50503F68F888}"/>
    <cellStyle name="Comma 4 4 3 4 7 3" xfId="40295" xr:uid="{0469FE43-4303-4C93-B712-53B07DEF399B}"/>
    <cellStyle name="Comma 4 4 3 4 8" xfId="16103" xr:uid="{97F09B57-487E-4054-8DBE-4124AA78F4BA}"/>
    <cellStyle name="Comma 4 4 3 4 8 2" xfId="46343" xr:uid="{5E832CA7-4710-48C2-8B02-592E3A3D5302}"/>
    <cellStyle name="Comma 4 4 3 4 9" xfId="31223" xr:uid="{90E1B114-39CA-4F09-BBB2-D110603336AE}"/>
    <cellStyle name="Comma 4 4 3 5" xfId="1739" xr:uid="{5AFA2DD5-BB1C-401A-91DB-C379998792E5}"/>
    <cellStyle name="Comma 4 4 3 5 2" xfId="10811" xr:uid="{5941C864-ADC4-4D95-8B92-BAFC01B65A86}"/>
    <cellStyle name="Comma 4 4 3 5 2 2" xfId="25931" xr:uid="{0B2BE9D1-8A5F-46D9-87DA-40F5D9D8900B}"/>
    <cellStyle name="Comma 4 4 3 5 2 2 2" xfId="56171" xr:uid="{9D67C3E3-E6FF-4A8C-AD7F-AF5E7B8F2178}"/>
    <cellStyle name="Comma 4 4 3 5 2 3" xfId="41051" xr:uid="{CB9CC9B8-7C66-4BE4-8747-2A2BFB683FB5}"/>
    <cellStyle name="Comma 4 4 3 5 3" xfId="16859" xr:uid="{19EC61EE-0DD2-4FB5-901C-FA2165D923DA}"/>
    <cellStyle name="Comma 4 4 3 5 3 2" xfId="47099" xr:uid="{7C514BEE-FDD1-4A5C-AA89-ABF1C565547F}"/>
    <cellStyle name="Comma 4 4 3 5 4" xfId="31979" xr:uid="{D8832943-2157-4500-B613-CE765431C860}"/>
    <cellStyle name="Comma 4 4 3 6" xfId="3251" xr:uid="{0F0E46D3-F4BF-4D13-8C63-76B5CA07D7E6}"/>
    <cellStyle name="Comma 4 4 3 6 2" xfId="12323" xr:uid="{92AD9BE5-8D33-413A-8224-D143F143FD03}"/>
    <cellStyle name="Comma 4 4 3 6 2 2" xfId="27443" xr:uid="{7E4507FE-F024-4AC5-9480-53AE0D9DD22B}"/>
    <cellStyle name="Comma 4 4 3 6 2 2 2" xfId="57683" xr:uid="{852FAD6E-A2C9-452F-A1DC-C8081986311E}"/>
    <cellStyle name="Comma 4 4 3 6 2 3" xfId="42563" xr:uid="{AA5313E5-087D-4EFC-8969-B1327D40AF99}"/>
    <cellStyle name="Comma 4 4 3 6 3" xfId="18371" xr:uid="{EBA40854-C39B-40EE-9DBB-E2D594BC65DC}"/>
    <cellStyle name="Comma 4 4 3 6 3 2" xfId="48611" xr:uid="{B474AF87-1091-43F3-8D03-39852BFDB6FA}"/>
    <cellStyle name="Comma 4 4 3 6 4" xfId="33491" xr:uid="{B5439621-5354-4434-9DA7-2AB906BEF14D}"/>
    <cellStyle name="Comma 4 4 3 7" xfId="4763" xr:uid="{E9833D44-CAF1-4E30-9EE0-0C610FEB9D83}"/>
    <cellStyle name="Comma 4 4 3 7 2" xfId="13835" xr:uid="{096B86ED-3680-492E-B26C-6546C5DE4938}"/>
    <cellStyle name="Comma 4 4 3 7 2 2" xfId="28955" xr:uid="{245F4ADA-6B6C-4DF1-A52B-934308B793C7}"/>
    <cellStyle name="Comma 4 4 3 7 2 2 2" xfId="59195" xr:uid="{FF8CC13F-4B0F-4B01-9B9D-3C5AFF6D6977}"/>
    <cellStyle name="Comma 4 4 3 7 2 3" xfId="44075" xr:uid="{82CFC579-619B-49B1-B7E6-0FCBF1EA523B}"/>
    <cellStyle name="Comma 4 4 3 7 3" xfId="19883" xr:uid="{399D3B3D-D90F-4938-9C02-656C59C5399A}"/>
    <cellStyle name="Comma 4 4 3 7 3 2" xfId="50123" xr:uid="{B8B23C05-38FA-44CD-B40F-CF5989BE7B6E}"/>
    <cellStyle name="Comma 4 4 3 7 4" xfId="35003" xr:uid="{DBDD05BD-4C21-4571-9103-C4F0093A6707}"/>
    <cellStyle name="Comma 4 4 3 8" xfId="6275" xr:uid="{F4E4422A-BB8F-474F-A8BA-2A1BC1AEC2EC}"/>
    <cellStyle name="Comma 4 4 3 8 2" xfId="21395" xr:uid="{769B4C32-847E-4855-A32B-479A5DCAF766}"/>
    <cellStyle name="Comma 4 4 3 8 2 2" xfId="51635" xr:uid="{315BC5E2-616B-4D05-8850-08B06708950D}"/>
    <cellStyle name="Comma 4 4 3 8 3" xfId="36515" xr:uid="{14EB89E6-A980-4646-8604-3E09DE497A5B}"/>
    <cellStyle name="Comma 4 4 3 9" xfId="7787" xr:uid="{751D0EB2-5737-4B4B-BF84-43ECC64982A5}"/>
    <cellStyle name="Comma 4 4 3 9 2" xfId="22907" xr:uid="{D409FA2B-52A5-4591-88CF-F7ECE58741B9}"/>
    <cellStyle name="Comma 4 4 3 9 2 2" xfId="53147" xr:uid="{C30D5379-D4EF-43C8-851D-C8879B8020D0}"/>
    <cellStyle name="Comma 4 4 3 9 3" xfId="38027" xr:uid="{006FA1AA-8971-4770-84AD-023D2B485038}"/>
    <cellStyle name="Comma 4 4 4" xfId="311" xr:uid="{CB234853-4B41-4AE9-9C94-F2B12BA1612F}"/>
    <cellStyle name="Comma 4 4 4 10" xfId="30551" xr:uid="{A149AB99-7CFF-425D-9574-BDF7218536FF}"/>
    <cellStyle name="Comma 4 4 4 2" xfId="1067" xr:uid="{37EA64D9-1BF5-4EEC-B9B0-15F3959FEF6F}"/>
    <cellStyle name="Comma 4 4 4 2 2" xfId="2579" xr:uid="{64D73C01-ED7A-4628-A416-D4A2586E2D1E}"/>
    <cellStyle name="Comma 4 4 4 2 2 2" xfId="11651" xr:uid="{8C02B1C6-76E1-4D82-B2D1-CF748DC1C1B7}"/>
    <cellStyle name="Comma 4 4 4 2 2 2 2" xfId="26771" xr:uid="{DE1A99A2-A087-4907-A29C-25339AAEE5CC}"/>
    <cellStyle name="Comma 4 4 4 2 2 2 2 2" xfId="57011" xr:uid="{B564C1BD-DFD3-4EBA-85D8-3636F0726B36}"/>
    <cellStyle name="Comma 4 4 4 2 2 2 3" xfId="41891" xr:uid="{09B530D9-0F04-4E0A-A5F6-CF9C8EF068D0}"/>
    <cellStyle name="Comma 4 4 4 2 2 3" xfId="17699" xr:uid="{3ADB4C70-473E-4566-AD3A-DC3EBD881C6A}"/>
    <cellStyle name="Comma 4 4 4 2 2 3 2" xfId="47939" xr:uid="{0350B24A-22C2-4969-80A3-CE87FC8748C4}"/>
    <cellStyle name="Comma 4 4 4 2 2 4" xfId="32819" xr:uid="{4887989A-6C5A-4C67-82A6-3D653133A06F}"/>
    <cellStyle name="Comma 4 4 4 2 3" xfId="4091" xr:uid="{EF69DACE-2E95-4A5F-A4E8-85695180F9FE}"/>
    <cellStyle name="Comma 4 4 4 2 3 2" xfId="13163" xr:uid="{3B7AFC1C-BFB7-4C37-8A89-1AA91583375D}"/>
    <cellStyle name="Comma 4 4 4 2 3 2 2" xfId="28283" xr:uid="{EB5ABC78-537D-48B3-8D3E-F8FC0B466FD5}"/>
    <cellStyle name="Comma 4 4 4 2 3 2 2 2" xfId="58523" xr:uid="{D3A63C67-3E09-437B-9A62-7D11B5E4C467}"/>
    <cellStyle name="Comma 4 4 4 2 3 2 3" xfId="43403" xr:uid="{C410DA22-30F9-4C6B-A637-ADC2D480B913}"/>
    <cellStyle name="Comma 4 4 4 2 3 3" xfId="19211" xr:uid="{7ACB082C-B89F-4092-852F-70F03ECCFD1A}"/>
    <cellStyle name="Comma 4 4 4 2 3 3 2" xfId="49451" xr:uid="{4B6378BD-D023-401C-B896-72B1B6F1BD23}"/>
    <cellStyle name="Comma 4 4 4 2 3 4" xfId="34331" xr:uid="{FEBF5B5F-CFDB-4F81-B82C-4AA7CE156A0D}"/>
    <cellStyle name="Comma 4 4 4 2 4" xfId="5603" xr:uid="{0757AD06-981C-4DF7-8650-DDA2C76A4859}"/>
    <cellStyle name="Comma 4 4 4 2 4 2" xfId="14675" xr:uid="{CA45E3D1-7124-4F48-963F-5BB8C532440C}"/>
    <cellStyle name="Comma 4 4 4 2 4 2 2" xfId="29795" xr:uid="{968B459E-38B6-4F2D-9EDC-705FAE452E76}"/>
    <cellStyle name="Comma 4 4 4 2 4 2 2 2" xfId="60035" xr:uid="{1903C26A-2053-4A3B-85BA-721E713924C7}"/>
    <cellStyle name="Comma 4 4 4 2 4 2 3" xfId="44915" xr:uid="{67E13FEF-2581-43C4-8C43-1B8821B7B29F}"/>
    <cellStyle name="Comma 4 4 4 2 4 3" xfId="20723" xr:uid="{D48AEA91-5F2C-4E45-8B93-058EEB201179}"/>
    <cellStyle name="Comma 4 4 4 2 4 3 2" xfId="50963" xr:uid="{B006C000-07DA-4E22-9068-31EEB866F3B6}"/>
    <cellStyle name="Comma 4 4 4 2 4 4" xfId="35843" xr:uid="{A47D4E8D-658E-4B61-B0E2-BF7A89D4686D}"/>
    <cellStyle name="Comma 4 4 4 2 5" xfId="7115" xr:uid="{1A29AC68-1727-4186-9314-7D24EEC38D57}"/>
    <cellStyle name="Comma 4 4 4 2 5 2" xfId="22235" xr:uid="{7BCEFCB8-BC2C-4253-A1BF-A9592D97AC61}"/>
    <cellStyle name="Comma 4 4 4 2 5 2 2" xfId="52475" xr:uid="{AE38DB72-1729-4A01-B7D1-4C3D35F0CAEE}"/>
    <cellStyle name="Comma 4 4 4 2 5 3" xfId="37355" xr:uid="{23B70183-FB90-4963-913F-0C3CFABA731D}"/>
    <cellStyle name="Comma 4 4 4 2 6" xfId="8627" xr:uid="{6BE4B256-F0AE-462B-8D20-40A0C3F05205}"/>
    <cellStyle name="Comma 4 4 4 2 6 2" xfId="23747" xr:uid="{D4948C40-70CA-4795-9469-ED61BCDB0BF9}"/>
    <cellStyle name="Comma 4 4 4 2 6 2 2" xfId="53987" xr:uid="{369075EE-5477-45A9-A309-A087BC48B1F3}"/>
    <cellStyle name="Comma 4 4 4 2 6 3" xfId="38867" xr:uid="{664F2518-C6DB-4556-8563-FF93220AC573}"/>
    <cellStyle name="Comma 4 4 4 2 7" xfId="10139" xr:uid="{82C47AC5-300A-4597-80D3-0414AD95EAC7}"/>
    <cellStyle name="Comma 4 4 4 2 7 2" xfId="25259" xr:uid="{2C80C0BF-0AFE-4F13-AA4E-0C76692B71B7}"/>
    <cellStyle name="Comma 4 4 4 2 7 2 2" xfId="55499" xr:uid="{DD72E7E7-D4E1-4F48-A56B-4E391F3CCAC4}"/>
    <cellStyle name="Comma 4 4 4 2 7 3" xfId="40379" xr:uid="{C5121624-445C-4ECE-9B20-BC13D7CA1085}"/>
    <cellStyle name="Comma 4 4 4 2 8" xfId="16187" xr:uid="{F0C88E4E-CDEA-41CB-B021-2EFAA4B14BB4}"/>
    <cellStyle name="Comma 4 4 4 2 8 2" xfId="46427" xr:uid="{37FE8191-384B-4289-BEFF-A8E7DE780B71}"/>
    <cellStyle name="Comma 4 4 4 2 9" xfId="31307" xr:uid="{BA32E2C5-1D93-4D56-8C48-A30079EB5162}"/>
    <cellStyle name="Comma 4 4 4 3" xfId="1823" xr:uid="{1381B77C-7736-4261-956A-8F6D934A78D2}"/>
    <cellStyle name="Comma 4 4 4 3 2" xfId="10895" xr:uid="{22A88A4F-DBFE-41BB-895B-CC7ACBE3754E}"/>
    <cellStyle name="Comma 4 4 4 3 2 2" xfId="26015" xr:uid="{7D322044-2ADA-4374-B5AC-D8731B1F86E3}"/>
    <cellStyle name="Comma 4 4 4 3 2 2 2" xfId="56255" xr:uid="{B181281E-F09C-4D84-A590-0650A0C91A75}"/>
    <cellStyle name="Comma 4 4 4 3 2 3" xfId="41135" xr:uid="{8FBEED63-E25D-44DF-B8A3-76DBD89EC033}"/>
    <cellStyle name="Comma 4 4 4 3 3" xfId="16943" xr:uid="{CF4F847F-7D52-45EA-92AE-26EC67ADE513}"/>
    <cellStyle name="Comma 4 4 4 3 3 2" xfId="47183" xr:uid="{417D4C2B-FF09-433B-94FB-646F046D65C8}"/>
    <cellStyle name="Comma 4 4 4 3 4" xfId="32063" xr:uid="{5D233CB2-715E-4DAF-AC1A-7E75EB1A7590}"/>
    <cellStyle name="Comma 4 4 4 4" xfId="3335" xr:uid="{53F1DF60-BCBF-41DB-8ECB-8F946AFADB4D}"/>
    <cellStyle name="Comma 4 4 4 4 2" xfId="12407" xr:uid="{19E36AAB-3CD8-4950-8888-C579D77BF04D}"/>
    <cellStyle name="Comma 4 4 4 4 2 2" xfId="27527" xr:uid="{C6B02342-EE43-4C82-916B-C342D30B5A59}"/>
    <cellStyle name="Comma 4 4 4 4 2 2 2" xfId="57767" xr:uid="{BFF74557-A6FB-4C4D-B518-DB8A10A695BA}"/>
    <cellStyle name="Comma 4 4 4 4 2 3" xfId="42647" xr:uid="{26873392-CC63-4DAD-AED8-D824C6D61938}"/>
    <cellStyle name="Comma 4 4 4 4 3" xfId="18455" xr:uid="{8B82652F-6D85-4A0F-8ACA-3E67E6C75223}"/>
    <cellStyle name="Comma 4 4 4 4 3 2" xfId="48695" xr:uid="{EDDA0BB9-5103-4DAF-B83E-D8320498D164}"/>
    <cellStyle name="Comma 4 4 4 4 4" xfId="33575" xr:uid="{DBB416E0-3015-4004-A7AF-39870058F66F}"/>
    <cellStyle name="Comma 4 4 4 5" xfId="4847" xr:uid="{B8D3295D-E316-497B-9580-6511A2E880B1}"/>
    <cellStyle name="Comma 4 4 4 5 2" xfId="13919" xr:uid="{123A7575-2718-4F09-9777-3A731F989561}"/>
    <cellStyle name="Comma 4 4 4 5 2 2" xfId="29039" xr:uid="{5809F385-89D1-4506-B8A2-6206DD8A22E9}"/>
    <cellStyle name="Comma 4 4 4 5 2 2 2" xfId="59279" xr:uid="{E24D96C7-46E9-4A11-AA9E-BDC58CF5AFEC}"/>
    <cellStyle name="Comma 4 4 4 5 2 3" xfId="44159" xr:uid="{C0CF2865-1587-43D1-A368-A1B65C5588C5}"/>
    <cellStyle name="Comma 4 4 4 5 3" xfId="19967" xr:uid="{8C76750C-CC79-4036-A4BD-5C3F83FDC92E}"/>
    <cellStyle name="Comma 4 4 4 5 3 2" xfId="50207" xr:uid="{3D7B379E-256A-4F84-A99E-373B3D332567}"/>
    <cellStyle name="Comma 4 4 4 5 4" xfId="35087" xr:uid="{5E85B106-294C-4CC5-A6DC-EF82D979FAA5}"/>
    <cellStyle name="Comma 4 4 4 6" xfId="6359" xr:uid="{605CD023-7C75-4983-B9D3-64167487BB35}"/>
    <cellStyle name="Comma 4 4 4 6 2" xfId="21479" xr:uid="{6B2DB93A-30EB-48A0-A205-004DC5E57C1B}"/>
    <cellStyle name="Comma 4 4 4 6 2 2" xfId="51719" xr:uid="{3423A2F8-DCDA-480A-89AC-1C33E858371B}"/>
    <cellStyle name="Comma 4 4 4 6 3" xfId="36599" xr:uid="{B11AF96A-0D5A-42C9-B96E-12E712388252}"/>
    <cellStyle name="Comma 4 4 4 7" xfId="7871" xr:uid="{80884C76-F3E9-4143-92F5-3BF530708EC2}"/>
    <cellStyle name="Comma 4 4 4 7 2" xfId="22991" xr:uid="{8B101382-400F-4925-959A-8819C2F5AB34}"/>
    <cellStyle name="Comma 4 4 4 7 2 2" xfId="53231" xr:uid="{899A50E9-9568-4F85-86DC-FEDC7F996492}"/>
    <cellStyle name="Comma 4 4 4 7 3" xfId="38111" xr:uid="{0B45514B-1753-4AE8-B5C3-2206FE7963ED}"/>
    <cellStyle name="Comma 4 4 4 8" xfId="9383" xr:uid="{FA7168ED-08E9-48B1-A4E9-217E28E7CAEA}"/>
    <cellStyle name="Comma 4 4 4 8 2" xfId="24503" xr:uid="{8014504B-1AFF-4A69-AFFB-305DC99B7671}"/>
    <cellStyle name="Comma 4 4 4 8 2 2" xfId="54743" xr:uid="{84F75B65-4ACA-4DE8-BB49-C93ABF693804}"/>
    <cellStyle name="Comma 4 4 4 8 3" xfId="39623" xr:uid="{D155F196-C653-444A-BE7C-1D8E8CC89624}"/>
    <cellStyle name="Comma 4 4 4 9" xfId="15431" xr:uid="{96F59E4F-65C7-4A47-96BC-0C7C42AC04D5}"/>
    <cellStyle name="Comma 4 4 4 9 2" xfId="45671" xr:uid="{7A7B2D49-5F26-46B6-9791-8639D94687BE}"/>
    <cellStyle name="Comma 4 4 5" xfId="563" xr:uid="{1210897E-D569-49E2-91DE-8EFB1ED2E07D}"/>
    <cellStyle name="Comma 4 4 5 10" xfId="30803" xr:uid="{6D49AD65-1ADE-4869-9C11-1617CB233AC3}"/>
    <cellStyle name="Comma 4 4 5 2" xfId="1319" xr:uid="{15BDFEED-C8E1-4D6A-B941-963093F1D368}"/>
    <cellStyle name="Comma 4 4 5 2 2" xfId="2831" xr:uid="{299AC58E-94CF-4987-895C-B5F8F68327A0}"/>
    <cellStyle name="Comma 4 4 5 2 2 2" xfId="11903" xr:uid="{9614CB92-8FDD-49BF-833A-345CE0983B32}"/>
    <cellStyle name="Comma 4 4 5 2 2 2 2" xfId="27023" xr:uid="{7BB8D1F1-DD4F-453A-9977-C756A5589800}"/>
    <cellStyle name="Comma 4 4 5 2 2 2 2 2" xfId="57263" xr:uid="{F40498E9-F000-4510-8392-43DED3A5FE95}"/>
    <cellStyle name="Comma 4 4 5 2 2 2 3" xfId="42143" xr:uid="{67C6E9E9-A3CD-4F6D-91F6-27AF5B27DD63}"/>
    <cellStyle name="Comma 4 4 5 2 2 3" xfId="17951" xr:uid="{DBCE5A8E-D614-498B-B3EE-A513C3CBCA9B}"/>
    <cellStyle name="Comma 4 4 5 2 2 3 2" xfId="48191" xr:uid="{B459C4B1-FE1E-46FB-A875-BD5BFBB3B433}"/>
    <cellStyle name="Comma 4 4 5 2 2 4" xfId="33071" xr:uid="{8B16C683-A579-4AE8-A1CF-2711DF490716}"/>
    <cellStyle name="Comma 4 4 5 2 3" xfId="4343" xr:uid="{E8044B74-DCAF-449D-B566-B82115750FE0}"/>
    <cellStyle name="Comma 4 4 5 2 3 2" xfId="13415" xr:uid="{6130CACD-09F6-4E0F-97C7-AFC0CEDE8B13}"/>
    <cellStyle name="Comma 4 4 5 2 3 2 2" xfId="28535" xr:uid="{EC3B4293-1DB4-4C5E-9BE4-EA0B4ED979E2}"/>
    <cellStyle name="Comma 4 4 5 2 3 2 2 2" xfId="58775" xr:uid="{2A2B3EEC-B7C5-42FF-91AC-4838407CE651}"/>
    <cellStyle name="Comma 4 4 5 2 3 2 3" xfId="43655" xr:uid="{952C7A5D-6547-4DA8-B371-A31BAD78519A}"/>
    <cellStyle name="Comma 4 4 5 2 3 3" xfId="19463" xr:uid="{7002286B-8414-47D5-BE85-C9E293DB9DE0}"/>
    <cellStyle name="Comma 4 4 5 2 3 3 2" xfId="49703" xr:uid="{6AC72B4D-2D52-4A59-AD26-C1CA88289B62}"/>
    <cellStyle name="Comma 4 4 5 2 3 4" xfId="34583" xr:uid="{A677B3CE-1768-4FDC-B482-C2E5A15D9E20}"/>
    <cellStyle name="Comma 4 4 5 2 4" xfId="5855" xr:uid="{45BD991E-C3B5-44FA-BBD1-1832A4632FB3}"/>
    <cellStyle name="Comma 4 4 5 2 4 2" xfId="14927" xr:uid="{79463D69-6438-4409-A473-FF74B84B2FF6}"/>
    <cellStyle name="Comma 4 4 5 2 4 2 2" xfId="30047" xr:uid="{97C5A901-3D15-4255-8009-98BB5337CA5A}"/>
    <cellStyle name="Comma 4 4 5 2 4 2 2 2" xfId="60287" xr:uid="{9AC033B1-F95E-4BCB-B56B-88B7712E915B}"/>
    <cellStyle name="Comma 4 4 5 2 4 2 3" xfId="45167" xr:uid="{3F7FC1A7-CF53-4970-8CA2-2834F14BCFE3}"/>
    <cellStyle name="Comma 4 4 5 2 4 3" xfId="20975" xr:uid="{B294C1AA-7740-4BD8-863C-5BD6D5E46D88}"/>
    <cellStyle name="Comma 4 4 5 2 4 3 2" xfId="51215" xr:uid="{1C50383F-E18A-4F69-B86A-8EDBF082D744}"/>
    <cellStyle name="Comma 4 4 5 2 4 4" xfId="36095" xr:uid="{F5A56B18-85A6-40DE-AA88-DA8685832BCB}"/>
    <cellStyle name="Comma 4 4 5 2 5" xfId="7367" xr:uid="{78CCAAD1-3703-4A64-9DFA-1C9233A34A12}"/>
    <cellStyle name="Comma 4 4 5 2 5 2" xfId="22487" xr:uid="{7D82F1FD-B615-4F0A-9297-C93E1AFE65F7}"/>
    <cellStyle name="Comma 4 4 5 2 5 2 2" xfId="52727" xr:uid="{E3370554-7F96-44A5-946C-61B86F5107D8}"/>
    <cellStyle name="Comma 4 4 5 2 5 3" xfId="37607" xr:uid="{2DAD71A5-5335-4F4B-9B8F-858CFBAB078B}"/>
    <cellStyle name="Comma 4 4 5 2 6" xfId="8879" xr:uid="{479E3685-2C23-46A9-B203-A23C4B0FDFD3}"/>
    <cellStyle name="Comma 4 4 5 2 6 2" xfId="23999" xr:uid="{457E8ADE-12E1-4C10-B9A7-611FFE1E38D3}"/>
    <cellStyle name="Comma 4 4 5 2 6 2 2" xfId="54239" xr:uid="{1E21A52F-EAFF-4954-81EB-08EC2DD5D300}"/>
    <cellStyle name="Comma 4 4 5 2 6 3" xfId="39119" xr:uid="{567172BE-0A64-4436-9ACB-9971CFEECC95}"/>
    <cellStyle name="Comma 4 4 5 2 7" xfId="10391" xr:uid="{24BA0322-709F-431F-9147-7A00400C80C2}"/>
    <cellStyle name="Comma 4 4 5 2 7 2" xfId="25511" xr:uid="{545C58DE-2FE4-4674-9C88-8E2543493FD4}"/>
    <cellStyle name="Comma 4 4 5 2 7 2 2" xfId="55751" xr:uid="{7D86376C-96F8-4D13-8042-92CE1E3F6EAE}"/>
    <cellStyle name="Comma 4 4 5 2 7 3" xfId="40631" xr:uid="{3072645B-A662-4032-89EB-EBB613940B97}"/>
    <cellStyle name="Comma 4 4 5 2 8" xfId="16439" xr:uid="{FA7BF9BB-1DD9-4498-B1EF-00066E03715B}"/>
    <cellStyle name="Comma 4 4 5 2 8 2" xfId="46679" xr:uid="{0726709F-E420-4115-B156-A2247D8BB2C9}"/>
    <cellStyle name="Comma 4 4 5 2 9" xfId="31559" xr:uid="{6756A4E4-9526-4345-96CA-8DE6F68AD71A}"/>
    <cellStyle name="Comma 4 4 5 3" xfId="2075" xr:uid="{ADFABBC5-1D30-4622-9820-5686414FB749}"/>
    <cellStyle name="Comma 4 4 5 3 2" xfId="11147" xr:uid="{F3F34787-BF74-4C11-B8E5-E0B51663E8DC}"/>
    <cellStyle name="Comma 4 4 5 3 2 2" xfId="26267" xr:uid="{F7D76B31-B1C6-4398-9D28-944081CE0030}"/>
    <cellStyle name="Comma 4 4 5 3 2 2 2" xfId="56507" xr:uid="{3699272C-966D-439F-B342-A61E4D7ACCAB}"/>
    <cellStyle name="Comma 4 4 5 3 2 3" xfId="41387" xr:uid="{33F8B718-B4A3-4D83-8B8F-7DFB2A78F4AC}"/>
    <cellStyle name="Comma 4 4 5 3 3" xfId="17195" xr:uid="{20E326B3-D326-4C64-8E94-C247AA773962}"/>
    <cellStyle name="Comma 4 4 5 3 3 2" xfId="47435" xr:uid="{E260AE34-BB2A-4C63-A873-BD6839C7C4E0}"/>
    <cellStyle name="Comma 4 4 5 3 4" xfId="32315" xr:uid="{39B32885-3C46-4AF3-B7BD-E6E7C3D8D2FF}"/>
    <cellStyle name="Comma 4 4 5 4" xfId="3587" xr:uid="{0C4C2F0E-16D7-4C5B-B7E9-8C3FABD9E46C}"/>
    <cellStyle name="Comma 4 4 5 4 2" xfId="12659" xr:uid="{DB17D065-096A-48E1-80BA-3909942669D5}"/>
    <cellStyle name="Comma 4 4 5 4 2 2" xfId="27779" xr:uid="{05E3BC66-67E5-49F9-BE04-AB0FF7F7AE08}"/>
    <cellStyle name="Comma 4 4 5 4 2 2 2" xfId="58019" xr:uid="{F0CDDB3C-3786-43F3-AC7F-305E4E5D30D2}"/>
    <cellStyle name="Comma 4 4 5 4 2 3" xfId="42899" xr:uid="{07E4154B-1737-4BEB-BE25-B11887F4D205}"/>
    <cellStyle name="Comma 4 4 5 4 3" xfId="18707" xr:uid="{57DFE636-C20B-4842-9661-26E5F368667C}"/>
    <cellStyle name="Comma 4 4 5 4 3 2" xfId="48947" xr:uid="{D2D3A063-0460-461A-AB10-F38220F22C3A}"/>
    <cellStyle name="Comma 4 4 5 4 4" xfId="33827" xr:uid="{6A96FDB5-3E02-4ABA-947C-C1D7A56A4B47}"/>
    <cellStyle name="Comma 4 4 5 5" xfId="5099" xr:uid="{A79E48E4-B1AD-4D30-A38D-C1D37878F290}"/>
    <cellStyle name="Comma 4 4 5 5 2" xfId="14171" xr:uid="{8D2D5650-218D-4B89-B577-9EBFFCC1A5B8}"/>
    <cellStyle name="Comma 4 4 5 5 2 2" xfId="29291" xr:uid="{94F80FC1-2AF8-4908-8076-9A45A95EAC9E}"/>
    <cellStyle name="Comma 4 4 5 5 2 2 2" xfId="59531" xr:uid="{0F8CB441-0BC7-4102-B73F-56EAF27525A7}"/>
    <cellStyle name="Comma 4 4 5 5 2 3" xfId="44411" xr:uid="{E1F07F73-90C5-46E7-8EB7-4C447DADFD93}"/>
    <cellStyle name="Comma 4 4 5 5 3" xfId="20219" xr:uid="{9CB22CC9-09D7-4D40-8600-C293236BF081}"/>
    <cellStyle name="Comma 4 4 5 5 3 2" xfId="50459" xr:uid="{7DA98B28-05FD-43C1-AED3-3EDF9F11EF3A}"/>
    <cellStyle name="Comma 4 4 5 5 4" xfId="35339" xr:uid="{30DF3693-2408-4606-A990-3BE5739676FF}"/>
    <cellStyle name="Comma 4 4 5 6" xfId="6611" xr:uid="{3A41FC88-CB36-4720-9AB1-713385AA3A23}"/>
    <cellStyle name="Comma 4 4 5 6 2" xfId="21731" xr:uid="{FCCCC02A-FEDC-4E91-8009-09A6F67C6E04}"/>
    <cellStyle name="Comma 4 4 5 6 2 2" xfId="51971" xr:uid="{B0D160DC-B69E-4FCB-BC56-60B54131478D}"/>
    <cellStyle name="Comma 4 4 5 6 3" xfId="36851" xr:uid="{B30709B6-C9A8-4BAB-9DF0-A9571AE0E4BE}"/>
    <cellStyle name="Comma 4 4 5 7" xfId="8123" xr:uid="{39307578-1111-490B-A21E-F6FA31C30A93}"/>
    <cellStyle name="Comma 4 4 5 7 2" xfId="23243" xr:uid="{B03A5A84-301A-4C7C-907C-F3FDFDF28C41}"/>
    <cellStyle name="Comma 4 4 5 7 2 2" xfId="53483" xr:uid="{17B1458B-A79C-4A96-BC06-32107CFE8D2F}"/>
    <cellStyle name="Comma 4 4 5 7 3" xfId="38363" xr:uid="{D92232EE-443F-480E-849F-749C814555EC}"/>
    <cellStyle name="Comma 4 4 5 8" xfId="9635" xr:uid="{4D8E5ED3-D22F-4862-809A-8996DF47E00E}"/>
    <cellStyle name="Comma 4 4 5 8 2" xfId="24755" xr:uid="{CE75AA66-4962-4265-A84A-73E8B62922C1}"/>
    <cellStyle name="Comma 4 4 5 8 2 2" xfId="54995" xr:uid="{EAABFD4C-5437-4D23-AA2B-9052EB22802C}"/>
    <cellStyle name="Comma 4 4 5 8 3" xfId="39875" xr:uid="{72BDE789-AC94-46D2-BB12-1AD5A2C9EFE1}"/>
    <cellStyle name="Comma 4 4 5 9" xfId="15683" xr:uid="{59D7407F-517C-4432-B8DC-4FBF48B599D5}"/>
    <cellStyle name="Comma 4 4 5 9 2" xfId="45923" xr:uid="{ED2C8C84-75C7-4D57-A2C6-B53DFD4EADB7}"/>
    <cellStyle name="Comma 4 4 6" xfId="815" xr:uid="{A904F5A0-E621-456B-B036-6FF696B41B99}"/>
    <cellStyle name="Comma 4 4 6 2" xfId="2327" xr:uid="{9E4A1D77-3BA0-449C-85A5-7EBDBBC204BD}"/>
    <cellStyle name="Comma 4 4 6 2 2" xfId="11399" xr:uid="{C7D97760-6BDD-4750-B035-4D92DAA71CE5}"/>
    <cellStyle name="Comma 4 4 6 2 2 2" xfId="26519" xr:uid="{0A610760-EFAE-4F47-AD79-A36A48DCA1E0}"/>
    <cellStyle name="Comma 4 4 6 2 2 2 2" xfId="56759" xr:uid="{075C3CF4-6597-4CF7-B26F-11149D884A07}"/>
    <cellStyle name="Comma 4 4 6 2 2 3" xfId="41639" xr:uid="{3B7E8257-9F6D-4D61-90A9-08DEA317B302}"/>
    <cellStyle name="Comma 4 4 6 2 3" xfId="17447" xr:uid="{70E69CCA-D2AC-47D4-99C1-C3A1224A10C3}"/>
    <cellStyle name="Comma 4 4 6 2 3 2" xfId="47687" xr:uid="{6E771D50-6379-4083-BAF7-A1EF20611A82}"/>
    <cellStyle name="Comma 4 4 6 2 4" xfId="32567" xr:uid="{8BE6F5C4-9AD9-4B2B-8E69-22D11712218D}"/>
    <cellStyle name="Comma 4 4 6 3" xfId="3839" xr:uid="{72638CD1-C192-4BCC-AE8F-C88107E64E11}"/>
    <cellStyle name="Comma 4 4 6 3 2" xfId="12911" xr:uid="{B959D78E-7CED-4CD0-A23C-F7752CA44B3B}"/>
    <cellStyle name="Comma 4 4 6 3 2 2" xfId="28031" xr:uid="{1884671A-C6F9-44CE-B702-D9BF8B8419C7}"/>
    <cellStyle name="Comma 4 4 6 3 2 2 2" xfId="58271" xr:uid="{1BA95CF9-06D9-4098-AE29-44308C96878C}"/>
    <cellStyle name="Comma 4 4 6 3 2 3" xfId="43151" xr:uid="{67C1C846-4A24-4593-A131-44D87B9D648E}"/>
    <cellStyle name="Comma 4 4 6 3 3" xfId="18959" xr:uid="{48E5885D-FD61-4B92-A377-D51619174998}"/>
    <cellStyle name="Comma 4 4 6 3 3 2" xfId="49199" xr:uid="{469F9221-DE9C-4499-95C4-FD30E14423B2}"/>
    <cellStyle name="Comma 4 4 6 3 4" xfId="34079" xr:uid="{D210260D-01EC-480E-93C2-E411DB7BDCB4}"/>
    <cellStyle name="Comma 4 4 6 4" xfId="5351" xr:uid="{D477B4E4-3FAE-4164-B81F-B18914BFA59D}"/>
    <cellStyle name="Comma 4 4 6 4 2" xfId="14423" xr:uid="{81ABC39D-F565-489B-82D3-E09FA8CF0C6D}"/>
    <cellStyle name="Comma 4 4 6 4 2 2" xfId="29543" xr:uid="{CF35F97A-A491-400E-AED5-E7FC82DCA518}"/>
    <cellStyle name="Comma 4 4 6 4 2 2 2" xfId="59783" xr:uid="{5C2FFCD0-D6BD-4B6D-8A58-0684A5A20C0A}"/>
    <cellStyle name="Comma 4 4 6 4 2 3" xfId="44663" xr:uid="{38AE44A4-803F-434A-B894-F8F0002272B5}"/>
    <cellStyle name="Comma 4 4 6 4 3" xfId="20471" xr:uid="{F45F98DD-9DCA-43E9-9DDE-47A47951A1C6}"/>
    <cellStyle name="Comma 4 4 6 4 3 2" xfId="50711" xr:uid="{82308BC6-160C-43BA-865D-6151BC935FE1}"/>
    <cellStyle name="Comma 4 4 6 4 4" xfId="35591" xr:uid="{6F63DC5D-BA70-43D8-8690-AABCF9CB91A3}"/>
    <cellStyle name="Comma 4 4 6 5" xfId="6863" xr:uid="{E378876B-F3D8-40CB-A46B-843575ACF2EC}"/>
    <cellStyle name="Comma 4 4 6 5 2" xfId="21983" xr:uid="{80935F2C-59E2-4CE9-A33F-48487A615718}"/>
    <cellStyle name="Comma 4 4 6 5 2 2" xfId="52223" xr:uid="{B936D840-6487-49E1-872A-2E6168D0FF79}"/>
    <cellStyle name="Comma 4 4 6 5 3" xfId="37103" xr:uid="{00D7A54E-D0CB-4C38-B176-FE3BA6666C52}"/>
    <cellStyle name="Comma 4 4 6 6" xfId="8375" xr:uid="{2893FB24-909C-4656-96F3-EDEB23D12F26}"/>
    <cellStyle name="Comma 4 4 6 6 2" xfId="23495" xr:uid="{18DA5D53-5AD8-4764-A7AA-C4E217F03387}"/>
    <cellStyle name="Comma 4 4 6 6 2 2" xfId="53735" xr:uid="{E8DDB239-BB5C-43A5-9877-FD90EE42744A}"/>
    <cellStyle name="Comma 4 4 6 6 3" xfId="38615" xr:uid="{84E6CDFC-7B72-4F48-B836-0711E12D6F18}"/>
    <cellStyle name="Comma 4 4 6 7" xfId="9887" xr:uid="{C571F70C-FE62-49CF-AC61-ED5B6912B2FA}"/>
    <cellStyle name="Comma 4 4 6 7 2" xfId="25007" xr:uid="{910A77B1-D607-44E1-A77C-201AC7386823}"/>
    <cellStyle name="Comma 4 4 6 7 2 2" xfId="55247" xr:uid="{D95809D0-6729-4BA8-B18D-DA2B7D5BAC3F}"/>
    <cellStyle name="Comma 4 4 6 7 3" xfId="40127" xr:uid="{5E60E3A0-87AF-4570-83E2-E2A19D7C3914}"/>
    <cellStyle name="Comma 4 4 6 8" xfId="15935" xr:uid="{E774C98F-FB58-47A6-A0F5-6F77567646C4}"/>
    <cellStyle name="Comma 4 4 6 8 2" xfId="46175" xr:uid="{C18BA652-00EB-4CCC-A8A1-3B26A46E78B2}"/>
    <cellStyle name="Comma 4 4 6 9" xfId="31055" xr:uid="{B8E05E02-089F-4384-8F9E-8CF1347C8A22}"/>
    <cellStyle name="Comma 4 4 7" xfId="1571" xr:uid="{9FC185AB-B8C7-4B56-9C88-1A45AC3CCE74}"/>
    <cellStyle name="Comma 4 4 7 2" xfId="10643" xr:uid="{92BD2386-45C7-4E1D-A66B-F48D21D8B8C1}"/>
    <cellStyle name="Comma 4 4 7 2 2" xfId="25763" xr:uid="{D645E976-C184-41A4-9C04-20B4EE6CD922}"/>
    <cellStyle name="Comma 4 4 7 2 2 2" xfId="56003" xr:uid="{0B893E42-481D-428C-875F-889FC0B504BF}"/>
    <cellStyle name="Comma 4 4 7 2 3" xfId="40883" xr:uid="{0084599F-4676-4798-AB20-AD65193FCD9B}"/>
    <cellStyle name="Comma 4 4 7 3" xfId="16691" xr:uid="{2CA13153-5ADD-437F-A44D-7A605C4A419D}"/>
    <cellStyle name="Comma 4 4 7 3 2" xfId="46931" xr:uid="{37DE55EA-BE56-43BA-A6C8-D012AA90D961}"/>
    <cellStyle name="Comma 4 4 7 4" xfId="31811" xr:uid="{02B8E478-D4A6-4B87-94D2-9D8ACEAF107B}"/>
    <cellStyle name="Comma 4 4 8" xfId="3083" xr:uid="{58AB5C58-CF2E-460F-A278-818276734F4A}"/>
    <cellStyle name="Comma 4 4 8 2" xfId="12155" xr:uid="{5BD935C7-ECBE-4DCB-841E-506C58CA61F6}"/>
    <cellStyle name="Comma 4 4 8 2 2" xfId="27275" xr:uid="{BBA4EDA5-C37C-49BE-86AC-64667F4A4C08}"/>
    <cellStyle name="Comma 4 4 8 2 2 2" xfId="57515" xr:uid="{5F938310-4127-4B64-92E6-547BF4A3EFDB}"/>
    <cellStyle name="Comma 4 4 8 2 3" xfId="42395" xr:uid="{972D004B-0DEF-4022-A074-B1D2C0F78C14}"/>
    <cellStyle name="Comma 4 4 8 3" xfId="18203" xr:uid="{F6245E3A-C8C5-4D94-B362-74C3535DC22E}"/>
    <cellStyle name="Comma 4 4 8 3 2" xfId="48443" xr:uid="{1C3188B0-4207-4B76-9D9C-21C91A3B1E1E}"/>
    <cellStyle name="Comma 4 4 8 4" xfId="33323" xr:uid="{86FB55F6-4521-4430-8BC3-6174DE2CDB1F}"/>
    <cellStyle name="Comma 4 4 9" xfId="4595" xr:uid="{BDEE0431-D585-47B6-88FF-1E8249F5DD38}"/>
    <cellStyle name="Comma 4 4 9 2" xfId="13667" xr:uid="{861EE57C-E5D2-40A8-B1B6-3B3FE507A24E}"/>
    <cellStyle name="Comma 4 4 9 2 2" xfId="28787" xr:uid="{9FD2CE56-5761-4745-89C3-157906DAF863}"/>
    <cellStyle name="Comma 4 4 9 2 2 2" xfId="59027" xr:uid="{E00C5F61-06F3-4D9C-90FE-D4331B671A51}"/>
    <cellStyle name="Comma 4 4 9 2 3" xfId="43907" xr:uid="{411F1F83-12EA-4CDA-845F-2216D040331E}"/>
    <cellStyle name="Comma 4 4 9 3" xfId="19715" xr:uid="{6F7903A5-663C-4CE3-BEE7-4E83220E9271}"/>
    <cellStyle name="Comma 4 4 9 3 2" xfId="49955" xr:uid="{39C2F816-90FA-4083-9457-CF74C5C9D421}"/>
    <cellStyle name="Comma 4 4 9 4" xfId="34835" xr:uid="{FE20C40B-9FCB-44D7-B37F-6C1DC6FE7D98}"/>
    <cellStyle name="Comma 4 5" xfId="101" xr:uid="{EBBC4985-0CFB-4A91-B0A6-CB6336F6104C}"/>
    <cellStyle name="Comma 4 5 10" xfId="9173" xr:uid="{4292F59B-37E3-4B01-A9EF-B36E2BBE0242}"/>
    <cellStyle name="Comma 4 5 10 2" xfId="24293" xr:uid="{9ED02E1B-70D8-472E-9F69-7D82F39EE0D4}"/>
    <cellStyle name="Comma 4 5 10 2 2" xfId="54533" xr:uid="{84522F05-BBBF-44F9-A49E-CBF758BBFB2B}"/>
    <cellStyle name="Comma 4 5 10 3" xfId="39413" xr:uid="{FE163667-87D7-4505-9175-7AB40B7D7CA4}"/>
    <cellStyle name="Comma 4 5 11" xfId="15221" xr:uid="{1E4902C5-CD40-422F-BF20-DD454570DE0B}"/>
    <cellStyle name="Comma 4 5 11 2" xfId="45461" xr:uid="{713BAB5E-924B-4437-9963-F227A29866B0}"/>
    <cellStyle name="Comma 4 5 12" xfId="30341" xr:uid="{DF5A8DE5-2425-4295-93F3-5919F698B331}"/>
    <cellStyle name="Comma 4 5 2" xfId="353" xr:uid="{BDADB1C8-B95E-4E94-A9A5-249FC490C244}"/>
    <cellStyle name="Comma 4 5 2 10" xfId="30593" xr:uid="{F5E3FEBF-C2DE-479A-A7E0-BDA96C192D51}"/>
    <cellStyle name="Comma 4 5 2 2" xfId="1109" xr:uid="{27622DA9-B7E6-476F-BD04-C69DC09FAF92}"/>
    <cellStyle name="Comma 4 5 2 2 2" xfId="2621" xr:uid="{93FD64B5-92EE-4DF5-A4D6-C9C3C4BEF23B}"/>
    <cellStyle name="Comma 4 5 2 2 2 2" xfId="11693" xr:uid="{E05451D8-440A-44D6-BA2D-3FD719CB0E0B}"/>
    <cellStyle name="Comma 4 5 2 2 2 2 2" xfId="26813" xr:uid="{C05CAC31-D3CA-408A-A037-91C409C38387}"/>
    <cellStyle name="Comma 4 5 2 2 2 2 2 2" xfId="57053" xr:uid="{C5BC0EFF-13CC-410D-84AD-EAE7D1F4DFB1}"/>
    <cellStyle name="Comma 4 5 2 2 2 2 3" xfId="41933" xr:uid="{A96A3C62-9156-40E8-8541-177AF6F6B5B7}"/>
    <cellStyle name="Comma 4 5 2 2 2 3" xfId="17741" xr:uid="{E530C289-F30C-4C0F-8ECC-7A20E146297C}"/>
    <cellStyle name="Comma 4 5 2 2 2 3 2" xfId="47981" xr:uid="{46F58727-894E-4FCD-9C70-CE76B588ABB5}"/>
    <cellStyle name="Comma 4 5 2 2 2 4" xfId="32861" xr:uid="{0E770BEC-A782-4D44-9711-701C2D550E90}"/>
    <cellStyle name="Comma 4 5 2 2 3" xfId="4133" xr:uid="{C0331A0E-0743-483D-A296-C9A21157E2C3}"/>
    <cellStyle name="Comma 4 5 2 2 3 2" xfId="13205" xr:uid="{B7D8B041-8C7E-4E65-AB52-1918383642A6}"/>
    <cellStyle name="Comma 4 5 2 2 3 2 2" xfId="28325" xr:uid="{2D596D7F-B9A7-493D-8B76-BB2E3E3309FE}"/>
    <cellStyle name="Comma 4 5 2 2 3 2 2 2" xfId="58565" xr:uid="{F78D7F26-7AF8-4CBD-A1E2-283F2DD23569}"/>
    <cellStyle name="Comma 4 5 2 2 3 2 3" xfId="43445" xr:uid="{C9C60E85-A70A-4847-BF04-BD8A94BFA654}"/>
    <cellStyle name="Comma 4 5 2 2 3 3" xfId="19253" xr:uid="{E4A0A70E-6364-4C1E-A1F8-10BBEC1C94BB}"/>
    <cellStyle name="Comma 4 5 2 2 3 3 2" xfId="49493" xr:uid="{E30E5676-C77D-40C5-B835-0B597542755D}"/>
    <cellStyle name="Comma 4 5 2 2 3 4" xfId="34373" xr:uid="{5F732295-F9B3-4930-BC2F-D563B99C25ED}"/>
    <cellStyle name="Comma 4 5 2 2 4" xfId="5645" xr:uid="{3F166759-5D7F-4BD9-B915-7359778EB39C}"/>
    <cellStyle name="Comma 4 5 2 2 4 2" xfId="14717" xr:uid="{06C724B3-B712-4CB9-A8E3-7E3AAB26D23E}"/>
    <cellStyle name="Comma 4 5 2 2 4 2 2" xfId="29837" xr:uid="{719EE4FF-9470-4030-A18F-823FD04DD8DA}"/>
    <cellStyle name="Comma 4 5 2 2 4 2 2 2" xfId="60077" xr:uid="{232F5AE9-6CDF-45D2-9253-3929AC5D6EB3}"/>
    <cellStyle name="Comma 4 5 2 2 4 2 3" xfId="44957" xr:uid="{2D61D349-8DDF-4BEE-99C4-BF506C7E070C}"/>
    <cellStyle name="Comma 4 5 2 2 4 3" xfId="20765" xr:uid="{ADEE674D-A99C-4DB5-918D-D8C0592E79A9}"/>
    <cellStyle name="Comma 4 5 2 2 4 3 2" xfId="51005" xr:uid="{5E2EA105-4F79-44C2-A0D8-2D4801CE86F0}"/>
    <cellStyle name="Comma 4 5 2 2 4 4" xfId="35885" xr:uid="{A42A74B6-C309-47CA-9EFC-C6F9BDD145A3}"/>
    <cellStyle name="Comma 4 5 2 2 5" xfId="7157" xr:uid="{2F599A12-57B9-4A8C-B860-A36310F0F2F4}"/>
    <cellStyle name="Comma 4 5 2 2 5 2" xfId="22277" xr:uid="{2399467F-CB70-4F30-98BC-908D89DDE47B}"/>
    <cellStyle name="Comma 4 5 2 2 5 2 2" xfId="52517" xr:uid="{E0CA0985-8E2F-4B8E-A505-AC9075CF5D90}"/>
    <cellStyle name="Comma 4 5 2 2 5 3" xfId="37397" xr:uid="{8AD64237-E0AD-4BE2-BF65-7277DED67FA6}"/>
    <cellStyle name="Comma 4 5 2 2 6" xfId="8669" xr:uid="{86188146-5C3D-441C-85CE-FC41C3CBED00}"/>
    <cellStyle name="Comma 4 5 2 2 6 2" xfId="23789" xr:uid="{F8AED2E1-96C6-4B4B-B8E2-96CB21D3E915}"/>
    <cellStyle name="Comma 4 5 2 2 6 2 2" xfId="54029" xr:uid="{171CA920-6795-4FA3-BF71-F1CF70ABD50F}"/>
    <cellStyle name="Comma 4 5 2 2 6 3" xfId="38909" xr:uid="{82674F29-3432-4969-A929-C85CF6F5344D}"/>
    <cellStyle name="Comma 4 5 2 2 7" xfId="10181" xr:uid="{2E741BD4-B363-4D1D-B8F0-B3671279F1F4}"/>
    <cellStyle name="Comma 4 5 2 2 7 2" xfId="25301" xr:uid="{E30E6573-4315-4C27-A2C8-C1FACBA5DC7A}"/>
    <cellStyle name="Comma 4 5 2 2 7 2 2" xfId="55541" xr:uid="{6CC37B88-8249-4BF1-BEC6-7EDB79877FB3}"/>
    <cellStyle name="Comma 4 5 2 2 7 3" xfId="40421" xr:uid="{0DDF2176-39D5-4DEF-B442-B5970469AF65}"/>
    <cellStyle name="Comma 4 5 2 2 8" xfId="16229" xr:uid="{598A8F6A-C6A1-4D18-83C7-72FF7034FF15}"/>
    <cellStyle name="Comma 4 5 2 2 8 2" xfId="46469" xr:uid="{92963193-6260-4804-B032-53586722C67D}"/>
    <cellStyle name="Comma 4 5 2 2 9" xfId="31349" xr:uid="{70F87281-1E2A-430D-956C-3B2302444FB2}"/>
    <cellStyle name="Comma 4 5 2 3" xfId="1865" xr:uid="{E2E20401-64FE-4A8D-824C-C6B322DD077A}"/>
    <cellStyle name="Comma 4 5 2 3 2" xfId="10937" xr:uid="{BE59CEFD-DFB2-4D6D-B9DC-751F0754A318}"/>
    <cellStyle name="Comma 4 5 2 3 2 2" xfId="26057" xr:uid="{6AC4ECE4-F00B-4CBE-8D5D-C5A510895233}"/>
    <cellStyle name="Comma 4 5 2 3 2 2 2" xfId="56297" xr:uid="{346C5C76-653B-4986-838D-7D525B5E8C1D}"/>
    <cellStyle name="Comma 4 5 2 3 2 3" xfId="41177" xr:uid="{97F576FA-D9C5-4052-BB61-BF948A1FCEF4}"/>
    <cellStyle name="Comma 4 5 2 3 3" xfId="16985" xr:uid="{00737B1D-B3FD-41A1-AC2D-6DBE063C7DA4}"/>
    <cellStyle name="Comma 4 5 2 3 3 2" xfId="47225" xr:uid="{7C8CE7A0-E2EA-4C18-9F7B-49F67C1AE136}"/>
    <cellStyle name="Comma 4 5 2 3 4" xfId="32105" xr:uid="{2F94E6BC-68D2-46AA-9825-1241EB33E7C1}"/>
    <cellStyle name="Comma 4 5 2 4" xfId="3377" xr:uid="{0BB97210-EBAA-429D-8B0B-32FF62FE9EAF}"/>
    <cellStyle name="Comma 4 5 2 4 2" xfId="12449" xr:uid="{3FECD389-2D3F-40DF-8A7C-2018D2EE80F3}"/>
    <cellStyle name="Comma 4 5 2 4 2 2" xfId="27569" xr:uid="{09D66955-0DBE-46E5-9652-EC58A1F354FF}"/>
    <cellStyle name="Comma 4 5 2 4 2 2 2" xfId="57809" xr:uid="{33EB5F4E-1F78-44E4-B603-08CDB2096517}"/>
    <cellStyle name="Comma 4 5 2 4 2 3" xfId="42689" xr:uid="{39DF65C8-1231-446A-A780-5A74C46163D0}"/>
    <cellStyle name="Comma 4 5 2 4 3" xfId="18497" xr:uid="{04CCDC71-3FF8-42EC-87A9-FA720C1DD75A}"/>
    <cellStyle name="Comma 4 5 2 4 3 2" xfId="48737" xr:uid="{930657B2-185A-46AC-940C-2B582FBCDEEE}"/>
    <cellStyle name="Comma 4 5 2 4 4" xfId="33617" xr:uid="{ADDB102F-BEEA-475F-90AD-37477E3176B4}"/>
    <cellStyle name="Comma 4 5 2 5" xfId="4889" xr:uid="{1C4A62F7-2031-4586-84E1-BD3A61BDBEE0}"/>
    <cellStyle name="Comma 4 5 2 5 2" xfId="13961" xr:uid="{0E5F9FE1-C616-4A53-90D6-B1A205930F2B}"/>
    <cellStyle name="Comma 4 5 2 5 2 2" xfId="29081" xr:uid="{44CA29BA-2D37-4842-A98F-5E09227BEFCE}"/>
    <cellStyle name="Comma 4 5 2 5 2 2 2" xfId="59321" xr:uid="{DEBD2FDD-BA81-4A4F-8C1F-1EB18BA3EFF8}"/>
    <cellStyle name="Comma 4 5 2 5 2 3" xfId="44201" xr:uid="{F59ABF46-343C-44FD-86C9-60EA92ECEC93}"/>
    <cellStyle name="Comma 4 5 2 5 3" xfId="20009" xr:uid="{F69325A3-4101-4356-955C-CEB71148E35E}"/>
    <cellStyle name="Comma 4 5 2 5 3 2" xfId="50249" xr:uid="{BA3310D6-52D5-4ABB-95F2-25EDB9E6A1BC}"/>
    <cellStyle name="Comma 4 5 2 5 4" xfId="35129" xr:uid="{C033DDDA-DD7F-45C2-AF90-851B5E48720E}"/>
    <cellStyle name="Comma 4 5 2 6" xfId="6401" xr:uid="{EF32F3D9-298A-4587-B55A-0D91F60EF88F}"/>
    <cellStyle name="Comma 4 5 2 6 2" xfId="21521" xr:uid="{E01DC8CA-3225-4102-A790-20A1B7ABDE07}"/>
    <cellStyle name="Comma 4 5 2 6 2 2" xfId="51761" xr:uid="{B075BF8C-4A6B-4F0C-987A-B99841889431}"/>
    <cellStyle name="Comma 4 5 2 6 3" xfId="36641" xr:uid="{47C2B19B-C022-4EDC-B59B-136A63EF1F1C}"/>
    <cellStyle name="Comma 4 5 2 7" xfId="7913" xr:uid="{37354181-9EE5-4955-A0FF-AB7286E4015A}"/>
    <cellStyle name="Comma 4 5 2 7 2" xfId="23033" xr:uid="{FAD83904-BCB3-48AC-88D4-8000E08082B1}"/>
    <cellStyle name="Comma 4 5 2 7 2 2" xfId="53273" xr:uid="{9F6C621E-5BCB-4A60-A8F0-27C39BFDC202}"/>
    <cellStyle name="Comma 4 5 2 7 3" xfId="38153" xr:uid="{1F0130CF-82B5-400C-8A8A-9FD0815BAB1C}"/>
    <cellStyle name="Comma 4 5 2 8" xfId="9425" xr:uid="{158632BA-BFF5-4F8E-8D7D-5C1048A8973F}"/>
    <cellStyle name="Comma 4 5 2 8 2" xfId="24545" xr:uid="{4AED430D-CA27-4821-9CAD-64E08DD5CE53}"/>
    <cellStyle name="Comma 4 5 2 8 2 2" xfId="54785" xr:uid="{F4011FAB-23FA-4B76-9B54-10AC6E2FAD58}"/>
    <cellStyle name="Comma 4 5 2 8 3" xfId="39665" xr:uid="{FD5644EF-550F-450F-B0FE-833496C19B6C}"/>
    <cellStyle name="Comma 4 5 2 9" xfId="15473" xr:uid="{41785CF8-CA19-4F5A-A053-F01803707247}"/>
    <cellStyle name="Comma 4 5 2 9 2" xfId="45713" xr:uid="{AEA3CF2A-B816-4EA5-8867-B1B33AE84920}"/>
    <cellStyle name="Comma 4 5 3" xfId="605" xr:uid="{6C8AE30A-498E-46E2-85C7-2557198A226C}"/>
    <cellStyle name="Comma 4 5 3 10" xfId="30845" xr:uid="{E42B5B74-7236-47F3-8803-8444B1B3FF28}"/>
    <cellStyle name="Comma 4 5 3 2" xfId="1361" xr:uid="{E0D6EE9A-5D47-4EE9-8A52-3120830D4DBE}"/>
    <cellStyle name="Comma 4 5 3 2 2" xfId="2873" xr:uid="{B074BCDB-8437-477A-861D-3B591A241784}"/>
    <cellStyle name="Comma 4 5 3 2 2 2" xfId="11945" xr:uid="{5E457485-0AC6-4181-A8D8-0CF3EF178924}"/>
    <cellStyle name="Comma 4 5 3 2 2 2 2" xfId="27065" xr:uid="{8DD90BE4-25BD-4EA7-8751-B4EBB8DC960E}"/>
    <cellStyle name="Comma 4 5 3 2 2 2 2 2" xfId="57305" xr:uid="{8E242DC1-F9D0-4C05-AF2D-77E882228C56}"/>
    <cellStyle name="Comma 4 5 3 2 2 2 3" xfId="42185" xr:uid="{49D4823C-66CE-49F9-AB31-603A8D30E9B5}"/>
    <cellStyle name="Comma 4 5 3 2 2 3" xfId="17993" xr:uid="{5DA8D239-066A-40D9-9D9A-A1CD0E881BE2}"/>
    <cellStyle name="Comma 4 5 3 2 2 3 2" xfId="48233" xr:uid="{0A202965-AED8-425F-8C8F-578D5680699B}"/>
    <cellStyle name="Comma 4 5 3 2 2 4" xfId="33113" xr:uid="{F443EF38-5541-46CF-8136-AEBE1741B0FF}"/>
    <cellStyle name="Comma 4 5 3 2 3" xfId="4385" xr:uid="{F3CECFCE-A4DC-47EF-ACF9-AB47310BA666}"/>
    <cellStyle name="Comma 4 5 3 2 3 2" xfId="13457" xr:uid="{BE65C96B-38E7-49B2-B5B6-0EA8AE79085B}"/>
    <cellStyle name="Comma 4 5 3 2 3 2 2" xfId="28577" xr:uid="{326DEECE-DE44-40FF-B92F-B1C6A763373E}"/>
    <cellStyle name="Comma 4 5 3 2 3 2 2 2" xfId="58817" xr:uid="{97E3A6BE-6664-48BD-9997-8DACDC7BDD20}"/>
    <cellStyle name="Comma 4 5 3 2 3 2 3" xfId="43697" xr:uid="{5A5F158C-DAD5-42EB-91C8-D3C9D59AF895}"/>
    <cellStyle name="Comma 4 5 3 2 3 3" xfId="19505" xr:uid="{BBF0D3C8-4BD6-412A-B2DB-E44820C4D513}"/>
    <cellStyle name="Comma 4 5 3 2 3 3 2" xfId="49745" xr:uid="{47FE606A-5A16-44EE-B67B-3107D1A46F4E}"/>
    <cellStyle name="Comma 4 5 3 2 3 4" xfId="34625" xr:uid="{550E2C21-AA5E-434E-9F1F-B9CD5DF2C367}"/>
    <cellStyle name="Comma 4 5 3 2 4" xfId="5897" xr:uid="{7749CCD4-7784-4B58-9078-B5D337A5EAA9}"/>
    <cellStyle name="Comma 4 5 3 2 4 2" xfId="14969" xr:uid="{FE3426BB-D561-4904-A734-AD2760D9E44B}"/>
    <cellStyle name="Comma 4 5 3 2 4 2 2" xfId="30089" xr:uid="{EBACE6EE-416A-44F1-A446-C9490EAEDA93}"/>
    <cellStyle name="Comma 4 5 3 2 4 2 2 2" xfId="60329" xr:uid="{C5F514B4-E9BC-48EA-9841-2EDE042511CB}"/>
    <cellStyle name="Comma 4 5 3 2 4 2 3" xfId="45209" xr:uid="{A21F6BA9-9FBF-4C25-AB79-AE2893690736}"/>
    <cellStyle name="Comma 4 5 3 2 4 3" xfId="21017" xr:uid="{FDD391BC-2EDB-4B53-B1ED-FA04C359F565}"/>
    <cellStyle name="Comma 4 5 3 2 4 3 2" xfId="51257" xr:uid="{755E0546-E317-4D5C-B70A-607C332FF19F}"/>
    <cellStyle name="Comma 4 5 3 2 4 4" xfId="36137" xr:uid="{23788881-0E4A-4FED-8D63-E7EC802500D8}"/>
    <cellStyle name="Comma 4 5 3 2 5" xfId="7409" xr:uid="{BD9D2B08-BAFC-4F5E-BBFE-EF0FB8AE5C19}"/>
    <cellStyle name="Comma 4 5 3 2 5 2" xfId="22529" xr:uid="{0EF18D93-AC34-4A7F-AA36-F2558595AB8F}"/>
    <cellStyle name="Comma 4 5 3 2 5 2 2" xfId="52769" xr:uid="{189F6AF5-7E49-4991-AC97-24884AB7CE63}"/>
    <cellStyle name="Comma 4 5 3 2 5 3" xfId="37649" xr:uid="{FB8BD967-693E-41E4-B500-17BD0AE96FD9}"/>
    <cellStyle name="Comma 4 5 3 2 6" xfId="8921" xr:uid="{2B7E1C74-9A1E-4F0E-B2C7-333A53B7C806}"/>
    <cellStyle name="Comma 4 5 3 2 6 2" xfId="24041" xr:uid="{C40FEF6B-EC4F-477A-8937-730DB002F4D4}"/>
    <cellStyle name="Comma 4 5 3 2 6 2 2" xfId="54281" xr:uid="{710E2095-6253-4A68-B037-2FE5BCEFD77E}"/>
    <cellStyle name="Comma 4 5 3 2 6 3" xfId="39161" xr:uid="{D69495DB-40C2-4B23-A8D4-8707AAB777FE}"/>
    <cellStyle name="Comma 4 5 3 2 7" xfId="10433" xr:uid="{14E112CB-7278-4E4C-85B9-575789CC6A7D}"/>
    <cellStyle name="Comma 4 5 3 2 7 2" xfId="25553" xr:uid="{7DD4F029-D5F4-4B87-AC8F-79A25315A196}"/>
    <cellStyle name="Comma 4 5 3 2 7 2 2" xfId="55793" xr:uid="{D4E3B14A-7FA2-4EBE-A1D9-BB3C88218B00}"/>
    <cellStyle name="Comma 4 5 3 2 7 3" xfId="40673" xr:uid="{4D987775-FC6B-49F0-A503-81046ED60EEE}"/>
    <cellStyle name="Comma 4 5 3 2 8" xfId="16481" xr:uid="{56DFAA05-DD14-4C0B-ADC6-6DF4AED8B70E}"/>
    <cellStyle name="Comma 4 5 3 2 8 2" xfId="46721" xr:uid="{8D1ADD81-C219-4E22-B657-F16515064443}"/>
    <cellStyle name="Comma 4 5 3 2 9" xfId="31601" xr:uid="{5563D4BE-63C6-4269-910A-BC0B597CEC54}"/>
    <cellStyle name="Comma 4 5 3 3" xfId="2117" xr:uid="{23A30B7A-B8E8-4A92-A076-0239EFC73D65}"/>
    <cellStyle name="Comma 4 5 3 3 2" xfId="11189" xr:uid="{D7580BDE-AB42-4822-86F9-C48059ED3644}"/>
    <cellStyle name="Comma 4 5 3 3 2 2" xfId="26309" xr:uid="{43B500AB-A90E-42FF-B2F4-935CD5A302EC}"/>
    <cellStyle name="Comma 4 5 3 3 2 2 2" xfId="56549" xr:uid="{8681B67F-8A72-4955-92AF-B054F75F5B5B}"/>
    <cellStyle name="Comma 4 5 3 3 2 3" xfId="41429" xr:uid="{2B05501D-64CE-4361-AB05-10B3B19D09D5}"/>
    <cellStyle name="Comma 4 5 3 3 3" xfId="17237" xr:uid="{895DEA78-2863-46D5-AE0D-C685AFF33503}"/>
    <cellStyle name="Comma 4 5 3 3 3 2" xfId="47477" xr:uid="{37895702-E22F-4611-A294-FAE71757AEE0}"/>
    <cellStyle name="Comma 4 5 3 3 4" xfId="32357" xr:uid="{6E8F74AD-C9AF-4F2A-9743-64536B057E54}"/>
    <cellStyle name="Comma 4 5 3 4" xfId="3629" xr:uid="{596E4393-F6C2-4853-ACE9-2100B030CD8D}"/>
    <cellStyle name="Comma 4 5 3 4 2" xfId="12701" xr:uid="{41B935F5-B9C3-4C2B-9E09-8298CFF2017C}"/>
    <cellStyle name="Comma 4 5 3 4 2 2" xfId="27821" xr:uid="{A483477D-0F6B-4015-B07B-564021E0A8C7}"/>
    <cellStyle name="Comma 4 5 3 4 2 2 2" xfId="58061" xr:uid="{2E2C469E-2343-4D46-A1FA-CED3C1830170}"/>
    <cellStyle name="Comma 4 5 3 4 2 3" xfId="42941" xr:uid="{BD29B8B2-F125-4649-B3D8-3F653C2F89CB}"/>
    <cellStyle name="Comma 4 5 3 4 3" xfId="18749" xr:uid="{A5C5D04A-97F1-46B3-B078-81581E0EAF3D}"/>
    <cellStyle name="Comma 4 5 3 4 3 2" xfId="48989" xr:uid="{99015DDC-D07C-4BD2-A18B-193A54E46736}"/>
    <cellStyle name="Comma 4 5 3 4 4" xfId="33869" xr:uid="{E78DBEC7-FDC2-47C0-B13F-ECD395F5A5D0}"/>
    <cellStyle name="Comma 4 5 3 5" xfId="5141" xr:uid="{B4C9D363-9FAE-4DC0-A3EB-AE193317427E}"/>
    <cellStyle name="Comma 4 5 3 5 2" xfId="14213" xr:uid="{28C049DB-4AAB-4662-8217-6F0A600845E5}"/>
    <cellStyle name="Comma 4 5 3 5 2 2" xfId="29333" xr:uid="{5F6BDA25-DED5-49AE-B292-85D426359542}"/>
    <cellStyle name="Comma 4 5 3 5 2 2 2" xfId="59573" xr:uid="{8EA8AFBF-752A-4F5F-B8DD-9DC2E07E4F61}"/>
    <cellStyle name="Comma 4 5 3 5 2 3" xfId="44453" xr:uid="{0CC374EF-1AC7-4D03-B4A3-C2D990514ADB}"/>
    <cellStyle name="Comma 4 5 3 5 3" xfId="20261" xr:uid="{900A7D14-6C9E-4BAC-A62C-8C50978BF26D}"/>
    <cellStyle name="Comma 4 5 3 5 3 2" xfId="50501" xr:uid="{87092606-BB63-4C08-B029-733FEA296BC7}"/>
    <cellStyle name="Comma 4 5 3 5 4" xfId="35381" xr:uid="{F3CF0379-54E4-4232-93F0-65688D489327}"/>
    <cellStyle name="Comma 4 5 3 6" xfId="6653" xr:uid="{E1019EBE-B4EC-40E3-BD59-BFFC6BEF5139}"/>
    <cellStyle name="Comma 4 5 3 6 2" xfId="21773" xr:uid="{84E14A8D-1E85-45F6-8B07-A13D5AAAB081}"/>
    <cellStyle name="Comma 4 5 3 6 2 2" xfId="52013" xr:uid="{C262F7CF-C262-446C-B90E-0E8AB8CEB570}"/>
    <cellStyle name="Comma 4 5 3 6 3" xfId="36893" xr:uid="{C765DADF-ACF4-4A7B-8BC9-FCF93A033085}"/>
    <cellStyle name="Comma 4 5 3 7" xfId="8165" xr:uid="{CEFF0827-A2AE-43C5-8E63-0A5B6C8DA3C3}"/>
    <cellStyle name="Comma 4 5 3 7 2" xfId="23285" xr:uid="{07A73280-68F2-4FF1-82F9-3CB69B880A42}"/>
    <cellStyle name="Comma 4 5 3 7 2 2" xfId="53525" xr:uid="{7A867DDF-2564-4D68-8129-5EF69A41A08A}"/>
    <cellStyle name="Comma 4 5 3 7 3" xfId="38405" xr:uid="{77371F39-5866-44A1-8F41-B34C3C8F0EC7}"/>
    <cellStyle name="Comma 4 5 3 8" xfId="9677" xr:uid="{954BED63-A8D8-4838-9982-217E0CDD65BB}"/>
    <cellStyle name="Comma 4 5 3 8 2" xfId="24797" xr:uid="{13D081AC-1E8B-4639-B1C4-E47D013477D0}"/>
    <cellStyle name="Comma 4 5 3 8 2 2" xfId="55037" xr:uid="{E7182D4E-784E-40C5-A0EA-D71BA65B6AF5}"/>
    <cellStyle name="Comma 4 5 3 8 3" xfId="39917" xr:uid="{EB808DA3-2F94-446E-9598-B06FD78B1129}"/>
    <cellStyle name="Comma 4 5 3 9" xfId="15725" xr:uid="{B5F9B19F-182D-4733-8DD9-E053C16B375F}"/>
    <cellStyle name="Comma 4 5 3 9 2" xfId="45965" xr:uid="{EBD3C1B3-3323-495C-93CC-B98ACDACF9A2}"/>
    <cellStyle name="Comma 4 5 4" xfId="857" xr:uid="{0521BC2E-8ADA-4A86-B64D-247D229481AF}"/>
    <cellStyle name="Comma 4 5 4 2" xfId="2369" xr:uid="{3B2766EB-9EE3-47C5-B742-8402727AB57B}"/>
    <cellStyle name="Comma 4 5 4 2 2" xfId="11441" xr:uid="{7E491F25-3EA9-4A68-8E23-E1AC86B964A1}"/>
    <cellStyle name="Comma 4 5 4 2 2 2" xfId="26561" xr:uid="{B4A3FFC2-1A03-489A-AA6D-2B306BD91A8E}"/>
    <cellStyle name="Comma 4 5 4 2 2 2 2" xfId="56801" xr:uid="{C39884AD-B7C2-4046-887A-2F07666451C8}"/>
    <cellStyle name="Comma 4 5 4 2 2 3" xfId="41681" xr:uid="{38F57806-8493-4DFE-BAC7-F4CC78FE0A9A}"/>
    <cellStyle name="Comma 4 5 4 2 3" xfId="17489" xr:uid="{B31B4B59-862C-448D-9271-DC5475D07E95}"/>
    <cellStyle name="Comma 4 5 4 2 3 2" xfId="47729" xr:uid="{114603ED-9AE0-4259-855B-A9471ADF3BF0}"/>
    <cellStyle name="Comma 4 5 4 2 4" xfId="32609" xr:uid="{FD2E31DA-8079-4495-BEC0-8850A51E9166}"/>
    <cellStyle name="Comma 4 5 4 3" xfId="3881" xr:uid="{E19CC51B-27DF-4E01-883D-14D7BF1B3D48}"/>
    <cellStyle name="Comma 4 5 4 3 2" xfId="12953" xr:uid="{9C525837-5C68-45AF-89DA-5799E3D77338}"/>
    <cellStyle name="Comma 4 5 4 3 2 2" xfId="28073" xr:uid="{E0D13A74-B583-4A6F-8616-65DBA9695641}"/>
    <cellStyle name="Comma 4 5 4 3 2 2 2" xfId="58313" xr:uid="{57E1EF45-4070-4120-B2CA-EA356AC1A83B}"/>
    <cellStyle name="Comma 4 5 4 3 2 3" xfId="43193" xr:uid="{2C9B0C0A-0A7C-4FFE-8B2D-BF739A57CDC8}"/>
    <cellStyle name="Comma 4 5 4 3 3" xfId="19001" xr:uid="{5688333B-837D-4C6B-AAE8-D3AEC363E353}"/>
    <cellStyle name="Comma 4 5 4 3 3 2" xfId="49241" xr:uid="{9799A8C4-6349-466D-ACAF-9D198D167BC5}"/>
    <cellStyle name="Comma 4 5 4 3 4" xfId="34121" xr:uid="{9EE9669F-CE81-4BDA-B6D0-2068B7678EF1}"/>
    <cellStyle name="Comma 4 5 4 4" xfId="5393" xr:uid="{FE952B3E-3187-4AC9-838F-73CB3F12CCFA}"/>
    <cellStyle name="Comma 4 5 4 4 2" xfId="14465" xr:uid="{0CDB28E8-019F-487A-98CC-1999E53FF672}"/>
    <cellStyle name="Comma 4 5 4 4 2 2" xfId="29585" xr:uid="{9799A816-CAE5-4AFD-AFE5-4760854BFFB6}"/>
    <cellStyle name="Comma 4 5 4 4 2 2 2" xfId="59825" xr:uid="{95D2AB85-F47C-49EF-B546-56FB55F935A2}"/>
    <cellStyle name="Comma 4 5 4 4 2 3" xfId="44705" xr:uid="{604B5880-723E-4F71-BA8F-32EA70FAFDAD}"/>
    <cellStyle name="Comma 4 5 4 4 3" xfId="20513" xr:uid="{32D26AB5-5021-4EC1-A3E7-47CAC9ACA937}"/>
    <cellStyle name="Comma 4 5 4 4 3 2" xfId="50753" xr:uid="{51CE821B-81BC-4644-9687-5C48F0139484}"/>
    <cellStyle name="Comma 4 5 4 4 4" xfId="35633" xr:uid="{88B915D0-B777-4ED2-A203-FC2E131DFBA4}"/>
    <cellStyle name="Comma 4 5 4 5" xfId="6905" xr:uid="{831BFB1A-8572-4323-9391-F74E4CBB2BBF}"/>
    <cellStyle name="Comma 4 5 4 5 2" xfId="22025" xr:uid="{BF99A06A-951A-4379-AEC4-C7FE068165C0}"/>
    <cellStyle name="Comma 4 5 4 5 2 2" xfId="52265" xr:uid="{483F6534-6505-45CE-9562-0A60485EB8FE}"/>
    <cellStyle name="Comma 4 5 4 5 3" xfId="37145" xr:uid="{742ED6FA-1583-4839-95CA-E57788DE0B1F}"/>
    <cellStyle name="Comma 4 5 4 6" xfId="8417" xr:uid="{FC4C7D2F-725F-4D7E-9734-AFAC1A8CB673}"/>
    <cellStyle name="Comma 4 5 4 6 2" xfId="23537" xr:uid="{35B270F2-0490-4A2E-8E1E-2CECEDC04F7D}"/>
    <cellStyle name="Comma 4 5 4 6 2 2" xfId="53777" xr:uid="{0E4D6DBE-ABFA-4A8F-8500-5C0082952A82}"/>
    <cellStyle name="Comma 4 5 4 6 3" xfId="38657" xr:uid="{9FEBAE75-E81C-4C65-97DD-CE0FE7EF1E4F}"/>
    <cellStyle name="Comma 4 5 4 7" xfId="9929" xr:uid="{6E20F809-808D-49AE-A8A1-32F9D3511F86}"/>
    <cellStyle name="Comma 4 5 4 7 2" xfId="25049" xr:uid="{AD997C6B-D69A-44A7-90E4-57B7FC70C734}"/>
    <cellStyle name="Comma 4 5 4 7 2 2" xfId="55289" xr:uid="{DFC7F4BB-AB18-45C4-A501-A1C21B03540B}"/>
    <cellStyle name="Comma 4 5 4 7 3" xfId="40169" xr:uid="{25558365-C713-4940-AAD2-22DCEF87502B}"/>
    <cellStyle name="Comma 4 5 4 8" xfId="15977" xr:uid="{C17347CE-9596-430E-BE39-1A78CBE0A4B6}"/>
    <cellStyle name="Comma 4 5 4 8 2" xfId="46217" xr:uid="{D1781708-984A-4901-9976-9F3DC3E88092}"/>
    <cellStyle name="Comma 4 5 4 9" xfId="31097" xr:uid="{3D10DE07-2A29-4D5D-A56C-E4E5ED2A2B8B}"/>
    <cellStyle name="Comma 4 5 5" xfId="1613" xr:uid="{4DAB683D-0D65-4620-AF65-ACF3E7D770D5}"/>
    <cellStyle name="Comma 4 5 5 2" xfId="10685" xr:uid="{0694AD10-2BBD-43BF-A016-1DAD3B3AE25F}"/>
    <cellStyle name="Comma 4 5 5 2 2" xfId="25805" xr:uid="{9C5BF6A8-A75B-4374-8A4D-C3EC5ABACC23}"/>
    <cellStyle name="Comma 4 5 5 2 2 2" xfId="56045" xr:uid="{8494855B-CF14-4B06-A4FD-2F487815EFF2}"/>
    <cellStyle name="Comma 4 5 5 2 3" xfId="40925" xr:uid="{45662986-C6AC-4AE8-A023-12F8909DB0B6}"/>
    <cellStyle name="Comma 4 5 5 3" xfId="16733" xr:uid="{D59E7330-7299-4078-B223-87632F24F01C}"/>
    <cellStyle name="Comma 4 5 5 3 2" xfId="46973" xr:uid="{692BDBD7-CFDC-46D3-B758-288B723A21D4}"/>
    <cellStyle name="Comma 4 5 5 4" xfId="31853" xr:uid="{7E9CA99E-1449-40A4-B449-046F75B564C3}"/>
    <cellStyle name="Comma 4 5 6" xfId="3125" xr:uid="{14131F2C-73B1-4CDE-A2BF-4579AFAB0DF6}"/>
    <cellStyle name="Comma 4 5 6 2" xfId="12197" xr:uid="{7C29AC32-DD8C-4BA4-A9D1-033612D3900E}"/>
    <cellStyle name="Comma 4 5 6 2 2" xfId="27317" xr:uid="{27C96E95-499B-4625-9002-D12AAB04B1A0}"/>
    <cellStyle name="Comma 4 5 6 2 2 2" xfId="57557" xr:uid="{37AABBD0-0FDA-45DA-99CF-974119D20672}"/>
    <cellStyle name="Comma 4 5 6 2 3" xfId="42437" xr:uid="{B604A4E1-9930-44B5-AE3E-238359AB7B8B}"/>
    <cellStyle name="Comma 4 5 6 3" xfId="18245" xr:uid="{50646382-6A74-46B3-8AA8-FA0FDDCF4EB2}"/>
    <cellStyle name="Comma 4 5 6 3 2" xfId="48485" xr:uid="{D23EF908-52FB-44DF-BDB8-F9A0967F0915}"/>
    <cellStyle name="Comma 4 5 6 4" xfId="33365" xr:uid="{CE33AF16-706C-472F-81FA-13913151BD82}"/>
    <cellStyle name="Comma 4 5 7" xfId="4637" xr:uid="{B24E4A12-E7FF-476C-A777-B735ECFDDB67}"/>
    <cellStyle name="Comma 4 5 7 2" xfId="13709" xr:uid="{53E604CC-6D23-427D-AF2E-2B90580716A4}"/>
    <cellStyle name="Comma 4 5 7 2 2" xfId="28829" xr:uid="{14DE7D52-6256-4022-A9D8-409D96004FE2}"/>
    <cellStyle name="Comma 4 5 7 2 2 2" xfId="59069" xr:uid="{ED688AA2-6EA4-4D53-A6CA-B4D39DA50A17}"/>
    <cellStyle name="Comma 4 5 7 2 3" xfId="43949" xr:uid="{00E19BB9-238A-402D-8B82-E2FF993EFC7B}"/>
    <cellStyle name="Comma 4 5 7 3" xfId="19757" xr:uid="{1C3A247C-71F6-442C-A957-8506D5810290}"/>
    <cellStyle name="Comma 4 5 7 3 2" xfId="49997" xr:uid="{7F74E484-8CEE-4F24-84D2-B777C6341320}"/>
    <cellStyle name="Comma 4 5 7 4" xfId="34877" xr:uid="{B73CF492-9970-4D40-9C78-F13DCD1B776A}"/>
    <cellStyle name="Comma 4 5 8" xfId="6149" xr:uid="{8CF5C117-2F9E-48C0-915D-F708F7F16435}"/>
    <cellStyle name="Comma 4 5 8 2" xfId="21269" xr:uid="{E0CD91EF-1498-43E0-8D32-97D7466EF4B6}"/>
    <cellStyle name="Comma 4 5 8 2 2" xfId="51509" xr:uid="{31F874E1-DDBF-4E4F-A8F1-F5DF955D9B42}"/>
    <cellStyle name="Comma 4 5 8 3" xfId="36389" xr:uid="{2DFB3EF1-C30E-4C6A-922A-74FD71C7F7F5}"/>
    <cellStyle name="Comma 4 5 9" xfId="7661" xr:uid="{891ED147-F28D-4F1D-BD27-6822C5E6E372}"/>
    <cellStyle name="Comma 4 5 9 2" xfId="22781" xr:uid="{02A4FACC-50BC-4AC9-B53B-0CDEE18C7910}"/>
    <cellStyle name="Comma 4 5 9 2 2" xfId="53021" xr:uid="{19189066-3EFA-4B7B-8C60-3A48727F284E}"/>
    <cellStyle name="Comma 4 5 9 3" xfId="37901" xr:uid="{696A3C0A-808D-415E-B2C8-CFD7A3694F5F}"/>
    <cellStyle name="Comma 4 6" xfId="185" xr:uid="{E004620C-6D9D-46D3-BED1-19F8FB90E84B}"/>
    <cellStyle name="Comma 4 6 10" xfId="9257" xr:uid="{F9E80EE3-867E-4939-B591-D4D0D283EFD9}"/>
    <cellStyle name="Comma 4 6 10 2" xfId="24377" xr:uid="{028B0D81-0A1B-49C2-93D3-2FC4A960D58B}"/>
    <cellStyle name="Comma 4 6 10 2 2" xfId="54617" xr:uid="{652A7D34-F546-4A5E-B68B-B2F1B5AC6230}"/>
    <cellStyle name="Comma 4 6 10 3" xfId="39497" xr:uid="{DA0F8EF7-6FB4-4803-9AF3-86FEDD6EEC8C}"/>
    <cellStyle name="Comma 4 6 11" xfId="15305" xr:uid="{C6F7D696-5993-4B06-8114-70ABDD8C3EB7}"/>
    <cellStyle name="Comma 4 6 11 2" xfId="45545" xr:uid="{FE35708A-F213-4CF6-9831-BC2AEABCAD35}"/>
    <cellStyle name="Comma 4 6 12" xfId="30425" xr:uid="{45962772-A013-48A0-8CC8-852A33852CCD}"/>
    <cellStyle name="Comma 4 6 2" xfId="437" xr:uid="{532E86D5-6069-4BC8-A2CE-6CA90317E69D}"/>
    <cellStyle name="Comma 4 6 2 10" xfId="30677" xr:uid="{CE92A77A-9180-453A-98DC-640F6DFE1C64}"/>
    <cellStyle name="Comma 4 6 2 2" xfId="1193" xr:uid="{51F63CA3-62B1-4062-9E4A-599F36B99E11}"/>
    <cellStyle name="Comma 4 6 2 2 2" xfId="2705" xr:uid="{F33EFA6C-0C0D-4689-B4C7-D77D00730D30}"/>
    <cellStyle name="Comma 4 6 2 2 2 2" xfId="11777" xr:uid="{DED3A284-E4C4-4689-A7B8-4A430AE645E0}"/>
    <cellStyle name="Comma 4 6 2 2 2 2 2" xfId="26897" xr:uid="{5B1793FE-4CDB-4ABD-A2B1-7133041B9C7F}"/>
    <cellStyle name="Comma 4 6 2 2 2 2 2 2" xfId="57137" xr:uid="{041A30A7-A6A8-45E2-8F62-3575FA5F4E83}"/>
    <cellStyle name="Comma 4 6 2 2 2 2 3" xfId="42017" xr:uid="{97E89507-8F80-47A5-9215-02686EDBCEE7}"/>
    <cellStyle name="Comma 4 6 2 2 2 3" xfId="17825" xr:uid="{FEDC67CB-19F5-42F3-90D5-26FB5BC065CD}"/>
    <cellStyle name="Comma 4 6 2 2 2 3 2" xfId="48065" xr:uid="{734E1C73-45AF-4659-90D3-905CC68F7EFF}"/>
    <cellStyle name="Comma 4 6 2 2 2 4" xfId="32945" xr:uid="{A6DE47F1-EEEF-4E99-89EA-F1E6EC6AE815}"/>
    <cellStyle name="Comma 4 6 2 2 3" xfId="4217" xr:uid="{1F56F64C-C685-4E9E-9F13-AFAE511D1DED}"/>
    <cellStyle name="Comma 4 6 2 2 3 2" xfId="13289" xr:uid="{6714153D-37C7-4949-AA6D-C622C5BFAE79}"/>
    <cellStyle name="Comma 4 6 2 2 3 2 2" xfId="28409" xr:uid="{DF787478-CC7E-4E60-81BF-EE0325659C04}"/>
    <cellStyle name="Comma 4 6 2 2 3 2 2 2" xfId="58649" xr:uid="{5E30DBBA-96E1-4885-B4D9-76687270A19D}"/>
    <cellStyle name="Comma 4 6 2 2 3 2 3" xfId="43529" xr:uid="{519E0158-C0F6-47A2-8340-5BF0DE5DD80F}"/>
    <cellStyle name="Comma 4 6 2 2 3 3" xfId="19337" xr:uid="{A4E12518-7049-4A1D-BEE1-F97F44532871}"/>
    <cellStyle name="Comma 4 6 2 2 3 3 2" xfId="49577" xr:uid="{900CF9A4-2B50-4CFD-A4E6-985F1A367BA5}"/>
    <cellStyle name="Comma 4 6 2 2 3 4" xfId="34457" xr:uid="{1F32042A-7835-4392-8F3A-9BAFF8D6C405}"/>
    <cellStyle name="Comma 4 6 2 2 4" xfId="5729" xr:uid="{762DE656-B8D0-4255-9F28-10241AFBF243}"/>
    <cellStyle name="Comma 4 6 2 2 4 2" xfId="14801" xr:uid="{3311A334-C3C1-4A03-A555-D2CFFBBFF089}"/>
    <cellStyle name="Comma 4 6 2 2 4 2 2" xfId="29921" xr:uid="{E4237675-9AA6-4987-80D7-22F966668090}"/>
    <cellStyle name="Comma 4 6 2 2 4 2 2 2" xfId="60161" xr:uid="{A65E26D0-1238-436A-A05F-7B20C6136CAD}"/>
    <cellStyle name="Comma 4 6 2 2 4 2 3" xfId="45041" xr:uid="{EAC1D7FE-B252-4792-AB78-47B150F9D057}"/>
    <cellStyle name="Comma 4 6 2 2 4 3" xfId="20849" xr:uid="{AC7E3E0E-52BD-4153-93D0-5E1997EB1F08}"/>
    <cellStyle name="Comma 4 6 2 2 4 3 2" xfId="51089" xr:uid="{DC6DA61C-3022-412A-A8AB-CE7903E81014}"/>
    <cellStyle name="Comma 4 6 2 2 4 4" xfId="35969" xr:uid="{EC55D5EF-4DBC-4802-8307-24BAA33EB817}"/>
    <cellStyle name="Comma 4 6 2 2 5" xfId="7241" xr:uid="{81D8BB7E-26D5-452F-888F-2B960F4D81FC}"/>
    <cellStyle name="Comma 4 6 2 2 5 2" xfId="22361" xr:uid="{86E77461-108C-4297-963C-6990743E5E09}"/>
    <cellStyle name="Comma 4 6 2 2 5 2 2" xfId="52601" xr:uid="{CEACA850-1E56-4B3D-80F3-037D889B06C2}"/>
    <cellStyle name="Comma 4 6 2 2 5 3" xfId="37481" xr:uid="{2B33DC13-A12D-4B3C-9AE0-352D34A18334}"/>
    <cellStyle name="Comma 4 6 2 2 6" xfId="8753" xr:uid="{2C8C0FFA-1960-4B11-BB1F-860490A8A931}"/>
    <cellStyle name="Comma 4 6 2 2 6 2" xfId="23873" xr:uid="{03425A55-6299-47E3-AD61-E93BF24DAD0E}"/>
    <cellStyle name="Comma 4 6 2 2 6 2 2" xfId="54113" xr:uid="{ABE1D1E7-12F2-4836-A3EC-BB0E4C4D4F73}"/>
    <cellStyle name="Comma 4 6 2 2 6 3" xfId="38993" xr:uid="{F2C973EF-B6F5-4644-8A2C-31E2281E7654}"/>
    <cellStyle name="Comma 4 6 2 2 7" xfId="10265" xr:uid="{F427C956-CB3E-4D0E-9CB6-E17FC6DCAB0E}"/>
    <cellStyle name="Comma 4 6 2 2 7 2" xfId="25385" xr:uid="{34687C5A-E4B8-4130-BA91-6305D8DBE4C3}"/>
    <cellStyle name="Comma 4 6 2 2 7 2 2" xfId="55625" xr:uid="{31749EF8-879C-41B7-8CFB-064554715DE2}"/>
    <cellStyle name="Comma 4 6 2 2 7 3" xfId="40505" xr:uid="{B96FDEE2-6D4E-4006-B21D-CFF136BAE735}"/>
    <cellStyle name="Comma 4 6 2 2 8" xfId="16313" xr:uid="{25B88B6D-B33F-4E47-9F52-0A24F7912E79}"/>
    <cellStyle name="Comma 4 6 2 2 8 2" xfId="46553" xr:uid="{95626FC1-2ABF-4E45-967A-24E5DF531DDB}"/>
    <cellStyle name="Comma 4 6 2 2 9" xfId="31433" xr:uid="{9C438180-D9E5-4D73-8CCA-2C278E557F27}"/>
    <cellStyle name="Comma 4 6 2 3" xfId="1949" xr:uid="{2827903F-FB25-4F05-A4D7-750206B32F39}"/>
    <cellStyle name="Comma 4 6 2 3 2" xfId="11021" xr:uid="{2660C638-9AD0-4599-AE7D-84EB8B232015}"/>
    <cellStyle name="Comma 4 6 2 3 2 2" xfId="26141" xr:uid="{63520C30-7EB3-4DFF-9CF2-BBE81ED530B1}"/>
    <cellStyle name="Comma 4 6 2 3 2 2 2" xfId="56381" xr:uid="{592A249B-49CA-4426-A80F-BCF10811D64F}"/>
    <cellStyle name="Comma 4 6 2 3 2 3" xfId="41261" xr:uid="{DD1BFF88-5706-4E3E-A84D-1CF681DA2DA7}"/>
    <cellStyle name="Comma 4 6 2 3 3" xfId="17069" xr:uid="{3A5119A1-E0C7-45A8-A0AD-33E78C769EB8}"/>
    <cellStyle name="Comma 4 6 2 3 3 2" xfId="47309" xr:uid="{363B73DF-6081-4830-9634-785AEEE532E0}"/>
    <cellStyle name="Comma 4 6 2 3 4" xfId="32189" xr:uid="{AED49773-3F6B-4564-9062-8C575E95030E}"/>
    <cellStyle name="Comma 4 6 2 4" xfId="3461" xr:uid="{A27E467D-8AB1-490B-929D-9FDF4708E7EA}"/>
    <cellStyle name="Comma 4 6 2 4 2" xfId="12533" xr:uid="{C2E92F04-04C5-47D3-B036-0E4BAF1E5EF0}"/>
    <cellStyle name="Comma 4 6 2 4 2 2" xfId="27653" xr:uid="{600C5561-93D5-4166-874D-E7887F686F19}"/>
    <cellStyle name="Comma 4 6 2 4 2 2 2" xfId="57893" xr:uid="{F1064B9B-6672-437D-BE04-A048BAC45FC4}"/>
    <cellStyle name="Comma 4 6 2 4 2 3" xfId="42773" xr:uid="{0D3803C2-BB5B-4E0A-A5F4-3BF0036509CC}"/>
    <cellStyle name="Comma 4 6 2 4 3" xfId="18581" xr:uid="{F8C0D45B-5D5B-4F67-926B-87FBE0C56EC7}"/>
    <cellStyle name="Comma 4 6 2 4 3 2" xfId="48821" xr:uid="{22FF9328-683B-45BC-87C9-CCEA037FF4B5}"/>
    <cellStyle name="Comma 4 6 2 4 4" xfId="33701" xr:uid="{A5A97A9E-E806-4463-86C5-1F0F7B3C247A}"/>
    <cellStyle name="Comma 4 6 2 5" xfId="4973" xr:uid="{AC90AFD8-F7B7-4C92-A0D2-4AD1241FE1AB}"/>
    <cellStyle name="Comma 4 6 2 5 2" xfId="14045" xr:uid="{CFF25CFB-DA07-4B6A-8C2D-8E78C7D8CFB9}"/>
    <cellStyle name="Comma 4 6 2 5 2 2" xfId="29165" xr:uid="{71C44CD8-7EDD-42DD-8670-2A72D3C5765D}"/>
    <cellStyle name="Comma 4 6 2 5 2 2 2" xfId="59405" xr:uid="{31BF5DB4-6CA2-44BF-8D45-FBFE27D06656}"/>
    <cellStyle name="Comma 4 6 2 5 2 3" xfId="44285" xr:uid="{3186BA7D-3400-4042-9E91-4FE1E2DC0EC2}"/>
    <cellStyle name="Comma 4 6 2 5 3" xfId="20093" xr:uid="{6623A806-ECD6-49C7-B322-3BA728A75DBE}"/>
    <cellStyle name="Comma 4 6 2 5 3 2" xfId="50333" xr:uid="{DF465683-D23E-4879-9798-F92F357FEAC7}"/>
    <cellStyle name="Comma 4 6 2 5 4" xfId="35213" xr:uid="{3125A6E8-315C-4D28-AFCC-A49EAE433E4E}"/>
    <cellStyle name="Comma 4 6 2 6" xfId="6485" xr:uid="{DC1C6EA7-C30D-41B3-8BB9-2DA51407D1BC}"/>
    <cellStyle name="Comma 4 6 2 6 2" xfId="21605" xr:uid="{A6E53039-D342-4A61-8AF3-1606FE0C2ADB}"/>
    <cellStyle name="Comma 4 6 2 6 2 2" xfId="51845" xr:uid="{9DE2766F-604C-45E0-991A-9DE53CD4681B}"/>
    <cellStyle name="Comma 4 6 2 6 3" xfId="36725" xr:uid="{7E091E40-7B4C-4B39-AAB6-8EB10271B10B}"/>
    <cellStyle name="Comma 4 6 2 7" xfId="7997" xr:uid="{B4419319-931E-43F9-B80F-E1345BC76080}"/>
    <cellStyle name="Comma 4 6 2 7 2" xfId="23117" xr:uid="{AC394A90-CD5C-4F96-9F59-310FD7255552}"/>
    <cellStyle name="Comma 4 6 2 7 2 2" xfId="53357" xr:uid="{6C8F9A98-0A17-4764-AC37-62CE34B0D2FD}"/>
    <cellStyle name="Comma 4 6 2 7 3" xfId="38237" xr:uid="{20A036D7-93DA-47CA-AC26-382CC6F71420}"/>
    <cellStyle name="Comma 4 6 2 8" xfId="9509" xr:uid="{C239FCCC-53BA-454E-A484-333C39E181E5}"/>
    <cellStyle name="Comma 4 6 2 8 2" xfId="24629" xr:uid="{02E95B25-874A-4C22-B5D1-C1505FE1E605}"/>
    <cellStyle name="Comma 4 6 2 8 2 2" xfId="54869" xr:uid="{55B19A92-34C8-47A0-A77E-68FCAE383BDB}"/>
    <cellStyle name="Comma 4 6 2 8 3" xfId="39749" xr:uid="{2544F7A8-B1AA-4BF3-A9E6-8456088E35A0}"/>
    <cellStyle name="Comma 4 6 2 9" xfId="15557" xr:uid="{4D35D464-01C0-49A9-BD20-8B6044C6F33A}"/>
    <cellStyle name="Comma 4 6 2 9 2" xfId="45797" xr:uid="{D67C7077-2FFB-4588-973E-8E852E68A2D9}"/>
    <cellStyle name="Comma 4 6 3" xfId="689" xr:uid="{71745E18-F2FE-4F39-8BCC-07BAD673F361}"/>
    <cellStyle name="Comma 4 6 3 10" xfId="30929" xr:uid="{880CAAFF-0283-4237-93CC-0FA7C39CD538}"/>
    <cellStyle name="Comma 4 6 3 2" xfId="1445" xr:uid="{AB8A27BC-89CD-4518-B4A5-302DD2952BE5}"/>
    <cellStyle name="Comma 4 6 3 2 2" xfId="2957" xr:uid="{E1F01B58-AD31-442B-AE9F-542B6ECF5F6F}"/>
    <cellStyle name="Comma 4 6 3 2 2 2" xfId="12029" xr:uid="{37E6B315-7D97-44EA-A5F4-E8E0FD82F741}"/>
    <cellStyle name="Comma 4 6 3 2 2 2 2" xfId="27149" xr:uid="{A1753286-748E-4A09-BEB8-3C6D02ECE061}"/>
    <cellStyle name="Comma 4 6 3 2 2 2 2 2" xfId="57389" xr:uid="{21F69214-1CB0-4A4F-8FD1-5496E57CEA09}"/>
    <cellStyle name="Comma 4 6 3 2 2 2 3" xfId="42269" xr:uid="{1449275D-6E23-4BFF-82E7-5CB07A422B94}"/>
    <cellStyle name="Comma 4 6 3 2 2 3" xfId="18077" xr:uid="{7C6413AE-D735-460D-8CE4-E746CF4436BB}"/>
    <cellStyle name="Comma 4 6 3 2 2 3 2" xfId="48317" xr:uid="{2025A66F-2E86-48B1-9DA5-27DD65769695}"/>
    <cellStyle name="Comma 4 6 3 2 2 4" xfId="33197" xr:uid="{42EC6ADA-5FB7-48F5-9090-C654A5D43BB9}"/>
    <cellStyle name="Comma 4 6 3 2 3" xfId="4469" xr:uid="{911BA231-1F56-4831-BD7C-6706506A9B83}"/>
    <cellStyle name="Comma 4 6 3 2 3 2" xfId="13541" xr:uid="{9F480315-7BD4-417E-9038-ABBD48B55503}"/>
    <cellStyle name="Comma 4 6 3 2 3 2 2" xfId="28661" xr:uid="{37D8AF90-EC14-46EA-8963-22199E7DCF6E}"/>
    <cellStyle name="Comma 4 6 3 2 3 2 2 2" xfId="58901" xr:uid="{9CCC8E2E-1106-4F80-8CEB-9EADB973D7AB}"/>
    <cellStyle name="Comma 4 6 3 2 3 2 3" xfId="43781" xr:uid="{05246C63-B0AE-4322-B58A-9FAA48C9E817}"/>
    <cellStyle name="Comma 4 6 3 2 3 3" xfId="19589" xr:uid="{432181CC-1759-425F-AA8D-3B859C205661}"/>
    <cellStyle name="Comma 4 6 3 2 3 3 2" xfId="49829" xr:uid="{266E27A1-9DD2-40BD-B24A-AC5B705AC7A0}"/>
    <cellStyle name="Comma 4 6 3 2 3 4" xfId="34709" xr:uid="{004A9213-9202-4FCA-A98C-3CD831302213}"/>
    <cellStyle name="Comma 4 6 3 2 4" xfId="5981" xr:uid="{1784E32A-A2F7-4782-AAAA-BEC9A36765EF}"/>
    <cellStyle name="Comma 4 6 3 2 4 2" xfId="15053" xr:uid="{6ABA9038-C608-44E6-92C5-A3C6066B8C50}"/>
    <cellStyle name="Comma 4 6 3 2 4 2 2" xfId="30173" xr:uid="{78AE4057-53A3-4D5B-B137-2A82AE832F6E}"/>
    <cellStyle name="Comma 4 6 3 2 4 2 2 2" xfId="60413" xr:uid="{EC456E19-3F0E-415A-8809-CECE28652B8A}"/>
    <cellStyle name="Comma 4 6 3 2 4 2 3" xfId="45293" xr:uid="{A747482E-72E0-4C34-AA81-6172733FFE83}"/>
    <cellStyle name="Comma 4 6 3 2 4 3" xfId="21101" xr:uid="{DA06DDA2-4122-4AEA-801C-639533818E8D}"/>
    <cellStyle name="Comma 4 6 3 2 4 3 2" xfId="51341" xr:uid="{0393CE16-A2B5-462C-8098-0C85C151A18F}"/>
    <cellStyle name="Comma 4 6 3 2 4 4" xfId="36221" xr:uid="{0A4E9609-A6FB-412E-96E6-52979B97E4FC}"/>
    <cellStyle name="Comma 4 6 3 2 5" xfId="7493" xr:uid="{91318F85-3367-46F5-AAF5-A77730663607}"/>
    <cellStyle name="Comma 4 6 3 2 5 2" xfId="22613" xr:uid="{BF6C9DC2-3C59-4DEE-8AB3-7208CBDF8B38}"/>
    <cellStyle name="Comma 4 6 3 2 5 2 2" xfId="52853" xr:uid="{BF1D295F-0568-48B0-B23A-923C670EED04}"/>
    <cellStyle name="Comma 4 6 3 2 5 3" xfId="37733" xr:uid="{7FF7C5DD-45B7-408D-AEC2-4295DB5C806F}"/>
    <cellStyle name="Comma 4 6 3 2 6" xfId="9005" xr:uid="{60EB0C79-71A7-4709-8519-56AA1F111008}"/>
    <cellStyle name="Comma 4 6 3 2 6 2" xfId="24125" xr:uid="{553084CA-CCEB-4A7F-980B-0CA0ED2208D6}"/>
    <cellStyle name="Comma 4 6 3 2 6 2 2" xfId="54365" xr:uid="{8C796B5B-B2AC-4E49-8FA0-D3DE0CEF67E2}"/>
    <cellStyle name="Comma 4 6 3 2 6 3" xfId="39245" xr:uid="{39630859-B1F3-41EF-AB80-C4672204A071}"/>
    <cellStyle name="Comma 4 6 3 2 7" xfId="10517" xr:uid="{ADA22658-32EA-41B2-AA5F-B885296A654E}"/>
    <cellStyle name="Comma 4 6 3 2 7 2" xfId="25637" xr:uid="{AC298BF8-141B-4BD7-9B25-96A0A1C22A2F}"/>
    <cellStyle name="Comma 4 6 3 2 7 2 2" xfId="55877" xr:uid="{62706AFC-D836-49D1-A7BC-3B46BCEB5FCC}"/>
    <cellStyle name="Comma 4 6 3 2 7 3" xfId="40757" xr:uid="{26EE4795-1447-433A-A2C3-3AEB2D1CBCEC}"/>
    <cellStyle name="Comma 4 6 3 2 8" xfId="16565" xr:uid="{B41E458F-E98B-42EF-B22A-158EC471CB72}"/>
    <cellStyle name="Comma 4 6 3 2 8 2" xfId="46805" xr:uid="{3219828D-2CD7-4708-8920-B254BCE870E8}"/>
    <cellStyle name="Comma 4 6 3 2 9" xfId="31685" xr:uid="{F288EC06-13EF-472F-8FEF-C23AB9F343A0}"/>
    <cellStyle name="Comma 4 6 3 3" xfId="2201" xr:uid="{1BD2B8A7-8F72-435F-86B5-0816E65FF173}"/>
    <cellStyle name="Comma 4 6 3 3 2" xfId="11273" xr:uid="{6C5E8F1F-221D-486E-BBE4-82FA537FB0B1}"/>
    <cellStyle name="Comma 4 6 3 3 2 2" xfId="26393" xr:uid="{41FEB2C1-DF4B-45A4-99F6-61118024A792}"/>
    <cellStyle name="Comma 4 6 3 3 2 2 2" xfId="56633" xr:uid="{4FD33B7E-5494-4696-B167-878F6C48321C}"/>
    <cellStyle name="Comma 4 6 3 3 2 3" xfId="41513" xr:uid="{9EB8FCE1-180C-4F64-9DA5-2CB05F567A09}"/>
    <cellStyle name="Comma 4 6 3 3 3" xfId="17321" xr:uid="{01149C08-26A4-485F-BA1C-62941B1DEBAE}"/>
    <cellStyle name="Comma 4 6 3 3 3 2" xfId="47561" xr:uid="{2DDE812C-209A-409E-9F30-A130C722701F}"/>
    <cellStyle name="Comma 4 6 3 3 4" xfId="32441" xr:uid="{35ACA258-6D53-4834-BCF5-F736AA73AD0A}"/>
    <cellStyle name="Comma 4 6 3 4" xfId="3713" xr:uid="{6FF27ACE-9431-4496-A177-6021DEBCB7EF}"/>
    <cellStyle name="Comma 4 6 3 4 2" xfId="12785" xr:uid="{FAC1DC7B-F4C1-4496-BB7F-4C792B7F94EC}"/>
    <cellStyle name="Comma 4 6 3 4 2 2" xfId="27905" xr:uid="{79EFAA87-7258-49C1-B68B-8CAA752B74A7}"/>
    <cellStyle name="Comma 4 6 3 4 2 2 2" xfId="58145" xr:uid="{3B1EE849-F069-4992-AA17-44A53CCA2B00}"/>
    <cellStyle name="Comma 4 6 3 4 2 3" xfId="43025" xr:uid="{D32D1B31-1225-4B7A-888B-65FE347340DF}"/>
    <cellStyle name="Comma 4 6 3 4 3" xfId="18833" xr:uid="{5C9CE6E3-B318-4AAC-BC45-EA4B06BF00EB}"/>
    <cellStyle name="Comma 4 6 3 4 3 2" xfId="49073" xr:uid="{1A2F9C92-D0EF-4118-A247-A3F9609EE57C}"/>
    <cellStyle name="Comma 4 6 3 4 4" xfId="33953" xr:uid="{866E5CC1-5060-4D67-9282-EF6ADC4A9939}"/>
    <cellStyle name="Comma 4 6 3 5" xfId="5225" xr:uid="{85466FBD-F6E9-4F2C-BF3C-DBF2CE71C859}"/>
    <cellStyle name="Comma 4 6 3 5 2" xfId="14297" xr:uid="{EFF579FC-F7BB-4B3C-89D8-6889A5BED862}"/>
    <cellStyle name="Comma 4 6 3 5 2 2" xfId="29417" xr:uid="{B7B96E03-E49B-478B-9052-6F7B9B20F767}"/>
    <cellStyle name="Comma 4 6 3 5 2 2 2" xfId="59657" xr:uid="{793961B3-0F95-4E21-88F3-8EFD0901FDE4}"/>
    <cellStyle name="Comma 4 6 3 5 2 3" xfId="44537" xr:uid="{5C69DBDE-C597-47CB-8350-681688172860}"/>
    <cellStyle name="Comma 4 6 3 5 3" xfId="20345" xr:uid="{2D022D12-C860-4B40-AB8F-E25F3134EDE3}"/>
    <cellStyle name="Comma 4 6 3 5 3 2" xfId="50585" xr:uid="{BCA96CF5-A47A-45C1-89C3-34FFCD6FF5A9}"/>
    <cellStyle name="Comma 4 6 3 5 4" xfId="35465" xr:uid="{0EE50786-9E10-44AE-A134-310AF6E1ED8F}"/>
    <cellStyle name="Comma 4 6 3 6" xfId="6737" xr:uid="{CE364C62-E11E-4067-A89A-0F6175C58475}"/>
    <cellStyle name="Comma 4 6 3 6 2" xfId="21857" xr:uid="{6A0829F1-330E-41E9-B7C9-9E73E91DED5C}"/>
    <cellStyle name="Comma 4 6 3 6 2 2" xfId="52097" xr:uid="{0EA2E9E2-299C-428E-9515-F2ADDD9EE83F}"/>
    <cellStyle name="Comma 4 6 3 6 3" xfId="36977" xr:uid="{E1274CD6-DAA0-4448-8401-8FCFC2AC769F}"/>
    <cellStyle name="Comma 4 6 3 7" xfId="8249" xr:uid="{3E1914C7-7520-4323-8FBD-95E919141F09}"/>
    <cellStyle name="Comma 4 6 3 7 2" xfId="23369" xr:uid="{5AD37719-ACD8-49BE-AE87-BD9FFBCA5167}"/>
    <cellStyle name="Comma 4 6 3 7 2 2" xfId="53609" xr:uid="{DA25A124-883D-4273-8DE1-4C2528A8281A}"/>
    <cellStyle name="Comma 4 6 3 7 3" xfId="38489" xr:uid="{EB74AE4F-037F-426C-9FEB-075B466FBE74}"/>
    <cellStyle name="Comma 4 6 3 8" xfId="9761" xr:uid="{FB9B653A-D983-4CF0-9163-85663A30F513}"/>
    <cellStyle name="Comma 4 6 3 8 2" xfId="24881" xr:uid="{02702BAD-9AC0-4EF6-962D-5D7B0B38A8AD}"/>
    <cellStyle name="Comma 4 6 3 8 2 2" xfId="55121" xr:uid="{091714F7-46C4-45F3-B6D5-F6D6621B8259}"/>
    <cellStyle name="Comma 4 6 3 8 3" xfId="40001" xr:uid="{11A14B90-E6B4-45C6-AE6E-D4942E6EC7A7}"/>
    <cellStyle name="Comma 4 6 3 9" xfId="15809" xr:uid="{B8101B91-A413-4A81-961D-03480777380A}"/>
    <cellStyle name="Comma 4 6 3 9 2" xfId="46049" xr:uid="{B644CF9B-478A-4928-92D5-221F105B44BB}"/>
    <cellStyle name="Comma 4 6 4" xfId="941" xr:uid="{B68A5F1F-7503-4A8B-B5CB-7F79F2D20C97}"/>
    <cellStyle name="Comma 4 6 4 2" xfId="2453" xr:uid="{DA639C3D-9F38-42D8-AC35-636F12F75171}"/>
    <cellStyle name="Comma 4 6 4 2 2" xfId="11525" xr:uid="{B1B78033-3B8B-4EE4-AC04-53E620BCE505}"/>
    <cellStyle name="Comma 4 6 4 2 2 2" xfId="26645" xr:uid="{AE39416E-5140-4F42-B5EF-E973D4E18D42}"/>
    <cellStyle name="Comma 4 6 4 2 2 2 2" xfId="56885" xr:uid="{6A25361F-10EF-47E6-A8F8-67BB0E628FA9}"/>
    <cellStyle name="Comma 4 6 4 2 2 3" xfId="41765" xr:uid="{E2EFCFDF-F217-4945-B68D-C59E685696D9}"/>
    <cellStyle name="Comma 4 6 4 2 3" xfId="17573" xr:uid="{F3B7CA4E-5CE4-4EAF-8AD2-BF21F155A913}"/>
    <cellStyle name="Comma 4 6 4 2 3 2" xfId="47813" xr:uid="{1EC99DC8-0C5D-459F-A6BD-939011B66A9A}"/>
    <cellStyle name="Comma 4 6 4 2 4" xfId="32693" xr:uid="{BB4D0C21-7E8D-464D-87F1-30699181FC6C}"/>
    <cellStyle name="Comma 4 6 4 3" xfId="3965" xr:uid="{FD886405-73C4-4671-9A72-AE04F29AD77D}"/>
    <cellStyle name="Comma 4 6 4 3 2" xfId="13037" xr:uid="{EB25BE17-2ECC-4B65-8C13-DDDA1D49EB35}"/>
    <cellStyle name="Comma 4 6 4 3 2 2" xfId="28157" xr:uid="{2C92743A-BA4C-44D9-BD39-A96565C92FC7}"/>
    <cellStyle name="Comma 4 6 4 3 2 2 2" xfId="58397" xr:uid="{93BFCC30-511D-45FB-BA6F-40E5762B3838}"/>
    <cellStyle name="Comma 4 6 4 3 2 3" xfId="43277" xr:uid="{BAE7F6F7-A197-44EE-91F4-1D3BD8E09FBF}"/>
    <cellStyle name="Comma 4 6 4 3 3" xfId="19085" xr:uid="{39AE43A5-6AAF-4974-8652-E7111873D954}"/>
    <cellStyle name="Comma 4 6 4 3 3 2" xfId="49325" xr:uid="{11B66BE2-5281-4352-AA6A-129C48D65C92}"/>
    <cellStyle name="Comma 4 6 4 3 4" xfId="34205" xr:uid="{3CB387AC-B8CA-4BA1-8581-37A55DDE85D4}"/>
    <cellStyle name="Comma 4 6 4 4" xfId="5477" xr:uid="{6B1714AD-D4D6-40A7-B32C-6404A4CEF0DD}"/>
    <cellStyle name="Comma 4 6 4 4 2" xfId="14549" xr:uid="{EAD1FD99-BBCA-4A27-8FDF-E2D1D178EC6F}"/>
    <cellStyle name="Comma 4 6 4 4 2 2" xfId="29669" xr:uid="{65593716-5595-4614-963F-0763738BEE28}"/>
    <cellStyle name="Comma 4 6 4 4 2 2 2" xfId="59909" xr:uid="{7F5ABF6C-756D-4B41-9084-5E4023C17871}"/>
    <cellStyle name="Comma 4 6 4 4 2 3" xfId="44789" xr:uid="{33FDFA02-2F61-41C4-9FA5-0C107785F51E}"/>
    <cellStyle name="Comma 4 6 4 4 3" xfId="20597" xr:uid="{F20ACA3A-0DB2-4FF3-A4E9-AA097DB97C75}"/>
    <cellStyle name="Comma 4 6 4 4 3 2" xfId="50837" xr:uid="{9CADA064-32A4-4740-B7A6-F979D8B049C8}"/>
    <cellStyle name="Comma 4 6 4 4 4" xfId="35717" xr:uid="{F3456F09-28AA-4EDD-81EB-A97FD9BDAD8F}"/>
    <cellStyle name="Comma 4 6 4 5" xfId="6989" xr:uid="{80A5A17C-C8B8-4D26-85B2-51CCDF1D0EF1}"/>
    <cellStyle name="Comma 4 6 4 5 2" xfId="22109" xr:uid="{4425F181-3238-4E87-B5C5-8DFA3138AE88}"/>
    <cellStyle name="Comma 4 6 4 5 2 2" xfId="52349" xr:uid="{45371F18-9CC0-465C-B924-4DCA6FECCCC9}"/>
    <cellStyle name="Comma 4 6 4 5 3" xfId="37229" xr:uid="{39F98134-D345-41B8-A2C8-D1923F666D90}"/>
    <cellStyle name="Comma 4 6 4 6" xfId="8501" xr:uid="{A17FB920-5D02-47A4-8EB8-DE2370FB40FE}"/>
    <cellStyle name="Comma 4 6 4 6 2" xfId="23621" xr:uid="{8777B068-B4DC-428C-AC76-4AD2CAC9D423}"/>
    <cellStyle name="Comma 4 6 4 6 2 2" xfId="53861" xr:uid="{404D1EC4-83BF-48BF-894C-533C506794C3}"/>
    <cellStyle name="Comma 4 6 4 6 3" xfId="38741" xr:uid="{175D6D11-57A1-4CDD-A70E-BBD71631740F}"/>
    <cellStyle name="Comma 4 6 4 7" xfId="10013" xr:uid="{B52025B7-CECC-4D5C-AF14-0B0F6A0AE949}"/>
    <cellStyle name="Comma 4 6 4 7 2" xfId="25133" xr:uid="{C82EDF59-2713-4F40-94D5-33BE95DEAC90}"/>
    <cellStyle name="Comma 4 6 4 7 2 2" xfId="55373" xr:uid="{A3BE1BC9-5627-46D6-9301-CA468BECE862}"/>
    <cellStyle name="Comma 4 6 4 7 3" xfId="40253" xr:uid="{2B3BD895-A209-4FFC-830A-90958938D0D0}"/>
    <cellStyle name="Comma 4 6 4 8" xfId="16061" xr:uid="{596C1F2C-EC15-4160-96C8-262BF7B12213}"/>
    <cellStyle name="Comma 4 6 4 8 2" xfId="46301" xr:uid="{43B0CE3D-88B1-40E5-8609-AC4FFC0541F5}"/>
    <cellStyle name="Comma 4 6 4 9" xfId="31181" xr:uid="{1105E502-EECC-4D3B-9C41-E5BB5F4472FC}"/>
    <cellStyle name="Comma 4 6 5" xfId="1697" xr:uid="{E3498943-1534-4009-9893-09A2BED5C0A3}"/>
    <cellStyle name="Comma 4 6 5 2" xfId="10769" xr:uid="{481DE0D0-7CB9-49F0-87ED-0CF748C5D3A8}"/>
    <cellStyle name="Comma 4 6 5 2 2" xfId="25889" xr:uid="{265E9421-8B40-4A74-9943-43A7BA1793A7}"/>
    <cellStyle name="Comma 4 6 5 2 2 2" xfId="56129" xr:uid="{46F1E95A-BD0D-4D49-9C75-9B335FAE0F63}"/>
    <cellStyle name="Comma 4 6 5 2 3" xfId="41009" xr:uid="{F5A36F3C-7D2F-4715-863B-D35596674B7A}"/>
    <cellStyle name="Comma 4 6 5 3" xfId="16817" xr:uid="{31AB6D32-59EF-42A3-808B-401FD2C4595F}"/>
    <cellStyle name="Comma 4 6 5 3 2" xfId="47057" xr:uid="{64D15734-378C-420A-8211-6DC31C9A5217}"/>
    <cellStyle name="Comma 4 6 5 4" xfId="31937" xr:uid="{48A2FA0A-2DA1-4684-8E8F-C5E64CAEC34A}"/>
    <cellStyle name="Comma 4 6 6" xfId="3209" xr:uid="{408C34F9-FB37-4183-890B-48D632A2CE86}"/>
    <cellStyle name="Comma 4 6 6 2" xfId="12281" xr:uid="{AA3A7B85-2297-4373-A99F-80AFD942B27D}"/>
    <cellStyle name="Comma 4 6 6 2 2" xfId="27401" xr:uid="{E441AB1A-3DF5-4D92-B12E-3E58AABDDD77}"/>
    <cellStyle name="Comma 4 6 6 2 2 2" xfId="57641" xr:uid="{8082D2D9-C450-4443-938D-254BB9783543}"/>
    <cellStyle name="Comma 4 6 6 2 3" xfId="42521" xr:uid="{F351C4DA-3C7D-4343-9F60-16B6B0140C2E}"/>
    <cellStyle name="Comma 4 6 6 3" xfId="18329" xr:uid="{AD22DF1F-B213-4275-9C5C-1E2A60D12A83}"/>
    <cellStyle name="Comma 4 6 6 3 2" xfId="48569" xr:uid="{CF1387E1-80D9-4FB3-9D76-64DB8812E3A8}"/>
    <cellStyle name="Comma 4 6 6 4" xfId="33449" xr:uid="{E7F81337-29EC-40C1-9017-D061962FEFDC}"/>
    <cellStyle name="Comma 4 6 7" xfId="4721" xr:uid="{86C22649-AC52-4AB5-BEE0-119D602C295E}"/>
    <cellStyle name="Comma 4 6 7 2" xfId="13793" xr:uid="{E69831CE-DA86-470B-ACCD-9DD30BEE3696}"/>
    <cellStyle name="Comma 4 6 7 2 2" xfId="28913" xr:uid="{AC00A986-CAE6-46D9-979E-0F14EE66B75E}"/>
    <cellStyle name="Comma 4 6 7 2 2 2" xfId="59153" xr:uid="{98E3615F-7B49-4EB3-8663-F06F1D81BC3A}"/>
    <cellStyle name="Comma 4 6 7 2 3" xfId="44033" xr:uid="{DF99AA61-3AFF-4BE6-BEED-42EA6D5454DC}"/>
    <cellStyle name="Comma 4 6 7 3" xfId="19841" xr:uid="{D19CE242-E6C6-4767-8012-2022E56FE68A}"/>
    <cellStyle name="Comma 4 6 7 3 2" xfId="50081" xr:uid="{2C8C3132-D152-42A4-969D-28967FEA319F}"/>
    <cellStyle name="Comma 4 6 7 4" xfId="34961" xr:uid="{F481EECB-6795-4F80-A4B9-2FC6B2EBE42D}"/>
    <cellStyle name="Comma 4 6 8" xfId="6233" xr:uid="{F572AF4E-8A39-4F8D-A5F9-2AA396A182A5}"/>
    <cellStyle name="Comma 4 6 8 2" xfId="21353" xr:uid="{1587D142-FDE2-489F-A8E0-1D8A0FA83836}"/>
    <cellStyle name="Comma 4 6 8 2 2" xfId="51593" xr:uid="{142716C4-B205-4609-A82F-5A80D25AEEBE}"/>
    <cellStyle name="Comma 4 6 8 3" xfId="36473" xr:uid="{7E5F7CEE-9797-485B-8296-6A42D77A0E82}"/>
    <cellStyle name="Comma 4 6 9" xfId="7745" xr:uid="{41ED366A-7366-497B-886E-2D40046C8CF2}"/>
    <cellStyle name="Comma 4 6 9 2" xfId="22865" xr:uid="{C8F1A41F-80D8-4EFB-98B2-E0809C3439BC}"/>
    <cellStyle name="Comma 4 6 9 2 2" xfId="53105" xr:uid="{68141D3B-B7F2-4D82-B2FC-63ADDB1E1ABB}"/>
    <cellStyle name="Comma 4 6 9 3" xfId="37985" xr:uid="{6AA32981-3F01-4C22-938D-268BA57B51DB}"/>
    <cellStyle name="Comma 4 7" xfId="269" xr:uid="{7FFF5470-3925-45F3-A6D0-6010F24C5301}"/>
    <cellStyle name="Comma 4 7 10" xfId="30509" xr:uid="{DEDC0D58-83C2-47D9-9FCB-1B16AAE40E3A}"/>
    <cellStyle name="Comma 4 7 2" xfId="1025" xr:uid="{59B4FEBE-80A0-471A-9AAC-1F5C318FCC0E}"/>
    <cellStyle name="Comma 4 7 2 2" xfId="2537" xr:uid="{EA217936-856E-4F6E-B896-0A9CD2CF2211}"/>
    <cellStyle name="Comma 4 7 2 2 2" xfId="11609" xr:uid="{94BCA00E-147F-4EB3-A6A4-DB51889015E8}"/>
    <cellStyle name="Comma 4 7 2 2 2 2" xfId="26729" xr:uid="{EABA91CC-E8CD-49C2-BBC2-9FC36076BA1F}"/>
    <cellStyle name="Comma 4 7 2 2 2 2 2" xfId="56969" xr:uid="{F9F98EA5-6C00-4BA5-9968-01D8FA524C18}"/>
    <cellStyle name="Comma 4 7 2 2 2 3" xfId="41849" xr:uid="{7CDD6E8E-C84C-4CDB-B211-FBD506B56CA3}"/>
    <cellStyle name="Comma 4 7 2 2 3" xfId="17657" xr:uid="{9681ACFC-C933-4D0C-88D2-CF642182D7DB}"/>
    <cellStyle name="Comma 4 7 2 2 3 2" xfId="47897" xr:uid="{8104298E-C916-40A8-9967-85E0E8960B3B}"/>
    <cellStyle name="Comma 4 7 2 2 4" xfId="32777" xr:uid="{62EAFA32-B878-4EEC-94AE-E4DFACAB0628}"/>
    <cellStyle name="Comma 4 7 2 3" xfId="4049" xr:uid="{9D1AA34E-C135-4D91-9F56-C914F175A49C}"/>
    <cellStyle name="Comma 4 7 2 3 2" xfId="13121" xr:uid="{58243C3A-A9E0-4120-AD8D-8A6CB3D8EB16}"/>
    <cellStyle name="Comma 4 7 2 3 2 2" xfId="28241" xr:uid="{7D562FC5-0992-46C7-9ADA-625313A36D82}"/>
    <cellStyle name="Comma 4 7 2 3 2 2 2" xfId="58481" xr:uid="{13D9664D-F229-4742-B477-A5C2BF1CC0B8}"/>
    <cellStyle name="Comma 4 7 2 3 2 3" xfId="43361" xr:uid="{D171A9DF-FB94-4B18-AC06-E43831CBAF38}"/>
    <cellStyle name="Comma 4 7 2 3 3" xfId="19169" xr:uid="{8E30C393-F937-44AD-AC11-790AB66A694F}"/>
    <cellStyle name="Comma 4 7 2 3 3 2" xfId="49409" xr:uid="{12939687-6AB3-4879-821D-B9288A2388E1}"/>
    <cellStyle name="Comma 4 7 2 3 4" xfId="34289" xr:uid="{52BAFA20-3F5A-4352-B449-149E6B5C8129}"/>
    <cellStyle name="Comma 4 7 2 4" xfId="5561" xr:uid="{4BCA885B-550B-47BC-80BF-C8AFEBCC65B9}"/>
    <cellStyle name="Comma 4 7 2 4 2" xfId="14633" xr:uid="{E217BD74-4DAE-4A63-8EE8-704FD5544DFF}"/>
    <cellStyle name="Comma 4 7 2 4 2 2" xfId="29753" xr:uid="{474CA8D9-DB5C-4385-AFD0-CCA82771710E}"/>
    <cellStyle name="Comma 4 7 2 4 2 2 2" xfId="59993" xr:uid="{2BAD5A34-23AB-4412-93CF-165CB28DE6F2}"/>
    <cellStyle name="Comma 4 7 2 4 2 3" xfId="44873" xr:uid="{F4DCA925-3DAF-45F6-9425-49C751A58DF3}"/>
    <cellStyle name="Comma 4 7 2 4 3" xfId="20681" xr:uid="{59F9DFAF-18EF-46CF-AACF-9DDAA8BF6490}"/>
    <cellStyle name="Comma 4 7 2 4 3 2" xfId="50921" xr:uid="{603D4272-50FE-48AB-A271-5C77FDAE5CCD}"/>
    <cellStyle name="Comma 4 7 2 4 4" xfId="35801" xr:uid="{020D9822-39CA-42F4-88A8-BA2BDFCB73A2}"/>
    <cellStyle name="Comma 4 7 2 5" xfId="7073" xr:uid="{87260C2D-8D64-4617-857C-D995BD5C1818}"/>
    <cellStyle name="Comma 4 7 2 5 2" xfId="22193" xr:uid="{69778511-567C-4EFD-AB8D-5269B3AC223E}"/>
    <cellStyle name="Comma 4 7 2 5 2 2" xfId="52433" xr:uid="{7E32BC0D-C3E0-42D8-B114-8A942A7EEA7E}"/>
    <cellStyle name="Comma 4 7 2 5 3" xfId="37313" xr:uid="{7856DB75-F925-481A-93A6-571EC21C94BC}"/>
    <cellStyle name="Comma 4 7 2 6" xfId="8585" xr:uid="{9C05BDD1-BC48-4424-A74D-83A602983BED}"/>
    <cellStyle name="Comma 4 7 2 6 2" xfId="23705" xr:uid="{8C78FC1B-322A-4EFE-993C-949C461C9B80}"/>
    <cellStyle name="Comma 4 7 2 6 2 2" xfId="53945" xr:uid="{2D883FAD-FFE4-408E-98B0-B6071F010CC7}"/>
    <cellStyle name="Comma 4 7 2 6 3" xfId="38825" xr:uid="{4FDF4A0A-951C-4F2C-88C5-893B6C60DFFF}"/>
    <cellStyle name="Comma 4 7 2 7" xfId="10097" xr:uid="{DDAC7505-01B5-4042-AEEE-F2B34F69B207}"/>
    <cellStyle name="Comma 4 7 2 7 2" xfId="25217" xr:uid="{5AA3D6F8-2B06-4264-BBD0-74DB2213182E}"/>
    <cellStyle name="Comma 4 7 2 7 2 2" xfId="55457" xr:uid="{F9C5BC87-0671-476D-A94A-FC493C6DDC50}"/>
    <cellStyle name="Comma 4 7 2 7 3" xfId="40337" xr:uid="{BE8918D4-99FE-4581-B979-BA34CBCA11F0}"/>
    <cellStyle name="Comma 4 7 2 8" xfId="16145" xr:uid="{237E3583-D25D-499B-80D4-A16E60D727CB}"/>
    <cellStyle name="Comma 4 7 2 8 2" xfId="46385" xr:uid="{E0ED92B8-A802-45DA-9921-BE4C6B684F70}"/>
    <cellStyle name="Comma 4 7 2 9" xfId="31265" xr:uid="{887D7CBD-E63D-4E4D-9BDA-7C22BBD80096}"/>
    <cellStyle name="Comma 4 7 3" xfId="1781" xr:uid="{9A29F467-7040-410A-81F0-0D1E58BFC00F}"/>
    <cellStyle name="Comma 4 7 3 2" xfId="10853" xr:uid="{2B1FF9C8-0505-4ECC-8215-9CE83D37FA1F}"/>
    <cellStyle name="Comma 4 7 3 2 2" xfId="25973" xr:uid="{8A13B7DB-E5ED-430A-BACD-B983BC6CAF1F}"/>
    <cellStyle name="Comma 4 7 3 2 2 2" xfId="56213" xr:uid="{5454D335-CD0B-447C-8DD9-802B581983C0}"/>
    <cellStyle name="Comma 4 7 3 2 3" xfId="41093" xr:uid="{568968A3-9FAE-482D-A05B-681DC176AC25}"/>
    <cellStyle name="Comma 4 7 3 3" xfId="16901" xr:uid="{F7B1EA37-935A-4494-955C-58A28C2C46C4}"/>
    <cellStyle name="Comma 4 7 3 3 2" xfId="47141" xr:uid="{BFA1622A-DF9C-4D54-9E39-7D0B5B31D137}"/>
    <cellStyle name="Comma 4 7 3 4" xfId="32021" xr:uid="{A05496A1-28DD-4941-BB74-CC40C0223A8B}"/>
    <cellStyle name="Comma 4 7 4" xfId="3293" xr:uid="{91901797-44C4-4CE4-B44B-AD8B9502E380}"/>
    <cellStyle name="Comma 4 7 4 2" xfId="12365" xr:uid="{CB1C6CE6-8C08-46E7-BF42-77484FDAA2C0}"/>
    <cellStyle name="Comma 4 7 4 2 2" xfId="27485" xr:uid="{21D92DF1-2EAF-4CA9-8D8F-18D24941BC82}"/>
    <cellStyle name="Comma 4 7 4 2 2 2" xfId="57725" xr:uid="{AB5CA6A3-FD0B-49A8-8776-BFE1D631365B}"/>
    <cellStyle name="Comma 4 7 4 2 3" xfId="42605" xr:uid="{B6510493-7BBF-4F8E-A7E2-27CF11B677F9}"/>
    <cellStyle name="Comma 4 7 4 3" xfId="18413" xr:uid="{A8179670-3B8F-4A88-84C9-BF596690BA39}"/>
    <cellStyle name="Comma 4 7 4 3 2" xfId="48653" xr:uid="{33823EB2-4C40-40D8-933F-25CB4C1DA718}"/>
    <cellStyle name="Comma 4 7 4 4" xfId="33533" xr:uid="{401884C8-C694-4F63-9EB1-0C144D213CC1}"/>
    <cellStyle name="Comma 4 7 5" xfId="4805" xr:uid="{05F4F538-97F3-47F7-B768-0E1A0D1CF6E7}"/>
    <cellStyle name="Comma 4 7 5 2" xfId="13877" xr:uid="{3C613E23-9DA2-4BB9-A30C-A1CAEE2B33C9}"/>
    <cellStyle name="Comma 4 7 5 2 2" xfId="28997" xr:uid="{3A553693-3423-4780-9E74-FDABBB18709E}"/>
    <cellStyle name="Comma 4 7 5 2 2 2" xfId="59237" xr:uid="{17AB53BD-BC6E-4ED7-B838-31D106C39D30}"/>
    <cellStyle name="Comma 4 7 5 2 3" xfId="44117" xr:uid="{41F25BB9-D8C4-4F21-B23B-7FC7F785C48B}"/>
    <cellStyle name="Comma 4 7 5 3" xfId="19925" xr:uid="{9BEE77E6-57F3-4956-81FE-E1AB690631C5}"/>
    <cellStyle name="Comma 4 7 5 3 2" xfId="50165" xr:uid="{57EE9F70-A4CF-4D85-8AB7-B9D0E20FA7A6}"/>
    <cellStyle name="Comma 4 7 5 4" xfId="35045" xr:uid="{40932417-CA4A-42E0-B74E-6DE6E5107AFD}"/>
    <cellStyle name="Comma 4 7 6" xfId="6317" xr:uid="{9F658471-52C5-40B6-9165-CEDCFB96127C}"/>
    <cellStyle name="Comma 4 7 6 2" xfId="21437" xr:uid="{B3071701-A5EE-4472-8014-69D44559178C}"/>
    <cellStyle name="Comma 4 7 6 2 2" xfId="51677" xr:uid="{4138A500-BF56-4291-8A0F-0833B60CF2F7}"/>
    <cellStyle name="Comma 4 7 6 3" xfId="36557" xr:uid="{060F0102-D3DF-40A6-81A2-4451C71FFB02}"/>
    <cellStyle name="Comma 4 7 7" xfId="7829" xr:uid="{4C4B7F02-8960-40A2-8E13-8AF77DA92481}"/>
    <cellStyle name="Comma 4 7 7 2" xfId="22949" xr:uid="{E05F73A1-1DD5-4B9A-9740-A7DB16BC320C}"/>
    <cellStyle name="Comma 4 7 7 2 2" xfId="53189" xr:uid="{5CC75531-59AB-48BD-AF58-2B5072891673}"/>
    <cellStyle name="Comma 4 7 7 3" xfId="38069" xr:uid="{CD3BA717-5D93-4B4D-809A-56364D7A2D1A}"/>
    <cellStyle name="Comma 4 7 8" xfId="9341" xr:uid="{E97D6FC2-7E97-44CA-A042-6CF8FE9CE6D5}"/>
    <cellStyle name="Comma 4 7 8 2" xfId="24461" xr:uid="{E16ED490-AE45-4E88-AF2D-D750CE285C18}"/>
    <cellStyle name="Comma 4 7 8 2 2" xfId="54701" xr:uid="{EC3D390D-FC0D-4F7F-8D49-9E9326580BAF}"/>
    <cellStyle name="Comma 4 7 8 3" xfId="39581" xr:uid="{59F0A453-418F-45FC-85ED-C0A290612075}"/>
    <cellStyle name="Comma 4 7 9" xfId="15389" xr:uid="{082BF92F-2CAF-45AD-BA55-071A823DA086}"/>
    <cellStyle name="Comma 4 7 9 2" xfId="45629" xr:uid="{F9D8FC8A-7DBE-4490-B539-5EC4E7370BD7}"/>
    <cellStyle name="Comma 4 8" xfId="521" xr:uid="{9928F092-C59A-46CA-ADFB-A0D963B990AA}"/>
    <cellStyle name="Comma 4 8 10" xfId="30761" xr:uid="{98A2F6C1-E55B-4449-9894-D880C7EE91CA}"/>
    <cellStyle name="Comma 4 8 2" xfId="1277" xr:uid="{BCF7980C-829C-4E94-AEFD-F2C755B61718}"/>
    <cellStyle name="Comma 4 8 2 2" xfId="2789" xr:uid="{E384EDBE-12C6-4F9C-8E54-8D9AA496FA95}"/>
    <cellStyle name="Comma 4 8 2 2 2" xfId="11861" xr:uid="{4ACEBB14-684D-42BD-A59D-9F1D17921D1A}"/>
    <cellStyle name="Comma 4 8 2 2 2 2" xfId="26981" xr:uid="{3176C8E4-F010-4DFE-A6C3-12659C417A3F}"/>
    <cellStyle name="Comma 4 8 2 2 2 2 2" xfId="57221" xr:uid="{DE566C87-77E3-474F-B0DA-ACE6034F6BF4}"/>
    <cellStyle name="Comma 4 8 2 2 2 3" xfId="42101" xr:uid="{15076271-67D9-480B-B5B8-986B8C4F881A}"/>
    <cellStyle name="Comma 4 8 2 2 3" xfId="17909" xr:uid="{FD54A066-9E06-42BD-9E1D-89013B46FF19}"/>
    <cellStyle name="Comma 4 8 2 2 3 2" xfId="48149" xr:uid="{6377CA25-C0FA-46D2-A044-37B114594772}"/>
    <cellStyle name="Comma 4 8 2 2 4" xfId="33029" xr:uid="{84A7F328-EB6A-451B-A0A8-5C4FA8092E65}"/>
    <cellStyle name="Comma 4 8 2 3" xfId="4301" xr:uid="{A6BD2347-19DD-475A-9E62-DAF0C03A31BF}"/>
    <cellStyle name="Comma 4 8 2 3 2" xfId="13373" xr:uid="{5A930DE2-9013-4034-A5FD-6B75EC5A519C}"/>
    <cellStyle name="Comma 4 8 2 3 2 2" xfId="28493" xr:uid="{AEDEDD98-D854-4209-8FD5-E416D17D4200}"/>
    <cellStyle name="Comma 4 8 2 3 2 2 2" xfId="58733" xr:uid="{8F813E5B-A622-48F4-9402-CA6A6FF5D90E}"/>
    <cellStyle name="Comma 4 8 2 3 2 3" xfId="43613" xr:uid="{AF9C148C-BB71-4BA3-A219-924BC6E45F6F}"/>
    <cellStyle name="Comma 4 8 2 3 3" xfId="19421" xr:uid="{1B8A6963-C972-4D41-8618-2D63627E5556}"/>
    <cellStyle name="Comma 4 8 2 3 3 2" xfId="49661" xr:uid="{4EF24149-12BA-4761-BEA8-0AB41A1A79A5}"/>
    <cellStyle name="Comma 4 8 2 3 4" xfId="34541" xr:uid="{5F1444A8-73CC-4A7E-AD3D-A96F5D2855EB}"/>
    <cellStyle name="Comma 4 8 2 4" xfId="5813" xr:uid="{CAE259BE-8F1D-40C2-9EFC-8A9E97E1F7A9}"/>
    <cellStyle name="Comma 4 8 2 4 2" xfId="14885" xr:uid="{84FF0BF0-EB3B-4188-AC71-D83AE745B8E8}"/>
    <cellStyle name="Comma 4 8 2 4 2 2" xfId="30005" xr:uid="{E8448689-8195-49D2-92A8-2DAC582836BF}"/>
    <cellStyle name="Comma 4 8 2 4 2 2 2" xfId="60245" xr:uid="{95CBCF38-3D57-402B-958B-1047D953A5B2}"/>
    <cellStyle name="Comma 4 8 2 4 2 3" xfId="45125" xr:uid="{AF2604E7-7CB1-4995-9A52-36AA6FC525A6}"/>
    <cellStyle name="Comma 4 8 2 4 3" xfId="20933" xr:uid="{7AC24BA3-168B-46E3-85D7-74B5078A3EEF}"/>
    <cellStyle name="Comma 4 8 2 4 3 2" xfId="51173" xr:uid="{79947670-72B1-4840-BC1F-652604294F53}"/>
    <cellStyle name="Comma 4 8 2 4 4" xfId="36053" xr:uid="{D0AEF232-4636-42FF-B662-F8D644698C8F}"/>
    <cellStyle name="Comma 4 8 2 5" xfId="7325" xr:uid="{952CE6F1-3BE7-4554-B1D3-D571C7BA24B7}"/>
    <cellStyle name="Comma 4 8 2 5 2" xfId="22445" xr:uid="{48722581-EF98-416F-A2C4-4AFAEC143DA7}"/>
    <cellStyle name="Comma 4 8 2 5 2 2" xfId="52685" xr:uid="{127E0BD6-ED78-484B-8FBA-F3B0C56CE77C}"/>
    <cellStyle name="Comma 4 8 2 5 3" xfId="37565" xr:uid="{B5B2CEC5-AFA3-49A1-8EBC-533E9C9BFFA6}"/>
    <cellStyle name="Comma 4 8 2 6" xfId="8837" xr:uid="{38C0A3D8-A47F-4014-A652-4E87872002A0}"/>
    <cellStyle name="Comma 4 8 2 6 2" xfId="23957" xr:uid="{915B41AF-F876-472A-B0AB-0E25DC013CB4}"/>
    <cellStyle name="Comma 4 8 2 6 2 2" xfId="54197" xr:uid="{32AC8682-4770-41B7-8630-C4CCDD443092}"/>
    <cellStyle name="Comma 4 8 2 6 3" xfId="39077" xr:uid="{2D83F7E8-F6BB-4626-B634-156153817632}"/>
    <cellStyle name="Comma 4 8 2 7" xfId="10349" xr:uid="{F4AA3962-2B88-4C3A-A293-C6A66F25DAA2}"/>
    <cellStyle name="Comma 4 8 2 7 2" xfId="25469" xr:uid="{F52D0DBF-02DC-485F-B90D-7F3BF0194CF7}"/>
    <cellStyle name="Comma 4 8 2 7 2 2" xfId="55709" xr:uid="{07590F11-3252-4779-8836-0E32ABD691BD}"/>
    <cellStyle name="Comma 4 8 2 7 3" xfId="40589" xr:uid="{5CE6746F-793A-4F6B-BE6E-0C5FFA11AACD}"/>
    <cellStyle name="Comma 4 8 2 8" xfId="16397" xr:uid="{C72D659F-74A9-44CC-BB48-24CCF638CC46}"/>
    <cellStyle name="Comma 4 8 2 8 2" xfId="46637" xr:uid="{6EE041AE-BC84-498D-BCCC-F75A642F4840}"/>
    <cellStyle name="Comma 4 8 2 9" xfId="31517" xr:uid="{219F1C13-5731-40BB-95AE-D5EB25356F6C}"/>
    <cellStyle name="Comma 4 8 3" xfId="2033" xr:uid="{BF8777ED-0925-4F8E-9167-6F98C58D113C}"/>
    <cellStyle name="Comma 4 8 3 2" xfId="11105" xr:uid="{88164264-D247-4C62-9CBA-E0FCC7E80623}"/>
    <cellStyle name="Comma 4 8 3 2 2" xfId="26225" xr:uid="{6CED0BA8-6419-4B24-BB0A-99BDA1DF1A7B}"/>
    <cellStyle name="Comma 4 8 3 2 2 2" xfId="56465" xr:uid="{5CAA6FE0-D24A-44F1-92FF-051FE9606BDD}"/>
    <cellStyle name="Comma 4 8 3 2 3" xfId="41345" xr:uid="{7F5D50F1-189F-460C-876B-98D87D9AE38A}"/>
    <cellStyle name="Comma 4 8 3 3" xfId="17153" xr:uid="{62597D4C-B18A-4F9B-B769-E5CDE7FD915B}"/>
    <cellStyle name="Comma 4 8 3 3 2" xfId="47393" xr:uid="{4478170C-53C9-47D4-984D-1BAA1B14C74A}"/>
    <cellStyle name="Comma 4 8 3 4" xfId="32273" xr:uid="{09BB678E-2A42-4182-A4C4-AB03E5D59C2B}"/>
    <cellStyle name="Comma 4 8 4" xfId="3545" xr:uid="{C331F325-E04B-41D9-B235-42ACDBD7E82F}"/>
    <cellStyle name="Comma 4 8 4 2" xfId="12617" xr:uid="{F93D1B7A-5CFD-41C0-A2B0-D4AB91EDC4A1}"/>
    <cellStyle name="Comma 4 8 4 2 2" xfId="27737" xr:uid="{7DDA3AE0-E89A-4A09-A208-EA8A9B311802}"/>
    <cellStyle name="Comma 4 8 4 2 2 2" xfId="57977" xr:uid="{01671D38-CBFF-47A1-A3AE-5F031FBB2A0A}"/>
    <cellStyle name="Comma 4 8 4 2 3" xfId="42857" xr:uid="{2C7D41FC-F229-4F8E-8991-0C88F20D4001}"/>
    <cellStyle name="Comma 4 8 4 3" xfId="18665" xr:uid="{E6D8E2C9-8945-4CE6-B33A-9B20E2782747}"/>
    <cellStyle name="Comma 4 8 4 3 2" xfId="48905" xr:uid="{25182CFC-9838-4912-BAF0-1120D0FCBA2F}"/>
    <cellStyle name="Comma 4 8 4 4" xfId="33785" xr:uid="{0FFBCAC9-D5A7-47D5-9FB2-CDF6FFEB0CBC}"/>
    <cellStyle name="Comma 4 8 5" xfId="5057" xr:uid="{BB019A17-BCCE-4A51-B6A4-371E89F7B28C}"/>
    <cellStyle name="Comma 4 8 5 2" xfId="14129" xr:uid="{BD397C09-0AB2-488E-A510-A3ACC7D97E12}"/>
    <cellStyle name="Comma 4 8 5 2 2" xfId="29249" xr:uid="{0952CE40-5275-4410-8E28-9BD47C43F0DC}"/>
    <cellStyle name="Comma 4 8 5 2 2 2" xfId="59489" xr:uid="{485CEF73-F652-4763-9564-013077442711}"/>
    <cellStyle name="Comma 4 8 5 2 3" xfId="44369" xr:uid="{AF335D4E-02F3-406B-B03C-B8A8E4B541E0}"/>
    <cellStyle name="Comma 4 8 5 3" xfId="20177" xr:uid="{2E418516-3048-4E01-8275-3055BCDB814C}"/>
    <cellStyle name="Comma 4 8 5 3 2" xfId="50417" xr:uid="{92F54CFF-A3F1-4ECA-B1AF-9EDB505F11E3}"/>
    <cellStyle name="Comma 4 8 5 4" xfId="35297" xr:uid="{098A7D16-4D3A-4F20-B58D-9136731735E5}"/>
    <cellStyle name="Comma 4 8 6" xfId="6569" xr:uid="{0AD0FFFC-8510-4523-81C2-94C48A8B53A4}"/>
    <cellStyle name="Comma 4 8 6 2" xfId="21689" xr:uid="{88C61025-C7D8-4404-8215-D626E61C4FE6}"/>
    <cellStyle name="Comma 4 8 6 2 2" xfId="51929" xr:uid="{E24406FF-DC5A-48CC-B251-648007F3E629}"/>
    <cellStyle name="Comma 4 8 6 3" xfId="36809" xr:uid="{543125B9-85B1-4CD0-B032-646FBE1E5DF4}"/>
    <cellStyle name="Comma 4 8 7" xfId="8081" xr:uid="{858612CA-5C6C-46A4-8982-3BC47F02852A}"/>
    <cellStyle name="Comma 4 8 7 2" xfId="23201" xr:uid="{A42EA189-C9A9-4B6F-8ACA-A1F56DAAF7F8}"/>
    <cellStyle name="Comma 4 8 7 2 2" xfId="53441" xr:uid="{AB815CFD-5B8E-4C2D-B063-8DD6DAAA5802}"/>
    <cellStyle name="Comma 4 8 7 3" xfId="38321" xr:uid="{DC3A74D0-AA87-441C-ACEE-8EE1C1715BF9}"/>
    <cellStyle name="Comma 4 8 8" xfId="9593" xr:uid="{2AC21C68-8EE5-4A71-91BE-4BC2876BD65B}"/>
    <cellStyle name="Comma 4 8 8 2" xfId="24713" xr:uid="{D21714E5-691D-4671-A0A7-AB3D151112D2}"/>
    <cellStyle name="Comma 4 8 8 2 2" xfId="54953" xr:uid="{A073213F-0CB3-4F56-A7BE-E0D9BEE21F2E}"/>
    <cellStyle name="Comma 4 8 8 3" xfId="39833" xr:uid="{2BB128E7-DA0C-4958-B540-86FFCCB8357B}"/>
    <cellStyle name="Comma 4 8 9" xfId="15641" xr:uid="{10B76644-0490-4E85-8B4E-AB9163809BF6}"/>
    <cellStyle name="Comma 4 8 9 2" xfId="45881" xr:uid="{770521FE-A6F4-4988-928D-27D0EF484432}"/>
    <cellStyle name="Comma 4 9" xfId="773" xr:uid="{AD4FBAD9-6EAA-4605-AC6D-E624E5D884E9}"/>
    <cellStyle name="Comma 4 9 2" xfId="2285" xr:uid="{7A3D86D2-6957-49D3-BBA0-F9CBF51F9E78}"/>
    <cellStyle name="Comma 4 9 2 2" xfId="11357" xr:uid="{24EA6754-D6A7-494E-BD77-16F829718347}"/>
    <cellStyle name="Comma 4 9 2 2 2" xfId="26477" xr:uid="{BAB3229C-41E1-4EC7-863C-51283E5448D0}"/>
    <cellStyle name="Comma 4 9 2 2 2 2" xfId="56717" xr:uid="{C0131A87-6960-435A-8A40-DF76023BB08A}"/>
    <cellStyle name="Comma 4 9 2 2 3" xfId="41597" xr:uid="{B1839927-63AF-4E2F-A5D0-894347E9BF64}"/>
    <cellStyle name="Comma 4 9 2 3" xfId="17405" xr:uid="{72B17908-3A64-4C5E-ACD3-DADBFCA53A84}"/>
    <cellStyle name="Comma 4 9 2 3 2" xfId="47645" xr:uid="{BCD86C09-4842-46B8-9A08-ECFF41E99567}"/>
    <cellStyle name="Comma 4 9 2 4" xfId="32525" xr:uid="{DBD2FC58-8A0C-423A-AB8D-1849EA5D1E8D}"/>
    <cellStyle name="Comma 4 9 3" xfId="3797" xr:uid="{CA607D04-0E2B-4982-A6E2-B28B60FE76EB}"/>
    <cellStyle name="Comma 4 9 3 2" xfId="12869" xr:uid="{32CD70D5-583C-48EB-956C-D9E2C258EF42}"/>
    <cellStyle name="Comma 4 9 3 2 2" xfId="27989" xr:uid="{235BE3B7-16EA-4CBB-9DFE-ECFCC934384F}"/>
    <cellStyle name="Comma 4 9 3 2 2 2" xfId="58229" xr:uid="{7EFB1A0D-F7C0-4850-9240-44C6119703D9}"/>
    <cellStyle name="Comma 4 9 3 2 3" xfId="43109" xr:uid="{61D5E563-4F1F-4164-B025-1583850398AA}"/>
    <cellStyle name="Comma 4 9 3 3" xfId="18917" xr:uid="{6C50E0E8-0C2B-46C8-9DAD-1F731CEB78FB}"/>
    <cellStyle name="Comma 4 9 3 3 2" xfId="49157" xr:uid="{6DD29FE3-0AF8-4AA2-8AAD-9BD7CBBC0D6F}"/>
    <cellStyle name="Comma 4 9 3 4" xfId="34037" xr:uid="{39DEDF7E-2CC2-4BE8-9BA0-F47104F4E31F}"/>
    <cellStyle name="Comma 4 9 4" xfId="5309" xr:uid="{AF775EB4-8231-4644-A5B3-6992DA1215DB}"/>
    <cellStyle name="Comma 4 9 4 2" xfId="14381" xr:uid="{F3667145-A54E-49D5-A176-6125F4F746F0}"/>
    <cellStyle name="Comma 4 9 4 2 2" xfId="29501" xr:uid="{D2AA2FD5-784B-44B3-9828-3215F81E5DA4}"/>
    <cellStyle name="Comma 4 9 4 2 2 2" xfId="59741" xr:uid="{1F7899FE-AF84-4D98-98D7-FD46010C494A}"/>
    <cellStyle name="Comma 4 9 4 2 3" xfId="44621" xr:uid="{9B603BE9-BAB3-46FC-91C8-FC70F308FB07}"/>
    <cellStyle name="Comma 4 9 4 3" xfId="20429" xr:uid="{86CCF1E8-ABC4-4C4A-8E3C-BA4951B750C1}"/>
    <cellStyle name="Comma 4 9 4 3 2" xfId="50669" xr:uid="{4261C129-DC2D-4714-8F68-C2B569ABD3F6}"/>
    <cellStyle name="Comma 4 9 4 4" xfId="35549" xr:uid="{DBBC692D-12AD-49F6-8605-0FD2D0E5E8DA}"/>
    <cellStyle name="Comma 4 9 5" xfId="6821" xr:uid="{78556195-D4FC-451E-992E-A17F73BAA269}"/>
    <cellStyle name="Comma 4 9 5 2" xfId="21941" xr:uid="{859A38AC-EF31-4A12-A101-63EDF9B50A0D}"/>
    <cellStyle name="Comma 4 9 5 2 2" xfId="52181" xr:uid="{CC3A9C31-DA41-4EE4-A83C-A3A302566F2F}"/>
    <cellStyle name="Comma 4 9 5 3" xfId="37061" xr:uid="{7FAD4DA4-F38F-43A5-9280-103BF551B9B1}"/>
    <cellStyle name="Comma 4 9 6" xfId="8333" xr:uid="{A9A9A914-C841-4ECF-BC35-8CFA2B288325}"/>
    <cellStyle name="Comma 4 9 6 2" xfId="23453" xr:uid="{6508D78E-29DA-48CF-9404-9E1861994259}"/>
    <cellStyle name="Comma 4 9 6 2 2" xfId="53693" xr:uid="{22A7447E-09A7-457C-ADDA-781CF068DF36}"/>
    <cellStyle name="Comma 4 9 6 3" xfId="38573" xr:uid="{E2208D01-88CB-4C2C-9888-B004E86FFA41}"/>
    <cellStyle name="Comma 4 9 7" xfId="9845" xr:uid="{7E9C0417-2DCC-4392-9268-48AC98F76159}"/>
    <cellStyle name="Comma 4 9 7 2" xfId="24965" xr:uid="{34971DDC-1AB5-4473-9DEC-8A076FEE45EB}"/>
    <cellStyle name="Comma 4 9 7 2 2" xfId="55205" xr:uid="{8E2B8EAE-FC16-40BB-BCCE-E60991D1BC14}"/>
    <cellStyle name="Comma 4 9 7 3" xfId="40085" xr:uid="{15A41FB0-B62F-42C9-83B5-6C4F9C0F7904}"/>
    <cellStyle name="Comma 4 9 8" xfId="15893" xr:uid="{628CA16F-2975-499F-A2D1-89450A36BE18}"/>
    <cellStyle name="Comma 4 9 8 2" xfId="46133" xr:uid="{C867FC9A-92A4-4C3B-9684-7BABFCD2A410}"/>
    <cellStyle name="Comma 4 9 9" xfId="31013" xr:uid="{10C9E526-BBFA-41E8-8A7F-8CD66F840DC2}"/>
    <cellStyle name="Comma 5" xfId="20" xr:uid="{82B6ACF3-7512-4882-BBC9-46CB718F78E2}"/>
    <cellStyle name="Comma 5 10" xfId="1532" xr:uid="{3DE1941D-E884-402E-96A2-8232DED8B45E}"/>
    <cellStyle name="Comma 5 10 2" xfId="10604" xr:uid="{0187BA85-8BAA-4D31-90D8-12DAD2ED78E7}"/>
    <cellStyle name="Comma 5 10 2 2" xfId="25724" xr:uid="{583C3F5D-897A-445F-A3B6-3D6069D77928}"/>
    <cellStyle name="Comma 5 10 2 2 2" xfId="55964" xr:uid="{F91242E8-7F34-4E57-B66D-26F8BE9783AA}"/>
    <cellStyle name="Comma 5 10 2 3" xfId="40844" xr:uid="{9E1B45E4-CF53-4575-B094-431AA01AC447}"/>
    <cellStyle name="Comma 5 10 3" xfId="16652" xr:uid="{1DF3B46B-85D5-4C0C-8E44-47F8A43FA2A0}"/>
    <cellStyle name="Comma 5 10 3 2" xfId="46892" xr:uid="{BEAD4EEE-FEFA-47A3-9E01-72CFD2E4FEA8}"/>
    <cellStyle name="Comma 5 10 4" xfId="31772" xr:uid="{6A9E4917-CCD0-4082-9A00-B1709C57E7D4}"/>
    <cellStyle name="Comma 5 11" xfId="3044" xr:uid="{2EC9BA10-028E-4D58-98AA-13B384646FA1}"/>
    <cellStyle name="Comma 5 11 2" xfId="12116" xr:uid="{6B4922F3-395F-46B0-BE68-F80EC512A594}"/>
    <cellStyle name="Comma 5 11 2 2" xfId="27236" xr:uid="{26CEB208-F7A5-4A66-9DDA-FFF10558B288}"/>
    <cellStyle name="Comma 5 11 2 2 2" xfId="57476" xr:uid="{0CF5DF4C-9B20-400F-B96C-745E5EC733D1}"/>
    <cellStyle name="Comma 5 11 2 3" xfId="42356" xr:uid="{D74D8665-E75D-4DC6-B25E-7F5630348D06}"/>
    <cellStyle name="Comma 5 11 3" xfId="18164" xr:uid="{F7AF7C0A-A608-4502-B186-85BCD73AEE8A}"/>
    <cellStyle name="Comma 5 11 3 2" xfId="48404" xr:uid="{174CFDC8-F79F-4AD7-9CEC-0BE7BB0FBC85}"/>
    <cellStyle name="Comma 5 11 4" xfId="33284" xr:uid="{8892C6AA-DC74-4DE1-9526-73FF4043B610}"/>
    <cellStyle name="Comma 5 12" xfId="4556" xr:uid="{A3A9DDF6-BA8E-41EF-8A17-5229FCC47D61}"/>
    <cellStyle name="Comma 5 12 2" xfId="13628" xr:uid="{BACA9BEE-37C9-4A80-A9F8-ED8C9ABC7BB8}"/>
    <cellStyle name="Comma 5 12 2 2" xfId="28748" xr:uid="{4B654A02-8C23-4248-AFE2-D352CAE9DF4E}"/>
    <cellStyle name="Comma 5 12 2 2 2" xfId="58988" xr:uid="{BC7AE491-BAD8-47DF-8375-0BD42A4880A0}"/>
    <cellStyle name="Comma 5 12 2 3" xfId="43868" xr:uid="{40BBE767-C9E8-4CA0-BBA3-1CFB0728ACC8}"/>
    <cellStyle name="Comma 5 12 3" xfId="19676" xr:uid="{4ECAE8A6-7567-4872-8CD3-AC4B19F19DD5}"/>
    <cellStyle name="Comma 5 12 3 2" xfId="49916" xr:uid="{0C5FB20C-9CB9-4AF8-AD76-3CA7969CC8F7}"/>
    <cellStyle name="Comma 5 12 4" xfId="34796" xr:uid="{279B78DA-ACA5-401E-8B29-C0C5E5C08C5C}"/>
    <cellStyle name="Comma 5 13" xfId="6068" xr:uid="{F8208D3E-6C7D-4691-AD3D-1523E03C8AE8}"/>
    <cellStyle name="Comma 5 13 2" xfId="21188" xr:uid="{6CF0B55F-1BC3-4093-8C3C-4CD92EC2B00C}"/>
    <cellStyle name="Comma 5 13 2 2" xfId="51428" xr:uid="{B03279FE-DE9A-42D0-AC01-DA15F90D25FF}"/>
    <cellStyle name="Comma 5 13 3" xfId="36308" xr:uid="{93EA62BB-122A-4496-A45C-37B829F45F71}"/>
    <cellStyle name="Comma 5 14" xfId="7580" xr:uid="{3DD0CFEC-B808-4B25-A5E9-A35E4131727F}"/>
    <cellStyle name="Comma 5 14 2" xfId="22700" xr:uid="{8DE60212-8CE7-4442-A731-0D6BEE70C6D0}"/>
    <cellStyle name="Comma 5 14 2 2" xfId="52940" xr:uid="{E556984C-92B7-44B9-B7B4-024A848E696A}"/>
    <cellStyle name="Comma 5 14 3" xfId="37820" xr:uid="{5EB927FD-C53C-4D77-B22B-D4CC14B95935}"/>
    <cellStyle name="Comma 5 15" xfId="9092" xr:uid="{2FBC63DB-E70B-4232-AACB-C0F3585B4AF2}"/>
    <cellStyle name="Comma 5 15 2" xfId="24212" xr:uid="{C878B15E-0DE2-45A1-B9E4-D2D719E05DA8}"/>
    <cellStyle name="Comma 5 15 2 2" xfId="54452" xr:uid="{7E8DA58E-3501-4626-9B41-BC234D8DC8BA}"/>
    <cellStyle name="Comma 5 15 3" xfId="39332" xr:uid="{901D051D-C99D-4E74-8338-3009C4E1DA6C}"/>
    <cellStyle name="Comma 5 16" xfId="15140" xr:uid="{2EAE83B0-C856-4DA9-A5F1-73B891C22729}"/>
    <cellStyle name="Comma 5 16 2" xfId="45380" xr:uid="{6C7DAC5A-10DC-4067-B61C-BEE9C1C26E75}"/>
    <cellStyle name="Comma 5 17" xfId="30260" xr:uid="{5CB27597-F067-4861-9A4E-AB6F652D8DAB}"/>
    <cellStyle name="Comma 5 2" xfId="34" xr:uid="{97FDAB0E-AF38-4107-B6AB-3C9A7C87AE34}"/>
    <cellStyle name="Comma 5 2 10" xfId="4570" xr:uid="{DC0A74C2-6FAD-423B-B2E6-C1A2BAF9DF72}"/>
    <cellStyle name="Comma 5 2 10 2" xfId="13642" xr:uid="{32D4251E-87FF-4FEA-813D-C5635B8D6A6C}"/>
    <cellStyle name="Comma 5 2 10 2 2" xfId="28762" xr:uid="{171D9155-3ABA-43AD-BB30-9B769D628886}"/>
    <cellStyle name="Comma 5 2 10 2 2 2" xfId="59002" xr:uid="{2F59631A-FBE8-499A-AC95-25DF20315EBA}"/>
    <cellStyle name="Comma 5 2 10 2 3" xfId="43882" xr:uid="{4EDC5496-7BBE-4A9D-B085-EDEC030292EB}"/>
    <cellStyle name="Comma 5 2 10 3" xfId="19690" xr:uid="{C684A8C1-5CB4-474C-A2F8-E946587C7C82}"/>
    <cellStyle name="Comma 5 2 10 3 2" xfId="49930" xr:uid="{45D5A19D-DB32-48F6-A140-900E4297F794}"/>
    <cellStyle name="Comma 5 2 10 4" xfId="34810" xr:uid="{BEBEFFA0-ACE2-4103-A230-04E633B07CA8}"/>
    <cellStyle name="Comma 5 2 11" xfId="6082" xr:uid="{DCC2B4F0-D820-47E5-A946-B822B805FE4C}"/>
    <cellStyle name="Comma 5 2 11 2" xfId="21202" xr:uid="{770FA1D3-B6A9-4FC5-8A29-501EE90DEE7F}"/>
    <cellStyle name="Comma 5 2 11 2 2" xfId="51442" xr:uid="{F2FCF267-DED8-406C-8EC8-5E369762E386}"/>
    <cellStyle name="Comma 5 2 11 3" xfId="36322" xr:uid="{E0A955D6-9471-4E50-8E9E-A4DD93A59984}"/>
    <cellStyle name="Comma 5 2 12" xfId="7594" xr:uid="{FCAAC1B4-24E5-4C61-A2A0-C93FC6153704}"/>
    <cellStyle name="Comma 5 2 12 2" xfId="22714" xr:uid="{007D5DE5-EC95-4663-8B1B-40FA9672EFFC}"/>
    <cellStyle name="Comma 5 2 12 2 2" xfId="52954" xr:uid="{A21F284F-4548-41A7-9FDF-A421078730CE}"/>
    <cellStyle name="Comma 5 2 12 3" xfId="37834" xr:uid="{021BDF28-B05F-4BB6-9CD6-BFCE4AA8DEBD}"/>
    <cellStyle name="Comma 5 2 13" xfId="9106" xr:uid="{D4E87F20-D246-4E44-8F26-7A84DEC3110D}"/>
    <cellStyle name="Comma 5 2 13 2" xfId="24226" xr:uid="{B3AE0A0F-261C-4945-9B85-956DA7EEA91D}"/>
    <cellStyle name="Comma 5 2 13 2 2" xfId="54466" xr:uid="{29C366AC-9A18-40F3-AFBF-2739592BF0A4}"/>
    <cellStyle name="Comma 5 2 13 3" xfId="39346" xr:uid="{E3B9B03B-3C35-43F3-8EA6-BB38926A8F13}"/>
    <cellStyle name="Comma 5 2 14" xfId="15154" xr:uid="{361CC5A9-73B9-40C9-A808-4B817AB382F4}"/>
    <cellStyle name="Comma 5 2 14 2" xfId="45394" xr:uid="{758775DC-A048-4767-9E22-3669DAD6DB6C}"/>
    <cellStyle name="Comma 5 2 15" xfId="30274" xr:uid="{DE52D9FF-F5A9-4AFE-8A3F-3AC5DDF5AAFC}"/>
    <cellStyle name="Comma 5 2 2" xfId="76" xr:uid="{51BB1BA9-64B6-4DA2-B5D1-E0F7EA70AC1F}"/>
    <cellStyle name="Comma 5 2 2 10" xfId="6124" xr:uid="{49BEBAA0-F33C-4EFE-AD15-8D521CC89FAA}"/>
    <cellStyle name="Comma 5 2 2 10 2" xfId="21244" xr:uid="{9CFB10F4-A3B9-4307-8708-1DA0743C4AB5}"/>
    <cellStyle name="Comma 5 2 2 10 2 2" xfId="51484" xr:uid="{23F4563A-8A59-437E-ACC7-F95E2E72003A}"/>
    <cellStyle name="Comma 5 2 2 10 3" xfId="36364" xr:uid="{58656BAE-64D0-4BA4-B619-BD5A40A55AF2}"/>
    <cellStyle name="Comma 5 2 2 11" xfId="7636" xr:uid="{7509A09A-5005-46C6-BAB4-72B60D64BDBF}"/>
    <cellStyle name="Comma 5 2 2 11 2" xfId="22756" xr:uid="{69806ABE-3FF4-49DF-9BC3-663DC7CFAA04}"/>
    <cellStyle name="Comma 5 2 2 11 2 2" xfId="52996" xr:uid="{072B6E3D-C514-4D07-9AB9-179FBE710F66}"/>
    <cellStyle name="Comma 5 2 2 11 3" xfId="37876" xr:uid="{AE69361E-F355-4786-A45F-ABCF092B27B8}"/>
    <cellStyle name="Comma 5 2 2 12" xfId="9148" xr:uid="{BB81DA90-1AB6-4191-8330-30ABB60FB603}"/>
    <cellStyle name="Comma 5 2 2 12 2" xfId="24268" xr:uid="{A968BDB3-BAB5-4CCB-BDA4-ACA93F55D0CA}"/>
    <cellStyle name="Comma 5 2 2 12 2 2" xfId="54508" xr:uid="{9BA47AD1-489A-47E1-A06B-E1A8C6003415}"/>
    <cellStyle name="Comma 5 2 2 12 3" xfId="39388" xr:uid="{DC2FA2F7-7811-4B51-95A8-87661BBC52B7}"/>
    <cellStyle name="Comma 5 2 2 13" xfId="15196" xr:uid="{B8CB9C5B-6137-4ABD-81A5-D1DD920921C1}"/>
    <cellStyle name="Comma 5 2 2 13 2" xfId="45436" xr:uid="{9DB3B84E-44F0-4B69-BF61-9A9D7B860D58}"/>
    <cellStyle name="Comma 5 2 2 14" xfId="30316" xr:uid="{8F0287B0-A342-4097-A360-41FD51A8CC04}"/>
    <cellStyle name="Comma 5 2 2 2" xfId="160" xr:uid="{8B5B4264-3B76-421F-A6D4-5CF496D42C1F}"/>
    <cellStyle name="Comma 5 2 2 2 10" xfId="9232" xr:uid="{EDE2AAA8-7F90-4EF8-A522-088503F01325}"/>
    <cellStyle name="Comma 5 2 2 2 10 2" xfId="24352" xr:uid="{10054C8D-932C-4A0C-ACA7-BC01FC771803}"/>
    <cellStyle name="Comma 5 2 2 2 10 2 2" xfId="54592" xr:uid="{E657A880-BEB2-4FED-9BE3-D4AFC75C8231}"/>
    <cellStyle name="Comma 5 2 2 2 10 3" xfId="39472" xr:uid="{BC2EAEB7-796F-4006-8808-D0BD76B3CB0A}"/>
    <cellStyle name="Comma 5 2 2 2 11" xfId="15280" xr:uid="{D204F3F4-0A92-41B0-A764-A3DF2CF218FA}"/>
    <cellStyle name="Comma 5 2 2 2 11 2" xfId="45520" xr:uid="{E7742B30-A588-490E-A1AB-DAFD5462EF42}"/>
    <cellStyle name="Comma 5 2 2 2 12" xfId="30400" xr:uid="{D4D8DC9B-9901-43E5-9401-EC57BB8BD472}"/>
    <cellStyle name="Comma 5 2 2 2 2" xfId="412" xr:uid="{9CF33987-E646-4773-87CE-0D04E1A72C00}"/>
    <cellStyle name="Comma 5 2 2 2 2 10" xfId="30652" xr:uid="{338E5940-AEE2-430C-BD65-445F2120EFC1}"/>
    <cellStyle name="Comma 5 2 2 2 2 2" xfId="1168" xr:uid="{C590C087-26B3-4C0E-A92A-3D3CE64A56CC}"/>
    <cellStyle name="Comma 5 2 2 2 2 2 2" xfId="2680" xr:uid="{5C3FB865-A1EF-41CF-8EF6-77B9A35411E8}"/>
    <cellStyle name="Comma 5 2 2 2 2 2 2 2" xfId="11752" xr:uid="{6986E218-E6A8-4C7F-9065-469A058B5C31}"/>
    <cellStyle name="Comma 5 2 2 2 2 2 2 2 2" xfId="26872" xr:uid="{8D1FEFB9-F9FA-456C-BF31-F3FAFDF1571A}"/>
    <cellStyle name="Comma 5 2 2 2 2 2 2 2 2 2" xfId="57112" xr:uid="{0455FB40-2F78-4C37-B74D-876DCB729D48}"/>
    <cellStyle name="Comma 5 2 2 2 2 2 2 2 3" xfId="41992" xr:uid="{83A60E69-22C9-4D74-B964-C24886182C63}"/>
    <cellStyle name="Comma 5 2 2 2 2 2 2 3" xfId="17800" xr:uid="{54F248B1-0496-4993-B490-AFB7B3D7C04D}"/>
    <cellStyle name="Comma 5 2 2 2 2 2 2 3 2" xfId="48040" xr:uid="{9B6A8A67-560F-4A6D-BF8D-95B7B8F00465}"/>
    <cellStyle name="Comma 5 2 2 2 2 2 2 4" xfId="32920" xr:uid="{14D0AC94-8B49-49DB-A381-D3276BEB92C8}"/>
    <cellStyle name="Comma 5 2 2 2 2 2 3" xfId="4192" xr:uid="{0E7ED887-5F5F-4BF9-99F3-8968E17DA30D}"/>
    <cellStyle name="Comma 5 2 2 2 2 2 3 2" xfId="13264" xr:uid="{E80C7433-DBEA-442B-87D1-F9E2D9E228CC}"/>
    <cellStyle name="Comma 5 2 2 2 2 2 3 2 2" xfId="28384" xr:uid="{95CEDE1E-11B9-44C9-B173-EA66C36454E2}"/>
    <cellStyle name="Comma 5 2 2 2 2 2 3 2 2 2" xfId="58624" xr:uid="{9A0BD7B5-5A5E-42BC-B06A-A806BB7A62E5}"/>
    <cellStyle name="Comma 5 2 2 2 2 2 3 2 3" xfId="43504" xr:uid="{0E762B26-6AD4-45D7-B055-4E48B2142A4C}"/>
    <cellStyle name="Comma 5 2 2 2 2 2 3 3" xfId="19312" xr:uid="{5F9021FF-A83C-43BA-9A98-1AF288408195}"/>
    <cellStyle name="Comma 5 2 2 2 2 2 3 3 2" xfId="49552" xr:uid="{6DC1FCCD-063B-472E-8C1C-FB7DBBB5CD48}"/>
    <cellStyle name="Comma 5 2 2 2 2 2 3 4" xfId="34432" xr:uid="{11645762-20B8-4110-901E-88946C22C6BF}"/>
    <cellStyle name="Comma 5 2 2 2 2 2 4" xfId="5704" xr:uid="{7C9B8971-98D0-4FEB-A690-B3B7D6A47C8E}"/>
    <cellStyle name="Comma 5 2 2 2 2 2 4 2" xfId="14776" xr:uid="{1CF10849-BAC6-41EE-BF4E-D35DCA796780}"/>
    <cellStyle name="Comma 5 2 2 2 2 2 4 2 2" xfId="29896" xr:uid="{7A0B6EBF-F60D-450D-8CF9-F8296BC325C9}"/>
    <cellStyle name="Comma 5 2 2 2 2 2 4 2 2 2" xfId="60136" xr:uid="{D81115B3-AB50-45B8-A289-44211ED8881A}"/>
    <cellStyle name="Comma 5 2 2 2 2 2 4 2 3" xfId="45016" xr:uid="{B169FFB6-0FFE-484B-A292-CA4986B9841B}"/>
    <cellStyle name="Comma 5 2 2 2 2 2 4 3" xfId="20824" xr:uid="{8D3A19ED-909D-4BA6-9A90-D48725DBD9A1}"/>
    <cellStyle name="Comma 5 2 2 2 2 2 4 3 2" xfId="51064" xr:uid="{0929611E-E1B0-4441-AA83-29DEF18F6E79}"/>
    <cellStyle name="Comma 5 2 2 2 2 2 4 4" xfId="35944" xr:uid="{A180959D-F783-4EE0-A57F-EE0E742B2D86}"/>
    <cellStyle name="Comma 5 2 2 2 2 2 5" xfId="7216" xr:uid="{949EDB35-049A-47F9-840B-99F973041A56}"/>
    <cellStyle name="Comma 5 2 2 2 2 2 5 2" xfId="22336" xr:uid="{2C6C8DC1-0F8A-470D-8F25-DC26EBA2B4C2}"/>
    <cellStyle name="Comma 5 2 2 2 2 2 5 2 2" xfId="52576" xr:uid="{7C6779E4-F149-4F1D-8BD3-55D4A9EBF855}"/>
    <cellStyle name="Comma 5 2 2 2 2 2 5 3" xfId="37456" xr:uid="{DE6E782E-5E93-4E56-B548-C273336DF41A}"/>
    <cellStyle name="Comma 5 2 2 2 2 2 6" xfId="8728" xr:uid="{EC111846-B73D-4D1C-885A-2416189EEB5F}"/>
    <cellStyle name="Comma 5 2 2 2 2 2 6 2" xfId="23848" xr:uid="{9C87519C-7FFD-4F3D-A35C-811A558D881A}"/>
    <cellStyle name="Comma 5 2 2 2 2 2 6 2 2" xfId="54088" xr:uid="{8E533926-17E6-4BB9-85ED-B598ABA2CB7E}"/>
    <cellStyle name="Comma 5 2 2 2 2 2 6 3" xfId="38968" xr:uid="{06CAE508-0807-4BDA-9BCE-B877DF206177}"/>
    <cellStyle name="Comma 5 2 2 2 2 2 7" xfId="10240" xr:uid="{F3909B49-5964-4117-BEF5-471D5D29EF3F}"/>
    <cellStyle name="Comma 5 2 2 2 2 2 7 2" xfId="25360" xr:uid="{257A77E1-7F9C-4E99-982F-40F9C9527476}"/>
    <cellStyle name="Comma 5 2 2 2 2 2 7 2 2" xfId="55600" xr:uid="{3F8464FE-17F7-4E6B-9B1E-3B84711A5C24}"/>
    <cellStyle name="Comma 5 2 2 2 2 2 7 3" xfId="40480" xr:uid="{48C38519-3ECB-4D08-AC14-31AFB6B0936C}"/>
    <cellStyle name="Comma 5 2 2 2 2 2 8" xfId="16288" xr:uid="{D6B9A0BB-6F63-4079-BB20-D1F6CA806DF5}"/>
    <cellStyle name="Comma 5 2 2 2 2 2 8 2" xfId="46528" xr:uid="{9059E772-6F44-44A1-A113-5BF78A4463A2}"/>
    <cellStyle name="Comma 5 2 2 2 2 2 9" xfId="31408" xr:uid="{B59D84A2-C4EF-4244-928C-54A6683140A6}"/>
    <cellStyle name="Comma 5 2 2 2 2 3" xfId="1924" xr:uid="{B41D8EA3-9013-456E-979C-058C5B5A0DE2}"/>
    <cellStyle name="Comma 5 2 2 2 2 3 2" xfId="10996" xr:uid="{20775AD9-E035-448F-A3AF-7E6CDF7D296B}"/>
    <cellStyle name="Comma 5 2 2 2 2 3 2 2" xfId="26116" xr:uid="{0F758FB7-869B-456E-AE70-49BFCF63CEF4}"/>
    <cellStyle name="Comma 5 2 2 2 2 3 2 2 2" xfId="56356" xr:uid="{56C8FD46-AA41-409D-8927-44A1158F216F}"/>
    <cellStyle name="Comma 5 2 2 2 2 3 2 3" xfId="41236" xr:uid="{813694C4-EACF-4E88-8B2B-777FA2835416}"/>
    <cellStyle name="Comma 5 2 2 2 2 3 3" xfId="17044" xr:uid="{18E8BA7C-7A92-4CC7-BD5E-7762A54F5655}"/>
    <cellStyle name="Comma 5 2 2 2 2 3 3 2" xfId="47284" xr:uid="{2FFB3D6D-AFB4-4FCD-9D3B-53D591644449}"/>
    <cellStyle name="Comma 5 2 2 2 2 3 4" xfId="32164" xr:uid="{3DB0C2FA-EC6B-4B50-B535-ACD03D1645D7}"/>
    <cellStyle name="Comma 5 2 2 2 2 4" xfId="3436" xr:uid="{FD4D0BD7-3DDF-4663-B5D2-52B6C5D6AD35}"/>
    <cellStyle name="Comma 5 2 2 2 2 4 2" xfId="12508" xr:uid="{22483F74-36FB-4D20-A15A-C2F2AA47E48D}"/>
    <cellStyle name="Comma 5 2 2 2 2 4 2 2" xfId="27628" xr:uid="{F7CB53E9-5A48-4E58-96C2-3E312EAA9D37}"/>
    <cellStyle name="Comma 5 2 2 2 2 4 2 2 2" xfId="57868" xr:uid="{3B7A8063-6601-4728-A884-067B55F51FF4}"/>
    <cellStyle name="Comma 5 2 2 2 2 4 2 3" xfId="42748" xr:uid="{33C3B655-BA37-400F-B16A-09789B6D6E12}"/>
    <cellStyle name="Comma 5 2 2 2 2 4 3" xfId="18556" xr:uid="{D1CF4834-E362-4C4F-8825-6D44184EC2A6}"/>
    <cellStyle name="Comma 5 2 2 2 2 4 3 2" xfId="48796" xr:uid="{4B7563B7-31FA-464B-BD87-E5E00E612412}"/>
    <cellStyle name="Comma 5 2 2 2 2 4 4" xfId="33676" xr:uid="{C9089054-9853-4D66-9B77-ABADF53F7F87}"/>
    <cellStyle name="Comma 5 2 2 2 2 5" xfId="4948" xr:uid="{D06C6690-7027-443A-83BB-DD9E0EE581D1}"/>
    <cellStyle name="Comma 5 2 2 2 2 5 2" xfId="14020" xr:uid="{70B37ADC-4172-42B1-ACCC-EABDD8752051}"/>
    <cellStyle name="Comma 5 2 2 2 2 5 2 2" xfId="29140" xr:uid="{06866C4F-43F1-4503-9A5C-11D0BCB3B8E7}"/>
    <cellStyle name="Comma 5 2 2 2 2 5 2 2 2" xfId="59380" xr:uid="{AD43EED9-8522-4F32-AA79-3004A8A48DCE}"/>
    <cellStyle name="Comma 5 2 2 2 2 5 2 3" xfId="44260" xr:uid="{1A490B43-3A30-4CB2-B0C5-30124DB60717}"/>
    <cellStyle name="Comma 5 2 2 2 2 5 3" xfId="20068" xr:uid="{DCFFBAF0-3235-4248-A0A5-1371F0E5F4C8}"/>
    <cellStyle name="Comma 5 2 2 2 2 5 3 2" xfId="50308" xr:uid="{CF4CF18C-9076-4549-B821-2F35B0344E95}"/>
    <cellStyle name="Comma 5 2 2 2 2 5 4" xfId="35188" xr:uid="{4BCF3874-3D67-47F7-95FA-E9A131778291}"/>
    <cellStyle name="Comma 5 2 2 2 2 6" xfId="6460" xr:uid="{FB215FE5-25FE-4DDC-B6DA-984085802007}"/>
    <cellStyle name="Comma 5 2 2 2 2 6 2" xfId="21580" xr:uid="{EFD3B777-B237-45B4-A472-F8091D8EF914}"/>
    <cellStyle name="Comma 5 2 2 2 2 6 2 2" xfId="51820" xr:uid="{D872B386-9E42-4D5C-84F8-79DE3FB87854}"/>
    <cellStyle name="Comma 5 2 2 2 2 6 3" xfId="36700" xr:uid="{C99D3DB2-EFBF-467C-80DB-4C06C3268AB4}"/>
    <cellStyle name="Comma 5 2 2 2 2 7" xfId="7972" xr:uid="{8953010B-20B7-443C-B966-16160A546001}"/>
    <cellStyle name="Comma 5 2 2 2 2 7 2" xfId="23092" xr:uid="{E21AA95F-3753-4D72-86E6-26C069D53DCE}"/>
    <cellStyle name="Comma 5 2 2 2 2 7 2 2" xfId="53332" xr:uid="{AC3B74B6-1B16-40BB-82A8-509969168B8A}"/>
    <cellStyle name="Comma 5 2 2 2 2 7 3" xfId="38212" xr:uid="{D1CEE95F-76FC-4940-B46F-C5EB6C23B925}"/>
    <cellStyle name="Comma 5 2 2 2 2 8" xfId="9484" xr:uid="{9EC0CC5E-454E-49A9-B89C-8DA4F3888A14}"/>
    <cellStyle name="Comma 5 2 2 2 2 8 2" xfId="24604" xr:uid="{28B98150-21FB-4F96-BC06-7BCC92F9FC4E}"/>
    <cellStyle name="Comma 5 2 2 2 2 8 2 2" xfId="54844" xr:uid="{223A2BD4-A5F9-4145-8E55-8DD9628EBF78}"/>
    <cellStyle name="Comma 5 2 2 2 2 8 3" xfId="39724" xr:uid="{F788F39E-A84A-4EB4-8A63-AC2D76C92FD0}"/>
    <cellStyle name="Comma 5 2 2 2 2 9" xfId="15532" xr:uid="{3C82033C-2D53-435B-943F-32BF3F5D503F}"/>
    <cellStyle name="Comma 5 2 2 2 2 9 2" xfId="45772" xr:uid="{320C12B3-CEC7-4169-9336-61416A7541C5}"/>
    <cellStyle name="Comma 5 2 2 2 3" xfId="664" xr:uid="{6B9D12BF-05A5-4CC0-80FF-4988FC5C708B}"/>
    <cellStyle name="Comma 5 2 2 2 3 10" xfId="30904" xr:uid="{FD0C462A-B213-43ED-9C07-A6FB64E8E10B}"/>
    <cellStyle name="Comma 5 2 2 2 3 2" xfId="1420" xr:uid="{A32C7CC7-5095-4423-9964-FDFF7A13FC29}"/>
    <cellStyle name="Comma 5 2 2 2 3 2 2" xfId="2932" xr:uid="{A0097AF7-DFE4-4CD6-8937-387C38FF4932}"/>
    <cellStyle name="Comma 5 2 2 2 3 2 2 2" xfId="12004" xr:uid="{4FFDD032-95D2-4AB1-AAE8-6A09BDA8C33E}"/>
    <cellStyle name="Comma 5 2 2 2 3 2 2 2 2" xfId="27124" xr:uid="{90392885-847A-4A4D-AF74-576A4D792398}"/>
    <cellStyle name="Comma 5 2 2 2 3 2 2 2 2 2" xfId="57364" xr:uid="{7E37A454-8FC8-4522-A7C7-778B184FFFAD}"/>
    <cellStyle name="Comma 5 2 2 2 3 2 2 2 3" xfId="42244" xr:uid="{85DEB131-C50E-4D56-8D2C-4349042C9B93}"/>
    <cellStyle name="Comma 5 2 2 2 3 2 2 3" xfId="18052" xr:uid="{DD92D918-678D-4943-A289-3376CA4A2C78}"/>
    <cellStyle name="Comma 5 2 2 2 3 2 2 3 2" xfId="48292" xr:uid="{0C2F7C6B-D5D8-42BD-ACED-AE1268185F8D}"/>
    <cellStyle name="Comma 5 2 2 2 3 2 2 4" xfId="33172" xr:uid="{4FC202D1-9265-4F76-B2BA-80D9A7AD44EB}"/>
    <cellStyle name="Comma 5 2 2 2 3 2 3" xfId="4444" xr:uid="{099F7A1D-2A95-44EA-B769-0F47CA794BF3}"/>
    <cellStyle name="Comma 5 2 2 2 3 2 3 2" xfId="13516" xr:uid="{91902772-FE4B-434D-A152-578B26571122}"/>
    <cellStyle name="Comma 5 2 2 2 3 2 3 2 2" xfId="28636" xr:uid="{B616B1C0-E0F5-4C18-BEE1-60DEB8D273A3}"/>
    <cellStyle name="Comma 5 2 2 2 3 2 3 2 2 2" xfId="58876" xr:uid="{7BB60D01-BADD-4951-BFA1-5CDC55E8D3B2}"/>
    <cellStyle name="Comma 5 2 2 2 3 2 3 2 3" xfId="43756" xr:uid="{7E10EA67-C4B5-4007-A900-3C3E5379F077}"/>
    <cellStyle name="Comma 5 2 2 2 3 2 3 3" xfId="19564" xr:uid="{BE0162F8-72F1-4F5A-A6A2-D774E3C03852}"/>
    <cellStyle name="Comma 5 2 2 2 3 2 3 3 2" xfId="49804" xr:uid="{A8DE7026-38B4-4A9F-B038-D6152132558C}"/>
    <cellStyle name="Comma 5 2 2 2 3 2 3 4" xfId="34684" xr:uid="{159EBAB9-8A5F-45CE-B913-D77731D3FD37}"/>
    <cellStyle name="Comma 5 2 2 2 3 2 4" xfId="5956" xr:uid="{611FD580-191A-4656-93F4-5A6260DBC64D}"/>
    <cellStyle name="Comma 5 2 2 2 3 2 4 2" xfId="15028" xr:uid="{F94EB6AB-70AC-47A2-AC75-7D44F3B5777A}"/>
    <cellStyle name="Comma 5 2 2 2 3 2 4 2 2" xfId="30148" xr:uid="{E87516FE-6903-47CB-97D4-DE6F9AFE5A8E}"/>
    <cellStyle name="Comma 5 2 2 2 3 2 4 2 2 2" xfId="60388" xr:uid="{BC64B73A-4DF3-43CA-B130-177DF884218D}"/>
    <cellStyle name="Comma 5 2 2 2 3 2 4 2 3" xfId="45268" xr:uid="{96299478-8B6F-44F9-8C68-07CD2DED0C41}"/>
    <cellStyle name="Comma 5 2 2 2 3 2 4 3" xfId="21076" xr:uid="{A6006C86-4FA0-4420-BC28-5FCB757EFDDF}"/>
    <cellStyle name="Comma 5 2 2 2 3 2 4 3 2" xfId="51316" xr:uid="{655824C2-408C-4CBF-959D-3D959BE8961C}"/>
    <cellStyle name="Comma 5 2 2 2 3 2 4 4" xfId="36196" xr:uid="{CC84E715-ED20-41FA-B194-D1A08DADEAC5}"/>
    <cellStyle name="Comma 5 2 2 2 3 2 5" xfId="7468" xr:uid="{59ADE3DB-F62C-41BD-A18E-C6E3302C69AF}"/>
    <cellStyle name="Comma 5 2 2 2 3 2 5 2" xfId="22588" xr:uid="{3804D672-299C-472E-9B4C-49F67D0DF444}"/>
    <cellStyle name="Comma 5 2 2 2 3 2 5 2 2" xfId="52828" xr:uid="{0971FC95-0E67-44F3-9D5C-24ACD8314A1A}"/>
    <cellStyle name="Comma 5 2 2 2 3 2 5 3" xfId="37708" xr:uid="{AE7DB7A0-EFD8-4D17-BBAD-239B71A5753B}"/>
    <cellStyle name="Comma 5 2 2 2 3 2 6" xfId="8980" xr:uid="{B6E0584A-9BEC-4DFB-8550-B186AFBA939F}"/>
    <cellStyle name="Comma 5 2 2 2 3 2 6 2" xfId="24100" xr:uid="{B85FF3A0-7A02-4904-9604-93968ECF6342}"/>
    <cellStyle name="Comma 5 2 2 2 3 2 6 2 2" xfId="54340" xr:uid="{13877484-D610-439C-9975-369132EAF825}"/>
    <cellStyle name="Comma 5 2 2 2 3 2 6 3" xfId="39220" xr:uid="{5DE5C74B-4533-41CA-B46D-448EC54C0A30}"/>
    <cellStyle name="Comma 5 2 2 2 3 2 7" xfId="10492" xr:uid="{5C6919FB-070B-4406-BBC1-DC283D35F928}"/>
    <cellStyle name="Comma 5 2 2 2 3 2 7 2" xfId="25612" xr:uid="{9C247B59-106E-4C0C-83F8-B9F2AEA820D1}"/>
    <cellStyle name="Comma 5 2 2 2 3 2 7 2 2" xfId="55852" xr:uid="{7DD118AE-10F1-4957-A1FD-123E70A46BC5}"/>
    <cellStyle name="Comma 5 2 2 2 3 2 7 3" xfId="40732" xr:uid="{B5ECC6EB-37DA-45B3-90C3-221937D0BE13}"/>
    <cellStyle name="Comma 5 2 2 2 3 2 8" xfId="16540" xr:uid="{6136B6BB-83DD-4699-A888-6B39C4A857ED}"/>
    <cellStyle name="Comma 5 2 2 2 3 2 8 2" xfId="46780" xr:uid="{155094B9-2CAC-45D4-9B2B-BAAF0D0D9294}"/>
    <cellStyle name="Comma 5 2 2 2 3 2 9" xfId="31660" xr:uid="{13B989AE-2C31-4507-9AC7-4DDF7D59265F}"/>
    <cellStyle name="Comma 5 2 2 2 3 3" xfId="2176" xr:uid="{3AE36447-6170-48DC-AF83-D09060AD8EF8}"/>
    <cellStyle name="Comma 5 2 2 2 3 3 2" xfId="11248" xr:uid="{F9C17BD7-B5B1-4EE2-ADCE-61728BE2B2FC}"/>
    <cellStyle name="Comma 5 2 2 2 3 3 2 2" xfId="26368" xr:uid="{2AD7C84A-8576-402B-B8EC-BBA9A25FAB37}"/>
    <cellStyle name="Comma 5 2 2 2 3 3 2 2 2" xfId="56608" xr:uid="{09872AC4-E661-450B-A44F-44A07559D0B0}"/>
    <cellStyle name="Comma 5 2 2 2 3 3 2 3" xfId="41488" xr:uid="{75E6293D-3C4C-4F27-9528-AFF13B7C8036}"/>
    <cellStyle name="Comma 5 2 2 2 3 3 3" xfId="17296" xr:uid="{F0D9328D-8849-4F28-924C-CA30CCA06669}"/>
    <cellStyle name="Comma 5 2 2 2 3 3 3 2" xfId="47536" xr:uid="{F6B15B01-9F89-4732-97F5-02482E2CC206}"/>
    <cellStyle name="Comma 5 2 2 2 3 3 4" xfId="32416" xr:uid="{8CD0132D-6365-47CB-AEF9-1C21C5B58B9D}"/>
    <cellStyle name="Comma 5 2 2 2 3 4" xfId="3688" xr:uid="{7C9B9B46-87CD-4721-8D3D-3F234A7125FC}"/>
    <cellStyle name="Comma 5 2 2 2 3 4 2" xfId="12760" xr:uid="{280E6042-AAC3-4777-89DA-8D26306F04D0}"/>
    <cellStyle name="Comma 5 2 2 2 3 4 2 2" xfId="27880" xr:uid="{6BBF9843-1ABA-4697-9EA2-0445AEBAC7C4}"/>
    <cellStyle name="Comma 5 2 2 2 3 4 2 2 2" xfId="58120" xr:uid="{E1DE959B-61CB-46C4-BA0F-05190DEC0A9E}"/>
    <cellStyle name="Comma 5 2 2 2 3 4 2 3" xfId="43000" xr:uid="{5EB40D92-7F96-4908-99F6-9D9AB2C56A2F}"/>
    <cellStyle name="Comma 5 2 2 2 3 4 3" xfId="18808" xr:uid="{86DB973B-D804-4CB5-95B1-F8E211C61F25}"/>
    <cellStyle name="Comma 5 2 2 2 3 4 3 2" xfId="49048" xr:uid="{A542E71E-641D-4C78-B562-A02FD2E7DDFD}"/>
    <cellStyle name="Comma 5 2 2 2 3 4 4" xfId="33928" xr:uid="{142E13F0-A7B6-42BF-9743-4FD48BAE14C8}"/>
    <cellStyle name="Comma 5 2 2 2 3 5" xfId="5200" xr:uid="{B6C780E3-14DD-4FBC-A60B-B0901B47E37B}"/>
    <cellStyle name="Comma 5 2 2 2 3 5 2" xfId="14272" xr:uid="{949DE7BC-BF2C-4D3C-9B3A-2D9A303C124F}"/>
    <cellStyle name="Comma 5 2 2 2 3 5 2 2" xfId="29392" xr:uid="{C8884FD0-A459-4FFD-9236-7688889A875B}"/>
    <cellStyle name="Comma 5 2 2 2 3 5 2 2 2" xfId="59632" xr:uid="{F43F7EDC-931A-4522-A95E-3B3DA92C5A0C}"/>
    <cellStyle name="Comma 5 2 2 2 3 5 2 3" xfId="44512" xr:uid="{2FE8982C-FF5C-4AE7-BF82-65506B55C23C}"/>
    <cellStyle name="Comma 5 2 2 2 3 5 3" xfId="20320" xr:uid="{EABF5D4D-3E8E-488B-B471-1512880930B7}"/>
    <cellStyle name="Comma 5 2 2 2 3 5 3 2" xfId="50560" xr:uid="{772D092A-04CE-420E-8991-303CB48F8342}"/>
    <cellStyle name="Comma 5 2 2 2 3 5 4" xfId="35440" xr:uid="{3A1C6715-F0EF-4622-A928-22EB2C88E358}"/>
    <cellStyle name="Comma 5 2 2 2 3 6" xfId="6712" xr:uid="{056D9370-D23E-4E5B-A4FF-FE2B7A1C17A1}"/>
    <cellStyle name="Comma 5 2 2 2 3 6 2" xfId="21832" xr:uid="{DF79CED1-8D3E-4785-99D0-7E59F273E1EF}"/>
    <cellStyle name="Comma 5 2 2 2 3 6 2 2" xfId="52072" xr:uid="{357B0996-FF21-483E-ACDD-0C2BB6999D44}"/>
    <cellStyle name="Comma 5 2 2 2 3 6 3" xfId="36952" xr:uid="{BDD74486-70D9-4D29-9506-D979B331A9AC}"/>
    <cellStyle name="Comma 5 2 2 2 3 7" xfId="8224" xr:uid="{B71B381D-1D3A-44BF-9105-6E8F7D5CC147}"/>
    <cellStyle name="Comma 5 2 2 2 3 7 2" xfId="23344" xr:uid="{4D9BD2AF-1439-4283-9E68-37C9ED3AA064}"/>
    <cellStyle name="Comma 5 2 2 2 3 7 2 2" xfId="53584" xr:uid="{2E99B6A5-2A45-47DA-AABD-88B37F036DEE}"/>
    <cellStyle name="Comma 5 2 2 2 3 7 3" xfId="38464" xr:uid="{1D93173A-A364-4B6F-8486-5754B1823F80}"/>
    <cellStyle name="Comma 5 2 2 2 3 8" xfId="9736" xr:uid="{3C034FB6-129A-4448-8FBB-850162414C1E}"/>
    <cellStyle name="Comma 5 2 2 2 3 8 2" xfId="24856" xr:uid="{A7197C67-4E91-4B19-A9D5-DF01921AE985}"/>
    <cellStyle name="Comma 5 2 2 2 3 8 2 2" xfId="55096" xr:uid="{B14BFFB4-E08E-4C58-91E8-155C28C93FAB}"/>
    <cellStyle name="Comma 5 2 2 2 3 8 3" xfId="39976" xr:uid="{5D1E7BE1-F19E-4ED2-8E9B-7D117AC9BEF5}"/>
    <cellStyle name="Comma 5 2 2 2 3 9" xfId="15784" xr:uid="{CE56236E-8164-4B89-88F5-F86C393ECB66}"/>
    <cellStyle name="Comma 5 2 2 2 3 9 2" xfId="46024" xr:uid="{585B3DCD-04BF-4375-936C-BC42F553773F}"/>
    <cellStyle name="Comma 5 2 2 2 4" xfId="916" xr:uid="{B0107009-B339-4594-9F71-4660201B5E9A}"/>
    <cellStyle name="Comma 5 2 2 2 4 2" xfId="2428" xr:uid="{EC1AE332-276F-4A59-98BB-E64757A76A28}"/>
    <cellStyle name="Comma 5 2 2 2 4 2 2" xfId="11500" xr:uid="{5A23DCC7-9B61-48BD-858D-A0EF758BD28C}"/>
    <cellStyle name="Comma 5 2 2 2 4 2 2 2" xfId="26620" xr:uid="{79A876C7-9AD5-45BA-88E7-3BFF9AA2219B}"/>
    <cellStyle name="Comma 5 2 2 2 4 2 2 2 2" xfId="56860" xr:uid="{CA0D0EBC-735E-45EF-A128-8299D8CF800B}"/>
    <cellStyle name="Comma 5 2 2 2 4 2 2 3" xfId="41740" xr:uid="{99B221B1-2046-48A1-B04E-86E6510FB4EF}"/>
    <cellStyle name="Comma 5 2 2 2 4 2 3" xfId="17548" xr:uid="{42DD4BF7-9987-42B9-9317-A94E15896961}"/>
    <cellStyle name="Comma 5 2 2 2 4 2 3 2" xfId="47788" xr:uid="{A00E87CC-A8A2-42CC-B101-423DAC795D74}"/>
    <cellStyle name="Comma 5 2 2 2 4 2 4" xfId="32668" xr:uid="{9240CD2C-DF92-4B4A-9706-8A10EEF10E40}"/>
    <cellStyle name="Comma 5 2 2 2 4 3" xfId="3940" xr:uid="{1C680F52-4E91-41BB-94A1-8C491F302A07}"/>
    <cellStyle name="Comma 5 2 2 2 4 3 2" xfId="13012" xr:uid="{BC9CF7DA-A6A4-408A-B459-870F026AA3A5}"/>
    <cellStyle name="Comma 5 2 2 2 4 3 2 2" xfId="28132" xr:uid="{AAD70FF5-4BC2-447C-8F58-C9767E778431}"/>
    <cellStyle name="Comma 5 2 2 2 4 3 2 2 2" xfId="58372" xr:uid="{737F9311-5976-4C60-8581-4A84CEFF65E6}"/>
    <cellStyle name="Comma 5 2 2 2 4 3 2 3" xfId="43252" xr:uid="{45EA4C78-A745-4DA6-BA2B-246D3574DB12}"/>
    <cellStyle name="Comma 5 2 2 2 4 3 3" xfId="19060" xr:uid="{FFE765A4-2C32-4AD1-91A7-8D3F44F9EC5A}"/>
    <cellStyle name="Comma 5 2 2 2 4 3 3 2" xfId="49300" xr:uid="{D706610C-CE72-45B1-AB56-6B1D79C5EB9A}"/>
    <cellStyle name="Comma 5 2 2 2 4 3 4" xfId="34180" xr:uid="{0061F802-0257-4F00-9805-EF6E69444E7D}"/>
    <cellStyle name="Comma 5 2 2 2 4 4" xfId="5452" xr:uid="{E8FE7CB1-20B6-4AAF-BFB3-CC06874E2950}"/>
    <cellStyle name="Comma 5 2 2 2 4 4 2" xfId="14524" xr:uid="{8CC4630C-F74B-486C-B62D-E62CE3DC585A}"/>
    <cellStyle name="Comma 5 2 2 2 4 4 2 2" xfId="29644" xr:uid="{8E28D2F2-A2AD-42E2-B61F-4FCD02F2E775}"/>
    <cellStyle name="Comma 5 2 2 2 4 4 2 2 2" xfId="59884" xr:uid="{C8403733-FF6B-45A2-88B3-6F4DE25534AC}"/>
    <cellStyle name="Comma 5 2 2 2 4 4 2 3" xfId="44764" xr:uid="{E251B431-0904-42A0-BC6B-45A2CCB4DAE6}"/>
    <cellStyle name="Comma 5 2 2 2 4 4 3" xfId="20572" xr:uid="{E569B7B6-059B-4564-891D-8EA258DA066F}"/>
    <cellStyle name="Comma 5 2 2 2 4 4 3 2" xfId="50812" xr:uid="{3C77F6DB-2731-4BFD-9BAD-E0A2A29C35C2}"/>
    <cellStyle name="Comma 5 2 2 2 4 4 4" xfId="35692" xr:uid="{C2E81C99-A06F-453D-A86D-DD019AB76C94}"/>
    <cellStyle name="Comma 5 2 2 2 4 5" xfId="6964" xr:uid="{2FC97C97-98C7-4881-87C4-8CF633B30287}"/>
    <cellStyle name="Comma 5 2 2 2 4 5 2" xfId="22084" xr:uid="{53FAEA21-28D6-42C0-A45A-172042E50D92}"/>
    <cellStyle name="Comma 5 2 2 2 4 5 2 2" xfId="52324" xr:uid="{3EFF87AC-1989-438B-9B3B-789721F378BD}"/>
    <cellStyle name="Comma 5 2 2 2 4 5 3" xfId="37204" xr:uid="{01655D25-3DAB-4B33-A136-0AECA986B5A6}"/>
    <cellStyle name="Comma 5 2 2 2 4 6" xfId="8476" xr:uid="{8A57E58E-2856-4EBF-915E-F3141128ABF4}"/>
    <cellStyle name="Comma 5 2 2 2 4 6 2" xfId="23596" xr:uid="{680F8F59-1558-4727-B7AF-261B16B21463}"/>
    <cellStyle name="Comma 5 2 2 2 4 6 2 2" xfId="53836" xr:uid="{CE7D7BD8-B7B9-4390-94EA-F87B19E04B8E}"/>
    <cellStyle name="Comma 5 2 2 2 4 6 3" xfId="38716" xr:uid="{AC3C305E-FA52-4890-86FC-6B0EAC7725A2}"/>
    <cellStyle name="Comma 5 2 2 2 4 7" xfId="9988" xr:uid="{3A46DCD8-D8CF-4B33-A52D-5487DF02222F}"/>
    <cellStyle name="Comma 5 2 2 2 4 7 2" xfId="25108" xr:uid="{F76A74F3-58DB-4294-A3E7-4DDB5FD94A8E}"/>
    <cellStyle name="Comma 5 2 2 2 4 7 2 2" xfId="55348" xr:uid="{2C13C9E0-11A4-4E9D-A51C-593414A8DE2C}"/>
    <cellStyle name="Comma 5 2 2 2 4 7 3" xfId="40228" xr:uid="{8C756C7C-D954-42DD-9243-195E32667A5F}"/>
    <cellStyle name="Comma 5 2 2 2 4 8" xfId="16036" xr:uid="{C2BEB6C1-469E-441E-8510-169CF3D80720}"/>
    <cellStyle name="Comma 5 2 2 2 4 8 2" xfId="46276" xr:uid="{E00FED4C-524B-4031-B7A2-51C4744313EA}"/>
    <cellStyle name="Comma 5 2 2 2 4 9" xfId="31156" xr:uid="{0B5C26BE-35B8-467C-BF36-8F44B8751C5E}"/>
    <cellStyle name="Comma 5 2 2 2 5" xfId="1672" xr:uid="{1E2D6A4C-0F20-4F10-914B-C2656560032D}"/>
    <cellStyle name="Comma 5 2 2 2 5 2" xfId="10744" xr:uid="{6A05674D-28CE-4C75-AECC-CA7A55C2C340}"/>
    <cellStyle name="Comma 5 2 2 2 5 2 2" xfId="25864" xr:uid="{4FD01A97-B68D-44E8-B930-18C964171923}"/>
    <cellStyle name="Comma 5 2 2 2 5 2 2 2" xfId="56104" xr:uid="{01F3A92A-1E71-47DB-AF13-FBD766F5ED45}"/>
    <cellStyle name="Comma 5 2 2 2 5 2 3" xfId="40984" xr:uid="{4897A1CA-08BD-4A7B-B379-FF5F8C1ED581}"/>
    <cellStyle name="Comma 5 2 2 2 5 3" xfId="16792" xr:uid="{C09A4FA5-BA57-4805-8136-28EC323BB7B8}"/>
    <cellStyle name="Comma 5 2 2 2 5 3 2" xfId="47032" xr:uid="{CBD8CF76-A59E-43C6-AA3D-60D23BA225B8}"/>
    <cellStyle name="Comma 5 2 2 2 5 4" xfId="31912" xr:uid="{2FC56C7E-8B7B-4776-BD6A-22E83997DFE2}"/>
    <cellStyle name="Comma 5 2 2 2 6" xfId="3184" xr:uid="{952ECA61-A746-4AB1-9FCF-DDAB4956DC6B}"/>
    <cellStyle name="Comma 5 2 2 2 6 2" xfId="12256" xr:uid="{4E078C15-693D-47F5-8C31-3AAA4D3D2132}"/>
    <cellStyle name="Comma 5 2 2 2 6 2 2" xfId="27376" xr:uid="{F5DDB066-D83B-4D55-8790-65E820A8623F}"/>
    <cellStyle name="Comma 5 2 2 2 6 2 2 2" xfId="57616" xr:uid="{3849C652-2EC6-4D7C-8B4E-8DD7BF4D7CEA}"/>
    <cellStyle name="Comma 5 2 2 2 6 2 3" xfId="42496" xr:uid="{6309BFA5-3F57-4586-848A-7D2E37FB1CE9}"/>
    <cellStyle name="Comma 5 2 2 2 6 3" xfId="18304" xr:uid="{0CEBA87A-96AA-4120-8A2F-16A31B0798ED}"/>
    <cellStyle name="Comma 5 2 2 2 6 3 2" xfId="48544" xr:uid="{807D1D78-5124-494E-B1F4-3BB791DDFBFA}"/>
    <cellStyle name="Comma 5 2 2 2 6 4" xfId="33424" xr:uid="{61F03F80-285F-489F-84E5-5691F595974B}"/>
    <cellStyle name="Comma 5 2 2 2 7" xfId="4696" xr:uid="{44B257B0-5CCB-4F1D-9DA9-8481650A4A4F}"/>
    <cellStyle name="Comma 5 2 2 2 7 2" xfId="13768" xr:uid="{030A78BD-FB7D-454C-931C-991F8213F4BF}"/>
    <cellStyle name="Comma 5 2 2 2 7 2 2" xfId="28888" xr:uid="{634E1897-3A8A-40C5-8033-00F3B5FB3A12}"/>
    <cellStyle name="Comma 5 2 2 2 7 2 2 2" xfId="59128" xr:uid="{AF501841-CD51-4747-8A4C-C4A1D23655C3}"/>
    <cellStyle name="Comma 5 2 2 2 7 2 3" xfId="44008" xr:uid="{69BF6459-82A2-4B15-AB78-8641F8259ADC}"/>
    <cellStyle name="Comma 5 2 2 2 7 3" xfId="19816" xr:uid="{6CC58579-AA58-43F7-A8BF-7571C527D414}"/>
    <cellStyle name="Comma 5 2 2 2 7 3 2" xfId="50056" xr:uid="{84406B1F-0A9A-4A7A-B086-D9C1FFF654F4}"/>
    <cellStyle name="Comma 5 2 2 2 7 4" xfId="34936" xr:uid="{03C2B2FF-F37F-4A48-BE15-3B884F355228}"/>
    <cellStyle name="Comma 5 2 2 2 8" xfId="6208" xr:uid="{3313E880-66D8-48A9-BCF7-E77762EA582D}"/>
    <cellStyle name="Comma 5 2 2 2 8 2" xfId="21328" xr:uid="{5486320B-C9CB-4527-87AC-A16B58B4B7FF}"/>
    <cellStyle name="Comma 5 2 2 2 8 2 2" xfId="51568" xr:uid="{C9B54B1B-65CA-430F-A37B-E99F64A1B52A}"/>
    <cellStyle name="Comma 5 2 2 2 8 3" xfId="36448" xr:uid="{C116EFF8-DA13-4102-8C4F-847C5F3794FF}"/>
    <cellStyle name="Comma 5 2 2 2 9" xfId="7720" xr:uid="{2AC2AC0C-A1A8-4EAE-8709-CDE07BA60229}"/>
    <cellStyle name="Comma 5 2 2 2 9 2" xfId="22840" xr:uid="{EA8F7523-6E8D-4159-89D8-5AA6F111CF82}"/>
    <cellStyle name="Comma 5 2 2 2 9 2 2" xfId="53080" xr:uid="{518888A0-FC5F-4EB7-989F-160A79A9B6C8}"/>
    <cellStyle name="Comma 5 2 2 2 9 3" xfId="37960" xr:uid="{EC808E73-AC7E-4F7C-A2E5-6155692994FF}"/>
    <cellStyle name="Comma 5 2 2 3" xfId="244" xr:uid="{D2929CAB-D64A-440A-A8C3-14AF51F97223}"/>
    <cellStyle name="Comma 5 2 2 3 10" xfId="9316" xr:uid="{6D8C553C-C6F3-4438-A14F-480C9CD5525B}"/>
    <cellStyle name="Comma 5 2 2 3 10 2" xfId="24436" xr:uid="{242A93DF-0F15-4807-A932-30026B627EC3}"/>
    <cellStyle name="Comma 5 2 2 3 10 2 2" xfId="54676" xr:uid="{C21A855C-2D70-4014-B7A9-64E406AAA115}"/>
    <cellStyle name="Comma 5 2 2 3 10 3" xfId="39556" xr:uid="{5CBF0711-D671-4B43-88DD-2F8B4B78A590}"/>
    <cellStyle name="Comma 5 2 2 3 11" xfId="15364" xr:uid="{93BB9A8B-D59C-460E-8BBA-78706DC7A8E5}"/>
    <cellStyle name="Comma 5 2 2 3 11 2" xfId="45604" xr:uid="{4CD2EF18-9BAB-4635-B860-8F3B5027C712}"/>
    <cellStyle name="Comma 5 2 2 3 12" xfId="30484" xr:uid="{EC788750-192E-4E51-BB13-DA734CA6ED01}"/>
    <cellStyle name="Comma 5 2 2 3 2" xfId="496" xr:uid="{EF33D252-EDF8-4056-869C-FAAF59D43CEB}"/>
    <cellStyle name="Comma 5 2 2 3 2 10" xfId="30736" xr:uid="{04B3A7E9-6623-4C00-8323-0B61866AAC85}"/>
    <cellStyle name="Comma 5 2 2 3 2 2" xfId="1252" xr:uid="{2D21876F-A4AC-45D6-99C6-8BCEED53035C}"/>
    <cellStyle name="Comma 5 2 2 3 2 2 2" xfId="2764" xr:uid="{228E591F-4F9F-45BB-9988-F303AB4C8F99}"/>
    <cellStyle name="Comma 5 2 2 3 2 2 2 2" xfId="11836" xr:uid="{C69C6155-4F40-4E39-9F52-E98C9C9C3496}"/>
    <cellStyle name="Comma 5 2 2 3 2 2 2 2 2" xfId="26956" xr:uid="{76722B1A-37C6-4227-8F0D-3EE0FB798CD3}"/>
    <cellStyle name="Comma 5 2 2 3 2 2 2 2 2 2" xfId="57196" xr:uid="{07840E87-C0DC-4998-99CF-58A66FCB4311}"/>
    <cellStyle name="Comma 5 2 2 3 2 2 2 2 3" xfId="42076" xr:uid="{D0B9AED5-F77A-48D4-BDDA-0F08AB707975}"/>
    <cellStyle name="Comma 5 2 2 3 2 2 2 3" xfId="17884" xr:uid="{022CC0D2-3798-4DAA-AF38-FB526758D6C9}"/>
    <cellStyle name="Comma 5 2 2 3 2 2 2 3 2" xfId="48124" xr:uid="{40D786FE-8AD8-4437-BD1C-D3A4A913C234}"/>
    <cellStyle name="Comma 5 2 2 3 2 2 2 4" xfId="33004" xr:uid="{2D9A322A-6D22-4EAC-926A-681E33EB79CD}"/>
    <cellStyle name="Comma 5 2 2 3 2 2 3" xfId="4276" xr:uid="{BAA90854-3046-402C-A985-61C80B43B08B}"/>
    <cellStyle name="Comma 5 2 2 3 2 2 3 2" xfId="13348" xr:uid="{8656D128-F7BD-4555-A6D2-A4BD72DE6367}"/>
    <cellStyle name="Comma 5 2 2 3 2 2 3 2 2" xfId="28468" xr:uid="{22E953A7-EF2D-4675-906A-4BEEB4227BEE}"/>
    <cellStyle name="Comma 5 2 2 3 2 2 3 2 2 2" xfId="58708" xr:uid="{39E5113C-845E-4E93-9039-85244D289DB6}"/>
    <cellStyle name="Comma 5 2 2 3 2 2 3 2 3" xfId="43588" xr:uid="{E01A1656-C8F9-4C21-B464-81D245E3CA8E}"/>
    <cellStyle name="Comma 5 2 2 3 2 2 3 3" xfId="19396" xr:uid="{66CB631C-746C-4D78-92EB-F0C16783C367}"/>
    <cellStyle name="Comma 5 2 2 3 2 2 3 3 2" xfId="49636" xr:uid="{C2B9BA6C-42DA-4110-B328-72C3E59D0B7D}"/>
    <cellStyle name="Comma 5 2 2 3 2 2 3 4" xfId="34516" xr:uid="{D0474514-75B7-4E29-A6AA-9AEB7200DE5B}"/>
    <cellStyle name="Comma 5 2 2 3 2 2 4" xfId="5788" xr:uid="{E1641E39-ACFD-4C3B-8833-12AA467755FC}"/>
    <cellStyle name="Comma 5 2 2 3 2 2 4 2" xfId="14860" xr:uid="{B745D0DA-384B-4469-8976-83F1BC153B7E}"/>
    <cellStyle name="Comma 5 2 2 3 2 2 4 2 2" xfId="29980" xr:uid="{10A83A2A-9509-4F49-8800-AF42F4DFF8D0}"/>
    <cellStyle name="Comma 5 2 2 3 2 2 4 2 2 2" xfId="60220" xr:uid="{3F2AEAC3-B0F8-498B-A52D-29B513445A4C}"/>
    <cellStyle name="Comma 5 2 2 3 2 2 4 2 3" xfId="45100" xr:uid="{BC5214AC-E974-43EC-9570-B4E9C20BE270}"/>
    <cellStyle name="Comma 5 2 2 3 2 2 4 3" xfId="20908" xr:uid="{36181C60-EDFB-475D-BDD2-8AD6777A60EC}"/>
    <cellStyle name="Comma 5 2 2 3 2 2 4 3 2" xfId="51148" xr:uid="{28896A50-03E7-4152-85E7-02A94077075F}"/>
    <cellStyle name="Comma 5 2 2 3 2 2 4 4" xfId="36028" xr:uid="{3D051C91-AE81-4AD3-B226-34CB539135F4}"/>
    <cellStyle name="Comma 5 2 2 3 2 2 5" xfId="7300" xr:uid="{EE910BB4-CC52-4244-97CF-FE85F69C93CF}"/>
    <cellStyle name="Comma 5 2 2 3 2 2 5 2" xfId="22420" xr:uid="{C231F844-DC3C-4F99-8AF8-749FBE3FF04C}"/>
    <cellStyle name="Comma 5 2 2 3 2 2 5 2 2" xfId="52660" xr:uid="{68529124-6AE7-4318-8285-668468D50B6D}"/>
    <cellStyle name="Comma 5 2 2 3 2 2 5 3" xfId="37540" xr:uid="{F18EDE4F-79E4-4572-B751-1AADA92EB51D}"/>
    <cellStyle name="Comma 5 2 2 3 2 2 6" xfId="8812" xr:uid="{567D912C-D346-4480-AF12-BB5980B020ED}"/>
    <cellStyle name="Comma 5 2 2 3 2 2 6 2" xfId="23932" xr:uid="{45060CCC-CB05-4A23-8BFB-DC5B8B46F74A}"/>
    <cellStyle name="Comma 5 2 2 3 2 2 6 2 2" xfId="54172" xr:uid="{C2872812-F831-498C-B272-D8198FEF4DDC}"/>
    <cellStyle name="Comma 5 2 2 3 2 2 6 3" xfId="39052" xr:uid="{323B4EF1-E5E9-4F6F-9803-67B6080E755F}"/>
    <cellStyle name="Comma 5 2 2 3 2 2 7" xfId="10324" xr:uid="{1970A2DE-9B7A-41E8-94FE-2E9EB0008C50}"/>
    <cellStyle name="Comma 5 2 2 3 2 2 7 2" xfId="25444" xr:uid="{408715F7-C084-4119-8F65-0D176BAA6F2D}"/>
    <cellStyle name="Comma 5 2 2 3 2 2 7 2 2" xfId="55684" xr:uid="{7538EC77-A632-483D-BBC1-E8C52DFD84B1}"/>
    <cellStyle name="Comma 5 2 2 3 2 2 7 3" xfId="40564" xr:uid="{4A614124-D02F-40B9-860A-071FA721CCBD}"/>
    <cellStyle name="Comma 5 2 2 3 2 2 8" xfId="16372" xr:uid="{8AA11C7B-45B2-4C83-BF7A-C1EDCCAE66BE}"/>
    <cellStyle name="Comma 5 2 2 3 2 2 8 2" xfId="46612" xr:uid="{24D70B23-9F77-4B2E-AC18-2E6D0B2C2B24}"/>
    <cellStyle name="Comma 5 2 2 3 2 2 9" xfId="31492" xr:uid="{29167160-79D8-42F7-A9A0-D8E17DDCDBBE}"/>
    <cellStyle name="Comma 5 2 2 3 2 3" xfId="2008" xr:uid="{6C0D11EA-C998-42FF-9AA5-EE0E011076D7}"/>
    <cellStyle name="Comma 5 2 2 3 2 3 2" xfId="11080" xr:uid="{4B175F1F-EE77-4C5D-9B23-D5E142E9ECD7}"/>
    <cellStyle name="Comma 5 2 2 3 2 3 2 2" xfId="26200" xr:uid="{180F389E-1AD5-425C-8D9C-09296100ADC0}"/>
    <cellStyle name="Comma 5 2 2 3 2 3 2 2 2" xfId="56440" xr:uid="{6528E3A2-BA31-4712-AEFF-0EE965EA14AD}"/>
    <cellStyle name="Comma 5 2 2 3 2 3 2 3" xfId="41320" xr:uid="{DA7B6F01-D9B2-4F19-B5EE-41314D389E2E}"/>
    <cellStyle name="Comma 5 2 2 3 2 3 3" xfId="17128" xr:uid="{A6FA7FDC-21E1-44AA-8C4E-239AB04F6508}"/>
    <cellStyle name="Comma 5 2 2 3 2 3 3 2" xfId="47368" xr:uid="{459F39CB-FF60-46EF-BF49-C41596DA8A98}"/>
    <cellStyle name="Comma 5 2 2 3 2 3 4" xfId="32248" xr:uid="{576DC1A6-895B-4AF9-9F32-2E189744DC09}"/>
    <cellStyle name="Comma 5 2 2 3 2 4" xfId="3520" xr:uid="{1014D6B6-A924-4113-9BB1-B712DBF8F3A4}"/>
    <cellStyle name="Comma 5 2 2 3 2 4 2" xfId="12592" xr:uid="{90680716-762D-4D54-A74B-AD7711F8B08D}"/>
    <cellStyle name="Comma 5 2 2 3 2 4 2 2" xfId="27712" xr:uid="{380D6DB1-9B5E-487E-92FE-853CE0780869}"/>
    <cellStyle name="Comma 5 2 2 3 2 4 2 2 2" xfId="57952" xr:uid="{964CEF4D-236B-46B4-A221-5ACB644C2C7B}"/>
    <cellStyle name="Comma 5 2 2 3 2 4 2 3" xfId="42832" xr:uid="{113C5A8E-41CB-4ED8-A4DB-62E98E861278}"/>
    <cellStyle name="Comma 5 2 2 3 2 4 3" xfId="18640" xr:uid="{EA0C38B5-C943-4512-8E3B-B2771E9C7C85}"/>
    <cellStyle name="Comma 5 2 2 3 2 4 3 2" xfId="48880" xr:uid="{98A6A76E-D081-444D-A41E-89FA8CB2D621}"/>
    <cellStyle name="Comma 5 2 2 3 2 4 4" xfId="33760" xr:uid="{6648B8D9-A840-4886-99CE-4F273FBA9332}"/>
    <cellStyle name="Comma 5 2 2 3 2 5" xfId="5032" xr:uid="{D247E15F-1F2A-49DA-85BB-AF3EF3BCB736}"/>
    <cellStyle name="Comma 5 2 2 3 2 5 2" xfId="14104" xr:uid="{41F0FE85-08AD-4CD1-9E5E-A77E2BFEDE5A}"/>
    <cellStyle name="Comma 5 2 2 3 2 5 2 2" xfId="29224" xr:uid="{0E1A073A-6148-4286-B445-4BCD17C42E5A}"/>
    <cellStyle name="Comma 5 2 2 3 2 5 2 2 2" xfId="59464" xr:uid="{D369E5CF-25BC-4480-B1CE-593D01B81DE0}"/>
    <cellStyle name="Comma 5 2 2 3 2 5 2 3" xfId="44344" xr:uid="{F21863AE-3816-41D7-9B9A-C444B1A52C65}"/>
    <cellStyle name="Comma 5 2 2 3 2 5 3" xfId="20152" xr:uid="{DBDC728B-17D0-4669-8594-5A6AD52D750A}"/>
    <cellStyle name="Comma 5 2 2 3 2 5 3 2" xfId="50392" xr:uid="{10F82A72-4338-4740-9697-2FDB395039A1}"/>
    <cellStyle name="Comma 5 2 2 3 2 5 4" xfId="35272" xr:uid="{80EFD16C-1E86-4085-B2ED-0B9AC86E7718}"/>
    <cellStyle name="Comma 5 2 2 3 2 6" xfId="6544" xr:uid="{B43986D1-3E90-459A-9009-68B39B0FF6AC}"/>
    <cellStyle name="Comma 5 2 2 3 2 6 2" xfId="21664" xr:uid="{8B9E5E71-00AE-4E57-A7D1-0EC0356EB374}"/>
    <cellStyle name="Comma 5 2 2 3 2 6 2 2" xfId="51904" xr:uid="{B121BB7C-8796-4D46-AF80-4477D4976543}"/>
    <cellStyle name="Comma 5 2 2 3 2 6 3" xfId="36784" xr:uid="{F15A8F9F-4EC3-43B4-9379-D8E8981960BE}"/>
    <cellStyle name="Comma 5 2 2 3 2 7" xfId="8056" xr:uid="{D8421E25-2CD9-4EE1-BD14-6FD63A91B05D}"/>
    <cellStyle name="Comma 5 2 2 3 2 7 2" xfId="23176" xr:uid="{42B7A03A-DBF2-4865-8ECC-E45A4F1BE551}"/>
    <cellStyle name="Comma 5 2 2 3 2 7 2 2" xfId="53416" xr:uid="{466227EC-95DC-4E0F-BDB0-7F9AEA0C4076}"/>
    <cellStyle name="Comma 5 2 2 3 2 7 3" xfId="38296" xr:uid="{EB0A13C5-4242-4C0C-8DAE-313805DADAB6}"/>
    <cellStyle name="Comma 5 2 2 3 2 8" xfId="9568" xr:uid="{B537D49D-DF6B-4ABE-85AA-06FB3E26D5E1}"/>
    <cellStyle name="Comma 5 2 2 3 2 8 2" xfId="24688" xr:uid="{8A131735-3C95-45F8-9CA5-9B6B5C4EF6C3}"/>
    <cellStyle name="Comma 5 2 2 3 2 8 2 2" xfId="54928" xr:uid="{C8B0D481-547D-4C18-B5A3-4709BA00F89B}"/>
    <cellStyle name="Comma 5 2 2 3 2 8 3" xfId="39808" xr:uid="{1B674E6A-C845-4F38-9B98-3F2470386C46}"/>
    <cellStyle name="Comma 5 2 2 3 2 9" xfId="15616" xr:uid="{48016F8A-A4C3-4EAD-87AD-3BEF0E31B031}"/>
    <cellStyle name="Comma 5 2 2 3 2 9 2" xfId="45856" xr:uid="{31EDB01A-A461-4457-8FC5-D70E6FFABA34}"/>
    <cellStyle name="Comma 5 2 2 3 3" xfId="748" xr:uid="{7A416748-C992-4AB9-92CA-34FFFD41E843}"/>
    <cellStyle name="Comma 5 2 2 3 3 10" xfId="30988" xr:uid="{49B4B5D2-01FC-4A31-BBC9-504895B1CA57}"/>
    <cellStyle name="Comma 5 2 2 3 3 2" xfId="1504" xr:uid="{F990FD45-54EA-4D51-ABDE-C3FD2744764A}"/>
    <cellStyle name="Comma 5 2 2 3 3 2 2" xfId="3016" xr:uid="{F4E83F8B-C052-4758-A89D-6A0EE5E31EAE}"/>
    <cellStyle name="Comma 5 2 2 3 3 2 2 2" xfId="12088" xr:uid="{D0828A0D-64AB-4BD7-80DA-ACABDCEF0096}"/>
    <cellStyle name="Comma 5 2 2 3 3 2 2 2 2" xfId="27208" xr:uid="{635EC63C-7AE4-4435-AA29-6F3BBA166646}"/>
    <cellStyle name="Comma 5 2 2 3 3 2 2 2 2 2" xfId="57448" xr:uid="{A89F78D8-A2B5-43FF-A21F-81807B9F0F29}"/>
    <cellStyle name="Comma 5 2 2 3 3 2 2 2 3" xfId="42328" xr:uid="{05351F97-0BEF-48BF-9A20-C444DE64249F}"/>
    <cellStyle name="Comma 5 2 2 3 3 2 2 3" xfId="18136" xr:uid="{3EDD8A2B-8508-4FC3-85D1-545711D42F8F}"/>
    <cellStyle name="Comma 5 2 2 3 3 2 2 3 2" xfId="48376" xr:uid="{88BC2616-2369-4862-857F-2678DA6E643F}"/>
    <cellStyle name="Comma 5 2 2 3 3 2 2 4" xfId="33256" xr:uid="{8A8088AF-B1DB-4BFB-8A19-763B17D26676}"/>
    <cellStyle name="Comma 5 2 2 3 3 2 3" xfId="4528" xr:uid="{1CD35E68-E5E5-44E4-AA79-C1B34DFAD7A2}"/>
    <cellStyle name="Comma 5 2 2 3 3 2 3 2" xfId="13600" xr:uid="{0FFA5B60-02E0-4930-AD47-CF737142B5BD}"/>
    <cellStyle name="Comma 5 2 2 3 3 2 3 2 2" xfId="28720" xr:uid="{FEFEE487-0175-4700-9290-75172DB8A851}"/>
    <cellStyle name="Comma 5 2 2 3 3 2 3 2 2 2" xfId="58960" xr:uid="{F54A0D8E-C06A-47E9-8797-60B869CF18D8}"/>
    <cellStyle name="Comma 5 2 2 3 3 2 3 2 3" xfId="43840" xr:uid="{7D6DA4E6-7EF6-4E5D-89B7-495E98D4E1F7}"/>
    <cellStyle name="Comma 5 2 2 3 3 2 3 3" xfId="19648" xr:uid="{5F164F2E-D397-4589-9128-755D7EB9F73C}"/>
    <cellStyle name="Comma 5 2 2 3 3 2 3 3 2" xfId="49888" xr:uid="{EF907685-4122-4474-8F5C-030A83E618A6}"/>
    <cellStyle name="Comma 5 2 2 3 3 2 3 4" xfId="34768" xr:uid="{C23FD6C0-5A2B-4B36-B179-AFE4475A7321}"/>
    <cellStyle name="Comma 5 2 2 3 3 2 4" xfId="6040" xr:uid="{5CF47F8C-C339-401F-ABD3-42A1C3C5203B}"/>
    <cellStyle name="Comma 5 2 2 3 3 2 4 2" xfId="15112" xr:uid="{458678F2-B926-42E6-890E-C6D0DD62C70F}"/>
    <cellStyle name="Comma 5 2 2 3 3 2 4 2 2" xfId="30232" xr:uid="{DBFFE22F-45BB-49AB-8A3E-D2741A5C7294}"/>
    <cellStyle name="Comma 5 2 2 3 3 2 4 2 2 2" xfId="60472" xr:uid="{9D6342B6-E659-4551-AB3A-493AFEA59EAC}"/>
    <cellStyle name="Comma 5 2 2 3 3 2 4 2 3" xfId="45352" xr:uid="{E73A7548-EACC-47D9-BBE3-F3C319587E06}"/>
    <cellStyle name="Comma 5 2 2 3 3 2 4 3" xfId="21160" xr:uid="{52DDC98C-F7E0-469A-B962-B07D23775D17}"/>
    <cellStyle name="Comma 5 2 2 3 3 2 4 3 2" xfId="51400" xr:uid="{74AE2B9D-729C-4ED7-B2F7-08D88A88B20E}"/>
    <cellStyle name="Comma 5 2 2 3 3 2 4 4" xfId="36280" xr:uid="{A74FC221-3455-41E9-B2EC-B1C7EC951F2A}"/>
    <cellStyle name="Comma 5 2 2 3 3 2 5" xfId="7552" xr:uid="{3EFBE152-7B89-4971-AA36-31B19B3285C4}"/>
    <cellStyle name="Comma 5 2 2 3 3 2 5 2" xfId="22672" xr:uid="{6EA2057F-F660-4F32-82F3-493DE6EECCD1}"/>
    <cellStyle name="Comma 5 2 2 3 3 2 5 2 2" xfId="52912" xr:uid="{0F352F23-69BB-43C9-979A-B3EB2C19669D}"/>
    <cellStyle name="Comma 5 2 2 3 3 2 5 3" xfId="37792" xr:uid="{2034AF26-8002-48BD-B3ED-435E35D9518C}"/>
    <cellStyle name="Comma 5 2 2 3 3 2 6" xfId="9064" xr:uid="{DD7D9850-363C-439A-A358-6EFCA1863750}"/>
    <cellStyle name="Comma 5 2 2 3 3 2 6 2" xfId="24184" xr:uid="{F1681F71-AE1B-45D8-8718-B23DF4164ADE}"/>
    <cellStyle name="Comma 5 2 2 3 3 2 6 2 2" xfId="54424" xr:uid="{7AF53713-0CB1-4DDA-85D4-E17D3A879FD0}"/>
    <cellStyle name="Comma 5 2 2 3 3 2 6 3" xfId="39304" xr:uid="{F6C604F3-CE82-4213-A6D5-135193A93C4F}"/>
    <cellStyle name="Comma 5 2 2 3 3 2 7" xfId="10576" xr:uid="{2BCBCBD2-0F33-48E8-B1E5-C1C2AFB26204}"/>
    <cellStyle name="Comma 5 2 2 3 3 2 7 2" xfId="25696" xr:uid="{9EFEA4FA-9EE6-466B-A266-63001EF43331}"/>
    <cellStyle name="Comma 5 2 2 3 3 2 7 2 2" xfId="55936" xr:uid="{C74F5932-6BE2-41DE-A30D-90165EC4D4EF}"/>
    <cellStyle name="Comma 5 2 2 3 3 2 7 3" xfId="40816" xr:uid="{74A9247E-9236-4F92-8CA1-77E20BC61228}"/>
    <cellStyle name="Comma 5 2 2 3 3 2 8" xfId="16624" xr:uid="{424F20CB-5DAC-4DF4-8DB7-8DEC1ED14399}"/>
    <cellStyle name="Comma 5 2 2 3 3 2 8 2" xfId="46864" xr:uid="{40BBB93F-DEF6-41F1-A47D-A259FF5308BE}"/>
    <cellStyle name="Comma 5 2 2 3 3 2 9" xfId="31744" xr:uid="{E431698B-8F4D-46A0-BAB6-EC0D82ED5534}"/>
    <cellStyle name="Comma 5 2 2 3 3 3" xfId="2260" xr:uid="{57DBAFCF-B3E0-4C6C-8F2B-100F3CBDE293}"/>
    <cellStyle name="Comma 5 2 2 3 3 3 2" xfId="11332" xr:uid="{8962306F-CFBD-45B8-A863-78081F7D4815}"/>
    <cellStyle name="Comma 5 2 2 3 3 3 2 2" xfId="26452" xr:uid="{576CACCE-E441-44EF-B059-5F875A1CA3AC}"/>
    <cellStyle name="Comma 5 2 2 3 3 3 2 2 2" xfId="56692" xr:uid="{107374E5-BEC0-4206-8F57-5C98C90E8B74}"/>
    <cellStyle name="Comma 5 2 2 3 3 3 2 3" xfId="41572" xr:uid="{1B868458-7488-46AB-A688-1539F6AB785A}"/>
    <cellStyle name="Comma 5 2 2 3 3 3 3" xfId="17380" xr:uid="{2C4D483F-33F2-423E-B98A-4ECC5C549995}"/>
    <cellStyle name="Comma 5 2 2 3 3 3 3 2" xfId="47620" xr:uid="{28773F2E-C784-40B6-B3F6-9E93F836257A}"/>
    <cellStyle name="Comma 5 2 2 3 3 3 4" xfId="32500" xr:uid="{1D5D49D3-5232-4417-9A6C-4C5914193B1F}"/>
    <cellStyle name="Comma 5 2 2 3 3 4" xfId="3772" xr:uid="{E09D54E1-B39E-4303-8607-C551D9029D52}"/>
    <cellStyle name="Comma 5 2 2 3 3 4 2" xfId="12844" xr:uid="{2E098383-2604-49D0-AC46-DE99A3F73BF2}"/>
    <cellStyle name="Comma 5 2 2 3 3 4 2 2" xfId="27964" xr:uid="{A781E326-AECF-457B-9A2E-EFEE499653C1}"/>
    <cellStyle name="Comma 5 2 2 3 3 4 2 2 2" xfId="58204" xr:uid="{7DE89449-4024-41B9-892F-10A5E7050006}"/>
    <cellStyle name="Comma 5 2 2 3 3 4 2 3" xfId="43084" xr:uid="{9A803307-A4C5-40CF-957E-E54D83644890}"/>
    <cellStyle name="Comma 5 2 2 3 3 4 3" xfId="18892" xr:uid="{0E3C34D9-876E-4E52-8EDE-4FB93300A954}"/>
    <cellStyle name="Comma 5 2 2 3 3 4 3 2" xfId="49132" xr:uid="{C21E3350-B1F3-4AA9-940F-8AE630692C75}"/>
    <cellStyle name="Comma 5 2 2 3 3 4 4" xfId="34012" xr:uid="{F5E494AE-90C0-4336-BA8A-668EE5DC7B15}"/>
    <cellStyle name="Comma 5 2 2 3 3 5" xfId="5284" xr:uid="{2CC96F4B-2E81-4158-8B88-8BDC009DF2BD}"/>
    <cellStyle name="Comma 5 2 2 3 3 5 2" xfId="14356" xr:uid="{B5FF74CB-6424-47A2-9343-186A5D34CD49}"/>
    <cellStyle name="Comma 5 2 2 3 3 5 2 2" xfId="29476" xr:uid="{E74F3F6E-511B-400D-8E74-A5795B047866}"/>
    <cellStyle name="Comma 5 2 2 3 3 5 2 2 2" xfId="59716" xr:uid="{6F75DF8A-83B4-4113-9D81-4D300E773452}"/>
    <cellStyle name="Comma 5 2 2 3 3 5 2 3" xfId="44596" xr:uid="{9299BD32-1D1F-4742-AF59-10BCC21DC9BB}"/>
    <cellStyle name="Comma 5 2 2 3 3 5 3" xfId="20404" xr:uid="{CBD22A3D-FD15-480A-98F4-D7B909C7BB5C}"/>
    <cellStyle name="Comma 5 2 2 3 3 5 3 2" xfId="50644" xr:uid="{B8A915A9-213F-4465-A3A6-2DCC247473F9}"/>
    <cellStyle name="Comma 5 2 2 3 3 5 4" xfId="35524" xr:uid="{C5A96CA4-D6C7-4218-B1CD-C090F42EB3C5}"/>
    <cellStyle name="Comma 5 2 2 3 3 6" xfId="6796" xr:uid="{3BD42359-B881-41D1-802C-A31C9833400E}"/>
    <cellStyle name="Comma 5 2 2 3 3 6 2" xfId="21916" xr:uid="{96DB2C34-2DA2-4891-836A-FFFCA6767918}"/>
    <cellStyle name="Comma 5 2 2 3 3 6 2 2" xfId="52156" xr:uid="{B67899C0-E4E3-4ABF-BDFF-36245E322006}"/>
    <cellStyle name="Comma 5 2 2 3 3 6 3" xfId="37036" xr:uid="{C490C209-CF47-429E-8FA3-D4787BE1A63D}"/>
    <cellStyle name="Comma 5 2 2 3 3 7" xfId="8308" xr:uid="{F43D3502-31A6-4B4A-B86D-C016E0C9598E}"/>
    <cellStyle name="Comma 5 2 2 3 3 7 2" xfId="23428" xr:uid="{D27F2117-5EE2-42B4-A846-7AC49D607F86}"/>
    <cellStyle name="Comma 5 2 2 3 3 7 2 2" xfId="53668" xr:uid="{97D8F6A9-239C-4F84-8BAD-977FCCBD5CAD}"/>
    <cellStyle name="Comma 5 2 2 3 3 7 3" xfId="38548" xr:uid="{11F33EB1-EC6C-4B88-B1A5-676A6E5D54E6}"/>
    <cellStyle name="Comma 5 2 2 3 3 8" xfId="9820" xr:uid="{33BCC1FE-9278-4F32-AAFA-698FE8BEF316}"/>
    <cellStyle name="Comma 5 2 2 3 3 8 2" xfId="24940" xr:uid="{95D170BD-F461-44BE-A49C-9CA3B17F1ECF}"/>
    <cellStyle name="Comma 5 2 2 3 3 8 2 2" xfId="55180" xr:uid="{742B9C98-22A7-4EF8-9931-0576C4416522}"/>
    <cellStyle name="Comma 5 2 2 3 3 8 3" xfId="40060" xr:uid="{EE9889E5-1E62-4DAD-BD71-B73D2B7937C7}"/>
    <cellStyle name="Comma 5 2 2 3 3 9" xfId="15868" xr:uid="{081C4289-C886-4F2E-91AB-99E7752B1E2D}"/>
    <cellStyle name="Comma 5 2 2 3 3 9 2" xfId="46108" xr:uid="{1EE3571E-BED2-49B5-9776-5419D07EC601}"/>
    <cellStyle name="Comma 5 2 2 3 4" xfId="1000" xr:uid="{1824DBCE-4E7A-4EB2-8B59-5269870B79C1}"/>
    <cellStyle name="Comma 5 2 2 3 4 2" xfId="2512" xr:uid="{F366F861-4487-4892-AE0D-8B50B65F7BF0}"/>
    <cellStyle name="Comma 5 2 2 3 4 2 2" xfId="11584" xr:uid="{2B508ED0-9388-4A34-90C5-6955883700C7}"/>
    <cellStyle name="Comma 5 2 2 3 4 2 2 2" xfId="26704" xr:uid="{295FF9C4-DD0E-449A-BB18-B89BAAB4B1E2}"/>
    <cellStyle name="Comma 5 2 2 3 4 2 2 2 2" xfId="56944" xr:uid="{6835D5F2-99E8-4D64-8D4B-91E4CE297959}"/>
    <cellStyle name="Comma 5 2 2 3 4 2 2 3" xfId="41824" xr:uid="{B458645D-AF5C-497C-9659-AAF4ED178B3B}"/>
    <cellStyle name="Comma 5 2 2 3 4 2 3" xfId="17632" xr:uid="{77804D62-3F81-4CD7-9966-76254981B602}"/>
    <cellStyle name="Comma 5 2 2 3 4 2 3 2" xfId="47872" xr:uid="{096A7FE7-83F5-408B-B61F-338AF249BF59}"/>
    <cellStyle name="Comma 5 2 2 3 4 2 4" xfId="32752" xr:uid="{C8F9C118-3101-4C3C-8452-4D192E7BED2D}"/>
    <cellStyle name="Comma 5 2 2 3 4 3" xfId="4024" xr:uid="{B6988756-5A29-4E1B-A29B-CE54EE30ECB3}"/>
    <cellStyle name="Comma 5 2 2 3 4 3 2" xfId="13096" xr:uid="{98321724-489C-45A7-B9F1-717BE5BF83EA}"/>
    <cellStyle name="Comma 5 2 2 3 4 3 2 2" xfId="28216" xr:uid="{82D5410F-DA51-4656-9FDF-0602E15DCD59}"/>
    <cellStyle name="Comma 5 2 2 3 4 3 2 2 2" xfId="58456" xr:uid="{73F959B0-9776-4D8A-A0B0-E7F778E7B2AA}"/>
    <cellStyle name="Comma 5 2 2 3 4 3 2 3" xfId="43336" xr:uid="{F454DCEB-C10C-4077-9340-75FA18381B73}"/>
    <cellStyle name="Comma 5 2 2 3 4 3 3" xfId="19144" xr:uid="{87216C34-701E-4233-9258-A100941C036F}"/>
    <cellStyle name="Comma 5 2 2 3 4 3 3 2" xfId="49384" xr:uid="{7B063827-E947-4CEB-BAC8-675994CE7D55}"/>
    <cellStyle name="Comma 5 2 2 3 4 3 4" xfId="34264" xr:uid="{9B3CBD4F-6797-4186-98CC-3C2FF0505324}"/>
    <cellStyle name="Comma 5 2 2 3 4 4" xfId="5536" xr:uid="{FF867458-0BF1-4844-A6D9-F4A32C969E43}"/>
    <cellStyle name="Comma 5 2 2 3 4 4 2" xfId="14608" xr:uid="{83525D93-E11E-42B5-B975-B2FCE4518075}"/>
    <cellStyle name="Comma 5 2 2 3 4 4 2 2" xfId="29728" xr:uid="{1917A98D-87D4-4538-AC87-E22F0A049AB5}"/>
    <cellStyle name="Comma 5 2 2 3 4 4 2 2 2" xfId="59968" xr:uid="{A03898F7-C72E-4FEB-A331-A0A80112FBDB}"/>
    <cellStyle name="Comma 5 2 2 3 4 4 2 3" xfId="44848" xr:uid="{02543250-9324-4D1D-A8FE-0A2801CB08AD}"/>
    <cellStyle name="Comma 5 2 2 3 4 4 3" xfId="20656" xr:uid="{F6A1059A-9CE5-42E1-850D-0A50B35CA52A}"/>
    <cellStyle name="Comma 5 2 2 3 4 4 3 2" xfId="50896" xr:uid="{BECA3D56-F5F6-406D-B30A-35E69799AB4D}"/>
    <cellStyle name="Comma 5 2 2 3 4 4 4" xfId="35776" xr:uid="{8052ACE4-3C70-4A9B-84D3-C9736680DA92}"/>
    <cellStyle name="Comma 5 2 2 3 4 5" xfId="7048" xr:uid="{78AA3813-EB05-42C2-A208-424272066569}"/>
    <cellStyle name="Comma 5 2 2 3 4 5 2" xfId="22168" xr:uid="{F93E568E-C367-4A17-A892-C4EC5886779B}"/>
    <cellStyle name="Comma 5 2 2 3 4 5 2 2" xfId="52408" xr:uid="{A678F7C3-F194-4576-9F14-25F00A854FFA}"/>
    <cellStyle name="Comma 5 2 2 3 4 5 3" xfId="37288" xr:uid="{3F97C1CB-7BA1-4182-B89C-1A34B9C46381}"/>
    <cellStyle name="Comma 5 2 2 3 4 6" xfId="8560" xr:uid="{68311CEB-A765-40B0-9C61-C7D4FC1E3ABD}"/>
    <cellStyle name="Comma 5 2 2 3 4 6 2" xfId="23680" xr:uid="{7C3C6B5E-E040-47B7-8D9A-2A810D327699}"/>
    <cellStyle name="Comma 5 2 2 3 4 6 2 2" xfId="53920" xr:uid="{976A1D20-C7A8-445A-A6B4-BFAE295E451C}"/>
    <cellStyle name="Comma 5 2 2 3 4 6 3" xfId="38800" xr:uid="{E2057B95-4990-47FA-A30F-52AC63BF6B95}"/>
    <cellStyle name="Comma 5 2 2 3 4 7" xfId="10072" xr:uid="{14409A5A-A3A6-4BAE-8FD1-D1482B65AB17}"/>
    <cellStyle name="Comma 5 2 2 3 4 7 2" xfId="25192" xr:uid="{C799F0B2-1C25-4BCD-ADBB-B2376D515674}"/>
    <cellStyle name="Comma 5 2 2 3 4 7 2 2" xfId="55432" xr:uid="{8C5E8C01-10BD-49C6-A1AC-F1C505C69FB8}"/>
    <cellStyle name="Comma 5 2 2 3 4 7 3" xfId="40312" xr:uid="{ACFE6268-1B2E-4629-AE87-0191317DDC0B}"/>
    <cellStyle name="Comma 5 2 2 3 4 8" xfId="16120" xr:uid="{235C2677-6737-4D0A-9448-527770811330}"/>
    <cellStyle name="Comma 5 2 2 3 4 8 2" xfId="46360" xr:uid="{19394552-872D-4929-8A6D-C743C8CD9166}"/>
    <cellStyle name="Comma 5 2 2 3 4 9" xfId="31240" xr:uid="{5AF7555C-F56B-4E63-A762-F6D05E2EA5C5}"/>
    <cellStyle name="Comma 5 2 2 3 5" xfId="1756" xr:uid="{AA8BBAC2-71FF-47ED-A16C-C6F9ED0DD92F}"/>
    <cellStyle name="Comma 5 2 2 3 5 2" xfId="10828" xr:uid="{F08F8739-6EC9-4AD1-80F3-FC56F3A84667}"/>
    <cellStyle name="Comma 5 2 2 3 5 2 2" xfId="25948" xr:uid="{0FCBEC62-C595-4721-BB6D-28DE894704A5}"/>
    <cellStyle name="Comma 5 2 2 3 5 2 2 2" xfId="56188" xr:uid="{980B3E51-224E-40B0-8BBC-5B3B18F398A4}"/>
    <cellStyle name="Comma 5 2 2 3 5 2 3" xfId="41068" xr:uid="{6B2971B8-1DAE-43E7-9187-911B9B8C308D}"/>
    <cellStyle name="Comma 5 2 2 3 5 3" xfId="16876" xr:uid="{10962188-08C6-4AC3-800D-6DC86E9F9CA3}"/>
    <cellStyle name="Comma 5 2 2 3 5 3 2" xfId="47116" xr:uid="{B43A8407-EA07-4D7F-A73E-12E3AEACB242}"/>
    <cellStyle name="Comma 5 2 2 3 5 4" xfId="31996" xr:uid="{9CFF76D0-2FAC-4432-8F8F-1499439A0DB4}"/>
    <cellStyle name="Comma 5 2 2 3 6" xfId="3268" xr:uid="{9B48EE86-40B7-4FBC-8098-D7E937AC3AEF}"/>
    <cellStyle name="Comma 5 2 2 3 6 2" xfId="12340" xr:uid="{A875C6AE-DECE-4BDB-AFF2-495E994F5FD2}"/>
    <cellStyle name="Comma 5 2 2 3 6 2 2" xfId="27460" xr:uid="{50EB895D-0085-41B8-BBB3-908F92846917}"/>
    <cellStyle name="Comma 5 2 2 3 6 2 2 2" xfId="57700" xr:uid="{4F6AA5B9-D1ED-4CBA-A49E-046D8CDB1CAF}"/>
    <cellStyle name="Comma 5 2 2 3 6 2 3" xfId="42580" xr:uid="{3875EBD0-9192-4177-A731-34F48F0E078E}"/>
    <cellStyle name="Comma 5 2 2 3 6 3" xfId="18388" xr:uid="{CF824A6A-7B7B-4A9C-8B0E-64F91C1AAFBA}"/>
    <cellStyle name="Comma 5 2 2 3 6 3 2" xfId="48628" xr:uid="{99A98EA9-6634-4DD7-984C-2FED988C4FBC}"/>
    <cellStyle name="Comma 5 2 2 3 6 4" xfId="33508" xr:uid="{3BA0F837-865F-4D90-8C33-B689F9E342C2}"/>
    <cellStyle name="Comma 5 2 2 3 7" xfId="4780" xr:uid="{7BF3044D-A7A7-40C6-A6EF-2B88E3BCB00A}"/>
    <cellStyle name="Comma 5 2 2 3 7 2" xfId="13852" xr:uid="{4506EFF4-C01A-4886-8E95-A339644F6F2B}"/>
    <cellStyle name="Comma 5 2 2 3 7 2 2" xfId="28972" xr:uid="{29FF889A-911E-4BED-B745-05D831E04AD5}"/>
    <cellStyle name="Comma 5 2 2 3 7 2 2 2" xfId="59212" xr:uid="{4D2AF101-1E3B-417C-887B-BF9FF96AFB80}"/>
    <cellStyle name="Comma 5 2 2 3 7 2 3" xfId="44092" xr:uid="{08DA4A4C-4243-4B16-9DE4-28A888863DA4}"/>
    <cellStyle name="Comma 5 2 2 3 7 3" xfId="19900" xr:uid="{B817EFB1-AEA7-4C7B-91D7-34BE76712574}"/>
    <cellStyle name="Comma 5 2 2 3 7 3 2" xfId="50140" xr:uid="{51419063-495A-49AB-894B-86685621228F}"/>
    <cellStyle name="Comma 5 2 2 3 7 4" xfId="35020" xr:uid="{44A50BE3-D52E-4D4C-87B9-AC20A4244262}"/>
    <cellStyle name="Comma 5 2 2 3 8" xfId="6292" xr:uid="{6AFABDA8-E684-4A36-AD16-F4556B1ACA3F}"/>
    <cellStyle name="Comma 5 2 2 3 8 2" xfId="21412" xr:uid="{0FB484B2-C73C-47FB-BA1F-FE9C41D53927}"/>
    <cellStyle name="Comma 5 2 2 3 8 2 2" xfId="51652" xr:uid="{7BCCCC71-DFAF-49B4-91EE-1A4272106FC3}"/>
    <cellStyle name="Comma 5 2 2 3 8 3" xfId="36532" xr:uid="{49E65009-ACBA-4526-9036-F9894518BDEA}"/>
    <cellStyle name="Comma 5 2 2 3 9" xfId="7804" xr:uid="{333DDBD2-E016-4707-9B48-828AC62D889E}"/>
    <cellStyle name="Comma 5 2 2 3 9 2" xfId="22924" xr:uid="{E90DEA16-B45D-40BD-9477-2EA2A861F780}"/>
    <cellStyle name="Comma 5 2 2 3 9 2 2" xfId="53164" xr:uid="{79B51432-843A-4164-8AF9-10D366BE997E}"/>
    <cellStyle name="Comma 5 2 2 3 9 3" xfId="38044" xr:uid="{A833DFD6-CE6C-4B75-A1EC-6D9CBF2E53A8}"/>
    <cellStyle name="Comma 5 2 2 4" xfId="328" xr:uid="{CAF2623B-37A1-408D-A01D-BA9D0840EC89}"/>
    <cellStyle name="Comma 5 2 2 4 10" xfId="30568" xr:uid="{3F0EA1BA-269A-4AFC-A37C-F7B3ADBCC8E6}"/>
    <cellStyle name="Comma 5 2 2 4 2" xfId="1084" xr:uid="{CC442C4B-CB6D-4DA5-A528-AE4A2F25506C}"/>
    <cellStyle name="Comma 5 2 2 4 2 2" xfId="2596" xr:uid="{B86E8ADA-2154-41AD-A61F-32828246DF37}"/>
    <cellStyle name="Comma 5 2 2 4 2 2 2" xfId="11668" xr:uid="{02BFFC69-A2B3-4CA2-BBAB-8FC4FCCD9CFD}"/>
    <cellStyle name="Comma 5 2 2 4 2 2 2 2" xfId="26788" xr:uid="{4D21E342-E5AB-4199-9941-4D4DF63D1F4E}"/>
    <cellStyle name="Comma 5 2 2 4 2 2 2 2 2" xfId="57028" xr:uid="{9953FF9A-52F3-4BF2-B6D9-A4232741EB91}"/>
    <cellStyle name="Comma 5 2 2 4 2 2 2 3" xfId="41908" xr:uid="{CD03C248-7488-47AD-8754-6BA5EBB24C6C}"/>
    <cellStyle name="Comma 5 2 2 4 2 2 3" xfId="17716" xr:uid="{B742D2D0-219B-4DEC-AAD3-34D7E11D89EC}"/>
    <cellStyle name="Comma 5 2 2 4 2 2 3 2" xfId="47956" xr:uid="{BD4BD31E-87FE-4647-BBEC-932673BFCEFA}"/>
    <cellStyle name="Comma 5 2 2 4 2 2 4" xfId="32836" xr:uid="{86759983-EAA2-417B-B630-F681B1FF861C}"/>
    <cellStyle name="Comma 5 2 2 4 2 3" xfId="4108" xr:uid="{DCBE4157-FD32-4A67-972A-7D09E83E786C}"/>
    <cellStyle name="Comma 5 2 2 4 2 3 2" xfId="13180" xr:uid="{8D7A9EB2-8661-4CA0-BD71-C7F456C3CBDA}"/>
    <cellStyle name="Comma 5 2 2 4 2 3 2 2" xfId="28300" xr:uid="{C1A4994D-E741-4AE5-B023-F00C5D31942C}"/>
    <cellStyle name="Comma 5 2 2 4 2 3 2 2 2" xfId="58540" xr:uid="{ACA95A74-40A6-42A4-BDF8-B178A80111F4}"/>
    <cellStyle name="Comma 5 2 2 4 2 3 2 3" xfId="43420" xr:uid="{11620B5F-8205-4D24-B454-BBBA4CC1D301}"/>
    <cellStyle name="Comma 5 2 2 4 2 3 3" xfId="19228" xr:uid="{FF8CEE20-A859-413D-BAEF-9AC61EEA689F}"/>
    <cellStyle name="Comma 5 2 2 4 2 3 3 2" xfId="49468" xr:uid="{2A395C39-2221-47E7-A473-B205C164B62B}"/>
    <cellStyle name="Comma 5 2 2 4 2 3 4" xfId="34348" xr:uid="{819FB20D-B648-4CEA-9BAC-E1A4F0CECA36}"/>
    <cellStyle name="Comma 5 2 2 4 2 4" xfId="5620" xr:uid="{9ABAECD4-F761-4835-9AF3-1822F33BCAC7}"/>
    <cellStyle name="Comma 5 2 2 4 2 4 2" xfId="14692" xr:uid="{F95D9DA0-C774-439E-A97B-EB8708DA5EFF}"/>
    <cellStyle name="Comma 5 2 2 4 2 4 2 2" xfId="29812" xr:uid="{1CF9BDBA-4F5F-4127-94FC-0BBE7EB21CFF}"/>
    <cellStyle name="Comma 5 2 2 4 2 4 2 2 2" xfId="60052" xr:uid="{764B49DF-4D84-4B5D-B4F2-363B0BDDC80E}"/>
    <cellStyle name="Comma 5 2 2 4 2 4 2 3" xfId="44932" xr:uid="{554E685A-FD47-4B08-AB98-AE382FEFEC87}"/>
    <cellStyle name="Comma 5 2 2 4 2 4 3" xfId="20740" xr:uid="{A1CE1BB6-6E08-4CF8-9F45-A16008848FFF}"/>
    <cellStyle name="Comma 5 2 2 4 2 4 3 2" xfId="50980" xr:uid="{F08AA259-AE69-476F-AFD3-6A42872DDB47}"/>
    <cellStyle name="Comma 5 2 2 4 2 4 4" xfId="35860" xr:uid="{76537012-44B8-418A-BBCF-61DB554C086B}"/>
    <cellStyle name="Comma 5 2 2 4 2 5" xfId="7132" xr:uid="{B24FB76A-4DF1-4475-8E2F-A5AF01A505AB}"/>
    <cellStyle name="Comma 5 2 2 4 2 5 2" xfId="22252" xr:uid="{F665B2B5-7483-40A9-9506-1DBAAD31AC66}"/>
    <cellStyle name="Comma 5 2 2 4 2 5 2 2" xfId="52492" xr:uid="{4C331570-02E5-4611-9522-040AD2502AB4}"/>
    <cellStyle name="Comma 5 2 2 4 2 5 3" xfId="37372" xr:uid="{89420B0D-96CF-407A-AB4E-B3AC4F0D62CD}"/>
    <cellStyle name="Comma 5 2 2 4 2 6" xfId="8644" xr:uid="{6EBEF7B9-FDD6-4152-93D5-0C793E52762F}"/>
    <cellStyle name="Comma 5 2 2 4 2 6 2" xfId="23764" xr:uid="{D269EFB2-A88C-43D8-96A8-4EAFF02B59C4}"/>
    <cellStyle name="Comma 5 2 2 4 2 6 2 2" xfId="54004" xr:uid="{E2161625-7C85-4F04-A1A7-C1C85A2050C3}"/>
    <cellStyle name="Comma 5 2 2 4 2 6 3" xfId="38884" xr:uid="{7DF61C1B-E580-4CC1-8B1F-C2ACD5900561}"/>
    <cellStyle name="Comma 5 2 2 4 2 7" xfId="10156" xr:uid="{F8A25FA9-DBA0-446D-B3DB-FEE1FEDE8569}"/>
    <cellStyle name="Comma 5 2 2 4 2 7 2" xfId="25276" xr:uid="{3824DC6F-AF4C-418F-9CA0-E869E09BBE03}"/>
    <cellStyle name="Comma 5 2 2 4 2 7 2 2" xfId="55516" xr:uid="{D7E413E7-0DFC-446B-B805-349B6E97C6DD}"/>
    <cellStyle name="Comma 5 2 2 4 2 7 3" xfId="40396" xr:uid="{17B09950-1E66-4504-92DF-8539DFFD59EE}"/>
    <cellStyle name="Comma 5 2 2 4 2 8" xfId="16204" xr:uid="{870C041B-E17B-4B33-9B28-22E65AA18772}"/>
    <cellStyle name="Comma 5 2 2 4 2 8 2" xfId="46444" xr:uid="{6059EAF3-515A-4CB3-A7CD-2D44BCA2DCD2}"/>
    <cellStyle name="Comma 5 2 2 4 2 9" xfId="31324" xr:uid="{B3E0FCF1-AD85-4003-B072-302270B5B902}"/>
    <cellStyle name="Comma 5 2 2 4 3" xfId="1840" xr:uid="{8AD9544A-0DDA-4F82-9DD5-197E8A118B33}"/>
    <cellStyle name="Comma 5 2 2 4 3 2" xfId="10912" xr:uid="{BF5617AE-2E54-477F-AC25-D6C593AE0D86}"/>
    <cellStyle name="Comma 5 2 2 4 3 2 2" xfId="26032" xr:uid="{31F5722F-9B96-482D-97A1-886492309193}"/>
    <cellStyle name="Comma 5 2 2 4 3 2 2 2" xfId="56272" xr:uid="{0C6BF95C-B7E2-41F8-88AC-770574CBA07D}"/>
    <cellStyle name="Comma 5 2 2 4 3 2 3" xfId="41152" xr:uid="{2AC7BF6C-69F8-4B68-93E0-A445D8DD75A5}"/>
    <cellStyle name="Comma 5 2 2 4 3 3" xfId="16960" xr:uid="{A4336FAA-DE13-49C8-9BE1-5857A93C27C4}"/>
    <cellStyle name="Comma 5 2 2 4 3 3 2" xfId="47200" xr:uid="{219BCBFA-E8F2-46FF-B1FF-A7FCAA164FDF}"/>
    <cellStyle name="Comma 5 2 2 4 3 4" xfId="32080" xr:uid="{839E1976-1CC1-49A5-AC26-C44F3CDBE81C}"/>
    <cellStyle name="Comma 5 2 2 4 4" xfId="3352" xr:uid="{6BD2CC80-61FF-423D-ADE4-6ECF147DB87E}"/>
    <cellStyle name="Comma 5 2 2 4 4 2" xfId="12424" xr:uid="{86ADB740-3233-4598-8909-BCC7EAC6F553}"/>
    <cellStyle name="Comma 5 2 2 4 4 2 2" xfId="27544" xr:uid="{0FC2D5A6-5E82-4066-9A41-7D8CD662EC4A}"/>
    <cellStyle name="Comma 5 2 2 4 4 2 2 2" xfId="57784" xr:uid="{0A4EAF33-8C74-4C7A-83E2-F27184D2A08E}"/>
    <cellStyle name="Comma 5 2 2 4 4 2 3" xfId="42664" xr:uid="{F52F40D1-E90E-4B62-8F5C-3E72B7EDAF81}"/>
    <cellStyle name="Comma 5 2 2 4 4 3" xfId="18472" xr:uid="{122B67EF-D63A-4E74-981B-A6105A84A2B5}"/>
    <cellStyle name="Comma 5 2 2 4 4 3 2" xfId="48712" xr:uid="{47A7B55C-399A-4F86-A496-694F61DA4EC2}"/>
    <cellStyle name="Comma 5 2 2 4 4 4" xfId="33592" xr:uid="{6A6D60D8-9F42-40BF-B9FA-EAC0DBECE67F}"/>
    <cellStyle name="Comma 5 2 2 4 5" xfId="4864" xr:uid="{7ED066B8-2F83-4695-84F1-FF27E626FDD0}"/>
    <cellStyle name="Comma 5 2 2 4 5 2" xfId="13936" xr:uid="{7E1A7098-1942-4601-BD80-CB2F77C39D32}"/>
    <cellStyle name="Comma 5 2 2 4 5 2 2" xfId="29056" xr:uid="{E7F85E60-7FEA-4D10-88E0-A5D2754797AC}"/>
    <cellStyle name="Comma 5 2 2 4 5 2 2 2" xfId="59296" xr:uid="{9F7BA46F-2C14-4341-A9E5-63AA942C3D13}"/>
    <cellStyle name="Comma 5 2 2 4 5 2 3" xfId="44176" xr:uid="{5AE36B29-F8E9-4820-9BE6-D9AE82DE40BD}"/>
    <cellStyle name="Comma 5 2 2 4 5 3" xfId="19984" xr:uid="{8A83BC15-515A-482D-A665-A2F23C358CDB}"/>
    <cellStyle name="Comma 5 2 2 4 5 3 2" xfId="50224" xr:uid="{62FCA38A-FE76-47C5-A15F-C8CBB3A20D7C}"/>
    <cellStyle name="Comma 5 2 2 4 5 4" xfId="35104" xr:uid="{41785B42-C7D3-41B6-AE0F-4CAE04D1EBA1}"/>
    <cellStyle name="Comma 5 2 2 4 6" xfId="6376" xr:uid="{87F09BE0-FB7F-4ACB-BA03-E96D51853471}"/>
    <cellStyle name="Comma 5 2 2 4 6 2" xfId="21496" xr:uid="{5ED5E4C0-9E1F-46D3-B1F4-5733EB64749C}"/>
    <cellStyle name="Comma 5 2 2 4 6 2 2" xfId="51736" xr:uid="{211A4B6D-2C30-4D34-A5B6-4FC19511587A}"/>
    <cellStyle name="Comma 5 2 2 4 6 3" xfId="36616" xr:uid="{BDD6A8E6-DB8B-4CC4-9DC3-86ABA4C995ED}"/>
    <cellStyle name="Comma 5 2 2 4 7" xfId="7888" xr:uid="{7BC9FDC7-CDEC-4459-9AF1-56A77251D04F}"/>
    <cellStyle name="Comma 5 2 2 4 7 2" xfId="23008" xr:uid="{10A84B49-A0EC-4068-8F6C-0EEE94C5EE85}"/>
    <cellStyle name="Comma 5 2 2 4 7 2 2" xfId="53248" xr:uid="{342A8577-A04A-479F-A1AB-9E2AA8FEE33B}"/>
    <cellStyle name="Comma 5 2 2 4 7 3" xfId="38128" xr:uid="{7E9A311A-0B74-4061-99F6-358C8594EAC0}"/>
    <cellStyle name="Comma 5 2 2 4 8" xfId="9400" xr:uid="{89FE2BCD-F54B-42E6-8138-52533EC2EFA1}"/>
    <cellStyle name="Comma 5 2 2 4 8 2" xfId="24520" xr:uid="{1F270F8A-4935-41C4-90AE-2D36C577C41B}"/>
    <cellStyle name="Comma 5 2 2 4 8 2 2" xfId="54760" xr:uid="{21D76247-62CC-4023-9007-C1AC299738C3}"/>
    <cellStyle name="Comma 5 2 2 4 8 3" xfId="39640" xr:uid="{B2DA0DFF-1999-4038-AD4A-FDF9FF1BAAE6}"/>
    <cellStyle name="Comma 5 2 2 4 9" xfId="15448" xr:uid="{98CF9D92-8310-418F-AF91-294BD1681E94}"/>
    <cellStyle name="Comma 5 2 2 4 9 2" xfId="45688" xr:uid="{3AEB69A0-C558-4EAF-9F46-7836AA647939}"/>
    <cellStyle name="Comma 5 2 2 5" xfId="580" xr:uid="{9B909F2B-0C7B-43BA-8157-E6FB94D18CF1}"/>
    <cellStyle name="Comma 5 2 2 5 10" xfId="30820" xr:uid="{8E15D813-BE4E-4CCE-988C-132742666CA1}"/>
    <cellStyle name="Comma 5 2 2 5 2" xfId="1336" xr:uid="{B900BF40-3703-4FEC-9F8A-97B9C2DADF75}"/>
    <cellStyle name="Comma 5 2 2 5 2 2" xfId="2848" xr:uid="{EA750D31-CF5B-482C-8A31-CE89FD514F2E}"/>
    <cellStyle name="Comma 5 2 2 5 2 2 2" xfId="11920" xr:uid="{EC287AD9-5FB2-44E4-97EC-21DEDFA03A1C}"/>
    <cellStyle name="Comma 5 2 2 5 2 2 2 2" xfId="27040" xr:uid="{DC6845D2-8E41-452F-AD17-E5D9EF6D07EE}"/>
    <cellStyle name="Comma 5 2 2 5 2 2 2 2 2" xfId="57280" xr:uid="{B7C39829-A9DB-4909-B093-599BBC529212}"/>
    <cellStyle name="Comma 5 2 2 5 2 2 2 3" xfId="42160" xr:uid="{DBEDE6AF-3571-4F8C-ABB8-85A2EAB93CF5}"/>
    <cellStyle name="Comma 5 2 2 5 2 2 3" xfId="17968" xr:uid="{25F42A0B-FC91-4703-BA48-5319CCE3D471}"/>
    <cellStyle name="Comma 5 2 2 5 2 2 3 2" xfId="48208" xr:uid="{51C61AB2-EE0D-4B8C-8797-54A8B31A901C}"/>
    <cellStyle name="Comma 5 2 2 5 2 2 4" xfId="33088" xr:uid="{10E5BC6F-4776-4050-86A3-4F0BB3913898}"/>
    <cellStyle name="Comma 5 2 2 5 2 3" xfId="4360" xr:uid="{6A8FA56E-E086-4DCB-A0E6-EC004CBB68F6}"/>
    <cellStyle name="Comma 5 2 2 5 2 3 2" xfId="13432" xr:uid="{F7D7B614-CC63-4465-89CD-DABC311D9713}"/>
    <cellStyle name="Comma 5 2 2 5 2 3 2 2" xfId="28552" xr:uid="{6B55C63D-8F81-4403-BCC5-0AC729BA0251}"/>
    <cellStyle name="Comma 5 2 2 5 2 3 2 2 2" xfId="58792" xr:uid="{9F64661E-79EE-4D96-B0AF-6F9527A37018}"/>
    <cellStyle name="Comma 5 2 2 5 2 3 2 3" xfId="43672" xr:uid="{45DD4184-CE83-42AF-8815-DD890190314B}"/>
    <cellStyle name="Comma 5 2 2 5 2 3 3" xfId="19480" xr:uid="{8D786C9C-6E6E-4771-8DD3-B274B2F3C8E1}"/>
    <cellStyle name="Comma 5 2 2 5 2 3 3 2" xfId="49720" xr:uid="{51158643-8D9F-42A1-8045-9FC34C61A038}"/>
    <cellStyle name="Comma 5 2 2 5 2 3 4" xfId="34600" xr:uid="{BCDB3A4B-716B-45A0-A9E9-2C8258220419}"/>
    <cellStyle name="Comma 5 2 2 5 2 4" xfId="5872" xr:uid="{596857B9-A51D-4476-AC56-6689B119DF2A}"/>
    <cellStyle name="Comma 5 2 2 5 2 4 2" xfId="14944" xr:uid="{18391AEB-5FB6-456B-8582-05393F9EE477}"/>
    <cellStyle name="Comma 5 2 2 5 2 4 2 2" xfId="30064" xr:uid="{03F680AE-B8E8-4D5B-B86E-2D01EE142466}"/>
    <cellStyle name="Comma 5 2 2 5 2 4 2 2 2" xfId="60304" xr:uid="{83FD4AD7-C8E5-4FC1-B4F8-55F351ED7EDB}"/>
    <cellStyle name="Comma 5 2 2 5 2 4 2 3" xfId="45184" xr:uid="{A0E39067-0C5D-4C34-8E1C-70563F2CD6B4}"/>
    <cellStyle name="Comma 5 2 2 5 2 4 3" xfId="20992" xr:uid="{F57C9255-36E8-465C-8733-6CC01E1200B0}"/>
    <cellStyle name="Comma 5 2 2 5 2 4 3 2" xfId="51232" xr:uid="{9AEC7F2B-2D02-4F14-ADEC-EC3D65B5180A}"/>
    <cellStyle name="Comma 5 2 2 5 2 4 4" xfId="36112" xr:uid="{A817DB11-EA2F-4D20-9FB1-34D5DCE997B7}"/>
    <cellStyle name="Comma 5 2 2 5 2 5" xfId="7384" xr:uid="{C284C3FA-FF80-42E5-9506-8561B337A9FE}"/>
    <cellStyle name="Comma 5 2 2 5 2 5 2" xfId="22504" xr:uid="{BDD3B394-1B01-47A7-9504-C8020730CD5B}"/>
    <cellStyle name="Comma 5 2 2 5 2 5 2 2" xfId="52744" xr:uid="{B4D21FEF-3C01-4E08-8904-377C6BF6F051}"/>
    <cellStyle name="Comma 5 2 2 5 2 5 3" xfId="37624" xr:uid="{35A284DD-36F6-4AE3-AD21-37BE12D481C6}"/>
    <cellStyle name="Comma 5 2 2 5 2 6" xfId="8896" xr:uid="{0056C83C-E0C6-4C6A-B680-4CFD9D96416B}"/>
    <cellStyle name="Comma 5 2 2 5 2 6 2" xfId="24016" xr:uid="{4BF25A17-9917-4F9B-99F6-F0000B7A44B8}"/>
    <cellStyle name="Comma 5 2 2 5 2 6 2 2" xfId="54256" xr:uid="{96DD60A6-8038-45DD-8909-853502110682}"/>
    <cellStyle name="Comma 5 2 2 5 2 6 3" xfId="39136" xr:uid="{2DBFD12D-EB8D-4392-9397-58C2462879DA}"/>
    <cellStyle name="Comma 5 2 2 5 2 7" xfId="10408" xr:uid="{885C113D-EA9B-44BC-B8CA-B9CCFDD7B520}"/>
    <cellStyle name="Comma 5 2 2 5 2 7 2" xfId="25528" xr:uid="{79D4C075-2C70-45A6-91F9-5FC5D27E2375}"/>
    <cellStyle name="Comma 5 2 2 5 2 7 2 2" xfId="55768" xr:uid="{D5FAE35F-64C4-437E-8C28-1443717469EB}"/>
    <cellStyle name="Comma 5 2 2 5 2 7 3" xfId="40648" xr:uid="{6FCEA2D9-1872-4F3A-A06E-968E91071A10}"/>
    <cellStyle name="Comma 5 2 2 5 2 8" xfId="16456" xr:uid="{3DB212A7-0D09-4030-A193-552471C72AB9}"/>
    <cellStyle name="Comma 5 2 2 5 2 8 2" xfId="46696" xr:uid="{EAF9AA80-25A1-4D69-BEC5-11865842D960}"/>
    <cellStyle name="Comma 5 2 2 5 2 9" xfId="31576" xr:uid="{F2295F28-3738-4ADE-999B-180B90FE6706}"/>
    <cellStyle name="Comma 5 2 2 5 3" xfId="2092" xr:uid="{D7FC37C1-E2C7-4A02-B37C-1A6DCAED7FC2}"/>
    <cellStyle name="Comma 5 2 2 5 3 2" xfId="11164" xr:uid="{6779BA22-712E-4186-84D2-FFC106677A9E}"/>
    <cellStyle name="Comma 5 2 2 5 3 2 2" xfId="26284" xr:uid="{D710E903-8148-4A2F-950F-39618B10A199}"/>
    <cellStyle name="Comma 5 2 2 5 3 2 2 2" xfId="56524" xr:uid="{EC54A3E0-4820-47CD-9741-1A299149837D}"/>
    <cellStyle name="Comma 5 2 2 5 3 2 3" xfId="41404" xr:uid="{9C333E52-B3DE-418B-8E16-D22BA91A92D0}"/>
    <cellStyle name="Comma 5 2 2 5 3 3" xfId="17212" xr:uid="{54570483-F395-4467-BEDE-5D66C3049B7C}"/>
    <cellStyle name="Comma 5 2 2 5 3 3 2" xfId="47452" xr:uid="{56A88EC1-900B-40AC-A1AA-52AB732FAB6B}"/>
    <cellStyle name="Comma 5 2 2 5 3 4" xfId="32332" xr:uid="{97536CE2-78AE-48D6-A503-EF17BBD09CD6}"/>
    <cellStyle name="Comma 5 2 2 5 4" xfId="3604" xr:uid="{9CA66DDB-59E9-416E-9E64-8B4C17FD063F}"/>
    <cellStyle name="Comma 5 2 2 5 4 2" xfId="12676" xr:uid="{A550F1FA-0301-45AD-939F-3B150DEADEC5}"/>
    <cellStyle name="Comma 5 2 2 5 4 2 2" xfId="27796" xr:uid="{5BD5B506-3729-4BFE-9CC4-D15D83677A8F}"/>
    <cellStyle name="Comma 5 2 2 5 4 2 2 2" xfId="58036" xr:uid="{A0AEDA02-A043-4A70-8E25-4C33D0F45491}"/>
    <cellStyle name="Comma 5 2 2 5 4 2 3" xfId="42916" xr:uid="{B8822C5F-32AA-4A97-ACD0-FF66D6C128F0}"/>
    <cellStyle name="Comma 5 2 2 5 4 3" xfId="18724" xr:uid="{233558A3-4CED-4EFB-88FA-491AAA73E4B1}"/>
    <cellStyle name="Comma 5 2 2 5 4 3 2" xfId="48964" xr:uid="{C3B612D0-7761-49A6-9064-DA690B2F2AC6}"/>
    <cellStyle name="Comma 5 2 2 5 4 4" xfId="33844" xr:uid="{28C2CDD4-93E3-4C49-A634-D1A88DD0B66E}"/>
    <cellStyle name="Comma 5 2 2 5 5" xfId="5116" xr:uid="{34ED8DDA-14FF-4894-B15D-3E7829BED8B3}"/>
    <cellStyle name="Comma 5 2 2 5 5 2" xfId="14188" xr:uid="{603A1E43-6EC2-440D-8A1A-3380BD70339F}"/>
    <cellStyle name="Comma 5 2 2 5 5 2 2" xfId="29308" xr:uid="{1BBF61D4-ABA8-4C27-93C8-6ABB428ED5BB}"/>
    <cellStyle name="Comma 5 2 2 5 5 2 2 2" xfId="59548" xr:uid="{3DF8C0E4-381E-4445-807D-0866269C186A}"/>
    <cellStyle name="Comma 5 2 2 5 5 2 3" xfId="44428" xr:uid="{6353623E-8F08-4C04-8F04-A2E359C30191}"/>
    <cellStyle name="Comma 5 2 2 5 5 3" xfId="20236" xr:uid="{07DB7BC7-1A08-45BA-A9FA-B4221F5BDD1E}"/>
    <cellStyle name="Comma 5 2 2 5 5 3 2" xfId="50476" xr:uid="{4764ECEE-E7BA-4555-BFB1-D99A798BD357}"/>
    <cellStyle name="Comma 5 2 2 5 5 4" xfId="35356" xr:uid="{301E3211-C8D7-435F-8918-4A25A9DBFF5D}"/>
    <cellStyle name="Comma 5 2 2 5 6" xfId="6628" xr:uid="{2C21F7AD-6363-4211-9F4A-8E17A73BA9A6}"/>
    <cellStyle name="Comma 5 2 2 5 6 2" xfId="21748" xr:uid="{D5DA1AD3-4DD4-4B8C-9782-7663A71FA4CF}"/>
    <cellStyle name="Comma 5 2 2 5 6 2 2" xfId="51988" xr:uid="{71B96B9B-6AF5-471E-958A-89D546A56356}"/>
    <cellStyle name="Comma 5 2 2 5 6 3" xfId="36868" xr:uid="{59D7724C-E025-4335-850F-9EE632DC8599}"/>
    <cellStyle name="Comma 5 2 2 5 7" xfId="8140" xr:uid="{25059308-E88E-411E-845B-14FAF949A26C}"/>
    <cellStyle name="Comma 5 2 2 5 7 2" xfId="23260" xr:uid="{014457F8-C341-4211-B6BB-11341565BA80}"/>
    <cellStyle name="Comma 5 2 2 5 7 2 2" xfId="53500" xr:uid="{4D4755E8-6297-4FB8-94D1-617CFA19F9B4}"/>
    <cellStyle name="Comma 5 2 2 5 7 3" xfId="38380" xr:uid="{EC8521EC-30F1-466C-BF2B-9102954F91FD}"/>
    <cellStyle name="Comma 5 2 2 5 8" xfId="9652" xr:uid="{378879F6-084D-46DE-B723-D6B275D5EB10}"/>
    <cellStyle name="Comma 5 2 2 5 8 2" xfId="24772" xr:uid="{57752DA2-EA72-405D-AA83-5D7C93D67AC4}"/>
    <cellStyle name="Comma 5 2 2 5 8 2 2" xfId="55012" xr:uid="{9742FFDF-8139-4A4D-9F11-BE656B573586}"/>
    <cellStyle name="Comma 5 2 2 5 8 3" xfId="39892" xr:uid="{E7F38F4C-92EC-4590-8CA6-D0D06F4EA59C}"/>
    <cellStyle name="Comma 5 2 2 5 9" xfId="15700" xr:uid="{6EFF28ED-8822-4F8B-8BA6-687B7A85E1DD}"/>
    <cellStyle name="Comma 5 2 2 5 9 2" xfId="45940" xr:uid="{C6742B24-E2BC-4008-A0D6-F26241A3BA4F}"/>
    <cellStyle name="Comma 5 2 2 6" xfId="832" xr:uid="{CE3FC9C5-83C5-46F3-9359-8FFB4C0D77B0}"/>
    <cellStyle name="Comma 5 2 2 6 2" xfId="2344" xr:uid="{907E5EED-5755-4E25-8FBC-BFB20E9F07D0}"/>
    <cellStyle name="Comma 5 2 2 6 2 2" xfId="11416" xr:uid="{A2E15992-453D-4A5C-A531-C0F7F7EB06F2}"/>
    <cellStyle name="Comma 5 2 2 6 2 2 2" xfId="26536" xr:uid="{97D77754-85D0-4754-BBDD-0E2FBCDAEF25}"/>
    <cellStyle name="Comma 5 2 2 6 2 2 2 2" xfId="56776" xr:uid="{FC54D6D8-6AFD-4AC8-949D-B1C7D14F0B5A}"/>
    <cellStyle name="Comma 5 2 2 6 2 2 3" xfId="41656" xr:uid="{39B2343B-502D-41A0-B222-3C78451AEBE5}"/>
    <cellStyle name="Comma 5 2 2 6 2 3" xfId="17464" xr:uid="{8DB2DFA6-38B9-4782-BA93-5F123F28043A}"/>
    <cellStyle name="Comma 5 2 2 6 2 3 2" xfId="47704" xr:uid="{FABA131C-99CC-4833-9308-619EB776A969}"/>
    <cellStyle name="Comma 5 2 2 6 2 4" xfId="32584" xr:uid="{E32E825A-4F58-42CE-9E57-532895DC7172}"/>
    <cellStyle name="Comma 5 2 2 6 3" xfId="3856" xr:uid="{C9204C95-5FA7-4911-8443-8A9C93D291DC}"/>
    <cellStyle name="Comma 5 2 2 6 3 2" xfId="12928" xr:uid="{3BCD3D68-6064-4136-B95D-621AB2A77253}"/>
    <cellStyle name="Comma 5 2 2 6 3 2 2" xfId="28048" xr:uid="{EDB9C246-3BA7-40BC-8141-92A7D3F6B9B3}"/>
    <cellStyle name="Comma 5 2 2 6 3 2 2 2" xfId="58288" xr:uid="{31A8597F-6C66-436C-844E-D6AC8568743D}"/>
    <cellStyle name="Comma 5 2 2 6 3 2 3" xfId="43168" xr:uid="{8840C453-F8D3-4914-8570-77725EDEB796}"/>
    <cellStyle name="Comma 5 2 2 6 3 3" xfId="18976" xr:uid="{EC6CE67E-4A53-43D5-90B1-E2BF2AA00441}"/>
    <cellStyle name="Comma 5 2 2 6 3 3 2" xfId="49216" xr:uid="{BDC7F96A-C324-433B-922E-1E6CC8867880}"/>
    <cellStyle name="Comma 5 2 2 6 3 4" xfId="34096" xr:uid="{32D548C2-C1D5-4DAA-BF69-E98A5FDB7BAA}"/>
    <cellStyle name="Comma 5 2 2 6 4" xfId="5368" xr:uid="{8B29A8C5-0900-4FF7-8B13-78BBF3014AE8}"/>
    <cellStyle name="Comma 5 2 2 6 4 2" xfId="14440" xr:uid="{5C2E43AE-2602-4022-9CD7-8593D2534557}"/>
    <cellStyle name="Comma 5 2 2 6 4 2 2" xfId="29560" xr:uid="{1C1244EF-1731-41E1-95E4-2780393D7329}"/>
    <cellStyle name="Comma 5 2 2 6 4 2 2 2" xfId="59800" xr:uid="{D18AB725-B86E-4D16-8238-A7129E85441B}"/>
    <cellStyle name="Comma 5 2 2 6 4 2 3" xfId="44680" xr:uid="{F509337C-C8C2-4E78-BD5F-433B0F49B670}"/>
    <cellStyle name="Comma 5 2 2 6 4 3" xfId="20488" xr:uid="{ACE08D09-A645-4819-A86C-E5C6F66B4691}"/>
    <cellStyle name="Comma 5 2 2 6 4 3 2" xfId="50728" xr:uid="{62975567-7302-4F54-A087-D3B49C5BBA32}"/>
    <cellStyle name="Comma 5 2 2 6 4 4" xfId="35608" xr:uid="{966705A8-ADC6-4652-BB22-431E1B901CCB}"/>
    <cellStyle name="Comma 5 2 2 6 5" xfId="6880" xr:uid="{C8B3CECE-2BCF-49B4-8584-37B7F71548EB}"/>
    <cellStyle name="Comma 5 2 2 6 5 2" xfId="22000" xr:uid="{4C8F89F7-1498-44EA-BEC5-1F95C5367C97}"/>
    <cellStyle name="Comma 5 2 2 6 5 2 2" xfId="52240" xr:uid="{9366BAFE-1EA1-4827-9588-FA041356A4A1}"/>
    <cellStyle name="Comma 5 2 2 6 5 3" xfId="37120" xr:uid="{9A92321F-12D8-47AD-8366-AAF0648A0BE3}"/>
    <cellStyle name="Comma 5 2 2 6 6" xfId="8392" xr:uid="{D3ACE083-4F58-4CEA-86B2-E7D6E032767C}"/>
    <cellStyle name="Comma 5 2 2 6 6 2" xfId="23512" xr:uid="{F5E3F31F-02AB-454B-9372-2172FAAB1417}"/>
    <cellStyle name="Comma 5 2 2 6 6 2 2" xfId="53752" xr:uid="{7AC7B33E-8BCA-49D0-9D83-BDDDA363F55A}"/>
    <cellStyle name="Comma 5 2 2 6 6 3" xfId="38632" xr:uid="{B02B97A0-CC45-4CC4-B9EF-807D23D13B95}"/>
    <cellStyle name="Comma 5 2 2 6 7" xfId="9904" xr:uid="{6FD11D5E-BE2C-4EAC-BCC3-0A131196C958}"/>
    <cellStyle name="Comma 5 2 2 6 7 2" xfId="25024" xr:uid="{19A8CA3C-3882-47F7-9892-37A36DAE349E}"/>
    <cellStyle name="Comma 5 2 2 6 7 2 2" xfId="55264" xr:uid="{A0E38DB8-88E3-4E8D-916D-B3C5B3462680}"/>
    <cellStyle name="Comma 5 2 2 6 7 3" xfId="40144" xr:uid="{F828588D-42D2-41AC-802C-A7BD5DD7105D}"/>
    <cellStyle name="Comma 5 2 2 6 8" xfId="15952" xr:uid="{B8726DC0-D1CD-4BAA-8717-692539410A1C}"/>
    <cellStyle name="Comma 5 2 2 6 8 2" xfId="46192" xr:uid="{A0C41311-B2ED-46BF-8AB2-9B5AE7ECC2DB}"/>
    <cellStyle name="Comma 5 2 2 6 9" xfId="31072" xr:uid="{C52DEE27-1B39-415C-8691-5347DA15A234}"/>
    <cellStyle name="Comma 5 2 2 7" xfId="1588" xr:uid="{67FA326E-B573-4A19-B212-2C8458BD0F4C}"/>
    <cellStyle name="Comma 5 2 2 7 2" xfId="10660" xr:uid="{0753649E-5504-404B-981A-851B76264D10}"/>
    <cellStyle name="Comma 5 2 2 7 2 2" xfId="25780" xr:uid="{5DECAF34-A44E-45ED-A55C-719DCE44ACF8}"/>
    <cellStyle name="Comma 5 2 2 7 2 2 2" xfId="56020" xr:uid="{1CE75E19-8FA3-4998-B5E5-ED322EC93027}"/>
    <cellStyle name="Comma 5 2 2 7 2 3" xfId="40900" xr:uid="{31AFFC56-8A0D-4B45-8452-FBC3721D221A}"/>
    <cellStyle name="Comma 5 2 2 7 3" xfId="16708" xr:uid="{36800CFA-6213-4AAB-9C45-BCAFB564B3C6}"/>
    <cellStyle name="Comma 5 2 2 7 3 2" xfId="46948" xr:uid="{C68F0FED-3792-4A28-AA6F-95244FA47A27}"/>
    <cellStyle name="Comma 5 2 2 7 4" xfId="31828" xr:uid="{0E561D80-DFF2-41A9-975C-266B4F73F3DF}"/>
    <cellStyle name="Comma 5 2 2 8" xfId="3100" xr:uid="{B3B19B3C-4582-4396-B9B7-1D9EAF870B5B}"/>
    <cellStyle name="Comma 5 2 2 8 2" xfId="12172" xr:uid="{09252D01-EE72-41C8-B0C7-3D2BF122813E}"/>
    <cellStyle name="Comma 5 2 2 8 2 2" xfId="27292" xr:uid="{B9995808-32E1-41C5-AE80-41EF48A1DDC7}"/>
    <cellStyle name="Comma 5 2 2 8 2 2 2" xfId="57532" xr:uid="{01B5A2E5-A6F3-471F-A6C4-A8E47B643D19}"/>
    <cellStyle name="Comma 5 2 2 8 2 3" xfId="42412" xr:uid="{63D9D017-8CFB-46E0-9337-FF658FBC5C97}"/>
    <cellStyle name="Comma 5 2 2 8 3" xfId="18220" xr:uid="{4EB98348-8786-468C-8080-E823E4DB09CC}"/>
    <cellStyle name="Comma 5 2 2 8 3 2" xfId="48460" xr:uid="{D0CCC3E4-D8E7-494A-BB94-C7DEA960EF84}"/>
    <cellStyle name="Comma 5 2 2 8 4" xfId="33340" xr:uid="{4515C9DA-B458-4458-B6D6-FD507F8D760B}"/>
    <cellStyle name="Comma 5 2 2 9" xfId="4612" xr:uid="{6BB741FE-1BBF-4A73-BAF4-ADC9CA1F524D}"/>
    <cellStyle name="Comma 5 2 2 9 2" xfId="13684" xr:uid="{36179593-52F0-4CC4-A06C-28FF7954220D}"/>
    <cellStyle name="Comma 5 2 2 9 2 2" xfId="28804" xr:uid="{EFE6E691-0223-47EE-A31B-666FAC1A36B5}"/>
    <cellStyle name="Comma 5 2 2 9 2 2 2" xfId="59044" xr:uid="{DFD9F96C-4248-4267-B1CB-3D87B6C7E701}"/>
    <cellStyle name="Comma 5 2 2 9 2 3" xfId="43924" xr:uid="{0DF72A5A-2D1F-4AF2-92A1-320E766F3347}"/>
    <cellStyle name="Comma 5 2 2 9 3" xfId="19732" xr:uid="{C0147A6A-544C-488C-B539-3E3FD9BA231D}"/>
    <cellStyle name="Comma 5 2 2 9 3 2" xfId="49972" xr:uid="{F4D8DCF2-28BA-4636-9F93-36F7F4325032}"/>
    <cellStyle name="Comma 5 2 2 9 4" xfId="34852" xr:uid="{EF8D800F-D039-4841-8042-1E85A5EE0391}"/>
    <cellStyle name="Comma 5 2 3" xfId="118" xr:uid="{48D9E1C6-638E-43DD-94E3-F31EFA0AA203}"/>
    <cellStyle name="Comma 5 2 3 10" xfId="9190" xr:uid="{948102BB-FD2B-49EB-BAF4-F9C42002126A}"/>
    <cellStyle name="Comma 5 2 3 10 2" xfId="24310" xr:uid="{8B43E9A8-89D4-4F77-B1CB-C367C2DED000}"/>
    <cellStyle name="Comma 5 2 3 10 2 2" xfId="54550" xr:uid="{D7CC98C3-41DA-4070-BE26-09EB8AEBD2A7}"/>
    <cellStyle name="Comma 5 2 3 10 3" xfId="39430" xr:uid="{D5990541-F46B-41B0-82AC-34C0D2455BBA}"/>
    <cellStyle name="Comma 5 2 3 11" xfId="15238" xr:uid="{C682BFFD-6B47-4210-AA93-919CE0391CCA}"/>
    <cellStyle name="Comma 5 2 3 11 2" xfId="45478" xr:uid="{6AF0E416-5F13-4D2E-BC1D-B764120E3FC9}"/>
    <cellStyle name="Comma 5 2 3 12" xfId="30358" xr:uid="{6FAF157B-EFFE-4A96-A55D-8E0949BBC719}"/>
    <cellStyle name="Comma 5 2 3 2" xfId="370" xr:uid="{01051443-2C65-492D-8A4A-C5C138D94DCE}"/>
    <cellStyle name="Comma 5 2 3 2 10" xfId="30610" xr:uid="{BBA0D5EA-1D9C-43DF-841E-DB4AE51F791D}"/>
    <cellStyle name="Comma 5 2 3 2 2" xfId="1126" xr:uid="{A627A7CF-5133-4475-B8B0-50696908657F}"/>
    <cellStyle name="Comma 5 2 3 2 2 2" xfId="2638" xr:uid="{3863FFAB-2803-428E-841F-AE7B5BA6313E}"/>
    <cellStyle name="Comma 5 2 3 2 2 2 2" xfId="11710" xr:uid="{31F121A5-74EC-427C-82EA-77268C491765}"/>
    <cellStyle name="Comma 5 2 3 2 2 2 2 2" xfId="26830" xr:uid="{342C1C34-EC0C-4F36-8205-DA8665DD56FC}"/>
    <cellStyle name="Comma 5 2 3 2 2 2 2 2 2" xfId="57070" xr:uid="{4AF57F61-25CB-41EF-B926-CCD0C0572544}"/>
    <cellStyle name="Comma 5 2 3 2 2 2 2 3" xfId="41950" xr:uid="{200CCB07-F0BF-4C60-9052-F7E9F4D7B06C}"/>
    <cellStyle name="Comma 5 2 3 2 2 2 3" xfId="17758" xr:uid="{1C079FB5-19E0-4B61-8169-FA196587D821}"/>
    <cellStyle name="Comma 5 2 3 2 2 2 3 2" xfId="47998" xr:uid="{3C6E4985-3627-4CD4-8356-EE0BFAE56704}"/>
    <cellStyle name="Comma 5 2 3 2 2 2 4" xfId="32878" xr:uid="{94E3D1FF-75E8-4EFD-B9C1-C9B4685C9FFA}"/>
    <cellStyle name="Comma 5 2 3 2 2 3" xfId="4150" xr:uid="{738BA8D0-4CE5-49F9-9A7B-45977774FFEE}"/>
    <cellStyle name="Comma 5 2 3 2 2 3 2" xfId="13222" xr:uid="{1766D9F7-07A3-457A-85A4-941E8C2767EC}"/>
    <cellStyle name="Comma 5 2 3 2 2 3 2 2" xfId="28342" xr:uid="{2E33C6D4-C637-49EA-AFF8-A8816798B201}"/>
    <cellStyle name="Comma 5 2 3 2 2 3 2 2 2" xfId="58582" xr:uid="{C4D85F78-EDBA-41B4-BDE6-0FC4BDBFD905}"/>
    <cellStyle name="Comma 5 2 3 2 2 3 2 3" xfId="43462" xr:uid="{33923E07-569C-46E6-84AC-AED04747E9DA}"/>
    <cellStyle name="Comma 5 2 3 2 2 3 3" xfId="19270" xr:uid="{26C6E5DB-E8AD-48AF-A417-D47AF609DFC8}"/>
    <cellStyle name="Comma 5 2 3 2 2 3 3 2" xfId="49510" xr:uid="{B3A498A2-FD7D-46E3-ADA4-ADA16C76196A}"/>
    <cellStyle name="Comma 5 2 3 2 2 3 4" xfId="34390" xr:uid="{D05C81AA-DF48-4089-B0D0-65EF0EFA829E}"/>
    <cellStyle name="Comma 5 2 3 2 2 4" xfId="5662" xr:uid="{E43AED5C-A37F-42EF-957F-92E4C20668A7}"/>
    <cellStyle name="Comma 5 2 3 2 2 4 2" xfId="14734" xr:uid="{AAE03D35-F055-4985-A4F1-0965E9D01F62}"/>
    <cellStyle name="Comma 5 2 3 2 2 4 2 2" xfId="29854" xr:uid="{90B0A426-53BE-4BDE-A0A2-1C526F395968}"/>
    <cellStyle name="Comma 5 2 3 2 2 4 2 2 2" xfId="60094" xr:uid="{A9CF18AF-A5E1-4CC0-BF04-0D1CD87BD2B0}"/>
    <cellStyle name="Comma 5 2 3 2 2 4 2 3" xfId="44974" xr:uid="{48B69734-C3F4-4994-A989-3FA85D0AADD8}"/>
    <cellStyle name="Comma 5 2 3 2 2 4 3" xfId="20782" xr:uid="{C4477F0C-61B3-4282-9DEF-9C9FDF2A03DC}"/>
    <cellStyle name="Comma 5 2 3 2 2 4 3 2" xfId="51022" xr:uid="{C1835785-161C-4B1E-9D6C-047A30F440A4}"/>
    <cellStyle name="Comma 5 2 3 2 2 4 4" xfId="35902" xr:uid="{23F53237-7E58-4D36-8609-8CB41BA154C4}"/>
    <cellStyle name="Comma 5 2 3 2 2 5" xfId="7174" xr:uid="{053C7E94-40D8-425C-A328-B76FC65690D0}"/>
    <cellStyle name="Comma 5 2 3 2 2 5 2" xfId="22294" xr:uid="{7F0A2899-8163-4D42-B9C2-72391A3BA035}"/>
    <cellStyle name="Comma 5 2 3 2 2 5 2 2" xfId="52534" xr:uid="{9927B0E9-526F-44E5-967B-BE05EAC40A18}"/>
    <cellStyle name="Comma 5 2 3 2 2 5 3" xfId="37414" xr:uid="{4C68A421-5D40-4FF6-A705-729A94B3A443}"/>
    <cellStyle name="Comma 5 2 3 2 2 6" xfId="8686" xr:uid="{F90F3EC1-5CA5-449A-A507-4F1EAC076554}"/>
    <cellStyle name="Comma 5 2 3 2 2 6 2" xfId="23806" xr:uid="{EF94EAFF-51C1-4B8E-8AE7-F11A6D5ACA00}"/>
    <cellStyle name="Comma 5 2 3 2 2 6 2 2" xfId="54046" xr:uid="{D81EC79E-61D6-4BA3-9DB1-849E6360C20B}"/>
    <cellStyle name="Comma 5 2 3 2 2 6 3" xfId="38926" xr:uid="{0A31521F-8562-4E94-8EF8-910B3DFA28A6}"/>
    <cellStyle name="Comma 5 2 3 2 2 7" xfId="10198" xr:uid="{ABC3019E-83C6-44D2-B20F-1216E8A8572A}"/>
    <cellStyle name="Comma 5 2 3 2 2 7 2" xfId="25318" xr:uid="{57E441AB-ECD6-4774-8ACE-989F0A912E7F}"/>
    <cellStyle name="Comma 5 2 3 2 2 7 2 2" xfId="55558" xr:uid="{7A5C9009-800C-492A-9305-B0046F75618B}"/>
    <cellStyle name="Comma 5 2 3 2 2 7 3" xfId="40438" xr:uid="{79BF7522-F04D-481F-89B2-1910F0148CEA}"/>
    <cellStyle name="Comma 5 2 3 2 2 8" xfId="16246" xr:uid="{B9BABBDB-77B0-410D-8636-BD0B50263EE1}"/>
    <cellStyle name="Comma 5 2 3 2 2 8 2" xfId="46486" xr:uid="{9281BBFD-F260-45A5-9E0E-99BFC0BC48D8}"/>
    <cellStyle name="Comma 5 2 3 2 2 9" xfId="31366" xr:uid="{C4CE2B23-61B7-4600-9688-D6917DFC99EA}"/>
    <cellStyle name="Comma 5 2 3 2 3" xfId="1882" xr:uid="{3E4C58FF-BE5E-4F88-9CB0-6A4C52BE64FC}"/>
    <cellStyle name="Comma 5 2 3 2 3 2" xfId="10954" xr:uid="{98F47333-4794-4224-84FC-82867297727C}"/>
    <cellStyle name="Comma 5 2 3 2 3 2 2" xfId="26074" xr:uid="{DFD531B8-62F8-455E-8327-212606AA7D73}"/>
    <cellStyle name="Comma 5 2 3 2 3 2 2 2" xfId="56314" xr:uid="{0D634AB4-FB05-4AF5-AD1F-C73C15FF4697}"/>
    <cellStyle name="Comma 5 2 3 2 3 2 3" xfId="41194" xr:uid="{D8380A4F-16FA-4701-95DB-C9E51360E0B8}"/>
    <cellStyle name="Comma 5 2 3 2 3 3" xfId="17002" xr:uid="{29DB8084-343E-4B16-B774-A2E15D12EA8A}"/>
    <cellStyle name="Comma 5 2 3 2 3 3 2" xfId="47242" xr:uid="{CE3EB0A5-F9AD-4EAA-A66E-5455FD55FBE4}"/>
    <cellStyle name="Comma 5 2 3 2 3 4" xfId="32122" xr:uid="{EB18E89D-28B2-4A81-8E1B-910EA6A98252}"/>
    <cellStyle name="Comma 5 2 3 2 4" xfId="3394" xr:uid="{FE09826A-0C33-4FA0-8852-946CB1C06EC1}"/>
    <cellStyle name="Comma 5 2 3 2 4 2" xfId="12466" xr:uid="{FBCB7C32-FD7E-445C-9942-6CE2175D4844}"/>
    <cellStyle name="Comma 5 2 3 2 4 2 2" xfId="27586" xr:uid="{3EBA129C-FBEB-4356-AF0A-945118A461F9}"/>
    <cellStyle name="Comma 5 2 3 2 4 2 2 2" xfId="57826" xr:uid="{67A2434E-6561-4BC6-A16B-10A51E47794D}"/>
    <cellStyle name="Comma 5 2 3 2 4 2 3" xfId="42706" xr:uid="{15D3D20F-9078-47B9-A7B8-E43C035CDBA3}"/>
    <cellStyle name="Comma 5 2 3 2 4 3" xfId="18514" xr:uid="{C0A69AD2-44DD-4CE0-B815-5E771BB8A6B4}"/>
    <cellStyle name="Comma 5 2 3 2 4 3 2" xfId="48754" xr:uid="{FD20A50B-322E-436D-9786-0CBDCFB950B6}"/>
    <cellStyle name="Comma 5 2 3 2 4 4" xfId="33634" xr:uid="{B60F7FA3-0611-4661-8094-6DE814756224}"/>
    <cellStyle name="Comma 5 2 3 2 5" xfId="4906" xr:uid="{426B9D06-EB73-4B9A-B84E-FA6DE1D31843}"/>
    <cellStyle name="Comma 5 2 3 2 5 2" xfId="13978" xr:uid="{0C7E0ACF-53ED-482F-98EB-EBA5256ABA97}"/>
    <cellStyle name="Comma 5 2 3 2 5 2 2" xfId="29098" xr:uid="{8A86F520-E33F-4C14-BF40-ED327F3ABDB5}"/>
    <cellStyle name="Comma 5 2 3 2 5 2 2 2" xfId="59338" xr:uid="{DFA422E6-A72B-4944-AECC-9E7DCD410FF7}"/>
    <cellStyle name="Comma 5 2 3 2 5 2 3" xfId="44218" xr:uid="{1CB9DA92-6110-4083-ABB8-C7D045D74D0C}"/>
    <cellStyle name="Comma 5 2 3 2 5 3" xfId="20026" xr:uid="{BDDB6757-D58D-4BFA-A153-586900D8695D}"/>
    <cellStyle name="Comma 5 2 3 2 5 3 2" xfId="50266" xr:uid="{B2691A51-6401-4052-AE11-2F9D8791A013}"/>
    <cellStyle name="Comma 5 2 3 2 5 4" xfId="35146" xr:uid="{4ECC812C-075D-40D2-8925-4A04B4526ADA}"/>
    <cellStyle name="Comma 5 2 3 2 6" xfId="6418" xr:uid="{DFDC9B50-978D-47E5-94D6-ED96045FEEDF}"/>
    <cellStyle name="Comma 5 2 3 2 6 2" xfId="21538" xr:uid="{A492C98D-6A1D-423D-9F92-81BD4827709B}"/>
    <cellStyle name="Comma 5 2 3 2 6 2 2" xfId="51778" xr:uid="{D156365C-53CE-4B7D-B011-251160207684}"/>
    <cellStyle name="Comma 5 2 3 2 6 3" xfId="36658" xr:uid="{5EB6E45E-632B-4F04-86F1-C88E323F9C02}"/>
    <cellStyle name="Comma 5 2 3 2 7" xfId="7930" xr:uid="{7F628D1E-9416-45A9-81F8-34E9AC46AB42}"/>
    <cellStyle name="Comma 5 2 3 2 7 2" xfId="23050" xr:uid="{512772CA-3B68-49E4-80C4-7454CD8E38F7}"/>
    <cellStyle name="Comma 5 2 3 2 7 2 2" xfId="53290" xr:uid="{C3CBC177-DD9A-4BD4-A592-7DFC25865E20}"/>
    <cellStyle name="Comma 5 2 3 2 7 3" xfId="38170" xr:uid="{CDF5A65F-3CBE-477E-AEF7-FA08A368F4AA}"/>
    <cellStyle name="Comma 5 2 3 2 8" xfId="9442" xr:uid="{7B130E8E-3F68-4188-8026-01C147AF2023}"/>
    <cellStyle name="Comma 5 2 3 2 8 2" xfId="24562" xr:uid="{D1704D7E-F3C7-4DE4-9FC5-0B76F37C6650}"/>
    <cellStyle name="Comma 5 2 3 2 8 2 2" xfId="54802" xr:uid="{19358506-2E18-4855-B40F-E900BD5151CD}"/>
    <cellStyle name="Comma 5 2 3 2 8 3" xfId="39682" xr:uid="{9DD8CCDE-7B68-4A67-8049-CB128C8667F2}"/>
    <cellStyle name="Comma 5 2 3 2 9" xfId="15490" xr:uid="{1580AC43-E23F-4C2E-A40D-4FB8E3FCEEA3}"/>
    <cellStyle name="Comma 5 2 3 2 9 2" xfId="45730" xr:uid="{0DB8F962-0F37-421D-B66D-27FEC00B26B6}"/>
    <cellStyle name="Comma 5 2 3 3" xfId="622" xr:uid="{0E2CE27B-77C0-48A0-B1D1-F6863647C041}"/>
    <cellStyle name="Comma 5 2 3 3 10" xfId="30862" xr:uid="{2523E5E6-2FD1-4B53-B7B3-F9C8E1CC75C6}"/>
    <cellStyle name="Comma 5 2 3 3 2" xfId="1378" xr:uid="{486B7AEA-5114-4978-9DAB-B50012ADBC7C}"/>
    <cellStyle name="Comma 5 2 3 3 2 2" xfId="2890" xr:uid="{D6A8DA1A-93F7-49CB-B295-272E2B2B2A23}"/>
    <cellStyle name="Comma 5 2 3 3 2 2 2" xfId="11962" xr:uid="{DA957EC1-C3FC-4BF0-83AC-0901D96709BA}"/>
    <cellStyle name="Comma 5 2 3 3 2 2 2 2" xfId="27082" xr:uid="{3B916DD1-294E-4B7B-977B-34E8FBDD7FCF}"/>
    <cellStyle name="Comma 5 2 3 3 2 2 2 2 2" xfId="57322" xr:uid="{85BB8923-8D53-40B2-B8FC-0AA102B6F52D}"/>
    <cellStyle name="Comma 5 2 3 3 2 2 2 3" xfId="42202" xr:uid="{E8A5F009-A43A-4E78-BC2E-91967F74D391}"/>
    <cellStyle name="Comma 5 2 3 3 2 2 3" xfId="18010" xr:uid="{653DC96A-D8A9-4876-918F-BE2825891BCD}"/>
    <cellStyle name="Comma 5 2 3 3 2 2 3 2" xfId="48250" xr:uid="{E7F33973-6FAE-4878-8C58-75B4B54B4BA0}"/>
    <cellStyle name="Comma 5 2 3 3 2 2 4" xfId="33130" xr:uid="{E6C7D36D-982B-48CA-8374-5648F06F1275}"/>
    <cellStyle name="Comma 5 2 3 3 2 3" xfId="4402" xr:uid="{9738119F-4C74-4C50-9F4B-85B922F2340F}"/>
    <cellStyle name="Comma 5 2 3 3 2 3 2" xfId="13474" xr:uid="{1FFFB9F8-EA59-4C0B-90C9-9241C671271E}"/>
    <cellStyle name="Comma 5 2 3 3 2 3 2 2" xfId="28594" xr:uid="{2FF18603-E845-4855-B511-5A6A10CCD54A}"/>
    <cellStyle name="Comma 5 2 3 3 2 3 2 2 2" xfId="58834" xr:uid="{C5CA8EE1-F759-4900-B03B-5B41A3EDD9C6}"/>
    <cellStyle name="Comma 5 2 3 3 2 3 2 3" xfId="43714" xr:uid="{53A9675B-092E-46C6-A05B-EE8E6B2C448F}"/>
    <cellStyle name="Comma 5 2 3 3 2 3 3" xfId="19522" xr:uid="{CE65099E-1B61-4808-871D-138A1EE94F71}"/>
    <cellStyle name="Comma 5 2 3 3 2 3 3 2" xfId="49762" xr:uid="{980C6658-E7CB-48BB-B6A8-194698FA6883}"/>
    <cellStyle name="Comma 5 2 3 3 2 3 4" xfId="34642" xr:uid="{1DF7E252-AE58-4E6F-AE48-43D6F22731E7}"/>
    <cellStyle name="Comma 5 2 3 3 2 4" xfId="5914" xr:uid="{FEE8AC9C-119F-40C1-ACA7-7DDD54DE904F}"/>
    <cellStyle name="Comma 5 2 3 3 2 4 2" xfId="14986" xr:uid="{D325B0FD-AF32-4817-9683-59071F70C539}"/>
    <cellStyle name="Comma 5 2 3 3 2 4 2 2" xfId="30106" xr:uid="{084AF4DE-85D0-4BA1-A321-514DEEF28725}"/>
    <cellStyle name="Comma 5 2 3 3 2 4 2 2 2" xfId="60346" xr:uid="{D6709096-FF06-4F20-8CE2-777BD337C745}"/>
    <cellStyle name="Comma 5 2 3 3 2 4 2 3" xfId="45226" xr:uid="{5DA6D146-DA3B-4419-A2B7-46BDBEFD2DFD}"/>
    <cellStyle name="Comma 5 2 3 3 2 4 3" xfId="21034" xr:uid="{6F6CB2F2-ACD5-46C4-B459-887984BF7455}"/>
    <cellStyle name="Comma 5 2 3 3 2 4 3 2" xfId="51274" xr:uid="{3D518A26-A0C4-470C-9E43-8DAB732BDF3F}"/>
    <cellStyle name="Comma 5 2 3 3 2 4 4" xfId="36154" xr:uid="{7D51C19C-A46B-4CB6-B1AD-D794F58C540E}"/>
    <cellStyle name="Comma 5 2 3 3 2 5" xfId="7426" xr:uid="{7589C0E4-1B24-4B7D-AC55-432F36B1D3AF}"/>
    <cellStyle name="Comma 5 2 3 3 2 5 2" xfId="22546" xr:uid="{6D245305-2995-447E-BE15-93387B295207}"/>
    <cellStyle name="Comma 5 2 3 3 2 5 2 2" xfId="52786" xr:uid="{FC0E61CF-9B9A-4412-AF13-068DF73E275E}"/>
    <cellStyle name="Comma 5 2 3 3 2 5 3" xfId="37666" xr:uid="{7D6E671C-A172-4398-BC3E-5F441C00A040}"/>
    <cellStyle name="Comma 5 2 3 3 2 6" xfId="8938" xr:uid="{6D12C331-3209-4870-8F4B-2D83AE556267}"/>
    <cellStyle name="Comma 5 2 3 3 2 6 2" xfId="24058" xr:uid="{CFE57196-AE5F-4D78-ACA6-7A0E313752A9}"/>
    <cellStyle name="Comma 5 2 3 3 2 6 2 2" xfId="54298" xr:uid="{C59E961E-4C3A-477E-A159-C6F6DD2897EA}"/>
    <cellStyle name="Comma 5 2 3 3 2 6 3" xfId="39178" xr:uid="{ECBE3660-8E2F-42F9-B54D-81E5DD67151B}"/>
    <cellStyle name="Comma 5 2 3 3 2 7" xfId="10450" xr:uid="{54267EB6-379D-451A-A664-EF131AB762DA}"/>
    <cellStyle name="Comma 5 2 3 3 2 7 2" xfId="25570" xr:uid="{DC415BFB-12F7-4017-B3B5-8BC118621798}"/>
    <cellStyle name="Comma 5 2 3 3 2 7 2 2" xfId="55810" xr:uid="{E5438842-4EA8-4547-B079-49594E17BAEF}"/>
    <cellStyle name="Comma 5 2 3 3 2 7 3" xfId="40690" xr:uid="{251BE33D-9FBE-4154-ADF7-FF268BE82653}"/>
    <cellStyle name="Comma 5 2 3 3 2 8" xfId="16498" xr:uid="{CC7BED60-770F-43C0-8FB9-E6A950E69D78}"/>
    <cellStyle name="Comma 5 2 3 3 2 8 2" xfId="46738" xr:uid="{BDC78A27-27C9-40CC-8FE2-99C7146A1EBA}"/>
    <cellStyle name="Comma 5 2 3 3 2 9" xfId="31618" xr:uid="{AB35BDE9-EA0E-4162-9A84-268A6C12F169}"/>
    <cellStyle name="Comma 5 2 3 3 3" xfId="2134" xr:uid="{088DA2A2-D64D-463B-A198-AB464251F697}"/>
    <cellStyle name="Comma 5 2 3 3 3 2" xfId="11206" xr:uid="{08B4CE60-13DA-43AB-AC06-AB0FB7FDD14B}"/>
    <cellStyle name="Comma 5 2 3 3 3 2 2" xfId="26326" xr:uid="{3B46CA56-2223-41EB-AE16-A7613A56C490}"/>
    <cellStyle name="Comma 5 2 3 3 3 2 2 2" xfId="56566" xr:uid="{33E3ACF7-34C5-4E68-93E3-7F4C3A383D32}"/>
    <cellStyle name="Comma 5 2 3 3 3 2 3" xfId="41446" xr:uid="{2A190878-EC44-46DA-83A8-CAF61188C270}"/>
    <cellStyle name="Comma 5 2 3 3 3 3" xfId="17254" xr:uid="{AA1B4342-B484-4F25-B241-679D1716774F}"/>
    <cellStyle name="Comma 5 2 3 3 3 3 2" xfId="47494" xr:uid="{505260DF-C425-4E23-9F3B-FB6BC048E766}"/>
    <cellStyle name="Comma 5 2 3 3 3 4" xfId="32374" xr:uid="{980F7229-4BB8-4A4C-9E35-78AF261E454F}"/>
    <cellStyle name="Comma 5 2 3 3 4" xfId="3646" xr:uid="{FED4FB22-7CAC-47C2-810F-B52572A208F7}"/>
    <cellStyle name="Comma 5 2 3 3 4 2" xfId="12718" xr:uid="{D1835885-CD86-49CC-B0DE-304ECD4CFB9C}"/>
    <cellStyle name="Comma 5 2 3 3 4 2 2" xfId="27838" xr:uid="{DE37FF6B-3A7A-4D3D-B54D-F16CB0CA31E8}"/>
    <cellStyle name="Comma 5 2 3 3 4 2 2 2" xfId="58078" xr:uid="{4C82CEF1-14BB-4EEA-9066-06AAD750AEEE}"/>
    <cellStyle name="Comma 5 2 3 3 4 2 3" xfId="42958" xr:uid="{9F4B7427-B697-4315-9356-6F3CFDF9B097}"/>
    <cellStyle name="Comma 5 2 3 3 4 3" xfId="18766" xr:uid="{8A658090-0FED-4757-8DC6-63358BB35197}"/>
    <cellStyle name="Comma 5 2 3 3 4 3 2" xfId="49006" xr:uid="{63A9BF92-D67D-472B-A818-2E8DDFC5171C}"/>
    <cellStyle name="Comma 5 2 3 3 4 4" xfId="33886" xr:uid="{BED772EA-EDB7-49A8-B44B-434889D3FA7F}"/>
    <cellStyle name="Comma 5 2 3 3 5" xfId="5158" xr:uid="{5DFB1251-9640-4D49-A4FC-21AA6241F7DD}"/>
    <cellStyle name="Comma 5 2 3 3 5 2" xfId="14230" xr:uid="{F928C5C1-015C-4DDE-A44E-5961D2FEE1E5}"/>
    <cellStyle name="Comma 5 2 3 3 5 2 2" xfId="29350" xr:uid="{995064F3-9A5F-4472-9B35-718D51B227A6}"/>
    <cellStyle name="Comma 5 2 3 3 5 2 2 2" xfId="59590" xr:uid="{08E0128A-DA01-44A6-B362-31F968003844}"/>
    <cellStyle name="Comma 5 2 3 3 5 2 3" xfId="44470" xr:uid="{83DEA86B-1512-4F97-81AF-41E5D6FA0D5A}"/>
    <cellStyle name="Comma 5 2 3 3 5 3" xfId="20278" xr:uid="{A3EA345C-611F-4696-9F4F-965908485044}"/>
    <cellStyle name="Comma 5 2 3 3 5 3 2" xfId="50518" xr:uid="{93E89DEB-3152-4716-9A73-5EC5154A7929}"/>
    <cellStyle name="Comma 5 2 3 3 5 4" xfId="35398" xr:uid="{E7DF67E9-4F28-49D1-B463-E6B181291D27}"/>
    <cellStyle name="Comma 5 2 3 3 6" xfId="6670" xr:uid="{88E8AFC3-F12E-4624-A248-77747206E181}"/>
    <cellStyle name="Comma 5 2 3 3 6 2" xfId="21790" xr:uid="{75AF4765-617F-4866-9C8A-A00D3BF3FA5D}"/>
    <cellStyle name="Comma 5 2 3 3 6 2 2" xfId="52030" xr:uid="{1C40CADA-FF9C-4D08-BD04-7B76D716A744}"/>
    <cellStyle name="Comma 5 2 3 3 6 3" xfId="36910" xr:uid="{B5348293-4E03-4B02-8447-7D3009DD82A4}"/>
    <cellStyle name="Comma 5 2 3 3 7" xfId="8182" xr:uid="{CEE84151-D2DD-47D3-A51F-5BFD23EFC8BE}"/>
    <cellStyle name="Comma 5 2 3 3 7 2" xfId="23302" xr:uid="{7CE09438-A915-4843-AA32-9095F4D48146}"/>
    <cellStyle name="Comma 5 2 3 3 7 2 2" xfId="53542" xr:uid="{E08DCE05-8835-4EE5-BC40-D663A098F5E0}"/>
    <cellStyle name="Comma 5 2 3 3 7 3" xfId="38422" xr:uid="{50E209DE-B048-447D-9273-66D30FDE909A}"/>
    <cellStyle name="Comma 5 2 3 3 8" xfId="9694" xr:uid="{28D25794-1D85-462D-AD5E-6694CCE313FA}"/>
    <cellStyle name="Comma 5 2 3 3 8 2" xfId="24814" xr:uid="{2EA86F29-E0AF-49EA-A60F-1322B435607E}"/>
    <cellStyle name="Comma 5 2 3 3 8 2 2" xfId="55054" xr:uid="{97AE9F40-A126-443D-90D6-FAD129AFAE24}"/>
    <cellStyle name="Comma 5 2 3 3 8 3" xfId="39934" xr:uid="{3CC279A0-DD1F-4860-83E5-F30B409794E4}"/>
    <cellStyle name="Comma 5 2 3 3 9" xfId="15742" xr:uid="{E60EFB3E-C25A-401E-9851-C10A7AB876DA}"/>
    <cellStyle name="Comma 5 2 3 3 9 2" xfId="45982" xr:uid="{D3E10B3B-D551-43C7-8E04-845BE7B22EEE}"/>
    <cellStyle name="Comma 5 2 3 4" xfId="874" xr:uid="{68667AD1-72AB-48BB-A17A-B5B210928B2E}"/>
    <cellStyle name="Comma 5 2 3 4 2" xfId="2386" xr:uid="{548E5CDC-6CCF-4DEE-A2E5-FE91E1C7A42A}"/>
    <cellStyle name="Comma 5 2 3 4 2 2" xfId="11458" xr:uid="{B0E6920A-47D7-4875-8F65-3E7014527F9C}"/>
    <cellStyle name="Comma 5 2 3 4 2 2 2" xfId="26578" xr:uid="{D0CA3B68-6CFD-4E17-85AA-0C818A7A4A3B}"/>
    <cellStyle name="Comma 5 2 3 4 2 2 2 2" xfId="56818" xr:uid="{4F4976E4-8EB2-452F-907B-64C2AD2161CE}"/>
    <cellStyle name="Comma 5 2 3 4 2 2 3" xfId="41698" xr:uid="{A71201BC-632F-4A7B-8194-3F1810425778}"/>
    <cellStyle name="Comma 5 2 3 4 2 3" xfId="17506" xr:uid="{8AB4B2A8-9ABD-4D8F-A490-E0D886E32EE1}"/>
    <cellStyle name="Comma 5 2 3 4 2 3 2" xfId="47746" xr:uid="{9B3785EF-1A90-4862-97AB-8DD29CCDC813}"/>
    <cellStyle name="Comma 5 2 3 4 2 4" xfId="32626" xr:uid="{4CA1DC86-9A1D-4BE5-ACCA-F495BEA94548}"/>
    <cellStyle name="Comma 5 2 3 4 3" xfId="3898" xr:uid="{8C937820-6E65-4078-9BE5-20C4D0A1A98A}"/>
    <cellStyle name="Comma 5 2 3 4 3 2" xfId="12970" xr:uid="{B5B5F6A6-6E13-4FE0-8B72-43C1BA17DC78}"/>
    <cellStyle name="Comma 5 2 3 4 3 2 2" xfId="28090" xr:uid="{C9150340-1827-44EB-9012-919257E9A247}"/>
    <cellStyle name="Comma 5 2 3 4 3 2 2 2" xfId="58330" xr:uid="{0D3CB47A-7BBC-48B3-80EA-E4E027E8B8DE}"/>
    <cellStyle name="Comma 5 2 3 4 3 2 3" xfId="43210" xr:uid="{D5C78EBD-462F-4710-ADBB-3AE9341DD7C6}"/>
    <cellStyle name="Comma 5 2 3 4 3 3" xfId="19018" xr:uid="{5F39FF9F-E0B9-4B4D-AE7B-C328C50630BF}"/>
    <cellStyle name="Comma 5 2 3 4 3 3 2" xfId="49258" xr:uid="{09167BAC-CA32-470E-A618-5FFA25DC83CE}"/>
    <cellStyle name="Comma 5 2 3 4 3 4" xfId="34138" xr:uid="{658AE0A6-DAAD-4EF7-A622-053FF44B514D}"/>
    <cellStyle name="Comma 5 2 3 4 4" xfId="5410" xr:uid="{3ACD2301-8FEC-469C-8500-04B2DDEAA99C}"/>
    <cellStyle name="Comma 5 2 3 4 4 2" xfId="14482" xr:uid="{19F6DED5-A571-4CB4-A3A5-5172BF6EEC5C}"/>
    <cellStyle name="Comma 5 2 3 4 4 2 2" xfId="29602" xr:uid="{9E076A8A-A554-4A85-9FEE-513C90F6FA5A}"/>
    <cellStyle name="Comma 5 2 3 4 4 2 2 2" xfId="59842" xr:uid="{F23D3321-58A5-4C6C-AF98-57C6AB24CC77}"/>
    <cellStyle name="Comma 5 2 3 4 4 2 3" xfId="44722" xr:uid="{6A7C2924-EB98-46B5-9DA7-77B0E3B2767D}"/>
    <cellStyle name="Comma 5 2 3 4 4 3" xfId="20530" xr:uid="{670997F4-2E28-477E-9F32-00E57E2E9BDD}"/>
    <cellStyle name="Comma 5 2 3 4 4 3 2" xfId="50770" xr:uid="{F8F279FA-A911-4B32-B1E9-05217D73BC4D}"/>
    <cellStyle name="Comma 5 2 3 4 4 4" xfId="35650" xr:uid="{6FF1F371-9B96-4A55-9DDA-AA090737DC76}"/>
    <cellStyle name="Comma 5 2 3 4 5" xfId="6922" xr:uid="{3B3E7BFD-1DC4-418A-B6C1-D367C978D6AD}"/>
    <cellStyle name="Comma 5 2 3 4 5 2" xfId="22042" xr:uid="{DB7F8D08-5F1E-473A-ADD9-9E31FA716046}"/>
    <cellStyle name="Comma 5 2 3 4 5 2 2" xfId="52282" xr:uid="{D6C3D62D-B1AC-4A87-9955-6E56D1687EB0}"/>
    <cellStyle name="Comma 5 2 3 4 5 3" xfId="37162" xr:uid="{CB4B2AF3-E9C2-499E-A129-E4E31C016DBC}"/>
    <cellStyle name="Comma 5 2 3 4 6" xfId="8434" xr:uid="{B6210DF8-6C9B-4525-8AAD-12C97466F983}"/>
    <cellStyle name="Comma 5 2 3 4 6 2" xfId="23554" xr:uid="{265C0EFD-3694-450E-A068-5D3ABA23EA0B}"/>
    <cellStyle name="Comma 5 2 3 4 6 2 2" xfId="53794" xr:uid="{48ACD018-3F5C-45FB-97D0-C604962F6698}"/>
    <cellStyle name="Comma 5 2 3 4 6 3" xfId="38674" xr:uid="{3B4D17C8-5537-4B0E-AD34-95F977B52F3E}"/>
    <cellStyle name="Comma 5 2 3 4 7" xfId="9946" xr:uid="{349E3D1A-611D-4A7F-9860-7537956D6FE5}"/>
    <cellStyle name="Comma 5 2 3 4 7 2" xfId="25066" xr:uid="{A10AEBB5-1244-491D-BD3B-7C7CDB968658}"/>
    <cellStyle name="Comma 5 2 3 4 7 2 2" xfId="55306" xr:uid="{7F731346-CB97-4A9E-AB70-2B7B8F149AA9}"/>
    <cellStyle name="Comma 5 2 3 4 7 3" xfId="40186" xr:uid="{DF5FB572-D019-4057-804D-BA81F7B4A1CB}"/>
    <cellStyle name="Comma 5 2 3 4 8" xfId="15994" xr:uid="{7288AFF4-BCC0-420F-A7A4-2327EE162D58}"/>
    <cellStyle name="Comma 5 2 3 4 8 2" xfId="46234" xr:uid="{1BE9D297-4E12-4EC8-B278-EC07AD4667A0}"/>
    <cellStyle name="Comma 5 2 3 4 9" xfId="31114" xr:uid="{DA0C1914-B848-4E34-8C60-0400B1598D41}"/>
    <cellStyle name="Comma 5 2 3 5" xfId="1630" xr:uid="{48751657-09FB-48D2-A75D-449B549903F5}"/>
    <cellStyle name="Comma 5 2 3 5 2" xfId="10702" xr:uid="{8355059B-FBEE-4F41-B233-059C5D332393}"/>
    <cellStyle name="Comma 5 2 3 5 2 2" xfId="25822" xr:uid="{EADD5CE4-F826-4A79-AB27-060C832DAE85}"/>
    <cellStyle name="Comma 5 2 3 5 2 2 2" xfId="56062" xr:uid="{75DB08B0-5BD8-4AD5-8D22-4D7EF4935F84}"/>
    <cellStyle name="Comma 5 2 3 5 2 3" xfId="40942" xr:uid="{C831EC92-0C53-40E0-A48B-4F8E64DC1E78}"/>
    <cellStyle name="Comma 5 2 3 5 3" xfId="16750" xr:uid="{BDA60813-23AD-4F14-8DEB-B305292306FE}"/>
    <cellStyle name="Comma 5 2 3 5 3 2" xfId="46990" xr:uid="{739EECBC-79F4-48AC-90DC-462F001F170C}"/>
    <cellStyle name="Comma 5 2 3 5 4" xfId="31870" xr:uid="{9E4DD9F1-D9D6-4254-9CD6-2CF589F09F61}"/>
    <cellStyle name="Comma 5 2 3 6" xfId="3142" xr:uid="{1E1D4764-09B1-4953-8BF9-5CCAC24755FE}"/>
    <cellStyle name="Comma 5 2 3 6 2" xfId="12214" xr:uid="{972099AA-8C06-481D-A596-81B79C9EB773}"/>
    <cellStyle name="Comma 5 2 3 6 2 2" xfId="27334" xr:uid="{E08747C5-5D0A-42CF-ADCE-5540D15D9272}"/>
    <cellStyle name="Comma 5 2 3 6 2 2 2" xfId="57574" xr:uid="{BCEF69F7-93E2-41A9-B78B-49CA9EC5B73D}"/>
    <cellStyle name="Comma 5 2 3 6 2 3" xfId="42454" xr:uid="{067975D0-9F32-4EDB-8EC5-F8A315F7D407}"/>
    <cellStyle name="Comma 5 2 3 6 3" xfId="18262" xr:uid="{18DE94DA-0E5D-4B74-B3AC-BDE28B0C8A66}"/>
    <cellStyle name="Comma 5 2 3 6 3 2" xfId="48502" xr:uid="{F34DFC3F-CEA4-4FB6-A148-DD9D243E77C0}"/>
    <cellStyle name="Comma 5 2 3 6 4" xfId="33382" xr:uid="{6D565730-08FD-43B6-A006-0587EB2D38A7}"/>
    <cellStyle name="Comma 5 2 3 7" xfId="4654" xr:uid="{BB804666-4050-4934-9806-AEEDB8F70B28}"/>
    <cellStyle name="Comma 5 2 3 7 2" xfId="13726" xr:uid="{2A55AD6E-6FBC-48D4-BD0B-2A5E149F26EF}"/>
    <cellStyle name="Comma 5 2 3 7 2 2" xfId="28846" xr:uid="{AE4606CF-3EAE-4589-9365-ADAC3C7D2841}"/>
    <cellStyle name="Comma 5 2 3 7 2 2 2" xfId="59086" xr:uid="{96246E47-AE4E-4E93-AF42-6E1AF4DC0226}"/>
    <cellStyle name="Comma 5 2 3 7 2 3" xfId="43966" xr:uid="{C87F8187-66AB-4393-8B0F-D3B4B233F103}"/>
    <cellStyle name="Comma 5 2 3 7 3" xfId="19774" xr:uid="{B31A6CA6-FF38-4A72-8558-A4D97BA58A14}"/>
    <cellStyle name="Comma 5 2 3 7 3 2" xfId="50014" xr:uid="{8BADE180-5D31-4411-8542-4BC7E9FBD0B3}"/>
    <cellStyle name="Comma 5 2 3 7 4" xfId="34894" xr:uid="{560BE1F3-70CF-42A8-BB5B-D5B5BBDE6935}"/>
    <cellStyle name="Comma 5 2 3 8" xfId="6166" xr:uid="{05F9D5EC-C69B-4369-BC17-F7EFB6997C58}"/>
    <cellStyle name="Comma 5 2 3 8 2" xfId="21286" xr:uid="{D2596A68-894E-45B5-B462-C3812B444FC7}"/>
    <cellStyle name="Comma 5 2 3 8 2 2" xfId="51526" xr:uid="{4A810C6F-0356-4485-9647-CC114F45509A}"/>
    <cellStyle name="Comma 5 2 3 8 3" xfId="36406" xr:uid="{8E3249BB-DC11-4E4A-8F56-721F5CA63EA1}"/>
    <cellStyle name="Comma 5 2 3 9" xfId="7678" xr:uid="{FDD25B30-D98F-4187-B39D-CE8815CE96DE}"/>
    <cellStyle name="Comma 5 2 3 9 2" xfId="22798" xr:uid="{69FF44DE-7677-440E-BD76-7E4343DDE3CA}"/>
    <cellStyle name="Comma 5 2 3 9 2 2" xfId="53038" xr:uid="{9F7E2307-E8A3-415C-8F59-1983058AEE8E}"/>
    <cellStyle name="Comma 5 2 3 9 3" xfId="37918" xr:uid="{EA2219A1-35A5-49EF-B0FE-D679E6079A13}"/>
    <cellStyle name="Comma 5 2 4" xfId="202" xr:uid="{3392F2DA-CCC5-43A1-BCB7-4924BBF76D3C}"/>
    <cellStyle name="Comma 5 2 4 10" xfId="9274" xr:uid="{102793AC-3C02-4D21-9FA9-D7D9A4594F11}"/>
    <cellStyle name="Comma 5 2 4 10 2" xfId="24394" xr:uid="{5F291D22-B7C7-4861-BA23-7854DB2E551F}"/>
    <cellStyle name="Comma 5 2 4 10 2 2" xfId="54634" xr:uid="{6B92FBC7-9943-45DE-8899-96B1D9F26129}"/>
    <cellStyle name="Comma 5 2 4 10 3" xfId="39514" xr:uid="{6A052BD5-D094-4338-8748-87284F143884}"/>
    <cellStyle name="Comma 5 2 4 11" xfId="15322" xr:uid="{BF9E7570-5177-4E54-85F4-AC36C1FA5C13}"/>
    <cellStyle name="Comma 5 2 4 11 2" xfId="45562" xr:uid="{4E1F35FC-6B50-455C-AEE9-3461A79D041A}"/>
    <cellStyle name="Comma 5 2 4 12" xfId="30442" xr:uid="{B29B2070-5D40-40C6-B1EE-F958F90E207F}"/>
    <cellStyle name="Comma 5 2 4 2" xfId="454" xr:uid="{2A8AB599-97CE-4085-A540-3C238074C951}"/>
    <cellStyle name="Comma 5 2 4 2 10" xfId="30694" xr:uid="{D68AFF58-6ED8-47F9-9C15-AE20762299AF}"/>
    <cellStyle name="Comma 5 2 4 2 2" xfId="1210" xr:uid="{799C2688-FDCE-4F6D-8821-E16D407C53E0}"/>
    <cellStyle name="Comma 5 2 4 2 2 2" xfId="2722" xr:uid="{E0BF0AD8-EBC4-426D-A4FB-1AD2ABB02F20}"/>
    <cellStyle name="Comma 5 2 4 2 2 2 2" xfId="11794" xr:uid="{7BDE4D83-64D8-48D6-83FB-CCB045CA7F80}"/>
    <cellStyle name="Comma 5 2 4 2 2 2 2 2" xfId="26914" xr:uid="{984C75C5-516C-426E-AAF8-D896F6A58FB5}"/>
    <cellStyle name="Comma 5 2 4 2 2 2 2 2 2" xfId="57154" xr:uid="{0122F79F-6A50-4D8E-B6A9-0C63C900323C}"/>
    <cellStyle name="Comma 5 2 4 2 2 2 2 3" xfId="42034" xr:uid="{C119BFE5-232C-4577-A807-BB41AF4112BD}"/>
    <cellStyle name="Comma 5 2 4 2 2 2 3" xfId="17842" xr:uid="{9E46F601-B54A-4C63-8EE0-E647D88E211B}"/>
    <cellStyle name="Comma 5 2 4 2 2 2 3 2" xfId="48082" xr:uid="{A54FB162-53B9-44E1-A66D-6194193B2167}"/>
    <cellStyle name="Comma 5 2 4 2 2 2 4" xfId="32962" xr:uid="{6FE67B36-64B3-4D22-B069-65F39B667058}"/>
    <cellStyle name="Comma 5 2 4 2 2 3" xfId="4234" xr:uid="{186BB0F1-7CF0-4A19-92C9-1B0EB6CA5BC1}"/>
    <cellStyle name="Comma 5 2 4 2 2 3 2" xfId="13306" xr:uid="{62F7828A-64CC-480A-ACC5-8338F72536EA}"/>
    <cellStyle name="Comma 5 2 4 2 2 3 2 2" xfId="28426" xr:uid="{31F2DF5C-54CA-4AFE-AFA7-6AA887478EC3}"/>
    <cellStyle name="Comma 5 2 4 2 2 3 2 2 2" xfId="58666" xr:uid="{9104AFA2-AB0C-47F8-9F0D-30DC34813A11}"/>
    <cellStyle name="Comma 5 2 4 2 2 3 2 3" xfId="43546" xr:uid="{93D09A33-E955-4211-9C02-73322F377D3A}"/>
    <cellStyle name="Comma 5 2 4 2 2 3 3" xfId="19354" xr:uid="{7E26B60D-2205-45B4-B7B3-DE405EA7D38A}"/>
    <cellStyle name="Comma 5 2 4 2 2 3 3 2" xfId="49594" xr:uid="{AB9902BD-68D0-4146-A5E3-AF4C97A1514B}"/>
    <cellStyle name="Comma 5 2 4 2 2 3 4" xfId="34474" xr:uid="{C6A916C2-BB21-4284-B108-C084AA0436A6}"/>
    <cellStyle name="Comma 5 2 4 2 2 4" xfId="5746" xr:uid="{7B92FC74-B4DD-4DE6-B09C-E73F741400C8}"/>
    <cellStyle name="Comma 5 2 4 2 2 4 2" xfId="14818" xr:uid="{1798B003-AA44-4B87-8FB6-66989309F71F}"/>
    <cellStyle name="Comma 5 2 4 2 2 4 2 2" xfId="29938" xr:uid="{4A00DEBF-571E-4E24-B7AB-64D607BFD3DD}"/>
    <cellStyle name="Comma 5 2 4 2 2 4 2 2 2" xfId="60178" xr:uid="{9F57D1E0-08CE-4902-BB1C-2E6B4D56DF46}"/>
    <cellStyle name="Comma 5 2 4 2 2 4 2 3" xfId="45058" xr:uid="{C37ED8B6-E8AC-4D91-9177-43D8DA751E7D}"/>
    <cellStyle name="Comma 5 2 4 2 2 4 3" xfId="20866" xr:uid="{8382A644-9C9A-464A-B797-B53E09BAFA33}"/>
    <cellStyle name="Comma 5 2 4 2 2 4 3 2" xfId="51106" xr:uid="{384AD52A-38D4-4859-892E-41B9C4DC3DBA}"/>
    <cellStyle name="Comma 5 2 4 2 2 4 4" xfId="35986" xr:uid="{4AE31F8E-1377-481E-8B7D-5DB9C3502D39}"/>
    <cellStyle name="Comma 5 2 4 2 2 5" xfId="7258" xr:uid="{CD1E895C-3EE3-438C-9814-B8971AD0EF0E}"/>
    <cellStyle name="Comma 5 2 4 2 2 5 2" xfId="22378" xr:uid="{099601B1-3122-4225-BE02-FA35ED53BBB1}"/>
    <cellStyle name="Comma 5 2 4 2 2 5 2 2" xfId="52618" xr:uid="{9963F869-B1AA-4B7E-B971-AA9584909C70}"/>
    <cellStyle name="Comma 5 2 4 2 2 5 3" xfId="37498" xr:uid="{270130C3-716D-41F5-BAC6-725386A3AEC7}"/>
    <cellStyle name="Comma 5 2 4 2 2 6" xfId="8770" xr:uid="{BCC2DC1B-399D-4E44-9AFF-6F4839F1EDC0}"/>
    <cellStyle name="Comma 5 2 4 2 2 6 2" xfId="23890" xr:uid="{F5CAB77E-D742-4410-85C5-FD2A84658F87}"/>
    <cellStyle name="Comma 5 2 4 2 2 6 2 2" xfId="54130" xr:uid="{7D2A82C1-FBAE-4E3B-84FD-0017CDDEF353}"/>
    <cellStyle name="Comma 5 2 4 2 2 6 3" xfId="39010" xr:uid="{84AAE1DD-8F20-4FA6-B6C1-222357D4973F}"/>
    <cellStyle name="Comma 5 2 4 2 2 7" xfId="10282" xr:uid="{E725CD89-03A9-4318-AEB0-D1F59D897DFB}"/>
    <cellStyle name="Comma 5 2 4 2 2 7 2" xfId="25402" xr:uid="{4B2BFB5C-F804-482B-9B47-CC2D2297F255}"/>
    <cellStyle name="Comma 5 2 4 2 2 7 2 2" xfId="55642" xr:uid="{3F45C2F0-A5E2-415C-842A-5DB3D5B7CD41}"/>
    <cellStyle name="Comma 5 2 4 2 2 7 3" xfId="40522" xr:uid="{2DA14DBF-52B0-4DC8-9426-C09382EC0785}"/>
    <cellStyle name="Comma 5 2 4 2 2 8" xfId="16330" xr:uid="{9C13C401-2EDB-4311-832B-6DAD1F577B5B}"/>
    <cellStyle name="Comma 5 2 4 2 2 8 2" xfId="46570" xr:uid="{C7A30ABA-3366-4C62-873F-F8F3F498B1E3}"/>
    <cellStyle name="Comma 5 2 4 2 2 9" xfId="31450" xr:uid="{50149AAC-A17E-419A-86F2-6F8AD80A276F}"/>
    <cellStyle name="Comma 5 2 4 2 3" xfId="1966" xr:uid="{31841115-923A-44A9-9726-8BF1F21BB099}"/>
    <cellStyle name="Comma 5 2 4 2 3 2" xfId="11038" xr:uid="{750CB49E-D8DB-4159-ACF3-45CCD9F42DE5}"/>
    <cellStyle name="Comma 5 2 4 2 3 2 2" xfId="26158" xr:uid="{591BBFD6-6B5B-4050-BEFB-BE4EBA27A1C6}"/>
    <cellStyle name="Comma 5 2 4 2 3 2 2 2" xfId="56398" xr:uid="{97A9CF47-D735-432C-BCF2-AAAA60FEF5AB}"/>
    <cellStyle name="Comma 5 2 4 2 3 2 3" xfId="41278" xr:uid="{3D639745-BC8C-4D79-B9F8-821AED0C1001}"/>
    <cellStyle name="Comma 5 2 4 2 3 3" xfId="17086" xr:uid="{245E5B3E-1519-414A-A51A-8B76EFDD9003}"/>
    <cellStyle name="Comma 5 2 4 2 3 3 2" xfId="47326" xr:uid="{DB650059-72D5-4EDD-BA52-41FAF6B541A3}"/>
    <cellStyle name="Comma 5 2 4 2 3 4" xfId="32206" xr:uid="{1359D002-8CA2-4D10-BE85-483E1B6319D8}"/>
    <cellStyle name="Comma 5 2 4 2 4" xfId="3478" xr:uid="{A48C0AB8-2BBB-41BA-847D-019566D283E8}"/>
    <cellStyle name="Comma 5 2 4 2 4 2" xfId="12550" xr:uid="{CFDFEEB8-B4B4-43B9-945D-B9E8C17AEB3A}"/>
    <cellStyle name="Comma 5 2 4 2 4 2 2" xfId="27670" xr:uid="{C60747AB-DEC4-43D2-ABA3-ED6F39B6491F}"/>
    <cellStyle name="Comma 5 2 4 2 4 2 2 2" xfId="57910" xr:uid="{2C10F67B-E33F-4CEA-ACF5-6525B2C083EF}"/>
    <cellStyle name="Comma 5 2 4 2 4 2 3" xfId="42790" xr:uid="{A3915E1C-93FC-487C-AF50-1208D2DBF9AE}"/>
    <cellStyle name="Comma 5 2 4 2 4 3" xfId="18598" xr:uid="{ED53F74F-DAF1-4721-969E-9D82EA59165C}"/>
    <cellStyle name="Comma 5 2 4 2 4 3 2" xfId="48838" xr:uid="{52B05C11-CB6A-4D01-974A-26330EDAA98C}"/>
    <cellStyle name="Comma 5 2 4 2 4 4" xfId="33718" xr:uid="{84175740-2089-4187-8AA2-11F97AFBC456}"/>
    <cellStyle name="Comma 5 2 4 2 5" xfId="4990" xr:uid="{BB296C32-869C-41D1-BE5A-1DBF3900BF6D}"/>
    <cellStyle name="Comma 5 2 4 2 5 2" xfId="14062" xr:uid="{AB437F79-E0D9-409F-9EEF-0C4702D265AE}"/>
    <cellStyle name="Comma 5 2 4 2 5 2 2" xfId="29182" xr:uid="{CA936391-8D1F-4580-B157-5E3BF3F3AC54}"/>
    <cellStyle name="Comma 5 2 4 2 5 2 2 2" xfId="59422" xr:uid="{052E0D66-62D4-42C8-B314-97B0EBFC6E82}"/>
    <cellStyle name="Comma 5 2 4 2 5 2 3" xfId="44302" xr:uid="{E762100E-C16D-45A8-AE38-D24A08E8C0DF}"/>
    <cellStyle name="Comma 5 2 4 2 5 3" xfId="20110" xr:uid="{9003CC99-0837-4E5F-875D-F2AF51987583}"/>
    <cellStyle name="Comma 5 2 4 2 5 3 2" xfId="50350" xr:uid="{0D2F5A28-55B5-4EB1-91ED-0A0069339524}"/>
    <cellStyle name="Comma 5 2 4 2 5 4" xfId="35230" xr:uid="{C2550BBA-6C5B-4F88-AEC1-2A63731FAC00}"/>
    <cellStyle name="Comma 5 2 4 2 6" xfId="6502" xr:uid="{D3AF881F-6C2F-4E6E-B5DE-55E5118B8281}"/>
    <cellStyle name="Comma 5 2 4 2 6 2" xfId="21622" xr:uid="{D8E5822C-FF80-4856-9987-70B6275C58C3}"/>
    <cellStyle name="Comma 5 2 4 2 6 2 2" xfId="51862" xr:uid="{790C8DB7-F036-4ED1-8216-61CC3AF97B92}"/>
    <cellStyle name="Comma 5 2 4 2 6 3" xfId="36742" xr:uid="{CEF7A3B7-8745-493E-9C00-0B1D7339F0B8}"/>
    <cellStyle name="Comma 5 2 4 2 7" xfId="8014" xr:uid="{02D4CA81-5B24-4C4F-BF32-A8CE6528EB43}"/>
    <cellStyle name="Comma 5 2 4 2 7 2" xfId="23134" xr:uid="{F8342787-C617-46B9-A36D-16656B4B2B51}"/>
    <cellStyle name="Comma 5 2 4 2 7 2 2" xfId="53374" xr:uid="{6E6472C5-DCF5-4055-8879-189EA2E56271}"/>
    <cellStyle name="Comma 5 2 4 2 7 3" xfId="38254" xr:uid="{48A40B39-5104-4301-B4EA-69B842111946}"/>
    <cellStyle name="Comma 5 2 4 2 8" xfId="9526" xr:uid="{2B3D1EFF-2DEA-4D84-92E3-324EF509E86E}"/>
    <cellStyle name="Comma 5 2 4 2 8 2" xfId="24646" xr:uid="{60593C99-4FD3-4978-804A-42033643C710}"/>
    <cellStyle name="Comma 5 2 4 2 8 2 2" xfId="54886" xr:uid="{21770BED-BA81-44F6-8B8C-B0FF9FC09833}"/>
    <cellStyle name="Comma 5 2 4 2 8 3" xfId="39766" xr:uid="{09B2CCD0-9138-49C7-8FA0-308C06B4B716}"/>
    <cellStyle name="Comma 5 2 4 2 9" xfId="15574" xr:uid="{02E9F894-6680-481B-801A-715BB60D8D4C}"/>
    <cellStyle name="Comma 5 2 4 2 9 2" xfId="45814" xr:uid="{9A67A939-7415-4F6B-8E69-35A20C050E8B}"/>
    <cellStyle name="Comma 5 2 4 3" xfId="706" xr:uid="{C3404183-7BFD-44CB-AF8E-FFA031F28C91}"/>
    <cellStyle name="Comma 5 2 4 3 10" xfId="30946" xr:uid="{0C59E0BA-1B41-4BA9-9617-8B4786CABD0E}"/>
    <cellStyle name="Comma 5 2 4 3 2" xfId="1462" xr:uid="{431E2FCE-070D-40C4-AEC8-65438E569C0E}"/>
    <cellStyle name="Comma 5 2 4 3 2 2" xfId="2974" xr:uid="{18DBC683-8E12-4887-A690-ADF44FEB9E5D}"/>
    <cellStyle name="Comma 5 2 4 3 2 2 2" xfId="12046" xr:uid="{7D5512B4-D6FF-424D-987D-27FA12A217BB}"/>
    <cellStyle name="Comma 5 2 4 3 2 2 2 2" xfId="27166" xr:uid="{938B458C-8FD5-4FF1-8113-D1DA7BEAB24A}"/>
    <cellStyle name="Comma 5 2 4 3 2 2 2 2 2" xfId="57406" xr:uid="{BC8075DA-F511-48BD-AB54-366BF4FEA462}"/>
    <cellStyle name="Comma 5 2 4 3 2 2 2 3" xfId="42286" xr:uid="{6718BB88-347C-4961-A522-65968199635D}"/>
    <cellStyle name="Comma 5 2 4 3 2 2 3" xfId="18094" xr:uid="{89C1B9FA-BBDE-4054-A63F-B3E35D25921B}"/>
    <cellStyle name="Comma 5 2 4 3 2 2 3 2" xfId="48334" xr:uid="{D6513DB3-EC29-4908-A29A-5FC7DFAD509F}"/>
    <cellStyle name="Comma 5 2 4 3 2 2 4" xfId="33214" xr:uid="{81DE53F0-31D6-480E-BB98-DE10645E842E}"/>
    <cellStyle name="Comma 5 2 4 3 2 3" xfId="4486" xr:uid="{E0E8F0F4-BD4C-45F4-BFAE-D48509D7C635}"/>
    <cellStyle name="Comma 5 2 4 3 2 3 2" xfId="13558" xr:uid="{9957DC46-C4B1-4567-89EA-1E3D75DA871D}"/>
    <cellStyle name="Comma 5 2 4 3 2 3 2 2" xfId="28678" xr:uid="{AEB9D023-C04C-46B6-B424-F3E94F83EBFC}"/>
    <cellStyle name="Comma 5 2 4 3 2 3 2 2 2" xfId="58918" xr:uid="{0DAD280B-24FE-47F1-BA28-7792F5CD5A12}"/>
    <cellStyle name="Comma 5 2 4 3 2 3 2 3" xfId="43798" xr:uid="{7D210C34-2ECD-41F2-A2A8-024DEB2219C6}"/>
    <cellStyle name="Comma 5 2 4 3 2 3 3" xfId="19606" xr:uid="{AEFF4FE9-084A-4430-887C-DDCD280A10E7}"/>
    <cellStyle name="Comma 5 2 4 3 2 3 3 2" xfId="49846" xr:uid="{64E6B2DB-405F-4C50-9484-424D7ED1982A}"/>
    <cellStyle name="Comma 5 2 4 3 2 3 4" xfId="34726" xr:uid="{B9416CCA-DC82-4F4C-8FDC-E90D2E35041C}"/>
    <cellStyle name="Comma 5 2 4 3 2 4" xfId="5998" xr:uid="{8631B182-AC18-4BDD-BE68-D9C3903FF398}"/>
    <cellStyle name="Comma 5 2 4 3 2 4 2" xfId="15070" xr:uid="{B9FC4110-01FA-45AE-9D1F-1F38DA952214}"/>
    <cellStyle name="Comma 5 2 4 3 2 4 2 2" xfId="30190" xr:uid="{E967D933-5423-4D63-83FE-6C78D2572D0D}"/>
    <cellStyle name="Comma 5 2 4 3 2 4 2 2 2" xfId="60430" xr:uid="{5E9597A2-FC08-46ED-B1C9-9D8625728E2B}"/>
    <cellStyle name="Comma 5 2 4 3 2 4 2 3" xfId="45310" xr:uid="{A1E07A10-34F7-4FDC-BEFA-6C0A6B011920}"/>
    <cellStyle name="Comma 5 2 4 3 2 4 3" xfId="21118" xr:uid="{534BCEAE-663C-4357-9101-301CBE7FB105}"/>
    <cellStyle name="Comma 5 2 4 3 2 4 3 2" xfId="51358" xr:uid="{5ABE0ED5-541A-4DA4-9074-4D3E3E558087}"/>
    <cellStyle name="Comma 5 2 4 3 2 4 4" xfId="36238" xr:uid="{D1B39E2B-880A-42CF-81EF-FC18FC1D2D6B}"/>
    <cellStyle name="Comma 5 2 4 3 2 5" xfId="7510" xr:uid="{C2096CB2-07C5-4D79-B1CA-0D85B0074192}"/>
    <cellStyle name="Comma 5 2 4 3 2 5 2" xfId="22630" xr:uid="{0156F0F4-27FF-4B89-943B-3D16CF37BE2A}"/>
    <cellStyle name="Comma 5 2 4 3 2 5 2 2" xfId="52870" xr:uid="{E16C998F-02BB-4957-9723-0483940FE08A}"/>
    <cellStyle name="Comma 5 2 4 3 2 5 3" xfId="37750" xr:uid="{71D842EB-06BD-484D-ACEB-87C4D0925451}"/>
    <cellStyle name="Comma 5 2 4 3 2 6" xfId="9022" xr:uid="{22CD7A45-43E0-4ADE-8496-995AD0F9573E}"/>
    <cellStyle name="Comma 5 2 4 3 2 6 2" xfId="24142" xr:uid="{6817B8D2-DFA9-4624-8407-E1687333EBF2}"/>
    <cellStyle name="Comma 5 2 4 3 2 6 2 2" xfId="54382" xr:uid="{50DD29D4-9FE3-4C72-BB54-A80DE262B6E3}"/>
    <cellStyle name="Comma 5 2 4 3 2 6 3" xfId="39262" xr:uid="{7E233DA0-958A-4643-BBB1-2F50BED6C195}"/>
    <cellStyle name="Comma 5 2 4 3 2 7" xfId="10534" xr:uid="{F228820F-EA63-4EE3-A757-D623021BF7C9}"/>
    <cellStyle name="Comma 5 2 4 3 2 7 2" xfId="25654" xr:uid="{E0D58599-0F8E-42AD-ABFC-F7D7F6814441}"/>
    <cellStyle name="Comma 5 2 4 3 2 7 2 2" xfId="55894" xr:uid="{B1415251-C6FC-4F70-A8C6-DB13EE93C710}"/>
    <cellStyle name="Comma 5 2 4 3 2 7 3" xfId="40774" xr:uid="{CB8AE5F8-BFEB-4D0D-ACC3-D0D56BB00912}"/>
    <cellStyle name="Comma 5 2 4 3 2 8" xfId="16582" xr:uid="{448948D9-FA1D-4E1E-8281-6A4B579D40C9}"/>
    <cellStyle name="Comma 5 2 4 3 2 8 2" xfId="46822" xr:uid="{C688D66C-A0E7-48CE-9AF9-8E9236BBA783}"/>
    <cellStyle name="Comma 5 2 4 3 2 9" xfId="31702" xr:uid="{957E89CA-950E-4DAC-A4EC-014AB3E1472F}"/>
    <cellStyle name="Comma 5 2 4 3 3" xfId="2218" xr:uid="{0614BA8A-7D3A-4258-82E1-A5D592D1B9FD}"/>
    <cellStyle name="Comma 5 2 4 3 3 2" xfId="11290" xr:uid="{93DA04E9-C1AF-4024-84BD-C985CD1D1223}"/>
    <cellStyle name="Comma 5 2 4 3 3 2 2" xfId="26410" xr:uid="{1E3A323F-342E-417B-ABE1-47E3F81731A3}"/>
    <cellStyle name="Comma 5 2 4 3 3 2 2 2" xfId="56650" xr:uid="{ABF65674-00B0-4418-B8B9-9E50C4D07946}"/>
    <cellStyle name="Comma 5 2 4 3 3 2 3" xfId="41530" xr:uid="{0A0B225F-A03A-40FF-B8BC-AA8FD26E2987}"/>
    <cellStyle name="Comma 5 2 4 3 3 3" xfId="17338" xr:uid="{2F3FC6D5-8594-4366-83B4-7DA327A12383}"/>
    <cellStyle name="Comma 5 2 4 3 3 3 2" xfId="47578" xr:uid="{A84D3ACD-F804-4534-8AB5-64B2FC139ACE}"/>
    <cellStyle name="Comma 5 2 4 3 3 4" xfId="32458" xr:uid="{C05C7904-2E48-450F-AEB6-8D11739C900A}"/>
    <cellStyle name="Comma 5 2 4 3 4" xfId="3730" xr:uid="{97757B24-8718-4A62-9A6A-E2FE18CBEF14}"/>
    <cellStyle name="Comma 5 2 4 3 4 2" xfId="12802" xr:uid="{B7A00A87-39CB-40C9-9C96-710CFF9A31CB}"/>
    <cellStyle name="Comma 5 2 4 3 4 2 2" xfId="27922" xr:uid="{764708F3-DB1D-4A09-A71A-1A79C53A0F08}"/>
    <cellStyle name="Comma 5 2 4 3 4 2 2 2" xfId="58162" xr:uid="{9D8150D8-A590-4948-93BC-D94760FEAEBF}"/>
    <cellStyle name="Comma 5 2 4 3 4 2 3" xfId="43042" xr:uid="{AB90140E-E74E-4570-8BE9-201A22751F22}"/>
    <cellStyle name="Comma 5 2 4 3 4 3" xfId="18850" xr:uid="{985E9248-1B31-45F3-8450-1EC1588A8B37}"/>
    <cellStyle name="Comma 5 2 4 3 4 3 2" xfId="49090" xr:uid="{EA62F6E6-2D19-4540-B704-C874BEC43AE2}"/>
    <cellStyle name="Comma 5 2 4 3 4 4" xfId="33970" xr:uid="{CFD598F5-E17F-48E9-BD3F-C98898EA4522}"/>
    <cellStyle name="Comma 5 2 4 3 5" xfId="5242" xr:uid="{1260589F-DAE5-4775-836E-50E13786314C}"/>
    <cellStyle name="Comma 5 2 4 3 5 2" xfId="14314" xr:uid="{A5EF8B60-484F-43EB-8EC3-358EDB879268}"/>
    <cellStyle name="Comma 5 2 4 3 5 2 2" xfId="29434" xr:uid="{507F5757-E08D-4094-8163-C750FCA74F24}"/>
    <cellStyle name="Comma 5 2 4 3 5 2 2 2" xfId="59674" xr:uid="{D5B8FB29-34E4-4961-8635-78D75B15C6B2}"/>
    <cellStyle name="Comma 5 2 4 3 5 2 3" xfId="44554" xr:uid="{C3634FDA-9C1D-404D-85E7-F89E3041A52F}"/>
    <cellStyle name="Comma 5 2 4 3 5 3" xfId="20362" xr:uid="{8B9416AE-72BA-43B5-8238-D9ABBAC2EBF5}"/>
    <cellStyle name="Comma 5 2 4 3 5 3 2" xfId="50602" xr:uid="{2E181959-3DE7-4C4B-93DD-381802170782}"/>
    <cellStyle name="Comma 5 2 4 3 5 4" xfId="35482" xr:uid="{B1FB4E2F-DA80-4CDE-9A6E-633B8DB82C5F}"/>
    <cellStyle name="Comma 5 2 4 3 6" xfId="6754" xr:uid="{BE94D567-BCC4-47A8-85DA-9C1D8034958D}"/>
    <cellStyle name="Comma 5 2 4 3 6 2" xfId="21874" xr:uid="{F402C78A-059B-4962-92E1-C02E6E054309}"/>
    <cellStyle name="Comma 5 2 4 3 6 2 2" xfId="52114" xr:uid="{545B200A-57FC-44A6-BB1E-ED2F45380511}"/>
    <cellStyle name="Comma 5 2 4 3 6 3" xfId="36994" xr:uid="{AA9AC706-1566-4A50-947D-41BA9B1C5984}"/>
    <cellStyle name="Comma 5 2 4 3 7" xfId="8266" xr:uid="{2C7A204E-E30B-4925-80ED-BFA2482E6272}"/>
    <cellStyle name="Comma 5 2 4 3 7 2" xfId="23386" xr:uid="{B74E0CFC-3717-42F4-ACBA-22A4B23E024E}"/>
    <cellStyle name="Comma 5 2 4 3 7 2 2" xfId="53626" xr:uid="{41CF5B04-5919-4A50-A439-3D20D0786307}"/>
    <cellStyle name="Comma 5 2 4 3 7 3" xfId="38506" xr:uid="{4727FC1A-1539-4F1F-86A6-08942C8D9467}"/>
    <cellStyle name="Comma 5 2 4 3 8" xfId="9778" xr:uid="{F5F5B97B-D21E-4ABA-ABD4-91D23F836425}"/>
    <cellStyle name="Comma 5 2 4 3 8 2" xfId="24898" xr:uid="{029BE559-55C9-4E66-95C9-94C9BCBBEC84}"/>
    <cellStyle name="Comma 5 2 4 3 8 2 2" xfId="55138" xr:uid="{6719DF4B-06E9-4F4C-AFE7-3B749248BD1A}"/>
    <cellStyle name="Comma 5 2 4 3 8 3" xfId="40018" xr:uid="{C241B92D-10DF-4463-924F-42C66A9B2A61}"/>
    <cellStyle name="Comma 5 2 4 3 9" xfId="15826" xr:uid="{52AF65E5-3983-47E9-AFF4-23D3FB3260AF}"/>
    <cellStyle name="Comma 5 2 4 3 9 2" xfId="46066" xr:uid="{0C97BF11-7E2D-406C-BC7A-E98820176231}"/>
    <cellStyle name="Comma 5 2 4 4" xfId="958" xr:uid="{742C8096-9D88-4607-883D-1DB75A349952}"/>
    <cellStyle name="Comma 5 2 4 4 2" xfId="2470" xr:uid="{46987D94-193D-4369-90B7-09C001564DB1}"/>
    <cellStyle name="Comma 5 2 4 4 2 2" xfId="11542" xr:uid="{E7083866-73A1-4DB7-8865-D0923F215B2B}"/>
    <cellStyle name="Comma 5 2 4 4 2 2 2" xfId="26662" xr:uid="{31A2DD4E-B6A0-4F31-91BF-27DA6B85A45B}"/>
    <cellStyle name="Comma 5 2 4 4 2 2 2 2" xfId="56902" xr:uid="{7DA70270-4E17-4A34-A02A-3F324ADF1D31}"/>
    <cellStyle name="Comma 5 2 4 4 2 2 3" xfId="41782" xr:uid="{A46BC705-A8DB-4758-B18C-4752A5A6A3ED}"/>
    <cellStyle name="Comma 5 2 4 4 2 3" xfId="17590" xr:uid="{FBEA343C-EDD7-4F79-9102-0AC346829653}"/>
    <cellStyle name="Comma 5 2 4 4 2 3 2" xfId="47830" xr:uid="{B8B11D50-95B4-4772-AF6A-DF820401CD67}"/>
    <cellStyle name="Comma 5 2 4 4 2 4" xfId="32710" xr:uid="{7FEA9713-2072-474D-8B1E-FBA37A595423}"/>
    <cellStyle name="Comma 5 2 4 4 3" xfId="3982" xr:uid="{91D3A404-263A-4EAA-9942-64C0EB7E3C2C}"/>
    <cellStyle name="Comma 5 2 4 4 3 2" xfId="13054" xr:uid="{0EBBF189-9726-4397-B049-B3A647CC7047}"/>
    <cellStyle name="Comma 5 2 4 4 3 2 2" xfId="28174" xr:uid="{BB60E2D2-AD36-4C62-9B55-6BCADF482D32}"/>
    <cellStyle name="Comma 5 2 4 4 3 2 2 2" xfId="58414" xr:uid="{F48F869B-09C5-4E82-BBDD-D125B548D176}"/>
    <cellStyle name="Comma 5 2 4 4 3 2 3" xfId="43294" xr:uid="{B8C102C4-7134-4A24-9CC7-66435E363C07}"/>
    <cellStyle name="Comma 5 2 4 4 3 3" xfId="19102" xr:uid="{3780009C-58FA-40FE-B849-999AF72D65F8}"/>
    <cellStyle name="Comma 5 2 4 4 3 3 2" xfId="49342" xr:uid="{1D0AB8D1-AC03-4E4C-8516-34B68CD163BA}"/>
    <cellStyle name="Comma 5 2 4 4 3 4" xfId="34222" xr:uid="{35525944-E64F-4F9A-BAC2-129261592143}"/>
    <cellStyle name="Comma 5 2 4 4 4" xfId="5494" xr:uid="{AF48E905-7518-4E22-B5A4-B0C85EB98F49}"/>
    <cellStyle name="Comma 5 2 4 4 4 2" xfId="14566" xr:uid="{37CF119A-69C5-4A77-A2BF-402FF46BF3D7}"/>
    <cellStyle name="Comma 5 2 4 4 4 2 2" xfId="29686" xr:uid="{0A5B590C-A9E6-44A9-9987-9B60D23A10E8}"/>
    <cellStyle name="Comma 5 2 4 4 4 2 2 2" xfId="59926" xr:uid="{C0D3107D-5D0D-4BB9-B0BE-DF8FE068F412}"/>
    <cellStyle name="Comma 5 2 4 4 4 2 3" xfId="44806" xr:uid="{699BFC11-87BB-40FD-B545-D6F9099A4160}"/>
    <cellStyle name="Comma 5 2 4 4 4 3" xfId="20614" xr:uid="{21292DDA-8AFA-49E7-A6B6-39512AF0B0E9}"/>
    <cellStyle name="Comma 5 2 4 4 4 3 2" xfId="50854" xr:uid="{070BE240-E764-4035-88E2-119B5F6247A1}"/>
    <cellStyle name="Comma 5 2 4 4 4 4" xfId="35734" xr:uid="{FC13A749-E8AA-4AC5-B0CF-AB0DBC52D6BB}"/>
    <cellStyle name="Comma 5 2 4 4 5" xfId="7006" xr:uid="{3352677D-312F-459A-B9F1-E1ED3D20A49B}"/>
    <cellStyle name="Comma 5 2 4 4 5 2" xfId="22126" xr:uid="{74A9C129-5CA4-4CFB-9FF7-F053D4CD0E06}"/>
    <cellStyle name="Comma 5 2 4 4 5 2 2" xfId="52366" xr:uid="{4A3B829D-22EF-49D0-BD9B-162F8820212D}"/>
    <cellStyle name="Comma 5 2 4 4 5 3" xfId="37246" xr:uid="{A2D8690F-4347-4EDC-B95B-DFB31852ED95}"/>
    <cellStyle name="Comma 5 2 4 4 6" xfId="8518" xr:uid="{643A2E96-E120-4D6E-AB8F-EFA8635C22C7}"/>
    <cellStyle name="Comma 5 2 4 4 6 2" xfId="23638" xr:uid="{D5EA412A-FA7A-4F21-B896-AE4E759B0C2E}"/>
    <cellStyle name="Comma 5 2 4 4 6 2 2" xfId="53878" xr:uid="{516D0F35-CE2E-46BA-ADE3-A89C3C8AA667}"/>
    <cellStyle name="Comma 5 2 4 4 6 3" xfId="38758" xr:uid="{E864F64C-9A45-4E3D-8A8B-2BE949591180}"/>
    <cellStyle name="Comma 5 2 4 4 7" xfId="10030" xr:uid="{79132367-A010-487B-B268-F0230B5B5948}"/>
    <cellStyle name="Comma 5 2 4 4 7 2" xfId="25150" xr:uid="{D3914AFF-6840-454D-8556-93F114AD27EA}"/>
    <cellStyle name="Comma 5 2 4 4 7 2 2" xfId="55390" xr:uid="{0F380780-1E0A-45EC-8D6D-9C6ED055EAE5}"/>
    <cellStyle name="Comma 5 2 4 4 7 3" xfId="40270" xr:uid="{7BB47328-65A3-47F2-BEED-7A4074EB75EE}"/>
    <cellStyle name="Comma 5 2 4 4 8" xfId="16078" xr:uid="{3279E71A-2FD1-4120-8EE0-8E8100F5E5E6}"/>
    <cellStyle name="Comma 5 2 4 4 8 2" xfId="46318" xr:uid="{9B47401D-2F44-4454-ACEB-E4613DC19C08}"/>
    <cellStyle name="Comma 5 2 4 4 9" xfId="31198" xr:uid="{1DE32004-E026-4256-B986-11419612C562}"/>
    <cellStyle name="Comma 5 2 4 5" xfId="1714" xr:uid="{B279BF9F-9D26-4F83-8888-C79371036647}"/>
    <cellStyle name="Comma 5 2 4 5 2" xfId="10786" xr:uid="{D53ACE7D-343D-4543-BA79-5F78C9CF380A}"/>
    <cellStyle name="Comma 5 2 4 5 2 2" xfId="25906" xr:uid="{A43F8640-808E-4E0D-A642-BDD5B1BD4531}"/>
    <cellStyle name="Comma 5 2 4 5 2 2 2" xfId="56146" xr:uid="{16C3798B-9635-4F0D-BBD4-3A7C37263413}"/>
    <cellStyle name="Comma 5 2 4 5 2 3" xfId="41026" xr:uid="{419E42D9-FF1F-4A09-9F9D-1CDB2EE717A4}"/>
    <cellStyle name="Comma 5 2 4 5 3" xfId="16834" xr:uid="{E5457497-2942-49AE-8FFD-1AD6388F37CD}"/>
    <cellStyle name="Comma 5 2 4 5 3 2" xfId="47074" xr:uid="{C7325B3E-0D57-4436-9DCD-6F5E41EC189C}"/>
    <cellStyle name="Comma 5 2 4 5 4" xfId="31954" xr:uid="{ED7EA1A9-95B4-4D0E-81DE-9C95D584B424}"/>
    <cellStyle name="Comma 5 2 4 6" xfId="3226" xr:uid="{111AD622-29D1-48F6-AA9E-E6B955515881}"/>
    <cellStyle name="Comma 5 2 4 6 2" xfId="12298" xr:uid="{43298CED-8E4B-4BF2-A3C6-08C834B421A7}"/>
    <cellStyle name="Comma 5 2 4 6 2 2" xfId="27418" xr:uid="{B935D4D4-D118-44D4-A663-1B7772C51D57}"/>
    <cellStyle name="Comma 5 2 4 6 2 2 2" xfId="57658" xr:uid="{9C3A43B8-6662-489B-A775-CBD0FB927043}"/>
    <cellStyle name="Comma 5 2 4 6 2 3" xfId="42538" xr:uid="{EB7E7AD5-81D6-47A4-99A7-B11696063D38}"/>
    <cellStyle name="Comma 5 2 4 6 3" xfId="18346" xr:uid="{0CDA48D2-E7C9-4DF6-8C6E-F7F1500E1654}"/>
    <cellStyle name="Comma 5 2 4 6 3 2" xfId="48586" xr:uid="{A0CDE51A-A4CF-48D9-8BA4-4E0C460B27B4}"/>
    <cellStyle name="Comma 5 2 4 6 4" xfId="33466" xr:uid="{9C4C0FBC-869F-4B28-A15C-81A8FD244836}"/>
    <cellStyle name="Comma 5 2 4 7" xfId="4738" xr:uid="{82BF4603-A687-42CD-8FAA-43121714A9B0}"/>
    <cellStyle name="Comma 5 2 4 7 2" xfId="13810" xr:uid="{6D575D1C-4A77-43AB-87B3-7007C6AB9711}"/>
    <cellStyle name="Comma 5 2 4 7 2 2" xfId="28930" xr:uid="{47957CB5-D21B-40BC-A7B1-CE3B329CDB25}"/>
    <cellStyle name="Comma 5 2 4 7 2 2 2" xfId="59170" xr:uid="{E371F3A1-0C10-41AC-B1E1-DE2B55FA10E8}"/>
    <cellStyle name="Comma 5 2 4 7 2 3" xfId="44050" xr:uid="{368A5F22-481B-4D6F-83BA-A9AB22D6AAFA}"/>
    <cellStyle name="Comma 5 2 4 7 3" xfId="19858" xr:uid="{FCE991CA-DFA4-445B-A07D-C02CFEA5CF15}"/>
    <cellStyle name="Comma 5 2 4 7 3 2" xfId="50098" xr:uid="{124877C0-E73A-4A12-8872-50B2E0E52168}"/>
    <cellStyle name="Comma 5 2 4 7 4" xfId="34978" xr:uid="{465D77F5-4C0A-4FA0-999F-7BEDE6FC2328}"/>
    <cellStyle name="Comma 5 2 4 8" xfId="6250" xr:uid="{1D18186B-B8AF-484D-9B8A-3C46D1EF9041}"/>
    <cellStyle name="Comma 5 2 4 8 2" xfId="21370" xr:uid="{B703E75A-A4B7-4241-B841-BE3737D22F6E}"/>
    <cellStyle name="Comma 5 2 4 8 2 2" xfId="51610" xr:uid="{5235E888-EE6A-4D2B-8FF0-D760C68A8C68}"/>
    <cellStyle name="Comma 5 2 4 8 3" xfId="36490" xr:uid="{59BEEBDD-D097-47AF-BB04-EE9335D2E16D}"/>
    <cellStyle name="Comma 5 2 4 9" xfId="7762" xr:uid="{10AF13F8-611A-4C14-B982-30AE4A869524}"/>
    <cellStyle name="Comma 5 2 4 9 2" xfId="22882" xr:uid="{EDAF8CC3-97F8-4481-80E5-C6CC6EFDA29D}"/>
    <cellStyle name="Comma 5 2 4 9 2 2" xfId="53122" xr:uid="{99967FF6-97D7-4E2F-9AF4-C2301174BE96}"/>
    <cellStyle name="Comma 5 2 4 9 3" xfId="38002" xr:uid="{A1794456-61D2-49E3-AAD0-07B65F248256}"/>
    <cellStyle name="Comma 5 2 5" xfId="286" xr:uid="{DA4A4523-82EF-4764-9559-61D0FAAF550A}"/>
    <cellStyle name="Comma 5 2 5 10" xfId="30526" xr:uid="{F56B4D61-9D40-4714-B98A-052C5786DA28}"/>
    <cellStyle name="Comma 5 2 5 2" xfId="1042" xr:uid="{5F9EA406-9227-4A4D-A99B-C61F3D882736}"/>
    <cellStyle name="Comma 5 2 5 2 2" xfId="2554" xr:uid="{62DD3AF9-8DCC-4DA7-AA09-C53F0CAFB3D0}"/>
    <cellStyle name="Comma 5 2 5 2 2 2" xfId="11626" xr:uid="{3EEC85F3-D751-4EC3-8D01-2B1EAD4EE7B4}"/>
    <cellStyle name="Comma 5 2 5 2 2 2 2" xfId="26746" xr:uid="{1320DB3E-E545-4CCF-B536-E7613B2684A9}"/>
    <cellStyle name="Comma 5 2 5 2 2 2 2 2" xfId="56986" xr:uid="{C450C712-CEFA-48BC-875C-8150CF450131}"/>
    <cellStyle name="Comma 5 2 5 2 2 2 3" xfId="41866" xr:uid="{37997DE6-1813-42CE-9223-913A545EACB5}"/>
    <cellStyle name="Comma 5 2 5 2 2 3" xfId="17674" xr:uid="{CFF3A465-55F8-4AF0-816E-C1693CAF5E24}"/>
    <cellStyle name="Comma 5 2 5 2 2 3 2" xfId="47914" xr:uid="{FB6EE7EA-8174-4608-90CB-DB2EDBF9F697}"/>
    <cellStyle name="Comma 5 2 5 2 2 4" xfId="32794" xr:uid="{87BA40E4-770E-4DC9-BFBC-A563A6F5C31B}"/>
    <cellStyle name="Comma 5 2 5 2 3" xfId="4066" xr:uid="{94E0F75B-3D1E-4DF2-B51D-DB9891365873}"/>
    <cellStyle name="Comma 5 2 5 2 3 2" xfId="13138" xr:uid="{E2B8067A-9461-4CBA-BFC3-FF2492EB7B2D}"/>
    <cellStyle name="Comma 5 2 5 2 3 2 2" xfId="28258" xr:uid="{F09B3B86-F1B7-46A1-9B4F-39EBF321DAF1}"/>
    <cellStyle name="Comma 5 2 5 2 3 2 2 2" xfId="58498" xr:uid="{45130B2B-AA44-42C5-A963-C5F2DF0604A0}"/>
    <cellStyle name="Comma 5 2 5 2 3 2 3" xfId="43378" xr:uid="{477470BC-D759-4A92-8D10-066B0BFDB3AF}"/>
    <cellStyle name="Comma 5 2 5 2 3 3" xfId="19186" xr:uid="{F250BEB7-7482-4B77-8F1C-D9C430369240}"/>
    <cellStyle name="Comma 5 2 5 2 3 3 2" xfId="49426" xr:uid="{53E63173-5B48-4EB2-A0B7-1C3A90583BE4}"/>
    <cellStyle name="Comma 5 2 5 2 3 4" xfId="34306" xr:uid="{92533A1A-150D-4363-9A3C-373F06609BFD}"/>
    <cellStyle name="Comma 5 2 5 2 4" xfId="5578" xr:uid="{60130132-809F-4F8D-88C4-FC5DC7F31472}"/>
    <cellStyle name="Comma 5 2 5 2 4 2" xfId="14650" xr:uid="{87AAF8CA-6BAA-4B20-B77E-7151FFF296D9}"/>
    <cellStyle name="Comma 5 2 5 2 4 2 2" xfId="29770" xr:uid="{1AE4E591-D9C2-4BF7-9855-D30749344A5A}"/>
    <cellStyle name="Comma 5 2 5 2 4 2 2 2" xfId="60010" xr:uid="{64F78078-E491-4759-8264-01BF274B8CAF}"/>
    <cellStyle name="Comma 5 2 5 2 4 2 3" xfId="44890" xr:uid="{463E09E5-0338-4A44-99CB-A6C684406676}"/>
    <cellStyle name="Comma 5 2 5 2 4 3" xfId="20698" xr:uid="{37E789A0-960C-4D11-AA34-BEDE56EDBB67}"/>
    <cellStyle name="Comma 5 2 5 2 4 3 2" xfId="50938" xr:uid="{E7017B73-197B-4EFA-86E3-138BABF39A79}"/>
    <cellStyle name="Comma 5 2 5 2 4 4" xfId="35818" xr:uid="{17BB8E9F-C332-4D46-8F0F-62C903040168}"/>
    <cellStyle name="Comma 5 2 5 2 5" xfId="7090" xr:uid="{14A28A63-B059-4DD5-85E1-CF52045A8A36}"/>
    <cellStyle name="Comma 5 2 5 2 5 2" xfId="22210" xr:uid="{1F9C08FA-B24F-4D52-8E42-9F452D4457FE}"/>
    <cellStyle name="Comma 5 2 5 2 5 2 2" xfId="52450" xr:uid="{0CF9AF0E-A83D-4149-878E-8E3A638B9A60}"/>
    <cellStyle name="Comma 5 2 5 2 5 3" xfId="37330" xr:uid="{D8562D73-D704-4776-9D83-282AA1FA2F7F}"/>
    <cellStyle name="Comma 5 2 5 2 6" xfId="8602" xr:uid="{A5E195FC-4ECB-449D-BD38-B35D872C6773}"/>
    <cellStyle name="Comma 5 2 5 2 6 2" xfId="23722" xr:uid="{F3896B83-61F9-41AD-A684-DD984DC7C8F3}"/>
    <cellStyle name="Comma 5 2 5 2 6 2 2" xfId="53962" xr:uid="{2F174068-617B-4240-9C63-1371CF4A2B0B}"/>
    <cellStyle name="Comma 5 2 5 2 6 3" xfId="38842" xr:uid="{61F6EE73-F61C-4F23-AE7C-C0A71B894244}"/>
    <cellStyle name="Comma 5 2 5 2 7" xfId="10114" xr:uid="{7FBBA06D-4AE4-4F89-936D-22C68EA588E0}"/>
    <cellStyle name="Comma 5 2 5 2 7 2" xfId="25234" xr:uid="{3BB1DA2B-C526-496F-AC38-74A5EEC06CDC}"/>
    <cellStyle name="Comma 5 2 5 2 7 2 2" xfId="55474" xr:uid="{B414CB57-BC13-4060-8253-180B00D1A642}"/>
    <cellStyle name="Comma 5 2 5 2 7 3" xfId="40354" xr:uid="{265BC02C-6E53-491C-9333-6C2BD616C30F}"/>
    <cellStyle name="Comma 5 2 5 2 8" xfId="16162" xr:uid="{CD04CA69-516A-4506-B283-BBB3E5DC3E9D}"/>
    <cellStyle name="Comma 5 2 5 2 8 2" xfId="46402" xr:uid="{9E848830-996D-4779-8253-A0228914F6D2}"/>
    <cellStyle name="Comma 5 2 5 2 9" xfId="31282" xr:uid="{67913C3F-C905-40AD-8FC4-C81225A9FAF7}"/>
    <cellStyle name="Comma 5 2 5 3" xfId="1798" xr:uid="{0640A425-A3D2-4CEA-9043-736C3DD64676}"/>
    <cellStyle name="Comma 5 2 5 3 2" xfId="10870" xr:uid="{B961F6E8-5F0E-4220-BE98-6E6D8BBDB312}"/>
    <cellStyle name="Comma 5 2 5 3 2 2" xfId="25990" xr:uid="{A3D421CD-E1E2-4520-8357-CBEADF8DF9AD}"/>
    <cellStyle name="Comma 5 2 5 3 2 2 2" xfId="56230" xr:uid="{718A469B-8288-45D9-A432-B1B20464E026}"/>
    <cellStyle name="Comma 5 2 5 3 2 3" xfId="41110" xr:uid="{C364EC86-4C2F-4CAB-B276-338256781AC9}"/>
    <cellStyle name="Comma 5 2 5 3 3" xfId="16918" xr:uid="{BD400EE9-5CC0-4606-83AE-925F65CBE210}"/>
    <cellStyle name="Comma 5 2 5 3 3 2" xfId="47158" xr:uid="{399E44BB-283F-4042-B64A-F54121C410F2}"/>
    <cellStyle name="Comma 5 2 5 3 4" xfId="32038" xr:uid="{6B1347FC-1CB7-483A-ABD7-02050035712A}"/>
    <cellStyle name="Comma 5 2 5 4" xfId="3310" xr:uid="{21AFB0F6-AB8B-49D0-8D53-E9ADCCF42C17}"/>
    <cellStyle name="Comma 5 2 5 4 2" xfId="12382" xr:uid="{0CB428C6-EDB7-40A6-9E6B-5DD09E8C2B9E}"/>
    <cellStyle name="Comma 5 2 5 4 2 2" xfId="27502" xr:uid="{8DC562ED-2BB0-4AF3-B2AD-FD488C34DA0A}"/>
    <cellStyle name="Comma 5 2 5 4 2 2 2" xfId="57742" xr:uid="{09A8E514-415E-48AB-BB39-C1C7FECE1C31}"/>
    <cellStyle name="Comma 5 2 5 4 2 3" xfId="42622" xr:uid="{E6115483-A136-4D5A-A74E-6D5DFCDED50F}"/>
    <cellStyle name="Comma 5 2 5 4 3" xfId="18430" xr:uid="{39582666-8532-46B7-91FA-CAB76EE32BA9}"/>
    <cellStyle name="Comma 5 2 5 4 3 2" xfId="48670" xr:uid="{DECF3FF4-D034-4059-AB5F-83DDFEFBAA56}"/>
    <cellStyle name="Comma 5 2 5 4 4" xfId="33550" xr:uid="{5A3E39DC-90CD-41DC-A085-B7E91C3649C0}"/>
    <cellStyle name="Comma 5 2 5 5" xfId="4822" xr:uid="{AFF55AA8-C7DA-4C03-B010-5234AC33F346}"/>
    <cellStyle name="Comma 5 2 5 5 2" xfId="13894" xr:uid="{4D924CD6-635B-4203-A9E0-9CC4F2A83201}"/>
    <cellStyle name="Comma 5 2 5 5 2 2" xfId="29014" xr:uid="{79C36A38-4F10-4EE1-AD90-5F1A0C113F48}"/>
    <cellStyle name="Comma 5 2 5 5 2 2 2" xfId="59254" xr:uid="{CB30983B-326C-4871-A8FE-90823DBBE184}"/>
    <cellStyle name="Comma 5 2 5 5 2 3" xfId="44134" xr:uid="{C44B3935-A8AE-49AD-B43E-337D80926C5F}"/>
    <cellStyle name="Comma 5 2 5 5 3" xfId="19942" xr:uid="{AD742F4B-567A-42FD-9B5C-761309C1E8E2}"/>
    <cellStyle name="Comma 5 2 5 5 3 2" xfId="50182" xr:uid="{8EBC59EE-356D-44A3-8CF8-B4C124216289}"/>
    <cellStyle name="Comma 5 2 5 5 4" xfId="35062" xr:uid="{E9D4216F-6F07-45F6-990A-F57FD7AF367B}"/>
    <cellStyle name="Comma 5 2 5 6" xfId="6334" xr:uid="{3C4E5C74-2010-45DF-88BE-894E372783FA}"/>
    <cellStyle name="Comma 5 2 5 6 2" xfId="21454" xr:uid="{94312060-F896-442B-9032-83C695AE1811}"/>
    <cellStyle name="Comma 5 2 5 6 2 2" xfId="51694" xr:uid="{FB2FE01B-AE5F-4E30-8792-5F2ADCE20C29}"/>
    <cellStyle name="Comma 5 2 5 6 3" xfId="36574" xr:uid="{166C5261-11E3-4599-B0DD-D6926CA87744}"/>
    <cellStyle name="Comma 5 2 5 7" xfId="7846" xr:uid="{0E15CDEE-614D-4EC0-81CF-E9AAA739E0F2}"/>
    <cellStyle name="Comma 5 2 5 7 2" xfId="22966" xr:uid="{FD1DBD47-53CD-45D9-96AD-BEB1B8DA4BCA}"/>
    <cellStyle name="Comma 5 2 5 7 2 2" xfId="53206" xr:uid="{C8ED30E5-6FCE-4FAC-A43B-8CEDAA279A93}"/>
    <cellStyle name="Comma 5 2 5 7 3" xfId="38086" xr:uid="{FC289301-E591-4D0D-AF55-0BD3F4BC554C}"/>
    <cellStyle name="Comma 5 2 5 8" xfId="9358" xr:uid="{3B900616-6A81-48E8-8360-63E669A72ABE}"/>
    <cellStyle name="Comma 5 2 5 8 2" xfId="24478" xr:uid="{6F2080C7-6D03-41E7-94C6-EF98EA6EA80E}"/>
    <cellStyle name="Comma 5 2 5 8 2 2" xfId="54718" xr:uid="{1A758BD4-F99F-46B1-847C-714A696DC49E}"/>
    <cellStyle name="Comma 5 2 5 8 3" xfId="39598" xr:uid="{F0826A8F-69A1-46AA-A1CC-D997FC43528A}"/>
    <cellStyle name="Comma 5 2 5 9" xfId="15406" xr:uid="{A7C352FD-1261-4FC5-9CFE-4DBB55D5A2BE}"/>
    <cellStyle name="Comma 5 2 5 9 2" xfId="45646" xr:uid="{68D95A08-9D91-46E6-ABA1-6C913BE8B1FF}"/>
    <cellStyle name="Comma 5 2 6" xfId="538" xr:uid="{DA2C8862-E097-41A6-B47D-06AA9FD70A85}"/>
    <cellStyle name="Comma 5 2 6 10" xfId="30778" xr:uid="{ABD685E8-4600-4EAE-8D25-09C43316400E}"/>
    <cellStyle name="Comma 5 2 6 2" xfId="1294" xr:uid="{3D5C07EE-2EAD-4CA5-8432-9080DB5B18F3}"/>
    <cellStyle name="Comma 5 2 6 2 2" xfId="2806" xr:uid="{24BB26E6-F9C2-4C12-BB83-7B1C3A830F63}"/>
    <cellStyle name="Comma 5 2 6 2 2 2" xfId="11878" xr:uid="{CC0F12F2-FEAD-4570-80E5-999816352141}"/>
    <cellStyle name="Comma 5 2 6 2 2 2 2" xfId="26998" xr:uid="{38C16FF6-B68B-4E21-87F0-28D38E5BBBCD}"/>
    <cellStyle name="Comma 5 2 6 2 2 2 2 2" xfId="57238" xr:uid="{579D1917-9FF2-4DA6-AE46-F100435FFE79}"/>
    <cellStyle name="Comma 5 2 6 2 2 2 3" xfId="42118" xr:uid="{0F1103CB-1686-4C32-A622-519016EE1745}"/>
    <cellStyle name="Comma 5 2 6 2 2 3" xfId="17926" xr:uid="{C6EB9C81-CAD5-4510-960E-DAA85BFBD0CC}"/>
    <cellStyle name="Comma 5 2 6 2 2 3 2" xfId="48166" xr:uid="{BB9574E1-71B0-49A0-82A2-A1BB47EC44BB}"/>
    <cellStyle name="Comma 5 2 6 2 2 4" xfId="33046" xr:uid="{FF609DCE-51E8-4BA8-AD89-C8418760F32E}"/>
    <cellStyle name="Comma 5 2 6 2 3" xfId="4318" xr:uid="{F658306E-BD63-4914-A2DE-11B32F95D784}"/>
    <cellStyle name="Comma 5 2 6 2 3 2" xfId="13390" xr:uid="{BB7EE475-0949-44D7-855F-72CEF9EB8B2A}"/>
    <cellStyle name="Comma 5 2 6 2 3 2 2" xfId="28510" xr:uid="{356CBAE7-69C6-4665-84B2-8BE53F0BAABE}"/>
    <cellStyle name="Comma 5 2 6 2 3 2 2 2" xfId="58750" xr:uid="{188463B4-C60B-4C07-AAB1-3D1683C5B265}"/>
    <cellStyle name="Comma 5 2 6 2 3 2 3" xfId="43630" xr:uid="{34A4699A-3C86-498C-B0CB-A102240DEA42}"/>
    <cellStyle name="Comma 5 2 6 2 3 3" xfId="19438" xr:uid="{1DA6D342-B83A-461A-A508-32CC0430E5C9}"/>
    <cellStyle name="Comma 5 2 6 2 3 3 2" xfId="49678" xr:uid="{485CCAEF-CE2E-4EE4-8DEF-2E9DA5589D43}"/>
    <cellStyle name="Comma 5 2 6 2 3 4" xfId="34558" xr:uid="{86701C7F-899C-4A71-930E-BE49CE068107}"/>
    <cellStyle name="Comma 5 2 6 2 4" xfId="5830" xr:uid="{A53D191E-0468-4A4E-8A12-A16123B1D7DE}"/>
    <cellStyle name="Comma 5 2 6 2 4 2" xfId="14902" xr:uid="{081D6127-E0B1-4A48-9FF9-848A44052F51}"/>
    <cellStyle name="Comma 5 2 6 2 4 2 2" xfId="30022" xr:uid="{21612310-8767-4046-8EAC-CBEF80AA7D8D}"/>
    <cellStyle name="Comma 5 2 6 2 4 2 2 2" xfId="60262" xr:uid="{0537258E-0C00-4B70-A51D-BCDE51207667}"/>
    <cellStyle name="Comma 5 2 6 2 4 2 3" xfId="45142" xr:uid="{D8EA0DB6-68FF-4D46-8234-FE63D7542FA8}"/>
    <cellStyle name="Comma 5 2 6 2 4 3" xfId="20950" xr:uid="{255D19F4-27F8-46B9-840E-A7D4F359611B}"/>
    <cellStyle name="Comma 5 2 6 2 4 3 2" xfId="51190" xr:uid="{1329370C-DE7B-41A5-B98D-09B4BAF1A5D8}"/>
    <cellStyle name="Comma 5 2 6 2 4 4" xfId="36070" xr:uid="{3F055AA8-072A-4D46-A7A2-AB9A19DA1619}"/>
    <cellStyle name="Comma 5 2 6 2 5" xfId="7342" xr:uid="{2DFA81DF-D8D2-471C-A59C-CB7D88B1382C}"/>
    <cellStyle name="Comma 5 2 6 2 5 2" xfId="22462" xr:uid="{A3F811BD-98FF-48DB-B62D-0B9C134A471D}"/>
    <cellStyle name="Comma 5 2 6 2 5 2 2" xfId="52702" xr:uid="{7B193ED7-2FE6-4949-8F45-17C70B8116B4}"/>
    <cellStyle name="Comma 5 2 6 2 5 3" xfId="37582" xr:uid="{6632D8EB-7B20-4E06-AB11-EDD5B5E69FE6}"/>
    <cellStyle name="Comma 5 2 6 2 6" xfId="8854" xr:uid="{B5785572-A234-4E6A-A708-4D96A9C5838E}"/>
    <cellStyle name="Comma 5 2 6 2 6 2" xfId="23974" xr:uid="{6E9FD9C1-D9B6-4F0D-9196-2B8FFDEC4B62}"/>
    <cellStyle name="Comma 5 2 6 2 6 2 2" xfId="54214" xr:uid="{59039245-F021-4313-999B-5F7682C2A477}"/>
    <cellStyle name="Comma 5 2 6 2 6 3" xfId="39094" xr:uid="{0C373A90-C617-4443-A3C1-2B699A3FC0F1}"/>
    <cellStyle name="Comma 5 2 6 2 7" xfId="10366" xr:uid="{890AEB86-27C3-40F5-80D2-5C92FFB09263}"/>
    <cellStyle name="Comma 5 2 6 2 7 2" xfId="25486" xr:uid="{AA7C09B0-1EF5-4F2F-8F8D-2F5A75749245}"/>
    <cellStyle name="Comma 5 2 6 2 7 2 2" xfId="55726" xr:uid="{0152A07D-D30A-4185-B40C-0ADA04DB2EA4}"/>
    <cellStyle name="Comma 5 2 6 2 7 3" xfId="40606" xr:uid="{3C00B855-CDC5-4F5E-A558-DA5C11EB6692}"/>
    <cellStyle name="Comma 5 2 6 2 8" xfId="16414" xr:uid="{207C7EF9-2019-4472-83E5-A7BD327E1783}"/>
    <cellStyle name="Comma 5 2 6 2 8 2" xfId="46654" xr:uid="{4A8FB4EE-3402-41F7-AFEB-233FDC5F806E}"/>
    <cellStyle name="Comma 5 2 6 2 9" xfId="31534" xr:uid="{61A085F1-6B90-4B09-9180-2D858B528DFF}"/>
    <cellStyle name="Comma 5 2 6 3" xfId="2050" xr:uid="{191B3D2E-DBAA-4B7E-A815-58548393C81B}"/>
    <cellStyle name="Comma 5 2 6 3 2" xfId="11122" xr:uid="{5EC15949-C3E6-44E2-B164-52FACADB010B}"/>
    <cellStyle name="Comma 5 2 6 3 2 2" xfId="26242" xr:uid="{F7701958-B171-4335-8B2B-ACB5F5CCE3A5}"/>
    <cellStyle name="Comma 5 2 6 3 2 2 2" xfId="56482" xr:uid="{D1E4CB27-B11E-45F0-92E2-E49B854AC2B5}"/>
    <cellStyle name="Comma 5 2 6 3 2 3" xfId="41362" xr:uid="{08E1DD9C-8D30-4793-A19E-4196D70AD5D5}"/>
    <cellStyle name="Comma 5 2 6 3 3" xfId="17170" xr:uid="{08369FB1-369E-4833-803E-1CDF4B214F6E}"/>
    <cellStyle name="Comma 5 2 6 3 3 2" xfId="47410" xr:uid="{F81BE8DF-0A55-45D3-B862-EB57D17399E5}"/>
    <cellStyle name="Comma 5 2 6 3 4" xfId="32290" xr:uid="{317D88FC-2524-4D0C-88AB-F1DC1108787D}"/>
    <cellStyle name="Comma 5 2 6 4" xfId="3562" xr:uid="{1DD28D75-E7AD-4422-A490-82C003B251C2}"/>
    <cellStyle name="Comma 5 2 6 4 2" xfId="12634" xr:uid="{E11E4B31-CC99-48ED-A43C-1604A0A313B0}"/>
    <cellStyle name="Comma 5 2 6 4 2 2" xfId="27754" xr:uid="{1D5AAC6F-AB9B-475F-93EC-7F0C0028772B}"/>
    <cellStyle name="Comma 5 2 6 4 2 2 2" xfId="57994" xr:uid="{7033CB43-1965-4806-ABA8-6A6790F34DFB}"/>
    <cellStyle name="Comma 5 2 6 4 2 3" xfId="42874" xr:uid="{598BB9BD-8DB9-4C12-8A8C-E7C56FF16183}"/>
    <cellStyle name="Comma 5 2 6 4 3" xfId="18682" xr:uid="{27EA3983-DF17-46DF-9D37-30DF093A8C47}"/>
    <cellStyle name="Comma 5 2 6 4 3 2" xfId="48922" xr:uid="{72866ABC-3967-426D-A652-438F4D282225}"/>
    <cellStyle name="Comma 5 2 6 4 4" xfId="33802" xr:uid="{832D6874-FF10-41B4-8486-26D247A27A36}"/>
    <cellStyle name="Comma 5 2 6 5" xfId="5074" xr:uid="{66B03E9F-5CFB-472F-9B00-A4B599A39076}"/>
    <cellStyle name="Comma 5 2 6 5 2" xfId="14146" xr:uid="{8C958EB6-FD26-4CA4-819F-D4BE46543BFF}"/>
    <cellStyle name="Comma 5 2 6 5 2 2" xfId="29266" xr:uid="{E3EF9E3D-081D-4FBC-9012-E44297FEAB08}"/>
    <cellStyle name="Comma 5 2 6 5 2 2 2" xfId="59506" xr:uid="{68A4D899-D85B-4329-9582-06F48F1CCD73}"/>
    <cellStyle name="Comma 5 2 6 5 2 3" xfId="44386" xr:uid="{7BCD872E-69BA-4A7B-81A1-023499AC0BE5}"/>
    <cellStyle name="Comma 5 2 6 5 3" xfId="20194" xr:uid="{16C54CA2-10C2-4C9C-B3CF-1F999CC45A11}"/>
    <cellStyle name="Comma 5 2 6 5 3 2" xfId="50434" xr:uid="{116C0535-F2B5-4BD4-8ABE-4A13224DDBBE}"/>
    <cellStyle name="Comma 5 2 6 5 4" xfId="35314" xr:uid="{4506C241-0CA4-40CD-A3D3-D2C72AD24F68}"/>
    <cellStyle name="Comma 5 2 6 6" xfId="6586" xr:uid="{A2F4E36A-800F-4A28-A201-3DC592F2B5D8}"/>
    <cellStyle name="Comma 5 2 6 6 2" xfId="21706" xr:uid="{800C34AB-6261-481C-B18E-C6A7B2E0F778}"/>
    <cellStyle name="Comma 5 2 6 6 2 2" xfId="51946" xr:uid="{EE06F144-588A-48D2-A662-7B022074443A}"/>
    <cellStyle name="Comma 5 2 6 6 3" xfId="36826" xr:uid="{0490A1EB-913A-471C-939C-DBE744134474}"/>
    <cellStyle name="Comma 5 2 6 7" xfId="8098" xr:uid="{B3B2960C-742A-4BB6-BE6A-C2A12C4BCC6C}"/>
    <cellStyle name="Comma 5 2 6 7 2" xfId="23218" xr:uid="{56C2DE9D-F2FA-47D6-8A3F-EBC01E252B3D}"/>
    <cellStyle name="Comma 5 2 6 7 2 2" xfId="53458" xr:uid="{8FCE45AE-3415-4EF3-BD3D-DEDABB6141C8}"/>
    <cellStyle name="Comma 5 2 6 7 3" xfId="38338" xr:uid="{177F5815-781A-4628-B42B-01C97C977A9F}"/>
    <cellStyle name="Comma 5 2 6 8" xfId="9610" xr:uid="{88E15ED4-127D-4151-8567-C4F1AE21042F}"/>
    <cellStyle name="Comma 5 2 6 8 2" xfId="24730" xr:uid="{D1351B8F-D26C-4C1E-8830-1EE11DD4D833}"/>
    <cellStyle name="Comma 5 2 6 8 2 2" xfId="54970" xr:uid="{ECC88ADA-78DB-4DB5-8DF1-13530F7FDA68}"/>
    <cellStyle name="Comma 5 2 6 8 3" xfId="39850" xr:uid="{D2DF7936-4FC1-43C5-AC24-A75BD896260A}"/>
    <cellStyle name="Comma 5 2 6 9" xfId="15658" xr:uid="{0EE13B55-96ED-4EA2-871E-BC14824522FD}"/>
    <cellStyle name="Comma 5 2 6 9 2" xfId="45898" xr:uid="{D6DAFBA2-B514-403B-93CD-7FB73CB7E6C4}"/>
    <cellStyle name="Comma 5 2 7" xfId="790" xr:uid="{175F98A4-AEED-43F1-9F19-CE6FCEDA2F71}"/>
    <cellStyle name="Comma 5 2 7 2" xfId="2302" xr:uid="{27CF8AAA-62D0-402E-BB5C-6DB8CCE90CF0}"/>
    <cellStyle name="Comma 5 2 7 2 2" xfId="11374" xr:uid="{3620393E-FA52-42B1-B6F5-6E389687CB46}"/>
    <cellStyle name="Comma 5 2 7 2 2 2" xfId="26494" xr:uid="{454D9D48-443A-440F-A585-30CF3B5D8B1C}"/>
    <cellStyle name="Comma 5 2 7 2 2 2 2" xfId="56734" xr:uid="{FF22F48B-670B-4E3B-BAED-C00C1BB6665C}"/>
    <cellStyle name="Comma 5 2 7 2 2 3" xfId="41614" xr:uid="{361B260F-845E-4F6D-BBA0-CEBCD45E885F}"/>
    <cellStyle name="Comma 5 2 7 2 3" xfId="17422" xr:uid="{DBC09423-2A0A-4D42-B2CF-DFE5733936CA}"/>
    <cellStyle name="Comma 5 2 7 2 3 2" xfId="47662" xr:uid="{467964AB-923E-4E0F-84C3-834D517BFBE6}"/>
    <cellStyle name="Comma 5 2 7 2 4" xfId="32542" xr:uid="{89A5088D-760B-4AEA-ACF3-6F33920E66FC}"/>
    <cellStyle name="Comma 5 2 7 3" xfId="3814" xr:uid="{2E718F49-C1C1-423A-87DC-6AEB721CBCE5}"/>
    <cellStyle name="Comma 5 2 7 3 2" xfId="12886" xr:uid="{B5EF0B69-7D22-4DF7-AA6C-C3F1C71F7B4A}"/>
    <cellStyle name="Comma 5 2 7 3 2 2" xfId="28006" xr:uid="{1AC026A8-D1ED-4A58-B8DE-C695B1251143}"/>
    <cellStyle name="Comma 5 2 7 3 2 2 2" xfId="58246" xr:uid="{8506F84D-C483-4710-9091-96F32509A18B}"/>
    <cellStyle name="Comma 5 2 7 3 2 3" xfId="43126" xr:uid="{14DB3D80-105E-4A91-9A90-96B191FAF401}"/>
    <cellStyle name="Comma 5 2 7 3 3" xfId="18934" xr:uid="{88F218CE-299C-44B5-A9FF-5E1F331A3FCA}"/>
    <cellStyle name="Comma 5 2 7 3 3 2" xfId="49174" xr:uid="{57ADCF10-ACBD-425A-97B8-8BF80A4A5EBB}"/>
    <cellStyle name="Comma 5 2 7 3 4" xfId="34054" xr:uid="{5C8260B1-137E-44C8-A93D-A4F1FE90659D}"/>
    <cellStyle name="Comma 5 2 7 4" xfId="5326" xr:uid="{EEB5F61B-F6DB-401C-A9F4-501511DC825E}"/>
    <cellStyle name="Comma 5 2 7 4 2" xfId="14398" xr:uid="{3DBE398F-8D0E-4EF6-B8F0-73C985A5DD55}"/>
    <cellStyle name="Comma 5 2 7 4 2 2" xfId="29518" xr:uid="{31BD7CF2-9ED6-4F1A-8579-A354F246A13C}"/>
    <cellStyle name="Comma 5 2 7 4 2 2 2" xfId="59758" xr:uid="{7F494BED-3C06-4547-A543-9CC6367A34C7}"/>
    <cellStyle name="Comma 5 2 7 4 2 3" xfId="44638" xr:uid="{364D6238-0812-4C9A-B700-406E83EB3404}"/>
    <cellStyle name="Comma 5 2 7 4 3" xfId="20446" xr:uid="{28D67387-B3F9-4865-BE67-1D0D19FBEDE8}"/>
    <cellStyle name="Comma 5 2 7 4 3 2" xfId="50686" xr:uid="{AEEBDB7C-AD06-4182-A0B6-359A67BEBEE6}"/>
    <cellStyle name="Comma 5 2 7 4 4" xfId="35566" xr:uid="{6E8D488B-A0BE-4850-A4F6-B23CA216407B}"/>
    <cellStyle name="Comma 5 2 7 5" xfId="6838" xr:uid="{ADE94A71-601D-4B19-871E-DF690857AEF5}"/>
    <cellStyle name="Comma 5 2 7 5 2" xfId="21958" xr:uid="{9B8C1FF2-888D-4231-A6E4-59CE1CD8D8F3}"/>
    <cellStyle name="Comma 5 2 7 5 2 2" xfId="52198" xr:uid="{54145E00-48BE-4EE3-A72F-D8AF82CA152D}"/>
    <cellStyle name="Comma 5 2 7 5 3" xfId="37078" xr:uid="{1A4A5F85-40F2-4E26-A7F7-164563586A21}"/>
    <cellStyle name="Comma 5 2 7 6" xfId="8350" xr:uid="{B54872EE-DADB-4216-B317-FA547069D0DF}"/>
    <cellStyle name="Comma 5 2 7 6 2" xfId="23470" xr:uid="{5264E17C-D2D2-492B-AA61-BFC30B4D4338}"/>
    <cellStyle name="Comma 5 2 7 6 2 2" xfId="53710" xr:uid="{D19FA173-4CE5-4DCA-938F-26A9B60AD461}"/>
    <cellStyle name="Comma 5 2 7 6 3" xfId="38590" xr:uid="{D546337E-FAB9-4542-A06F-7125B577D8BD}"/>
    <cellStyle name="Comma 5 2 7 7" xfId="9862" xr:uid="{E7AB36C7-03A7-4F6B-BA06-66521AC2F07D}"/>
    <cellStyle name="Comma 5 2 7 7 2" xfId="24982" xr:uid="{5A848A44-593A-45CD-93BA-2D971F93008D}"/>
    <cellStyle name="Comma 5 2 7 7 2 2" xfId="55222" xr:uid="{A1256BDF-70BF-4685-8CCB-636A11AC0BEA}"/>
    <cellStyle name="Comma 5 2 7 7 3" xfId="40102" xr:uid="{DC935A5E-2838-4EE3-BFCA-5C2C9C86EC5F}"/>
    <cellStyle name="Comma 5 2 7 8" xfId="15910" xr:uid="{16810F55-D8E9-4CBA-BC2A-254CBF8C7EE1}"/>
    <cellStyle name="Comma 5 2 7 8 2" xfId="46150" xr:uid="{70F32267-C885-4331-A609-D88279920502}"/>
    <cellStyle name="Comma 5 2 7 9" xfId="31030" xr:uid="{C861CD72-85ED-4CBA-B46B-EDB8B1A7A690}"/>
    <cellStyle name="Comma 5 2 8" xfId="1546" xr:uid="{5B21229D-CD4D-4725-8DB4-137B5B24BBB4}"/>
    <cellStyle name="Comma 5 2 8 2" xfId="10618" xr:uid="{34EC185F-BEB8-47E5-A222-1E121462F262}"/>
    <cellStyle name="Comma 5 2 8 2 2" xfId="25738" xr:uid="{3DA836DC-6E06-4DE2-B55F-C033BCA2B1FF}"/>
    <cellStyle name="Comma 5 2 8 2 2 2" xfId="55978" xr:uid="{6BCC9790-28AC-4C1B-AD43-6E36EA72020A}"/>
    <cellStyle name="Comma 5 2 8 2 3" xfId="40858" xr:uid="{55219E90-66D5-4F29-B89F-43850A6858C3}"/>
    <cellStyle name="Comma 5 2 8 3" xfId="16666" xr:uid="{A2267A7B-F02D-4A54-858B-9CB55E642E39}"/>
    <cellStyle name="Comma 5 2 8 3 2" xfId="46906" xr:uid="{84748D97-868E-4109-A591-2FF88573A595}"/>
    <cellStyle name="Comma 5 2 8 4" xfId="31786" xr:uid="{D6E38751-E03A-41F6-97ED-06A99C4A0226}"/>
    <cellStyle name="Comma 5 2 9" xfId="3058" xr:uid="{57A16A8A-013A-4D3A-8BA1-D60B2E9CF985}"/>
    <cellStyle name="Comma 5 2 9 2" xfId="12130" xr:uid="{39515D35-99AE-4C28-8CCA-018CE92E51B3}"/>
    <cellStyle name="Comma 5 2 9 2 2" xfId="27250" xr:uid="{F6B80D5B-5EA6-4433-B1F3-24914FD0E8DF}"/>
    <cellStyle name="Comma 5 2 9 2 2 2" xfId="57490" xr:uid="{4F5CCD56-3050-459E-BA6D-A9EE11D643FE}"/>
    <cellStyle name="Comma 5 2 9 2 3" xfId="42370" xr:uid="{1FC5A40E-103B-4893-B42E-6F0769B5337D}"/>
    <cellStyle name="Comma 5 2 9 3" xfId="18178" xr:uid="{ECF70112-2BA9-4B2A-9760-589495B39B8B}"/>
    <cellStyle name="Comma 5 2 9 3 2" xfId="48418" xr:uid="{B3DE4281-C2B0-4ECC-9C91-F3321D703BE6}"/>
    <cellStyle name="Comma 5 2 9 4" xfId="33298" xr:uid="{BED7096F-18CD-4002-A741-4C138E02D0B5}"/>
    <cellStyle name="Comma 5 3" xfId="48" xr:uid="{3A092E6F-A7D4-472B-99CC-26CE0FB46B65}"/>
    <cellStyle name="Comma 5 3 10" xfId="4584" xr:uid="{6F831876-DADC-434D-8383-C6E238BB321A}"/>
    <cellStyle name="Comma 5 3 10 2" xfId="13656" xr:uid="{01703CE8-7F19-41E0-90F9-36F1328EAEC1}"/>
    <cellStyle name="Comma 5 3 10 2 2" xfId="28776" xr:uid="{6C7B82AA-58B4-4F7D-907C-DA70A062B3F9}"/>
    <cellStyle name="Comma 5 3 10 2 2 2" xfId="59016" xr:uid="{2937A08B-19DF-410D-AC6C-A6DA277CCCFA}"/>
    <cellStyle name="Comma 5 3 10 2 3" xfId="43896" xr:uid="{D0A3BADA-0CF0-4E8B-A8E3-8A6084905919}"/>
    <cellStyle name="Comma 5 3 10 3" xfId="19704" xr:uid="{539BAAAA-AFA3-40BF-AEE8-EE3FD471DFE2}"/>
    <cellStyle name="Comma 5 3 10 3 2" xfId="49944" xr:uid="{F359BE7E-E4C2-4183-B41A-40E39C5CC9F4}"/>
    <cellStyle name="Comma 5 3 10 4" xfId="34824" xr:uid="{663A3E01-D98F-44B8-9326-17B3BF32EE44}"/>
    <cellStyle name="Comma 5 3 11" xfId="6096" xr:uid="{EED8EC4C-21D6-48C2-ACF9-DB1EFD9816E3}"/>
    <cellStyle name="Comma 5 3 11 2" xfId="21216" xr:uid="{FEE97272-161B-4514-880D-AC2A02CB2C75}"/>
    <cellStyle name="Comma 5 3 11 2 2" xfId="51456" xr:uid="{304ADB55-CC89-47BC-B3D3-DA338F863166}"/>
    <cellStyle name="Comma 5 3 11 3" xfId="36336" xr:uid="{B9C09DA4-529B-41F7-B097-B0336234CEDD}"/>
    <cellStyle name="Comma 5 3 12" xfId="7608" xr:uid="{B9AA8EFA-2A4E-4A72-906E-DD91C7280208}"/>
    <cellStyle name="Comma 5 3 12 2" xfId="22728" xr:uid="{374C43A7-26A7-4153-B8EF-07562498B10C}"/>
    <cellStyle name="Comma 5 3 12 2 2" xfId="52968" xr:uid="{7D07A88F-A964-4710-8832-02FA64EDA6E9}"/>
    <cellStyle name="Comma 5 3 12 3" xfId="37848" xr:uid="{19299484-7516-4AFA-8FB1-1A272E5705E7}"/>
    <cellStyle name="Comma 5 3 13" xfId="9120" xr:uid="{B1D17209-1B3A-4AFA-A002-41765D8F9BEC}"/>
    <cellStyle name="Comma 5 3 13 2" xfId="24240" xr:uid="{1E7E0D46-79B6-4BBA-96F5-DDA0D418DDFE}"/>
    <cellStyle name="Comma 5 3 13 2 2" xfId="54480" xr:uid="{86E3051D-BC84-450C-B73F-93014EFD9518}"/>
    <cellStyle name="Comma 5 3 13 3" xfId="39360" xr:uid="{9EA5910A-FE0C-4487-A8B1-06EBEB2CECB4}"/>
    <cellStyle name="Comma 5 3 14" xfId="15168" xr:uid="{8FADE430-4C02-4823-99FD-BC8587403E73}"/>
    <cellStyle name="Comma 5 3 14 2" xfId="45408" xr:uid="{880869AD-6124-4217-8D82-DB8FC2BC23AA}"/>
    <cellStyle name="Comma 5 3 15" xfId="30288" xr:uid="{9F720736-E4E7-4EC0-A645-36FA87E53C37}"/>
    <cellStyle name="Comma 5 3 2" xfId="90" xr:uid="{C4ADB367-7F30-433D-9AF0-199AA77C9100}"/>
    <cellStyle name="Comma 5 3 2 10" xfId="6138" xr:uid="{7C318BFE-C5AC-40A8-B9BD-A6FCE335309E}"/>
    <cellStyle name="Comma 5 3 2 10 2" xfId="21258" xr:uid="{082D1063-5991-4460-98DE-AF8E6EE5221E}"/>
    <cellStyle name="Comma 5 3 2 10 2 2" xfId="51498" xr:uid="{6659924F-33DC-48A3-9A7B-CC38139F4A8F}"/>
    <cellStyle name="Comma 5 3 2 10 3" xfId="36378" xr:uid="{0B9C5389-E0BB-4493-9EE8-B0487FF1029F}"/>
    <cellStyle name="Comma 5 3 2 11" xfId="7650" xr:uid="{49E4AB10-E3D2-418B-9F81-7591AE7E71EB}"/>
    <cellStyle name="Comma 5 3 2 11 2" xfId="22770" xr:uid="{751E21AB-4603-4998-8BDB-B8AEB6810A24}"/>
    <cellStyle name="Comma 5 3 2 11 2 2" xfId="53010" xr:uid="{B7BCABE2-B434-45C3-B2EE-0753631D1E8C}"/>
    <cellStyle name="Comma 5 3 2 11 3" xfId="37890" xr:uid="{A32F2919-5037-4B28-91E0-318FDF1107E3}"/>
    <cellStyle name="Comma 5 3 2 12" xfId="9162" xr:uid="{7F842027-0B99-40CF-9DAB-45758838884D}"/>
    <cellStyle name="Comma 5 3 2 12 2" xfId="24282" xr:uid="{775AF20E-30F1-4F77-864B-0D021A6DE8BC}"/>
    <cellStyle name="Comma 5 3 2 12 2 2" xfId="54522" xr:uid="{31EB6B1E-67AD-42C0-BB22-7F649806B3A1}"/>
    <cellStyle name="Comma 5 3 2 12 3" xfId="39402" xr:uid="{6343DE62-876E-4DA2-856E-794ED53AD8DC}"/>
    <cellStyle name="Comma 5 3 2 13" xfId="15210" xr:uid="{F8F4ADB7-1863-4090-B8EC-865F72903DF4}"/>
    <cellStyle name="Comma 5 3 2 13 2" xfId="45450" xr:uid="{C5C1F20E-03FE-470B-8671-8F8BE80B448F}"/>
    <cellStyle name="Comma 5 3 2 14" xfId="30330" xr:uid="{9E8E678D-5E44-4000-8043-594697E34092}"/>
    <cellStyle name="Comma 5 3 2 2" xfId="174" xr:uid="{B20B8D72-CB14-4F68-B4B5-0E9404BC9338}"/>
    <cellStyle name="Comma 5 3 2 2 10" xfId="9246" xr:uid="{229CAC67-66ED-4AD7-9301-31DAE1D59D95}"/>
    <cellStyle name="Comma 5 3 2 2 10 2" xfId="24366" xr:uid="{C8E281D4-8853-4A3F-8688-943F43DCB11C}"/>
    <cellStyle name="Comma 5 3 2 2 10 2 2" xfId="54606" xr:uid="{A63978A0-2783-46F2-AD6F-E4784A5CA727}"/>
    <cellStyle name="Comma 5 3 2 2 10 3" xfId="39486" xr:uid="{824CD853-148D-4113-A0C2-40ACEF717A81}"/>
    <cellStyle name="Comma 5 3 2 2 11" xfId="15294" xr:uid="{8F412145-6AC4-41C1-BE1D-E580444AB000}"/>
    <cellStyle name="Comma 5 3 2 2 11 2" xfId="45534" xr:uid="{5CDBEC37-EBB9-4EB1-9502-8A676FDF5792}"/>
    <cellStyle name="Comma 5 3 2 2 12" xfId="30414" xr:uid="{E14B8C13-13AF-4751-9896-E71AF795CF79}"/>
    <cellStyle name="Comma 5 3 2 2 2" xfId="426" xr:uid="{43F144BB-CC83-45F6-8A9C-8566C4083856}"/>
    <cellStyle name="Comma 5 3 2 2 2 10" xfId="30666" xr:uid="{65FAA4A9-7A0E-4373-8A28-5EF2FD44669D}"/>
    <cellStyle name="Comma 5 3 2 2 2 2" xfId="1182" xr:uid="{47F16F32-5EF6-4A6D-968F-7562CC157018}"/>
    <cellStyle name="Comma 5 3 2 2 2 2 2" xfId="2694" xr:uid="{A3A2CE8F-8FF3-4021-94D1-056FA5C43E79}"/>
    <cellStyle name="Comma 5 3 2 2 2 2 2 2" xfId="11766" xr:uid="{EBB1B949-B957-4EA3-847E-1E3641720AA6}"/>
    <cellStyle name="Comma 5 3 2 2 2 2 2 2 2" xfId="26886" xr:uid="{A1E6DFAF-340B-45C3-8E0F-3AF4F1F83C18}"/>
    <cellStyle name="Comma 5 3 2 2 2 2 2 2 2 2" xfId="57126" xr:uid="{BA602079-F9E9-4CFC-911B-E6FCA26D91F1}"/>
    <cellStyle name="Comma 5 3 2 2 2 2 2 2 3" xfId="42006" xr:uid="{EB3D697D-3325-4789-AE1A-5C789BA71E46}"/>
    <cellStyle name="Comma 5 3 2 2 2 2 2 3" xfId="17814" xr:uid="{F37ACA41-1472-479E-A13E-89DB2192CFD4}"/>
    <cellStyle name="Comma 5 3 2 2 2 2 2 3 2" xfId="48054" xr:uid="{057C5100-1FCF-4993-8DE5-32C949CF3A1A}"/>
    <cellStyle name="Comma 5 3 2 2 2 2 2 4" xfId="32934" xr:uid="{310F4893-4687-4F40-A4DC-73197027ECDA}"/>
    <cellStyle name="Comma 5 3 2 2 2 2 3" xfId="4206" xr:uid="{899DF040-5DC1-49C2-884E-A810EB97F1C2}"/>
    <cellStyle name="Comma 5 3 2 2 2 2 3 2" xfId="13278" xr:uid="{5F4D1B81-D4A8-4A8E-8910-530439DEBE51}"/>
    <cellStyle name="Comma 5 3 2 2 2 2 3 2 2" xfId="28398" xr:uid="{CC735CFB-7AAB-4640-9CAF-E77116D7C7B0}"/>
    <cellStyle name="Comma 5 3 2 2 2 2 3 2 2 2" xfId="58638" xr:uid="{8F44508A-5007-45B8-B794-B25A1AB02D6B}"/>
    <cellStyle name="Comma 5 3 2 2 2 2 3 2 3" xfId="43518" xr:uid="{DB677418-20EF-4B5F-823A-3EE01E61870B}"/>
    <cellStyle name="Comma 5 3 2 2 2 2 3 3" xfId="19326" xr:uid="{A36AA8CF-DDE4-4A22-93EC-357A60588E1C}"/>
    <cellStyle name="Comma 5 3 2 2 2 2 3 3 2" xfId="49566" xr:uid="{50AAD5B9-6F3C-42FD-8030-09D8B1F60238}"/>
    <cellStyle name="Comma 5 3 2 2 2 2 3 4" xfId="34446" xr:uid="{4B37FBA0-8949-4465-832B-EC26665A7AC6}"/>
    <cellStyle name="Comma 5 3 2 2 2 2 4" xfId="5718" xr:uid="{4D1F1BB8-2BCD-418B-AEB9-B0D84E84E29C}"/>
    <cellStyle name="Comma 5 3 2 2 2 2 4 2" xfId="14790" xr:uid="{12804A51-AB5F-4654-9CFB-6715EA672641}"/>
    <cellStyle name="Comma 5 3 2 2 2 2 4 2 2" xfId="29910" xr:uid="{B43D7D11-524F-465D-A7FF-67F6DE8DBDA3}"/>
    <cellStyle name="Comma 5 3 2 2 2 2 4 2 2 2" xfId="60150" xr:uid="{483EB053-7AC1-41D4-8D1B-7AE2467156E7}"/>
    <cellStyle name="Comma 5 3 2 2 2 2 4 2 3" xfId="45030" xr:uid="{D57B89A2-54F9-43E0-8A95-9A13AC5D3CFE}"/>
    <cellStyle name="Comma 5 3 2 2 2 2 4 3" xfId="20838" xr:uid="{0F4CBC11-0147-4B34-B032-710CBDD59F39}"/>
    <cellStyle name="Comma 5 3 2 2 2 2 4 3 2" xfId="51078" xr:uid="{1EAD96D7-901F-4310-90D3-CCA2206A9E5C}"/>
    <cellStyle name="Comma 5 3 2 2 2 2 4 4" xfId="35958" xr:uid="{CF7A5D70-82BF-4684-8302-9B19A8CCF692}"/>
    <cellStyle name="Comma 5 3 2 2 2 2 5" xfId="7230" xr:uid="{D61F7768-0F47-40A5-A622-35195661AB8D}"/>
    <cellStyle name="Comma 5 3 2 2 2 2 5 2" xfId="22350" xr:uid="{8087D7FC-8FF1-4B66-AAF1-197C899EEE2C}"/>
    <cellStyle name="Comma 5 3 2 2 2 2 5 2 2" xfId="52590" xr:uid="{5B90177B-8160-4E84-B19B-C3EC3E4BADFE}"/>
    <cellStyle name="Comma 5 3 2 2 2 2 5 3" xfId="37470" xr:uid="{03798610-AC69-4049-877C-63ECE0DA7446}"/>
    <cellStyle name="Comma 5 3 2 2 2 2 6" xfId="8742" xr:uid="{84EFBC5C-DCAB-4FDA-B768-8B68CCAD7DB7}"/>
    <cellStyle name="Comma 5 3 2 2 2 2 6 2" xfId="23862" xr:uid="{BD7E95EA-42FD-4A6F-B145-F195F61F20A1}"/>
    <cellStyle name="Comma 5 3 2 2 2 2 6 2 2" xfId="54102" xr:uid="{7B25BE7B-5714-420C-911A-62B4DE83E02E}"/>
    <cellStyle name="Comma 5 3 2 2 2 2 6 3" xfId="38982" xr:uid="{FABE0054-3C0F-40A5-83C8-215AE0AAB995}"/>
    <cellStyle name="Comma 5 3 2 2 2 2 7" xfId="10254" xr:uid="{069853FD-97D9-4760-AC88-80611420E39F}"/>
    <cellStyle name="Comma 5 3 2 2 2 2 7 2" xfId="25374" xr:uid="{DDC7A49F-D81D-425A-A30A-4B930C293160}"/>
    <cellStyle name="Comma 5 3 2 2 2 2 7 2 2" xfId="55614" xr:uid="{BE32FD65-719A-4C11-84DE-B0E048419714}"/>
    <cellStyle name="Comma 5 3 2 2 2 2 7 3" xfId="40494" xr:uid="{AA22922D-A296-42CE-A668-1F9191AF44B5}"/>
    <cellStyle name="Comma 5 3 2 2 2 2 8" xfId="16302" xr:uid="{D507C3E6-E54A-4056-83D4-4C8CA0AF8C98}"/>
    <cellStyle name="Comma 5 3 2 2 2 2 8 2" xfId="46542" xr:uid="{824531E8-7C36-4978-BDAA-C3AB42D86FC1}"/>
    <cellStyle name="Comma 5 3 2 2 2 2 9" xfId="31422" xr:uid="{CDF92763-5CFC-46E1-AF8E-AE30E0BA920F}"/>
    <cellStyle name="Comma 5 3 2 2 2 3" xfId="1938" xr:uid="{F87AA020-099D-4D7C-AAEA-8754F027CEF8}"/>
    <cellStyle name="Comma 5 3 2 2 2 3 2" xfId="11010" xr:uid="{B477E1D8-B5D2-4342-B3DD-D85606C04317}"/>
    <cellStyle name="Comma 5 3 2 2 2 3 2 2" xfId="26130" xr:uid="{EC5937C9-F9E1-463B-8719-F4FD5FC25F10}"/>
    <cellStyle name="Comma 5 3 2 2 2 3 2 2 2" xfId="56370" xr:uid="{DAD21E84-F1DD-4D77-903A-641CCCE543C0}"/>
    <cellStyle name="Comma 5 3 2 2 2 3 2 3" xfId="41250" xr:uid="{80AA17F1-293F-4F80-A0F0-FF173DAE9A79}"/>
    <cellStyle name="Comma 5 3 2 2 2 3 3" xfId="17058" xr:uid="{478DCC95-0D30-42E6-85EE-E2E6C7A96BA8}"/>
    <cellStyle name="Comma 5 3 2 2 2 3 3 2" xfId="47298" xr:uid="{AF5515DA-7040-4981-B4AA-149B1516E883}"/>
    <cellStyle name="Comma 5 3 2 2 2 3 4" xfId="32178" xr:uid="{1BA4F361-6034-4952-97DF-64910CF1CFFE}"/>
    <cellStyle name="Comma 5 3 2 2 2 4" xfId="3450" xr:uid="{813D8F91-DAF9-4652-A5D7-FC30386B315C}"/>
    <cellStyle name="Comma 5 3 2 2 2 4 2" xfId="12522" xr:uid="{F3FC2147-25B0-4FDA-8EA2-FF88B27F07FC}"/>
    <cellStyle name="Comma 5 3 2 2 2 4 2 2" xfId="27642" xr:uid="{F6557EFD-82F8-4B0D-AE73-710B613E4263}"/>
    <cellStyle name="Comma 5 3 2 2 2 4 2 2 2" xfId="57882" xr:uid="{2D40C495-B9B5-476F-ADFC-D1B9529CBC36}"/>
    <cellStyle name="Comma 5 3 2 2 2 4 2 3" xfId="42762" xr:uid="{F2C8250C-9ED8-4E42-B527-599E5E6562DF}"/>
    <cellStyle name="Comma 5 3 2 2 2 4 3" xfId="18570" xr:uid="{8DF01D71-77CB-4395-A161-184568465469}"/>
    <cellStyle name="Comma 5 3 2 2 2 4 3 2" xfId="48810" xr:uid="{979FB3B3-99D6-4EE6-9D8D-A6EFFF868D2A}"/>
    <cellStyle name="Comma 5 3 2 2 2 4 4" xfId="33690" xr:uid="{CB92B7B4-0009-4D78-AB87-651D04D40933}"/>
    <cellStyle name="Comma 5 3 2 2 2 5" xfId="4962" xr:uid="{0C9CAD49-B025-4BB9-AEBF-00395474A256}"/>
    <cellStyle name="Comma 5 3 2 2 2 5 2" xfId="14034" xr:uid="{2A95EDB0-E393-40C4-976F-0654C83EC1EC}"/>
    <cellStyle name="Comma 5 3 2 2 2 5 2 2" xfId="29154" xr:uid="{11379856-7A52-42A1-82E5-1167FD85DBF3}"/>
    <cellStyle name="Comma 5 3 2 2 2 5 2 2 2" xfId="59394" xr:uid="{8917EECC-1876-4408-A8C8-5798C26D8285}"/>
    <cellStyle name="Comma 5 3 2 2 2 5 2 3" xfId="44274" xr:uid="{959CF318-EA6A-4696-964F-29360C4CFE9E}"/>
    <cellStyle name="Comma 5 3 2 2 2 5 3" xfId="20082" xr:uid="{7301E4C7-94B9-4FF6-83D6-ACD4291DEA20}"/>
    <cellStyle name="Comma 5 3 2 2 2 5 3 2" xfId="50322" xr:uid="{6C04E799-BE98-4051-8B23-D4C61042C737}"/>
    <cellStyle name="Comma 5 3 2 2 2 5 4" xfId="35202" xr:uid="{EDA5FBA7-2F8C-46FD-B4DD-17AD7892CFB4}"/>
    <cellStyle name="Comma 5 3 2 2 2 6" xfId="6474" xr:uid="{9C9EBF88-9052-46E4-8388-C403F628BBE1}"/>
    <cellStyle name="Comma 5 3 2 2 2 6 2" xfId="21594" xr:uid="{3D89D4D3-60B1-4DAF-A3F7-FF3E97C3F662}"/>
    <cellStyle name="Comma 5 3 2 2 2 6 2 2" xfId="51834" xr:uid="{6E51E903-AA98-425F-B7FD-6C0A0EC4004D}"/>
    <cellStyle name="Comma 5 3 2 2 2 6 3" xfId="36714" xr:uid="{7930D72D-E221-403E-8DE7-F35122797709}"/>
    <cellStyle name="Comma 5 3 2 2 2 7" xfId="7986" xr:uid="{79DECB99-16B0-4A26-A44A-B45439EF31F0}"/>
    <cellStyle name="Comma 5 3 2 2 2 7 2" xfId="23106" xr:uid="{8FB909A0-7CDB-47EC-A72A-8EB3CC86C0E8}"/>
    <cellStyle name="Comma 5 3 2 2 2 7 2 2" xfId="53346" xr:uid="{2425ED4A-5026-48DD-9814-6458C66AABFD}"/>
    <cellStyle name="Comma 5 3 2 2 2 7 3" xfId="38226" xr:uid="{89CE5860-6AAA-460B-A4C1-46FC922A1E1E}"/>
    <cellStyle name="Comma 5 3 2 2 2 8" xfId="9498" xr:uid="{6697A47D-FC5B-4A95-8158-815BFD9FB903}"/>
    <cellStyle name="Comma 5 3 2 2 2 8 2" xfId="24618" xr:uid="{90BE5BEC-4CC1-49CB-9BAA-8D0887FB0FE3}"/>
    <cellStyle name="Comma 5 3 2 2 2 8 2 2" xfId="54858" xr:uid="{B8349FB4-9BC8-4A7A-92F4-D743376B4856}"/>
    <cellStyle name="Comma 5 3 2 2 2 8 3" xfId="39738" xr:uid="{54399153-93DF-423A-A712-F0AC3F351672}"/>
    <cellStyle name="Comma 5 3 2 2 2 9" xfId="15546" xr:uid="{0C840D23-E56A-4527-B046-316A0346BB5F}"/>
    <cellStyle name="Comma 5 3 2 2 2 9 2" xfId="45786" xr:uid="{FBB87FC5-1751-4A5F-8787-E846182E9E1F}"/>
    <cellStyle name="Comma 5 3 2 2 3" xfId="678" xr:uid="{8F7C3877-DE5E-4255-BC29-2856EAA1421C}"/>
    <cellStyle name="Comma 5 3 2 2 3 10" xfId="30918" xr:uid="{49BD20D7-F405-41D6-8E1B-071D15DA82FF}"/>
    <cellStyle name="Comma 5 3 2 2 3 2" xfId="1434" xr:uid="{4548DD6B-DD5B-45D9-B77F-21FD9EFFB1B9}"/>
    <cellStyle name="Comma 5 3 2 2 3 2 2" xfId="2946" xr:uid="{F0462673-1390-4C71-BF2E-CB4089565DD6}"/>
    <cellStyle name="Comma 5 3 2 2 3 2 2 2" xfId="12018" xr:uid="{1FD8B131-8F20-470C-8379-8757B599F6C4}"/>
    <cellStyle name="Comma 5 3 2 2 3 2 2 2 2" xfId="27138" xr:uid="{9D51694F-2CC8-497E-87B8-04A2F4C7D5C1}"/>
    <cellStyle name="Comma 5 3 2 2 3 2 2 2 2 2" xfId="57378" xr:uid="{701594BC-6BF9-4DAC-A20F-A33AB47F98BA}"/>
    <cellStyle name="Comma 5 3 2 2 3 2 2 2 3" xfId="42258" xr:uid="{9CAD0F31-2181-41C7-967A-C93C774C572E}"/>
    <cellStyle name="Comma 5 3 2 2 3 2 2 3" xfId="18066" xr:uid="{4E43E3E7-137F-4BFA-90BE-B93715D28E92}"/>
    <cellStyle name="Comma 5 3 2 2 3 2 2 3 2" xfId="48306" xr:uid="{89FA6621-FE51-4858-AF9E-A643A17C3EE6}"/>
    <cellStyle name="Comma 5 3 2 2 3 2 2 4" xfId="33186" xr:uid="{6BB2EEC7-5811-4FCF-98DB-64AE1BDCB8C8}"/>
    <cellStyle name="Comma 5 3 2 2 3 2 3" xfId="4458" xr:uid="{F1BF0F83-4595-4EBD-AD9E-9B509C63CB76}"/>
    <cellStyle name="Comma 5 3 2 2 3 2 3 2" xfId="13530" xr:uid="{452CCEDB-DCCB-4F96-AFAB-DA391F71BE40}"/>
    <cellStyle name="Comma 5 3 2 2 3 2 3 2 2" xfId="28650" xr:uid="{B7A39061-B694-44AE-9B52-146B07A91C1A}"/>
    <cellStyle name="Comma 5 3 2 2 3 2 3 2 2 2" xfId="58890" xr:uid="{0972BBBE-2D1F-48F3-BDDA-E9B484B3BEFD}"/>
    <cellStyle name="Comma 5 3 2 2 3 2 3 2 3" xfId="43770" xr:uid="{5CDB6D42-E2C2-4B04-9070-D20B2A5B5B14}"/>
    <cellStyle name="Comma 5 3 2 2 3 2 3 3" xfId="19578" xr:uid="{FB4ABD57-4A6C-4E4B-AA48-2E5F98752711}"/>
    <cellStyle name="Comma 5 3 2 2 3 2 3 3 2" xfId="49818" xr:uid="{E4DCDC55-BF9F-447B-B325-FA78D08A31B0}"/>
    <cellStyle name="Comma 5 3 2 2 3 2 3 4" xfId="34698" xr:uid="{8A60F204-BC5F-4FC2-A43F-BEC172E2C48A}"/>
    <cellStyle name="Comma 5 3 2 2 3 2 4" xfId="5970" xr:uid="{2AB25B4B-382A-41CF-B06C-CB85707E3088}"/>
    <cellStyle name="Comma 5 3 2 2 3 2 4 2" xfId="15042" xr:uid="{2C123E67-A71A-478D-9EF6-972AF622C9D3}"/>
    <cellStyle name="Comma 5 3 2 2 3 2 4 2 2" xfId="30162" xr:uid="{90E94A47-2FC0-4624-A34F-F0C60E188B1A}"/>
    <cellStyle name="Comma 5 3 2 2 3 2 4 2 2 2" xfId="60402" xr:uid="{1F040719-FB9E-482E-AD6E-DC0E07CF3ABB}"/>
    <cellStyle name="Comma 5 3 2 2 3 2 4 2 3" xfId="45282" xr:uid="{45564CA4-E207-40EA-A94D-85CB1E5BB7B5}"/>
    <cellStyle name="Comma 5 3 2 2 3 2 4 3" xfId="21090" xr:uid="{3204B6A9-8A23-4EBF-87A0-B685BDF2199C}"/>
    <cellStyle name="Comma 5 3 2 2 3 2 4 3 2" xfId="51330" xr:uid="{111B8B8D-D9BB-403D-BA76-33318083A8DF}"/>
    <cellStyle name="Comma 5 3 2 2 3 2 4 4" xfId="36210" xr:uid="{40BBA538-E829-4F04-BC8B-0BB41A2B1BD3}"/>
    <cellStyle name="Comma 5 3 2 2 3 2 5" xfId="7482" xr:uid="{D6BCAA9C-555E-4898-8F51-1072C4D37577}"/>
    <cellStyle name="Comma 5 3 2 2 3 2 5 2" xfId="22602" xr:uid="{BF2A5488-98BD-414A-AAB3-3C030DB24E5A}"/>
    <cellStyle name="Comma 5 3 2 2 3 2 5 2 2" xfId="52842" xr:uid="{B786320E-FA0E-4D3B-A940-94A4D8DE21BE}"/>
    <cellStyle name="Comma 5 3 2 2 3 2 5 3" xfId="37722" xr:uid="{43B80659-E8C7-4B5C-8106-4476D2E210AE}"/>
    <cellStyle name="Comma 5 3 2 2 3 2 6" xfId="8994" xr:uid="{4EC9DE69-05ED-41F4-8F3B-5B4B3E59C06A}"/>
    <cellStyle name="Comma 5 3 2 2 3 2 6 2" xfId="24114" xr:uid="{46FE29EA-0756-4DDF-B0E6-E3A1841011E3}"/>
    <cellStyle name="Comma 5 3 2 2 3 2 6 2 2" xfId="54354" xr:uid="{95984B27-4D2F-4884-8D4C-3CA92370886D}"/>
    <cellStyle name="Comma 5 3 2 2 3 2 6 3" xfId="39234" xr:uid="{8D8DA518-B77A-4965-911F-7E417A6EE9BB}"/>
    <cellStyle name="Comma 5 3 2 2 3 2 7" xfId="10506" xr:uid="{6919BAF3-AC5E-41F7-9E6F-B1DC910A2BB4}"/>
    <cellStyle name="Comma 5 3 2 2 3 2 7 2" xfId="25626" xr:uid="{4943A27D-6869-40B1-8871-B31A9CE3B6F0}"/>
    <cellStyle name="Comma 5 3 2 2 3 2 7 2 2" xfId="55866" xr:uid="{93B8FBEB-7719-4426-A17B-714CD083DB62}"/>
    <cellStyle name="Comma 5 3 2 2 3 2 7 3" xfId="40746" xr:uid="{AFA81427-F33A-48ED-8ACF-1E515AF0A00F}"/>
    <cellStyle name="Comma 5 3 2 2 3 2 8" xfId="16554" xr:uid="{4BB3E57F-B564-45C9-B7FC-94C48F1F61CF}"/>
    <cellStyle name="Comma 5 3 2 2 3 2 8 2" xfId="46794" xr:uid="{D67B5889-057A-403F-B3C3-DF06B78329C3}"/>
    <cellStyle name="Comma 5 3 2 2 3 2 9" xfId="31674" xr:uid="{E4ECB138-4170-416D-B1D9-0D53CFEFCA4E}"/>
    <cellStyle name="Comma 5 3 2 2 3 3" xfId="2190" xr:uid="{4FA988C5-CA29-46EC-8A92-FB40310C872A}"/>
    <cellStyle name="Comma 5 3 2 2 3 3 2" xfId="11262" xr:uid="{FB07910D-521B-4B02-8676-F0352E963C5E}"/>
    <cellStyle name="Comma 5 3 2 2 3 3 2 2" xfId="26382" xr:uid="{7B8CC568-9720-44C3-854F-6C07FC0B630F}"/>
    <cellStyle name="Comma 5 3 2 2 3 3 2 2 2" xfId="56622" xr:uid="{0628635C-1C63-4A45-B321-658A18686BB0}"/>
    <cellStyle name="Comma 5 3 2 2 3 3 2 3" xfId="41502" xr:uid="{4F3EC425-86ED-4787-A451-A5DAE0DFF25B}"/>
    <cellStyle name="Comma 5 3 2 2 3 3 3" xfId="17310" xr:uid="{1FAA6D5D-DD90-478A-A52F-EAB235998083}"/>
    <cellStyle name="Comma 5 3 2 2 3 3 3 2" xfId="47550" xr:uid="{47DE8D86-8B7D-4A8C-9B06-0B6BF0F767C6}"/>
    <cellStyle name="Comma 5 3 2 2 3 3 4" xfId="32430" xr:uid="{BFEB6961-9BB5-4F1C-9113-709792C560D7}"/>
    <cellStyle name="Comma 5 3 2 2 3 4" xfId="3702" xr:uid="{F6D6D2E9-81E8-4165-AC96-8C69ED749E81}"/>
    <cellStyle name="Comma 5 3 2 2 3 4 2" xfId="12774" xr:uid="{ED3BA924-16F4-45F1-AE22-2DBF20E7BCE6}"/>
    <cellStyle name="Comma 5 3 2 2 3 4 2 2" xfId="27894" xr:uid="{D96B1B8D-8FA6-42A5-80B8-D705947A6513}"/>
    <cellStyle name="Comma 5 3 2 2 3 4 2 2 2" xfId="58134" xr:uid="{E58DA1F2-17F9-40B4-A31C-E28D0B46EC7D}"/>
    <cellStyle name="Comma 5 3 2 2 3 4 2 3" xfId="43014" xr:uid="{4F11A3EA-FFA8-4820-94E2-E26EA710071E}"/>
    <cellStyle name="Comma 5 3 2 2 3 4 3" xfId="18822" xr:uid="{C25A143D-2E7F-422F-A8A3-31F438B4B55B}"/>
    <cellStyle name="Comma 5 3 2 2 3 4 3 2" xfId="49062" xr:uid="{22A3175B-582E-409D-9D77-E93C71D0FD2B}"/>
    <cellStyle name="Comma 5 3 2 2 3 4 4" xfId="33942" xr:uid="{7DA9E370-5961-400B-818D-3C33C8564D15}"/>
    <cellStyle name="Comma 5 3 2 2 3 5" xfId="5214" xr:uid="{E3AD9389-B2D3-4868-BFFD-B2579BFB8649}"/>
    <cellStyle name="Comma 5 3 2 2 3 5 2" xfId="14286" xr:uid="{E4E50A02-7595-44F2-A8EF-3DB6C367591E}"/>
    <cellStyle name="Comma 5 3 2 2 3 5 2 2" xfId="29406" xr:uid="{19FEBFFA-01C9-4A56-9874-A750F24F9AD9}"/>
    <cellStyle name="Comma 5 3 2 2 3 5 2 2 2" xfId="59646" xr:uid="{2D3ABA46-0F8B-4BF0-BEF6-7EBA62E9E687}"/>
    <cellStyle name="Comma 5 3 2 2 3 5 2 3" xfId="44526" xr:uid="{272D6D24-AE3B-40D5-8670-4E5FC588D32B}"/>
    <cellStyle name="Comma 5 3 2 2 3 5 3" xfId="20334" xr:uid="{9C9A2FC7-20C4-4727-8EFC-0212B10E5A36}"/>
    <cellStyle name="Comma 5 3 2 2 3 5 3 2" xfId="50574" xr:uid="{6980A85C-10F9-4061-AF12-EB5E33F5435C}"/>
    <cellStyle name="Comma 5 3 2 2 3 5 4" xfId="35454" xr:uid="{E1E4FBC5-4838-4BEA-A02F-75F4D0208D2E}"/>
    <cellStyle name="Comma 5 3 2 2 3 6" xfId="6726" xr:uid="{A5D67977-A22B-46DA-BFCD-088838C1D1F7}"/>
    <cellStyle name="Comma 5 3 2 2 3 6 2" xfId="21846" xr:uid="{40D0DBF6-F400-4135-B0F1-24F426B4DDD1}"/>
    <cellStyle name="Comma 5 3 2 2 3 6 2 2" xfId="52086" xr:uid="{08B5ED27-D6BA-4A9D-B1E3-9F20717F4F74}"/>
    <cellStyle name="Comma 5 3 2 2 3 6 3" xfId="36966" xr:uid="{487A0079-4699-44DC-AC07-E3573471AD4D}"/>
    <cellStyle name="Comma 5 3 2 2 3 7" xfId="8238" xr:uid="{3F48B792-360B-4849-A48F-84DC9E980D6D}"/>
    <cellStyle name="Comma 5 3 2 2 3 7 2" xfId="23358" xr:uid="{CFBC7B4C-2103-483C-8AD6-CE467DE3EE57}"/>
    <cellStyle name="Comma 5 3 2 2 3 7 2 2" xfId="53598" xr:uid="{8A808C65-7962-43A9-9FC2-D90616552CF8}"/>
    <cellStyle name="Comma 5 3 2 2 3 7 3" xfId="38478" xr:uid="{4B6C6437-9363-4C3E-970F-7266B71E7B23}"/>
    <cellStyle name="Comma 5 3 2 2 3 8" xfId="9750" xr:uid="{35723D74-F06A-4D98-92C5-78D2665936B6}"/>
    <cellStyle name="Comma 5 3 2 2 3 8 2" xfId="24870" xr:uid="{0B647FB2-A614-44BB-8B27-3BB40526B5DC}"/>
    <cellStyle name="Comma 5 3 2 2 3 8 2 2" xfId="55110" xr:uid="{B76D6CA9-ED31-4DF2-A30A-BAAF680965ED}"/>
    <cellStyle name="Comma 5 3 2 2 3 8 3" xfId="39990" xr:uid="{3D0D3F26-1C29-476D-8A46-8BEE08E4C627}"/>
    <cellStyle name="Comma 5 3 2 2 3 9" xfId="15798" xr:uid="{0CF72EDE-11B6-4EC0-98D3-316C9D94B653}"/>
    <cellStyle name="Comma 5 3 2 2 3 9 2" xfId="46038" xr:uid="{FF743F2C-4BA6-4028-8823-36A594DBC932}"/>
    <cellStyle name="Comma 5 3 2 2 4" xfId="930" xr:uid="{BE2C30CF-938E-486B-BC91-F42D2EF3777A}"/>
    <cellStyle name="Comma 5 3 2 2 4 2" xfId="2442" xr:uid="{4175FB31-BF2C-4DA6-85B2-12FDBC38F9A5}"/>
    <cellStyle name="Comma 5 3 2 2 4 2 2" xfId="11514" xr:uid="{E5717DEC-B46C-4526-A8C7-AD13D4C4025B}"/>
    <cellStyle name="Comma 5 3 2 2 4 2 2 2" xfId="26634" xr:uid="{CFCE4F18-06FF-4D07-83EE-8A7D684F8BB6}"/>
    <cellStyle name="Comma 5 3 2 2 4 2 2 2 2" xfId="56874" xr:uid="{D5F1EBC7-8E5C-40BA-AFA7-B42B702609D5}"/>
    <cellStyle name="Comma 5 3 2 2 4 2 2 3" xfId="41754" xr:uid="{1A89AF1F-6848-4735-8485-688B8B9AFB0F}"/>
    <cellStyle name="Comma 5 3 2 2 4 2 3" xfId="17562" xr:uid="{FE3769CA-9E03-4C01-8B15-439A0915536E}"/>
    <cellStyle name="Comma 5 3 2 2 4 2 3 2" xfId="47802" xr:uid="{08B561B9-3A3A-4474-BB87-7DBA15D69AD7}"/>
    <cellStyle name="Comma 5 3 2 2 4 2 4" xfId="32682" xr:uid="{9BB2C31D-1BBD-4714-914C-CDE19E6E4911}"/>
    <cellStyle name="Comma 5 3 2 2 4 3" xfId="3954" xr:uid="{DA63515D-EF99-418D-92DB-CDA646AB0DFB}"/>
    <cellStyle name="Comma 5 3 2 2 4 3 2" xfId="13026" xr:uid="{BF812792-2285-4453-9A6E-60D06CB12FC9}"/>
    <cellStyle name="Comma 5 3 2 2 4 3 2 2" xfId="28146" xr:uid="{E25C4188-21D5-4451-8B12-3A0971E45E33}"/>
    <cellStyle name="Comma 5 3 2 2 4 3 2 2 2" xfId="58386" xr:uid="{2480AE06-D662-4DC7-A92D-6DD74C59B6C9}"/>
    <cellStyle name="Comma 5 3 2 2 4 3 2 3" xfId="43266" xr:uid="{6DF21E29-2F09-41EA-B0EA-2CCDE91AEB41}"/>
    <cellStyle name="Comma 5 3 2 2 4 3 3" xfId="19074" xr:uid="{F17CCA31-8D7D-4DC1-BA13-27C920AE8FFE}"/>
    <cellStyle name="Comma 5 3 2 2 4 3 3 2" xfId="49314" xr:uid="{226B6BFE-89D7-4ACF-A355-59FB56177116}"/>
    <cellStyle name="Comma 5 3 2 2 4 3 4" xfId="34194" xr:uid="{4142B281-B779-42E9-A7F8-69F319D9B1A4}"/>
    <cellStyle name="Comma 5 3 2 2 4 4" xfId="5466" xr:uid="{84BE3CC5-FB3A-48B5-931E-780919A74A73}"/>
    <cellStyle name="Comma 5 3 2 2 4 4 2" xfId="14538" xr:uid="{85968025-2501-480B-8971-70F9ABF77A7F}"/>
    <cellStyle name="Comma 5 3 2 2 4 4 2 2" xfId="29658" xr:uid="{7C56D982-F436-4854-A163-63C458674F28}"/>
    <cellStyle name="Comma 5 3 2 2 4 4 2 2 2" xfId="59898" xr:uid="{CBA0F00C-2490-4910-94CE-19FA86AF1B35}"/>
    <cellStyle name="Comma 5 3 2 2 4 4 2 3" xfId="44778" xr:uid="{267599B5-86FB-45F1-A09D-986B29897B87}"/>
    <cellStyle name="Comma 5 3 2 2 4 4 3" xfId="20586" xr:uid="{E327D572-FB14-405E-A7BA-BD96F8EB6AF6}"/>
    <cellStyle name="Comma 5 3 2 2 4 4 3 2" xfId="50826" xr:uid="{6C7227BC-19ED-4BF8-8E2C-A3D9CEFEF1F4}"/>
    <cellStyle name="Comma 5 3 2 2 4 4 4" xfId="35706" xr:uid="{0FB32840-30E6-479D-A97F-7E80EF7F114F}"/>
    <cellStyle name="Comma 5 3 2 2 4 5" xfId="6978" xr:uid="{BA2CBEF6-AB5F-4B76-9ECE-2ED5C0C1E18A}"/>
    <cellStyle name="Comma 5 3 2 2 4 5 2" xfId="22098" xr:uid="{F1CACC1E-CCEC-41C5-9BD1-292D2265C498}"/>
    <cellStyle name="Comma 5 3 2 2 4 5 2 2" xfId="52338" xr:uid="{C5BB48DC-5B32-4314-8E7B-CF69A9C87D04}"/>
    <cellStyle name="Comma 5 3 2 2 4 5 3" xfId="37218" xr:uid="{B4C689F7-045F-4E5C-B99A-D6E04834EF5D}"/>
    <cellStyle name="Comma 5 3 2 2 4 6" xfId="8490" xr:uid="{78DD5F66-126B-4609-AC74-566DA94BC835}"/>
    <cellStyle name="Comma 5 3 2 2 4 6 2" xfId="23610" xr:uid="{CA2F4423-CEED-43B1-AC2B-7C5C22377986}"/>
    <cellStyle name="Comma 5 3 2 2 4 6 2 2" xfId="53850" xr:uid="{4960C847-ED70-490D-AFC7-6B6836329BD7}"/>
    <cellStyle name="Comma 5 3 2 2 4 6 3" xfId="38730" xr:uid="{5428638C-1E31-482C-9000-D73F8EDDA52C}"/>
    <cellStyle name="Comma 5 3 2 2 4 7" xfId="10002" xr:uid="{C061D035-3C7B-4F68-A71F-7E38B0716896}"/>
    <cellStyle name="Comma 5 3 2 2 4 7 2" xfId="25122" xr:uid="{33F947FC-5E0B-4336-A0C8-22A8B97F408C}"/>
    <cellStyle name="Comma 5 3 2 2 4 7 2 2" xfId="55362" xr:uid="{6DC19BF9-B135-47F5-86CE-ECE7AC732B16}"/>
    <cellStyle name="Comma 5 3 2 2 4 7 3" xfId="40242" xr:uid="{874588B3-050B-4679-95C7-77DFF7FA86CB}"/>
    <cellStyle name="Comma 5 3 2 2 4 8" xfId="16050" xr:uid="{3FF08681-4AEE-440B-A0DC-6057EA4CAE83}"/>
    <cellStyle name="Comma 5 3 2 2 4 8 2" xfId="46290" xr:uid="{5FFD01CD-DC0F-44F5-A965-A0DC7FBCBBA3}"/>
    <cellStyle name="Comma 5 3 2 2 4 9" xfId="31170" xr:uid="{69201874-DE3D-49C7-9CD2-5E66508FCFD7}"/>
    <cellStyle name="Comma 5 3 2 2 5" xfId="1686" xr:uid="{263431ED-97A4-451A-BFBF-C0FB60C97412}"/>
    <cellStyle name="Comma 5 3 2 2 5 2" xfId="10758" xr:uid="{538B818C-1256-4B40-B5A4-1D9DA44218CB}"/>
    <cellStyle name="Comma 5 3 2 2 5 2 2" xfId="25878" xr:uid="{8F9A451B-231B-458B-8C4C-024DAF480849}"/>
    <cellStyle name="Comma 5 3 2 2 5 2 2 2" xfId="56118" xr:uid="{4C5E4F8A-68CF-4726-9DDC-93765F62754A}"/>
    <cellStyle name="Comma 5 3 2 2 5 2 3" xfId="40998" xr:uid="{7A6DF717-A6F6-4C64-955A-0BA3EA9586C5}"/>
    <cellStyle name="Comma 5 3 2 2 5 3" xfId="16806" xr:uid="{AB5785DD-09AA-4A3A-9692-B05BDD70ECFF}"/>
    <cellStyle name="Comma 5 3 2 2 5 3 2" xfId="47046" xr:uid="{006D3146-2033-4BB2-A2AC-98289DB338B7}"/>
    <cellStyle name="Comma 5 3 2 2 5 4" xfId="31926" xr:uid="{A7BCB045-7D0E-46ED-81E2-78ECE4B17A54}"/>
    <cellStyle name="Comma 5 3 2 2 6" xfId="3198" xr:uid="{E74D5DB8-BD3B-4C91-8762-1C21CDABC1B2}"/>
    <cellStyle name="Comma 5 3 2 2 6 2" xfId="12270" xr:uid="{949AADBB-5A37-435E-AB9F-DC415A1E20BE}"/>
    <cellStyle name="Comma 5 3 2 2 6 2 2" xfId="27390" xr:uid="{5F979074-27AF-4EB3-AE5C-9C42841AC078}"/>
    <cellStyle name="Comma 5 3 2 2 6 2 2 2" xfId="57630" xr:uid="{C5654AF9-ED3E-4C41-B58F-3D6FFA02065D}"/>
    <cellStyle name="Comma 5 3 2 2 6 2 3" xfId="42510" xr:uid="{5168A328-3806-48CB-BD3A-6194E0D01D9F}"/>
    <cellStyle name="Comma 5 3 2 2 6 3" xfId="18318" xr:uid="{CD728489-32F1-454B-B878-2A753CB17DDF}"/>
    <cellStyle name="Comma 5 3 2 2 6 3 2" xfId="48558" xr:uid="{CCF06716-1A0C-4AC7-9531-81C7375231B0}"/>
    <cellStyle name="Comma 5 3 2 2 6 4" xfId="33438" xr:uid="{4B9334B3-408B-4B30-9F05-FCB4F5E010EC}"/>
    <cellStyle name="Comma 5 3 2 2 7" xfId="4710" xr:uid="{AFD37198-AD0D-4706-8B4D-196B0F786A15}"/>
    <cellStyle name="Comma 5 3 2 2 7 2" xfId="13782" xr:uid="{DEED366C-3C69-469E-A55E-5405E156D58F}"/>
    <cellStyle name="Comma 5 3 2 2 7 2 2" xfId="28902" xr:uid="{2FCFE5D9-FD83-4144-BD85-EA8FA8D01C1C}"/>
    <cellStyle name="Comma 5 3 2 2 7 2 2 2" xfId="59142" xr:uid="{672E16D1-506E-48EA-9808-7BE9B471D75C}"/>
    <cellStyle name="Comma 5 3 2 2 7 2 3" xfId="44022" xr:uid="{DDA8AF42-50D1-465F-B928-0F1A2921DA9A}"/>
    <cellStyle name="Comma 5 3 2 2 7 3" xfId="19830" xr:uid="{3CE95F45-10E6-47C9-8DC9-C8CD2129F02F}"/>
    <cellStyle name="Comma 5 3 2 2 7 3 2" xfId="50070" xr:uid="{477BD21D-C770-4792-98E5-BD7A96F3E388}"/>
    <cellStyle name="Comma 5 3 2 2 7 4" xfId="34950" xr:uid="{9DFC9AF2-671C-4F20-8927-9B26DB194977}"/>
    <cellStyle name="Comma 5 3 2 2 8" xfId="6222" xr:uid="{EB280376-8ADB-4CBA-9E76-F7B4957259A0}"/>
    <cellStyle name="Comma 5 3 2 2 8 2" xfId="21342" xr:uid="{0F1466F6-474D-437D-82A7-BED1B59EE593}"/>
    <cellStyle name="Comma 5 3 2 2 8 2 2" xfId="51582" xr:uid="{1EDDBDBC-7662-4AC9-A288-32C11F52761A}"/>
    <cellStyle name="Comma 5 3 2 2 8 3" xfId="36462" xr:uid="{A5797F12-FE9A-4A12-B5D4-E8F3BF9A7560}"/>
    <cellStyle name="Comma 5 3 2 2 9" xfId="7734" xr:uid="{72333BD5-0406-4256-AA36-82FA555A4332}"/>
    <cellStyle name="Comma 5 3 2 2 9 2" xfId="22854" xr:uid="{10B18CEF-9955-41C2-96C8-3B84D3050EB3}"/>
    <cellStyle name="Comma 5 3 2 2 9 2 2" xfId="53094" xr:uid="{6E9E1F48-0399-4176-BDBA-12E62AF49B5B}"/>
    <cellStyle name="Comma 5 3 2 2 9 3" xfId="37974" xr:uid="{2CBA5BE1-3EE3-4D8C-98C6-3608D8F3A47A}"/>
    <cellStyle name="Comma 5 3 2 3" xfId="258" xr:uid="{09FE7AB0-2D90-4404-A886-43AC7F8CFBBF}"/>
    <cellStyle name="Comma 5 3 2 3 10" xfId="9330" xr:uid="{3D2B0875-FAC3-4742-9567-A09F03F7F92D}"/>
    <cellStyle name="Comma 5 3 2 3 10 2" xfId="24450" xr:uid="{90D7E4EE-BAA3-4986-B0C9-159BA87A7E9F}"/>
    <cellStyle name="Comma 5 3 2 3 10 2 2" xfId="54690" xr:uid="{8B92E6E8-365C-4F98-B20F-6A8CAFB33B09}"/>
    <cellStyle name="Comma 5 3 2 3 10 3" xfId="39570" xr:uid="{07A7304B-DEE8-4ABB-A58C-78618E83525F}"/>
    <cellStyle name="Comma 5 3 2 3 11" xfId="15378" xr:uid="{C6248989-3CF7-462F-BE93-D15C6DD5D11E}"/>
    <cellStyle name="Comma 5 3 2 3 11 2" xfId="45618" xr:uid="{334627A7-0F25-4C38-93D6-FCF34BDDDB60}"/>
    <cellStyle name="Comma 5 3 2 3 12" xfId="30498" xr:uid="{5C697D6A-A315-4772-AAE1-41BCD7F192DC}"/>
    <cellStyle name="Comma 5 3 2 3 2" xfId="510" xr:uid="{9CD0FF1D-8046-4FE0-8692-6D159ACBA8BA}"/>
    <cellStyle name="Comma 5 3 2 3 2 10" xfId="30750" xr:uid="{6DBDF1A3-10DD-4BC2-9F51-9B2B3F946086}"/>
    <cellStyle name="Comma 5 3 2 3 2 2" xfId="1266" xr:uid="{364ECAF1-B02B-4B57-B7F2-F426D38A11AA}"/>
    <cellStyle name="Comma 5 3 2 3 2 2 2" xfId="2778" xr:uid="{2F36FCF9-A421-41E9-A144-272BF95A7FF0}"/>
    <cellStyle name="Comma 5 3 2 3 2 2 2 2" xfId="11850" xr:uid="{5EC05D1D-E3F3-41DE-9427-C0D0201B2B89}"/>
    <cellStyle name="Comma 5 3 2 3 2 2 2 2 2" xfId="26970" xr:uid="{7A657A6C-EF0C-4A1A-B27B-C01287267FE5}"/>
    <cellStyle name="Comma 5 3 2 3 2 2 2 2 2 2" xfId="57210" xr:uid="{1096F6CB-7C1C-4A4F-B959-C4596387F2B6}"/>
    <cellStyle name="Comma 5 3 2 3 2 2 2 2 3" xfId="42090" xr:uid="{0AC8FA2B-0FCD-4B70-9DA2-73D0A0AB1458}"/>
    <cellStyle name="Comma 5 3 2 3 2 2 2 3" xfId="17898" xr:uid="{27792C4A-55CA-44DB-A0E8-A908832C05DA}"/>
    <cellStyle name="Comma 5 3 2 3 2 2 2 3 2" xfId="48138" xr:uid="{3FF17CC6-92D5-4EE6-80BC-602CAC872168}"/>
    <cellStyle name="Comma 5 3 2 3 2 2 2 4" xfId="33018" xr:uid="{4E25D68C-4282-4862-A138-438506372284}"/>
    <cellStyle name="Comma 5 3 2 3 2 2 3" xfId="4290" xr:uid="{0D7B6E69-09BE-441F-9C5B-DCF539A5469F}"/>
    <cellStyle name="Comma 5 3 2 3 2 2 3 2" xfId="13362" xr:uid="{0FF97463-99A3-4CE4-82AD-33911406A419}"/>
    <cellStyle name="Comma 5 3 2 3 2 2 3 2 2" xfId="28482" xr:uid="{F44BD3CC-7A95-4907-B7ED-5FC5C53C7812}"/>
    <cellStyle name="Comma 5 3 2 3 2 2 3 2 2 2" xfId="58722" xr:uid="{70F1239E-E890-469B-93D1-EF01D7AC3D5B}"/>
    <cellStyle name="Comma 5 3 2 3 2 2 3 2 3" xfId="43602" xr:uid="{EE89C013-DACC-42C9-9331-21AAFECB2543}"/>
    <cellStyle name="Comma 5 3 2 3 2 2 3 3" xfId="19410" xr:uid="{C00C28BD-F208-407F-A7AB-8C5FD3D0DB26}"/>
    <cellStyle name="Comma 5 3 2 3 2 2 3 3 2" xfId="49650" xr:uid="{2A2FF535-F794-4606-AE8C-7A3C37BF4528}"/>
    <cellStyle name="Comma 5 3 2 3 2 2 3 4" xfId="34530" xr:uid="{267198C4-C35F-4D7D-944F-49A367A1E2AC}"/>
    <cellStyle name="Comma 5 3 2 3 2 2 4" xfId="5802" xr:uid="{FE6021DB-483E-4584-96BD-56CD9F23D430}"/>
    <cellStyle name="Comma 5 3 2 3 2 2 4 2" xfId="14874" xr:uid="{E32606CA-3434-4C89-8A85-BA8958D2816F}"/>
    <cellStyle name="Comma 5 3 2 3 2 2 4 2 2" xfId="29994" xr:uid="{12D8FDED-B55F-41E0-A31A-0F97A66EBDB1}"/>
    <cellStyle name="Comma 5 3 2 3 2 2 4 2 2 2" xfId="60234" xr:uid="{27C5B232-C15C-45B5-AC87-C5C025C998A8}"/>
    <cellStyle name="Comma 5 3 2 3 2 2 4 2 3" xfId="45114" xr:uid="{7BA9389F-BDC0-49D9-92E4-7413845772B7}"/>
    <cellStyle name="Comma 5 3 2 3 2 2 4 3" xfId="20922" xr:uid="{2AE6FE65-6A46-4DB3-8DC2-43499E191B8A}"/>
    <cellStyle name="Comma 5 3 2 3 2 2 4 3 2" xfId="51162" xr:uid="{247B9C3A-C09B-40E2-90BC-DD7BAE958A0C}"/>
    <cellStyle name="Comma 5 3 2 3 2 2 4 4" xfId="36042" xr:uid="{3E0A4F6D-69AA-4703-B9C4-DBBB9E73E09E}"/>
    <cellStyle name="Comma 5 3 2 3 2 2 5" xfId="7314" xr:uid="{F8A76308-A52E-4D39-BE75-AAB49536E91C}"/>
    <cellStyle name="Comma 5 3 2 3 2 2 5 2" xfId="22434" xr:uid="{A7C81DBC-DF3E-4D86-8F92-B44128974AC6}"/>
    <cellStyle name="Comma 5 3 2 3 2 2 5 2 2" xfId="52674" xr:uid="{935E79C5-C153-4C15-A79D-54455BC92BDB}"/>
    <cellStyle name="Comma 5 3 2 3 2 2 5 3" xfId="37554" xr:uid="{A28183A9-177B-4F15-BA69-24A7E5EDD68D}"/>
    <cellStyle name="Comma 5 3 2 3 2 2 6" xfId="8826" xr:uid="{E7BCE60D-3B3C-4947-8F59-C81D7413EC53}"/>
    <cellStyle name="Comma 5 3 2 3 2 2 6 2" xfId="23946" xr:uid="{6912CBB4-62A5-4AF7-9800-03F87FC1D796}"/>
    <cellStyle name="Comma 5 3 2 3 2 2 6 2 2" xfId="54186" xr:uid="{1131E8CC-8707-4469-9272-00E19B50F2A3}"/>
    <cellStyle name="Comma 5 3 2 3 2 2 6 3" xfId="39066" xr:uid="{BDEE4BB7-38FC-49BE-B327-1C8532A37A05}"/>
    <cellStyle name="Comma 5 3 2 3 2 2 7" xfId="10338" xr:uid="{021E21EC-A5C6-4A38-B33D-3DA7627FA839}"/>
    <cellStyle name="Comma 5 3 2 3 2 2 7 2" xfId="25458" xr:uid="{086A23E3-18F5-4815-A075-E960793382FA}"/>
    <cellStyle name="Comma 5 3 2 3 2 2 7 2 2" xfId="55698" xr:uid="{0F452FA4-C361-4975-A493-8E2EEF0DCCC3}"/>
    <cellStyle name="Comma 5 3 2 3 2 2 7 3" xfId="40578" xr:uid="{A0B2C6C0-D8A8-41BB-AA5B-7EB471603856}"/>
    <cellStyle name="Comma 5 3 2 3 2 2 8" xfId="16386" xr:uid="{9FD88D67-75D8-469F-850F-48666BD994E2}"/>
    <cellStyle name="Comma 5 3 2 3 2 2 8 2" xfId="46626" xr:uid="{C5DED8B4-13BA-4D12-A3C0-2FC76064904A}"/>
    <cellStyle name="Comma 5 3 2 3 2 2 9" xfId="31506" xr:uid="{81CE0F22-34D4-4E7D-BFA2-FAF946CE9344}"/>
    <cellStyle name="Comma 5 3 2 3 2 3" xfId="2022" xr:uid="{6F7B995D-6C3A-4DEF-9AE2-4C62CCA5EA8F}"/>
    <cellStyle name="Comma 5 3 2 3 2 3 2" xfId="11094" xr:uid="{F39E0C88-BC3B-45CB-BE6F-1824217A768D}"/>
    <cellStyle name="Comma 5 3 2 3 2 3 2 2" xfId="26214" xr:uid="{DD387140-42AD-43B2-A9CA-3A5700B19551}"/>
    <cellStyle name="Comma 5 3 2 3 2 3 2 2 2" xfId="56454" xr:uid="{4CCE3A9A-7FEC-452E-A443-7E84B2E76271}"/>
    <cellStyle name="Comma 5 3 2 3 2 3 2 3" xfId="41334" xr:uid="{CC8E6D16-53CE-4CC6-9E5F-81FEC89995DC}"/>
    <cellStyle name="Comma 5 3 2 3 2 3 3" xfId="17142" xr:uid="{63FC4E73-8CE9-45AB-87C2-C954CA96902A}"/>
    <cellStyle name="Comma 5 3 2 3 2 3 3 2" xfId="47382" xr:uid="{4EFBBB4C-2630-4761-AE07-D7F6D1930227}"/>
    <cellStyle name="Comma 5 3 2 3 2 3 4" xfId="32262" xr:uid="{2A5F89C1-D37E-4AAC-B7C3-63B6402E4C34}"/>
    <cellStyle name="Comma 5 3 2 3 2 4" xfId="3534" xr:uid="{EF7636A4-9B27-41D2-A06B-6B71470C195D}"/>
    <cellStyle name="Comma 5 3 2 3 2 4 2" xfId="12606" xr:uid="{211B27B1-C7BD-4B7E-98E2-7B9062D3B308}"/>
    <cellStyle name="Comma 5 3 2 3 2 4 2 2" xfId="27726" xr:uid="{67378C6E-70F5-4F77-BAAB-2749AD38040D}"/>
    <cellStyle name="Comma 5 3 2 3 2 4 2 2 2" xfId="57966" xr:uid="{B27F13A7-4522-464C-805B-90322356E857}"/>
    <cellStyle name="Comma 5 3 2 3 2 4 2 3" xfId="42846" xr:uid="{2851D048-C3DA-4847-BCC4-DCFDF67D2ACF}"/>
    <cellStyle name="Comma 5 3 2 3 2 4 3" xfId="18654" xr:uid="{82B78E57-2CB6-423F-A731-10AC10CEB4ED}"/>
    <cellStyle name="Comma 5 3 2 3 2 4 3 2" xfId="48894" xr:uid="{CF7F3D20-B7F5-45DE-AD94-130CD040ACDD}"/>
    <cellStyle name="Comma 5 3 2 3 2 4 4" xfId="33774" xr:uid="{D0C8110D-436D-4663-8566-9C8B3DA8A107}"/>
    <cellStyle name="Comma 5 3 2 3 2 5" xfId="5046" xr:uid="{06656F43-1EF4-4768-AF3B-1F40BE1461E8}"/>
    <cellStyle name="Comma 5 3 2 3 2 5 2" xfId="14118" xr:uid="{3CBD54D0-7CA7-49FD-B1E6-4BC55FB1C112}"/>
    <cellStyle name="Comma 5 3 2 3 2 5 2 2" xfId="29238" xr:uid="{87B74D40-CC82-48D5-9923-27FE2928622D}"/>
    <cellStyle name="Comma 5 3 2 3 2 5 2 2 2" xfId="59478" xr:uid="{9EFEDF9F-2BD5-46F2-8895-C252DB322218}"/>
    <cellStyle name="Comma 5 3 2 3 2 5 2 3" xfId="44358" xr:uid="{40A5A0B0-43B5-4A30-A2B9-2F8C00E16977}"/>
    <cellStyle name="Comma 5 3 2 3 2 5 3" xfId="20166" xr:uid="{F842611A-4781-4CCD-92DD-C33D5890610A}"/>
    <cellStyle name="Comma 5 3 2 3 2 5 3 2" xfId="50406" xr:uid="{771AFFD2-58CE-42DD-8DA7-B71EE19552A2}"/>
    <cellStyle name="Comma 5 3 2 3 2 5 4" xfId="35286" xr:uid="{554B6387-1177-4047-8603-0076B0A049D3}"/>
    <cellStyle name="Comma 5 3 2 3 2 6" xfId="6558" xr:uid="{E36EB7D5-BC8F-492C-B241-0B277723122B}"/>
    <cellStyle name="Comma 5 3 2 3 2 6 2" xfId="21678" xr:uid="{21C5924D-8A52-4151-83F4-06A3449E4A74}"/>
    <cellStyle name="Comma 5 3 2 3 2 6 2 2" xfId="51918" xr:uid="{3ACDD87F-9EAD-4170-8F77-E9F78C57AC01}"/>
    <cellStyle name="Comma 5 3 2 3 2 6 3" xfId="36798" xr:uid="{729653BB-60E1-4B87-9B83-C871AA4F167B}"/>
    <cellStyle name="Comma 5 3 2 3 2 7" xfId="8070" xr:uid="{B9D9026E-C30A-4256-9F78-00403B442F72}"/>
    <cellStyle name="Comma 5 3 2 3 2 7 2" xfId="23190" xr:uid="{2BB075E3-8543-43AB-A092-7826587327F2}"/>
    <cellStyle name="Comma 5 3 2 3 2 7 2 2" xfId="53430" xr:uid="{18D4EB78-417C-45A9-A4FB-6A3DC57F8830}"/>
    <cellStyle name="Comma 5 3 2 3 2 7 3" xfId="38310" xr:uid="{C6064ED3-1570-4F39-B214-EB53E1AF4CA9}"/>
    <cellStyle name="Comma 5 3 2 3 2 8" xfId="9582" xr:uid="{57C00396-6FF2-4AC1-8386-32EA2C700905}"/>
    <cellStyle name="Comma 5 3 2 3 2 8 2" xfId="24702" xr:uid="{5309AF98-F5DD-4863-99BC-37A888286708}"/>
    <cellStyle name="Comma 5 3 2 3 2 8 2 2" xfId="54942" xr:uid="{82A2858F-99F2-4DB9-BB1C-1D9D66B88987}"/>
    <cellStyle name="Comma 5 3 2 3 2 8 3" xfId="39822" xr:uid="{0368F408-E071-4745-9297-013E0DB7D8CA}"/>
    <cellStyle name="Comma 5 3 2 3 2 9" xfId="15630" xr:uid="{E2DB8793-57AC-4E53-91DE-E1B2E92540F9}"/>
    <cellStyle name="Comma 5 3 2 3 2 9 2" xfId="45870" xr:uid="{C057CC81-E8E8-4272-9463-DF03126410A4}"/>
    <cellStyle name="Comma 5 3 2 3 3" xfId="762" xr:uid="{21252050-2268-482E-981E-0ED0393760AB}"/>
    <cellStyle name="Comma 5 3 2 3 3 10" xfId="31002" xr:uid="{B583DE5B-950F-494F-9E0C-76FCCA6AE28C}"/>
    <cellStyle name="Comma 5 3 2 3 3 2" xfId="1518" xr:uid="{4F4C3229-B248-4E13-A9E8-1C3D727A0EF3}"/>
    <cellStyle name="Comma 5 3 2 3 3 2 2" xfId="3030" xr:uid="{2B014A26-C1BC-4B4D-B49E-E9D3CD637851}"/>
    <cellStyle name="Comma 5 3 2 3 3 2 2 2" xfId="12102" xr:uid="{9F002A29-9E19-4C6C-8940-A98A0084229A}"/>
    <cellStyle name="Comma 5 3 2 3 3 2 2 2 2" xfId="27222" xr:uid="{A734F985-B4D6-4274-8993-8FC8D42E9DD8}"/>
    <cellStyle name="Comma 5 3 2 3 3 2 2 2 2 2" xfId="57462" xr:uid="{89AE21C8-85AB-4D2D-A62D-F7F2D20B1EEB}"/>
    <cellStyle name="Comma 5 3 2 3 3 2 2 2 3" xfId="42342" xr:uid="{DBD729DC-F5F8-4F98-B37A-638F82A7623C}"/>
    <cellStyle name="Comma 5 3 2 3 3 2 2 3" xfId="18150" xr:uid="{84E871DC-4346-48A5-BCB1-7784C4E9C79E}"/>
    <cellStyle name="Comma 5 3 2 3 3 2 2 3 2" xfId="48390" xr:uid="{FACA2818-86FF-428D-8A41-F146ED00C5F2}"/>
    <cellStyle name="Comma 5 3 2 3 3 2 2 4" xfId="33270" xr:uid="{D91981E9-0DD4-42D8-846F-DA6E0CD0CE4B}"/>
    <cellStyle name="Comma 5 3 2 3 3 2 3" xfId="4542" xr:uid="{3A2D109C-0BC4-493B-B2A7-51A6151148DD}"/>
    <cellStyle name="Comma 5 3 2 3 3 2 3 2" xfId="13614" xr:uid="{3680FD8C-FEF2-4330-A99B-1660173100C4}"/>
    <cellStyle name="Comma 5 3 2 3 3 2 3 2 2" xfId="28734" xr:uid="{F38036FE-76DB-434B-B263-4E906FEE9BBD}"/>
    <cellStyle name="Comma 5 3 2 3 3 2 3 2 2 2" xfId="58974" xr:uid="{D601A3B6-4D47-4990-9E68-B504FBAD168D}"/>
    <cellStyle name="Comma 5 3 2 3 3 2 3 2 3" xfId="43854" xr:uid="{0D9FA59E-1BF2-44C5-8C73-E57E2DF47658}"/>
    <cellStyle name="Comma 5 3 2 3 3 2 3 3" xfId="19662" xr:uid="{7CB8E04C-F17C-492E-BFFD-D7F0538654D7}"/>
    <cellStyle name="Comma 5 3 2 3 3 2 3 3 2" xfId="49902" xr:uid="{E6A38A5F-460B-43F4-86BA-24E973304BD6}"/>
    <cellStyle name="Comma 5 3 2 3 3 2 3 4" xfId="34782" xr:uid="{345F461A-5672-4FDB-8DD5-B34956AE90F5}"/>
    <cellStyle name="Comma 5 3 2 3 3 2 4" xfId="6054" xr:uid="{C83CCB5D-0251-4ADC-876F-8053E7D814DB}"/>
    <cellStyle name="Comma 5 3 2 3 3 2 4 2" xfId="15126" xr:uid="{03D8901A-827E-4805-84FB-9646ADA0A660}"/>
    <cellStyle name="Comma 5 3 2 3 3 2 4 2 2" xfId="30246" xr:uid="{0587A503-9FE8-444A-97D3-26BA4B2F281D}"/>
    <cellStyle name="Comma 5 3 2 3 3 2 4 2 2 2" xfId="60486" xr:uid="{9193FA8F-60FA-434B-B1A7-3176EC63BE9F}"/>
    <cellStyle name="Comma 5 3 2 3 3 2 4 2 3" xfId="45366" xr:uid="{F722F447-D0CB-440B-83A3-2586095EF7D9}"/>
    <cellStyle name="Comma 5 3 2 3 3 2 4 3" xfId="21174" xr:uid="{9E54AE71-66B8-4931-9F29-E83132DF0B6F}"/>
    <cellStyle name="Comma 5 3 2 3 3 2 4 3 2" xfId="51414" xr:uid="{3CC09C38-7D9B-4ADD-8668-0F89AF8A7E11}"/>
    <cellStyle name="Comma 5 3 2 3 3 2 4 4" xfId="36294" xr:uid="{83F4BA0E-8A58-4A6D-A7D3-5EB7E017346A}"/>
    <cellStyle name="Comma 5 3 2 3 3 2 5" xfId="7566" xr:uid="{93E48F4F-1DBD-45F9-9858-DB7199DD2C6C}"/>
    <cellStyle name="Comma 5 3 2 3 3 2 5 2" xfId="22686" xr:uid="{8F02B819-47C2-40B6-ACC0-8D74AA73C2F2}"/>
    <cellStyle name="Comma 5 3 2 3 3 2 5 2 2" xfId="52926" xr:uid="{DF08494E-51A9-4624-AC0F-861169A7547A}"/>
    <cellStyle name="Comma 5 3 2 3 3 2 5 3" xfId="37806" xr:uid="{7C56487D-E4E7-4B7D-BEA9-7D48A8C49A0C}"/>
    <cellStyle name="Comma 5 3 2 3 3 2 6" xfId="9078" xr:uid="{9F72DDFF-ECFF-4239-BB92-35501C5341FD}"/>
    <cellStyle name="Comma 5 3 2 3 3 2 6 2" xfId="24198" xr:uid="{1FE75E5F-B91E-4534-A298-3E3BF651F16C}"/>
    <cellStyle name="Comma 5 3 2 3 3 2 6 2 2" xfId="54438" xr:uid="{AD054EB6-24D1-4C6E-9295-C3FF972B3F1C}"/>
    <cellStyle name="Comma 5 3 2 3 3 2 6 3" xfId="39318" xr:uid="{7762D9EE-D9DD-4C97-BC15-16108C98C0B8}"/>
    <cellStyle name="Comma 5 3 2 3 3 2 7" xfId="10590" xr:uid="{388CBBDE-CA61-4493-96FB-40F15D87B674}"/>
    <cellStyle name="Comma 5 3 2 3 3 2 7 2" xfId="25710" xr:uid="{E6375112-4E21-409A-B271-48BBEF5B655C}"/>
    <cellStyle name="Comma 5 3 2 3 3 2 7 2 2" xfId="55950" xr:uid="{B2E5DEF0-AF81-49DA-9FE9-EB1AEA7A651C}"/>
    <cellStyle name="Comma 5 3 2 3 3 2 7 3" xfId="40830" xr:uid="{3F52DE9A-5355-474A-9F36-9DDBC558B7C3}"/>
    <cellStyle name="Comma 5 3 2 3 3 2 8" xfId="16638" xr:uid="{FEFE2D94-1EE2-4B41-9050-5ABF719EA7B8}"/>
    <cellStyle name="Comma 5 3 2 3 3 2 8 2" xfId="46878" xr:uid="{28E903FA-1A77-479D-AEF8-EFB844B24878}"/>
    <cellStyle name="Comma 5 3 2 3 3 2 9" xfId="31758" xr:uid="{2F27BCAA-A0DA-4CE2-B2BE-3CF27AF914C6}"/>
    <cellStyle name="Comma 5 3 2 3 3 3" xfId="2274" xr:uid="{2C491B69-A3D5-491C-BB8D-1C9420974490}"/>
    <cellStyle name="Comma 5 3 2 3 3 3 2" xfId="11346" xr:uid="{837AB2C7-FCDE-4704-A202-8A6FCB0B1323}"/>
    <cellStyle name="Comma 5 3 2 3 3 3 2 2" xfId="26466" xr:uid="{B2A68106-F783-46B3-8071-AA867E00B2B0}"/>
    <cellStyle name="Comma 5 3 2 3 3 3 2 2 2" xfId="56706" xr:uid="{7C4F633A-3A56-4826-82B8-F8B50225E558}"/>
    <cellStyle name="Comma 5 3 2 3 3 3 2 3" xfId="41586" xr:uid="{599FABF0-5E16-40AF-9A01-A4E30DE35B1D}"/>
    <cellStyle name="Comma 5 3 2 3 3 3 3" xfId="17394" xr:uid="{9413F807-2D35-4C3F-8299-8D1B2E73AD97}"/>
    <cellStyle name="Comma 5 3 2 3 3 3 3 2" xfId="47634" xr:uid="{5C704F31-CC45-4112-8486-B76985DE9B79}"/>
    <cellStyle name="Comma 5 3 2 3 3 3 4" xfId="32514" xr:uid="{FAA50DD0-FB2E-4EEE-9433-3367922E8F08}"/>
    <cellStyle name="Comma 5 3 2 3 3 4" xfId="3786" xr:uid="{DC83C9B6-D415-41F2-BE1E-4CA2B4BEEBBF}"/>
    <cellStyle name="Comma 5 3 2 3 3 4 2" xfId="12858" xr:uid="{718DBEA6-232B-4DFF-A295-CD15DC5FF09C}"/>
    <cellStyle name="Comma 5 3 2 3 3 4 2 2" xfId="27978" xr:uid="{7BDB6C65-279D-4F03-94B5-FE5E1EE7B801}"/>
    <cellStyle name="Comma 5 3 2 3 3 4 2 2 2" xfId="58218" xr:uid="{23783819-D2F7-4A66-B64A-00136962F400}"/>
    <cellStyle name="Comma 5 3 2 3 3 4 2 3" xfId="43098" xr:uid="{89AC535B-C5FF-4751-843F-A08108860381}"/>
    <cellStyle name="Comma 5 3 2 3 3 4 3" xfId="18906" xr:uid="{8AD65EB3-F1CC-4999-97B3-0188596EB5B2}"/>
    <cellStyle name="Comma 5 3 2 3 3 4 3 2" xfId="49146" xr:uid="{2810E5EC-8354-4C0D-97F5-F7FCA5222954}"/>
    <cellStyle name="Comma 5 3 2 3 3 4 4" xfId="34026" xr:uid="{BF030506-19EF-4BB1-8554-6D38D74276D4}"/>
    <cellStyle name="Comma 5 3 2 3 3 5" xfId="5298" xr:uid="{C358EFF0-AA96-4848-9654-C8A7E3757320}"/>
    <cellStyle name="Comma 5 3 2 3 3 5 2" xfId="14370" xr:uid="{DC2542AD-9553-4167-A809-7E1323C3B257}"/>
    <cellStyle name="Comma 5 3 2 3 3 5 2 2" xfId="29490" xr:uid="{3333A38C-378D-4D9A-B01F-CBBB0DCA16D1}"/>
    <cellStyle name="Comma 5 3 2 3 3 5 2 2 2" xfId="59730" xr:uid="{A8B02030-B848-4755-881C-1D99ABC71906}"/>
    <cellStyle name="Comma 5 3 2 3 3 5 2 3" xfId="44610" xr:uid="{F982AE11-8F94-49B6-9955-3D6D9E3597A6}"/>
    <cellStyle name="Comma 5 3 2 3 3 5 3" xfId="20418" xr:uid="{E3FDDF35-4061-4388-9190-209B15D0DDCD}"/>
    <cellStyle name="Comma 5 3 2 3 3 5 3 2" xfId="50658" xr:uid="{24DDD4CE-EB8F-4E39-A086-2950A7BD17B5}"/>
    <cellStyle name="Comma 5 3 2 3 3 5 4" xfId="35538" xr:uid="{008833DB-8C98-4337-B10A-FEA279A945DF}"/>
    <cellStyle name="Comma 5 3 2 3 3 6" xfId="6810" xr:uid="{9D9EC2D5-42A0-492B-A7A1-47991FC96B24}"/>
    <cellStyle name="Comma 5 3 2 3 3 6 2" xfId="21930" xr:uid="{8BAFDA5E-379B-445A-9A27-896586C20CDC}"/>
    <cellStyle name="Comma 5 3 2 3 3 6 2 2" xfId="52170" xr:uid="{A706B07A-78DB-48A7-AC0F-33834E613EE2}"/>
    <cellStyle name="Comma 5 3 2 3 3 6 3" xfId="37050" xr:uid="{7F1B8ED1-11F1-443A-9D3E-F083BA414336}"/>
    <cellStyle name="Comma 5 3 2 3 3 7" xfId="8322" xr:uid="{77F03534-BE68-430C-B96A-B3A0A73BD1F5}"/>
    <cellStyle name="Comma 5 3 2 3 3 7 2" xfId="23442" xr:uid="{D64F2E65-77EB-4AC5-B1E8-FC5BDD6FF958}"/>
    <cellStyle name="Comma 5 3 2 3 3 7 2 2" xfId="53682" xr:uid="{6B4EB8BE-81D0-476E-8249-54B8BC2DB2C8}"/>
    <cellStyle name="Comma 5 3 2 3 3 7 3" xfId="38562" xr:uid="{5839D459-BC6D-4955-8DEC-C1492664429F}"/>
    <cellStyle name="Comma 5 3 2 3 3 8" xfId="9834" xr:uid="{25F606F1-67D7-4259-A54D-51A2503A3696}"/>
    <cellStyle name="Comma 5 3 2 3 3 8 2" xfId="24954" xr:uid="{0656D620-8771-49D6-B1A3-17BBDB13C4D6}"/>
    <cellStyle name="Comma 5 3 2 3 3 8 2 2" xfId="55194" xr:uid="{639F7FAE-1765-4DF1-B687-B7E0015AD143}"/>
    <cellStyle name="Comma 5 3 2 3 3 8 3" xfId="40074" xr:uid="{B9E38F56-E6CF-4059-8F98-4F35189B4E83}"/>
    <cellStyle name="Comma 5 3 2 3 3 9" xfId="15882" xr:uid="{BCACBF16-FBAA-4913-B2B6-8A83D894959A}"/>
    <cellStyle name="Comma 5 3 2 3 3 9 2" xfId="46122" xr:uid="{51437C92-FA1A-4B48-B8C1-59647541A59B}"/>
    <cellStyle name="Comma 5 3 2 3 4" xfId="1014" xr:uid="{E868E059-84FD-4438-8AFB-A4D88092AE9B}"/>
    <cellStyle name="Comma 5 3 2 3 4 2" xfId="2526" xr:uid="{A7E18981-A168-4FB2-901A-36B5F57BF036}"/>
    <cellStyle name="Comma 5 3 2 3 4 2 2" xfId="11598" xr:uid="{0B267B9B-E6EE-4524-BA57-7CFC196521D8}"/>
    <cellStyle name="Comma 5 3 2 3 4 2 2 2" xfId="26718" xr:uid="{ECCB4DA2-6DDB-4C8C-8A3F-CE0EEB94414A}"/>
    <cellStyle name="Comma 5 3 2 3 4 2 2 2 2" xfId="56958" xr:uid="{CED5FD9F-5054-4ABE-9474-57AD71A83389}"/>
    <cellStyle name="Comma 5 3 2 3 4 2 2 3" xfId="41838" xr:uid="{10775B83-99A2-4E48-8422-929DE4CE839F}"/>
    <cellStyle name="Comma 5 3 2 3 4 2 3" xfId="17646" xr:uid="{17C926C9-5E26-46CA-8017-F44A1372C177}"/>
    <cellStyle name="Comma 5 3 2 3 4 2 3 2" xfId="47886" xr:uid="{D11CF756-758C-4ED3-8420-FEB0BA39D94B}"/>
    <cellStyle name="Comma 5 3 2 3 4 2 4" xfId="32766" xr:uid="{AE0F47C7-F291-4324-8238-C510EA263F13}"/>
    <cellStyle name="Comma 5 3 2 3 4 3" xfId="4038" xr:uid="{A4EA021E-A639-41E7-A4CD-6C37BBB53543}"/>
    <cellStyle name="Comma 5 3 2 3 4 3 2" xfId="13110" xr:uid="{22A34271-CE71-42E5-9CFC-A273B38A4FD8}"/>
    <cellStyle name="Comma 5 3 2 3 4 3 2 2" xfId="28230" xr:uid="{9DCD3C8B-42C3-43B6-A3F1-D82B49A61965}"/>
    <cellStyle name="Comma 5 3 2 3 4 3 2 2 2" xfId="58470" xr:uid="{AC2DEB98-C014-4756-960B-34D9B453151E}"/>
    <cellStyle name="Comma 5 3 2 3 4 3 2 3" xfId="43350" xr:uid="{C8EA2972-8482-4F39-9FB0-DBB42521AF83}"/>
    <cellStyle name="Comma 5 3 2 3 4 3 3" xfId="19158" xr:uid="{54BCDEB0-D0C1-4874-B341-944E5B71FD62}"/>
    <cellStyle name="Comma 5 3 2 3 4 3 3 2" xfId="49398" xr:uid="{AD6AAD20-D2E8-43E1-ABDF-19F1D2DBBA6B}"/>
    <cellStyle name="Comma 5 3 2 3 4 3 4" xfId="34278" xr:uid="{531D2C63-A7AD-42FB-894F-D611393DC481}"/>
    <cellStyle name="Comma 5 3 2 3 4 4" xfId="5550" xr:uid="{90D7598D-3172-4C1C-A50B-4E5F209726C3}"/>
    <cellStyle name="Comma 5 3 2 3 4 4 2" xfId="14622" xr:uid="{22429ACC-6939-4CBD-8C16-A8FB8AF44005}"/>
    <cellStyle name="Comma 5 3 2 3 4 4 2 2" xfId="29742" xr:uid="{E99D2C73-7613-4CB5-9CBA-D4763920189B}"/>
    <cellStyle name="Comma 5 3 2 3 4 4 2 2 2" xfId="59982" xr:uid="{8D417A4A-FF0E-4FD8-87CA-B8FCA0971B83}"/>
    <cellStyle name="Comma 5 3 2 3 4 4 2 3" xfId="44862" xr:uid="{4CF1063C-3D23-4872-8A6D-8C62CC78B472}"/>
    <cellStyle name="Comma 5 3 2 3 4 4 3" xfId="20670" xr:uid="{1EB52898-45CF-4D7E-9D3C-D5C4C43C7804}"/>
    <cellStyle name="Comma 5 3 2 3 4 4 3 2" xfId="50910" xr:uid="{57A9A794-C8B4-49BD-94D7-87F9EEF0ADB9}"/>
    <cellStyle name="Comma 5 3 2 3 4 4 4" xfId="35790" xr:uid="{1AC1033D-D102-4D6F-A6C2-E087F9257B6E}"/>
    <cellStyle name="Comma 5 3 2 3 4 5" xfId="7062" xr:uid="{80814927-D3F3-44D0-8B0A-91D3F276FED8}"/>
    <cellStyle name="Comma 5 3 2 3 4 5 2" xfId="22182" xr:uid="{D90F9122-7A27-4EA9-87F6-0B4D4334086B}"/>
    <cellStyle name="Comma 5 3 2 3 4 5 2 2" xfId="52422" xr:uid="{7116A584-07F7-49CC-B1A1-DF27777165D6}"/>
    <cellStyle name="Comma 5 3 2 3 4 5 3" xfId="37302" xr:uid="{19805EDB-7F6C-4688-82BB-922E3C0F129A}"/>
    <cellStyle name="Comma 5 3 2 3 4 6" xfId="8574" xr:uid="{65FB010D-C3BF-42D8-8C9C-63C50BDB1C35}"/>
    <cellStyle name="Comma 5 3 2 3 4 6 2" xfId="23694" xr:uid="{4717C8B9-0F08-42A5-A2CB-AD5149B6771C}"/>
    <cellStyle name="Comma 5 3 2 3 4 6 2 2" xfId="53934" xr:uid="{47575A3D-C856-4611-8A27-D74654E2C5DF}"/>
    <cellStyle name="Comma 5 3 2 3 4 6 3" xfId="38814" xr:uid="{5D3F09A0-F577-4341-B36E-1050B9FC2B7C}"/>
    <cellStyle name="Comma 5 3 2 3 4 7" xfId="10086" xr:uid="{FBE7897B-06B5-491A-B67E-28B82D772D29}"/>
    <cellStyle name="Comma 5 3 2 3 4 7 2" xfId="25206" xr:uid="{7565CF45-55F8-41A6-B7C9-89A0E17D415B}"/>
    <cellStyle name="Comma 5 3 2 3 4 7 2 2" xfId="55446" xr:uid="{470E6049-3C95-4BBE-B75F-11B64886E1AB}"/>
    <cellStyle name="Comma 5 3 2 3 4 7 3" xfId="40326" xr:uid="{20E774B7-6784-4D69-A903-B45DA23B8F67}"/>
    <cellStyle name="Comma 5 3 2 3 4 8" xfId="16134" xr:uid="{AEC24F34-B752-4A56-B703-8EEAA6EB4E38}"/>
    <cellStyle name="Comma 5 3 2 3 4 8 2" xfId="46374" xr:uid="{18C6E576-0685-41E2-90CE-061892A4C65E}"/>
    <cellStyle name="Comma 5 3 2 3 4 9" xfId="31254" xr:uid="{2E7BCD57-88CF-4851-8101-1C705ABC90DB}"/>
    <cellStyle name="Comma 5 3 2 3 5" xfId="1770" xr:uid="{2A33F59C-9773-48CA-B497-9F868B2BFF6B}"/>
    <cellStyle name="Comma 5 3 2 3 5 2" xfId="10842" xr:uid="{2CA7F545-3F60-4833-A8BF-9F93FC4ADDDF}"/>
    <cellStyle name="Comma 5 3 2 3 5 2 2" xfId="25962" xr:uid="{9D28FC0D-CD7A-4A9B-ACA4-E0A5FFA4E658}"/>
    <cellStyle name="Comma 5 3 2 3 5 2 2 2" xfId="56202" xr:uid="{ED681C79-C741-4798-AF35-E1DF676CF2FE}"/>
    <cellStyle name="Comma 5 3 2 3 5 2 3" xfId="41082" xr:uid="{BA3CC6CC-9131-41DB-A7C0-864ECA69FF8D}"/>
    <cellStyle name="Comma 5 3 2 3 5 3" xfId="16890" xr:uid="{18FA2922-CC4E-446B-9672-320D189E98D3}"/>
    <cellStyle name="Comma 5 3 2 3 5 3 2" xfId="47130" xr:uid="{9076CB5F-301E-4260-8284-0C6E50C17415}"/>
    <cellStyle name="Comma 5 3 2 3 5 4" xfId="32010" xr:uid="{90ADFFB9-BD84-4B97-ACC5-4BC27869FB61}"/>
    <cellStyle name="Comma 5 3 2 3 6" xfId="3282" xr:uid="{6CAE461D-DAA8-4E58-B7ED-B6ADA3F927F8}"/>
    <cellStyle name="Comma 5 3 2 3 6 2" xfId="12354" xr:uid="{36E2C8AB-0447-4655-82F0-F5318D7D8B57}"/>
    <cellStyle name="Comma 5 3 2 3 6 2 2" xfId="27474" xr:uid="{872D88CF-1A96-437A-9872-E9BAE001159C}"/>
    <cellStyle name="Comma 5 3 2 3 6 2 2 2" xfId="57714" xr:uid="{99D88A09-2F24-459F-AE37-1DA2EBABC78C}"/>
    <cellStyle name="Comma 5 3 2 3 6 2 3" xfId="42594" xr:uid="{3D725BDF-2658-4D70-9C53-64A0A0B46C26}"/>
    <cellStyle name="Comma 5 3 2 3 6 3" xfId="18402" xr:uid="{7F5DC2AE-1135-4EFA-9819-D42158EC05D0}"/>
    <cellStyle name="Comma 5 3 2 3 6 3 2" xfId="48642" xr:uid="{DE30CE85-E67A-4B88-9581-1F3ACCB314AA}"/>
    <cellStyle name="Comma 5 3 2 3 6 4" xfId="33522" xr:uid="{A347AA24-4461-4BC4-BB12-DAE21CA76352}"/>
    <cellStyle name="Comma 5 3 2 3 7" xfId="4794" xr:uid="{1605F600-4ADC-413B-82C7-322598CA1C13}"/>
    <cellStyle name="Comma 5 3 2 3 7 2" xfId="13866" xr:uid="{EE7BA226-E4E6-43A7-950E-16807429446C}"/>
    <cellStyle name="Comma 5 3 2 3 7 2 2" xfId="28986" xr:uid="{BE86EE82-6343-4560-9CA0-8D06E390ADA1}"/>
    <cellStyle name="Comma 5 3 2 3 7 2 2 2" xfId="59226" xr:uid="{5C1B7308-76B5-45C8-908F-2E7A0ABEC74B}"/>
    <cellStyle name="Comma 5 3 2 3 7 2 3" xfId="44106" xr:uid="{07E8CBC8-48A7-4B7B-90D1-B108E8FDA268}"/>
    <cellStyle name="Comma 5 3 2 3 7 3" xfId="19914" xr:uid="{B9CF800E-42CA-4B22-9E99-80BECE93EA9F}"/>
    <cellStyle name="Comma 5 3 2 3 7 3 2" xfId="50154" xr:uid="{E6935246-1249-49EE-99ED-69E6DB2E2AA4}"/>
    <cellStyle name="Comma 5 3 2 3 7 4" xfId="35034" xr:uid="{FF011431-EBC9-4F53-B6C0-C0E594028B31}"/>
    <cellStyle name="Comma 5 3 2 3 8" xfId="6306" xr:uid="{20A912CB-11B7-492C-9012-C48EB7AC8223}"/>
    <cellStyle name="Comma 5 3 2 3 8 2" xfId="21426" xr:uid="{5DAD9B32-8F4E-457B-B3F0-538DA9B793BC}"/>
    <cellStyle name="Comma 5 3 2 3 8 2 2" xfId="51666" xr:uid="{5F34A0F5-A262-47E8-8589-00CC102B03DA}"/>
    <cellStyle name="Comma 5 3 2 3 8 3" xfId="36546" xr:uid="{3E813634-3D30-47AE-874D-BC71997C5D40}"/>
    <cellStyle name="Comma 5 3 2 3 9" xfId="7818" xr:uid="{42B5D643-9208-4A21-9A25-491877E9B3A7}"/>
    <cellStyle name="Comma 5 3 2 3 9 2" xfId="22938" xr:uid="{55F29BFB-A14F-46D6-9E94-AD16931AF32E}"/>
    <cellStyle name="Comma 5 3 2 3 9 2 2" xfId="53178" xr:uid="{044C712C-B64F-4CBF-8FBA-D06359577F8B}"/>
    <cellStyle name="Comma 5 3 2 3 9 3" xfId="38058" xr:uid="{529B6DA5-9188-433C-AE65-BA542B773269}"/>
    <cellStyle name="Comma 5 3 2 4" xfId="342" xr:uid="{7899D3F4-FEB6-4C70-AA58-1DDEDC56D3AA}"/>
    <cellStyle name="Comma 5 3 2 4 10" xfId="30582" xr:uid="{54E13CF6-E10D-4953-BD24-EF781D84651C}"/>
    <cellStyle name="Comma 5 3 2 4 2" xfId="1098" xr:uid="{DEBBD9E2-5554-46FC-B8D1-A681F16DA197}"/>
    <cellStyle name="Comma 5 3 2 4 2 2" xfId="2610" xr:uid="{FE60D180-118B-4CCB-8988-F2E3CC32E4BD}"/>
    <cellStyle name="Comma 5 3 2 4 2 2 2" xfId="11682" xr:uid="{4040F1C9-865F-49B5-A9C2-B3F466343E04}"/>
    <cellStyle name="Comma 5 3 2 4 2 2 2 2" xfId="26802" xr:uid="{52CC3B31-D2B6-45DD-8981-120817EBF1D7}"/>
    <cellStyle name="Comma 5 3 2 4 2 2 2 2 2" xfId="57042" xr:uid="{11DCEBFF-9C2B-45D8-87DE-2EC27DD04873}"/>
    <cellStyle name="Comma 5 3 2 4 2 2 2 3" xfId="41922" xr:uid="{C44BD2BC-CA6A-4143-AB1C-0BC3F86E111B}"/>
    <cellStyle name="Comma 5 3 2 4 2 2 3" xfId="17730" xr:uid="{65844E56-2123-489B-ACB7-4FBFF615DC95}"/>
    <cellStyle name="Comma 5 3 2 4 2 2 3 2" xfId="47970" xr:uid="{0C5E090D-C354-4921-B9CA-35700DC29417}"/>
    <cellStyle name="Comma 5 3 2 4 2 2 4" xfId="32850" xr:uid="{627A388D-423A-45BD-A276-DBCF6ADF0900}"/>
    <cellStyle name="Comma 5 3 2 4 2 3" xfId="4122" xr:uid="{9015F3AF-8D81-46EC-A74F-1AB3C0F16A79}"/>
    <cellStyle name="Comma 5 3 2 4 2 3 2" xfId="13194" xr:uid="{1CE4F6D8-560A-4528-8746-67B4C8EF2C17}"/>
    <cellStyle name="Comma 5 3 2 4 2 3 2 2" xfId="28314" xr:uid="{147CFA2D-1DD7-42FF-92A6-C87A2964C7C2}"/>
    <cellStyle name="Comma 5 3 2 4 2 3 2 2 2" xfId="58554" xr:uid="{AAA1FD7F-B5D9-4664-9F5C-245BD45539CF}"/>
    <cellStyle name="Comma 5 3 2 4 2 3 2 3" xfId="43434" xr:uid="{44167C5C-C520-4EDE-B1E5-40A05F1C9042}"/>
    <cellStyle name="Comma 5 3 2 4 2 3 3" xfId="19242" xr:uid="{F045130A-66AE-460C-B11C-2068E25E089B}"/>
    <cellStyle name="Comma 5 3 2 4 2 3 3 2" xfId="49482" xr:uid="{FDA0711B-FDF0-4712-A3E7-C5C943C52171}"/>
    <cellStyle name="Comma 5 3 2 4 2 3 4" xfId="34362" xr:uid="{C39CCF16-513D-4DEE-9DB1-021686971342}"/>
    <cellStyle name="Comma 5 3 2 4 2 4" xfId="5634" xr:uid="{9EC5EF5D-245F-44CB-B63B-AAA282219963}"/>
    <cellStyle name="Comma 5 3 2 4 2 4 2" xfId="14706" xr:uid="{1C831AB1-5D23-451C-B6E9-E185FFE3D22D}"/>
    <cellStyle name="Comma 5 3 2 4 2 4 2 2" xfId="29826" xr:uid="{DD6C0C53-84F3-480E-BBE8-989E281A0210}"/>
    <cellStyle name="Comma 5 3 2 4 2 4 2 2 2" xfId="60066" xr:uid="{CC6F9AE6-6A32-46A9-BC2A-C21B0B93BE96}"/>
    <cellStyle name="Comma 5 3 2 4 2 4 2 3" xfId="44946" xr:uid="{F84DA774-4953-4388-A248-12DE10DB398A}"/>
    <cellStyle name="Comma 5 3 2 4 2 4 3" xfId="20754" xr:uid="{65AB2713-9007-44EF-B503-16BAFD553653}"/>
    <cellStyle name="Comma 5 3 2 4 2 4 3 2" xfId="50994" xr:uid="{A8C2D234-AE3A-4F31-93B0-057C531A8585}"/>
    <cellStyle name="Comma 5 3 2 4 2 4 4" xfId="35874" xr:uid="{8271CB6F-82B2-4FD4-99F7-B1607BB6721C}"/>
    <cellStyle name="Comma 5 3 2 4 2 5" xfId="7146" xr:uid="{A812DA47-5A4E-4569-833C-F865DE6E582F}"/>
    <cellStyle name="Comma 5 3 2 4 2 5 2" xfId="22266" xr:uid="{B5CB3D52-570B-41C7-A532-E0E8E8EFE377}"/>
    <cellStyle name="Comma 5 3 2 4 2 5 2 2" xfId="52506" xr:uid="{CE2AC878-1BC3-4F20-B8DE-073D6D623E0E}"/>
    <cellStyle name="Comma 5 3 2 4 2 5 3" xfId="37386" xr:uid="{7EAFA396-6806-41F4-B59F-AC988B07418B}"/>
    <cellStyle name="Comma 5 3 2 4 2 6" xfId="8658" xr:uid="{17FC07B5-32D7-44C7-BE2F-E305DD11F582}"/>
    <cellStyle name="Comma 5 3 2 4 2 6 2" xfId="23778" xr:uid="{366E1BC0-9C0D-4AE8-BCF2-1D9747FBD1A9}"/>
    <cellStyle name="Comma 5 3 2 4 2 6 2 2" xfId="54018" xr:uid="{F2F0A203-300D-4972-9E7A-87127BB95009}"/>
    <cellStyle name="Comma 5 3 2 4 2 6 3" xfId="38898" xr:uid="{3FFBE125-DF35-49DF-A766-91DCAE96B065}"/>
    <cellStyle name="Comma 5 3 2 4 2 7" xfId="10170" xr:uid="{E78023A3-962F-4798-B388-E993DA3D60B9}"/>
    <cellStyle name="Comma 5 3 2 4 2 7 2" xfId="25290" xr:uid="{267EBD2F-107D-4BE5-9DF1-2B6A91AE4FA3}"/>
    <cellStyle name="Comma 5 3 2 4 2 7 2 2" xfId="55530" xr:uid="{58440811-7FB1-4025-8A2B-C4C2B0728549}"/>
    <cellStyle name="Comma 5 3 2 4 2 7 3" xfId="40410" xr:uid="{3EA304AF-BBCF-41F9-953C-A443A76F168A}"/>
    <cellStyle name="Comma 5 3 2 4 2 8" xfId="16218" xr:uid="{4493ED7C-6118-42DC-906D-C3AFDE9E5487}"/>
    <cellStyle name="Comma 5 3 2 4 2 8 2" xfId="46458" xr:uid="{9B9BEAB3-5D04-4439-BE29-B184D6B3E127}"/>
    <cellStyle name="Comma 5 3 2 4 2 9" xfId="31338" xr:uid="{9837D284-3083-4826-B04D-8A29A6F7E57A}"/>
    <cellStyle name="Comma 5 3 2 4 3" xfId="1854" xr:uid="{511D9C79-78E1-4CB3-9781-0B0BCCF70FA7}"/>
    <cellStyle name="Comma 5 3 2 4 3 2" xfId="10926" xr:uid="{F1D6B762-306D-4F07-9EDF-D161CF427C16}"/>
    <cellStyle name="Comma 5 3 2 4 3 2 2" xfId="26046" xr:uid="{74391E95-E972-4E4B-88C9-2D8687500E51}"/>
    <cellStyle name="Comma 5 3 2 4 3 2 2 2" xfId="56286" xr:uid="{340ED47A-F12B-4084-8443-377FC73ECCFB}"/>
    <cellStyle name="Comma 5 3 2 4 3 2 3" xfId="41166" xr:uid="{BE73ED3E-6189-4F47-9CE7-DF888171A4FC}"/>
    <cellStyle name="Comma 5 3 2 4 3 3" xfId="16974" xr:uid="{DC6E0C69-D915-41AA-9820-0E779293EE6C}"/>
    <cellStyle name="Comma 5 3 2 4 3 3 2" xfId="47214" xr:uid="{95515C86-CAB1-454E-BE30-593B7D5E4A2E}"/>
    <cellStyle name="Comma 5 3 2 4 3 4" xfId="32094" xr:uid="{C171170A-119B-4AC8-BCAC-E7562F98DF06}"/>
    <cellStyle name="Comma 5 3 2 4 4" xfId="3366" xr:uid="{131D7413-DA6D-4D89-82A0-359E89D1D35F}"/>
    <cellStyle name="Comma 5 3 2 4 4 2" xfId="12438" xr:uid="{D38D1B82-59FE-4128-A8EF-EC111BA8D16B}"/>
    <cellStyle name="Comma 5 3 2 4 4 2 2" xfId="27558" xr:uid="{E0015D76-2190-4C06-8C68-D994E888BC76}"/>
    <cellStyle name="Comma 5 3 2 4 4 2 2 2" xfId="57798" xr:uid="{4F63C94E-3C63-4D53-B6D0-B26ED4279742}"/>
    <cellStyle name="Comma 5 3 2 4 4 2 3" xfId="42678" xr:uid="{04E6E98A-20BA-4900-8916-1CBFBD5BA4C1}"/>
    <cellStyle name="Comma 5 3 2 4 4 3" xfId="18486" xr:uid="{FCC496AA-A178-4C77-AC90-C6E43C19B6E5}"/>
    <cellStyle name="Comma 5 3 2 4 4 3 2" xfId="48726" xr:uid="{3AA08702-4DD8-4332-A032-7FA1AF11E94F}"/>
    <cellStyle name="Comma 5 3 2 4 4 4" xfId="33606" xr:uid="{5584B237-4139-48A8-ABCE-93070B1E98EC}"/>
    <cellStyle name="Comma 5 3 2 4 5" xfId="4878" xr:uid="{B06427AE-BB6F-41BF-9704-334041746678}"/>
    <cellStyle name="Comma 5 3 2 4 5 2" xfId="13950" xr:uid="{0415DD9C-1783-4B21-B1AA-BEC24CBC89E4}"/>
    <cellStyle name="Comma 5 3 2 4 5 2 2" xfId="29070" xr:uid="{1DC19FD7-2B47-4F32-94F1-0E87E381B9D4}"/>
    <cellStyle name="Comma 5 3 2 4 5 2 2 2" xfId="59310" xr:uid="{BFB5D365-0D66-4D6A-8F81-BFE648EF7406}"/>
    <cellStyle name="Comma 5 3 2 4 5 2 3" xfId="44190" xr:uid="{76D06B01-E8C9-44C4-BFF8-F6D0A31D784E}"/>
    <cellStyle name="Comma 5 3 2 4 5 3" xfId="19998" xr:uid="{34A94483-CB8F-4B75-B839-FBB5A597F1A4}"/>
    <cellStyle name="Comma 5 3 2 4 5 3 2" xfId="50238" xr:uid="{637E8984-3927-484F-ABD1-3A5E917FE3CD}"/>
    <cellStyle name="Comma 5 3 2 4 5 4" xfId="35118" xr:uid="{FC7568F3-72FF-45E3-96A7-CC68A0A6691F}"/>
    <cellStyle name="Comma 5 3 2 4 6" xfId="6390" xr:uid="{D08B4EBE-1B4A-4126-A0E5-83573C39E53F}"/>
    <cellStyle name="Comma 5 3 2 4 6 2" xfId="21510" xr:uid="{C03E07F1-3652-491E-9D05-89FA4407729B}"/>
    <cellStyle name="Comma 5 3 2 4 6 2 2" xfId="51750" xr:uid="{ABA6C929-0E45-46F7-B1FC-800C4C8CA6EE}"/>
    <cellStyle name="Comma 5 3 2 4 6 3" xfId="36630" xr:uid="{AEE2187C-F802-4166-AA44-F47879B26F80}"/>
    <cellStyle name="Comma 5 3 2 4 7" xfId="7902" xr:uid="{DDAC9C26-24BF-4700-ABE0-AC137647660A}"/>
    <cellStyle name="Comma 5 3 2 4 7 2" xfId="23022" xr:uid="{868F9DF5-17DA-4788-9F5F-AAAA0A16E186}"/>
    <cellStyle name="Comma 5 3 2 4 7 2 2" xfId="53262" xr:uid="{B08E7030-6706-445E-8605-F82E8A63DCC0}"/>
    <cellStyle name="Comma 5 3 2 4 7 3" xfId="38142" xr:uid="{DE96AE1B-940E-428F-A13B-2B7D21E0F255}"/>
    <cellStyle name="Comma 5 3 2 4 8" xfId="9414" xr:uid="{E16AFFC5-9D3B-4FC5-AA1C-4B2A851E68E0}"/>
    <cellStyle name="Comma 5 3 2 4 8 2" xfId="24534" xr:uid="{06FF60C8-AAEE-466E-9C83-68C41121C2DA}"/>
    <cellStyle name="Comma 5 3 2 4 8 2 2" xfId="54774" xr:uid="{33A18174-1B51-4503-BE06-6FC8BA51E2CF}"/>
    <cellStyle name="Comma 5 3 2 4 8 3" xfId="39654" xr:uid="{1A7175F7-9C71-41DA-B5C4-D3FBC9735BA3}"/>
    <cellStyle name="Comma 5 3 2 4 9" xfId="15462" xr:uid="{0665D99A-586A-41F8-8014-F7FAB8099268}"/>
    <cellStyle name="Comma 5 3 2 4 9 2" xfId="45702" xr:uid="{F748D1C7-EF80-4276-9C49-E68FA38820C5}"/>
    <cellStyle name="Comma 5 3 2 5" xfId="594" xr:uid="{8AFE494E-751E-4A50-8BB9-25D259DA71D9}"/>
    <cellStyle name="Comma 5 3 2 5 10" xfId="30834" xr:uid="{07231242-D587-43C3-83D4-E2AB61B71916}"/>
    <cellStyle name="Comma 5 3 2 5 2" xfId="1350" xr:uid="{E9401D24-CD9B-49C7-B87E-DE62D442B268}"/>
    <cellStyle name="Comma 5 3 2 5 2 2" xfId="2862" xr:uid="{8AD615B9-3E73-4987-964E-D6C53249C2CF}"/>
    <cellStyle name="Comma 5 3 2 5 2 2 2" xfId="11934" xr:uid="{E1DC760B-5936-4D69-B4E9-07F60CA1599A}"/>
    <cellStyle name="Comma 5 3 2 5 2 2 2 2" xfId="27054" xr:uid="{1A6CF15D-E126-4436-B8F3-1D9499F0DAAE}"/>
    <cellStyle name="Comma 5 3 2 5 2 2 2 2 2" xfId="57294" xr:uid="{760D61F8-0048-4C83-8CB6-C53E9A50DA75}"/>
    <cellStyle name="Comma 5 3 2 5 2 2 2 3" xfId="42174" xr:uid="{7E8BB162-58F2-4177-A4D1-4F120C8A5669}"/>
    <cellStyle name="Comma 5 3 2 5 2 2 3" xfId="17982" xr:uid="{9D31672A-8687-4C30-912C-61279DF75897}"/>
    <cellStyle name="Comma 5 3 2 5 2 2 3 2" xfId="48222" xr:uid="{43910C75-A0F3-4575-A54A-D18D9BFFD255}"/>
    <cellStyle name="Comma 5 3 2 5 2 2 4" xfId="33102" xr:uid="{4D3440DE-1E69-41CE-99DC-236F3A6E3C91}"/>
    <cellStyle name="Comma 5 3 2 5 2 3" xfId="4374" xr:uid="{A594034A-4F71-4A69-80C2-0D5FA738204B}"/>
    <cellStyle name="Comma 5 3 2 5 2 3 2" xfId="13446" xr:uid="{A393427C-C842-4527-BFD3-243A9CBBFB54}"/>
    <cellStyle name="Comma 5 3 2 5 2 3 2 2" xfId="28566" xr:uid="{ADAD5C48-03F4-460E-A50D-B70779C1C48C}"/>
    <cellStyle name="Comma 5 3 2 5 2 3 2 2 2" xfId="58806" xr:uid="{EEB38DCE-A05B-4487-A363-8969E1725EC8}"/>
    <cellStyle name="Comma 5 3 2 5 2 3 2 3" xfId="43686" xr:uid="{8833C908-CDFA-49E9-90B7-6897A3378C29}"/>
    <cellStyle name="Comma 5 3 2 5 2 3 3" xfId="19494" xr:uid="{695DEE43-2B72-497B-8B8C-3B3FF4E899D8}"/>
    <cellStyle name="Comma 5 3 2 5 2 3 3 2" xfId="49734" xr:uid="{56A88A0E-95F0-4532-80CE-FE23923A767F}"/>
    <cellStyle name="Comma 5 3 2 5 2 3 4" xfId="34614" xr:uid="{9A892AA5-74A6-4DA6-A5BF-EDEE990E02E3}"/>
    <cellStyle name="Comma 5 3 2 5 2 4" xfId="5886" xr:uid="{533E7C54-10B1-4CFF-9520-228E94F10E4D}"/>
    <cellStyle name="Comma 5 3 2 5 2 4 2" xfId="14958" xr:uid="{F49709B3-B80B-40E2-8563-E76491BCE094}"/>
    <cellStyle name="Comma 5 3 2 5 2 4 2 2" xfId="30078" xr:uid="{19CFC41B-F37A-4EAD-A781-0DAF58DEFDB3}"/>
    <cellStyle name="Comma 5 3 2 5 2 4 2 2 2" xfId="60318" xr:uid="{B708DB48-C093-4085-80D2-B5E7A43D3D15}"/>
    <cellStyle name="Comma 5 3 2 5 2 4 2 3" xfId="45198" xr:uid="{A93ADD30-1255-4BF5-86FD-0864935B3932}"/>
    <cellStyle name="Comma 5 3 2 5 2 4 3" xfId="21006" xr:uid="{D0A11AD3-1211-4C30-9CAD-77EE766D7531}"/>
    <cellStyle name="Comma 5 3 2 5 2 4 3 2" xfId="51246" xr:uid="{9000AA75-0F6F-4DD0-BBF0-3808D1AE8495}"/>
    <cellStyle name="Comma 5 3 2 5 2 4 4" xfId="36126" xr:uid="{E4A68F37-E341-4B15-8E28-29F05EDD2993}"/>
    <cellStyle name="Comma 5 3 2 5 2 5" xfId="7398" xr:uid="{E32AA3E3-AE3B-4C23-8D39-0BDA6AF5EDF2}"/>
    <cellStyle name="Comma 5 3 2 5 2 5 2" xfId="22518" xr:uid="{F62E082B-A766-4FE7-81F1-2E9144ACC048}"/>
    <cellStyle name="Comma 5 3 2 5 2 5 2 2" xfId="52758" xr:uid="{0A768CC7-EC3C-4E28-9AC0-CC0C8652C0A8}"/>
    <cellStyle name="Comma 5 3 2 5 2 5 3" xfId="37638" xr:uid="{D945AD7A-C8A5-4F3B-B021-367963F90347}"/>
    <cellStyle name="Comma 5 3 2 5 2 6" xfId="8910" xr:uid="{674EAC29-B387-4ADB-99DF-FDF64504265E}"/>
    <cellStyle name="Comma 5 3 2 5 2 6 2" xfId="24030" xr:uid="{52F50C07-2C06-492B-BB9A-5A36983D9995}"/>
    <cellStyle name="Comma 5 3 2 5 2 6 2 2" xfId="54270" xr:uid="{E39CE643-B791-45D2-B1FA-87A47424DD55}"/>
    <cellStyle name="Comma 5 3 2 5 2 6 3" xfId="39150" xr:uid="{2013D6B9-595B-440B-8D01-4BF23D6251B5}"/>
    <cellStyle name="Comma 5 3 2 5 2 7" xfId="10422" xr:uid="{A4A87017-9D73-47D5-9D93-02F884E1E3E1}"/>
    <cellStyle name="Comma 5 3 2 5 2 7 2" xfId="25542" xr:uid="{AD2DAE87-CCA0-472F-83C7-704C7F1DB4FD}"/>
    <cellStyle name="Comma 5 3 2 5 2 7 2 2" xfId="55782" xr:uid="{BAABB674-FF88-4712-8B2E-A865EFD00136}"/>
    <cellStyle name="Comma 5 3 2 5 2 7 3" xfId="40662" xr:uid="{A51A4035-D545-4F98-A138-EA5E4171E55F}"/>
    <cellStyle name="Comma 5 3 2 5 2 8" xfId="16470" xr:uid="{B4AEBA1F-B3AA-4DB8-A610-1F36DACDE174}"/>
    <cellStyle name="Comma 5 3 2 5 2 8 2" xfId="46710" xr:uid="{C8EDD951-7A61-48B6-B534-4FC144540852}"/>
    <cellStyle name="Comma 5 3 2 5 2 9" xfId="31590" xr:uid="{23A2F6F4-9001-4AEE-9EDD-701C768E53DC}"/>
    <cellStyle name="Comma 5 3 2 5 3" xfId="2106" xr:uid="{4E75C6A6-3B10-4FE3-8923-E40A5EDDDCE1}"/>
    <cellStyle name="Comma 5 3 2 5 3 2" xfId="11178" xr:uid="{1AE32DAA-A523-4FD3-A55C-9805767C3E02}"/>
    <cellStyle name="Comma 5 3 2 5 3 2 2" xfId="26298" xr:uid="{637BDBD5-2415-4117-BC8A-F0FF255252E2}"/>
    <cellStyle name="Comma 5 3 2 5 3 2 2 2" xfId="56538" xr:uid="{CC01AA67-C96A-4798-BCC9-5E194C7D47E1}"/>
    <cellStyle name="Comma 5 3 2 5 3 2 3" xfId="41418" xr:uid="{F2128641-769D-4E91-A3D6-E8DB74AF17F4}"/>
    <cellStyle name="Comma 5 3 2 5 3 3" xfId="17226" xr:uid="{A88392DE-9F3F-416B-BD5A-F74D5342BBE2}"/>
    <cellStyle name="Comma 5 3 2 5 3 3 2" xfId="47466" xr:uid="{69E0134A-3FE1-4440-BD4A-AB28E1DC3F91}"/>
    <cellStyle name="Comma 5 3 2 5 3 4" xfId="32346" xr:uid="{22D083B1-E5BD-4D37-B349-969EDF75D425}"/>
    <cellStyle name="Comma 5 3 2 5 4" xfId="3618" xr:uid="{90957110-BF47-498C-B946-E391A934EA72}"/>
    <cellStyle name="Comma 5 3 2 5 4 2" xfId="12690" xr:uid="{1EF29DB3-D6F1-4C78-9638-5343994B1C46}"/>
    <cellStyle name="Comma 5 3 2 5 4 2 2" xfId="27810" xr:uid="{376B5726-BFF0-419A-9388-C3C22791C9D4}"/>
    <cellStyle name="Comma 5 3 2 5 4 2 2 2" xfId="58050" xr:uid="{49BA78B3-5145-4F03-9C4D-09C6D798D341}"/>
    <cellStyle name="Comma 5 3 2 5 4 2 3" xfId="42930" xr:uid="{FC749A01-FC51-4146-A223-030CBE7C6D92}"/>
    <cellStyle name="Comma 5 3 2 5 4 3" xfId="18738" xr:uid="{F73682EB-591E-47CB-8EB0-B05F8A7DB5B0}"/>
    <cellStyle name="Comma 5 3 2 5 4 3 2" xfId="48978" xr:uid="{44D61492-E511-4C95-8239-11AB677DBECE}"/>
    <cellStyle name="Comma 5 3 2 5 4 4" xfId="33858" xr:uid="{2DF08844-5395-40B3-AB6F-BE6F6F836AB5}"/>
    <cellStyle name="Comma 5 3 2 5 5" xfId="5130" xr:uid="{B251CC8C-4A95-46CE-83FF-3F9853BA64B2}"/>
    <cellStyle name="Comma 5 3 2 5 5 2" xfId="14202" xr:uid="{638F3331-1AD9-44A8-B5DB-6480F06D4009}"/>
    <cellStyle name="Comma 5 3 2 5 5 2 2" xfId="29322" xr:uid="{9E30CCF7-D5FD-41D2-B8D3-E6B06E521329}"/>
    <cellStyle name="Comma 5 3 2 5 5 2 2 2" xfId="59562" xr:uid="{27652662-F6DC-4124-8F01-C1A57F777464}"/>
    <cellStyle name="Comma 5 3 2 5 5 2 3" xfId="44442" xr:uid="{EBAA5363-31CB-4470-9236-0ACA79A5D3DD}"/>
    <cellStyle name="Comma 5 3 2 5 5 3" xfId="20250" xr:uid="{D1224625-4357-4C0F-AA7C-94038E81091C}"/>
    <cellStyle name="Comma 5 3 2 5 5 3 2" xfId="50490" xr:uid="{83A1BFAC-6583-4206-B2F0-10D06217B3F7}"/>
    <cellStyle name="Comma 5 3 2 5 5 4" xfId="35370" xr:uid="{1FC67A34-722E-46A3-9AA4-CC17123821C1}"/>
    <cellStyle name="Comma 5 3 2 5 6" xfId="6642" xr:uid="{550C5E31-C11E-44C1-87C1-E55C036E46E9}"/>
    <cellStyle name="Comma 5 3 2 5 6 2" xfId="21762" xr:uid="{9DB1D462-AB77-475C-B34D-306ACC868F2B}"/>
    <cellStyle name="Comma 5 3 2 5 6 2 2" xfId="52002" xr:uid="{B0CBFCDF-D742-49D6-B94D-1D75853CA94E}"/>
    <cellStyle name="Comma 5 3 2 5 6 3" xfId="36882" xr:uid="{7A18D6B5-F387-4524-8A0F-80485FBE20A8}"/>
    <cellStyle name="Comma 5 3 2 5 7" xfId="8154" xr:uid="{EC864064-0C2C-4DBC-BBB8-04ACAAF6636E}"/>
    <cellStyle name="Comma 5 3 2 5 7 2" xfId="23274" xr:uid="{74AC571B-D689-4CEA-A0D9-B76875F6734C}"/>
    <cellStyle name="Comma 5 3 2 5 7 2 2" xfId="53514" xr:uid="{2F8EA3BA-8275-4DFE-971B-28B0FC53031D}"/>
    <cellStyle name="Comma 5 3 2 5 7 3" xfId="38394" xr:uid="{0DFD23E0-197A-413F-96D9-46DD25931899}"/>
    <cellStyle name="Comma 5 3 2 5 8" xfId="9666" xr:uid="{60BADFF1-1C81-4C05-85BE-406BDEC5E9DB}"/>
    <cellStyle name="Comma 5 3 2 5 8 2" xfId="24786" xr:uid="{69A62C06-2EC5-436F-A556-FBE5A293431B}"/>
    <cellStyle name="Comma 5 3 2 5 8 2 2" xfId="55026" xr:uid="{AC84AC23-944D-4E69-94DA-2EC87701E22D}"/>
    <cellStyle name="Comma 5 3 2 5 8 3" xfId="39906" xr:uid="{06E043F3-2C25-43A8-8E8E-3EB6FA0538D6}"/>
    <cellStyle name="Comma 5 3 2 5 9" xfId="15714" xr:uid="{168A34A7-50B4-4F51-B32A-C9B6EB481B92}"/>
    <cellStyle name="Comma 5 3 2 5 9 2" xfId="45954" xr:uid="{04FF05C4-F66F-46A9-9E6A-67B8E73925F6}"/>
    <cellStyle name="Comma 5 3 2 6" xfId="846" xr:uid="{D6340F1E-E763-4FC8-BE2B-38EDA4EF7B7B}"/>
    <cellStyle name="Comma 5 3 2 6 2" xfId="2358" xr:uid="{1EE5DB78-AA83-4575-BCC9-776EB5DA8C94}"/>
    <cellStyle name="Comma 5 3 2 6 2 2" xfId="11430" xr:uid="{A27EC926-1018-44E5-B2D8-10654A57BFE3}"/>
    <cellStyle name="Comma 5 3 2 6 2 2 2" xfId="26550" xr:uid="{451E2B05-A694-4DBB-BD3D-01B6DAF1635C}"/>
    <cellStyle name="Comma 5 3 2 6 2 2 2 2" xfId="56790" xr:uid="{DD0F486F-1A62-471F-9F47-DD19268D2B36}"/>
    <cellStyle name="Comma 5 3 2 6 2 2 3" xfId="41670" xr:uid="{23CEA16B-7F84-4739-A8CE-5B6DACB70CE4}"/>
    <cellStyle name="Comma 5 3 2 6 2 3" xfId="17478" xr:uid="{E00926D5-E830-45DE-BD71-3B40DEDC6C3E}"/>
    <cellStyle name="Comma 5 3 2 6 2 3 2" xfId="47718" xr:uid="{18DE89AF-0377-43D7-A2CE-A93238D903C3}"/>
    <cellStyle name="Comma 5 3 2 6 2 4" xfId="32598" xr:uid="{B63FA59B-042F-46FE-97FC-6F531FEB189B}"/>
    <cellStyle name="Comma 5 3 2 6 3" xfId="3870" xr:uid="{FD62328E-89EA-4059-AA22-8399FB38ABB8}"/>
    <cellStyle name="Comma 5 3 2 6 3 2" xfId="12942" xr:uid="{CE2A44C2-4FAD-429E-84A3-B186D56651C1}"/>
    <cellStyle name="Comma 5 3 2 6 3 2 2" xfId="28062" xr:uid="{495C491E-65D9-4DFA-AA2C-095BA2F89228}"/>
    <cellStyle name="Comma 5 3 2 6 3 2 2 2" xfId="58302" xr:uid="{968F94EC-78DE-43DA-8994-C15B79BC5A8E}"/>
    <cellStyle name="Comma 5 3 2 6 3 2 3" xfId="43182" xr:uid="{ECDF2CD7-C0AD-4691-9DDE-41756543EEF8}"/>
    <cellStyle name="Comma 5 3 2 6 3 3" xfId="18990" xr:uid="{B24E0D7C-66B6-4957-A617-E8220F23145D}"/>
    <cellStyle name="Comma 5 3 2 6 3 3 2" xfId="49230" xr:uid="{191DF2F0-320B-44F4-882C-274B90E5FB14}"/>
    <cellStyle name="Comma 5 3 2 6 3 4" xfId="34110" xr:uid="{556EEE53-70E2-421D-910F-09A83386D58E}"/>
    <cellStyle name="Comma 5 3 2 6 4" xfId="5382" xr:uid="{73BD13BE-D790-4A8E-842C-C2F9828DDAE5}"/>
    <cellStyle name="Comma 5 3 2 6 4 2" xfId="14454" xr:uid="{9C8133D6-2EB7-4E37-BDF1-A1CE0D996955}"/>
    <cellStyle name="Comma 5 3 2 6 4 2 2" xfId="29574" xr:uid="{6455C99F-5602-46F9-BC0D-D10F259B20DD}"/>
    <cellStyle name="Comma 5 3 2 6 4 2 2 2" xfId="59814" xr:uid="{CCDD72B0-1CBA-436E-B2DD-B1C6B92B189D}"/>
    <cellStyle name="Comma 5 3 2 6 4 2 3" xfId="44694" xr:uid="{1772B03B-E832-4E43-A219-1295ED5A8F1F}"/>
    <cellStyle name="Comma 5 3 2 6 4 3" xfId="20502" xr:uid="{B0B43CF7-FF5D-43AD-9A59-ED9F84C4C22D}"/>
    <cellStyle name="Comma 5 3 2 6 4 3 2" xfId="50742" xr:uid="{662C9479-4491-4507-B921-BF20F2A2EC99}"/>
    <cellStyle name="Comma 5 3 2 6 4 4" xfId="35622" xr:uid="{EFD3BF01-D36C-4E97-9B84-B378FCC75E97}"/>
    <cellStyle name="Comma 5 3 2 6 5" xfId="6894" xr:uid="{3CFD0E10-7BBD-4D82-BE8B-0AB5BBEDF461}"/>
    <cellStyle name="Comma 5 3 2 6 5 2" xfId="22014" xr:uid="{0CE79227-1A88-4B50-A0BB-EE29D2E5001E}"/>
    <cellStyle name="Comma 5 3 2 6 5 2 2" xfId="52254" xr:uid="{4CFFF239-8651-4404-8034-6703BD4D7ED2}"/>
    <cellStyle name="Comma 5 3 2 6 5 3" xfId="37134" xr:uid="{5005A289-AD92-44F5-A2D4-DE8DB17D1788}"/>
    <cellStyle name="Comma 5 3 2 6 6" xfId="8406" xr:uid="{DBB49E58-D7B6-4A18-9972-8FB14C05C1A6}"/>
    <cellStyle name="Comma 5 3 2 6 6 2" xfId="23526" xr:uid="{ACFF0410-CE28-4264-B4AD-9D79468AEE0B}"/>
    <cellStyle name="Comma 5 3 2 6 6 2 2" xfId="53766" xr:uid="{07F522F0-876B-4449-8C3B-8604D5FC442A}"/>
    <cellStyle name="Comma 5 3 2 6 6 3" xfId="38646" xr:uid="{8C33780A-BD28-45EE-A02B-835DA12328E3}"/>
    <cellStyle name="Comma 5 3 2 6 7" xfId="9918" xr:uid="{5F2ED6FD-42C8-40EB-A461-1D976306E651}"/>
    <cellStyle name="Comma 5 3 2 6 7 2" xfId="25038" xr:uid="{9C14E268-5CD4-4EAF-AC1C-784990140E15}"/>
    <cellStyle name="Comma 5 3 2 6 7 2 2" xfId="55278" xr:uid="{2938F8C9-B986-4352-A995-833842BCE07F}"/>
    <cellStyle name="Comma 5 3 2 6 7 3" xfId="40158" xr:uid="{21B64645-9D56-4622-B164-81CEF568B09A}"/>
    <cellStyle name="Comma 5 3 2 6 8" xfId="15966" xr:uid="{746A7A05-6F1B-4678-B5A1-7EDF5E8114D6}"/>
    <cellStyle name="Comma 5 3 2 6 8 2" xfId="46206" xr:uid="{E1DA6F57-F89E-4A8B-B63E-46574F9838FC}"/>
    <cellStyle name="Comma 5 3 2 6 9" xfId="31086" xr:uid="{8740275C-8E82-4460-B216-E3B8D508BAE6}"/>
    <cellStyle name="Comma 5 3 2 7" xfId="1602" xr:uid="{76028438-1176-4538-B37C-7B398A2519B7}"/>
    <cellStyle name="Comma 5 3 2 7 2" xfId="10674" xr:uid="{CF8E8D31-A4DA-4586-9613-CFA1EF449D63}"/>
    <cellStyle name="Comma 5 3 2 7 2 2" xfId="25794" xr:uid="{0C1CFC4C-B42E-4DE0-95CD-D77252FC1E36}"/>
    <cellStyle name="Comma 5 3 2 7 2 2 2" xfId="56034" xr:uid="{A99E7982-922D-443E-A7F7-FE6B2D5576E7}"/>
    <cellStyle name="Comma 5 3 2 7 2 3" xfId="40914" xr:uid="{2559F203-3212-4EEC-8F88-1ADECBDE5336}"/>
    <cellStyle name="Comma 5 3 2 7 3" xfId="16722" xr:uid="{D75ACF9F-58E2-46C4-ACB2-00710220DB28}"/>
    <cellStyle name="Comma 5 3 2 7 3 2" xfId="46962" xr:uid="{35A5A1A8-A95A-4D48-A720-0E49E84CFB4A}"/>
    <cellStyle name="Comma 5 3 2 7 4" xfId="31842" xr:uid="{588F3570-4718-40E0-91CC-8D717743923B}"/>
    <cellStyle name="Comma 5 3 2 8" xfId="3114" xr:uid="{5005D0ED-7A4F-47AB-AF27-4EB0AA469EE5}"/>
    <cellStyle name="Comma 5 3 2 8 2" xfId="12186" xr:uid="{B11C63D6-B769-4E00-A848-747A3B9A8D08}"/>
    <cellStyle name="Comma 5 3 2 8 2 2" xfId="27306" xr:uid="{8316AC44-9648-4314-8F31-DBCB4355566F}"/>
    <cellStyle name="Comma 5 3 2 8 2 2 2" xfId="57546" xr:uid="{FD7D0E0C-29CB-40C4-97DF-0C089A78A0E8}"/>
    <cellStyle name="Comma 5 3 2 8 2 3" xfId="42426" xr:uid="{A4A168FC-C87D-4643-B7C6-7E608FC6FEF7}"/>
    <cellStyle name="Comma 5 3 2 8 3" xfId="18234" xr:uid="{4819C8FE-2310-4A90-8CC7-2E6DB4FBDF43}"/>
    <cellStyle name="Comma 5 3 2 8 3 2" xfId="48474" xr:uid="{1CC1963F-8704-46AC-82DE-9F34DA57AE94}"/>
    <cellStyle name="Comma 5 3 2 8 4" xfId="33354" xr:uid="{3DD27255-2FC7-4884-9A1D-04248277F229}"/>
    <cellStyle name="Comma 5 3 2 9" xfId="4626" xr:uid="{C3361D18-A2AF-46F3-8B95-E61D727A564D}"/>
    <cellStyle name="Comma 5 3 2 9 2" xfId="13698" xr:uid="{F70D056C-AA5D-4712-9122-9CB87D29BB70}"/>
    <cellStyle name="Comma 5 3 2 9 2 2" xfId="28818" xr:uid="{FCE98814-5617-455B-A31D-9055435F0CB6}"/>
    <cellStyle name="Comma 5 3 2 9 2 2 2" xfId="59058" xr:uid="{C030F1B6-8D72-47EC-B625-B54B175E5380}"/>
    <cellStyle name="Comma 5 3 2 9 2 3" xfId="43938" xr:uid="{52AB3073-38F0-4F59-A019-7812221055D3}"/>
    <cellStyle name="Comma 5 3 2 9 3" xfId="19746" xr:uid="{CFF0253F-47CF-4761-8625-EF251CE9C7F2}"/>
    <cellStyle name="Comma 5 3 2 9 3 2" xfId="49986" xr:uid="{7AA348C6-31AE-4FB9-AFAB-2F264668831B}"/>
    <cellStyle name="Comma 5 3 2 9 4" xfId="34866" xr:uid="{087DBA68-46D4-44DC-9307-8BE2DF7D727A}"/>
    <cellStyle name="Comma 5 3 3" xfId="132" xr:uid="{319ED1ED-2357-4736-BCFE-8FFA089552CE}"/>
    <cellStyle name="Comma 5 3 3 10" xfId="9204" xr:uid="{682DC5C5-EFA5-482B-8111-AE3E610A30F6}"/>
    <cellStyle name="Comma 5 3 3 10 2" xfId="24324" xr:uid="{C9D296DD-50F8-414F-9D9F-D57BC50D2019}"/>
    <cellStyle name="Comma 5 3 3 10 2 2" xfId="54564" xr:uid="{7983F3A6-2165-4CEE-98DB-D49357098357}"/>
    <cellStyle name="Comma 5 3 3 10 3" xfId="39444" xr:uid="{10E7295B-0C9A-46A2-A938-AE384A68DF32}"/>
    <cellStyle name="Comma 5 3 3 11" xfId="15252" xr:uid="{8997AD12-5555-4DDA-B310-62E3FF60EDAE}"/>
    <cellStyle name="Comma 5 3 3 11 2" xfId="45492" xr:uid="{EB0D860E-0BEB-481E-80F1-6FDA07E50E56}"/>
    <cellStyle name="Comma 5 3 3 12" xfId="30372" xr:uid="{F4054986-E001-4DDA-9DC5-6A9C5E4CDF16}"/>
    <cellStyle name="Comma 5 3 3 2" xfId="384" xr:uid="{4584D3F9-87F2-4E9C-B86C-654EA68839EB}"/>
    <cellStyle name="Comma 5 3 3 2 10" xfId="30624" xr:uid="{3C1612D9-0BDC-49F8-8D74-7C70B375256D}"/>
    <cellStyle name="Comma 5 3 3 2 2" xfId="1140" xr:uid="{47BB51F8-AC06-43DB-863E-7083A566AA00}"/>
    <cellStyle name="Comma 5 3 3 2 2 2" xfId="2652" xr:uid="{139CD3D3-B8AA-4D35-B4A0-C66F6D7D392E}"/>
    <cellStyle name="Comma 5 3 3 2 2 2 2" xfId="11724" xr:uid="{E4AE020F-28A1-4E5F-8F6C-E708F09A866A}"/>
    <cellStyle name="Comma 5 3 3 2 2 2 2 2" xfId="26844" xr:uid="{73DAE252-5EE5-44DF-B76D-26A2EA5BC9CA}"/>
    <cellStyle name="Comma 5 3 3 2 2 2 2 2 2" xfId="57084" xr:uid="{8F64AB4C-BF22-4795-BE75-4038D712360C}"/>
    <cellStyle name="Comma 5 3 3 2 2 2 2 3" xfId="41964" xr:uid="{F5DDE9F8-EE70-419C-997C-8484E5BE368A}"/>
    <cellStyle name="Comma 5 3 3 2 2 2 3" xfId="17772" xr:uid="{6A5CAF1F-06DC-464F-9520-976BBD9BBDBE}"/>
    <cellStyle name="Comma 5 3 3 2 2 2 3 2" xfId="48012" xr:uid="{6CD205BE-E6E1-4F51-B64E-941E7BEEE1B4}"/>
    <cellStyle name="Comma 5 3 3 2 2 2 4" xfId="32892" xr:uid="{D1FDCEDF-BEFE-4A4D-A949-04D512E2782D}"/>
    <cellStyle name="Comma 5 3 3 2 2 3" xfId="4164" xr:uid="{DEAA7676-24FE-4630-8BB2-FB6125A4777F}"/>
    <cellStyle name="Comma 5 3 3 2 2 3 2" xfId="13236" xr:uid="{A7D48D20-48B4-45B0-A309-DFFE0BD713EC}"/>
    <cellStyle name="Comma 5 3 3 2 2 3 2 2" xfId="28356" xr:uid="{4CCDF7C0-E6CC-4A8D-BF5D-C7EA42C41DFE}"/>
    <cellStyle name="Comma 5 3 3 2 2 3 2 2 2" xfId="58596" xr:uid="{EEAC40F4-32F0-4EFC-8F16-435F7D290481}"/>
    <cellStyle name="Comma 5 3 3 2 2 3 2 3" xfId="43476" xr:uid="{0A1125E1-9D2F-4EEC-AFC4-927F0F725AC3}"/>
    <cellStyle name="Comma 5 3 3 2 2 3 3" xfId="19284" xr:uid="{D54999A0-4691-4E8A-AEC7-ACC0497722B7}"/>
    <cellStyle name="Comma 5 3 3 2 2 3 3 2" xfId="49524" xr:uid="{C68947C2-FB7A-43B6-B475-B70E819EC786}"/>
    <cellStyle name="Comma 5 3 3 2 2 3 4" xfId="34404" xr:uid="{A740A44F-424A-4B9A-999A-D01F20256783}"/>
    <cellStyle name="Comma 5 3 3 2 2 4" xfId="5676" xr:uid="{0A25A3A9-61A4-4F9E-AFEF-C108CD527AE3}"/>
    <cellStyle name="Comma 5 3 3 2 2 4 2" xfId="14748" xr:uid="{997C03B1-3D49-4517-8E6D-00CF728C7CDB}"/>
    <cellStyle name="Comma 5 3 3 2 2 4 2 2" xfId="29868" xr:uid="{047D7020-5253-4B99-BD39-AAFDAD98B42D}"/>
    <cellStyle name="Comma 5 3 3 2 2 4 2 2 2" xfId="60108" xr:uid="{5268CCA5-5DBF-473F-BB72-18C44353D821}"/>
    <cellStyle name="Comma 5 3 3 2 2 4 2 3" xfId="44988" xr:uid="{F896786C-E21A-4869-916D-60F915D6EFAB}"/>
    <cellStyle name="Comma 5 3 3 2 2 4 3" xfId="20796" xr:uid="{C2239AA1-4013-4668-A894-2DC5BB476BFA}"/>
    <cellStyle name="Comma 5 3 3 2 2 4 3 2" xfId="51036" xr:uid="{FD190914-CFFD-418B-BE41-A8BDAEE54CB2}"/>
    <cellStyle name="Comma 5 3 3 2 2 4 4" xfId="35916" xr:uid="{526FF825-9CF9-4882-8D48-9DB5FFAAE9A6}"/>
    <cellStyle name="Comma 5 3 3 2 2 5" xfId="7188" xr:uid="{026C64AF-F27D-4591-A3AD-E7A52C1F7B71}"/>
    <cellStyle name="Comma 5 3 3 2 2 5 2" xfId="22308" xr:uid="{7D60219D-22A0-4291-87AB-4332303C41E8}"/>
    <cellStyle name="Comma 5 3 3 2 2 5 2 2" xfId="52548" xr:uid="{F4AE92A9-C168-46BB-A89E-4F71CAF91273}"/>
    <cellStyle name="Comma 5 3 3 2 2 5 3" xfId="37428" xr:uid="{B974EAAE-43EA-4CE4-A70D-2841975D4F57}"/>
    <cellStyle name="Comma 5 3 3 2 2 6" xfId="8700" xr:uid="{3AB5AA2B-C71E-499E-98B2-85F7336352BC}"/>
    <cellStyle name="Comma 5 3 3 2 2 6 2" xfId="23820" xr:uid="{7CB2887F-D51F-4B05-B929-18EDEC1B4D87}"/>
    <cellStyle name="Comma 5 3 3 2 2 6 2 2" xfId="54060" xr:uid="{C89B692D-50D9-445E-B237-8C3E73049132}"/>
    <cellStyle name="Comma 5 3 3 2 2 6 3" xfId="38940" xr:uid="{89BCAF28-DE07-4A50-9FFE-3F8CF389B0B0}"/>
    <cellStyle name="Comma 5 3 3 2 2 7" xfId="10212" xr:uid="{091AD1D1-8900-460B-BE09-BCE73C5065BA}"/>
    <cellStyle name="Comma 5 3 3 2 2 7 2" xfId="25332" xr:uid="{97032202-3FA9-473D-9CD5-B55C3B4B65B5}"/>
    <cellStyle name="Comma 5 3 3 2 2 7 2 2" xfId="55572" xr:uid="{D0475B0C-4B02-44C9-AC98-B5E4C0C84172}"/>
    <cellStyle name="Comma 5 3 3 2 2 7 3" xfId="40452" xr:uid="{F516BB0D-3754-4975-9F8B-C92D0CB61DDD}"/>
    <cellStyle name="Comma 5 3 3 2 2 8" xfId="16260" xr:uid="{BD834478-2F76-418D-AB52-D2507200A211}"/>
    <cellStyle name="Comma 5 3 3 2 2 8 2" xfId="46500" xr:uid="{38E36791-82AF-47D8-9D48-C01B77057F14}"/>
    <cellStyle name="Comma 5 3 3 2 2 9" xfId="31380" xr:uid="{64CC0513-F3CF-47A8-9660-79F8738B8D8C}"/>
    <cellStyle name="Comma 5 3 3 2 3" xfId="1896" xr:uid="{DB343E50-60FE-4892-96A2-F6B4085FED49}"/>
    <cellStyle name="Comma 5 3 3 2 3 2" xfId="10968" xr:uid="{9387A848-C104-419A-8A93-E8A3EDC9B873}"/>
    <cellStyle name="Comma 5 3 3 2 3 2 2" xfId="26088" xr:uid="{D79B0BA0-43F9-4CF9-BE4C-BFAD46B9DD0F}"/>
    <cellStyle name="Comma 5 3 3 2 3 2 2 2" xfId="56328" xr:uid="{FF4E4FC1-09A2-4A84-AF04-7B3D699773E6}"/>
    <cellStyle name="Comma 5 3 3 2 3 2 3" xfId="41208" xr:uid="{C60451BE-2528-4F8C-BB51-200F2958EBD9}"/>
    <cellStyle name="Comma 5 3 3 2 3 3" xfId="17016" xr:uid="{D9EEABC1-A494-4BBD-994A-8A0F10A4BF01}"/>
    <cellStyle name="Comma 5 3 3 2 3 3 2" xfId="47256" xr:uid="{BC303A50-62D3-40EA-94E3-E21165A8E674}"/>
    <cellStyle name="Comma 5 3 3 2 3 4" xfId="32136" xr:uid="{D69F937E-BBFA-4681-854F-C32E3F0C6EFC}"/>
    <cellStyle name="Comma 5 3 3 2 4" xfId="3408" xr:uid="{26A754EC-8987-4573-9B73-45A61C33F8A7}"/>
    <cellStyle name="Comma 5 3 3 2 4 2" xfId="12480" xr:uid="{34779388-51AA-40E0-8F14-1DFF90E6E9BF}"/>
    <cellStyle name="Comma 5 3 3 2 4 2 2" xfId="27600" xr:uid="{838D6FF6-90E6-4699-90CF-A1399E298AC9}"/>
    <cellStyle name="Comma 5 3 3 2 4 2 2 2" xfId="57840" xr:uid="{CE67F51E-432C-49D1-BB9F-CBA544B7991E}"/>
    <cellStyle name="Comma 5 3 3 2 4 2 3" xfId="42720" xr:uid="{1D95272F-C84B-4B91-B889-7ACCB35DD314}"/>
    <cellStyle name="Comma 5 3 3 2 4 3" xfId="18528" xr:uid="{3D9F402F-852C-477E-ACA2-F110AB20C93D}"/>
    <cellStyle name="Comma 5 3 3 2 4 3 2" xfId="48768" xr:uid="{DEEB56DE-EBC9-44F8-A26A-EF50B908F843}"/>
    <cellStyle name="Comma 5 3 3 2 4 4" xfId="33648" xr:uid="{1D9F278D-363E-4B09-AA12-70511A08A063}"/>
    <cellStyle name="Comma 5 3 3 2 5" xfId="4920" xr:uid="{FC8D89A3-4EAB-4064-BA33-3A7467C4C3FC}"/>
    <cellStyle name="Comma 5 3 3 2 5 2" xfId="13992" xr:uid="{3D6C5DE2-6BCF-4364-8959-081118871914}"/>
    <cellStyle name="Comma 5 3 3 2 5 2 2" xfId="29112" xr:uid="{925BDAD3-4FEB-4894-A666-471C84C8528D}"/>
    <cellStyle name="Comma 5 3 3 2 5 2 2 2" xfId="59352" xr:uid="{5EBC018D-00F5-425E-BAA7-EAC9730FCD6E}"/>
    <cellStyle name="Comma 5 3 3 2 5 2 3" xfId="44232" xr:uid="{04BB5EA4-9C57-457C-964A-AD699770432A}"/>
    <cellStyle name="Comma 5 3 3 2 5 3" xfId="20040" xr:uid="{5F8FD739-AE51-461E-8B93-3AB82CA5FF61}"/>
    <cellStyle name="Comma 5 3 3 2 5 3 2" xfId="50280" xr:uid="{7E3A2C43-06DA-4E72-8C59-7322C1B317F7}"/>
    <cellStyle name="Comma 5 3 3 2 5 4" xfId="35160" xr:uid="{0F824440-35E6-44D4-8FF1-CAC46F354113}"/>
    <cellStyle name="Comma 5 3 3 2 6" xfId="6432" xr:uid="{F590997E-483E-4CEA-8949-2C4D8A120B18}"/>
    <cellStyle name="Comma 5 3 3 2 6 2" xfId="21552" xr:uid="{294189EC-1BA6-42DA-9983-C99BB5B0D097}"/>
    <cellStyle name="Comma 5 3 3 2 6 2 2" xfId="51792" xr:uid="{6AE85DAB-FF8C-487C-874E-8B45E1582281}"/>
    <cellStyle name="Comma 5 3 3 2 6 3" xfId="36672" xr:uid="{B2848E5E-4659-4345-8527-9FAC8E555AF5}"/>
    <cellStyle name="Comma 5 3 3 2 7" xfId="7944" xr:uid="{1A0BA504-36A9-4AF3-8DA0-CBD1A051985B}"/>
    <cellStyle name="Comma 5 3 3 2 7 2" xfId="23064" xr:uid="{F3F69644-6C79-4AD8-B68B-F38270BE42BB}"/>
    <cellStyle name="Comma 5 3 3 2 7 2 2" xfId="53304" xr:uid="{96FE862A-5121-450B-BB34-4368BE4BB57D}"/>
    <cellStyle name="Comma 5 3 3 2 7 3" xfId="38184" xr:uid="{28B4A092-FC79-4BD9-B44E-0BD7D8A5E473}"/>
    <cellStyle name="Comma 5 3 3 2 8" xfId="9456" xr:uid="{2910514C-DDD1-4F09-8E3B-7BDBF26CA4F3}"/>
    <cellStyle name="Comma 5 3 3 2 8 2" xfId="24576" xr:uid="{FA0485E1-E605-40B7-9789-49C232DC5C38}"/>
    <cellStyle name="Comma 5 3 3 2 8 2 2" xfId="54816" xr:uid="{F651228F-4A30-4641-83C0-DBCC8737C269}"/>
    <cellStyle name="Comma 5 3 3 2 8 3" xfId="39696" xr:uid="{6AE3966C-E606-4195-91AA-A27015E251BA}"/>
    <cellStyle name="Comma 5 3 3 2 9" xfId="15504" xr:uid="{5DE985CE-0A02-4F6F-9FB9-A745538B65DF}"/>
    <cellStyle name="Comma 5 3 3 2 9 2" xfId="45744" xr:uid="{41B5B185-568A-4AE7-AAF2-1A038F765A3F}"/>
    <cellStyle name="Comma 5 3 3 3" xfId="636" xr:uid="{514ADBDA-8792-4BBA-83B7-D9924BA115C3}"/>
    <cellStyle name="Comma 5 3 3 3 10" xfId="30876" xr:uid="{55668005-AB5D-4B24-B217-A60804A2F30E}"/>
    <cellStyle name="Comma 5 3 3 3 2" xfId="1392" xr:uid="{0E122187-9ADC-46CB-833D-1D558213D1F2}"/>
    <cellStyle name="Comma 5 3 3 3 2 2" xfId="2904" xr:uid="{04D65BE2-72DA-457B-89B7-0F0F738EA077}"/>
    <cellStyle name="Comma 5 3 3 3 2 2 2" xfId="11976" xr:uid="{00A42B57-E555-4FE7-B3BA-8B39CB718605}"/>
    <cellStyle name="Comma 5 3 3 3 2 2 2 2" xfId="27096" xr:uid="{0085BEAB-5BFA-4340-A5EE-62F8C7A7EBAA}"/>
    <cellStyle name="Comma 5 3 3 3 2 2 2 2 2" xfId="57336" xr:uid="{429D0DB1-FA67-4FC9-BEEC-6AEC35038851}"/>
    <cellStyle name="Comma 5 3 3 3 2 2 2 3" xfId="42216" xr:uid="{B15618EF-2F04-4371-AE59-18F299B7B069}"/>
    <cellStyle name="Comma 5 3 3 3 2 2 3" xfId="18024" xr:uid="{0877B6CD-697A-43A0-937D-E324F9C0AEC3}"/>
    <cellStyle name="Comma 5 3 3 3 2 2 3 2" xfId="48264" xr:uid="{225B0A68-8CF2-498B-B004-692C7D28FBB0}"/>
    <cellStyle name="Comma 5 3 3 3 2 2 4" xfId="33144" xr:uid="{072A2E18-D896-4B9F-9E58-3B2B156235DD}"/>
    <cellStyle name="Comma 5 3 3 3 2 3" xfId="4416" xr:uid="{3E7E971E-11C2-4085-AAE7-4FFEE881EB5B}"/>
    <cellStyle name="Comma 5 3 3 3 2 3 2" xfId="13488" xr:uid="{98C1FAA6-73E5-4B29-B0E2-58FB4AD3ACDA}"/>
    <cellStyle name="Comma 5 3 3 3 2 3 2 2" xfId="28608" xr:uid="{731039DC-5059-4238-82DC-EC7498111455}"/>
    <cellStyle name="Comma 5 3 3 3 2 3 2 2 2" xfId="58848" xr:uid="{C0700FE3-17A1-4747-B5D3-EED5C8F569EA}"/>
    <cellStyle name="Comma 5 3 3 3 2 3 2 3" xfId="43728" xr:uid="{C2972139-F8D9-4BA4-B481-80B783F05B6C}"/>
    <cellStyle name="Comma 5 3 3 3 2 3 3" xfId="19536" xr:uid="{D21A2944-42C1-4351-B9CA-F1170EAE9DF6}"/>
    <cellStyle name="Comma 5 3 3 3 2 3 3 2" xfId="49776" xr:uid="{30B73AE9-6D8F-4690-A520-32F3446A7051}"/>
    <cellStyle name="Comma 5 3 3 3 2 3 4" xfId="34656" xr:uid="{D040B782-74BE-4D2B-B4BD-0F59864AEAFB}"/>
    <cellStyle name="Comma 5 3 3 3 2 4" xfId="5928" xr:uid="{E527C316-632A-4889-A5F0-AE4861F80F56}"/>
    <cellStyle name="Comma 5 3 3 3 2 4 2" xfId="15000" xr:uid="{19E445F5-8960-4F24-A721-F594F9BE254E}"/>
    <cellStyle name="Comma 5 3 3 3 2 4 2 2" xfId="30120" xr:uid="{F92A3313-5EBA-4BAB-89CB-5AB967831C9C}"/>
    <cellStyle name="Comma 5 3 3 3 2 4 2 2 2" xfId="60360" xr:uid="{7989CFD5-2C3B-4C1D-AEC2-32B67EDCBCC9}"/>
    <cellStyle name="Comma 5 3 3 3 2 4 2 3" xfId="45240" xr:uid="{7E4F9086-E1B1-4BE4-8DFC-86A283A76361}"/>
    <cellStyle name="Comma 5 3 3 3 2 4 3" xfId="21048" xr:uid="{614B7725-ED70-4DF3-B094-BA265930D453}"/>
    <cellStyle name="Comma 5 3 3 3 2 4 3 2" xfId="51288" xr:uid="{9C8B746F-269B-49E0-9848-A8E337365FB0}"/>
    <cellStyle name="Comma 5 3 3 3 2 4 4" xfId="36168" xr:uid="{0E5C467E-4001-427E-A539-8393FAE387A1}"/>
    <cellStyle name="Comma 5 3 3 3 2 5" xfId="7440" xr:uid="{81803276-7510-4E9C-8C01-D22387713DB5}"/>
    <cellStyle name="Comma 5 3 3 3 2 5 2" xfId="22560" xr:uid="{9DD3DD77-EA3C-4DDA-A93F-41A6E847CC48}"/>
    <cellStyle name="Comma 5 3 3 3 2 5 2 2" xfId="52800" xr:uid="{79EC815F-0CF9-4AEB-80FF-F36B6609BBC0}"/>
    <cellStyle name="Comma 5 3 3 3 2 5 3" xfId="37680" xr:uid="{2FB3E127-2A41-4957-A2F0-23C39D4A0168}"/>
    <cellStyle name="Comma 5 3 3 3 2 6" xfId="8952" xr:uid="{D8A09102-DA7D-48F9-B2D3-8B5C787C1A52}"/>
    <cellStyle name="Comma 5 3 3 3 2 6 2" xfId="24072" xr:uid="{8A30F335-9E93-4981-95D0-D894924ABBF1}"/>
    <cellStyle name="Comma 5 3 3 3 2 6 2 2" xfId="54312" xr:uid="{CCAD36AD-A9AB-42A6-9CD5-6F43FD44E329}"/>
    <cellStyle name="Comma 5 3 3 3 2 6 3" xfId="39192" xr:uid="{13322D36-3541-49D6-A4B8-AC7FF938214D}"/>
    <cellStyle name="Comma 5 3 3 3 2 7" xfId="10464" xr:uid="{6037C6D6-B2F5-4AA2-9C80-4A1D92BCEAE2}"/>
    <cellStyle name="Comma 5 3 3 3 2 7 2" xfId="25584" xr:uid="{C4F86DF7-84AC-4DA0-90B7-044B314C0786}"/>
    <cellStyle name="Comma 5 3 3 3 2 7 2 2" xfId="55824" xr:uid="{C9207668-A13A-4C4A-AF59-F3A89F479472}"/>
    <cellStyle name="Comma 5 3 3 3 2 7 3" xfId="40704" xr:uid="{B54FCB1F-5920-4813-AA9F-6BC108482086}"/>
    <cellStyle name="Comma 5 3 3 3 2 8" xfId="16512" xr:uid="{2145CE34-B856-418B-AEE5-4813DA6D1A82}"/>
    <cellStyle name="Comma 5 3 3 3 2 8 2" xfId="46752" xr:uid="{F015E49D-400E-4FBC-A64F-A754580C251D}"/>
    <cellStyle name="Comma 5 3 3 3 2 9" xfId="31632" xr:uid="{9A001487-4F16-4EE6-866B-FAC521858D1D}"/>
    <cellStyle name="Comma 5 3 3 3 3" xfId="2148" xr:uid="{6AB777B3-5082-49AD-B043-976E3831AFB3}"/>
    <cellStyle name="Comma 5 3 3 3 3 2" xfId="11220" xr:uid="{8E40EB77-6414-4C00-9758-E729594C65A9}"/>
    <cellStyle name="Comma 5 3 3 3 3 2 2" xfId="26340" xr:uid="{2E7CF52C-C8D1-4540-B24A-80FCD1B1EF13}"/>
    <cellStyle name="Comma 5 3 3 3 3 2 2 2" xfId="56580" xr:uid="{56B310A7-9F07-4251-B3D4-788E57AA8AD5}"/>
    <cellStyle name="Comma 5 3 3 3 3 2 3" xfId="41460" xr:uid="{9119AE99-D2C1-4124-A708-19BB6086BA20}"/>
    <cellStyle name="Comma 5 3 3 3 3 3" xfId="17268" xr:uid="{60C837B4-6F64-41DA-A230-60EDDC7529FD}"/>
    <cellStyle name="Comma 5 3 3 3 3 3 2" xfId="47508" xr:uid="{3DC33ED1-6462-4470-AED8-E95E27CDD441}"/>
    <cellStyle name="Comma 5 3 3 3 3 4" xfId="32388" xr:uid="{75AC124D-12CC-43FB-8370-4E6B5979B120}"/>
    <cellStyle name="Comma 5 3 3 3 4" xfId="3660" xr:uid="{24219F59-C424-4314-B129-F957415FD735}"/>
    <cellStyle name="Comma 5 3 3 3 4 2" xfId="12732" xr:uid="{0A1DD4F9-1FAF-40D3-84EF-2A337B19889E}"/>
    <cellStyle name="Comma 5 3 3 3 4 2 2" xfId="27852" xr:uid="{1D5B1740-8F5F-4063-90FC-732F05982503}"/>
    <cellStyle name="Comma 5 3 3 3 4 2 2 2" xfId="58092" xr:uid="{B11566E5-3448-4C66-B82B-B1ABC5ECA6DC}"/>
    <cellStyle name="Comma 5 3 3 3 4 2 3" xfId="42972" xr:uid="{9E109F83-542C-4AD9-8785-BD95EA1247A6}"/>
    <cellStyle name="Comma 5 3 3 3 4 3" xfId="18780" xr:uid="{5C4C55BB-E0DF-4678-9830-E89678ADBFC8}"/>
    <cellStyle name="Comma 5 3 3 3 4 3 2" xfId="49020" xr:uid="{EAEE23B8-1777-437C-B6C4-2E908918730E}"/>
    <cellStyle name="Comma 5 3 3 3 4 4" xfId="33900" xr:uid="{74B16A76-6DFD-48F2-98B4-585017F1B3E5}"/>
    <cellStyle name="Comma 5 3 3 3 5" xfId="5172" xr:uid="{F7BD5C1C-10AE-46D2-A11B-A63B03825597}"/>
    <cellStyle name="Comma 5 3 3 3 5 2" xfId="14244" xr:uid="{6FC56382-605D-46B7-9522-8BEE604716AC}"/>
    <cellStyle name="Comma 5 3 3 3 5 2 2" xfId="29364" xr:uid="{FBB02B3E-D87D-447E-B2BE-49CB67632B5F}"/>
    <cellStyle name="Comma 5 3 3 3 5 2 2 2" xfId="59604" xr:uid="{E7757400-0C8C-4967-8E91-873C62EB2D15}"/>
    <cellStyle name="Comma 5 3 3 3 5 2 3" xfId="44484" xr:uid="{C60A3085-2A04-430C-BE34-0951BE3E64FD}"/>
    <cellStyle name="Comma 5 3 3 3 5 3" xfId="20292" xr:uid="{2F8EF9FC-357D-4ADE-ADA0-FF0048DAD49A}"/>
    <cellStyle name="Comma 5 3 3 3 5 3 2" xfId="50532" xr:uid="{A6DAC9A1-1695-43DC-8089-F9E2F89610E9}"/>
    <cellStyle name="Comma 5 3 3 3 5 4" xfId="35412" xr:uid="{D78FE2FB-EECA-49FE-A1C8-7BDD71F6934F}"/>
    <cellStyle name="Comma 5 3 3 3 6" xfId="6684" xr:uid="{C5DF9505-D5E6-443A-B722-DF311AE55248}"/>
    <cellStyle name="Comma 5 3 3 3 6 2" xfId="21804" xr:uid="{17807BBD-5239-44F8-A1A8-CB1A047208CB}"/>
    <cellStyle name="Comma 5 3 3 3 6 2 2" xfId="52044" xr:uid="{57A74097-A84F-4B47-A52B-015341309AFA}"/>
    <cellStyle name="Comma 5 3 3 3 6 3" xfId="36924" xr:uid="{4433AF83-F3CF-4C76-B235-925EE2F564EF}"/>
    <cellStyle name="Comma 5 3 3 3 7" xfId="8196" xr:uid="{294A1703-8577-429C-B7C2-53E03DBAE06E}"/>
    <cellStyle name="Comma 5 3 3 3 7 2" xfId="23316" xr:uid="{83B54571-272B-4E02-88DF-AAF07908ADBD}"/>
    <cellStyle name="Comma 5 3 3 3 7 2 2" xfId="53556" xr:uid="{112F053D-0C96-45A5-91BC-40FE6352D2E2}"/>
    <cellStyle name="Comma 5 3 3 3 7 3" xfId="38436" xr:uid="{6B96B713-06F6-4AB6-9B49-457B5EF65A5B}"/>
    <cellStyle name="Comma 5 3 3 3 8" xfId="9708" xr:uid="{E4653F83-751D-4746-B6A6-AAC56C64175E}"/>
    <cellStyle name="Comma 5 3 3 3 8 2" xfId="24828" xr:uid="{E3399269-5961-41C3-9C5E-C0129FB012A0}"/>
    <cellStyle name="Comma 5 3 3 3 8 2 2" xfId="55068" xr:uid="{9F630182-CB90-4733-94DB-C3386BD4F601}"/>
    <cellStyle name="Comma 5 3 3 3 8 3" xfId="39948" xr:uid="{8C1342F5-EF86-42F2-9466-214797AD9AE3}"/>
    <cellStyle name="Comma 5 3 3 3 9" xfId="15756" xr:uid="{E9842642-E888-4F33-AD01-0C09EA2B1E87}"/>
    <cellStyle name="Comma 5 3 3 3 9 2" xfId="45996" xr:uid="{F3227F07-122B-4448-9F5D-ABAB717A04F5}"/>
    <cellStyle name="Comma 5 3 3 4" xfId="888" xr:uid="{2E106159-3D00-4D9F-B63B-9EF5A003BA1A}"/>
    <cellStyle name="Comma 5 3 3 4 2" xfId="2400" xr:uid="{A3979B26-0B20-40AB-B55D-CE335710D40A}"/>
    <cellStyle name="Comma 5 3 3 4 2 2" xfId="11472" xr:uid="{113BF32B-B77D-4075-BCDD-4E9130AE2139}"/>
    <cellStyle name="Comma 5 3 3 4 2 2 2" xfId="26592" xr:uid="{40279C48-2B97-4AB0-A018-8E9470122A81}"/>
    <cellStyle name="Comma 5 3 3 4 2 2 2 2" xfId="56832" xr:uid="{0512B82C-0278-4722-BE7A-53AC07091FCE}"/>
    <cellStyle name="Comma 5 3 3 4 2 2 3" xfId="41712" xr:uid="{3992C3BB-269A-4D62-B538-72D39B2A1F78}"/>
    <cellStyle name="Comma 5 3 3 4 2 3" xfId="17520" xr:uid="{A72AC404-8DA9-4045-9217-E395B49B2AFC}"/>
    <cellStyle name="Comma 5 3 3 4 2 3 2" xfId="47760" xr:uid="{7B84129C-BA51-4148-94D0-E1E869ADE4B9}"/>
    <cellStyle name="Comma 5 3 3 4 2 4" xfId="32640" xr:uid="{4CB600A8-47A7-4C5E-9777-8331D84B3A2B}"/>
    <cellStyle name="Comma 5 3 3 4 3" xfId="3912" xr:uid="{248ABED9-DC1A-41A5-881B-515D341810CC}"/>
    <cellStyle name="Comma 5 3 3 4 3 2" xfId="12984" xr:uid="{2E581896-D417-47DC-8CBB-A6222B1DE180}"/>
    <cellStyle name="Comma 5 3 3 4 3 2 2" xfId="28104" xr:uid="{20135CF6-2412-4601-BBEF-0D67D86EA860}"/>
    <cellStyle name="Comma 5 3 3 4 3 2 2 2" xfId="58344" xr:uid="{FF689A88-48B7-4BEA-80EC-E8CC0D95858F}"/>
    <cellStyle name="Comma 5 3 3 4 3 2 3" xfId="43224" xr:uid="{09E0B62D-60BE-4960-8869-B8C429768741}"/>
    <cellStyle name="Comma 5 3 3 4 3 3" xfId="19032" xr:uid="{58A802CD-EE86-4E54-BA64-7E5D36600351}"/>
    <cellStyle name="Comma 5 3 3 4 3 3 2" xfId="49272" xr:uid="{426C76D3-4EB2-4317-B863-471D583A7C12}"/>
    <cellStyle name="Comma 5 3 3 4 3 4" xfId="34152" xr:uid="{1E0C0631-C2D3-4203-B025-3D383D8A17DC}"/>
    <cellStyle name="Comma 5 3 3 4 4" xfId="5424" xr:uid="{FBDBB37E-7E2A-409B-9529-2924FE2E9C80}"/>
    <cellStyle name="Comma 5 3 3 4 4 2" xfId="14496" xr:uid="{B6A35DB4-7A7E-4B3B-9890-CF215B0D6D14}"/>
    <cellStyle name="Comma 5 3 3 4 4 2 2" xfId="29616" xr:uid="{4A5BDAD3-BA69-4EB5-BA49-D2B41726A30A}"/>
    <cellStyle name="Comma 5 3 3 4 4 2 2 2" xfId="59856" xr:uid="{CD7DD640-A0BD-4AB3-AD73-4A414B6DFC53}"/>
    <cellStyle name="Comma 5 3 3 4 4 2 3" xfId="44736" xr:uid="{5BC90667-2E09-4763-A346-FA704BA977E6}"/>
    <cellStyle name="Comma 5 3 3 4 4 3" xfId="20544" xr:uid="{931FB552-7B5D-483D-B40D-98CA7741D3AA}"/>
    <cellStyle name="Comma 5 3 3 4 4 3 2" xfId="50784" xr:uid="{569CCE89-DD26-4841-BD3D-9B420EE1E26E}"/>
    <cellStyle name="Comma 5 3 3 4 4 4" xfId="35664" xr:uid="{6D85A5A4-9B66-4D6A-9A4E-5DCBBB10A53E}"/>
    <cellStyle name="Comma 5 3 3 4 5" xfId="6936" xr:uid="{690B55CD-6FB0-4A5A-8512-DACA1540B0EE}"/>
    <cellStyle name="Comma 5 3 3 4 5 2" xfId="22056" xr:uid="{38C6DE68-AD80-4934-94D3-34A2D2138895}"/>
    <cellStyle name="Comma 5 3 3 4 5 2 2" xfId="52296" xr:uid="{95240019-EF0D-42B9-B3F6-3474A9BECCFB}"/>
    <cellStyle name="Comma 5 3 3 4 5 3" xfId="37176" xr:uid="{547253C4-560A-4D1D-AFB3-3FEF39872584}"/>
    <cellStyle name="Comma 5 3 3 4 6" xfId="8448" xr:uid="{3BE51FE5-B66E-4855-9764-AC81A04431BE}"/>
    <cellStyle name="Comma 5 3 3 4 6 2" xfId="23568" xr:uid="{89DD3AD3-ED5B-48D3-B74B-EABFA264A699}"/>
    <cellStyle name="Comma 5 3 3 4 6 2 2" xfId="53808" xr:uid="{992E3760-29CE-4844-AE5B-9D43DBDEE485}"/>
    <cellStyle name="Comma 5 3 3 4 6 3" xfId="38688" xr:uid="{CB13F0BE-BD29-4BF5-ABD5-C632C04FCA6C}"/>
    <cellStyle name="Comma 5 3 3 4 7" xfId="9960" xr:uid="{7E1D9FDC-BE71-4475-8AAA-F2A148C2A52E}"/>
    <cellStyle name="Comma 5 3 3 4 7 2" xfId="25080" xr:uid="{C76E0A96-462F-4F2C-ACA3-BBE554C4758F}"/>
    <cellStyle name="Comma 5 3 3 4 7 2 2" xfId="55320" xr:uid="{7777F06B-A89C-40E8-8E2C-25DB099C83CF}"/>
    <cellStyle name="Comma 5 3 3 4 7 3" xfId="40200" xr:uid="{66FD96E2-9F32-4689-B6B4-2AB8EE415608}"/>
    <cellStyle name="Comma 5 3 3 4 8" xfId="16008" xr:uid="{6FACF0ED-1043-4D14-950E-CBE7F41C2219}"/>
    <cellStyle name="Comma 5 3 3 4 8 2" xfId="46248" xr:uid="{D49EC577-3D20-413E-87A3-05B071097886}"/>
    <cellStyle name="Comma 5 3 3 4 9" xfId="31128" xr:uid="{EBF5CF0D-8620-4372-AA1A-19AAE7FFD25C}"/>
    <cellStyle name="Comma 5 3 3 5" xfId="1644" xr:uid="{F226D509-31B0-4EB2-85FB-B474C1B077AF}"/>
    <cellStyle name="Comma 5 3 3 5 2" xfId="10716" xr:uid="{D13B48CC-F52B-4E5B-933C-1AA70303DE13}"/>
    <cellStyle name="Comma 5 3 3 5 2 2" xfId="25836" xr:uid="{69A63479-B2A8-4DEB-8454-AA622C8A4B45}"/>
    <cellStyle name="Comma 5 3 3 5 2 2 2" xfId="56076" xr:uid="{E906F497-0DC0-467A-ACDC-BAB8FF1EE958}"/>
    <cellStyle name="Comma 5 3 3 5 2 3" xfId="40956" xr:uid="{ACEDD89E-5A4B-4F14-B9D1-F6AB2F114AAF}"/>
    <cellStyle name="Comma 5 3 3 5 3" xfId="16764" xr:uid="{7E961B71-1BD9-4D8A-8BAE-B948AADDED87}"/>
    <cellStyle name="Comma 5 3 3 5 3 2" xfId="47004" xr:uid="{32431C75-8C19-4B41-948F-AC517A7A7F59}"/>
    <cellStyle name="Comma 5 3 3 5 4" xfId="31884" xr:uid="{94F8D5F1-3279-4A9F-B517-DBB593B640A3}"/>
    <cellStyle name="Comma 5 3 3 6" xfId="3156" xr:uid="{23F2BEF6-CC28-46AB-92DD-5936329A7912}"/>
    <cellStyle name="Comma 5 3 3 6 2" xfId="12228" xr:uid="{DBFCE5D5-7902-484F-A70E-E80451FDC8E7}"/>
    <cellStyle name="Comma 5 3 3 6 2 2" xfId="27348" xr:uid="{C057D144-6935-4093-ADE5-3D1406494CFC}"/>
    <cellStyle name="Comma 5 3 3 6 2 2 2" xfId="57588" xr:uid="{02CDE055-0FBD-4C18-B2BF-A3076B1D55A1}"/>
    <cellStyle name="Comma 5 3 3 6 2 3" xfId="42468" xr:uid="{0017C81E-4D6A-4EE4-946E-4E0CDD0520EE}"/>
    <cellStyle name="Comma 5 3 3 6 3" xfId="18276" xr:uid="{AF0679A2-A46D-4658-B0E2-92176BD76ABC}"/>
    <cellStyle name="Comma 5 3 3 6 3 2" xfId="48516" xr:uid="{8D2E7AFD-CB51-4DE0-A886-5876CDACF276}"/>
    <cellStyle name="Comma 5 3 3 6 4" xfId="33396" xr:uid="{776226FE-A8CD-46F3-9B53-BB3CCEB36716}"/>
    <cellStyle name="Comma 5 3 3 7" xfId="4668" xr:uid="{157F531E-2E6F-4035-8E9C-741150E7FE4E}"/>
    <cellStyle name="Comma 5 3 3 7 2" xfId="13740" xr:uid="{D088B34C-3D07-4691-9357-D4792FA78E9B}"/>
    <cellStyle name="Comma 5 3 3 7 2 2" xfId="28860" xr:uid="{DD8B1B6A-A7ED-4442-A6E7-8D8878C2B892}"/>
    <cellStyle name="Comma 5 3 3 7 2 2 2" xfId="59100" xr:uid="{F54C396C-5F9E-4894-B5F8-3087DA66545F}"/>
    <cellStyle name="Comma 5 3 3 7 2 3" xfId="43980" xr:uid="{6739DAD5-3BA6-4853-B740-232FAADEF51F}"/>
    <cellStyle name="Comma 5 3 3 7 3" xfId="19788" xr:uid="{A23C56F8-8316-4910-AC89-3A8A2593F9A9}"/>
    <cellStyle name="Comma 5 3 3 7 3 2" xfId="50028" xr:uid="{D75E8FD2-D53C-42F9-8CDA-067F67798937}"/>
    <cellStyle name="Comma 5 3 3 7 4" xfId="34908" xr:uid="{80FC869C-F8CE-4C28-8DCC-3D5167F1BE44}"/>
    <cellStyle name="Comma 5 3 3 8" xfId="6180" xr:uid="{1FD7D856-CB07-44B7-8CE1-A852F9A94EA9}"/>
    <cellStyle name="Comma 5 3 3 8 2" xfId="21300" xr:uid="{107D1D01-0231-4251-8D59-45099C1DD24E}"/>
    <cellStyle name="Comma 5 3 3 8 2 2" xfId="51540" xr:uid="{7912155C-ECCA-497E-9AFC-01102A9DB0A5}"/>
    <cellStyle name="Comma 5 3 3 8 3" xfId="36420" xr:uid="{D40B60A1-A093-4AAB-A7E4-8CB7E9AE7A74}"/>
    <cellStyle name="Comma 5 3 3 9" xfId="7692" xr:uid="{C090FBAF-E426-4C2E-9633-9B1CC320CF03}"/>
    <cellStyle name="Comma 5 3 3 9 2" xfId="22812" xr:uid="{24EB81D9-F474-430E-98F1-03A0A70C3964}"/>
    <cellStyle name="Comma 5 3 3 9 2 2" xfId="53052" xr:uid="{56CB11D1-4981-496B-9CCA-893482BECABA}"/>
    <cellStyle name="Comma 5 3 3 9 3" xfId="37932" xr:uid="{AB91375E-D389-4EB9-8558-22D8CBE2BCD7}"/>
    <cellStyle name="Comma 5 3 4" xfId="216" xr:uid="{72641E80-973D-45DC-BAE9-DC4AE04B9C32}"/>
    <cellStyle name="Comma 5 3 4 10" xfId="9288" xr:uid="{9A376F2C-4400-4E1A-8DA8-4103E2BE4A27}"/>
    <cellStyle name="Comma 5 3 4 10 2" xfId="24408" xr:uid="{A0AECBD6-7365-44AE-ACBC-3955A99D7E88}"/>
    <cellStyle name="Comma 5 3 4 10 2 2" xfId="54648" xr:uid="{F0416A3F-B527-4FD2-8625-C3CEACDE4375}"/>
    <cellStyle name="Comma 5 3 4 10 3" xfId="39528" xr:uid="{076C43BF-19C8-416E-9E81-631B558F96E0}"/>
    <cellStyle name="Comma 5 3 4 11" xfId="15336" xr:uid="{7CA912D0-055C-473B-A2D4-21221678909A}"/>
    <cellStyle name="Comma 5 3 4 11 2" xfId="45576" xr:uid="{DCE5ECB0-8ACE-4410-BAC9-916E3EFEFD57}"/>
    <cellStyle name="Comma 5 3 4 12" xfId="30456" xr:uid="{EFFF7BE5-3C2A-4B4B-B8B6-3C56FB7869DA}"/>
    <cellStyle name="Comma 5 3 4 2" xfId="468" xr:uid="{A2016A9E-623D-4EF8-A16E-EC951C550F13}"/>
    <cellStyle name="Comma 5 3 4 2 10" xfId="30708" xr:uid="{A79035FC-2797-4EC6-8DD6-699A19C865F5}"/>
    <cellStyle name="Comma 5 3 4 2 2" xfId="1224" xr:uid="{EC2B38CA-D030-47E2-AAFE-E7F60528DAB2}"/>
    <cellStyle name="Comma 5 3 4 2 2 2" xfId="2736" xr:uid="{C057D9A4-CEE8-46F4-9C84-1593F5670F14}"/>
    <cellStyle name="Comma 5 3 4 2 2 2 2" xfId="11808" xr:uid="{3686A160-C6AF-4AAF-B323-DCEC7671D8D9}"/>
    <cellStyle name="Comma 5 3 4 2 2 2 2 2" xfId="26928" xr:uid="{1FEC11AF-95F4-4F60-9C6A-854B21DDDCDE}"/>
    <cellStyle name="Comma 5 3 4 2 2 2 2 2 2" xfId="57168" xr:uid="{4C7EAA57-916E-4BB7-937B-995BCBCE0452}"/>
    <cellStyle name="Comma 5 3 4 2 2 2 2 3" xfId="42048" xr:uid="{14B6D5C7-CD42-48E5-88F2-E4E37634235F}"/>
    <cellStyle name="Comma 5 3 4 2 2 2 3" xfId="17856" xr:uid="{1AB79F26-6B1F-4EC9-BCD7-D4875D36616C}"/>
    <cellStyle name="Comma 5 3 4 2 2 2 3 2" xfId="48096" xr:uid="{98090883-2A15-4D27-A2A1-85FEA1EE5992}"/>
    <cellStyle name="Comma 5 3 4 2 2 2 4" xfId="32976" xr:uid="{570D7717-BF8D-4F1D-85F3-F0BE38BA7795}"/>
    <cellStyle name="Comma 5 3 4 2 2 3" xfId="4248" xr:uid="{6C433C7C-6646-4BA6-8284-B45D94DC72E0}"/>
    <cellStyle name="Comma 5 3 4 2 2 3 2" xfId="13320" xr:uid="{D8E2FCB0-D9A3-4D91-A074-C8238304F12F}"/>
    <cellStyle name="Comma 5 3 4 2 2 3 2 2" xfId="28440" xr:uid="{C651C84E-7ECF-42B7-BC12-6FB1AE4235EC}"/>
    <cellStyle name="Comma 5 3 4 2 2 3 2 2 2" xfId="58680" xr:uid="{D3EF6A1A-650A-4F85-98C7-63D45400A2E3}"/>
    <cellStyle name="Comma 5 3 4 2 2 3 2 3" xfId="43560" xr:uid="{A5CABD42-40C4-4A91-965B-F8634EB9B18E}"/>
    <cellStyle name="Comma 5 3 4 2 2 3 3" xfId="19368" xr:uid="{AAB6F6D6-A230-49FE-AA56-DFCD46616D99}"/>
    <cellStyle name="Comma 5 3 4 2 2 3 3 2" xfId="49608" xr:uid="{DD3280B1-993C-49C4-8953-A86521237501}"/>
    <cellStyle name="Comma 5 3 4 2 2 3 4" xfId="34488" xr:uid="{AA35F92B-A708-45F8-BB71-AEF3C9469638}"/>
    <cellStyle name="Comma 5 3 4 2 2 4" xfId="5760" xr:uid="{D66FA7C6-9C35-4955-841A-412A8064CC69}"/>
    <cellStyle name="Comma 5 3 4 2 2 4 2" xfId="14832" xr:uid="{A30EAE0A-CBDB-4CB3-84E1-8122B353C602}"/>
    <cellStyle name="Comma 5 3 4 2 2 4 2 2" xfId="29952" xr:uid="{331651AE-C53E-4B83-8308-6A1DDB28BEF7}"/>
    <cellStyle name="Comma 5 3 4 2 2 4 2 2 2" xfId="60192" xr:uid="{6E3A2272-0B75-40B8-81D1-C302FB3C61D1}"/>
    <cellStyle name="Comma 5 3 4 2 2 4 2 3" xfId="45072" xr:uid="{D7369E8D-7FD5-4C43-9625-84BA35348A10}"/>
    <cellStyle name="Comma 5 3 4 2 2 4 3" xfId="20880" xr:uid="{2D0CDA31-DB3B-4AB6-9D74-E3970D350E84}"/>
    <cellStyle name="Comma 5 3 4 2 2 4 3 2" xfId="51120" xr:uid="{DEC31CFE-62B9-4329-A2D3-1DA3ABBA53BF}"/>
    <cellStyle name="Comma 5 3 4 2 2 4 4" xfId="36000" xr:uid="{89293C61-ECB0-4FB9-AB29-AD7C90E15D89}"/>
    <cellStyle name="Comma 5 3 4 2 2 5" xfId="7272" xr:uid="{B704F734-7FCB-4F0E-96E9-07CAAE46E909}"/>
    <cellStyle name="Comma 5 3 4 2 2 5 2" xfId="22392" xr:uid="{E270EAC3-B501-4E83-ADB8-5995688973EE}"/>
    <cellStyle name="Comma 5 3 4 2 2 5 2 2" xfId="52632" xr:uid="{01C3C3D1-EB39-47AC-B466-8D074C4E5F2D}"/>
    <cellStyle name="Comma 5 3 4 2 2 5 3" xfId="37512" xr:uid="{48DF6AD6-87D8-4C4C-9C9F-E7230A9C8416}"/>
    <cellStyle name="Comma 5 3 4 2 2 6" xfId="8784" xr:uid="{3CA59B5D-639E-45FA-88A5-D413B2CCF4DA}"/>
    <cellStyle name="Comma 5 3 4 2 2 6 2" xfId="23904" xr:uid="{DF5505AD-1E9B-4E39-9C1B-D3B6EC439BEE}"/>
    <cellStyle name="Comma 5 3 4 2 2 6 2 2" xfId="54144" xr:uid="{42A77AC0-EE3E-4D1A-96F0-0C0694A98BEF}"/>
    <cellStyle name="Comma 5 3 4 2 2 6 3" xfId="39024" xr:uid="{AA94A5F0-759E-44F8-9489-144ACFFF2D2D}"/>
    <cellStyle name="Comma 5 3 4 2 2 7" xfId="10296" xr:uid="{6A9A66A6-2362-4FD8-BF3F-486786E95FD7}"/>
    <cellStyle name="Comma 5 3 4 2 2 7 2" xfId="25416" xr:uid="{D4C0CE80-6EAE-4EE2-B198-82C6E4C0577E}"/>
    <cellStyle name="Comma 5 3 4 2 2 7 2 2" xfId="55656" xr:uid="{3BAC2FAD-0CBA-446E-8BC0-CA4482CDB578}"/>
    <cellStyle name="Comma 5 3 4 2 2 7 3" xfId="40536" xr:uid="{EEA222CC-2E3B-4509-A71C-D27CEE62C1E8}"/>
    <cellStyle name="Comma 5 3 4 2 2 8" xfId="16344" xr:uid="{327C6609-2444-4B6A-BB0E-CDF23B096BCD}"/>
    <cellStyle name="Comma 5 3 4 2 2 8 2" xfId="46584" xr:uid="{8BA6FD19-1EB4-43F2-9155-D9B3FCB54EBA}"/>
    <cellStyle name="Comma 5 3 4 2 2 9" xfId="31464" xr:uid="{06D45502-F037-4F41-BA70-F5F5847720B7}"/>
    <cellStyle name="Comma 5 3 4 2 3" xfId="1980" xr:uid="{A204D9CE-F478-4847-8ECF-45E830204639}"/>
    <cellStyle name="Comma 5 3 4 2 3 2" xfId="11052" xr:uid="{BA87B00F-4585-483F-AB17-A10D29C25954}"/>
    <cellStyle name="Comma 5 3 4 2 3 2 2" xfId="26172" xr:uid="{7B19E192-2441-430C-9F6D-4C7D6F68D3C3}"/>
    <cellStyle name="Comma 5 3 4 2 3 2 2 2" xfId="56412" xr:uid="{AADB405D-43B3-42CB-A893-86718FB96283}"/>
    <cellStyle name="Comma 5 3 4 2 3 2 3" xfId="41292" xr:uid="{BB68D58E-B030-40EF-97DD-E4BFEFE84E59}"/>
    <cellStyle name="Comma 5 3 4 2 3 3" xfId="17100" xr:uid="{ABCAF829-B00D-47E7-A0A5-DB31423B0236}"/>
    <cellStyle name="Comma 5 3 4 2 3 3 2" xfId="47340" xr:uid="{57DA9BA7-07DF-4AB5-81A5-4D3BB3571669}"/>
    <cellStyle name="Comma 5 3 4 2 3 4" xfId="32220" xr:uid="{E9D475B2-1F9F-4E0F-A5DC-9BF6DF16448D}"/>
    <cellStyle name="Comma 5 3 4 2 4" xfId="3492" xr:uid="{95D13401-68F5-4419-9E08-3CD745675CD0}"/>
    <cellStyle name="Comma 5 3 4 2 4 2" xfId="12564" xr:uid="{DC3D2546-7AAF-4629-934B-5FAD95B57873}"/>
    <cellStyle name="Comma 5 3 4 2 4 2 2" xfId="27684" xr:uid="{6798FE1E-DF3D-47F8-AB60-6D71BA8EDE46}"/>
    <cellStyle name="Comma 5 3 4 2 4 2 2 2" xfId="57924" xr:uid="{42E5D034-4D51-4254-B467-9B022BC6EF9A}"/>
    <cellStyle name="Comma 5 3 4 2 4 2 3" xfId="42804" xr:uid="{6B670856-C943-47E2-A973-ABC5FBAD633D}"/>
    <cellStyle name="Comma 5 3 4 2 4 3" xfId="18612" xr:uid="{7798E0E3-5556-4EE8-AB3A-F7E8482825C4}"/>
    <cellStyle name="Comma 5 3 4 2 4 3 2" xfId="48852" xr:uid="{04AE35A0-30EA-4EAC-940D-66708D297745}"/>
    <cellStyle name="Comma 5 3 4 2 4 4" xfId="33732" xr:uid="{73812085-A786-42B0-AC62-025D5EC4B118}"/>
    <cellStyle name="Comma 5 3 4 2 5" xfId="5004" xr:uid="{5CC07CAC-F98F-4C81-86A8-80598928D7B0}"/>
    <cellStyle name="Comma 5 3 4 2 5 2" xfId="14076" xr:uid="{8CB32663-6EB7-48C6-9749-02828CA7C578}"/>
    <cellStyle name="Comma 5 3 4 2 5 2 2" xfId="29196" xr:uid="{93308D92-4BFF-49CB-A33C-C409BD3522BB}"/>
    <cellStyle name="Comma 5 3 4 2 5 2 2 2" xfId="59436" xr:uid="{C3A4C840-0C49-4B12-B733-747B5833DA62}"/>
    <cellStyle name="Comma 5 3 4 2 5 2 3" xfId="44316" xr:uid="{989B18A0-0949-4847-B056-3E83C75A649A}"/>
    <cellStyle name="Comma 5 3 4 2 5 3" xfId="20124" xr:uid="{C1B09568-7611-4737-9A0F-EFEC0473C117}"/>
    <cellStyle name="Comma 5 3 4 2 5 3 2" xfId="50364" xr:uid="{B5D54A98-3654-4CCB-852A-BD5E194F4F4E}"/>
    <cellStyle name="Comma 5 3 4 2 5 4" xfId="35244" xr:uid="{CECE8E43-D1E1-408C-8F1A-A773C3121E0B}"/>
    <cellStyle name="Comma 5 3 4 2 6" xfId="6516" xr:uid="{C3981098-18A0-4896-B339-280349ACF024}"/>
    <cellStyle name="Comma 5 3 4 2 6 2" xfId="21636" xr:uid="{2844932A-7264-4BB0-A309-48B215956587}"/>
    <cellStyle name="Comma 5 3 4 2 6 2 2" xfId="51876" xr:uid="{435A4E3C-DDE1-44D3-B2D4-63FBF8AE9218}"/>
    <cellStyle name="Comma 5 3 4 2 6 3" xfId="36756" xr:uid="{15193036-8429-4BF4-8169-50030B0D4CDA}"/>
    <cellStyle name="Comma 5 3 4 2 7" xfId="8028" xr:uid="{44D51A95-DE8E-4E62-9778-416AF7311B06}"/>
    <cellStyle name="Comma 5 3 4 2 7 2" xfId="23148" xr:uid="{9DE6B17B-036D-4340-A92D-C1C92ACD050A}"/>
    <cellStyle name="Comma 5 3 4 2 7 2 2" xfId="53388" xr:uid="{25F76E4A-07AA-44EF-8ACF-7EA3325AFBEE}"/>
    <cellStyle name="Comma 5 3 4 2 7 3" xfId="38268" xr:uid="{59A7FB76-E248-4F13-8426-1FEE57143997}"/>
    <cellStyle name="Comma 5 3 4 2 8" xfId="9540" xr:uid="{46D35DC5-13B0-4A44-913E-BA186BA3B2E6}"/>
    <cellStyle name="Comma 5 3 4 2 8 2" xfId="24660" xr:uid="{383816A3-7432-4B39-990F-E2A6CAA64932}"/>
    <cellStyle name="Comma 5 3 4 2 8 2 2" xfId="54900" xr:uid="{F6047185-DDB1-41CE-B001-0F55813FDC4F}"/>
    <cellStyle name="Comma 5 3 4 2 8 3" xfId="39780" xr:uid="{0E207DB5-6238-485E-A324-4067F7C1EBC7}"/>
    <cellStyle name="Comma 5 3 4 2 9" xfId="15588" xr:uid="{0136A6A5-65E8-46BF-974E-7C4B39CE759D}"/>
    <cellStyle name="Comma 5 3 4 2 9 2" xfId="45828" xr:uid="{D8D0892E-0042-460C-8C3B-EB2B2C54FAFB}"/>
    <cellStyle name="Comma 5 3 4 3" xfId="720" xr:uid="{D42D35C2-46AA-494B-82B5-A6955BB87AA3}"/>
    <cellStyle name="Comma 5 3 4 3 10" xfId="30960" xr:uid="{3D6585D8-3429-4738-ADE4-E7ED59458102}"/>
    <cellStyle name="Comma 5 3 4 3 2" xfId="1476" xr:uid="{8128EA67-0DE1-48F7-9DFF-D65DCB0075F2}"/>
    <cellStyle name="Comma 5 3 4 3 2 2" xfId="2988" xr:uid="{50C71A5B-502E-4694-812C-66B7650DCC24}"/>
    <cellStyle name="Comma 5 3 4 3 2 2 2" xfId="12060" xr:uid="{B2D32FCE-43A1-47E3-B853-01437ACE4D50}"/>
    <cellStyle name="Comma 5 3 4 3 2 2 2 2" xfId="27180" xr:uid="{2646D65E-7ED2-4B96-BB21-1E14EEC017B9}"/>
    <cellStyle name="Comma 5 3 4 3 2 2 2 2 2" xfId="57420" xr:uid="{7F0E6ADC-0D66-492A-85B6-EE121FD0CABC}"/>
    <cellStyle name="Comma 5 3 4 3 2 2 2 3" xfId="42300" xr:uid="{DA9F9AAC-009D-4FC4-8FC5-B054A9C61DD4}"/>
    <cellStyle name="Comma 5 3 4 3 2 2 3" xfId="18108" xr:uid="{769265E2-2E8A-4B1A-92B3-370E7ACB499B}"/>
    <cellStyle name="Comma 5 3 4 3 2 2 3 2" xfId="48348" xr:uid="{7DE9CF8F-90C7-40EC-AAFE-4895FFC5410A}"/>
    <cellStyle name="Comma 5 3 4 3 2 2 4" xfId="33228" xr:uid="{E06BD959-8A94-4538-82B8-B5B42587EEA3}"/>
    <cellStyle name="Comma 5 3 4 3 2 3" xfId="4500" xr:uid="{47F6A674-2BBA-450F-912B-B4B371194529}"/>
    <cellStyle name="Comma 5 3 4 3 2 3 2" xfId="13572" xr:uid="{55E99DB0-6055-4936-902D-21B558000254}"/>
    <cellStyle name="Comma 5 3 4 3 2 3 2 2" xfId="28692" xr:uid="{770EBE12-E291-40F5-A0CA-581591BEE381}"/>
    <cellStyle name="Comma 5 3 4 3 2 3 2 2 2" xfId="58932" xr:uid="{B828C2B4-D501-4919-9857-A3EFDFE14542}"/>
    <cellStyle name="Comma 5 3 4 3 2 3 2 3" xfId="43812" xr:uid="{B42BDC3C-1653-43A9-823C-4754D56591A8}"/>
    <cellStyle name="Comma 5 3 4 3 2 3 3" xfId="19620" xr:uid="{5C22E6AD-CC3B-48EA-BE9F-2ECC033E57DF}"/>
    <cellStyle name="Comma 5 3 4 3 2 3 3 2" xfId="49860" xr:uid="{BCE30E36-2CF4-4BC3-917A-11D4151A79DA}"/>
    <cellStyle name="Comma 5 3 4 3 2 3 4" xfId="34740" xr:uid="{A29CC18D-ECE2-442D-80C7-1578DCC6A1D7}"/>
    <cellStyle name="Comma 5 3 4 3 2 4" xfId="6012" xr:uid="{7BDF77E0-41B2-44BC-8CD3-3E35BB5992E6}"/>
    <cellStyle name="Comma 5 3 4 3 2 4 2" xfId="15084" xr:uid="{E9B81DB3-3213-44AE-814D-188A89F41BDE}"/>
    <cellStyle name="Comma 5 3 4 3 2 4 2 2" xfId="30204" xr:uid="{AF5BDD64-9593-42DF-8FBB-829E5C0AB6A9}"/>
    <cellStyle name="Comma 5 3 4 3 2 4 2 2 2" xfId="60444" xr:uid="{BAA86996-1CA8-4DD2-9251-AB1294B843C2}"/>
    <cellStyle name="Comma 5 3 4 3 2 4 2 3" xfId="45324" xr:uid="{22C718D1-D074-48F2-9837-560AA481139C}"/>
    <cellStyle name="Comma 5 3 4 3 2 4 3" xfId="21132" xr:uid="{F8F99E10-FED1-495C-8B91-CC6A19557471}"/>
    <cellStyle name="Comma 5 3 4 3 2 4 3 2" xfId="51372" xr:uid="{D35C46B0-5570-43BB-8AF7-DB31FE7F7111}"/>
    <cellStyle name="Comma 5 3 4 3 2 4 4" xfId="36252" xr:uid="{990013F5-3006-46F3-A7BF-1D5252E90CDD}"/>
    <cellStyle name="Comma 5 3 4 3 2 5" xfId="7524" xr:uid="{9A4A56EA-EE06-427F-8D00-EB598874A0EA}"/>
    <cellStyle name="Comma 5 3 4 3 2 5 2" xfId="22644" xr:uid="{FE4D826A-FAC9-46C9-AD66-825692E29FBB}"/>
    <cellStyle name="Comma 5 3 4 3 2 5 2 2" xfId="52884" xr:uid="{3D914CA0-3D4E-433A-95F8-29B37B35E745}"/>
    <cellStyle name="Comma 5 3 4 3 2 5 3" xfId="37764" xr:uid="{76E4A0E6-40EA-4024-A0FF-72CDEFDB68EC}"/>
    <cellStyle name="Comma 5 3 4 3 2 6" xfId="9036" xr:uid="{F2BA6771-DE74-49FC-8201-000CF256CE90}"/>
    <cellStyle name="Comma 5 3 4 3 2 6 2" xfId="24156" xr:uid="{AC575F86-7AA0-40A6-A1DF-C489D18BCA0C}"/>
    <cellStyle name="Comma 5 3 4 3 2 6 2 2" xfId="54396" xr:uid="{86B8FA44-C725-427D-AA4D-E046858CDF2E}"/>
    <cellStyle name="Comma 5 3 4 3 2 6 3" xfId="39276" xr:uid="{E4770EBA-ABB3-45BC-8FD3-E9D0A30FFE3A}"/>
    <cellStyle name="Comma 5 3 4 3 2 7" xfId="10548" xr:uid="{34C9AC4D-6C2A-4D6F-8C9D-44F94B5683C5}"/>
    <cellStyle name="Comma 5 3 4 3 2 7 2" xfId="25668" xr:uid="{C20970EB-5674-4602-A8EF-B1F2CFE0B31D}"/>
    <cellStyle name="Comma 5 3 4 3 2 7 2 2" xfId="55908" xr:uid="{E799B8D5-C51A-4C4A-8CE6-F791CF04BE21}"/>
    <cellStyle name="Comma 5 3 4 3 2 7 3" xfId="40788" xr:uid="{658C537F-0513-4779-8260-573F4B5BB40A}"/>
    <cellStyle name="Comma 5 3 4 3 2 8" xfId="16596" xr:uid="{01C21E65-09A9-45F6-80D1-93E8DF9B18AF}"/>
    <cellStyle name="Comma 5 3 4 3 2 8 2" xfId="46836" xr:uid="{95A4924D-2EDD-48B6-9F5E-396D64952AC4}"/>
    <cellStyle name="Comma 5 3 4 3 2 9" xfId="31716" xr:uid="{6E5CB18A-7FF2-49FA-B7D2-E7AD9BDBE53C}"/>
    <cellStyle name="Comma 5 3 4 3 3" xfId="2232" xr:uid="{A9338359-6456-4097-A27E-E6EB84934CB3}"/>
    <cellStyle name="Comma 5 3 4 3 3 2" xfId="11304" xr:uid="{A3850B2F-64AE-44BD-9166-E9BD56D5EB34}"/>
    <cellStyle name="Comma 5 3 4 3 3 2 2" xfId="26424" xr:uid="{C7D807EA-5F91-4A0F-9465-6B1AF78C17E3}"/>
    <cellStyle name="Comma 5 3 4 3 3 2 2 2" xfId="56664" xr:uid="{F47489B7-6F6B-4462-8EF0-84069426DD0C}"/>
    <cellStyle name="Comma 5 3 4 3 3 2 3" xfId="41544" xr:uid="{2FA9FB20-024A-4C70-98E5-83392D129584}"/>
    <cellStyle name="Comma 5 3 4 3 3 3" xfId="17352" xr:uid="{C17A2F8A-D177-4C2F-95A8-56B394388A35}"/>
    <cellStyle name="Comma 5 3 4 3 3 3 2" xfId="47592" xr:uid="{2B6D0316-C70A-4FB7-860C-A29762579FC3}"/>
    <cellStyle name="Comma 5 3 4 3 3 4" xfId="32472" xr:uid="{D8BDD180-FDC6-4ABF-95DD-56173735E827}"/>
    <cellStyle name="Comma 5 3 4 3 4" xfId="3744" xr:uid="{6F98D31C-9B1D-47F7-B86C-1876E73C6197}"/>
    <cellStyle name="Comma 5 3 4 3 4 2" xfId="12816" xr:uid="{555D0D2C-9E07-41F5-85B8-95A3FC5F369C}"/>
    <cellStyle name="Comma 5 3 4 3 4 2 2" xfId="27936" xr:uid="{6C76B31D-0017-4B98-B750-5BF7FE258369}"/>
    <cellStyle name="Comma 5 3 4 3 4 2 2 2" xfId="58176" xr:uid="{4A1D24EE-8DEB-4126-9220-CF6B977E5761}"/>
    <cellStyle name="Comma 5 3 4 3 4 2 3" xfId="43056" xr:uid="{68700340-DDC7-4B0F-A922-BC17B996075F}"/>
    <cellStyle name="Comma 5 3 4 3 4 3" xfId="18864" xr:uid="{088E985D-590F-42EB-8E09-DBECEB2731E9}"/>
    <cellStyle name="Comma 5 3 4 3 4 3 2" xfId="49104" xr:uid="{78E131DD-4346-4A02-839A-FCB491A9DBDC}"/>
    <cellStyle name="Comma 5 3 4 3 4 4" xfId="33984" xr:uid="{7D8482C8-0F8C-437F-99B6-BF015620792A}"/>
    <cellStyle name="Comma 5 3 4 3 5" xfId="5256" xr:uid="{50EAF19E-08D8-4A0D-B896-E878C9B0F224}"/>
    <cellStyle name="Comma 5 3 4 3 5 2" xfId="14328" xr:uid="{9E95F704-7F57-4022-87B0-A77FB46A4E5D}"/>
    <cellStyle name="Comma 5 3 4 3 5 2 2" xfId="29448" xr:uid="{5C285BA6-0AC9-4985-ADFE-5CD883DEE355}"/>
    <cellStyle name="Comma 5 3 4 3 5 2 2 2" xfId="59688" xr:uid="{928A377A-753A-4B09-8FF9-9B96798489BD}"/>
    <cellStyle name="Comma 5 3 4 3 5 2 3" xfId="44568" xr:uid="{060F9695-988D-43D0-A547-CFE439CD1EF4}"/>
    <cellStyle name="Comma 5 3 4 3 5 3" xfId="20376" xr:uid="{F4BF0004-BB46-49AA-A902-D3379C16F9C8}"/>
    <cellStyle name="Comma 5 3 4 3 5 3 2" xfId="50616" xr:uid="{7257CF56-6B0D-4352-B149-7BD90AC4E2FB}"/>
    <cellStyle name="Comma 5 3 4 3 5 4" xfId="35496" xr:uid="{B551E792-A5A0-4826-8215-28569052557B}"/>
    <cellStyle name="Comma 5 3 4 3 6" xfId="6768" xr:uid="{16710FB0-45DD-42EA-8A6B-2DA5AF21AFC0}"/>
    <cellStyle name="Comma 5 3 4 3 6 2" xfId="21888" xr:uid="{6CDDB7DA-3F7E-4686-A1E9-5EBA00C18CC1}"/>
    <cellStyle name="Comma 5 3 4 3 6 2 2" xfId="52128" xr:uid="{D38A1B96-A2BD-453B-8CC1-19DDDD48B754}"/>
    <cellStyle name="Comma 5 3 4 3 6 3" xfId="37008" xr:uid="{115D5C05-D9B7-4AD7-B4CB-E3B9EB652BE6}"/>
    <cellStyle name="Comma 5 3 4 3 7" xfId="8280" xr:uid="{49DE09DF-31D2-497D-A374-BE5789B07D70}"/>
    <cellStyle name="Comma 5 3 4 3 7 2" xfId="23400" xr:uid="{DD08235A-3BCB-4B45-8263-7FAEF3784CB4}"/>
    <cellStyle name="Comma 5 3 4 3 7 2 2" xfId="53640" xr:uid="{41C75015-4632-424D-8615-88894B9FEBCE}"/>
    <cellStyle name="Comma 5 3 4 3 7 3" xfId="38520" xr:uid="{4B99D5D8-1473-495C-827F-6ECA84345485}"/>
    <cellStyle name="Comma 5 3 4 3 8" xfId="9792" xr:uid="{0FE305FC-2BEE-4DB3-8509-C44BC95231AE}"/>
    <cellStyle name="Comma 5 3 4 3 8 2" xfId="24912" xr:uid="{7B153202-D1CB-4155-9102-E9F35361CC26}"/>
    <cellStyle name="Comma 5 3 4 3 8 2 2" xfId="55152" xr:uid="{70B79493-BABD-4F1E-A9B2-2320EA1A8349}"/>
    <cellStyle name="Comma 5 3 4 3 8 3" xfId="40032" xr:uid="{AFC684B1-3570-4A61-A951-3E5DF470CF97}"/>
    <cellStyle name="Comma 5 3 4 3 9" xfId="15840" xr:uid="{201579A8-9C83-4FAA-A1CE-311F9E89B97E}"/>
    <cellStyle name="Comma 5 3 4 3 9 2" xfId="46080" xr:uid="{345C9835-C9D7-48AF-8A79-057957A2FA10}"/>
    <cellStyle name="Comma 5 3 4 4" xfId="972" xr:uid="{88600365-A20D-41BD-950B-53D8991753E6}"/>
    <cellStyle name="Comma 5 3 4 4 2" xfId="2484" xr:uid="{CB1AF5E0-1D2F-4951-8439-81E296041D69}"/>
    <cellStyle name="Comma 5 3 4 4 2 2" xfId="11556" xr:uid="{013AFE85-F7CD-4872-B004-482CECD60D5F}"/>
    <cellStyle name="Comma 5 3 4 4 2 2 2" xfId="26676" xr:uid="{DE05CC0B-9033-429C-BC21-0F6732FDBEBB}"/>
    <cellStyle name="Comma 5 3 4 4 2 2 2 2" xfId="56916" xr:uid="{269ED989-1008-4234-8E83-190CE319A36B}"/>
    <cellStyle name="Comma 5 3 4 4 2 2 3" xfId="41796" xr:uid="{B79AFFB1-8A6F-48B4-9A2B-ADAD63EA4E59}"/>
    <cellStyle name="Comma 5 3 4 4 2 3" xfId="17604" xr:uid="{09127D46-8BBE-4788-AC9A-8F00368FBF4F}"/>
    <cellStyle name="Comma 5 3 4 4 2 3 2" xfId="47844" xr:uid="{67874540-8670-4D12-80A1-238419392C26}"/>
    <cellStyle name="Comma 5 3 4 4 2 4" xfId="32724" xr:uid="{CB086BCF-01A5-4151-A1D2-305EB42E4432}"/>
    <cellStyle name="Comma 5 3 4 4 3" xfId="3996" xr:uid="{0325880E-6B0B-48F6-9508-38733A0A445E}"/>
    <cellStyle name="Comma 5 3 4 4 3 2" xfId="13068" xr:uid="{567CAE5B-F0CA-419F-A574-0C0A81760055}"/>
    <cellStyle name="Comma 5 3 4 4 3 2 2" xfId="28188" xr:uid="{41CE7AA1-B550-4D5E-8BEF-A77F2A7D317E}"/>
    <cellStyle name="Comma 5 3 4 4 3 2 2 2" xfId="58428" xr:uid="{E0324792-9B2E-440C-9C4D-4CE4C152B6D1}"/>
    <cellStyle name="Comma 5 3 4 4 3 2 3" xfId="43308" xr:uid="{CCF0A3BA-5BC1-4AA7-9050-04C35708CB2B}"/>
    <cellStyle name="Comma 5 3 4 4 3 3" xfId="19116" xr:uid="{8EC643B4-C49B-44A0-AA76-F75263B4ED79}"/>
    <cellStyle name="Comma 5 3 4 4 3 3 2" xfId="49356" xr:uid="{67A9A13C-BE67-4921-AC08-D012AF073B87}"/>
    <cellStyle name="Comma 5 3 4 4 3 4" xfId="34236" xr:uid="{7CD31249-EC42-4FD5-93F5-3BD7061D9F9F}"/>
    <cellStyle name="Comma 5 3 4 4 4" xfId="5508" xr:uid="{77839757-28DB-4B22-B549-04F45272D21E}"/>
    <cellStyle name="Comma 5 3 4 4 4 2" xfId="14580" xr:uid="{49BFEAF4-794A-4AF2-9029-D5D73DFAA1DB}"/>
    <cellStyle name="Comma 5 3 4 4 4 2 2" xfId="29700" xr:uid="{AC461B78-8A31-4592-B0B1-C512AAF57300}"/>
    <cellStyle name="Comma 5 3 4 4 4 2 2 2" xfId="59940" xr:uid="{49F7A810-C59F-4EAA-B1AD-1068B3F04CB2}"/>
    <cellStyle name="Comma 5 3 4 4 4 2 3" xfId="44820" xr:uid="{514B4BFC-A74E-41FA-9784-3161A711945A}"/>
    <cellStyle name="Comma 5 3 4 4 4 3" xfId="20628" xr:uid="{D0C37C49-4367-4352-86C1-67698521F765}"/>
    <cellStyle name="Comma 5 3 4 4 4 3 2" xfId="50868" xr:uid="{573C9F2E-D9DF-4488-9C45-655117AC64FD}"/>
    <cellStyle name="Comma 5 3 4 4 4 4" xfId="35748" xr:uid="{353BE0FD-94C2-43D8-B12D-BAAF8BC15004}"/>
    <cellStyle name="Comma 5 3 4 4 5" xfId="7020" xr:uid="{9A6C352E-B6CE-4D3D-A981-827650C25637}"/>
    <cellStyle name="Comma 5 3 4 4 5 2" xfId="22140" xr:uid="{B67BBD9D-84E4-4B5F-BE7E-07E532011270}"/>
    <cellStyle name="Comma 5 3 4 4 5 2 2" xfId="52380" xr:uid="{4CA446F7-84FD-46A3-A746-5B1C62A8211B}"/>
    <cellStyle name="Comma 5 3 4 4 5 3" xfId="37260" xr:uid="{D4F4E3BF-F1DF-44EA-BD49-88E421E8359A}"/>
    <cellStyle name="Comma 5 3 4 4 6" xfId="8532" xr:uid="{75E17361-7BA7-49AD-A6CC-6B2B00FAB9A0}"/>
    <cellStyle name="Comma 5 3 4 4 6 2" xfId="23652" xr:uid="{C8F12BF3-2EB1-4B25-AF97-35DDB5BF50AC}"/>
    <cellStyle name="Comma 5 3 4 4 6 2 2" xfId="53892" xr:uid="{6F61F6FD-6998-46CE-AAFE-846B08AE9CF5}"/>
    <cellStyle name="Comma 5 3 4 4 6 3" xfId="38772" xr:uid="{3C0B95E8-818B-476E-AEB6-B214F1031AF8}"/>
    <cellStyle name="Comma 5 3 4 4 7" xfId="10044" xr:uid="{2AF92A2E-1970-4BCC-9E1F-1AC83DFF6E43}"/>
    <cellStyle name="Comma 5 3 4 4 7 2" xfId="25164" xr:uid="{79D9BDB6-A087-4A2A-B289-066ECD6A45E7}"/>
    <cellStyle name="Comma 5 3 4 4 7 2 2" xfId="55404" xr:uid="{B92DC9ED-607B-4D68-A697-E6B1A0FE0282}"/>
    <cellStyle name="Comma 5 3 4 4 7 3" xfId="40284" xr:uid="{24741FAE-EAAF-4F45-B971-EB3F7CCAA47E}"/>
    <cellStyle name="Comma 5 3 4 4 8" xfId="16092" xr:uid="{C9B8FCA3-0C7B-48C9-B083-CCC8570EBE6B}"/>
    <cellStyle name="Comma 5 3 4 4 8 2" xfId="46332" xr:uid="{D637D8F2-8104-4EBA-BD4C-8D4C8017AAF7}"/>
    <cellStyle name="Comma 5 3 4 4 9" xfId="31212" xr:uid="{011C2094-D47B-42E5-AF32-3D23EDF7E03D}"/>
    <cellStyle name="Comma 5 3 4 5" xfId="1728" xr:uid="{EE2FDBD0-BE24-4878-B24E-921B980AA809}"/>
    <cellStyle name="Comma 5 3 4 5 2" xfId="10800" xr:uid="{9A32DA6E-D1B4-4BB3-92E1-C393F22D5BAF}"/>
    <cellStyle name="Comma 5 3 4 5 2 2" xfId="25920" xr:uid="{124213CD-5A8D-4199-B24D-36D6E2ADF7D7}"/>
    <cellStyle name="Comma 5 3 4 5 2 2 2" xfId="56160" xr:uid="{E89995D1-3381-4976-A935-6CAFDAEFC25F}"/>
    <cellStyle name="Comma 5 3 4 5 2 3" xfId="41040" xr:uid="{C6B5ADED-F5AD-45F4-B5E5-529426313EA4}"/>
    <cellStyle name="Comma 5 3 4 5 3" xfId="16848" xr:uid="{2A3FC136-CA44-42B3-A2C1-89B7E2B721CE}"/>
    <cellStyle name="Comma 5 3 4 5 3 2" xfId="47088" xr:uid="{7B6C6766-1F9C-4FB3-8120-894FDFD38184}"/>
    <cellStyle name="Comma 5 3 4 5 4" xfId="31968" xr:uid="{A3C12845-4D4B-45D5-9507-F5F5AB4A757D}"/>
    <cellStyle name="Comma 5 3 4 6" xfId="3240" xr:uid="{65074A8E-21DE-40DF-A2CC-B79921120EFB}"/>
    <cellStyle name="Comma 5 3 4 6 2" xfId="12312" xr:uid="{A155D701-812C-40C0-A72D-25F5F4251CCA}"/>
    <cellStyle name="Comma 5 3 4 6 2 2" xfId="27432" xr:uid="{9A0F8F5A-F614-40AD-A306-876B446E08BB}"/>
    <cellStyle name="Comma 5 3 4 6 2 2 2" xfId="57672" xr:uid="{0EAD0045-0B45-4A49-B183-139A42E20034}"/>
    <cellStyle name="Comma 5 3 4 6 2 3" xfId="42552" xr:uid="{2D194DBF-9D5D-4043-8D2E-BD3487C4A452}"/>
    <cellStyle name="Comma 5 3 4 6 3" xfId="18360" xr:uid="{0F2C5606-A662-49F8-90B7-D51E23E31DF1}"/>
    <cellStyle name="Comma 5 3 4 6 3 2" xfId="48600" xr:uid="{9F757BB0-C2CB-4ED4-BC14-B634AE4CA19F}"/>
    <cellStyle name="Comma 5 3 4 6 4" xfId="33480" xr:uid="{F92B4B50-5C2E-4ED7-BC5C-67F3ECF14ADE}"/>
    <cellStyle name="Comma 5 3 4 7" xfId="4752" xr:uid="{BE88ED37-75A8-4935-BCD1-DAC59477B34C}"/>
    <cellStyle name="Comma 5 3 4 7 2" xfId="13824" xr:uid="{FAC35E14-6F93-4B37-9A27-208335252847}"/>
    <cellStyle name="Comma 5 3 4 7 2 2" xfId="28944" xr:uid="{401425A4-9A94-4278-9C65-420B593A9AA8}"/>
    <cellStyle name="Comma 5 3 4 7 2 2 2" xfId="59184" xr:uid="{B66B4D8E-2D53-40DA-AF05-9A6262D50AAF}"/>
    <cellStyle name="Comma 5 3 4 7 2 3" xfId="44064" xr:uid="{21CEBB41-1377-4038-9969-1EBD85AA6691}"/>
    <cellStyle name="Comma 5 3 4 7 3" xfId="19872" xr:uid="{94F017AC-FE19-4DAA-A3A6-11F627C1A31F}"/>
    <cellStyle name="Comma 5 3 4 7 3 2" xfId="50112" xr:uid="{0A1799BF-50A5-4BBC-840A-0DA3DDF8E1B5}"/>
    <cellStyle name="Comma 5 3 4 7 4" xfId="34992" xr:uid="{F7605E0C-3426-46A7-9111-AD49BB25C53B}"/>
    <cellStyle name="Comma 5 3 4 8" xfId="6264" xr:uid="{A8408A17-1F59-4A64-B577-7BF5A4B204CC}"/>
    <cellStyle name="Comma 5 3 4 8 2" xfId="21384" xr:uid="{5A0B853A-8E12-4595-BDC3-9F8D9D10C511}"/>
    <cellStyle name="Comma 5 3 4 8 2 2" xfId="51624" xr:uid="{70CEDCF0-8B5F-4A36-831B-30BDD0A201BE}"/>
    <cellStyle name="Comma 5 3 4 8 3" xfId="36504" xr:uid="{678C8C01-F2AF-4775-A1CD-5FD0C65DE751}"/>
    <cellStyle name="Comma 5 3 4 9" xfId="7776" xr:uid="{7F1D61D6-59AA-4166-8625-0432FCF12110}"/>
    <cellStyle name="Comma 5 3 4 9 2" xfId="22896" xr:uid="{5E0A4A39-08D7-4B01-8095-426346F26159}"/>
    <cellStyle name="Comma 5 3 4 9 2 2" xfId="53136" xr:uid="{886A21A5-6D06-4C1C-9B3D-30B52140E202}"/>
    <cellStyle name="Comma 5 3 4 9 3" xfId="38016" xr:uid="{C31FB8CC-E72A-4DB1-8A97-03D4608075E3}"/>
    <cellStyle name="Comma 5 3 5" xfId="300" xr:uid="{A469F4AB-608B-44B4-BBA7-AA09D1740AB0}"/>
    <cellStyle name="Comma 5 3 5 10" xfId="30540" xr:uid="{1D725B38-7681-424D-8481-F3B602F90371}"/>
    <cellStyle name="Comma 5 3 5 2" xfId="1056" xr:uid="{987BE040-F6F3-46A6-A587-C5241829557D}"/>
    <cellStyle name="Comma 5 3 5 2 2" xfId="2568" xr:uid="{7546444F-D663-4645-8454-874DFE222E77}"/>
    <cellStyle name="Comma 5 3 5 2 2 2" xfId="11640" xr:uid="{668B196D-2BA6-4158-903C-C0F123006275}"/>
    <cellStyle name="Comma 5 3 5 2 2 2 2" xfId="26760" xr:uid="{1878A396-B414-4EDF-94D8-18AE1C993F11}"/>
    <cellStyle name="Comma 5 3 5 2 2 2 2 2" xfId="57000" xr:uid="{2119AAB6-8B6C-4004-A536-4270443AFB87}"/>
    <cellStyle name="Comma 5 3 5 2 2 2 3" xfId="41880" xr:uid="{5C628B0A-AF8F-4DB4-8ADC-11C0724C6813}"/>
    <cellStyle name="Comma 5 3 5 2 2 3" xfId="17688" xr:uid="{B4098751-6287-41D3-9292-9183AD6779D3}"/>
    <cellStyle name="Comma 5 3 5 2 2 3 2" xfId="47928" xr:uid="{5BAD4F2B-B486-4973-9CD9-5588DA03D05D}"/>
    <cellStyle name="Comma 5 3 5 2 2 4" xfId="32808" xr:uid="{CC0E2B72-2EA8-4EF5-9EA7-73E7094F3CA8}"/>
    <cellStyle name="Comma 5 3 5 2 3" xfId="4080" xr:uid="{3F1BFD87-F263-43EF-9A0A-932E6F6CC958}"/>
    <cellStyle name="Comma 5 3 5 2 3 2" xfId="13152" xr:uid="{6333F3C7-E95A-4115-A8C3-EEDC0F5901E4}"/>
    <cellStyle name="Comma 5 3 5 2 3 2 2" xfId="28272" xr:uid="{12CF2C1B-AE5F-49EA-9F6A-8936148C8D65}"/>
    <cellStyle name="Comma 5 3 5 2 3 2 2 2" xfId="58512" xr:uid="{746831A6-DEFF-41D6-8E69-AC9EA4D71477}"/>
    <cellStyle name="Comma 5 3 5 2 3 2 3" xfId="43392" xr:uid="{D3BB53E1-10CF-47CF-B264-50F72C008C62}"/>
    <cellStyle name="Comma 5 3 5 2 3 3" xfId="19200" xr:uid="{9D111046-7341-4520-A78D-7E3B4BEF128B}"/>
    <cellStyle name="Comma 5 3 5 2 3 3 2" xfId="49440" xr:uid="{3F4000A7-A51B-4D5A-80E1-C97183C45098}"/>
    <cellStyle name="Comma 5 3 5 2 3 4" xfId="34320" xr:uid="{E4B4A1F5-78F2-40D5-A2D2-5046B8DDE9F7}"/>
    <cellStyle name="Comma 5 3 5 2 4" xfId="5592" xr:uid="{4131FD84-8283-40ED-800C-417742DE74B3}"/>
    <cellStyle name="Comma 5 3 5 2 4 2" xfId="14664" xr:uid="{6E0206C6-E184-4F76-8E8A-BF4CE03A72F2}"/>
    <cellStyle name="Comma 5 3 5 2 4 2 2" xfId="29784" xr:uid="{E72B891B-EE21-419E-87E9-1DFC7C0C2FE0}"/>
    <cellStyle name="Comma 5 3 5 2 4 2 2 2" xfId="60024" xr:uid="{4C32819C-D12E-49F8-96CA-01CE6B91DD00}"/>
    <cellStyle name="Comma 5 3 5 2 4 2 3" xfId="44904" xr:uid="{C250F401-FC97-4B2A-A7C7-75CC8D791A71}"/>
    <cellStyle name="Comma 5 3 5 2 4 3" xfId="20712" xr:uid="{A90BD91C-F46E-47DE-95EF-AADB037C6817}"/>
    <cellStyle name="Comma 5 3 5 2 4 3 2" xfId="50952" xr:uid="{D75B8F18-5509-42E3-B7A9-022B4C4EE93F}"/>
    <cellStyle name="Comma 5 3 5 2 4 4" xfId="35832" xr:uid="{93613C53-2FC5-4B3B-8B97-ACEFBD5EE1FD}"/>
    <cellStyle name="Comma 5 3 5 2 5" xfId="7104" xr:uid="{43CB2922-16B4-4D58-B7F7-C1125500BA6B}"/>
    <cellStyle name="Comma 5 3 5 2 5 2" xfId="22224" xr:uid="{F901E5F8-63E6-4C93-896A-F316286EF5CA}"/>
    <cellStyle name="Comma 5 3 5 2 5 2 2" xfId="52464" xr:uid="{8319719E-D3FD-4649-B2E1-E1CDDE2620F9}"/>
    <cellStyle name="Comma 5 3 5 2 5 3" xfId="37344" xr:uid="{EB36C71C-91C8-42C4-AE5E-0B50B378A315}"/>
    <cellStyle name="Comma 5 3 5 2 6" xfId="8616" xr:uid="{35048C39-B198-450F-B5BC-E1664FF9A1D6}"/>
    <cellStyle name="Comma 5 3 5 2 6 2" xfId="23736" xr:uid="{C188AE6F-D2CD-4599-A082-E74002930C9A}"/>
    <cellStyle name="Comma 5 3 5 2 6 2 2" xfId="53976" xr:uid="{103C72C1-2F2A-4875-BB85-51A2F85445C9}"/>
    <cellStyle name="Comma 5 3 5 2 6 3" xfId="38856" xr:uid="{88BC597B-81BC-44E7-9CCB-3F86E91CBD3A}"/>
    <cellStyle name="Comma 5 3 5 2 7" xfId="10128" xr:uid="{EB5E88CB-AD87-4E39-BFE0-4EB0F84412DF}"/>
    <cellStyle name="Comma 5 3 5 2 7 2" xfId="25248" xr:uid="{6CCC1B66-96BE-4691-909C-88BB68D36D86}"/>
    <cellStyle name="Comma 5 3 5 2 7 2 2" xfId="55488" xr:uid="{BC61F0E6-8A74-4152-881B-7E28D356418D}"/>
    <cellStyle name="Comma 5 3 5 2 7 3" xfId="40368" xr:uid="{A4A27429-1327-4B31-B479-B00239EB0FD2}"/>
    <cellStyle name="Comma 5 3 5 2 8" xfId="16176" xr:uid="{3C9EC59B-255C-45D6-840C-C4FBCDD43A6C}"/>
    <cellStyle name="Comma 5 3 5 2 8 2" xfId="46416" xr:uid="{9745B630-89BC-47D3-BD0E-194BD0361546}"/>
    <cellStyle name="Comma 5 3 5 2 9" xfId="31296" xr:uid="{F8EC6861-2293-4DC1-8C08-44639FB962FB}"/>
    <cellStyle name="Comma 5 3 5 3" xfId="1812" xr:uid="{0A70EEA2-E6BB-45D5-9EBA-029A095F8770}"/>
    <cellStyle name="Comma 5 3 5 3 2" xfId="10884" xr:uid="{DD865D5E-DAF8-4F1D-AF7F-0F3A388049A1}"/>
    <cellStyle name="Comma 5 3 5 3 2 2" xfId="26004" xr:uid="{97A6AB55-3741-4844-9FBB-E4C574DB7010}"/>
    <cellStyle name="Comma 5 3 5 3 2 2 2" xfId="56244" xr:uid="{5C07780A-F0E1-4C5F-8904-895E4B387BE1}"/>
    <cellStyle name="Comma 5 3 5 3 2 3" xfId="41124" xr:uid="{3C8D01E0-31E9-4348-9486-5245C804A0B0}"/>
    <cellStyle name="Comma 5 3 5 3 3" xfId="16932" xr:uid="{5AF1618E-B931-43B7-BF2E-C6094D1C0606}"/>
    <cellStyle name="Comma 5 3 5 3 3 2" xfId="47172" xr:uid="{9222C12B-C55D-4FB1-83B6-6E041378A4CC}"/>
    <cellStyle name="Comma 5 3 5 3 4" xfId="32052" xr:uid="{202B68D2-3D8C-4231-A50E-C93473129D61}"/>
    <cellStyle name="Comma 5 3 5 4" xfId="3324" xr:uid="{B63D6681-44C9-4859-9FFB-5E61B3B22341}"/>
    <cellStyle name="Comma 5 3 5 4 2" xfId="12396" xr:uid="{9FD5DEDC-7E0C-43AC-90BF-A0368D2CDF8C}"/>
    <cellStyle name="Comma 5 3 5 4 2 2" xfId="27516" xr:uid="{AE536E88-F349-40D0-8213-3DB17E2B8371}"/>
    <cellStyle name="Comma 5 3 5 4 2 2 2" xfId="57756" xr:uid="{CB0C2B19-8C3C-48B7-9CA9-AB07B7A1CEFA}"/>
    <cellStyle name="Comma 5 3 5 4 2 3" xfId="42636" xr:uid="{B5E08A82-EAB4-4B09-9C31-9701E6D2459E}"/>
    <cellStyle name="Comma 5 3 5 4 3" xfId="18444" xr:uid="{2DF2FD27-499E-4F80-888A-EED307036192}"/>
    <cellStyle name="Comma 5 3 5 4 3 2" xfId="48684" xr:uid="{F2681571-D499-4B14-BB34-6B32D0B2C0EE}"/>
    <cellStyle name="Comma 5 3 5 4 4" xfId="33564" xr:uid="{1E56A6F7-3ED6-4FAF-95A4-46CD7E652234}"/>
    <cellStyle name="Comma 5 3 5 5" xfId="4836" xr:uid="{40B03651-5ABE-43F4-9C39-2C7550BD0FFD}"/>
    <cellStyle name="Comma 5 3 5 5 2" xfId="13908" xr:uid="{41501282-308C-42C6-8DD3-F45996266F3D}"/>
    <cellStyle name="Comma 5 3 5 5 2 2" xfId="29028" xr:uid="{EAA7E466-E19E-4807-BA17-A056F4A85428}"/>
    <cellStyle name="Comma 5 3 5 5 2 2 2" xfId="59268" xr:uid="{F9FFBD34-37FE-4259-8F0E-E17638A7E404}"/>
    <cellStyle name="Comma 5 3 5 5 2 3" xfId="44148" xr:uid="{8425F2D0-EB4A-4687-ADF1-71B3D8E99E05}"/>
    <cellStyle name="Comma 5 3 5 5 3" xfId="19956" xr:uid="{A5D5D66B-C590-492B-91E7-22416818240C}"/>
    <cellStyle name="Comma 5 3 5 5 3 2" xfId="50196" xr:uid="{9AAA2CD4-DC4C-4561-AB25-F6FAEAE16ADC}"/>
    <cellStyle name="Comma 5 3 5 5 4" xfId="35076" xr:uid="{21A9AE76-07FB-4AEC-B8A5-97A616590B8D}"/>
    <cellStyle name="Comma 5 3 5 6" xfId="6348" xr:uid="{0BDDA0B0-9EAE-47D0-9450-68E8222B2266}"/>
    <cellStyle name="Comma 5 3 5 6 2" xfId="21468" xr:uid="{71E9BBAD-DF84-4AB4-8907-BF59E5D015DD}"/>
    <cellStyle name="Comma 5 3 5 6 2 2" xfId="51708" xr:uid="{8D7D2B07-6A77-4067-98B7-FAEAE0227537}"/>
    <cellStyle name="Comma 5 3 5 6 3" xfId="36588" xr:uid="{19E298FB-6E93-4D06-BC24-757C00B77F79}"/>
    <cellStyle name="Comma 5 3 5 7" xfId="7860" xr:uid="{F2E62FBB-F887-40A7-9A57-697B0BB371C1}"/>
    <cellStyle name="Comma 5 3 5 7 2" xfId="22980" xr:uid="{8381AB44-706C-4CB0-9765-D2D765323722}"/>
    <cellStyle name="Comma 5 3 5 7 2 2" xfId="53220" xr:uid="{49E310EF-978F-4CF5-9780-7A00DBBB30F3}"/>
    <cellStyle name="Comma 5 3 5 7 3" xfId="38100" xr:uid="{45056057-C1C7-4B4B-A0F5-206EC78A3AF0}"/>
    <cellStyle name="Comma 5 3 5 8" xfId="9372" xr:uid="{7B8E7842-6FB9-4043-9502-C421B072EDCE}"/>
    <cellStyle name="Comma 5 3 5 8 2" xfId="24492" xr:uid="{D5C2F58C-CE0A-49B7-B336-D07EA90A5CBC}"/>
    <cellStyle name="Comma 5 3 5 8 2 2" xfId="54732" xr:uid="{80DC68C9-75A9-46D7-92DB-C73B222DCCF9}"/>
    <cellStyle name="Comma 5 3 5 8 3" xfId="39612" xr:uid="{577FF773-80CC-48D8-9623-EB65DAA20226}"/>
    <cellStyle name="Comma 5 3 5 9" xfId="15420" xr:uid="{43EDB064-A628-44E4-8642-848ED55388D2}"/>
    <cellStyle name="Comma 5 3 5 9 2" xfId="45660" xr:uid="{7A8F8E36-83AA-441E-93E8-FF5F798F4B3C}"/>
    <cellStyle name="Comma 5 3 6" xfId="552" xr:uid="{229968F5-4045-47A8-937B-8D11A40F9599}"/>
    <cellStyle name="Comma 5 3 6 10" xfId="30792" xr:uid="{A5F802E7-6AF9-4E12-976D-648D446DDA2E}"/>
    <cellStyle name="Comma 5 3 6 2" xfId="1308" xr:uid="{4A9B24F4-6045-433C-AFFF-48B360C51BCE}"/>
    <cellStyle name="Comma 5 3 6 2 2" xfId="2820" xr:uid="{A32E6DFC-0F80-4531-88EB-3D5235FECE92}"/>
    <cellStyle name="Comma 5 3 6 2 2 2" xfId="11892" xr:uid="{ACE7B4AD-FA11-43B9-B812-2545848C1D2D}"/>
    <cellStyle name="Comma 5 3 6 2 2 2 2" xfId="27012" xr:uid="{EFF8250B-2FF5-44DC-A8C0-367C9207DA10}"/>
    <cellStyle name="Comma 5 3 6 2 2 2 2 2" xfId="57252" xr:uid="{7190CAF9-BFCB-4B9D-8F78-194A726E585D}"/>
    <cellStyle name="Comma 5 3 6 2 2 2 3" xfId="42132" xr:uid="{986C45D8-F300-4D76-A01F-76D2DF0B4823}"/>
    <cellStyle name="Comma 5 3 6 2 2 3" xfId="17940" xr:uid="{6D6148B0-C956-4B47-ABA0-196F06002705}"/>
    <cellStyle name="Comma 5 3 6 2 2 3 2" xfId="48180" xr:uid="{F9EC5ADF-E895-400F-9C42-21DCD8D2575C}"/>
    <cellStyle name="Comma 5 3 6 2 2 4" xfId="33060" xr:uid="{B6338C1D-470A-4E00-87D4-75D1BD21DF05}"/>
    <cellStyle name="Comma 5 3 6 2 3" xfId="4332" xr:uid="{A171B56E-0F80-4A48-94D2-E6148351A134}"/>
    <cellStyle name="Comma 5 3 6 2 3 2" xfId="13404" xr:uid="{734C8B29-2EDD-46DB-9814-F2CC930608D0}"/>
    <cellStyle name="Comma 5 3 6 2 3 2 2" xfId="28524" xr:uid="{83664375-838F-496C-A005-45415A9C8D70}"/>
    <cellStyle name="Comma 5 3 6 2 3 2 2 2" xfId="58764" xr:uid="{FE333F46-16F4-409C-A386-0E382DF1A8F9}"/>
    <cellStyle name="Comma 5 3 6 2 3 2 3" xfId="43644" xr:uid="{D51F404A-A3B4-4FA8-9799-5635F45BD866}"/>
    <cellStyle name="Comma 5 3 6 2 3 3" xfId="19452" xr:uid="{0D15CDE2-2376-4086-877B-EDB5655346C9}"/>
    <cellStyle name="Comma 5 3 6 2 3 3 2" xfId="49692" xr:uid="{5A7132E0-6138-49BF-A3F8-39FBD286A216}"/>
    <cellStyle name="Comma 5 3 6 2 3 4" xfId="34572" xr:uid="{01E475E5-57A5-40A1-B03A-B650EF6BEDA4}"/>
    <cellStyle name="Comma 5 3 6 2 4" xfId="5844" xr:uid="{CF921749-09F5-4AF4-BAF6-47630B6C7F41}"/>
    <cellStyle name="Comma 5 3 6 2 4 2" xfId="14916" xr:uid="{B88257B7-BF52-413C-BE96-313C53503809}"/>
    <cellStyle name="Comma 5 3 6 2 4 2 2" xfId="30036" xr:uid="{1B6A4A82-EF10-4228-883D-06B309492E70}"/>
    <cellStyle name="Comma 5 3 6 2 4 2 2 2" xfId="60276" xr:uid="{0482320A-5AF3-479D-8854-EA92D24920AA}"/>
    <cellStyle name="Comma 5 3 6 2 4 2 3" xfId="45156" xr:uid="{D95830FD-F505-4909-98C7-BD6F3C5FBADA}"/>
    <cellStyle name="Comma 5 3 6 2 4 3" xfId="20964" xr:uid="{D0E8CD47-7E15-411A-97FB-49956EC9EBC6}"/>
    <cellStyle name="Comma 5 3 6 2 4 3 2" xfId="51204" xr:uid="{893A2B4C-32FD-4534-B6D7-FF2F0220C5E4}"/>
    <cellStyle name="Comma 5 3 6 2 4 4" xfId="36084" xr:uid="{BB7312F6-7739-47C7-86BC-4A42B9733DA5}"/>
    <cellStyle name="Comma 5 3 6 2 5" xfId="7356" xr:uid="{895AE888-5788-4120-BC21-9C45AC80E918}"/>
    <cellStyle name="Comma 5 3 6 2 5 2" xfId="22476" xr:uid="{2BD5CCB1-5572-49C9-8E9C-C0C0117081A0}"/>
    <cellStyle name="Comma 5 3 6 2 5 2 2" xfId="52716" xr:uid="{D22931EB-4C8F-4EDC-8765-23E1F8B942DE}"/>
    <cellStyle name="Comma 5 3 6 2 5 3" xfId="37596" xr:uid="{09AC7376-478E-4607-AA59-A4D0243E4159}"/>
    <cellStyle name="Comma 5 3 6 2 6" xfId="8868" xr:uid="{421948BE-6845-460D-B859-434EB90D1E2D}"/>
    <cellStyle name="Comma 5 3 6 2 6 2" xfId="23988" xr:uid="{2EAE2600-DE31-47FF-946F-615BF044C80D}"/>
    <cellStyle name="Comma 5 3 6 2 6 2 2" xfId="54228" xr:uid="{533B3C61-2825-48F3-AB60-AD862B84E2CD}"/>
    <cellStyle name="Comma 5 3 6 2 6 3" xfId="39108" xr:uid="{E2489887-0CA8-43EA-81EB-8E51E36CC55D}"/>
    <cellStyle name="Comma 5 3 6 2 7" xfId="10380" xr:uid="{8767022F-3EFE-4584-85BA-538D0AB7E010}"/>
    <cellStyle name="Comma 5 3 6 2 7 2" xfId="25500" xr:uid="{B6D11987-EF0B-4FAA-AD18-9BB9BD6E49DA}"/>
    <cellStyle name="Comma 5 3 6 2 7 2 2" xfId="55740" xr:uid="{39B39A1C-88AF-4DBE-BA24-E716C56212ED}"/>
    <cellStyle name="Comma 5 3 6 2 7 3" xfId="40620" xr:uid="{2CBB3679-6187-4205-B663-C2A8B6E367B3}"/>
    <cellStyle name="Comma 5 3 6 2 8" xfId="16428" xr:uid="{25501A36-9828-4386-9322-4FBB6D324B37}"/>
    <cellStyle name="Comma 5 3 6 2 8 2" xfId="46668" xr:uid="{6B4FEE78-3BF1-4558-B848-54C970E2CADB}"/>
    <cellStyle name="Comma 5 3 6 2 9" xfId="31548" xr:uid="{1FD49890-83C0-45D6-B64D-F37035D98200}"/>
    <cellStyle name="Comma 5 3 6 3" xfId="2064" xr:uid="{34CF9741-81B1-48FE-8E1D-A628B686F837}"/>
    <cellStyle name="Comma 5 3 6 3 2" xfId="11136" xr:uid="{0756766B-B4CD-4A24-BEF2-041FEEE90283}"/>
    <cellStyle name="Comma 5 3 6 3 2 2" xfId="26256" xr:uid="{54376375-055D-4068-ACE6-8CC428A5D5D1}"/>
    <cellStyle name="Comma 5 3 6 3 2 2 2" xfId="56496" xr:uid="{39255C6D-3D01-43A6-9783-0C201D9A26D7}"/>
    <cellStyle name="Comma 5 3 6 3 2 3" xfId="41376" xr:uid="{FD186646-A077-4F13-A4C3-943865562EDC}"/>
    <cellStyle name="Comma 5 3 6 3 3" xfId="17184" xr:uid="{744604F0-4897-4715-810C-9D139A1A9E34}"/>
    <cellStyle name="Comma 5 3 6 3 3 2" xfId="47424" xr:uid="{EA10CF45-2FA9-409B-B333-B1028030B466}"/>
    <cellStyle name="Comma 5 3 6 3 4" xfId="32304" xr:uid="{2FCBE49D-D3E3-47FB-A850-183CCBD0C5B8}"/>
    <cellStyle name="Comma 5 3 6 4" xfId="3576" xr:uid="{323EEBD4-3320-4B7F-A6C5-8D1E01EE3E5E}"/>
    <cellStyle name="Comma 5 3 6 4 2" xfId="12648" xr:uid="{EE6F7792-8B1F-4B90-A142-197ACDC60F68}"/>
    <cellStyle name="Comma 5 3 6 4 2 2" xfId="27768" xr:uid="{2EA95EAF-FEE4-4134-8E8C-DE79772C1196}"/>
    <cellStyle name="Comma 5 3 6 4 2 2 2" xfId="58008" xr:uid="{AA1DC853-93F4-4AA5-99A0-7FC6162F00FF}"/>
    <cellStyle name="Comma 5 3 6 4 2 3" xfId="42888" xr:uid="{13F9BB5B-B84B-4526-9327-CF72CC59453C}"/>
    <cellStyle name="Comma 5 3 6 4 3" xfId="18696" xr:uid="{9BCC4ACA-43B9-4BFF-BB20-B9305416B36A}"/>
    <cellStyle name="Comma 5 3 6 4 3 2" xfId="48936" xr:uid="{09606457-1710-44E5-861F-ADD958A7763F}"/>
    <cellStyle name="Comma 5 3 6 4 4" xfId="33816" xr:uid="{35EC534F-FA45-4E87-A3D7-7BF367B36C1D}"/>
    <cellStyle name="Comma 5 3 6 5" xfId="5088" xr:uid="{CEC5B29C-D738-49B9-9D85-105B145DAFA4}"/>
    <cellStyle name="Comma 5 3 6 5 2" xfId="14160" xr:uid="{F92BB656-3173-4DE3-ABE3-F6A91A86D691}"/>
    <cellStyle name="Comma 5 3 6 5 2 2" xfId="29280" xr:uid="{4644DC13-CD61-4CB1-9840-819AE579974A}"/>
    <cellStyle name="Comma 5 3 6 5 2 2 2" xfId="59520" xr:uid="{B02AE647-FF7C-4F56-BB72-CF123C6DD3A3}"/>
    <cellStyle name="Comma 5 3 6 5 2 3" xfId="44400" xr:uid="{CE04F29C-E62C-4FB9-84BB-342B4ADDF153}"/>
    <cellStyle name="Comma 5 3 6 5 3" xfId="20208" xr:uid="{D9E677B1-ACFC-48EC-9704-CF6A6BB014F6}"/>
    <cellStyle name="Comma 5 3 6 5 3 2" xfId="50448" xr:uid="{9783CFE6-4DAA-4767-B174-DF4F440E5E1E}"/>
    <cellStyle name="Comma 5 3 6 5 4" xfId="35328" xr:uid="{7BA4D66D-D7C0-46F5-9346-16D6419B52F8}"/>
    <cellStyle name="Comma 5 3 6 6" xfId="6600" xr:uid="{EDC764C3-1AD9-4BC7-9998-434B2A761420}"/>
    <cellStyle name="Comma 5 3 6 6 2" xfId="21720" xr:uid="{2A6F5BCB-8B2E-412F-8D3E-CF7F4D9548FD}"/>
    <cellStyle name="Comma 5 3 6 6 2 2" xfId="51960" xr:uid="{4F12715E-9AC5-4041-8323-D107E10F15C6}"/>
    <cellStyle name="Comma 5 3 6 6 3" xfId="36840" xr:uid="{57F1A8D3-8FF3-42FD-92FC-B35F7F92EB56}"/>
    <cellStyle name="Comma 5 3 6 7" xfId="8112" xr:uid="{835A8B3D-7219-4974-8F85-7888C1F299CE}"/>
    <cellStyle name="Comma 5 3 6 7 2" xfId="23232" xr:uid="{987D5796-7ED3-4EF1-BEA8-697185347C32}"/>
    <cellStyle name="Comma 5 3 6 7 2 2" xfId="53472" xr:uid="{9E124BA8-9B4C-4932-9B59-5FC14FB39756}"/>
    <cellStyle name="Comma 5 3 6 7 3" xfId="38352" xr:uid="{09FEF75D-88B8-4D0A-9DE0-53F75EC18831}"/>
    <cellStyle name="Comma 5 3 6 8" xfId="9624" xr:uid="{93312EEA-39A4-4E9B-AF18-438055DAC932}"/>
    <cellStyle name="Comma 5 3 6 8 2" xfId="24744" xr:uid="{300B587A-2FA2-4E96-A773-D926B1F92C6C}"/>
    <cellStyle name="Comma 5 3 6 8 2 2" xfId="54984" xr:uid="{5CB18B98-49BA-4E99-ADF5-050629F31146}"/>
    <cellStyle name="Comma 5 3 6 8 3" xfId="39864" xr:uid="{EE82D2FC-1FE4-4F7C-A274-66562F43BA10}"/>
    <cellStyle name="Comma 5 3 6 9" xfId="15672" xr:uid="{388EAA02-EAF3-48A2-855F-FAD73CF67A8D}"/>
    <cellStyle name="Comma 5 3 6 9 2" xfId="45912" xr:uid="{BF2CE687-54F8-4AE1-B38D-494686B5E0EC}"/>
    <cellStyle name="Comma 5 3 7" xfId="804" xr:uid="{250E07A0-EC1A-49DE-BBC3-763081454A57}"/>
    <cellStyle name="Comma 5 3 7 2" xfId="2316" xr:uid="{5DF30262-1F5D-410E-813E-939A5F549152}"/>
    <cellStyle name="Comma 5 3 7 2 2" xfId="11388" xr:uid="{45C9B327-AFD2-460A-8427-FE5218AB2FC9}"/>
    <cellStyle name="Comma 5 3 7 2 2 2" xfId="26508" xr:uid="{737A736E-7E91-4F19-9D17-EE6830BAE9B8}"/>
    <cellStyle name="Comma 5 3 7 2 2 2 2" xfId="56748" xr:uid="{F221EAB1-11FE-49C9-9F8B-52AA7A802825}"/>
    <cellStyle name="Comma 5 3 7 2 2 3" xfId="41628" xr:uid="{1B4AEDF0-06AA-450C-A096-5EA1D7B8AA4E}"/>
    <cellStyle name="Comma 5 3 7 2 3" xfId="17436" xr:uid="{11F1B99A-CF96-415B-807E-8852AA1DEFAA}"/>
    <cellStyle name="Comma 5 3 7 2 3 2" xfId="47676" xr:uid="{E344D6E8-1137-4C5A-A012-7BB21AE0028F}"/>
    <cellStyle name="Comma 5 3 7 2 4" xfId="32556" xr:uid="{3AC78C1F-C2CF-427A-B6B2-BEA9A8067B98}"/>
    <cellStyle name="Comma 5 3 7 3" xfId="3828" xr:uid="{D2780941-46FE-4F36-BD2C-CFB8F16A93B9}"/>
    <cellStyle name="Comma 5 3 7 3 2" xfId="12900" xr:uid="{3239A1F2-97D3-4938-9131-4031B42F6E0B}"/>
    <cellStyle name="Comma 5 3 7 3 2 2" xfId="28020" xr:uid="{35E92C78-452A-4108-9FB9-0FEF5CE8A3B2}"/>
    <cellStyle name="Comma 5 3 7 3 2 2 2" xfId="58260" xr:uid="{888FBBD8-4F8D-4EC5-A00D-D0D321C31413}"/>
    <cellStyle name="Comma 5 3 7 3 2 3" xfId="43140" xr:uid="{893340D8-B713-4997-85B7-759A23AA858A}"/>
    <cellStyle name="Comma 5 3 7 3 3" xfId="18948" xr:uid="{D8DD6B5B-11BE-4468-8EF4-1AF0473C1A37}"/>
    <cellStyle name="Comma 5 3 7 3 3 2" xfId="49188" xr:uid="{B9465841-1DD9-4DC3-B0D7-DF45FFE93A77}"/>
    <cellStyle name="Comma 5 3 7 3 4" xfId="34068" xr:uid="{19C2BA80-75B7-472C-9ABA-4FB21167A211}"/>
    <cellStyle name="Comma 5 3 7 4" xfId="5340" xr:uid="{892CFE94-D597-441B-9264-F777E75A1949}"/>
    <cellStyle name="Comma 5 3 7 4 2" xfId="14412" xr:uid="{26FC2567-8EA9-4790-AD24-2296B181CB4E}"/>
    <cellStyle name="Comma 5 3 7 4 2 2" xfId="29532" xr:uid="{FCD82F8C-F654-44C3-BF31-19BED3CFC279}"/>
    <cellStyle name="Comma 5 3 7 4 2 2 2" xfId="59772" xr:uid="{294C06F7-3900-48AD-92B7-4D1196BAE2E7}"/>
    <cellStyle name="Comma 5 3 7 4 2 3" xfId="44652" xr:uid="{14C3B3E7-9950-4BF3-A561-5795BFA5B496}"/>
    <cellStyle name="Comma 5 3 7 4 3" xfId="20460" xr:uid="{EA2AA58C-09FB-428D-A78D-5E6C6597256C}"/>
    <cellStyle name="Comma 5 3 7 4 3 2" xfId="50700" xr:uid="{EB00A2D9-FD17-4A87-A266-9FF299F820E0}"/>
    <cellStyle name="Comma 5 3 7 4 4" xfId="35580" xr:uid="{E240FC25-0270-49F1-AA6E-645E7CDE8670}"/>
    <cellStyle name="Comma 5 3 7 5" xfId="6852" xr:uid="{B7B9ACD0-3566-4168-A7FD-6E34A1687260}"/>
    <cellStyle name="Comma 5 3 7 5 2" xfId="21972" xr:uid="{886A519C-C623-44C3-B684-BC8EDC090D8C}"/>
    <cellStyle name="Comma 5 3 7 5 2 2" xfId="52212" xr:uid="{276E7C90-24D2-4E8B-951E-FEB8D8F8F948}"/>
    <cellStyle name="Comma 5 3 7 5 3" xfId="37092" xr:uid="{D4168F52-93D2-43B6-80BF-CE2506D0B3A8}"/>
    <cellStyle name="Comma 5 3 7 6" xfId="8364" xr:uid="{F64A7432-107E-4718-9012-49636578A613}"/>
    <cellStyle name="Comma 5 3 7 6 2" xfId="23484" xr:uid="{A84856F7-1EF9-473A-ADD8-27BDBE8D6204}"/>
    <cellStyle name="Comma 5 3 7 6 2 2" xfId="53724" xr:uid="{C3A52791-AB93-492F-82E9-157D048C6C48}"/>
    <cellStyle name="Comma 5 3 7 6 3" xfId="38604" xr:uid="{49DB3CFB-B98E-4833-9A11-B13F89F61A47}"/>
    <cellStyle name="Comma 5 3 7 7" xfId="9876" xr:uid="{B7CE153D-6667-4306-8D47-1E03F017100E}"/>
    <cellStyle name="Comma 5 3 7 7 2" xfId="24996" xr:uid="{8BF1BAEF-B273-464E-9053-A0E9D3D0C939}"/>
    <cellStyle name="Comma 5 3 7 7 2 2" xfId="55236" xr:uid="{935B9522-B716-4F62-8194-8E1E45A3FBBE}"/>
    <cellStyle name="Comma 5 3 7 7 3" xfId="40116" xr:uid="{1A197D14-3FD6-4E19-B03E-0B543D37BA40}"/>
    <cellStyle name="Comma 5 3 7 8" xfId="15924" xr:uid="{09C36B30-47C2-4EB7-BFCC-FF395A4A5B41}"/>
    <cellStyle name="Comma 5 3 7 8 2" xfId="46164" xr:uid="{FB029A16-3781-43A3-9784-02AF9CDA9B08}"/>
    <cellStyle name="Comma 5 3 7 9" xfId="31044" xr:uid="{DADEC08F-902D-4D56-BC0C-98C0DB496983}"/>
    <cellStyle name="Comma 5 3 8" xfId="1560" xr:uid="{26F97532-B258-43D2-BDCA-07CBC3B52DCD}"/>
    <cellStyle name="Comma 5 3 8 2" xfId="10632" xr:uid="{EB5DD088-C8D3-4A9D-92C1-F9541FE096EF}"/>
    <cellStyle name="Comma 5 3 8 2 2" xfId="25752" xr:uid="{ACC38479-471A-4E11-9409-E6C1663D1E2B}"/>
    <cellStyle name="Comma 5 3 8 2 2 2" xfId="55992" xr:uid="{45D544B6-F20C-46BB-BFFD-DA133FCA3B06}"/>
    <cellStyle name="Comma 5 3 8 2 3" xfId="40872" xr:uid="{60261C8F-8075-49B4-ACDC-A4DD5AF87B43}"/>
    <cellStyle name="Comma 5 3 8 3" xfId="16680" xr:uid="{52C56A62-4E05-414E-A5E0-4718F72D6B3C}"/>
    <cellStyle name="Comma 5 3 8 3 2" xfId="46920" xr:uid="{DD1F3400-F0F1-429F-B244-E5CE2C7EDF41}"/>
    <cellStyle name="Comma 5 3 8 4" xfId="31800" xr:uid="{FE3AA50D-4360-4AF7-9E2B-4AF669C683E4}"/>
    <cellStyle name="Comma 5 3 9" xfId="3072" xr:uid="{14319577-E9BA-4FDD-909B-D22C3B88A6F9}"/>
    <cellStyle name="Comma 5 3 9 2" xfId="12144" xr:uid="{0D30768E-8864-4E2A-B845-2C15A062D448}"/>
    <cellStyle name="Comma 5 3 9 2 2" xfId="27264" xr:uid="{A30D9CC2-9ABD-4109-A0A9-02D5FBA93404}"/>
    <cellStyle name="Comma 5 3 9 2 2 2" xfId="57504" xr:uid="{D8FF64E1-F518-4E88-AFC1-B8B2C35EB04D}"/>
    <cellStyle name="Comma 5 3 9 2 3" xfId="42384" xr:uid="{C1A630E9-AA27-4DD4-A2E2-1BE8BD444F0A}"/>
    <cellStyle name="Comma 5 3 9 3" xfId="18192" xr:uid="{8AB96946-A876-42A4-8F50-6C6534549F37}"/>
    <cellStyle name="Comma 5 3 9 3 2" xfId="48432" xr:uid="{C4294FAD-A361-4FA1-8B81-DAAEED6E6546}"/>
    <cellStyle name="Comma 5 3 9 4" xfId="33312" xr:uid="{89A8CA76-1916-4E21-BF05-E06696289F31}"/>
    <cellStyle name="Comma 5 4" xfId="62" xr:uid="{B79405ED-2BC1-429A-86D9-1349DE548A04}"/>
    <cellStyle name="Comma 5 4 10" xfId="6110" xr:uid="{0E241E79-26D1-430B-B9A7-8D4A940986AF}"/>
    <cellStyle name="Comma 5 4 10 2" xfId="21230" xr:uid="{4E84554B-6272-4010-AFD6-97100BAEBE16}"/>
    <cellStyle name="Comma 5 4 10 2 2" xfId="51470" xr:uid="{F35B75C5-2345-4F9A-A15A-84A3487DB769}"/>
    <cellStyle name="Comma 5 4 10 3" xfId="36350" xr:uid="{7BBA32A0-9EED-418A-81BC-EC1C21D43B59}"/>
    <cellStyle name="Comma 5 4 11" xfId="7622" xr:uid="{18F1276C-A848-4DE6-9A18-FA80263AA175}"/>
    <cellStyle name="Comma 5 4 11 2" xfId="22742" xr:uid="{F613B4E9-A27D-4CDA-86DC-ECF3D4CAC12B}"/>
    <cellStyle name="Comma 5 4 11 2 2" xfId="52982" xr:uid="{615FF3F1-3BAB-4838-83DD-E0B130B699AC}"/>
    <cellStyle name="Comma 5 4 11 3" xfId="37862" xr:uid="{9303E201-83C7-4143-9B35-993BEFBEF5DD}"/>
    <cellStyle name="Comma 5 4 12" xfId="9134" xr:uid="{B709AC3A-B8B4-498D-B7E5-1DA8A00F7956}"/>
    <cellStyle name="Comma 5 4 12 2" xfId="24254" xr:uid="{883E982F-BE91-411F-A2EF-AD0B03BB328C}"/>
    <cellStyle name="Comma 5 4 12 2 2" xfId="54494" xr:uid="{50954349-6D39-4B39-9C17-150A511F1A94}"/>
    <cellStyle name="Comma 5 4 12 3" xfId="39374" xr:uid="{AA4F543E-6620-489B-A126-BC71FC2943CE}"/>
    <cellStyle name="Comma 5 4 13" xfId="15182" xr:uid="{DFBA26EB-F658-48B4-87C7-B54851198BCC}"/>
    <cellStyle name="Comma 5 4 13 2" xfId="45422" xr:uid="{0F8673C7-9333-4489-A6F6-75F6AAF0DBAE}"/>
    <cellStyle name="Comma 5 4 14" xfId="30302" xr:uid="{15D4278C-3CD3-4F14-A433-033336294EC8}"/>
    <cellStyle name="Comma 5 4 2" xfId="146" xr:uid="{5D493AE3-49BB-4B49-AF82-581079935839}"/>
    <cellStyle name="Comma 5 4 2 10" xfId="9218" xr:uid="{6B5F3A68-5803-408A-9CFA-596527AB0E65}"/>
    <cellStyle name="Comma 5 4 2 10 2" xfId="24338" xr:uid="{A5EBAEFA-0BDE-4379-B8B9-21AA08878540}"/>
    <cellStyle name="Comma 5 4 2 10 2 2" xfId="54578" xr:uid="{998B4B61-13C2-455F-8720-85938A3FEEA9}"/>
    <cellStyle name="Comma 5 4 2 10 3" xfId="39458" xr:uid="{5BC63F46-06B8-4258-917F-4757EBA7452C}"/>
    <cellStyle name="Comma 5 4 2 11" xfId="15266" xr:uid="{DEB12994-23C1-4143-A4D9-EB6F167A9C32}"/>
    <cellStyle name="Comma 5 4 2 11 2" xfId="45506" xr:uid="{84D30EA2-AA9A-471C-A088-1679D296A971}"/>
    <cellStyle name="Comma 5 4 2 12" xfId="30386" xr:uid="{1440F75F-3454-4D33-A893-0C66E94E29E2}"/>
    <cellStyle name="Comma 5 4 2 2" xfId="398" xr:uid="{DB0A0358-CD8D-4565-9BD9-5FE9DD1DFB7A}"/>
    <cellStyle name="Comma 5 4 2 2 10" xfId="30638" xr:uid="{7360E722-98CA-4314-ADF9-D3B1C3CCEA41}"/>
    <cellStyle name="Comma 5 4 2 2 2" xfId="1154" xr:uid="{9522A6B3-38CE-4F99-91DF-BAD1E5996F58}"/>
    <cellStyle name="Comma 5 4 2 2 2 2" xfId="2666" xr:uid="{87D44D9B-9648-46DB-8F2C-D271938A43FF}"/>
    <cellStyle name="Comma 5 4 2 2 2 2 2" xfId="11738" xr:uid="{12DBB3A5-3E26-4021-9F9B-8D52E8955714}"/>
    <cellStyle name="Comma 5 4 2 2 2 2 2 2" xfId="26858" xr:uid="{4D05FDB9-A3D6-4F00-B477-8D2638D5E593}"/>
    <cellStyle name="Comma 5 4 2 2 2 2 2 2 2" xfId="57098" xr:uid="{C1B720A1-EF40-4CDB-BAB2-EEA8C5BFE4B0}"/>
    <cellStyle name="Comma 5 4 2 2 2 2 2 3" xfId="41978" xr:uid="{AA594E11-8D41-43B7-AD52-753F9E7562A7}"/>
    <cellStyle name="Comma 5 4 2 2 2 2 3" xfId="17786" xr:uid="{A12CCCD2-1620-47D8-94D8-5438CEFD78F1}"/>
    <cellStyle name="Comma 5 4 2 2 2 2 3 2" xfId="48026" xr:uid="{221811E7-FA3B-4938-9EF7-E432D6C2A69F}"/>
    <cellStyle name="Comma 5 4 2 2 2 2 4" xfId="32906" xr:uid="{E1638FA7-5A26-4EEA-A243-8C83CCF45108}"/>
    <cellStyle name="Comma 5 4 2 2 2 3" xfId="4178" xr:uid="{B0109FF0-65DE-443E-825D-D8710CB55B5B}"/>
    <cellStyle name="Comma 5 4 2 2 2 3 2" xfId="13250" xr:uid="{B75ED3CD-6815-45E5-9BB9-48EE6EEF4FCE}"/>
    <cellStyle name="Comma 5 4 2 2 2 3 2 2" xfId="28370" xr:uid="{2DB98D71-F19A-4C98-BCDD-2D208A6067BA}"/>
    <cellStyle name="Comma 5 4 2 2 2 3 2 2 2" xfId="58610" xr:uid="{F5A20DC3-AA41-4123-AEAA-42C2CF6FFE58}"/>
    <cellStyle name="Comma 5 4 2 2 2 3 2 3" xfId="43490" xr:uid="{98877C0A-152D-45BE-A4EE-B2129D6EA68B}"/>
    <cellStyle name="Comma 5 4 2 2 2 3 3" xfId="19298" xr:uid="{2507AA3F-078C-4B2B-97F4-E6EC2F322624}"/>
    <cellStyle name="Comma 5 4 2 2 2 3 3 2" xfId="49538" xr:uid="{3D69514A-46F4-4B01-819D-951A3CCD3442}"/>
    <cellStyle name="Comma 5 4 2 2 2 3 4" xfId="34418" xr:uid="{2199FAFA-DF80-4835-B9A7-1CE6743C1CD6}"/>
    <cellStyle name="Comma 5 4 2 2 2 4" xfId="5690" xr:uid="{610AADA7-419E-412A-BEA4-6D6AB540B7D0}"/>
    <cellStyle name="Comma 5 4 2 2 2 4 2" xfId="14762" xr:uid="{2D07E752-705E-479E-AD2E-F8978E4FA698}"/>
    <cellStyle name="Comma 5 4 2 2 2 4 2 2" xfId="29882" xr:uid="{FB1522C4-C022-425D-9B4B-6F6A07524DD9}"/>
    <cellStyle name="Comma 5 4 2 2 2 4 2 2 2" xfId="60122" xr:uid="{33064898-283B-4317-8446-9ECD33A74DDA}"/>
    <cellStyle name="Comma 5 4 2 2 2 4 2 3" xfId="45002" xr:uid="{7C0410C0-10C0-47AA-A0F3-F742A161F715}"/>
    <cellStyle name="Comma 5 4 2 2 2 4 3" xfId="20810" xr:uid="{ED6FF915-5EB9-4D49-AB09-50C9BE48586C}"/>
    <cellStyle name="Comma 5 4 2 2 2 4 3 2" xfId="51050" xr:uid="{5080A819-A090-470E-833B-62353CD1A858}"/>
    <cellStyle name="Comma 5 4 2 2 2 4 4" xfId="35930" xr:uid="{F3DC0B03-FA20-4AAB-B3C6-83BBA4ADB517}"/>
    <cellStyle name="Comma 5 4 2 2 2 5" xfId="7202" xr:uid="{0614BCBF-8CF1-43C7-ADB0-88B76C184183}"/>
    <cellStyle name="Comma 5 4 2 2 2 5 2" xfId="22322" xr:uid="{FE01592C-E4BC-442A-B467-0FA6AFD5C410}"/>
    <cellStyle name="Comma 5 4 2 2 2 5 2 2" xfId="52562" xr:uid="{0E103FA1-9160-4E6E-BCD1-96E5B7232D30}"/>
    <cellStyle name="Comma 5 4 2 2 2 5 3" xfId="37442" xr:uid="{CEF73136-05AF-4250-BFD4-F343B30235EB}"/>
    <cellStyle name="Comma 5 4 2 2 2 6" xfId="8714" xr:uid="{8775E7D0-8AE6-4181-8D0E-D31737EF9A1D}"/>
    <cellStyle name="Comma 5 4 2 2 2 6 2" xfId="23834" xr:uid="{126DA8DA-1970-48DE-9753-82E67FE29C08}"/>
    <cellStyle name="Comma 5 4 2 2 2 6 2 2" xfId="54074" xr:uid="{527B1ED4-CAFD-4AC2-B995-9A40517A1292}"/>
    <cellStyle name="Comma 5 4 2 2 2 6 3" xfId="38954" xr:uid="{7488DB78-CA67-4CAA-B6EA-69645019F88B}"/>
    <cellStyle name="Comma 5 4 2 2 2 7" xfId="10226" xr:uid="{EDFEFB69-55D1-47B6-BD8B-AF556A5F3F3C}"/>
    <cellStyle name="Comma 5 4 2 2 2 7 2" xfId="25346" xr:uid="{C7B94072-3EE1-4906-B717-07409F17FEB2}"/>
    <cellStyle name="Comma 5 4 2 2 2 7 2 2" xfId="55586" xr:uid="{7BE4575B-4131-44B0-8F1E-47EA04DDCBA8}"/>
    <cellStyle name="Comma 5 4 2 2 2 7 3" xfId="40466" xr:uid="{EDD1452C-C31C-43EF-840E-B848A283E81E}"/>
    <cellStyle name="Comma 5 4 2 2 2 8" xfId="16274" xr:uid="{C23B1955-C95C-4F7A-9B02-4B94163F504E}"/>
    <cellStyle name="Comma 5 4 2 2 2 8 2" xfId="46514" xr:uid="{463B0FDD-7086-4D6D-A6C9-0F7C7BE1F6A4}"/>
    <cellStyle name="Comma 5 4 2 2 2 9" xfId="31394" xr:uid="{93551A65-9499-41DB-A3B3-3801704C3C26}"/>
    <cellStyle name="Comma 5 4 2 2 3" xfId="1910" xr:uid="{0F4E83CC-0C8C-4579-9BBB-0C20D5A3DC05}"/>
    <cellStyle name="Comma 5 4 2 2 3 2" xfId="10982" xr:uid="{3294CF5F-1A2D-44E4-AC23-EE48DF5C7746}"/>
    <cellStyle name="Comma 5 4 2 2 3 2 2" xfId="26102" xr:uid="{ACE100C4-3667-4C3D-94DC-CFF7310AA9BF}"/>
    <cellStyle name="Comma 5 4 2 2 3 2 2 2" xfId="56342" xr:uid="{90E9583E-8F37-47F7-AB4B-1BD5E071ACFC}"/>
    <cellStyle name="Comma 5 4 2 2 3 2 3" xfId="41222" xr:uid="{B986D7BA-08A6-409E-BBB0-E13E076047DC}"/>
    <cellStyle name="Comma 5 4 2 2 3 3" xfId="17030" xr:uid="{588AFCD4-C528-4E42-88EF-1CFD783297D8}"/>
    <cellStyle name="Comma 5 4 2 2 3 3 2" xfId="47270" xr:uid="{F2649D38-3A61-4BDB-B52D-519102676A35}"/>
    <cellStyle name="Comma 5 4 2 2 3 4" xfId="32150" xr:uid="{CFC22AD6-46B8-4381-86CE-180D990017FF}"/>
    <cellStyle name="Comma 5 4 2 2 4" xfId="3422" xr:uid="{4011EAC2-F886-4C67-9376-00D7B09E3662}"/>
    <cellStyle name="Comma 5 4 2 2 4 2" xfId="12494" xr:uid="{25AC8932-96ED-43BE-9BD3-3B8C68D68927}"/>
    <cellStyle name="Comma 5 4 2 2 4 2 2" xfId="27614" xr:uid="{BEBE8B18-1F5C-4D94-83FA-C3A23FB5CA79}"/>
    <cellStyle name="Comma 5 4 2 2 4 2 2 2" xfId="57854" xr:uid="{EEF2BD67-6034-46AC-8D8E-9ABC4232FE3C}"/>
    <cellStyle name="Comma 5 4 2 2 4 2 3" xfId="42734" xr:uid="{5475ADEB-F8F8-4FA0-9A88-369D6C757321}"/>
    <cellStyle name="Comma 5 4 2 2 4 3" xfId="18542" xr:uid="{B390129A-C72D-462E-95F1-EC5753852541}"/>
    <cellStyle name="Comma 5 4 2 2 4 3 2" xfId="48782" xr:uid="{7D1459C4-DB0D-4D43-803A-97B338E2DA6F}"/>
    <cellStyle name="Comma 5 4 2 2 4 4" xfId="33662" xr:uid="{A2BD9306-BEF9-4342-B460-2BB462A848CB}"/>
    <cellStyle name="Comma 5 4 2 2 5" xfId="4934" xr:uid="{DCC79E2A-E709-48AA-A60A-49D844FE6CEE}"/>
    <cellStyle name="Comma 5 4 2 2 5 2" xfId="14006" xr:uid="{906B2BE1-8552-4866-B0CE-704A1DEDF4A2}"/>
    <cellStyle name="Comma 5 4 2 2 5 2 2" xfId="29126" xr:uid="{2C3663FA-F747-41E7-9F20-2F77AEEBE001}"/>
    <cellStyle name="Comma 5 4 2 2 5 2 2 2" xfId="59366" xr:uid="{10A39CA8-4D79-4014-B25F-36EF1C2C47D9}"/>
    <cellStyle name="Comma 5 4 2 2 5 2 3" xfId="44246" xr:uid="{5A27E7E4-9A66-48F2-B414-1B165DA771A0}"/>
    <cellStyle name="Comma 5 4 2 2 5 3" xfId="20054" xr:uid="{143E31FB-49A1-4D88-9426-116A163DCC90}"/>
    <cellStyle name="Comma 5 4 2 2 5 3 2" xfId="50294" xr:uid="{6575B0A0-464C-4E46-989A-C60BD79FA30A}"/>
    <cellStyle name="Comma 5 4 2 2 5 4" xfId="35174" xr:uid="{F1F9D630-9718-408B-A2FA-171C70785321}"/>
    <cellStyle name="Comma 5 4 2 2 6" xfId="6446" xr:uid="{E9FC694B-9464-4566-A6D1-E72043DC67F5}"/>
    <cellStyle name="Comma 5 4 2 2 6 2" xfId="21566" xr:uid="{220B4BD8-F006-4727-9D36-EAD7C060E5BC}"/>
    <cellStyle name="Comma 5 4 2 2 6 2 2" xfId="51806" xr:uid="{4AD05D0F-A13E-462E-8450-4917EA21A6BC}"/>
    <cellStyle name="Comma 5 4 2 2 6 3" xfId="36686" xr:uid="{DD4D310A-E97D-4D8A-8C9C-1EC152B90D10}"/>
    <cellStyle name="Comma 5 4 2 2 7" xfId="7958" xr:uid="{41D79D52-BA2F-4873-8835-93B40B5990FC}"/>
    <cellStyle name="Comma 5 4 2 2 7 2" xfId="23078" xr:uid="{00D90EE4-91A0-4B2E-8151-BDBCA636F4D3}"/>
    <cellStyle name="Comma 5 4 2 2 7 2 2" xfId="53318" xr:uid="{03D11C44-F189-4FD5-926D-485D352DE250}"/>
    <cellStyle name="Comma 5 4 2 2 7 3" xfId="38198" xr:uid="{8DC976A7-6849-4BCB-8FF1-0FF1B8B9361A}"/>
    <cellStyle name="Comma 5 4 2 2 8" xfId="9470" xr:uid="{11BEA661-9491-49F4-A275-3D4D3C7375C6}"/>
    <cellStyle name="Comma 5 4 2 2 8 2" xfId="24590" xr:uid="{A052E23D-C315-4DA4-BEF9-66E87DF08E55}"/>
    <cellStyle name="Comma 5 4 2 2 8 2 2" xfId="54830" xr:uid="{EA51C63F-0897-49D3-9264-88F5A4DFBBD7}"/>
    <cellStyle name="Comma 5 4 2 2 8 3" xfId="39710" xr:uid="{C64E34C6-3EAD-4D71-A1C6-445E1387BA5F}"/>
    <cellStyle name="Comma 5 4 2 2 9" xfId="15518" xr:uid="{161A8EBE-DF05-4CA2-9789-2984016A89F1}"/>
    <cellStyle name="Comma 5 4 2 2 9 2" xfId="45758" xr:uid="{A3FBA291-E3F8-40C2-AFB1-77AC9C934E94}"/>
    <cellStyle name="Comma 5 4 2 3" xfId="650" xr:uid="{9937D6D0-3D7D-43E9-8788-E17057AD55D3}"/>
    <cellStyle name="Comma 5 4 2 3 10" xfId="30890" xr:uid="{C942CA15-338A-4709-A17F-969592994EBD}"/>
    <cellStyle name="Comma 5 4 2 3 2" xfId="1406" xr:uid="{FE4CA4CE-CBE9-4B56-936F-745AC648B789}"/>
    <cellStyle name="Comma 5 4 2 3 2 2" xfId="2918" xr:uid="{1D1AA2F2-488A-407D-91BF-EA07AD7AC5C5}"/>
    <cellStyle name="Comma 5 4 2 3 2 2 2" xfId="11990" xr:uid="{11B749B6-D494-4712-962A-43A0801E09BF}"/>
    <cellStyle name="Comma 5 4 2 3 2 2 2 2" xfId="27110" xr:uid="{79FF6845-CEA4-4D64-B538-EE683057DDE3}"/>
    <cellStyle name="Comma 5 4 2 3 2 2 2 2 2" xfId="57350" xr:uid="{BB77FD46-54B4-4346-9A4C-4B1CA7482ABC}"/>
    <cellStyle name="Comma 5 4 2 3 2 2 2 3" xfId="42230" xr:uid="{A3094484-E851-44AD-96C5-244556AD7F41}"/>
    <cellStyle name="Comma 5 4 2 3 2 2 3" xfId="18038" xr:uid="{1CFE6C86-122A-4258-BBB7-621043987775}"/>
    <cellStyle name="Comma 5 4 2 3 2 2 3 2" xfId="48278" xr:uid="{0FC94550-6192-4BB2-8703-FB5B00A7189A}"/>
    <cellStyle name="Comma 5 4 2 3 2 2 4" xfId="33158" xr:uid="{6A808BAE-DFF3-4349-9AF9-F093DAF00302}"/>
    <cellStyle name="Comma 5 4 2 3 2 3" xfId="4430" xr:uid="{5CF7D036-8ABE-42FC-B910-B034C63436E3}"/>
    <cellStyle name="Comma 5 4 2 3 2 3 2" xfId="13502" xr:uid="{C26827C4-FCAA-4A8E-A3E7-01C9A2AD6731}"/>
    <cellStyle name="Comma 5 4 2 3 2 3 2 2" xfId="28622" xr:uid="{85F40E11-5E30-4800-A5C3-CE71AD31C7F5}"/>
    <cellStyle name="Comma 5 4 2 3 2 3 2 2 2" xfId="58862" xr:uid="{E237E3A9-5A80-442C-8A63-E77D0162ADA8}"/>
    <cellStyle name="Comma 5 4 2 3 2 3 2 3" xfId="43742" xr:uid="{6F31593D-D347-4D84-81CC-636CDC647797}"/>
    <cellStyle name="Comma 5 4 2 3 2 3 3" xfId="19550" xr:uid="{68F3D098-A1E8-4B62-922D-3BACEC9355F1}"/>
    <cellStyle name="Comma 5 4 2 3 2 3 3 2" xfId="49790" xr:uid="{A6FC4FC9-31E5-4136-9D19-AE4732FB5D48}"/>
    <cellStyle name="Comma 5 4 2 3 2 3 4" xfId="34670" xr:uid="{8BFF74C8-5D8A-4C3A-926D-DE498B45BA19}"/>
    <cellStyle name="Comma 5 4 2 3 2 4" xfId="5942" xr:uid="{B0AD37B2-C298-4DF5-BB07-8AE38BCCE2B9}"/>
    <cellStyle name="Comma 5 4 2 3 2 4 2" xfId="15014" xr:uid="{A6DC6701-1B43-4EF4-A7B6-D03691808B8C}"/>
    <cellStyle name="Comma 5 4 2 3 2 4 2 2" xfId="30134" xr:uid="{0D0EC8D7-3556-4909-8918-0F8AB36C5A69}"/>
    <cellStyle name="Comma 5 4 2 3 2 4 2 2 2" xfId="60374" xr:uid="{1EBB4F52-E960-4F09-B10E-54FDCFC196FC}"/>
    <cellStyle name="Comma 5 4 2 3 2 4 2 3" xfId="45254" xr:uid="{80A3356B-5CE5-44BB-BB40-50FA6CB395C5}"/>
    <cellStyle name="Comma 5 4 2 3 2 4 3" xfId="21062" xr:uid="{D1874415-B003-4326-BA96-76BEB2F57A82}"/>
    <cellStyle name="Comma 5 4 2 3 2 4 3 2" xfId="51302" xr:uid="{552DAADD-9A65-4208-975B-58D38F5D9BA0}"/>
    <cellStyle name="Comma 5 4 2 3 2 4 4" xfId="36182" xr:uid="{44BEEF1E-6442-4DED-9654-0E693CED7506}"/>
    <cellStyle name="Comma 5 4 2 3 2 5" xfId="7454" xr:uid="{F7C44F33-9A04-4A53-9EAE-105603C03C2B}"/>
    <cellStyle name="Comma 5 4 2 3 2 5 2" xfId="22574" xr:uid="{A24D9BCF-77FA-44CB-8B9D-141EAF2320F4}"/>
    <cellStyle name="Comma 5 4 2 3 2 5 2 2" xfId="52814" xr:uid="{19E7DE7B-6E4D-470C-8AF7-1A98CDA6D9A7}"/>
    <cellStyle name="Comma 5 4 2 3 2 5 3" xfId="37694" xr:uid="{E89A80B4-D196-4D6F-B13E-5059510556F6}"/>
    <cellStyle name="Comma 5 4 2 3 2 6" xfId="8966" xr:uid="{840BD18B-07DE-4B49-8C46-2A9608CFA96F}"/>
    <cellStyle name="Comma 5 4 2 3 2 6 2" xfId="24086" xr:uid="{19608B69-E7F3-441E-BA99-8EB736C9DB18}"/>
    <cellStyle name="Comma 5 4 2 3 2 6 2 2" xfId="54326" xr:uid="{B7E770CF-D352-4586-9982-4700A001145C}"/>
    <cellStyle name="Comma 5 4 2 3 2 6 3" xfId="39206" xr:uid="{8709E685-CFC6-4401-815A-563FED1AD532}"/>
    <cellStyle name="Comma 5 4 2 3 2 7" xfId="10478" xr:uid="{5981A48B-69B2-440D-8A13-725347CB6DBF}"/>
    <cellStyle name="Comma 5 4 2 3 2 7 2" xfId="25598" xr:uid="{1768A154-6029-4F6E-9B21-C5CC5C31552F}"/>
    <cellStyle name="Comma 5 4 2 3 2 7 2 2" xfId="55838" xr:uid="{08939885-58B1-4827-9FAA-E27969F86E21}"/>
    <cellStyle name="Comma 5 4 2 3 2 7 3" xfId="40718" xr:uid="{AA2F1F43-5F62-436D-9E72-49582B45397E}"/>
    <cellStyle name="Comma 5 4 2 3 2 8" xfId="16526" xr:uid="{D937AB1C-38A3-48B9-85FB-638FF9154806}"/>
    <cellStyle name="Comma 5 4 2 3 2 8 2" xfId="46766" xr:uid="{AAE4FFD1-E424-4E39-90A8-BEB632FAE9CB}"/>
    <cellStyle name="Comma 5 4 2 3 2 9" xfId="31646" xr:uid="{18486CDF-3434-451B-B750-E2547DB3946A}"/>
    <cellStyle name="Comma 5 4 2 3 3" xfId="2162" xr:uid="{EECCF3C6-CA78-458E-948F-7B082C7D24D1}"/>
    <cellStyle name="Comma 5 4 2 3 3 2" xfId="11234" xr:uid="{7E6CD3AF-E974-479B-A02D-D79F98BAB4C1}"/>
    <cellStyle name="Comma 5 4 2 3 3 2 2" xfId="26354" xr:uid="{F6A3AED9-5190-42AA-88D9-A9016A49A5A6}"/>
    <cellStyle name="Comma 5 4 2 3 3 2 2 2" xfId="56594" xr:uid="{3727297C-0D9C-4964-8B2A-01D1E387CBF2}"/>
    <cellStyle name="Comma 5 4 2 3 3 2 3" xfId="41474" xr:uid="{D8FF0DAC-9BC1-470F-A9D6-BFC78356836D}"/>
    <cellStyle name="Comma 5 4 2 3 3 3" xfId="17282" xr:uid="{73EADE33-91E0-405C-BE3A-053D0BF5CE08}"/>
    <cellStyle name="Comma 5 4 2 3 3 3 2" xfId="47522" xr:uid="{5E998CAD-3935-4B35-B13B-ABC6C9CCEAC6}"/>
    <cellStyle name="Comma 5 4 2 3 3 4" xfId="32402" xr:uid="{A0CB80A6-5504-41AF-AF86-4B827D900384}"/>
    <cellStyle name="Comma 5 4 2 3 4" xfId="3674" xr:uid="{A0D673AE-8FD9-44E4-842C-DFACE2DFB941}"/>
    <cellStyle name="Comma 5 4 2 3 4 2" xfId="12746" xr:uid="{B3228A8B-DEFD-4DE6-8AF9-E9783D72FD29}"/>
    <cellStyle name="Comma 5 4 2 3 4 2 2" xfId="27866" xr:uid="{07D5EE86-FA7E-49F3-8258-25952F9FB84A}"/>
    <cellStyle name="Comma 5 4 2 3 4 2 2 2" xfId="58106" xr:uid="{613FBE51-22B3-4568-B9FA-9FE2F5BCE073}"/>
    <cellStyle name="Comma 5 4 2 3 4 2 3" xfId="42986" xr:uid="{C0C6C721-9282-4476-B357-9A700F78CA1E}"/>
    <cellStyle name="Comma 5 4 2 3 4 3" xfId="18794" xr:uid="{85714BA6-6191-4979-88D4-DC4B733BA0F1}"/>
    <cellStyle name="Comma 5 4 2 3 4 3 2" xfId="49034" xr:uid="{330FC79C-9B86-40BF-B7E5-60128830FDC6}"/>
    <cellStyle name="Comma 5 4 2 3 4 4" xfId="33914" xr:uid="{72A002B5-3CDB-4D46-BDB0-62F338A3431A}"/>
    <cellStyle name="Comma 5 4 2 3 5" xfId="5186" xr:uid="{73956881-61BB-4B80-A7E7-A96CA6AC9197}"/>
    <cellStyle name="Comma 5 4 2 3 5 2" xfId="14258" xr:uid="{2F0EFC74-56B9-4082-A2B1-3B07DA6D4E25}"/>
    <cellStyle name="Comma 5 4 2 3 5 2 2" xfId="29378" xr:uid="{F6B8997D-022D-4E96-9231-63DD84361DA7}"/>
    <cellStyle name="Comma 5 4 2 3 5 2 2 2" xfId="59618" xr:uid="{5F6ADFF8-16AC-4BCF-AC58-64E3258D59C0}"/>
    <cellStyle name="Comma 5 4 2 3 5 2 3" xfId="44498" xr:uid="{A8A19D82-CE5D-4674-A6A7-23E442F17127}"/>
    <cellStyle name="Comma 5 4 2 3 5 3" xfId="20306" xr:uid="{B0D0329B-E46E-4009-989E-F1ACEF0D662A}"/>
    <cellStyle name="Comma 5 4 2 3 5 3 2" xfId="50546" xr:uid="{0067A3DE-9113-411B-8328-FCEAA1E28243}"/>
    <cellStyle name="Comma 5 4 2 3 5 4" xfId="35426" xr:uid="{D02D22E7-08E5-4FCE-853F-3326809C91BF}"/>
    <cellStyle name="Comma 5 4 2 3 6" xfId="6698" xr:uid="{729FCAE3-F8C4-4A5C-ADE5-A275AD7E1788}"/>
    <cellStyle name="Comma 5 4 2 3 6 2" xfId="21818" xr:uid="{1069573B-D886-4667-A14D-D4778E04B122}"/>
    <cellStyle name="Comma 5 4 2 3 6 2 2" xfId="52058" xr:uid="{E3DF5DC9-11FE-434B-930D-1A11F55C58FC}"/>
    <cellStyle name="Comma 5 4 2 3 6 3" xfId="36938" xr:uid="{63167FA7-0BCA-474F-83BD-84A3E58A9D8B}"/>
    <cellStyle name="Comma 5 4 2 3 7" xfId="8210" xr:uid="{23A2E8B9-F6B1-4989-A4FD-4E69E218803A}"/>
    <cellStyle name="Comma 5 4 2 3 7 2" xfId="23330" xr:uid="{B1F1DFE4-2725-47A2-A939-6349FAE3A654}"/>
    <cellStyle name="Comma 5 4 2 3 7 2 2" xfId="53570" xr:uid="{59E6F4D8-DFAB-4D7C-A230-5191C8AFC572}"/>
    <cellStyle name="Comma 5 4 2 3 7 3" xfId="38450" xr:uid="{9CF3544A-3945-4A99-A613-2A6270393CEA}"/>
    <cellStyle name="Comma 5 4 2 3 8" xfId="9722" xr:uid="{FC575C7F-6E4E-4A7A-92CC-56AF21347E84}"/>
    <cellStyle name="Comma 5 4 2 3 8 2" xfId="24842" xr:uid="{D8BF9362-D7AB-4CBC-824D-DE8E6FF02D0C}"/>
    <cellStyle name="Comma 5 4 2 3 8 2 2" xfId="55082" xr:uid="{155C8953-1892-4CB8-A365-E40BBDA548A0}"/>
    <cellStyle name="Comma 5 4 2 3 8 3" xfId="39962" xr:uid="{45D800D1-3A49-467B-A56E-D6A2AFD03FB9}"/>
    <cellStyle name="Comma 5 4 2 3 9" xfId="15770" xr:uid="{3B3946B7-5760-430E-9C50-A5BC71C99E1A}"/>
    <cellStyle name="Comma 5 4 2 3 9 2" xfId="46010" xr:uid="{DBD69343-8CB2-45D1-8E81-2A91BABDB238}"/>
    <cellStyle name="Comma 5 4 2 4" xfId="902" xr:uid="{E259E312-92E1-493F-8AB5-6A245B1A5B45}"/>
    <cellStyle name="Comma 5 4 2 4 2" xfId="2414" xr:uid="{A79971B0-BADE-41DF-A79F-BC06BD84B959}"/>
    <cellStyle name="Comma 5 4 2 4 2 2" xfId="11486" xr:uid="{FF65030D-7929-4580-828B-5AF30E368C16}"/>
    <cellStyle name="Comma 5 4 2 4 2 2 2" xfId="26606" xr:uid="{95EEA0CD-0BD6-47FB-B172-79B3735C1CB1}"/>
    <cellStyle name="Comma 5 4 2 4 2 2 2 2" xfId="56846" xr:uid="{770ECF1C-4490-4F6F-A1DB-6F7058EDA77D}"/>
    <cellStyle name="Comma 5 4 2 4 2 2 3" xfId="41726" xr:uid="{31CCFFB6-6EA2-43AD-A795-137665C27DDE}"/>
    <cellStyle name="Comma 5 4 2 4 2 3" xfId="17534" xr:uid="{1AA1BA16-0F3C-4C85-B4B6-C9CD15DA8D8B}"/>
    <cellStyle name="Comma 5 4 2 4 2 3 2" xfId="47774" xr:uid="{8E5E0DE5-DE5C-4726-A264-D3045617C731}"/>
    <cellStyle name="Comma 5 4 2 4 2 4" xfId="32654" xr:uid="{B8A03B41-D01A-4C2B-B3C7-A4261A944D4A}"/>
    <cellStyle name="Comma 5 4 2 4 3" xfId="3926" xr:uid="{0819DEF2-F348-475A-B081-77969EFE9FF8}"/>
    <cellStyle name="Comma 5 4 2 4 3 2" xfId="12998" xr:uid="{AD629F29-A7B2-4FA4-A1D5-3CEEF1C8407B}"/>
    <cellStyle name="Comma 5 4 2 4 3 2 2" xfId="28118" xr:uid="{A489664D-79FF-4AC5-A589-C38D4CE0537E}"/>
    <cellStyle name="Comma 5 4 2 4 3 2 2 2" xfId="58358" xr:uid="{EE632484-9600-4E16-88B3-307461A4FBC6}"/>
    <cellStyle name="Comma 5 4 2 4 3 2 3" xfId="43238" xr:uid="{DB42199E-A7CF-4E70-B7D4-8E9B55A0538C}"/>
    <cellStyle name="Comma 5 4 2 4 3 3" xfId="19046" xr:uid="{57574255-DAC8-4C99-84A8-B41E493C975C}"/>
    <cellStyle name="Comma 5 4 2 4 3 3 2" xfId="49286" xr:uid="{F3135765-4944-44A3-83C2-4AE1C6586DED}"/>
    <cellStyle name="Comma 5 4 2 4 3 4" xfId="34166" xr:uid="{F4E22866-9336-4895-90EB-50CB04F24D16}"/>
    <cellStyle name="Comma 5 4 2 4 4" xfId="5438" xr:uid="{3B32291C-19BF-4834-89A2-768114C604CA}"/>
    <cellStyle name="Comma 5 4 2 4 4 2" xfId="14510" xr:uid="{CBF728E5-090E-43CF-8490-FFFFB9A36ABC}"/>
    <cellStyle name="Comma 5 4 2 4 4 2 2" xfId="29630" xr:uid="{ADB0BA6F-C623-4041-A903-91EC432DCBA2}"/>
    <cellStyle name="Comma 5 4 2 4 4 2 2 2" xfId="59870" xr:uid="{CC8EDE90-0B8E-4547-A618-2146B90955DB}"/>
    <cellStyle name="Comma 5 4 2 4 4 2 3" xfId="44750" xr:uid="{17FFEF5E-EBCB-42B6-BFD9-13F86BC85960}"/>
    <cellStyle name="Comma 5 4 2 4 4 3" xfId="20558" xr:uid="{D325AFDF-B78D-478F-AB2E-1CF5FC057BBC}"/>
    <cellStyle name="Comma 5 4 2 4 4 3 2" xfId="50798" xr:uid="{14590168-04FE-4AA2-8B0C-9A4B3240DDA9}"/>
    <cellStyle name="Comma 5 4 2 4 4 4" xfId="35678" xr:uid="{76B42EED-A7F5-4A2E-B799-9503D8B392B1}"/>
    <cellStyle name="Comma 5 4 2 4 5" xfId="6950" xr:uid="{D3FB4594-FC11-4EF2-B14F-775961642D43}"/>
    <cellStyle name="Comma 5 4 2 4 5 2" xfId="22070" xr:uid="{C546079C-13CC-41EB-A4ED-F8D080C8BE24}"/>
    <cellStyle name="Comma 5 4 2 4 5 2 2" xfId="52310" xr:uid="{9EFFE475-3831-4D61-981B-B81E78582EB4}"/>
    <cellStyle name="Comma 5 4 2 4 5 3" xfId="37190" xr:uid="{0E4FF649-6DBF-4253-BEC8-E0395D87D4A5}"/>
    <cellStyle name="Comma 5 4 2 4 6" xfId="8462" xr:uid="{FEDDB8C9-2235-408B-AAE9-EEF0B611DD13}"/>
    <cellStyle name="Comma 5 4 2 4 6 2" xfId="23582" xr:uid="{22AC35F5-EBB9-454D-9134-463EEF92391D}"/>
    <cellStyle name="Comma 5 4 2 4 6 2 2" xfId="53822" xr:uid="{7DBD346B-F2EC-4241-A832-E64ACDFC5817}"/>
    <cellStyle name="Comma 5 4 2 4 6 3" xfId="38702" xr:uid="{AC216DD2-62C1-4F39-A5DC-E9A12D3C9FC3}"/>
    <cellStyle name="Comma 5 4 2 4 7" xfId="9974" xr:uid="{698698A6-3A03-4376-8BAC-3FC01ABD9B6B}"/>
    <cellStyle name="Comma 5 4 2 4 7 2" xfId="25094" xr:uid="{AC0154A0-5BCD-46F0-8CF2-8F24D64EB6E4}"/>
    <cellStyle name="Comma 5 4 2 4 7 2 2" xfId="55334" xr:uid="{6DA1E962-22A3-4B0F-8F02-6A77CF9BB32D}"/>
    <cellStyle name="Comma 5 4 2 4 7 3" xfId="40214" xr:uid="{4086F92F-DBF1-45E9-84EA-D1F8616D77E4}"/>
    <cellStyle name="Comma 5 4 2 4 8" xfId="16022" xr:uid="{5FE86ECD-8864-482B-B14C-6D0B0464518D}"/>
    <cellStyle name="Comma 5 4 2 4 8 2" xfId="46262" xr:uid="{3F7718FB-286C-444F-9E41-CC4089FF568B}"/>
    <cellStyle name="Comma 5 4 2 4 9" xfId="31142" xr:uid="{E5F83C0F-2E24-4C4B-92E8-0DDC615F02FF}"/>
    <cellStyle name="Comma 5 4 2 5" xfId="1658" xr:uid="{4EEC3694-E9B6-4BDA-8AC8-985757FB610D}"/>
    <cellStyle name="Comma 5 4 2 5 2" xfId="10730" xr:uid="{FB3DE129-D338-4ADE-8849-2E1348305F0C}"/>
    <cellStyle name="Comma 5 4 2 5 2 2" xfId="25850" xr:uid="{B787D319-1A9E-4047-BC20-809CD5FB658B}"/>
    <cellStyle name="Comma 5 4 2 5 2 2 2" xfId="56090" xr:uid="{C1269EB7-028D-457E-BF06-EF483CE5D543}"/>
    <cellStyle name="Comma 5 4 2 5 2 3" xfId="40970" xr:uid="{1F150B8A-27F3-4D2D-81E4-FD472C6F397F}"/>
    <cellStyle name="Comma 5 4 2 5 3" xfId="16778" xr:uid="{207E9BC3-5D16-4EFE-BEDB-A84F99CFA9D5}"/>
    <cellStyle name="Comma 5 4 2 5 3 2" xfId="47018" xr:uid="{D68C363D-65CB-4BCD-9F87-9BCAE4A60254}"/>
    <cellStyle name="Comma 5 4 2 5 4" xfId="31898" xr:uid="{4F3F2730-5D26-4910-B8BC-273C92EF1355}"/>
    <cellStyle name="Comma 5 4 2 6" xfId="3170" xr:uid="{AEA75ECD-97D3-4030-ADE9-B784C100D5E2}"/>
    <cellStyle name="Comma 5 4 2 6 2" xfId="12242" xr:uid="{E66D1E5B-BD54-4535-98A5-7A977824D839}"/>
    <cellStyle name="Comma 5 4 2 6 2 2" xfId="27362" xr:uid="{F49AF89C-B40B-47BE-BE9B-648D21734ED7}"/>
    <cellStyle name="Comma 5 4 2 6 2 2 2" xfId="57602" xr:uid="{276E456B-CD01-433F-8ACC-10820247E92A}"/>
    <cellStyle name="Comma 5 4 2 6 2 3" xfId="42482" xr:uid="{5801A682-F3D7-4EE3-BC05-5E43F12A2C2D}"/>
    <cellStyle name="Comma 5 4 2 6 3" xfId="18290" xr:uid="{DC3DEB17-AB33-4F4E-9310-D1D58B3B92FF}"/>
    <cellStyle name="Comma 5 4 2 6 3 2" xfId="48530" xr:uid="{8153A690-C0C1-4A90-8389-3D482E61E9ED}"/>
    <cellStyle name="Comma 5 4 2 6 4" xfId="33410" xr:uid="{BECCB46C-CE46-4759-9E56-CF6FC9A40E53}"/>
    <cellStyle name="Comma 5 4 2 7" xfId="4682" xr:uid="{06750FF7-F2F9-4A9F-8B79-B4D5EF00C4F7}"/>
    <cellStyle name="Comma 5 4 2 7 2" xfId="13754" xr:uid="{0FDA0AC5-3D89-4E13-9834-3ACB5E59F696}"/>
    <cellStyle name="Comma 5 4 2 7 2 2" xfId="28874" xr:uid="{55D8259E-F81F-43FE-A1E7-BC659786F5AA}"/>
    <cellStyle name="Comma 5 4 2 7 2 2 2" xfId="59114" xr:uid="{9D72D829-BAC0-47FD-A377-418CB8EB693B}"/>
    <cellStyle name="Comma 5 4 2 7 2 3" xfId="43994" xr:uid="{7EDB0C30-5428-4AD4-ADB3-9E6CD266E290}"/>
    <cellStyle name="Comma 5 4 2 7 3" xfId="19802" xr:uid="{EDE76433-4FAC-4AE5-AA5F-6055E92961F0}"/>
    <cellStyle name="Comma 5 4 2 7 3 2" xfId="50042" xr:uid="{247D2FAF-8639-4885-9BBB-BFE727A11022}"/>
    <cellStyle name="Comma 5 4 2 7 4" xfId="34922" xr:uid="{8D7D993A-6E34-4F0E-A0BF-A45B8A313008}"/>
    <cellStyle name="Comma 5 4 2 8" xfId="6194" xr:uid="{204DFD74-A6B1-41E1-8D3A-1AAF43DC1B9B}"/>
    <cellStyle name="Comma 5 4 2 8 2" xfId="21314" xr:uid="{C454A633-2E76-4376-B47E-88D5B2205DA0}"/>
    <cellStyle name="Comma 5 4 2 8 2 2" xfId="51554" xr:uid="{D0C5C12E-3C60-4B12-B5F4-3567D6E68646}"/>
    <cellStyle name="Comma 5 4 2 8 3" xfId="36434" xr:uid="{F5555C06-7168-48FC-9242-23B53708F425}"/>
    <cellStyle name="Comma 5 4 2 9" xfId="7706" xr:uid="{5F476B22-268B-411F-85D6-50664F68DBE8}"/>
    <cellStyle name="Comma 5 4 2 9 2" xfId="22826" xr:uid="{E2149471-5332-4F03-A877-1D90C305C373}"/>
    <cellStyle name="Comma 5 4 2 9 2 2" xfId="53066" xr:uid="{C38E4264-D3BB-4E1B-AC36-AC6BCEEE60EA}"/>
    <cellStyle name="Comma 5 4 2 9 3" xfId="37946" xr:uid="{51FD2BBF-46ED-4ABB-B1C1-B17E2D32776D}"/>
    <cellStyle name="Comma 5 4 3" xfId="230" xr:uid="{77022489-CB4A-4C5E-87A1-01F7913DA164}"/>
    <cellStyle name="Comma 5 4 3 10" xfId="9302" xr:uid="{C835DD3A-DE93-4D59-BB0B-F99E103960AC}"/>
    <cellStyle name="Comma 5 4 3 10 2" xfId="24422" xr:uid="{1970C536-3E1A-419A-85A2-F4FA79B586AF}"/>
    <cellStyle name="Comma 5 4 3 10 2 2" xfId="54662" xr:uid="{E8870747-75D8-4F30-B9C4-864145412FD5}"/>
    <cellStyle name="Comma 5 4 3 10 3" xfId="39542" xr:uid="{2EF1A3F7-6643-4330-8222-1017D7F053AF}"/>
    <cellStyle name="Comma 5 4 3 11" xfId="15350" xr:uid="{E8C80CF6-3428-4C0F-9462-CE17FEDA0C9A}"/>
    <cellStyle name="Comma 5 4 3 11 2" xfId="45590" xr:uid="{4CC412EE-CDC3-46A6-AAA7-77D2D884A830}"/>
    <cellStyle name="Comma 5 4 3 12" xfId="30470" xr:uid="{D5EEE393-18E3-400B-A36D-CB157213B241}"/>
    <cellStyle name="Comma 5 4 3 2" xfId="482" xr:uid="{1709BAB4-2CC0-47E8-93F0-2C36FAF19EBF}"/>
    <cellStyle name="Comma 5 4 3 2 10" xfId="30722" xr:uid="{C2385A42-5874-4C0D-9E6E-EDD5CDAC534E}"/>
    <cellStyle name="Comma 5 4 3 2 2" xfId="1238" xr:uid="{128A3509-C6FD-4BBB-8CC1-725875006E4E}"/>
    <cellStyle name="Comma 5 4 3 2 2 2" xfId="2750" xr:uid="{4AAF082B-8874-4B45-A0EA-71FA3BE3EF0A}"/>
    <cellStyle name="Comma 5 4 3 2 2 2 2" xfId="11822" xr:uid="{3FE62510-FFAA-40D2-9F55-E6D5B10BE287}"/>
    <cellStyle name="Comma 5 4 3 2 2 2 2 2" xfId="26942" xr:uid="{A39A922E-C271-4E71-A010-69269002E495}"/>
    <cellStyle name="Comma 5 4 3 2 2 2 2 2 2" xfId="57182" xr:uid="{309049B2-E4C5-4589-A66F-4340EFB31054}"/>
    <cellStyle name="Comma 5 4 3 2 2 2 2 3" xfId="42062" xr:uid="{36C20344-2922-47F4-B97C-F0D1EEC47711}"/>
    <cellStyle name="Comma 5 4 3 2 2 2 3" xfId="17870" xr:uid="{A665D0CF-E355-4C9A-9D90-E46C22ADED1A}"/>
    <cellStyle name="Comma 5 4 3 2 2 2 3 2" xfId="48110" xr:uid="{6AA3A833-86A3-40E8-9E60-F9013F3E7F5E}"/>
    <cellStyle name="Comma 5 4 3 2 2 2 4" xfId="32990" xr:uid="{83D721D0-1FF5-4479-B95C-61E4450BA104}"/>
    <cellStyle name="Comma 5 4 3 2 2 3" xfId="4262" xr:uid="{AC2D70B7-F81F-4CD1-9A90-D6C456F00E08}"/>
    <cellStyle name="Comma 5 4 3 2 2 3 2" xfId="13334" xr:uid="{2DA49003-6420-4593-B760-36FF5463DAB4}"/>
    <cellStyle name="Comma 5 4 3 2 2 3 2 2" xfId="28454" xr:uid="{118EA949-39F1-43EE-A017-85367B1F309D}"/>
    <cellStyle name="Comma 5 4 3 2 2 3 2 2 2" xfId="58694" xr:uid="{D48FF6C5-235A-48CF-A416-C7CA5C36FF24}"/>
    <cellStyle name="Comma 5 4 3 2 2 3 2 3" xfId="43574" xr:uid="{CE8BF871-E641-479D-AEA0-3F9EB7B6F03E}"/>
    <cellStyle name="Comma 5 4 3 2 2 3 3" xfId="19382" xr:uid="{DA61F362-FC2A-40B2-9BF9-7C2B425D87F6}"/>
    <cellStyle name="Comma 5 4 3 2 2 3 3 2" xfId="49622" xr:uid="{80B9B6B3-0444-407F-96EA-F3B6EC02DEAD}"/>
    <cellStyle name="Comma 5 4 3 2 2 3 4" xfId="34502" xr:uid="{8C156BAB-758A-4DB4-8296-E5644ACCF8E7}"/>
    <cellStyle name="Comma 5 4 3 2 2 4" xfId="5774" xr:uid="{63AF27F3-5DDB-49E3-8B86-A23AF2A9E60D}"/>
    <cellStyle name="Comma 5 4 3 2 2 4 2" xfId="14846" xr:uid="{76F27663-FBF9-4083-BE5B-0BCE96082254}"/>
    <cellStyle name="Comma 5 4 3 2 2 4 2 2" xfId="29966" xr:uid="{49FD0352-2C40-456E-B9D8-80EB20C56D42}"/>
    <cellStyle name="Comma 5 4 3 2 2 4 2 2 2" xfId="60206" xr:uid="{7BB62AA3-B2E1-40EE-B88E-D273577D97FD}"/>
    <cellStyle name="Comma 5 4 3 2 2 4 2 3" xfId="45086" xr:uid="{157904C8-44EC-4DE9-B160-B3706430ED39}"/>
    <cellStyle name="Comma 5 4 3 2 2 4 3" xfId="20894" xr:uid="{4D5A06B7-7B3C-4B42-882A-1AFCC9EA2538}"/>
    <cellStyle name="Comma 5 4 3 2 2 4 3 2" xfId="51134" xr:uid="{FB1C36BD-1424-48E1-9DBC-59281F3C1A11}"/>
    <cellStyle name="Comma 5 4 3 2 2 4 4" xfId="36014" xr:uid="{9BDFE1E8-2D1A-47CB-9D66-CBA59923D0C8}"/>
    <cellStyle name="Comma 5 4 3 2 2 5" xfId="7286" xr:uid="{7AF88196-A6A9-4ABA-A88C-14EEBD333CBA}"/>
    <cellStyle name="Comma 5 4 3 2 2 5 2" xfId="22406" xr:uid="{6B5CB415-6B67-4D84-A2D2-C034CFA48810}"/>
    <cellStyle name="Comma 5 4 3 2 2 5 2 2" xfId="52646" xr:uid="{98A0E0E5-DE71-4DA4-8D20-F78A6E4FCDA0}"/>
    <cellStyle name="Comma 5 4 3 2 2 5 3" xfId="37526" xr:uid="{A97A453A-2266-49FF-A13D-C1A38C8BD4FC}"/>
    <cellStyle name="Comma 5 4 3 2 2 6" xfId="8798" xr:uid="{75563B73-808E-494F-81EF-090915C3F950}"/>
    <cellStyle name="Comma 5 4 3 2 2 6 2" xfId="23918" xr:uid="{20917312-44AE-4C0D-9802-D70316D5D185}"/>
    <cellStyle name="Comma 5 4 3 2 2 6 2 2" xfId="54158" xr:uid="{C613EFAA-3BCA-4228-8A13-F03E56BE645F}"/>
    <cellStyle name="Comma 5 4 3 2 2 6 3" xfId="39038" xr:uid="{DE254C3D-C54B-488F-B5E2-6B3ECE248A3D}"/>
    <cellStyle name="Comma 5 4 3 2 2 7" xfId="10310" xr:uid="{CF6E6A30-8225-4B96-BA6B-374F0F29990D}"/>
    <cellStyle name="Comma 5 4 3 2 2 7 2" xfId="25430" xr:uid="{1DB88B9B-DCBE-4E50-9084-DD9836B7A7B2}"/>
    <cellStyle name="Comma 5 4 3 2 2 7 2 2" xfId="55670" xr:uid="{25CEC12D-42AD-4DA0-83AF-0D4BD3D6283C}"/>
    <cellStyle name="Comma 5 4 3 2 2 7 3" xfId="40550" xr:uid="{171B57C1-C25F-4CE2-9D49-EAA3F4DA17F1}"/>
    <cellStyle name="Comma 5 4 3 2 2 8" xfId="16358" xr:uid="{C15BB87C-9431-4DFB-A2AE-F95E25CE41B5}"/>
    <cellStyle name="Comma 5 4 3 2 2 8 2" xfId="46598" xr:uid="{88BDA117-5099-4789-8623-1495F65F7AAB}"/>
    <cellStyle name="Comma 5 4 3 2 2 9" xfId="31478" xr:uid="{15A67ECC-21D9-4A37-8077-F34F38C2CFF9}"/>
    <cellStyle name="Comma 5 4 3 2 3" xfId="1994" xr:uid="{A4D7781D-6CC6-4100-A3C1-A5814B3682FE}"/>
    <cellStyle name="Comma 5 4 3 2 3 2" xfId="11066" xr:uid="{3BA14623-5AC6-4C01-9F08-9F2B7581A4F2}"/>
    <cellStyle name="Comma 5 4 3 2 3 2 2" xfId="26186" xr:uid="{2330548A-87A2-41C5-9041-F4DACF18899B}"/>
    <cellStyle name="Comma 5 4 3 2 3 2 2 2" xfId="56426" xr:uid="{C70283CC-A43D-4CFC-BFA5-D886AE57BF2E}"/>
    <cellStyle name="Comma 5 4 3 2 3 2 3" xfId="41306" xr:uid="{D10BAE51-CC67-4107-8B68-F945FA3E4EE9}"/>
    <cellStyle name="Comma 5 4 3 2 3 3" xfId="17114" xr:uid="{2DC01CE4-DDB8-4F37-81CF-2F881E448F5B}"/>
    <cellStyle name="Comma 5 4 3 2 3 3 2" xfId="47354" xr:uid="{9DB042F1-A07A-4710-A25D-A8B48ACAB438}"/>
    <cellStyle name="Comma 5 4 3 2 3 4" xfId="32234" xr:uid="{E28E1A02-8644-4753-B36F-EA2F4849EC90}"/>
    <cellStyle name="Comma 5 4 3 2 4" xfId="3506" xr:uid="{B2D2119A-D487-4A0C-9BD7-9BFDB25E106A}"/>
    <cellStyle name="Comma 5 4 3 2 4 2" xfId="12578" xr:uid="{FA93A4ED-CC59-4612-BA37-5DF6EB16264F}"/>
    <cellStyle name="Comma 5 4 3 2 4 2 2" xfId="27698" xr:uid="{F751A93D-645A-4D3C-B40C-9FDA0C13C6C2}"/>
    <cellStyle name="Comma 5 4 3 2 4 2 2 2" xfId="57938" xr:uid="{A833FD7B-D2FE-4EC7-BA70-F33B439E851C}"/>
    <cellStyle name="Comma 5 4 3 2 4 2 3" xfId="42818" xr:uid="{0F45AA7F-4D69-452F-8B13-D9AD5133C471}"/>
    <cellStyle name="Comma 5 4 3 2 4 3" xfId="18626" xr:uid="{15547A08-23AF-43CA-A443-EF230F4E6E6D}"/>
    <cellStyle name="Comma 5 4 3 2 4 3 2" xfId="48866" xr:uid="{896F53FD-1BB8-4EAE-B41E-B214A8AB3B48}"/>
    <cellStyle name="Comma 5 4 3 2 4 4" xfId="33746" xr:uid="{B7168493-83DA-4224-A7CF-D77F7EC3ED9F}"/>
    <cellStyle name="Comma 5 4 3 2 5" xfId="5018" xr:uid="{514528BA-01B1-4175-84FB-5167B163C373}"/>
    <cellStyle name="Comma 5 4 3 2 5 2" xfId="14090" xr:uid="{30D647DA-C315-46CD-BF63-9E166AB4198A}"/>
    <cellStyle name="Comma 5 4 3 2 5 2 2" xfId="29210" xr:uid="{55359A0E-7D66-4584-B688-025EB91EFF4D}"/>
    <cellStyle name="Comma 5 4 3 2 5 2 2 2" xfId="59450" xr:uid="{04E33F67-5B40-4F99-8F51-AE68C0BB892D}"/>
    <cellStyle name="Comma 5 4 3 2 5 2 3" xfId="44330" xr:uid="{44373C30-2C4A-44C2-9C21-62335C65582C}"/>
    <cellStyle name="Comma 5 4 3 2 5 3" xfId="20138" xr:uid="{1091F270-FAE3-41C0-9BAA-BC6C0DF1ECE4}"/>
    <cellStyle name="Comma 5 4 3 2 5 3 2" xfId="50378" xr:uid="{299604C6-0674-465D-B9CA-32E9E7770C17}"/>
    <cellStyle name="Comma 5 4 3 2 5 4" xfId="35258" xr:uid="{4A1C45BC-DCA0-4595-AB59-258F17D5DD70}"/>
    <cellStyle name="Comma 5 4 3 2 6" xfId="6530" xr:uid="{22A13C1E-4295-4030-8D1E-5C22104D2E58}"/>
    <cellStyle name="Comma 5 4 3 2 6 2" xfId="21650" xr:uid="{C672FED8-EA72-4395-85B2-EFC156A83ECE}"/>
    <cellStyle name="Comma 5 4 3 2 6 2 2" xfId="51890" xr:uid="{823D91FF-51E9-4258-B504-01ABF604F02A}"/>
    <cellStyle name="Comma 5 4 3 2 6 3" xfId="36770" xr:uid="{504E3012-41F3-44F7-A937-716E4449598A}"/>
    <cellStyle name="Comma 5 4 3 2 7" xfId="8042" xr:uid="{BC316EE0-856B-48B4-AAF9-FA2F01FD4003}"/>
    <cellStyle name="Comma 5 4 3 2 7 2" xfId="23162" xr:uid="{E8C2863C-E610-484A-8150-0C376FEA2679}"/>
    <cellStyle name="Comma 5 4 3 2 7 2 2" xfId="53402" xr:uid="{344DCA1B-E9DA-4B61-8CAA-C8E1B3E698F0}"/>
    <cellStyle name="Comma 5 4 3 2 7 3" xfId="38282" xr:uid="{79D54E75-7D94-4FEC-9666-6D8F33705817}"/>
    <cellStyle name="Comma 5 4 3 2 8" xfId="9554" xr:uid="{9045C529-2BDF-4505-AB93-9FD477B55205}"/>
    <cellStyle name="Comma 5 4 3 2 8 2" xfId="24674" xr:uid="{54E52238-DE26-49AA-82CC-2BD0951D1AA5}"/>
    <cellStyle name="Comma 5 4 3 2 8 2 2" xfId="54914" xr:uid="{932B43E0-FEF7-46BB-8952-C6E47F46A712}"/>
    <cellStyle name="Comma 5 4 3 2 8 3" xfId="39794" xr:uid="{E3CF1570-2350-4C13-BA81-1CFE7ADCCCD1}"/>
    <cellStyle name="Comma 5 4 3 2 9" xfId="15602" xr:uid="{E29D4A19-88FF-4C21-A9F5-0225C827608A}"/>
    <cellStyle name="Comma 5 4 3 2 9 2" xfId="45842" xr:uid="{E5A2F790-AB59-4A63-A8DA-16FA1D0A21D9}"/>
    <cellStyle name="Comma 5 4 3 3" xfId="734" xr:uid="{318FF720-92F9-4339-B88F-718667E31D71}"/>
    <cellStyle name="Comma 5 4 3 3 10" xfId="30974" xr:uid="{54547229-E9EC-41F9-A60B-7373FDDFB08E}"/>
    <cellStyle name="Comma 5 4 3 3 2" xfId="1490" xr:uid="{C54A62D5-43E5-4990-8422-0185B1F05B40}"/>
    <cellStyle name="Comma 5 4 3 3 2 2" xfId="3002" xr:uid="{1C71FD65-54FA-43E7-A95A-F39F0D2A4B4A}"/>
    <cellStyle name="Comma 5 4 3 3 2 2 2" xfId="12074" xr:uid="{7DD310BB-A3F2-4BDE-A025-0BE096AE7B8A}"/>
    <cellStyle name="Comma 5 4 3 3 2 2 2 2" xfId="27194" xr:uid="{DB0D365F-3BF4-4FDD-8BD3-ACFF48398ED0}"/>
    <cellStyle name="Comma 5 4 3 3 2 2 2 2 2" xfId="57434" xr:uid="{3E7EF3A2-91A4-4123-AC5C-54FAAE858214}"/>
    <cellStyle name="Comma 5 4 3 3 2 2 2 3" xfId="42314" xr:uid="{F3346E9B-E172-4560-9E23-C682B2E39D65}"/>
    <cellStyle name="Comma 5 4 3 3 2 2 3" xfId="18122" xr:uid="{96BCD6E4-3173-4BD7-BA95-082F3BB9E0E9}"/>
    <cellStyle name="Comma 5 4 3 3 2 2 3 2" xfId="48362" xr:uid="{B00D730D-FA4C-46AF-926B-DCA95319C175}"/>
    <cellStyle name="Comma 5 4 3 3 2 2 4" xfId="33242" xr:uid="{0F44A3B1-0957-419F-8F21-7B6BA8603F04}"/>
    <cellStyle name="Comma 5 4 3 3 2 3" xfId="4514" xr:uid="{D610BEDE-42BA-4EB2-A923-615AB5EBD963}"/>
    <cellStyle name="Comma 5 4 3 3 2 3 2" xfId="13586" xr:uid="{F959BAA3-4A8E-40B2-801D-833FF81CABBA}"/>
    <cellStyle name="Comma 5 4 3 3 2 3 2 2" xfId="28706" xr:uid="{EEBA8696-1A8F-4A41-BAFA-21DF3B9A245E}"/>
    <cellStyle name="Comma 5 4 3 3 2 3 2 2 2" xfId="58946" xr:uid="{C7B92A41-386E-4F37-9F8D-4C8D79C50BC4}"/>
    <cellStyle name="Comma 5 4 3 3 2 3 2 3" xfId="43826" xr:uid="{43A7EC56-880F-4647-9039-1F066998D0F1}"/>
    <cellStyle name="Comma 5 4 3 3 2 3 3" xfId="19634" xr:uid="{A11F933E-291F-4167-BF77-CE9CD1E69215}"/>
    <cellStyle name="Comma 5 4 3 3 2 3 3 2" xfId="49874" xr:uid="{A3FA6B3F-7385-4C5A-ACE7-4DD50D8F7BFB}"/>
    <cellStyle name="Comma 5 4 3 3 2 3 4" xfId="34754" xr:uid="{09E98E61-C606-4F1E-A329-2991DDF29FAD}"/>
    <cellStyle name="Comma 5 4 3 3 2 4" xfId="6026" xr:uid="{2E11FE81-70A7-4244-B5DD-5AA1679B2C23}"/>
    <cellStyle name="Comma 5 4 3 3 2 4 2" xfId="15098" xr:uid="{7A46CACF-58E8-49F6-963C-0B29ADBD33B8}"/>
    <cellStyle name="Comma 5 4 3 3 2 4 2 2" xfId="30218" xr:uid="{47F6E28C-FF71-4629-8F64-7D5E17C28362}"/>
    <cellStyle name="Comma 5 4 3 3 2 4 2 2 2" xfId="60458" xr:uid="{058EF4B7-9B60-423F-AECF-314DDFF94C8E}"/>
    <cellStyle name="Comma 5 4 3 3 2 4 2 3" xfId="45338" xr:uid="{AA38EFC5-58AF-4F9D-A21A-3E11F4329205}"/>
    <cellStyle name="Comma 5 4 3 3 2 4 3" xfId="21146" xr:uid="{0FD631F2-E3B7-4FC5-BAFD-6BAAB5304D2F}"/>
    <cellStyle name="Comma 5 4 3 3 2 4 3 2" xfId="51386" xr:uid="{46EF7949-92B0-43C4-A180-19DE3B0D466D}"/>
    <cellStyle name="Comma 5 4 3 3 2 4 4" xfId="36266" xr:uid="{BE15F7A9-60EA-4BC6-90FC-CB4948F3131D}"/>
    <cellStyle name="Comma 5 4 3 3 2 5" xfId="7538" xr:uid="{7DDAF9B1-A790-4776-9BD6-A09F9F4CD9AB}"/>
    <cellStyle name="Comma 5 4 3 3 2 5 2" xfId="22658" xr:uid="{7BAF3111-8AF1-4273-AD4B-230D26656BE3}"/>
    <cellStyle name="Comma 5 4 3 3 2 5 2 2" xfId="52898" xr:uid="{0EAC697A-99B3-4026-9B25-049B2A9E9200}"/>
    <cellStyle name="Comma 5 4 3 3 2 5 3" xfId="37778" xr:uid="{4CB143EF-6D35-475A-AB25-681718819947}"/>
    <cellStyle name="Comma 5 4 3 3 2 6" xfId="9050" xr:uid="{8D597E6B-24A7-47A6-807D-AEB2D200341F}"/>
    <cellStyle name="Comma 5 4 3 3 2 6 2" xfId="24170" xr:uid="{4BDDAA32-EADE-45EB-B66B-E1E0CB129B01}"/>
    <cellStyle name="Comma 5 4 3 3 2 6 2 2" xfId="54410" xr:uid="{ECC7ACF7-9C68-4C47-A5F7-5DEF22B7B3F7}"/>
    <cellStyle name="Comma 5 4 3 3 2 6 3" xfId="39290" xr:uid="{FA7953EA-934F-4C90-9195-E838E52E104F}"/>
    <cellStyle name="Comma 5 4 3 3 2 7" xfId="10562" xr:uid="{0B46D16E-E161-4C3D-97D7-5A953393772A}"/>
    <cellStyle name="Comma 5 4 3 3 2 7 2" xfId="25682" xr:uid="{EBEC8974-BF72-4B22-8A67-B9D343D203E3}"/>
    <cellStyle name="Comma 5 4 3 3 2 7 2 2" xfId="55922" xr:uid="{8F4C8148-A46E-4941-B142-5F12ADE3A04F}"/>
    <cellStyle name="Comma 5 4 3 3 2 7 3" xfId="40802" xr:uid="{C7173CAD-692D-436A-837E-54C9BD9DBB08}"/>
    <cellStyle name="Comma 5 4 3 3 2 8" xfId="16610" xr:uid="{3DE67C03-9F35-471C-8B0D-76578DAB4AA1}"/>
    <cellStyle name="Comma 5 4 3 3 2 8 2" xfId="46850" xr:uid="{083C7170-6A1C-478D-AB08-85AFAD8BA9D0}"/>
    <cellStyle name="Comma 5 4 3 3 2 9" xfId="31730" xr:uid="{754293FF-3404-4A41-B99F-571933F83CBC}"/>
    <cellStyle name="Comma 5 4 3 3 3" xfId="2246" xr:uid="{C458BA66-0A35-4339-80E5-FA3B0EA079EA}"/>
    <cellStyle name="Comma 5 4 3 3 3 2" xfId="11318" xr:uid="{0DBF73A2-798D-4587-B5DB-B4E8EB51E759}"/>
    <cellStyle name="Comma 5 4 3 3 3 2 2" xfId="26438" xr:uid="{26DBEDE5-B14B-40B9-A268-E280001ECAEC}"/>
    <cellStyle name="Comma 5 4 3 3 3 2 2 2" xfId="56678" xr:uid="{CFD63623-4E9C-4CAA-BEE6-128B123FA461}"/>
    <cellStyle name="Comma 5 4 3 3 3 2 3" xfId="41558" xr:uid="{14CBD137-C2EE-4736-A4C2-65C88F590380}"/>
    <cellStyle name="Comma 5 4 3 3 3 3" xfId="17366" xr:uid="{0C72FBB8-95C3-4A33-BBD2-1F5DD2873DA7}"/>
    <cellStyle name="Comma 5 4 3 3 3 3 2" xfId="47606" xr:uid="{F2CCDA02-0710-4947-B442-F7A215B92EBA}"/>
    <cellStyle name="Comma 5 4 3 3 3 4" xfId="32486" xr:uid="{2CB1514C-9088-48CE-AFA4-302E0E9457FE}"/>
    <cellStyle name="Comma 5 4 3 3 4" xfId="3758" xr:uid="{AC20D31B-1FB2-4611-8F0D-95086A469D86}"/>
    <cellStyle name="Comma 5 4 3 3 4 2" xfId="12830" xr:uid="{EEBCB8D8-BCE3-4736-9819-7FFF6BBE622F}"/>
    <cellStyle name="Comma 5 4 3 3 4 2 2" xfId="27950" xr:uid="{F8197794-95E7-432A-B45D-29ED4FBD36BD}"/>
    <cellStyle name="Comma 5 4 3 3 4 2 2 2" xfId="58190" xr:uid="{8C634613-8D63-4FD7-A45E-F4CE0D176EA6}"/>
    <cellStyle name="Comma 5 4 3 3 4 2 3" xfId="43070" xr:uid="{4129726F-087C-4F7B-B773-226ACFAD6ECF}"/>
    <cellStyle name="Comma 5 4 3 3 4 3" xfId="18878" xr:uid="{80067C79-5E4C-49C3-B600-72EA36EEE795}"/>
    <cellStyle name="Comma 5 4 3 3 4 3 2" xfId="49118" xr:uid="{C9519773-58C5-49BF-A90D-5C83F337BE6C}"/>
    <cellStyle name="Comma 5 4 3 3 4 4" xfId="33998" xr:uid="{5E2D0A73-5B2E-4584-97FA-123F87EBC309}"/>
    <cellStyle name="Comma 5 4 3 3 5" xfId="5270" xr:uid="{E47BB46F-96B8-47A3-B991-3D23D57B3942}"/>
    <cellStyle name="Comma 5 4 3 3 5 2" xfId="14342" xr:uid="{1B668367-B639-43CC-BE14-409A56A2F2A5}"/>
    <cellStyle name="Comma 5 4 3 3 5 2 2" xfId="29462" xr:uid="{27424224-633E-4368-BC91-0F781493D388}"/>
    <cellStyle name="Comma 5 4 3 3 5 2 2 2" xfId="59702" xr:uid="{FA1D0130-F641-4B0E-9765-45CED7C5B6F1}"/>
    <cellStyle name="Comma 5 4 3 3 5 2 3" xfId="44582" xr:uid="{7D8E0833-FD89-45BF-BDC1-B8803557496D}"/>
    <cellStyle name="Comma 5 4 3 3 5 3" xfId="20390" xr:uid="{53C282FB-F03B-4807-9505-DD32E4AEC8BB}"/>
    <cellStyle name="Comma 5 4 3 3 5 3 2" xfId="50630" xr:uid="{4ED33CF4-1178-4D08-A115-4269AEA19378}"/>
    <cellStyle name="Comma 5 4 3 3 5 4" xfId="35510" xr:uid="{827C7E1A-6BEF-44C6-9B49-7764D32B67CB}"/>
    <cellStyle name="Comma 5 4 3 3 6" xfId="6782" xr:uid="{822074B1-E9EE-4D8D-B730-0C20D4209481}"/>
    <cellStyle name="Comma 5 4 3 3 6 2" xfId="21902" xr:uid="{074B0C3B-8B9D-4AF4-95C4-66F3D62E990B}"/>
    <cellStyle name="Comma 5 4 3 3 6 2 2" xfId="52142" xr:uid="{272F1F91-5CC0-4F25-BF58-A518ACB12B46}"/>
    <cellStyle name="Comma 5 4 3 3 6 3" xfId="37022" xr:uid="{3035DC67-2ACC-4E2F-AD54-AD04F743D48E}"/>
    <cellStyle name="Comma 5 4 3 3 7" xfId="8294" xr:uid="{BF9F0CAA-21D4-4540-B39D-61FD4BFC4268}"/>
    <cellStyle name="Comma 5 4 3 3 7 2" xfId="23414" xr:uid="{4D7A04D1-30D9-4642-89B8-C061DF654E49}"/>
    <cellStyle name="Comma 5 4 3 3 7 2 2" xfId="53654" xr:uid="{CBE50C28-EA17-431D-90B8-0BBC87D89ABF}"/>
    <cellStyle name="Comma 5 4 3 3 7 3" xfId="38534" xr:uid="{DC221486-31CA-44D4-BC01-D45A273FDF05}"/>
    <cellStyle name="Comma 5 4 3 3 8" xfId="9806" xr:uid="{B0E09822-D1E1-472B-9AFF-A27598B5EF32}"/>
    <cellStyle name="Comma 5 4 3 3 8 2" xfId="24926" xr:uid="{734176E1-E41A-4BA8-A04D-19A167A7A511}"/>
    <cellStyle name="Comma 5 4 3 3 8 2 2" xfId="55166" xr:uid="{474DD10D-351B-47AE-9005-2C35697745F2}"/>
    <cellStyle name="Comma 5 4 3 3 8 3" xfId="40046" xr:uid="{C479D9BA-DDE7-493D-B814-DEC0249CB2ED}"/>
    <cellStyle name="Comma 5 4 3 3 9" xfId="15854" xr:uid="{9030821C-D69A-474C-8703-A7C21F849CEF}"/>
    <cellStyle name="Comma 5 4 3 3 9 2" xfId="46094" xr:uid="{F7CFAD36-CA4F-4407-A91C-E7FB8562045C}"/>
    <cellStyle name="Comma 5 4 3 4" xfId="986" xr:uid="{BCB7DCD0-F01C-45E7-A00B-C83E1CA29806}"/>
    <cellStyle name="Comma 5 4 3 4 2" xfId="2498" xr:uid="{80BA59DF-2B2E-4C37-8A6E-2AA815EFC5C1}"/>
    <cellStyle name="Comma 5 4 3 4 2 2" xfId="11570" xr:uid="{91D75619-7EAF-44D4-A6FD-94BACBEADE4E}"/>
    <cellStyle name="Comma 5 4 3 4 2 2 2" xfId="26690" xr:uid="{C4DC95B5-DF6A-4EE4-A2C9-2C09DDC5FE44}"/>
    <cellStyle name="Comma 5 4 3 4 2 2 2 2" xfId="56930" xr:uid="{EE150155-0491-402C-B4C3-092966DA4747}"/>
    <cellStyle name="Comma 5 4 3 4 2 2 3" xfId="41810" xr:uid="{60450B21-A5A4-4D4A-9616-14CF0CDA71C3}"/>
    <cellStyle name="Comma 5 4 3 4 2 3" xfId="17618" xr:uid="{42A0B83B-3D27-47DC-9824-06A56C22B4DE}"/>
    <cellStyle name="Comma 5 4 3 4 2 3 2" xfId="47858" xr:uid="{B10A4986-D797-4027-8A08-5187E8EE8C90}"/>
    <cellStyle name="Comma 5 4 3 4 2 4" xfId="32738" xr:uid="{10E16993-9ECB-40C8-913C-3F07840871E8}"/>
    <cellStyle name="Comma 5 4 3 4 3" xfId="4010" xr:uid="{C347B3DF-EAFF-49D4-9D63-F29711A6B688}"/>
    <cellStyle name="Comma 5 4 3 4 3 2" xfId="13082" xr:uid="{9A367ADA-5D61-4BB5-9849-1371D910B8C3}"/>
    <cellStyle name="Comma 5 4 3 4 3 2 2" xfId="28202" xr:uid="{F8B855A7-0BE2-4B9C-8E5A-F7D8412D6E47}"/>
    <cellStyle name="Comma 5 4 3 4 3 2 2 2" xfId="58442" xr:uid="{A7BFA9B9-880C-48D0-AE61-6F128FDD1B1B}"/>
    <cellStyle name="Comma 5 4 3 4 3 2 3" xfId="43322" xr:uid="{F7318A4C-7945-4065-8C2B-118D5DEA76CF}"/>
    <cellStyle name="Comma 5 4 3 4 3 3" xfId="19130" xr:uid="{C913BC19-1A1A-4DF0-A239-47FD2445F469}"/>
    <cellStyle name="Comma 5 4 3 4 3 3 2" xfId="49370" xr:uid="{D53AE058-B61D-46E1-B25B-AAA940EC28DE}"/>
    <cellStyle name="Comma 5 4 3 4 3 4" xfId="34250" xr:uid="{32BE9BE7-7D5F-4877-B4E8-62229C4CE229}"/>
    <cellStyle name="Comma 5 4 3 4 4" xfId="5522" xr:uid="{C37DB77F-46B2-4DAC-BF09-1040BDBED783}"/>
    <cellStyle name="Comma 5 4 3 4 4 2" xfId="14594" xr:uid="{1A5842C9-B96B-44E0-A029-2597496ED19A}"/>
    <cellStyle name="Comma 5 4 3 4 4 2 2" xfId="29714" xr:uid="{BB1AABBD-7CFA-4F32-BBFE-B6B9FDF1B648}"/>
    <cellStyle name="Comma 5 4 3 4 4 2 2 2" xfId="59954" xr:uid="{7DDED56C-D333-46EC-BD18-7AD7A545AFED}"/>
    <cellStyle name="Comma 5 4 3 4 4 2 3" xfId="44834" xr:uid="{F1269014-E32B-4866-B49F-B6A81C86A9C1}"/>
    <cellStyle name="Comma 5 4 3 4 4 3" xfId="20642" xr:uid="{9AC16317-1C70-449B-AA11-C9E590E4316A}"/>
    <cellStyle name="Comma 5 4 3 4 4 3 2" xfId="50882" xr:uid="{F7BF9D84-5909-4993-A6E8-AB3B7E5DD49F}"/>
    <cellStyle name="Comma 5 4 3 4 4 4" xfId="35762" xr:uid="{220B5549-1A90-42C4-A686-05AE512BB542}"/>
    <cellStyle name="Comma 5 4 3 4 5" xfId="7034" xr:uid="{5A39998E-99D4-4A49-A35C-D13948EA6D56}"/>
    <cellStyle name="Comma 5 4 3 4 5 2" xfId="22154" xr:uid="{1EE8B428-E3D1-41C7-BF43-A8A89833D97D}"/>
    <cellStyle name="Comma 5 4 3 4 5 2 2" xfId="52394" xr:uid="{F4C3BAC7-C54D-403D-9EF0-DFCB8DB08EFD}"/>
    <cellStyle name="Comma 5 4 3 4 5 3" xfId="37274" xr:uid="{53A7E948-83C6-42D0-9B25-561C83F73528}"/>
    <cellStyle name="Comma 5 4 3 4 6" xfId="8546" xr:uid="{D86236B7-0518-4CEB-A44F-9838E2C1C1C7}"/>
    <cellStyle name="Comma 5 4 3 4 6 2" xfId="23666" xr:uid="{B261D8EA-DF7F-4BAE-9FFC-9524EBBD6D92}"/>
    <cellStyle name="Comma 5 4 3 4 6 2 2" xfId="53906" xr:uid="{DBEDBBAB-4BD5-4EC9-B98A-B9004A562BAB}"/>
    <cellStyle name="Comma 5 4 3 4 6 3" xfId="38786" xr:uid="{413C1A24-6400-4BE5-B181-CDC661A66FFA}"/>
    <cellStyle name="Comma 5 4 3 4 7" xfId="10058" xr:uid="{2D51032C-0E49-4D88-B564-C35E836BCC54}"/>
    <cellStyle name="Comma 5 4 3 4 7 2" xfId="25178" xr:uid="{C9742AEA-4E15-488C-A0EE-D237D24F9853}"/>
    <cellStyle name="Comma 5 4 3 4 7 2 2" xfId="55418" xr:uid="{14A60C03-AECE-41AC-BCA0-00191D553C34}"/>
    <cellStyle name="Comma 5 4 3 4 7 3" xfId="40298" xr:uid="{45943760-EAFD-4938-874A-64C2BDA4E158}"/>
    <cellStyle name="Comma 5 4 3 4 8" xfId="16106" xr:uid="{CACA3CD3-2B38-4CD5-8A36-36A329D96476}"/>
    <cellStyle name="Comma 5 4 3 4 8 2" xfId="46346" xr:uid="{A200894E-2F48-4B37-ADBA-CC14B9C42B39}"/>
    <cellStyle name="Comma 5 4 3 4 9" xfId="31226" xr:uid="{CF96DBAB-6320-4920-9F2E-2F5B2CD68C22}"/>
    <cellStyle name="Comma 5 4 3 5" xfId="1742" xr:uid="{5655103B-E10B-48D9-8D42-AF21B2BC2A44}"/>
    <cellStyle name="Comma 5 4 3 5 2" xfId="10814" xr:uid="{078B5A1D-B468-42EE-9ED4-2B023AA33835}"/>
    <cellStyle name="Comma 5 4 3 5 2 2" xfId="25934" xr:uid="{3E7A98C5-3B5A-4948-9D6C-13EF748F7548}"/>
    <cellStyle name="Comma 5 4 3 5 2 2 2" xfId="56174" xr:uid="{29AA7FC2-0567-4C1A-9068-06F71002693F}"/>
    <cellStyle name="Comma 5 4 3 5 2 3" xfId="41054" xr:uid="{572252C1-ED49-4631-A47B-D7434845A945}"/>
    <cellStyle name="Comma 5 4 3 5 3" xfId="16862" xr:uid="{6E79CB3F-80AF-4883-AD9D-D875F8C3FE42}"/>
    <cellStyle name="Comma 5 4 3 5 3 2" xfId="47102" xr:uid="{C4241B75-78B3-4C81-A101-24B93A8FEEA1}"/>
    <cellStyle name="Comma 5 4 3 5 4" xfId="31982" xr:uid="{5B4D86B4-35A4-4B42-BD56-3CB6708CACBB}"/>
    <cellStyle name="Comma 5 4 3 6" xfId="3254" xr:uid="{B04DFEBA-F2AA-43CF-A291-6A1856519BC4}"/>
    <cellStyle name="Comma 5 4 3 6 2" xfId="12326" xr:uid="{CE42E0F8-BAA5-40A9-A473-05F59C44227F}"/>
    <cellStyle name="Comma 5 4 3 6 2 2" xfId="27446" xr:uid="{99575863-F743-4EE3-B925-747801EF6B86}"/>
    <cellStyle name="Comma 5 4 3 6 2 2 2" xfId="57686" xr:uid="{0DC26C75-8DA7-4DBA-8D58-7C8C833145CD}"/>
    <cellStyle name="Comma 5 4 3 6 2 3" xfId="42566" xr:uid="{EE3A3E45-4C13-4B5B-91D3-9A0F4D4A3C90}"/>
    <cellStyle name="Comma 5 4 3 6 3" xfId="18374" xr:uid="{1D98032D-A0D8-4BD2-99ED-F3E7AD60E28A}"/>
    <cellStyle name="Comma 5 4 3 6 3 2" xfId="48614" xr:uid="{168BCB8C-181B-4588-B8DE-B3DF7D466325}"/>
    <cellStyle name="Comma 5 4 3 6 4" xfId="33494" xr:uid="{C3D945D8-0552-4C6E-940C-D4C6704467FF}"/>
    <cellStyle name="Comma 5 4 3 7" xfId="4766" xr:uid="{6BDE46BB-4553-48E1-B918-6810D27DFA79}"/>
    <cellStyle name="Comma 5 4 3 7 2" xfId="13838" xr:uid="{49D5371C-428E-4CFB-B81E-8BD7E3EE6457}"/>
    <cellStyle name="Comma 5 4 3 7 2 2" xfId="28958" xr:uid="{5492FD38-225D-4ED8-A73A-B4C2DF8A3862}"/>
    <cellStyle name="Comma 5 4 3 7 2 2 2" xfId="59198" xr:uid="{ADAEB116-4BCD-4F4E-B978-FB1DE692837A}"/>
    <cellStyle name="Comma 5 4 3 7 2 3" xfId="44078" xr:uid="{F57EFD79-8AD7-40E2-B475-4DFC5BC390C8}"/>
    <cellStyle name="Comma 5 4 3 7 3" xfId="19886" xr:uid="{23BE5779-931F-4F65-8EBB-52833EC0139A}"/>
    <cellStyle name="Comma 5 4 3 7 3 2" xfId="50126" xr:uid="{B9E2D2D8-2B13-4367-B8B6-48421A805DAC}"/>
    <cellStyle name="Comma 5 4 3 7 4" xfId="35006" xr:uid="{D6C8E3F9-BEDF-4E3E-84E4-934786D1C9E2}"/>
    <cellStyle name="Comma 5 4 3 8" xfId="6278" xr:uid="{31E8E441-991D-43C0-A782-4444A2529C3F}"/>
    <cellStyle name="Comma 5 4 3 8 2" xfId="21398" xr:uid="{381F86D1-1B3A-4366-A712-23AE30886A9B}"/>
    <cellStyle name="Comma 5 4 3 8 2 2" xfId="51638" xr:uid="{99B34A33-67B7-4550-9A8C-31EEE7CB9DC2}"/>
    <cellStyle name="Comma 5 4 3 8 3" xfId="36518" xr:uid="{0305C805-5156-4269-84CF-24983DF89417}"/>
    <cellStyle name="Comma 5 4 3 9" xfId="7790" xr:uid="{8F92BB0F-22B8-4CA6-8C04-B169A123785C}"/>
    <cellStyle name="Comma 5 4 3 9 2" xfId="22910" xr:uid="{F7D36218-650C-4895-ADA7-6D5582A2A430}"/>
    <cellStyle name="Comma 5 4 3 9 2 2" xfId="53150" xr:uid="{8782B212-1AFA-4DE0-8734-5C6DC684194A}"/>
    <cellStyle name="Comma 5 4 3 9 3" xfId="38030" xr:uid="{121097BC-935F-439D-9A8E-CDEA04FA3A0C}"/>
    <cellStyle name="Comma 5 4 4" xfId="314" xr:uid="{93BAA1EB-4A76-4D9A-A1FE-B365C6D8A2F1}"/>
    <cellStyle name="Comma 5 4 4 10" xfId="30554" xr:uid="{2B572917-289C-4679-952C-A8B72D8A495C}"/>
    <cellStyle name="Comma 5 4 4 2" xfId="1070" xr:uid="{B26737E0-A520-4F86-BFA6-37B5CCF3410E}"/>
    <cellStyle name="Comma 5 4 4 2 2" xfId="2582" xr:uid="{229F0EAF-2026-4768-98F5-579474F614CF}"/>
    <cellStyle name="Comma 5 4 4 2 2 2" xfId="11654" xr:uid="{A2BE3953-6B1F-40D0-885E-1469DE7E4A25}"/>
    <cellStyle name="Comma 5 4 4 2 2 2 2" xfId="26774" xr:uid="{29B3039D-B361-4F5D-B07B-9443D160F2C7}"/>
    <cellStyle name="Comma 5 4 4 2 2 2 2 2" xfId="57014" xr:uid="{69625DF3-710C-4B0E-9714-365B69DB8134}"/>
    <cellStyle name="Comma 5 4 4 2 2 2 3" xfId="41894" xr:uid="{EEFB138D-999B-49C1-9254-F52ACC91E843}"/>
    <cellStyle name="Comma 5 4 4 2 2 3" xfId="17702" xr:uid="{79051765-095F-4A40-8D31-95C959CE9FC2}"/>
    <cellStyle name="Comma 5 4 4 2 2 3 2" xfId="47942" xr:uid="{45756E37-9DD3-4C00-B94A-4AB7ADF86961}"/>
    <cellStyle name="Comma 5 4 4 2 2 4" xfId="32822" xr:uid="{E9EAFFE1-DD6B-4766-94C1-F6177D3AF5A2}"/>
    <cellStyle name="Comma 5 4 4 2 3" xfId="4094" xr:uid="{B855E69C-B297-489F-9169-1DA17CF02BA6}"/>
    <cellStyle name="Comma 5 4 4 2 3 2" xfId="13166" xr:uid="{7F5602E4-2A62-4F7C-AE6D-F87063F72E72}"/>
    <cellStyle name="Comma 5 4 4 2 3 2 2" xfId="28286" xr:uid="{46AD43BD-8794-40A9-929B-8A569C225D03}"/>
    <cellStyle name="Comma 5 4 4 2 3 2 2 2" xfId="58526" xr:uid="{A13D2E12-C31E-4109-9305-DD320A5554DD}"/>
    <cellStyle name="Comma 5 4 4 2 3 2 3" xfId="43406" xr:uid="{244D2D08-EAA1-470D-9368-8EC309096AEA}"/>
    <cellStyle name="Comma 5 4 4 2 3 3" xfId="19214" xr:uid="{545FC9E6-0559-46B7-884D-BE38A7F8F85B}"/>
    <cellStyle name="Comma 5 4 4 2 3 3 2" xfId="49454" xr:uid="{F6774812-8804-4BBB-9CB1-B4F6CC8C54D9}"/>
    <cellStyle name="Comma 5 4 4 2 3 4" xfId="34334" xr:uid="{C9E1946A-66F4-4CA2-8A8A-64B952D12157}"/>
    <cellStyle name="Comma 5 4 4 2 4" xfId="5606" xr:uid="{E73BCD5B-D964-45E3-B95C-921EE0EC24AB}"/>
    <cellStyle name="Comma 5 4 4 2 4 2" xfId="14678" xr:uid="{4855BB5A-3B5C-4694-8D95-060C25D756A4}"/>
    <cellStyle name="Comma 5 4 4 2 4 2 2" xfId="29798" xr:uid="{275621AA-7FF0-4E31-AFF5-17833423FD5C}"/>
    <cellStyle name="Comma 5 4 4 2 4 2 2 2" xfId="60038" xr:uid="{8A08EACA-7F28-4171-9DB9-724DE4CD834D}"/>
    <cellStyle name="Comma 5 4 4 2 4 2 3" xfId="44918" xr:uid="{E05B05B0-2E22-477E-AE9B-C22CD853E574}"/>
    <cellStyle name="Comma 5 4 4 2 4 3" xfId="20726" xr:uid="{CD635532-8BD7-4123-BF5C-F92F558DEC1E}"/>
    <cellStyle name="Comma 5 4 4 2 4 3 2" xfId="50966" xr:uid="{B91253A6-81F0-45EF-B972-E5A6C270E56F}"/>
    <cellStyle name="Comma 5 4 4 2 4 4" xfId="35846" xr:uid="{1CE89873-9966-44AF-B583-33BF0FCA9FC1}"/>
    <cellStyle name="Comma 5 4 4 2 5" xfId="7118" xr:uid="{CAF445FC-78D7-49EF-BA5B-937B99F525E5}"/>
    <cellStyle name="Comma 5 4 4 2 5 2" xfId="22238" xr:uid="{62D78EF6-F0B7-4764-9ABA-EF39BE4DC59F}"/>
    <cellStyle name="Comma 5 4 4 2 5 2 2" xfId="52478" xr:uid="{6925BEE4-58AF-45A8-80B1-E008C1C5FDEA}"/>
    <cellStyle name="Comma 5 4 4 2 5 3" xfId="37358" xr:uid="{1327D4D0-BE69-4EB4-913F-610C05A6634B}"/>
    <cellStyle name="Comma 5 4 4 2 6" xfId="8630" xr:uid="{72428AA3-DAF8-46EF-A109-A11E402134CB}"/>
    <cellStyle name="Comma 5 4 4 2 6 2" xfId="23750" xr:uid="{F332B193-E710-4BD6-B962-317FC7B6D2B2}"/>
    <cellStyle name="Comma 5 4 4 2 6 2 2" xfId="53990" xr:uid="{D94F358B-24CF-4F34-8AA2-8BF3EFD4B6A1}"/>
    <cellStyle name="Comma 5 4 4 2 6 3" xfId="38870" xr:uid="{37158B7F-A151-4B92-A01D-39615917554A}"/>
    <cellStyle name="Comma 5 4 4 2 7" xfId="10142" xr:uid="{F477EBB8-4E6D-4123-B4F5-6EFB5FE0030E}"/>
    <cellStyle name="Comma 5 4 4 2 7 2" xfId="25262" xr:uid="{1EBBA024-EAE8-478C-BA8B-6ECBB64E4B01}"/>
    <cellStyle name="Comma 5 4 4 2 7 2 2" xfId="55502" xr:uid="{CE508C2A-FC8C-4B51-BC3A-0D54E957A63A}"/>
    <cellStyle name="Comma 5 4 4 2 7 3" xfId="40382" xr:uid="{72861478-61E3-4886-9CB6-BC5DA38F0B50}"/>
    <cellStyle name="Comma 5 4 4 2 8" xfId="16190" xr:uid="{CB221406-5D4A-48A6-BD2F-42A5E0C64309}"/>
    <cellStyle name="Comma 5 4 4 2 8 2" xfId="46430" xr:uid="{C8955623-47A0-467A-BC56-A3F8D4AB4E6C}"/>
    <cellStyle name="Comma 5 4 4 2 9" xfId="31310" xr:uid="{0E3332DD-6422-43ED-B5D1-56A1EC95A717}"/>
    <cellStyle name="Comma 5 4 4 3" xfId="1826" xr:uid="{46EEF115-A762-4344-9749-78238D29E1C5}"/>
    <cellStyle name="Comma 5 4 4 3 2" xfId="10898" xr:uid="{3F772A74-F27F-4215-BC9E-09B71D58254A}"/>
    <cellStyle name="Comma 5 4 4 3 2 2" xfId="26018" xr:uid="{EE424EE5-C9EE-4E94-9504-86EF42EA20A6}"/>
    <cellStyle name="Comma 5 4 4 3 2 2 2" xfId="56258" xr:uid="{4240A2CC-B91A-4C8B-8503-39C113C88D25}"/>
    <cellStyle name="Comma 5 4 4 3 2 3" xfId="41138" xr:uid="{83BD787E-F717-42E6-9357-A09C7F7D0162}"/>
    <cellStyle name="Comma 5 4 4 3 3" xfId="16946" xr:uid="{B9A858ED-24B1-4621-8888-0DBEA4F0B280}"/>
    <cellStyle name="Comma 5 4 4 3 3 2" xfId="47186" xr:uid="{7F226CCC-EC46-4EE1-9688-2335001D07C7}"/>
    <cellStyle name="Comma 5 4 4 3 4" xfId="32066" xr:uid="{24F9B9A1-A812-42DF-94B4-DE5F27CB63ED}"/>
    <cellStyle name="Comma 5 4 4 4" xfId="3338" xr:uid="{3A66D7F5-8CC2-42A3-A9F8-224A60461DEB}"/>
    <cellStyle name="Comma 5 4 4 4 2" xfId="12410" xr:uid="{2CFF70C9-6C0A-4F0E-987E-F9BC7404738E}"/>
    <cellStyle name="Comma 5 4 4 4 2 2" xfId="27530" xr:uid="{9B8F61F0-CA9C-43F8-ACB3-14A64792ACBA}"/>
    <cellStyle name="Comma 5 4 4 4 2 2 2" xfId="57770" xr:uid="{DE528026-2E3D-46E5-917C-CFB620D2E66C}"/>
    <cellStyle name="Comma 5 4 4 4 2 3" xfId="42650" xr:uid="{293D9608-63E0-4BA4-8A4D-E3FF0299D6FA}"/>
    <cellStyle name="Comma 5 4 4 4 3" xfId="18458" xr:uid="{568DA0F1-8148-43F1-A794-0A8CF8B2CFBF}"/>
    <cellStyle name="Comma 5 4 4 4 3 2" xfId="48698" xr:uid="{72C3794B-94C2-4347-9264-F198588AE85D}"/>
    <cellStyle name="Comma 5 4 4 4 4" xfId="33578" xr:uid="{3B220E7F-923F-4591-BC91-FE45D993C4FF}"/>
    <cellStyle name="Comma 5 4 4 5" xfId="4850" xr:uid="{529776EB-C68E-44A1-9531-C47049589A7C}"/>
    <cellStyle name="Comma 5 4 4 5 2" xfId="13922" xr:uid="{DB9311CC-86DB-4078-B27F-F8FD11AD83FA}"/>
    <cellStyle name="Comma 5 4 4 5 2 2" xfId="29042" xr:uid="{69B778E0-2C74-46E8-8F35-493FD637DFBA}"/>
    <cellStyle name="Comma 5 4 4 5 2 2 2" xfId="59282" xr:uid="{3F170700-07FB-4513-8AFF-85D4ABAEEBFD}"/>
    <cellStyle name="Comma 5 4 4 5 2 3" xfId="44162" xr:uid="{1AEED785-F64D-4E85-AB0F-615A1775F060}"/>
    <cellStyle name="Comma 5 4 4 5 3" xfId="19970" xr:uid="{B72214C5-4EBB-453F-8C8A-2DDA68E869D7}"/>
    <cellStyle name="Comma 5 4 4 5 3 2" xfId="50210" xr:uid="{5A725938-CB58-4699-B5BB-09EE7A334A60}"/>
    <cellStyle name="Comma 5 4 4 5 4" xfId="35090" xr:uid="{F6C8BA4A-8086-4C7A-9EBA-FCF6F1FB78EE}"/>
    <cellStyle name="Comma 5 4 4 6" xfId="6362" xr:uid="{FB6D0223-E085-415B-8180-B894FE209427}"/>
    <cellStyle name="Comma 5 4 4 6 2" xfId="21482" xr:uid="{374374AB-CB84-458A-A06D-191DBFF9BE4A}"/>
    <cellStyle name="Comma 5 4 4 6 2 2" xfId="51722" xr:uid="{42C602F7-F37D-4E85-A7DE-EBB62046D7C4}"/>
    <cellStyle name="Comma 5 4 4 6 3" xfId="36602" xr:uid="{14C17FA4-57C7-4AED-9625-7343C19874DB}"/>
    <cellStyle name="Comma 5 4 4 7" xfId="7874" xr:uid="{00E93A47-27A7-4477-84BC-6C07C3C0B6BD}"/>
    <cellStyle name="Comma 5 4 4 7 2" xfId="22994" xr:uid="{F7A12B8C-CB85-419B-97A4-8A525A3E7801}"/>
    <cellStyle name="Comma 5 4 4 7 2 2" xfId="53234" xr:uid="{76CCC1D2-B4FC-4A64-BD31-5DEBD2BB41FA}"/>
    <cellStyle name="Comma 5 4 4 7 3" xfId="38114" xr:uid="{7D32058D-0C8F-4005-8B8E-73B8660EC61D}"/>
    <cellStyle name="Comma 5 4 4 8" xfId="9386" xr:uid="{9DA6881D-24A7-4024-B4D5-F96290BEA490}"/>
    <cellStyle name="Comma 5 4 4 8 2" xfId="24506" xr:uid="{E5396071-F97D-40C3-AE16-69F3E21EB50D}"/>
    <cellStyle name="Comma 5 4 4 8 2 2" xfId="54746" xr:uid="{C9F6777F-0B22-43B5-ABB9-B79A35694503}"/>
    <cellStyle name="Comma 5 4 4 8 3" xfId="39626" xr:uid="{379BCDFF-54EA-4D0C-A5BC-E0F6FB778F4D}"/>
    <cellStyle name="Comma 5 4 4 9" xfId="15434" xr:uid="{497191A0-A550-419E-B6FF-2D61608A88D2}"/>
    <cellStyle name="Comma 5 4 4 9 2" xfId="45674" xr:uid="{1AE93E68-9A53-4606-80DD-C9E8C86921A7}"/>
    <cellStyle name="Comma 5 4 5" xfId="566" xr:uid="{0DB18A7F-AFCD-445F-B9BB-FC31E44DB8B7}"/>
    <cellStyle name="Comma 5 4 5 10" xfId="30806" xr:uid="{7F26165F-9018-4328-81AF-9253CAB99A79}"/>
    <cellStyle name="Comma 5 4 5 2" xfId="1322" xr:uid="{1ADB7385-E061-430B-8E7E-2759D3F41DE8}"/>
    <cellStyle name="Comma 5 4 5 2 2" xfId="2834" xr:uid="{50FC38E3-D8CC-497C-9E08-78FA7BE3DBDC}"/>
    <cellStyle name="Comma 5 4 5 2 2 2" xfId="11906" xr:uid="{C3721255-3CE6-4F6A-AC5B-2BF3F0AD76D9}"/>
    <cellStyle name="Comma 5 4 5 2 2 2 2" xfId="27026" xr:uid="{47281F33-24AC-4C69-B000-85A983821D2A}"/>
    <cellStyle name="Comma 5 4 5 2 2 2 2 2" xfId="57266" xr:uid="{BEAC0B73-6A33-482F-9C69-E84207B661EF}"/>
    <cellStyle name="Comma 5 4 5 2 2 2 3" xfId="42146" xr:uid="{24235A36-FC98-4876-8052-FBB16F28A5D0}"/>
    <cellStyle name="Comma 5 4 5 2 2 3" xfId="17954" xr:uid="{2D878336-DDDF-44F4-93E9-9BC6B01EA9A7}"/>
    <cellStyle name="Comma 5 4 5 2 2 3 2" xfId="48194" xr:uid="{06367764-7312-4AEF-AADD-34FEC72C1447}"/>
    <cellStyle name="Comma 5 4 5 2 2 4" xfId="33074" xr:uid="{409067C3-8FC8-4C0F-9695-E6C396F99BE1}"/>
    <cellStyle name="Comma 5 4 5 2 3" xfId="4346" xr:uid="{1730C1B9-E43E-4FCA-8968-C0CB8685B0D1}"/>
    <cellStyle name="Comma 5 4 5 2 3 2" xfId="13418" xr:uid="{94FBA966-D7B6-460D-8B7F-3455DE9DBE09}"/>
    <cellStyle name="Comma 5 4 5 2 3 2 2" xfId="28538" xr:uid="{FE7EEDFB-FB8A-457B-8F93-CE1BE82502FA}"/>
    <cellStyle name="Comma 5 4 5 2 3 2 2 2" xfId="58778" xr:uid="{01335D33-284E-41E2-B6D1-D0BDB5CB09AA}"/>
    <cellStyle name="Comma 5 4 5 2 3 2 3" xfId="43658" xr:uid="{F9EF7835-DB46-4FBE-8736-EC2A6BB72FD4}"/>
    <cellStyle name="Comma 5 4 5 2 3 3" xfId="19466" xr:uid="{D9ED8B0E-857A-4579-BE96-BE40ABE56365}"/>
    <cellStyle name="Comma 5 4 5 2 3 3 2" xfId="49706" xr:uid="{E303FF4D-C5DF-42CB-85C8-64A4ACE75EB1}"/>
    <cellStyle name="Comma 5 4 5 2 3 4" xfId="34586" xr:uid="{83AA598F-3301-45FB-8A82-71665ACA8507}"/>
    <cellStyle name="Comma 5 4 5 2 4" xfId="5858" xr:uid="{62ECB200-4EB1-445D-9099-B1040937144C}"/>
    <cellStyle name="Comma 5 4 5 2 4 2" xfId="14930" xr:uid="{048EB394-7E62-46B3-B0EA-57C07170EE88}"/>
    <cellStyle name="Comma 5 4 5 2 4 2 2" xfId="30050" xr:uid="{7538EB1B-2503-4620-8825-510F020A44E9}"/>
    <cellStyle name="Comma 5 4 5 2 4 2 2 2" xfId="60290" xr:uid="{49A603A1-F305-452A-80D4-D43CD517B6D1}"/>
    <cellStyle name="Comma 5 4 5 2 4 2 3" xfId="45170" xr:uid="{77197CE8-2ACD-4308-ADB4-3812FEF7AFB2}"/>
    <cellStyle name="Comma 5 4 5 2 4 3" xfId="20978" xr:uid="{7B110E82-AACC-493E-ACA6-F103B6A4581E}"/>
    <cellStyle name="Comma 5 4 5 2 4 3 2" xfId="51218" xr:uid="{A80241B0-20D1-493E-9ED9-B09A467AC145}"/>
    <cellStyle name="Comma 5 4 5 2 4 4" xfId="36098" xr:uid="{021BEE4F-7C39-45FE-9D79-240805EF215F}"/>
    <cellStyle name="Comma 5 4 5 2 5" xfId="7370" xr:uid="{F403CFC8-144A-4EC3-9776-1E4A8A84FE1E}"/>
    <cellStyle name="Comma 5 4 5 2 5 2" xfId="22490" xr:uid="{D54C04A6-6A6E-47BD-A228-B3CCE3247C34}"/>
    <cellStyle name="Comma 5 4 5 2 5 2 2" xfId="52730" xr:uid="{B5549124-37B8-43A8-A3BC-B4F928302AD5}"/>
    <cellStyle name="Comma 5 4 5 2 5 3" xfId="37610" xr:uid="{C4D2E710-9A26-4BC0-92F7-BAF3CF25489A}"/>
    <cellStyle name="Comma 5 4 5 2 6" xfId="8882" xr:uid="{3F0D0FF5-5033-4F5F-9939-93F34519AAAB}"/>
    <cellStyle name="Comma 5 4 5 2 6 2" xfId="24002" xr:uid="{CC192249-5F43-4482-85E6-7CBF57B13FC0}"/>
    <cellStyle name="Comma 5 4 5 2 6 2 2" xfId="54242" xr:uid="{3103BCC6-9429-4F70-AB24-4834E42CCAE9}"/>
    <cellStyle name="Comma 5 4 5 2 6 3" xfId="39122" xr:uid="{AA0C7F7D-95FC-4F97-A59F-F6CAD35CE468}"/>
    <cellStyle name="Comma 5 4 5 2 7" xfId="10394" xr:uid="{C742FE98-5FBE-43BF-A847-90F26810CFED}"/>
    <cellStyle name="Comma 5 4 5 2 7 2" xfId="25514" xr:uid="{F59D23D7-6681-4BA1-9832-517FEB350C5A}"/>
    <cellStyle name="Comma 5 4 5 2 7 2 2" xfId="55754" xr:uid="{A2A974C9-5D90-4421-B260-9F568479FA7C}"/>
    <cellStyle name="Comma 5 4 5 2 7 3" xfId="40634" xr:uid="{5277EA08-AF0D-4FFB-B35C-84FC79B7BB4F}"/>
    <cellStyle name="Comma 5 4 5 2 8" xfId="16442" xr:uid="{66FB7FB0-A6FB-45D6-894B-6CA429D0C829}"/>
    <cellStyle name="Comma 5 4 5 2 8 2" xfId="46682" xr:uid="{F5727371-8298-4398-BC23-95C13A344F9A}"/>
    <cellStyle name="Comma 5 4 5 2 9" xfId="31562" xr:uid="{823CA544-94AE-4299-83EA-D5FF2A8D5A9B}"/>
    <cellStyle name="Comma 5 4 5 3" xfId="2078" xr:uid="{094475FA-2366-494A-A19C-84E8E6F2D8EF}"/>
    <cellStyle name="Comma 5 4 5 3 2" xfId="11150" xr:uid="{024B62F6-AF49-4303-B29F-ABF0A6405970}"/>
    <cellStyle name="Comma 5 4 5 3 2 2" xfId="26270" xr:uid="{1DDDB7E8-376E-4F30-B571-2403644706E3}"/>
    <cellStyle name="Comma 5 4 5 3 2 2 2" xfId="56510" xr:uid="{1DFEFE5D-18AF-42A1-8974-2F9DAC94417F}"/>
    <cellStyle name="Comma 5 4 5 3 2 3" xfId="41390" xr:uid="{9B68D80C-81C8-4DAF-8BA6-6FD802166275}"/>
    <cellStyle name="Comma 5 4 5 3 3" xfId="17198" xr:uid="{E4A97C42-C819-45A4-AF16-BB0C51334239}"/>
    <cellStyle name="Comma 5 4 5 3 3 2" xfId="47438" xr:uid="{D578AE3C-3C7D-42F9-8BD0-3C664EC4E91F}"/>
    <cellStyle name="Comma 5 4 5 3 4" xfId="32318" xr:uid="{42BFD96C-4D0E-4C3B-97B9-783878A52262}"/>
    <cellStyle name="Comma 5 4 5 4" xfId="3590" xr:uid="{B2F3423A-217C-47B1-AF0D-2131CF89B592}"/>
    <cellStyle name="Comma 5 4 5 4 2" xfId="12662" xr:uid="{13825410-7C72-4D11-874E-680FD0DFAC59}"/>
    <cellStyle name="Comma 5 4 5 4 2 2" xfId="27782" xr:uid="{DA7BB688-EAAF-4C68-8FF5-206F80704766}"/>
    <cellStyle name="Comma 5 4 5 4 2 2 2" xfId="58022" xr:uid="{27167BBA-54FD-498D-A772-1E01434DAF35}"/>
    <cellStyle name="Comma 5 4 5 4 2 3" xfId="42902" xr:uid="{FED9EB60-63AA-488C-911B-5CD2554142EA}"/>
    <cellStyle name="Comma 5 4 5 4 3" xfId="18710" xr:uid="{71CB4464-B999-4FB7-A301-EED40CEF312F}"/>
    <cellStyle name="Comma 5 4 5 4 3 2" xfId="48950" xr:uid="{FB21EF97-7F80-4E81-A2F2-94AF076F5702}"/>
    <cellStyle name="Comma 5 4 5 4 4" xfId="33830" xr:uid="{1A91B91A-C08B-4C1E-AD44-4E8DF7184A5D}"/>
    <cellStyle name="Comma 5 4 5 5" xfId="5102" xr:uid="{0CB96838-B2DF-4E20-AD86-0135D41B2872}"/>
    <cellStyle name="Comma 5 4 5 5 2" xfId="14174" xr:uid="{A266E130-075A-453A-828F-3FE6766F5A14}"/>
    <cellStyle name="Comma 5 4 5 5 2 2" xfId="29294" xr:uid="{882AD4DB-F7F5-446C-A7B6-82063C5D482E}"/>
    <cellStyle name="Comma 5 4 5 5 2 2 2" xfId="59534" xr:uid="{D3DD4F77-835F-4C42-961A-5FAF5ADA6B00}"/>
    <cellStyle name="Comma 5 4 5 5 2 3" xfId="44414" xr:uid="{D1AE85A4-7C51-4035-B61D-64FCCE5C5015}"/>
    <cellStyle name="Comma 5 4 5 5 3" xfId="20222" xr:uid="{97626BE3-3626-4C7E-A4F4-8C20F25A18DC}"/>
    <cellStyle name="Comma 5 4 5 5 3 2" xfId="50462" xr:uid="{A1F59DE8-8FE2-4619-89A3-DD0A2E06C3ED}"/>
    <cellStyle name="Comma 5 4 5 5 4" xfId="35342" xr:uid="{48957409-19A3-4FD3-9518-7CF795ECB416}"/>
    <cellStyle name="Comma 5 4 5 6" xfId="6614" xr:uid="{999157F7-7012-4675-8B5E-3904CBE26C9C}"/>
    <cellStyle name="Comma 5 4 5 6 2" xfId="21734" xr:uid="{541903C6-19C2-44BB-AB3A-DB05236356BA}"/>
    <cellStyle name="Comma 5 4 5 6 2 2" xfId="51974" xr:uid="{BEDCDB6A-61F7-4A0E-8DE2-A6E85CB30E54}"/>
    <cellStyle name="Comma 5 4 5 6 3" xfId="36854" xr:uid="{35911EA7-7700-41BE-ABB1-9222E5C61680}"/>
    <cellStyle name="Comma 5 4 5 7" xfId="8126" xr:uid="{6402828C-8A89-45BF-BB15-6B41C0D91ED7}"/>
    <cellStyle name="Comma 5 4 5 7 2" xfId="23246" xr:uid="{B20B1542-3FC2-48DE-8FE6-4B5C25571319}"/>
    <cellStyle name="Comma 5 4 5 7 2 2" xfId="53486" xr:uid="{7281C4E3-A074-4309-9C27-F5F25DCE4555}"/>
    <cellStyle name="Comma 5 4 5 7 3" xfId="38366" xr:uid="{94721A9D-3376-49C6-AA23-D9A5AFBD13DA}"/>
    <cellStyle name="Comma 5 4 5 8" xfId="9638" xr:uid="{8381F15B-3367-4CF8-9CA4-E5403A120239}"/>
    <cellStyle name="Comma 5 4 5 8 2" xfId="24758" xr:uid="{7F6FFAEF-73CA-41CC-85F3-E5A5033E7844}"/>
    <cellStyle name="Comma 5 4 5 8 2 2" xfId="54998" xr:uid="{3B5B45C7-DA7B-4B25-85E0-7B321158C803}"/>
    <cellStyle name="Comma 5 4 5 8 3" xfId="39878" xr:uid="{1832FD33-3308-4713-9963-AEBA73120D1D}"/>
    <cellStyle name="Comma 5 4 5 9" xfId="15686" xr:uid="{56DA3950-5DEA-446A-B9EB-4B401947DE49}"/>
    <cellStyle name="Comma 5 4 5 9 2" xfId="45926" xr:uid="{613B3CE8-D5B7-4C78-8007-A84163FBF9D8}"/>
    <cellStyle name="Comma 5 4 6" xfId="818" xr:uid="{C6B1A486-EFDF-4D0A-B674-126077046428}"/>
    <cellStyle name="Comma 5 4 6 2" xfId="2330" xr:uid="{5E55AF47-7F3B-4DAA-BBFF-939AE01E22B4}"/>
    <cellStyle name="Comma 5 4 6 2 2" xfId="11402" xr:uid="{99E95B5E-4B73-43A4-B536-90C18E3A03DF}"/>
    <cellStyle name="Comma 5 4 6 2 2 2" xfId="26522" xr:uid="{EB999D44-512D-4962-89A6-D9AF7874F024}"/>
    <cellStyle name="Comma 5 4 6 2 2 2 2" xfId="56762" xr:uid="{52102603-83B7-4E3E-AD41-7083E970994D}"/>
    <cellStyle name="Comma 5 4 6 2 2 3" xfId="41642" xr:uid="{8FDACC21-52A9-4A63-982A-239549FD07B5}"/>
    <cellStyle name="Comma 5 4 6 2 3" xfId="17450" xr:uid="{C112E2B1-25E1-43D2-8652-0955CCC9F4B4}"/>
    <cellStyle name="Comma 5 4 6 2 3 2" xfId="47690" xr:uid="{4E88B298-6DEB-4A32-99FA-80518615DB8E}"/>
    <cellStyle name="Comma 5 4 6 2 4" xfId="32570" xr:uid="{BB2D21BF-0468-44F6-AAD9-5C273A3541E1}"/>
    <cellStyle name="Comma 5 4 6 3" xfId="3842" xr:uid="{239062AC-0740-4C89-8A1A-BC87E86B010C}"/>
    <cellStyle name="Comma 5 4 6 3 2" xfId="12914" xr:uid="{9CE81D24-517D-4002-A57D-D1A8A7992AB6}"/>
    <cellStyle name="Comma 5 4 6 3 2 2" xfId="28034" xr:uid="{3519E85C-52B3-428A-8B5E-4714788F9FBD}"/>
    <cellStyle name="Comma 5 4 6 3 2 2 2" xfId="58274" xr:uid="{643BE950-B98A-450B-9FCB-6D0090418088}"/>
    <cellStyle name="Comma 5 4 6 3 2 3" xfId="43154" xr:uid="{763DA4A9-ECB4-4A0F-BAB3-B79B77C92829}"/>
    <cellStyle name="Comma 5 4 6 3 3" xfId="18962" xr:uid="{DFC5F21B-C76F-4A90-8C57-806D5C4CA30A}"/>
    <cellStyle name="Comma 5 4 6 3 3 2" xfId="49202" xr:uid="{21E197D3-99CC-4253-B948-E98E92E48E9C}"/>
    <cellStyle name="Comma 5 4 6 3 4" xfId="34082" xr:uid="{F4F77C80-B2E5-4902-86B0-7DFEA9D41363}"/>
    <cellStyle name="Comma 5 4 6 4" xfId="5354" xr:uid="{6E86E9B1-0114-4102-9A90-B7C5AB0DB119}"/>
    <cellStyle name="Comma 5 4 6 4 2" xfId="14426" xr:uid="{CF303B18-E057-43E5-BCD4-10C1895FA9AA}"/>
    <cellStyle name="Comma 5 4 6 4 2 2" xfId="29546" xr:uid="{AB543BCE-94BA-4091-B6B9-03AB7F7E837C}"/>
    <cellStyle name="Comma 5 4 6 4 2 2 2" xfId="59786" xr:uid="{7940D83E-01BC-4388-ABE7-B44C3DF522A7}"/>
    <cellStyle name="Comma 5 4 6 4 2 3" xfId="44666" xr:uid="{3D088CAB-A2D1-4730-A146-75BDC89A5D27}"/>
    <cellStyle name="Comma 5 4 6 4 3" xfId="20474" xr:uid="{4410E213-E218-4FBF-B0B4-930FA195B1A9}"/>
    <cellStyle name="Comma 5 4 6 4 3 2" xfId="50714" xr:uid="{C5077CFA-A775-4F4B-98C7-3FC156429EDB}"/>
    <cellStyle name="Comma 5 4 6 4 4" xfId="35594" xr:uid="{D812740A-6279-4D7B-8A9A-D0D53F5D428A}"/>
    <cellStyle name="Comma 5 4 6 5" xfId="6866" xr:uid="{3BB21235-B3CC-4821-83D8-9E2E21CC258F}"/>
    <cellStyle name="Comma 5 4 6 5 2" xfId="21986" xr:uid="{F4B5047B-E95D-4385-A427-8EA2BE46E1CC}"/>
    <cellStyle name="Comma 5 4 6 5 2 2" xfId="52226" xr:uid="{52F04376-2E3C-4E5C-B928-E034441EB5E0}"/>
    <cellStyle name="Comma 5 4 6 5 3" xfId="37106" xr:uid="{D5DD895E-FD7A-4DC4-BF06-2D313DBCDD8A}"/>
    <cellStyle name="Comma 5 4 6 6" xfId="8378" xr:uid="{2507A056-361B-42AD-A4D3-BBE19F46579D}"/>
    <cellStyle name="Comma 5 4 6 6 2" xfId="23498" xr:uid="{72C47268-4C09-4C09-B6A6-213E06DCE211}"/>
    <cellStyle name="Comma 5 4 6 6 2 2" xfId="53738" xr:uid="{931C0E4B-E040-409A-BA02-555575D5A451}"/>
    <cellStyle name="Comma 5 4 6 6 3" xfId="38618" xr:uid="{710136A5-CD62-4769-A13C-57387CB0EE13}"/>
    <cellStyle name="Comma 5 4 6 7" xfId="9890" xr:uid="{CCF3F30A-29A8-4E24-B9D3-866547DEE343}"/>
    <cellStyle name="Comma 5 4 6 7 2" xfId="25010" xr:uid="{A48D14ED-B364-4BC3-A08F-3C9A9D54958E}"/>
    <cellStyle name="Comma 5 4 6 7 2 2" xfId="55250" xr:uid="{5B936D95-324F-4EED-8B2F-88DE14D00574}"/>
    <cellStyle name="Comma 5 4 6 7 3" xfId="40130" xr:uid="{8BBB3C32-EBF0-4C31-A0D3-22E3433E8456}"/>
    <cellStyle name="Comma 5 4 6 8" xfId="15938" xr:uid="{AC266DD8-4E27-4BC8-9018-C78AAAD930F9}"/>
    <cellStyle name="Comma 5 4 6 8 2" xfId="46178" xr:uid="{9CD1AACD-9E0A-4D4A-962F-375C8F22C895}"/>
    <cellStyle name="Comma 5 4 6 9" xfId="31058" xr:uid="{CDD83992-90AC-4D27-A45E-936779EF6FE2}"/>
    <cellStyle name="Comma 5 4 7" xfId="1574" xr:uid="{D702459E-2970-4F4F-907B-7ED4086D541D}"/>
    <cellStyle name="Comma 5 4 7 2" xfId="10646" xr:uid="{55ED5014-ABE9-44BF-870B-B5DC191023E3}"/>
    <cellStyle name="Comma 5 4 7 2 2" xfId="25766" xr:uid="{568F57C2-AD37-42A2-8D9E-187064B1D83C}"/>
    <cellStyle name="Comma 5 4 7 2 2 2" xfId="56006" xr:uid="{EA8B8450-3D14-4811-88D6-65CBB15289BB}"/>
    <cellStyle name="Comma 5 4 7 2 3" xfId="40886" xr:uid="{EF4A8129-ECC2-4B7D-A27D-118744A843CC}"/>
    <cellStyle name="Comma 5 4 7 3" xfId="16694" xr:uid="{0273C86D-0F6B-49FD-AC30-4E19B9A89DF4}"/>
    <cellStyle name="Comma 5 4 7 3 2" xfId="46934" xr:uid="{08C2A390-7BF8-4575-996A-B76ED78D42B1}"/>
    <cellStyle name="Comma 5 4 7 4" xfId="31814" xr:uid="{670E42D0-1F73-4255-92AD-B3B78BBC6160}"/>
    <cellStyle name="Comma 5 4 8" xfId="3086" xr:uid="{0195F563-C42E-4F94-8802-3CF90415437B}"/>
    <cellStyle name="Comma 5 4 8 2" xfId="12158" xr:uid="{0F1CA646-CF81-4E2E-97E9-33624C2A115A}"/>
    <cellStyle name="Comma 5 4 8 2 2" xfId="27278" xr:uid="{A044A3C4-34AB-4D6A-BD11-7C4D1183897F}"/>
    <cellStyle name="Comma 5 4 8 2 2 2" xfId="57518" xr:uid="{F00C466C-19DB-46BF-9ED1-102223F3C9E4}"/>
    <cellStyle name="Comma 5 4 8 2 3" xfId="42398" xr:uid="{AAECDD82-D56E-447A-9C55-2E344B295196}"/>
    <cellStyle name="Comma 5 4 8 3" xfId="18206" xr:uid="{4A3861F5-87DA-482C-9216-403479B25FA8}"/>
    <cellStyle name="Comma 5 4 8 3 2" xfId="48446" xr:uid="{C3D94035-33C9-400D-A926-3AF9D608334D}"/>
    <cellStyle name="Comma 5 4 8 4" xfId="33326" xr:uid="{4ABCE1B0-9C32-4261-BD60-5C2A15EA97E3}"/>
    <cellStyle name="Comma 5 4 9" xfId="4598" xr:uid="{4691D964-DF99-46E2-ABCA-4EA63F05D7A3}"/>
    <cellStyle name="Comma 5 4 9 2" xfId="13670" xr:uid="{BCC5E432-8028-4C7A-B2CC-B2FEA6F2E70D}"/>
    <cellStyle name="Comma 5 4 9 2 2" xfId="28790" xr:uid="{2C9D619E-C108-4E0F-8D92-91B308A5606F}"/>
    <cellStyle name="Comma 5 4 9 2 2 2" xfId="59030" xr:uid="{2AA54195-527B-4B17-8087-4092E09A2DF3}"/>
    <cellStyle name="Comma 5 4 9 2 3" xfId="43910" xr:uid="{CB4F03B9-BE8B-42F5-ACA3-67D16D9F5339}"/>
    <cellStyle name="Comma 5 4 9 3" xfId="19718" xr:uid="{65728B41-0262-46D2-9D64-B5584872006E}"/>
    <cellStyle name="Comma 5 4 9 3 2" xfId="49958" xr:uid="{386D317F-2F91-4D7D-A51A-24806435666A}"/>
    <cellStyle name="Comma 5 4 9 4" xfId="34838" xr:uid="{FB8A8C86-336B-4972-A1BB-3903915AED7D}"/>
    <cellStyle name="Comma 5 5" xfId="104" xr:uid="{79218230-548C-4FF1-BAC3-BA80C8C1FAA5}"/>
    <cellStyle name="Comma 5 5 10" xfId="9176" xr:uid="{39ADAEEC-AD95-4457-9D9D-3B5BF75D085F}"/>
    <cellStyle name="Comma 5 5 10 2" xfId="24296" xr:uid="{303E381B-20C7-44FB-83FE-4D5B07F4544E}"/>
    <cellStyle name="Comma 5 5 10 2 2" xfId="54536" xr:uid="{699E0E28-4A48-49A3-B5F5-78B2D0EFC0C3}"/>
    <cellStyle name="Comma 5 5 10 3" xfId="39416" xr:uid="{2ACE742D-87A2-43FC-9ADC-B8966F8554DD}"/>
    <cellStyle name="Comma 5 5 11" xfId="15224" xr:uid="{80EA233C-A959-4473-A1AE-FBCC5484EE83}"/>
    <cellStyle name="Comma 5 5 11 2" xfId="45464" xr:uid="{DEA0F3BD-A4C5-41D1-A207-5CD0A1FEB6C2}"/>
    <cellStyle name="Comma 5 5 12" xfId="30344" xr:uid="{085B07DF-266F-43FA-ADAE-F839C67EE3B7}"/>
    <cellStyle name="Comma 5 5 2" xfId="356" xr:uid="{F46F4FB0-21B3-4D64-B021-709B253A1E77}"/>
    <cellStyle name="Comma 5 5 2 10" xfId="30596" xr:uid="{2F1FD891-F31E-425D-BBA8-8F78B44F88C9}"/>
    <cellStyle name="Comma 5 5 2 2" xfId="1112" xr:uid="{9D3F4374-3A7B-41E8-A66F-C3599C56284C}"/>
    <cellStyle name="Comma 5 5 2 2 2" xfId="2624" xr:uid="{09108388-0C61-4125-B335-B3D42365090B}"/>
    <cellStyle name="Comma 5 5 2 2 2 2" xfId="11696" xr:uid="{993B5039-241E-44AD-9048-D9F88BF6ED47}"/>
    <cellStyle name="Comma 5 5 2 2 2 2 2" xfId="26816" xr:uid="{178A9476-AECC-44D2-8C11-1DA8914CD831}"/>
    <cellStyle name="Comma 5 5 2 2 2 2 2 2" xfId="57056" xr:uid="{83740DC4-DB67-44F9-BE76-38731B4283A3}"/>
    <cellStyle name="Comma 5 5 2 2 2 2 3" xfId="41936" xr:uid="{0744122A-1A25-43C1-86B2-0F7B18BCD6CA}"/>
    <cellStyle name="Comma 5 5 2 2 2 3" xfId="17744" xr:uid="{90C9A5FC-CD27-4A17-8383-0523B2E1216A}"/>
    <cellStyle name="Comma 5 5 2 2 2 3 2" xfId="47984" xr:uid="{33DAA82D-0D6B-4AA1-AE7E-DDDCFB366280}"/>
    <cellStyle name="Comma 5 5 2 2 2 4" xfId="32864" xr:uid="{8C4C8497-FE70-48A9-A9EA-AA2579AE859C}"/>
    <cellStyle name="Comma 5 5 2 2 3" xfId="4136" xr:uid="{886F358D-1908-418C-B261-91CC76DDFC0D}"/>
    <cellStyle name="Comma 5 5 2 2 3 2" xfId="13208" xr:uid="{31CE12B4-95AE-4C02-9BAE-DFBD615413FD}"/>
    <cellStyle name="Comma 5 5 2 2 3 2 2" xfId="28328" xr:uid="{D9989567-D4B0-4643-A00B-73375E3D66A1}"/>
    <cellStyle name="Comma 5 5 2 2 3 2 2 2" xfId="58568" xr:uid="{BE124F98-1396-4ED9-8D0E-7372C6A6E373}"/>
    <cellStyle name="Comma 5 5 2 2 3 2 3" xfId="43448" xr:uid="{7C4E0FB0-A1F6-4ABC-A8D5-C2E2D5C350A8}"/>
    <cellStyle name="Comma 5 5 2 2 3 3" xfId="19256" xr:uid="{28819226-DF91-42DE-8EF3-B6893CAF0D17}"/>
    <cellStyle name="Comma 5 5 2 2 3 3 2" xfId="49496" xr:uid="{9397D4D9-8E3C-47D1-9AF1-365CACA85DAB}"/>
    <cellStyle name="Comma 5 5 2 2 3 4" xfId="34376" xr:uid="{7B13902D-69C5-4C20-B7F5-62C877FC36DA}"/>
    <cellStyle name="Comma 5 5 2 2 4" xfId="5648" xr:uid="{1B34BEC6-B2D5-4996-AC99-477C7AA7C78A}"/>
    <cellStyle name="Comma 5 5 2 2 4 2" xfId="14720" xr:uid="{02078746-2861-42CB-8EDA-F0717BB8E990}"/>
    <cellStyle name="Comma 5 5 2 2 4 2 2" xfId="29840" xr:uid="{95DFB373-5D8A-4428-BBB6-790D32B7FA48}"/>
    <cellStyle name="Comma 5 5 2 2 4 2 2 2" xfId="60080" xr:uid="{3F1226CF-2394-4D44-81A6-1083BB871EAA}"/>
    <cellStyle name="Comma 5 5 2 2 4 2 3" xfId="44960" xr:uid="{EFE5713B-321A-4038-8108-6682AD9D854D}"/>
    <cellStyle name="Comma 5 5 2 2 4 3" xfId="20768" xr:uid="{D53CCE9A-4869-45DF-80F5-5A4CD257038D}"/>
    <cellStyle name="Comma 5 5 2 2 4 3 2" xfId="51008" xr:uid="{C17AC13C-C6AD-4621-9CF9-EA27908B8DAB}"/>
    <cellStyle name="Comma 5 5 2 2 4 4" xfId="35888" xr:uid="{9EAA7B2F-B838-44AD-891D-78868FF831EA}"/>
    <cellStyle name="Comma 5 5 2 2 5" xfId="7160" xr:uid="{E44AF0CB-A51F-4B50-BA8D-7C1E01E53894}"/>
    <cellStyle name="Comma 5 5 2 2 5 2" xfId="22280" xr:uid="{0595F109-E14F-4A3A-8FD8-3A562BA09DD9}"/>
    <cellStyle name="Comma 5 5 2 2 5 2 2" xfId="52520" xr:uid="{D4F360EB-0303-409B-8FBA-DCA0137F7672}"/>
    <cellStyle name="Comma 5 5 2 2 5 3" xfId="37400" xr:uid="{4FCC8A38-8434-440A-B40D-370022B42AA0}"/>
    <cellStyle name="Comma 5 5 2 2 6" xfId="8672" xr:uid="{456AF121-4598-422D-8C5F-72256C3BFC49}"/>
    <cellStyle name="Comma 5 5 2 2 6 2" xfId="23792" xr:uid="{6DDD8D4D-0FDB-4D8C-8340-AD00880163CD}"/>
    <cellStyle name="Comma 5 5 2 2 6 2 2" xfId="54032" xr:uid="{063ED20D-92B7-4593-96D2-EDBA7BD41E29}"/>
    <cellStyle name="Comma 5 5 2 2 6 3" xfId="38912" xr:uid="{EB961460-D79C-4CA1-A1FB-9D6649CFA203}"/>
    <cellStyle name="Comma 5 5 2 2 7" xfId="10184" xr:uid="{641C1BCB-59CB-4038-838F-AD2D688F1B42}"/>
    <cellStyle name="Comma 5 5 2 2 7 2" xfId="25304" xr:uid="{4EB77C01-4F6A-4DE4-8FDD-07C1CAB23A32}"/>
    <cellStyle name="Comma 5 5 2 2 7 2 2" xfId="55544" xr:uid="{E7001E68-14AA-42B8-AAFF-48D7EF9FEE1A}"/>
    <cellStyle name="Comma 5 5 2 2 7 3" xfId="40424" xr:uid="{7B8B7F29-6DC2-4D4C-BC85-9D66161961AD}"/>
    <cellStyle name="Comma 5 5 2 2 8" xfId="16232" xr:uid="{A8756E48-36EF-4BFD-B824-E59FC4A9F632}"/>
    <cellStyle name="Comma 5 5 2 2 8 2" xfId="46472" xr:uid="{7BD00C46-07C6-4F82-BE50-63609A79C1C8}"/>
    <cellStyle name="Comma 5 5 2 2 9" xfId="31352" xr:uid="{C64C2458-B4DA-4DAA-A307-4EE388E231D8}"/>
    <cellStyle name="Comma 5 5 2 3" xfId="1868" xr:uid="{6816D6DC-F0C0-48D8-B72B-51E36F28F2D1}"/>
    <cellStyle name="Comma 5 5 2 3 2" xfId="10940" xr:uid="{7C3B61E9-B73B-476C-BF41-DC58CA456233}"/>
    <cellStyle name="Comma 5 5 2 3 2 2" xfId="26060" xr:uid="{7C27ABFE-AFEE-4304-B6C9-42C67541A8F8}"/>
    <cellStyle name="Comma 5 5 2 3 2 2 2" xfId="56300" xr:uid="{C2B80A5D-06D9-4CAB-A92D-37225F349EA7}"/>
    <cellStyle name="Comma 5 5 2 3 2 3" xfId="41180" xr:uid="{FFAACAF0-2358-4B8D-8B26-75982DFD88AD}"/>
    <cellStyle name="Comma 5 5 2 3 3" xfId="16988" xr:uid="{37E2949C-B088-4D47-B87A-999B75EC2022}"/>
    <cellStyle name="Comma 5 5 2 3 3 2" xfId="47228" xr:uid="{5804239C-FCDA-403F-BDF6-10059BD15109}"/>
    <cellStyle name="Comma 5 5 2 3 4" xfId="32108" xr:uid="{50ACF0AE-6DD2-40B4-9843-C5982B227605}"/>
    <cellStyle name="Comma 5 5 2 4" xfId="3380" xr:uid="{5A470293-FF56-4324-8DA4-22A18BDEA3DD}"/>
    <cellStyle name="Comma 5 5 2 4 2" xfId="12452" xr:uid="{CF9A5C3E-0CB8-4387-98BE-AE0F599C3EB9}"/>
    <cellStyle name="Comma 5 5 2 4 2 2" xfId="27572" xr:uid="{3268FED8-FBAF-41C6-AEFE-806C060AFFB0}"/>
    <cellStyle name="Comma 5 5 2 4 2 2 2" xfId="57812" xr:uid="{60980F59-F0A7-4D1B-941E-AEB5CA5761AD}"/>
    <cellStyle name="Comma 5 5 2 4 2 3" xfId="42692" xr:uid="{1A4F3046-A6D5-4883-A83D-36AA46ABF80A}"/>
    <cellStyle name="Comma 5 5 2 4 3" xfId="18500" xr:uid="{C1D2E8E6-127C-4CB5-9F35-3F40849643F5}"/>
    <cellStyle name="Comma 5 5 2 4 3 2" xfId="48740" xr:uid="{B7AF440E-3F4A-4385-BD51-B128B1B44F40}"/>
    <cellStyle name="Comma 5 5 2 4 4" xfId="33620" xr:uid="{D637CBC8-D4A8-4D53-952A-7D84CD6B81C6}"/>
    <cellStyle name="Comma 5 5 2 5" xfId="4892" xr:uid="{67B87FE0-0A9A-4C49-9750-C5B5B80419AA}"/>
    <cellStyle name="Comma 5 5 2 5 2" xfId="13964" xr:uid="{26BA4E9C-B060-420C-B0BB-B449FF76C915}"/>
    <cellStyle name="Comma 5 5 2 5 2 2" xfId="29084" xr:uid="{A16F355E-C9F0-4E4F-90A6-4EAA9BF52D3D}"/>
    <cellStyle name="Comma 5 5 2 5 2 2 2" xfId="59324" xr:uid="{702686D6-1EB6-4743-85C2-4371A8262C46}"/>
    <cellStyle name="Comma 5 5 2 5 2 3" xfId="44204" xr:uid="{F50067C4-07B7-4358-843F-03BF7E408425}"/>
    <cellStyle name="Comma 5 5 2 5 3" xfId="20012" xr:uid="{FC30E177-5212-4C2A-986E-8B8A18DE560E}"/>
    <cellStyle name="Comma 5 5 2 5 3 2" xfId="50252" xr:uid="{9A78970B-5009-4C74-A9AD-ECEDE2ECDB5B}"/>
    <cellStyle name="Comma 5 5 2 5 4" xfId="35132" xr:uid="{232528B7-04F3-429F-AE5B-7C4EA4077B0E}"/>
    <cellStyle name="Comma 5 5 2 6" xfId="6404" xr:uid="{941CD3AC-4F17-4B6C-B0ED-9DEB94A53542}"/>
    <cellStyle name="Comma 5 5 2 6 2" xfId="21524" xr:uid="{E4930E1B-D59A-44B4-A67B-20B6E540B6BA}"/>
    <cellStyle name="Comma 5 5 2 6 2 2" xfId="51764" xr:uid="{F5DADC81-CDBC-41AD-B971-95969308A736}"/>
    <cellStyle name="Comma 5 5 2 6 3" xfId="36644" xr:uid="{F74DD744-7349-4C7A-A103-CAE3E7929598}"/>
    <cellStyle name="Comma 5 5 2 7" xfId="7916" xr:uid="{6588C9E2-520B-45B1-B855-208DE7E44FF0}"/>
    <cellStyle name="Comma 5 5 2 7 2" xfId="23036" xr:uid="{842E5655-4A7E-4164-A058-A15A59ADABA0}"/>
    <cellStyle name="Comma 5 5 2 7 2 2" xfId="53276" xr:uid="{F48E0BA5-4697-4190-892F-A16436DE7BF4}"/>
    <cellStyle name="Comma 5 5 2 7 3" xfId="38156" xr:uid="{BC00E4B0-16BB-49C0-A8A9-DCF5E044DA30}"/>
    <cellStyle name="Comma 5 5 2 8" xfId="9428" xr:uid="{D69EA501-A96A-4430-8A3D-423FEA77654E}"/>
    <cellStyle name="Comma 5 5 2 8 2" xfId="24548" xr:uid="{64A76BA9-D121-4D2C-929C-FFB2FC8E45D5}"/>
    <cellStyle name="Comma 5 5 2 8 2 2" xfId="54788" xr:uid="{B21332EA-A6C7-46EF-AB9B-0F9A97056572}"/>
    <cellStyle name="Comma 5 5 2 8 3" xfId="39668" xr:uid="{CF3A0192-675D-498F-9833-C98DAE97005B}"/>
    <cellStyle name="Comma 5 5 2 9" xfId="15476" xr:uid="{39FEFD9F-A80F-4E5E-9991-C0EFFAFF07C0}"/>
    <cellStyle name="Comma 5 5 2 9 2" xfId="45716" xr:uid="{5833F7F7-F4CE-4918-998A-B1C70E56C868}"/>
    <cellStyle name="Comma 5 5 3" xfId="608" xr:uid="{D72BDE11-A5DD-4999-A43C-82F8276DB121}"/>
    <cellStyle name="Comma 5 5 3 10" xfId="30848" xr:uid="{D3C1E385-6AC3-4032-951F-C6D31B1BBB6A}"/>
    <cellStyle name="Comma 5 5 3 2" xfId="1364" xr:uid="{98CF85B5-2797-4BA0-BE7F-02A7D0A38845}"/>
    <cellStyle name="Comma 5 5 3 2 2" xfId="2876" xr:uid="{15711FEE-9422-443F-BB37-10C42569FEE0}"/>
    <cellStyle name="Comma 5 5 3 2 2 2" xfId="11948" xr:uid="{ABAF1C14-2599-44DE-88A4-31691439A8A3}"/>
    <cellStyle name="Comma 5 5 3 2 2 2 2" xfId="27068" xr:uid="{81556C67-918E-4DEB-8425-0042D2BB75E0}"/>
    <cellStyle name="Comma 5 5 3 2 2 2 2 2" xfId="57308" xr:uid="{7A6118B1-BFB2-4282-AB6B-EC3C3AC53478}"/>
    <cellStyle name="Comma 5 5 3 2 2 2 3" xfId="42188" xr:uid="{1E3F02C1-01B5-46EA-BB15-E56DBCDD295E}"/>
    <cellStyle name="Comma 5 5 3 2 2 3" xfId="17996" xr:uid="{4BCB2792-12DB-4442-B4C3-9E7503E2C0FE}"/>
    <cellStyle name="Comma 5 5 3 2 2 3 2" xfId="48236" xr:uid="{A16631D8-CB20-48B2-859F-445722A3AD92}"/>
    <cellStyle name="Comma 5 5 3 2 2 4" xfId="33116" xr:uid="{67992913-4D71-46F4-B6E4-2CDB1A3D91D7}"/>
    <cellStyle name="Comma 5 5 3 2 3" xfId="4388" xr:uid="{7205383F-0E25-468E-A54E-4B7A62788C52}"/>
    <cellStyle name="Comma 5 5 3 2 3 2" xfId="13460" xr:uid="{46CCBE52-4F16-4B37-9D4C-B3C84B017534}"/>
    <cellStyle name="Comma 5 5 3 2 3 2 2" xfId="28580" xr:uid="{B434F07B-FB0B-4737-BAD2-9F1156014A9A}"/>
    <cellStyle name="Comma 5 5 3 2 3 2 2 2" xfId="58820" xr:uid="{6122F755-87C2-4AA8-A712-FAFB4D5F11FA}"/>
    <cellStyle name="Comma 5 5 3 2 3 2 3" xfId="43700" xr:uid="{148445E9-6ED2-41D6-9279-77AFEB62A4CE}"/>
    <cellStyle name="Comma 5 5 3 2 3 3" xfId="19508" xr:uid="{56D687CF-4455-41FA-9967-ACEA48C4B400}"/>
    <cellStyle name="Comma 5 5 3 2 3 3 2" xfId="49748" xr:uid="{26378365-48AC-4ECC-85C3-4F9165AC4E5B}"/>
    <cellStyle name="Comma 5 5 3 2 3 4" xfId="34628" xr:uid="{EC77D951-2F2A-424F-9CAE-3A4DA3BC4412}"/>
    <cellStyle name="Comma 5 5 3 2 4" xfId="5900" xr:uid="{B2A668F6-5109-41FB-A837-316079ABDB59}"/>
    <cellStyle name="Comma 5 5 3 2 4 2" xfId="14972" xr:uid="{D148237F-639F-4B3C-AD41-FBE1834265B1}"/>
    <cellStyle name="Comma 5 5 3 2 4 2 2" xfId="30092" xr:uid="{EE759E68-2C65-4ECC-9A56-7238E5B9FE5C}"/>
    <cellStyle name="Comma 5 5 3 2 4 2 2 2" xfId="60332" xr:uid="{BA064287-D383-4C15-B7BD-D791FBBB6F6B}"/>
    <cellStyle name="Comma 5 5 3 2 4 2 3" xfId="45212" xr:uid="{1CFDFAFF-D536-48E4-8EB0-5488BB72AC6D}"/>
    <cellStyle name="Comma 5 5 3 2 4 3" xfId="21020" xr:uid="{63B92983-2039-49DB-92FD-C8F0192F3905}"/>
    <cellStyle name="Comma 5 5 3 2 4 3 2" xfId="51260" xr:uid="{14334F84-6350-44BC-A455-D816441EDF61}"/>
    <cellStyle name="Comma 5 5 3 2 4 4" xfId="36140" xr:uid="{847C9D6D-780C-43F8-A25F-C887E3E3DDA4}"/>
    <cellStyle name="Comma 5 5 3 2 5" xfId="7412" xr:uid="{C7DC4CC4-6633-4B1A-8E1F-B142D4E5A32A}"/>
    <cellStyle name="Comma 5 5 3 2 5 2" xfId="22532" xr:uid="{DE9DB021-0991-4651-8553-1E2E5155C34C}"/>
    <cellStyle name="Comma 5 5 3 2 5 2 2" xfId="52772" xr:uid="{71B88546-EBBE-4BFB-9E5A-3155C5B5F825}"/>
    <cellStyle name="Comma 5 5 3 2 5 3" xfId="37652" xr:uid="{7633D85A-34E5-47A1-8201-91730739E21B}"/>
    <cellStyle name="Comma 5 5 3 2 6" xfId="8924" xr:uid="{B0AF4424-27E6-4766-B45B-46695C3AB28F}"/>
    <cellStyle name="Comma 5 5 3 2 6 2" xfId="24044" xr:uid="{3C4CF32F-50EF-4C28-99C7-D24054B27D24}"/>
    <cellStyle name="Comma 5 5 3 2 6 2 2" xfId="54284" xr:uid="{BC51B243-9844-4357-AFFD-7FADE97F0D97}"/>
    <cellStyle name="Comma 5 5 3 2 6 3" xfId="39164" xr:uid="{9A643178-4513-4E4A-AA2C-1B2DC34C7D92}"/>
    <cellStyle name="Comma 5 5 3 2 7" xfId="10436" xr:uid="{E847CE09-7EBC-409B-87B7-475FE8AA15B6}"/>
    <cellStyle name="Comma 5 5 3 2 7 2" xfId="25556" xr:uid="{26ABA38B-E13B-4D82-9440-1A615B19F18F}"/>
    <cellStyle name="Comma 5 5 3 2 7 2 2" xfId="55796" xr:uid="{76779A65-B00F-440B-BBE5-0020844C33DE}"/>
    <cellStyle name="Comma 5 5 3 2 7 3" xfId="40676" xr:uid="{097BEC04-4D61-4F1E-86A5-BA81C81C06EC}"/>
    <cellStyle name="Comma 5 5 3 2 8" xfId="16484" xr:uid="{0D4849B6-0B84-4EE9-94CF-0FA172364BE6}"/>
    <cellStyle name="Comma 5 5 3 2 8 2" xfId="46724" xr:uid="{00C0ADC4-19A6-4317-9845-9900BD0484A2}"/>
    <cellStyle name="Comma 5 5 3 2 9" xfId="31604" xr:uid="{400EED30-968F-4857-B998-A1BF71E9238B}"/>
    <cellStyle name="Comma 5 5 3 3" xfId="2120" xr:uid="{71256B6F-6A30-4917-A9A9-32630A26C43A}"/>
    <cellStyle name="Comma 5 5 3 3 2" xfId="11192" xr:uid="{9DB7853E-1C54-4F0D-A602-E7ACC09A0447}"/>
    <cellStyle name="Comma 5 5 3 3 2 2" xfId="26312" xr:uid="{DC1BC56A-97D6-432A-8F94-5F1BBE8D9CC5}"/>
    <cellStyle name="Comma 5 5 3 3 2 2 2" xfId="56552" xr:uid="{8549AC5F-C9F2-49E1-87FB-07D6EB2685EF}"/>
    <cellStyle name="Comma 5 5 3 3 2 3" xfId="41432" xr:uid="{97A3C6D0-E23D-4FF6-BAA1-5501EFB25DD3}"/>
    <cellStyle name="Comma 5 5 3 3 3" xfId="17240" xr:uid="{E2035CE4-F7C6-4D72-91DA-BD00B32E6965}"/>
    <cellStyle name="Comma 5 5 3 3 3 2" xfId="47480" xr:uid="{C4A2459C-9932-4D6D-A654-1EB97F5A5A76}"/>
    <cellStyle name="Comma 5 5 3 3 4" xfId="32360" xr:uid="{374F1309-18B3-4BDD-8DE1-32AE738F6207}"/>
    <cellStyle name="Comma 5 5 3 4" xfId="3632" xr:uid="{2382142F-CD45-4BFA-8C72-3A5E48F34571}"/>
    <cellStyle name="Comma 5 5 3 4 2" xfId="12704" xr:uid="{087B180E-F815-4243-81BD-487B5EFDD145}"/>
    <cellStyle name="Comma 5 5 3 4 2 2" xfId="27824" xr:uid="{A59221F5-9F02-4856-A66D-3DF994BC55F0}"/>
    <cellStyle name="Comma 5 5 3 4 2 2 2" xfId="58064" xr:uid="{57C33914-C18E-4FE2-8F7F-6DDB3356594A}"/>
    <cellStyle name="Comma 5 5 3 4 2 3" xfId="42944" xr:uid="{F46EB617-A91F-46AF-AAC7-7C4F554F5DDE}"/>
    <cellStyle name="Comma 5 5 3 4 3" xfId="18752" xr:uid="{BB97F366-CBC4-4DEE-B179-9FB04BDD9AB7}"/>
    <cellStyle name="Comma 5 5 3 4 3 2" xfId="48992" xr:uid="{B82A7755-388D-4E39-8C57-22DDF7C80DD7}"/>
    <cellStyle name="Comma 5 5 3 4 4" xfId="33872" xr:uid="{D7381ABD-06F9-4F96-994E-9D986EA91E80}"/>
    <cellStyle name="Comma 5 5 3 5" xfId="5144" xr:uid="{44A6713A-A8ED-40B8-818D-9AA224A53EA7}"/>
    <cellStyle name="Comma 5 5 3 5 2" xfId="14216" xr:uid="{5640A5DC-CF60-4B80-9574-E16917533A0B}"/>
    <cellStyle name="Comma 5 5 3 5 2 2" xfId="29336" xr:uid="{47C902D5-E4A0-4347-AFB9-1B68F0E7CA6E}"/>
    <cellStyle name="Comma 5 5 3 5 2 2 2" xfId="59576" xr:uid="{FF96BE97-378A-4225-804A-A785B5640B4F}"/>
    <cellStyle name="Comma 5 5 3 5 2 3" xfId="44456" xr:uid="{D8285E5D-66A7-4DCA-A396-9A5D54F674AA}"/>
    <cellStyle name="Comma 5 5 3 5 3" xfId="20264" xr:uid="{7AA5F562-46E7-4521-9217-BC91ACBB460F}"/>
    <cellStyle name="Comma 5 5 3 5 3 2" xfId="50504" xr:uid="{EDB29F44-D60F-49B7-8E04-8D3FF9DBF454}"/>
    <cellStyle name="Comma 5 5 3 5 4" xfId="35384" xr:uid="{00F9765D-7847-4A34-B4DB-96EFAE29630B}"/>
    <cellStyle name="Comma 5 5 3 6" xfId="6656" xr:uid="{35ED9BF7-1047-423B-AD4B-81DAA28E2E6E}"/>
    <cellStyle name="Comma 5 5 3 6 2" xfId="21776" xr:uid="{9AD25809-44D7-4344-BA72-6287F4F5FA2E}"/>
    <cellStyle name="Comma 5 5 3 6 2 2" xfId="52016" xr:uid="{D413E953-AB74-4A25-A5DC-B37F0B488918}"/>
    <cellStyle name="Comma 5 5 3 6 3" xfId="36896" xr:uid="{BE655AC5-BEAB-4591-A5E3-9BB4CE5C0574}"/>
    <cellStyle name="Comma 5 5 3 7" xfId="8168" xr:uid="{0A02F4D7-6E7B-438F-B1D3-DE969ADF73D5}"/>
    <cellStyle name="Comma 5 5 3 7 2" xfId="23288" xr:uid="{BCE39F93-B840-4446-A61D-A11CDAC3ABB6}"/>
    <cellStyle name="Comma 5 5 3 7 2 2" xfId="53528" xr:uid="{23391963-9467-4C67-9834-075D3E2D0B01}"/>
    <cellStyle name="Comma 5 5 3 7 3" xfId="38408" xr:uid="{160B95D4-27E3-4843-B6AE-8FA86084C841}"/>
    <cellStyle name="Comma 5 5 3 8" xfId="9680" xr:uid="{7B7408F1-8B01-4279-8F10-17706D2BBA2E}"/>
    <cellStyle name="Comma 5 5 3 8 2" xfId="24800" xr:uid="{70074839-1A6C-4C80-9B21-C06A92E5DC59}"/>
    <cellStyle name="Comma 5 5 3 8 2 2" xfId="55040" xr:uid="{3EEC327B-E16A-4FB5-9A9F-6D05767E8084}"/>
    <cellStyle name="Comma 5 5 3 8 3" xfId="39920" xr:uid="{90363151-75DF-4FA0-9282-4FF78A6A7FEB}"/>
    <cellStyle name="Comma 5 5 3 9" xfId="15728" xr:uid="{A3A79BC2-0546-4E75-87C2-DF96248C7E58}"/>
    <cellStyle name="Comma 5 5 3 9 2" xfId="45968" xr:uid="{2394D0EB-7294-400B-A520-654A3CE05CDB}"/>
    <cellStyle name="Comma 5 5 4" xfId="860" xr:uid="{2D741985-8B9F-4BBA-8B9C-710328527BD7}"/>
    <cellStyle name="Comma 5 5 4 2" xfId="2372" xr:uid="{0E7AC1B7-6F43-492A-B5BC-46B695E79C08}"/>
    <cellStyle name="Comma 5 5 4 2 2" xfId="11444" xr:uid="{24ED2520-7DB4-4F17-84B7-F3238484A1D1}"/>
    <cellStyle name="Comma 5 5 4 2 2 2" xfId="26564" xr:uid="{78CF59A9-4F57-49EA-929D-AE6FE9D80D1B}"/>
    <cellStyle name="Comma 5 5 4 2 2 2 2" xfId="56804" xr:uid="{EB9B48A2-6535-4CE9-BF2A-8AC8835B8B44}"/>
    <cellStyle name="Comma 5 5 4 2 2 3" xfId="41684" xr:uid="{BEA0BA62-511D-474C-BCF2-EFE40D35BA27}"/>
    <cellStyle name="Comma 5 5 4 2 3" xfId="17492" xr:uid="{D36BA8FF-8CBF-4469-9F05-834221AEF661}"/>
    <cellStyle name="Comma 5 5 4 2 3 2" xfId="47732" xr:uid="{E40BC34D-BA55-4CBB-ABF1-2D8E69E62E2E}"/>
    <cellStyle name="Comma 5 5 4 2 4" xfId="32612" xr:uid="{0AA27690-8592-4953-ADC3-7C2DF86BD871}"/>
    <cellStyle name="Comma 5 5 4 3" xfId="3884" xr:uid="{5669ED8B-DEA9-4AB7-82AB-BCBF137EE932}"/>
    <cellStyle name="Comma 5 5 4 3 2" xfId="12956" xr:uid="{1FCD690C-2CD6-4D30-8127-D0A3DE697E43}"/>
    <cellStyle name="Comma 5 5 4 3 2 2" xfId="28076" xr:uid="{63C9A822-B090-4B1D-9E55-59333464AA63}"/>
    <cellStyle name="Comma 5 5 4 3 2 2 2" xfId="58316" xr:uid="{713FC22A-5DEF-4A6E-96C4-F3089A09BC93}"/>
    <cellStyle name="Comma 5 5 4 3 2 3" xfId="43196" xr:uid="{5D6C4287-1667-4335-ACF5-90E273AA159B}"/>
    <cellStyle name="Comma 5 5 4 3 3" xfId="19004" xr:uid="{B8CE0742-F387-4A26-9E42-5A92AE529AFA}"/>
    <cellStyle name="Comma 5 5 4 3 3 2" xfId="49244" xr:uid="{693978B8-3A03-486C-90AD-A63E53D67F66}"/>
    <cellStyle name="Comma 5 5 4 3 4" xfId="34124" xr:uid="{FAF37797-929E-458C-B8F8-F388FA4A79A8}"/>
    <cellStyle name="Comma 5 5 4 4" xfId="5396" xr:uid="{8794EF01-D1A9-4A8D-9B46-ADEE4F946C7B}"/>
    <cellStyle name="Comma 5 5 4 4 2" xfId="14468" xr:uid="{E3543795-3681-4A06-8610-3FB584D833AC}"/>
    <cellStyle name="Comma 5 5 4 4 2 2" xfId="29588" xr:uid="{6F03E04C-3574-4169-8EBD-226D3D26FFFB}"/>
    <cellStyle name="Comma 5 5 4 4 2 2 2" xfId="59828" xr:uid="{F8DC6A64-35A3-4CD5-AFE4-8FADE2603737}"/>
    <cellStyle name="Comma 5 5 4 4 2 3" xfId="44708" xr:uid="{8C3B7CD8-033D-44DE-87A5-B0B21346279F}"/>
    <cellStyle name="Comma 5 5 4 4 3" xfId="20516" xr:uid="{47814769-2ABF-4169-8B17-B3F29CFAD852}"/>
    <cellStyle name="Comma 5 5 4 4 3 2" xfId="50756" xr:uid="{13F3ADE0-D8CE-43D6-A5A2-FA9064109A9F}"/>
    <cellStyle name="Comma 5 5 4 4 4" xfId="35636" xr:uid="{EB4C9549-E0B5-4702-894A-5F1EAECA4E0C}"/>
    <cellStyle name="Comma 5 5 4 5" xfId="6908" xr:uid="{A33205C8-BE16-4426-A362-4763ED38A695}"/>
    <cellStyle name="Comma 5 5 4 5 2" xfId="22028" xr:uid="{4EB911CE-D049-4B8D-B71F-08CDF2947292}"/>
    <cellStyle name="Comma 5 5 4 5 2 2" xfId="52268" xr:uid="{C7530AD6-EFE1-4C1D-881E-A8452099BF0B}"/>
    <cellStyle name="Comma 5 5 4 5 3" xfId="37148" xr:uid="{5B19DE94-898B-421B-9B49-AB51A64C7B62}"/>
    <cellStyle name="Comma 5 5 4 6" xfId="8420" xr:uid="{D22F17C5-272E-4BEA-941B-1DEF4C623717}"/>
    <cellStyle name="Comma 5 5 4 6 2" xfId="23540" xr:uid="{88F590A6-0C62-4E3F-AC7B-527674083E53}"/>
    <cellStyle name="Comma 5 5 4 6 2 2" xfId="53780" xr:uid="{4913F9AC-3312-47EA-BDC6-AE40D0A0ABCC}"/>
    <cellStyle name="Comma 5 5 4 6 3" xfId="38660" xr:uid="{2A7178C0-F1F3-4674-ADF6-A9B2AFBFC422}"/>
    <cellStyle name="Comma 5 5 4 7" xfId="9932" xr:uid="{31BDF434-0BCB-47AD-8A8B-304D9CBAD1B9}"/>
    <cellStyle name="Comma 5 5 4 7 2" xfId="25052" xr:uid="{872D5344-4DC2-4A11-BBBB-FA0449AAD2B4}"/>
    <cellStyle name="Comma 5 5 4 7 2 2" xfId="55292" xr:uid="{F8A91195-05B3-4D7C-AF19-4861E66C6284}"/>
    <cellStyle name="Comma 5 5 4 7 3" xfId="40172" xr:uid="{D8000E43-FDA7-46E1-9122-22DB6F7D1107}"/>
    <cellStyle name="Comma 5 5 4 8" xfId="15980" xr:uid="{89D70BB0-691E-4136-9FD6-666CCE05786A}"/>
    <cellStyle name="Comma 5 5 4 8 2" xfId="46220" xr:uid="{DF41D2DB-D30F-483A-8226-E1537D0F94BC}"/>
    <cellStyle name="Comma 5 5 4 9" xfId="31100" xr:uid="{7EA91212-55C7-44D4-88F3-FE33EC8701E3}"/>
    <cellStyle name="Comma 5 5 5" xfId="1616" xr:uid="{650CC0CC-C157-43D1-9181-8E36E6FF6172}"/>
    <cellStyle name="Comma 5 5 5 2" xfId="10688" xr:uid="{03E681A9-BFDD-4F9C-820F-3181F7A0DA4D}"/>
    <cellStyle name="Comma 5 5 5 2 2" xfId="25808" xr:uid="{D5EAEDCC-50A1-44AB-946A-AA84264F4F30}"/>
    <cellStyle name="Comma 5 5 5 2 2 2" xfId="56048" xr:uid="{37A969A7-D270-4E58-98B5-0AB3960C90B8}"/>
    <cellStyle name="Comma 5 5 5 2 3" xfId="40928" xr:uid="{228753C2-FFD9-4F4A-A399-F4DEA0D66DDD}"/>
    <cellStyle name="Comma 5 5 5 3" xfId="16736" xr:uid="{716D4C11-0C0E-4D85-941C-8D7B01CF55A8}"/>
    <cellStyle name="Comma 5 5 5 3 2" xfId="46976" xr:uid="{60790536-AAE5-4D0F-839C-2281A7E63C1E}"/>
    <cellStyle name="Comma 5 5 5 4" xfId="31856" xr:uid="{FD00218E-40E6-43D2-B872-A8ACE0130C08}"/>
    <cellStyle name="Comma 5 5 6" xfId="3128" xr:uid="{4FB78CFD-8660-420A-AE8D-8BD33697ADE8}"/>
    <cellStyle name="Comma 5 5 6 2" xfId="12200" xr:uid="{2C029FBD-0D50-4161-8215-6B8B05E3D5F7}"/>
    <cellStyle name="Comma 5 5 6 2 2" xfId="27320" xr:uid="{DFE06E45-5A7E-4422-A19E-D9F4CE72005C}"/>
    <cellStyle name="Comma 5 5 6 2 2 2" xfId="57560" xr:uid="{4B4A1421-710E-4878-B18F-D7B1A91284FC}"/>
    <cellStyle name="Comma 5 5 6 2 3" xfId="42440" xr:uid="{68619128-4FE9-4B98-B343-64308A229D1B}"/>
    <cellStyle name="Comma 5 5 6 3" xfId="18248" xr:uid="{2D24C77A-3544-4B04-A60C-B3445E17574F}"/>
    <cellStyle name="Comma 5 5 6 3 2" xfId="48488" xr:uid="{08E4A304-1CEA-4DF4-A937-2971EEEB6740}"/>
    <cellStyle name="Comma 5 5 6 4" xfId="33368" xr:uid="{3C25032F-33C8-4B09-B669-619444963872}"/>
    <cellStyle name="Comma 5 5 7" xfId="4640" xr:uid="{8CED00DA-9304-4991-B105-56E0DDDE127D}"/>
    <cellStyle name="Comma 5 5 7 2" xfId="13712" xr:uid="{6F722F15-36CA-4E8C-AC84-B91C37DE1FE7}"/>
    <cellStyle name="Comma 5 5 7 2 2" xfId="28832" xr:uid="{FDF3F1EA-35D7-42D3-A39C-A7296CFD91E2}"/>
    <cellStyle name="Comma 5 5 7 2 2 2" xfId="59072" xr:uid="{06A3015C-2ED3-490E-8DC8-BD2A9C180526}"/>
    <cellStyle name="Comma 5 5 7 2 3" xfId="43952" xr:uid="{5F937E69-3A0F-4B06-871E-9EF67176DECD}"/>
    <cellStyle name="Comma 5 5 7 3" xfId="19760" xr:uid="{DC331FF7-3952-49B0-BF33-4AC6BE55F82F}"/>
    <cellStyle name="Comma 5 5 7 3 2" xfId="50000" xr:uid="{C630E06D-A9F0-453C-9CB1-E591BF6BFEC0}"/>
    <cellStyle name="Comma 5 5 7 4" xfId="34880" xr:uid="{B5C4FBD6-897C-42CF-A870-A06E1E64084C}"/>
    <cellStyle name="Comma 5 5 8" xfId="6152" xr:uid="{20F90B46-9961-480A-9AC1-D4AD1E28DEAE}"/>
    <cellStyle name="Comma 5 5 8 2" xfId="21272" xr:uid="{477D3A1D-2B28-4BE0-85BA-CB1C49C7F306}"/>
    <cellStyle name="Comma 5 5 8 2 2" xfId="51512" xr:uid="{03D7D2D8-984B-43C8-8950-034DBA14916B}"/>
    <cellStyle name="Comma 5 5 8 3" xfId="36392" xr:uid="{1B295FF3-E9A9-45EB-94CD-A826B0F4C1EC}"/>
    <cellStyle name="Comma 5 5 9" xfId="7664" xr:uid="{303454E8-D219-44DD-9466-B352823E73CE}"/>
    <cellStyle name="Comma 5 5 9 2" xfId="22784" xr:uid="{84A58477-E586-48F8-9C0B-2E08B15B298F}"/>
    <cellStyle name="Comma 5 5 9 2 2" xfId="53024" xr:uid="{41FE0EEB-3ABA-4FDB-82F4-424071815597}"/>
    <cellStyle name="Comma 5 5 9 3" xfId="37904" xr:uid="{BBCC6944-9695-4969-87C8-9A062E21FD2F}"/>
    <cellStyle name="Comma 5 6" xfId="188" xr:uid="{E574B03A-11D7-4AF2-A757-48A30A1A1448}"/>
    <cellStyle name="Comma 5 6 10" xfId="9260" xr:uid="{1F4B7C26-B4B5-46E3-B3EA-9B65C1E79B62}"/>
    <cellStyle name="Comma 5 6 10 2" xfId="24380" xr:uid="{339F3F71-F23D-4A99-9189-0EE30E6A8A02}"/>
    <cellStyle name="Comma 5 6 10 2 2" xfId="54620" xr:uid="{DA8DB3ED-8B13-4A91-904F-60D75CB9D190}"/>
    <cellStyle name="Comma 5 6 10 3" xfId="39500" xr:uid="{ECE41074-2A42-4835-8B7A-0E59DDA1186F}"/>
    <cellStyle name="Comma 5 6 11" xfId="15308" xr:uid="{AF756668-E4F0-4E70-81D5-B72DFE88B02B}"/>
    <cellStyle name="Comma 5 6 11 2" xfId="45548" xr:uid="{8E35EF00-55D9-4263-BBB1-04435A1A3641}"/>
    <cellStyle name="Comma 5 6 12" xfId="30428" xr:uid="{845C0FBA-C0C4-4BBD-B090-4CD15C3965DE}"/>
    <cellStyle name="Comma 5 6 2" xfId="440" xr:uid="{FAEB38DB-FFB1-49CA-B1E9-E9E450584FC4}"/>
    <cellStyle name="Comma 5 6 2 10" xfId="30680" xr:uid="{6A2FD301-D543-46E8-82FF-E15156BCE9DE}"/>
    <cellStyle name="Comma 5 6 2 2" xfId="1196" xr:uid="{9D179667-CB86-443E-9A0F-876EF5C38E0B}"/>
    <cellStyle name="Comma 5 6 2 2 2" xfId="2708" xr:uid="{84857351-AFC0-4BB1-B90A-ABEB9299F466}"/>
    <cellStyle name="Comma 5 6 2 2 2 2" xfId="11780" xr:uid="{249D8BEA-FB76-49F2-AD75-1B304898CE12}"/>
    <cellStyle name="Comma 5 6 2 2 2 2 2" xfId="26900" xr:uid="{BC51F661-6A42-45E0-B1B7-6F9472A54C53}"/>
    <cellStyle name="Comma 5 6 2 2 2 2 2 2" xfId="57140" xr:uid="{9525A6E3-9305-4E1A-9A66-2E7C32DE06D3}"/>
    <cellStyle name="Comma 5 6 2 2 2 2 3" xfId="42020" xr:uid="{9C53A0F5-1C5D-48C6-AC6E-53CEA6D7942A}"/>
    <cellStyle name="Comma 5 6 2 2 2 3" xfId="17828" xr:uid="{9707D217-1079-4616-B607-0C10D019DC16}"/>
    <cellStyle name="Comma 5 6 2 2 2 3 2" xfId="48068" xr:uid="{E3379651-F827-40DB-A163-7BC788526F60}"/>
    <cellStyle name="Comma 5 6 2 2 2 4" xfId="32948" xr:uid="{86F5EA32-1D22-483E-8383-4443F3CAB592}"/>
    <cellStyle name="Comma 5 6 2 2 3" xfId="4220" xr:uid="{32F623F4-DA82-4FE9-8568-92F0619D023F}"/>
    <cellStyle name="Comma 5 6 2 2 3 2" xfId="13292" xr:uid="{021BC942-DA52-472A-9638-16A24EC4B765}"/>
    <cellStyle name="Comma 5 6 2 2 3 2 2" xfId="28412" xr:uid="{F9CDA996-AF20-456D-864C-4CB89E55A295}"/>
    <cellStyle name="Comma 5 6 2 2 3 2 2 2" xfId="58652" xr:uid="{F0CFD535-C716-41BC-8C74-C09DD733FA2C}"/>
    <cellStyle name="Comma 5 6 2 2 3 2 3" xfId="43532" xr:uid="{D7D7CFFB-AB2F-471B-87A3-9581876F334E}"/>
    <cellStyle name="Comma 5 6 2 2 3 3" xfId="19340" xr:uid="{6E0EFFF2-B376-4DA4-911E-EA78C78D103E}"/>
    <cellStyle name="Comma 5 6 2 2 3 3 2" xfId="49580" xr:uid="{CD743F30-0561-4FC9-B13B-4FF1D8A6D3BF}"/>
    <cellStyle name="Comma 5 6 2 2 3 4" xfId="34460" xr:uid="{F4A601C8-96C9-44A9-94BC-CC512400B5B9}"/>
    <cellStyle name="Comma 5 6 2 2 4" xfId="5732" xr:uid="{421A87B1-65FC-488E-AA3A-0C0EE1FFA92E}"/>
    <cellStyle name="Comma 5 6 2 2 4 2" xfId="14804" xr:uid="{44961AA9-A56D-4AA8-8341-555DBF541E4D}"/>
    <cellStyle name="Comma 5 6 2 2 4 2 2" xfId="29924" xr:uid="{4631C908-5811-444D-996E-1A42E4A79931}"/>
    <cellStyle name="Comma 5 6 2 2 4 2 2 2" xfId="60164" xr:uid="{1BD6A15E-1438-4EEB-B8F8-963095A032C2}"/>
    <cellStyle name="Comma 5 6 2 2 4 2 3" xfId="45044" xr:uid="{C1AF1927-D915-4E52-A8C8-634C6815A041}"/>
    <cellStyle name="Comma 5 6 2 2 4 3" xfId="20852" xr:uid="{94158C8A-9215-44FF-8737-2789FE0867BC}"/>
    <cellStyle name="Comma 5 6 2 2 4 3 2" xfId="51092" xr:uid="{257101C2-5A40-4377-BDD7-46E3A3969E1E}"/>
    <cellStyle name="Comma 5 6 2 2 4 4" xfId="35972" xr:uid="{1956050E-C7DE-4FFB-BD80-B63B89A45A73}"/>
    <cellStyle name="Comma 5 6 2 2 5" xfId="7244" xr:uid="{D5BCD9C9-051D-4FDE-B161-9308927E5C1F}"/>
    <cellStyle name="Comma 5 6 2 2 5 2" xfId="22364" xr:uid="{82DCCA64-E9C8-40B2-A6E9-008C625D3072}"/>
    <cellStyle name="Comma 5 6 2 2 5 2 2" xfId="52604" xr:uid="{BA87B613-4B82-4777-9A84-5E4944A5068E}"/>
    <cellStyle name="Comma 5 6 2 2 5 3" xfId="37484" xr:uid="{99E877ED-D475-4601-B76B-25805E9EB05D}"/>
    <cellStyle name="Comma 5 6 2 2 6" xfId="8756" xr:uid="{B744D0D1-B00F-42BF-AEF3-2A553A29390D}"/>
    <cellStyle name="Comma 5 6 2 2 6 2" xfId="23876" xr:uid="{EC29B4C0-A0FE-4910-A1EE-BEEE97266AFF}"/>
    <cellStyle name="Comma 5 6 2 2 6 2 2" xfId="54116" xr:uid="{657B2E55-08BD-4CE2-A507-ED154DE206F2}"/>
    <cellStyle name="Comma 5 6 2 2 6 3" xfId="38996" xr:uid="{180C33F1-FF2D-4596-B207-97CFC5D1D53F}"/>
    <cellStyle name="Comma 5 6 2 2 7" xfId="10268" xr:uid="{64BBA9A0-9348-4875-B619-773076AC5F26}"/>
    <cellStyle name="Comma 5 6 2 2 7 2" xfId="25388" xr:uid="{F1868F49-F625-4950-82B6-939D267C2F7C}"/>
    <cellStyle name="Comma 5 6 2 2 7 2 2" xfId="55628" xr:uid="{50C7BF2B-0095-457C-AC18-BD9123ED2B38}"/>
    <cellStyle name="Comma 5 6 2 2 7 3" xfId="40508" xr:uid="{1A33ADC2-20B8-444C-92B8-590DE87E7BAD}"/>
    <cellStyle name="Comma 5 6 2 2 8" xfId="16316" xr:uid="{DB7843DA-81DA-466A-981E-AAD69659B587}"/>
    <cellStyle name="Comma 5 6 2 2 8 2" xfId="46556" xr:uid="{93C4C54F-5035-4607-8069-23C92EC4AD51}"/>
    <cellStyle name="Comma 5 6 2 2 9" xfId="31436" xr:uid="{A2221977-489C-48D4-8381-D8ACE4E3A2FE}"/>
    <cellStyle name="Comma 5 6 2 3" xfId="1952" xr:uid="{56562B93-8044-4638-B80A-E01BD6C9CCA8}"/>
    <cellStyle name="Comma 5 6 2 3 2" xfId="11024" xr:uid="{35421ED8-F898-4853-9198-F85602ED6369}"/>
    <cellStyle name="Comma 5 6 2 3 2 2" xfId="26144" xr:uid="{5AE398A6-694F-4079-815D-5F2304B87232}"/>
    <cellStyle name="Comma 5 6 2 3 2 2 2" xfId="56384" xr:uid="{E6AFBA36-8043-461F-94F5-13C70D6B1F8A}"/>
    <cellStyle name="Comma 5 6 2 3 2 3" xfId="41264" xr:uid="{0327AF0E-6ABA-472F-B589-11C35C1EE3BD}"/>
    <cellStyle name="Comma 5 6 2 3 3" xfId="17072" xr:uid="{F96F79F4-F784-440C-9855-D3458B082FE1}"/>
    <cellStyle name="Comma 5 6 2 3 3 2" xfId="47312" xr:uid="{14526571-4068-47FD-8AA3-96C20169C742}"/>
    <cellStyle name="Comma 5 6 2 3 4" xfId="32192" xr:uid="{A01C6382-AF24-49EA-8B23-B86BD193DB59}"/>
    <cellStyle name="Comma 5 6 2 4" xfId="3464" xr:uid="{511B130F-7C38-4A7F-AE9C-C148886D7EC3}"/>
    <cellStyle name="Comma 5 6 2 4 2" xfId="12536" xr:uid="{D6F8183D-A088-4FDD-B5B7-FEC805E70D16}"/>
    <cellStyle name="Comma 5 6 2 4 2 2" xfId="27656" xr:uid="{7B716B76-5A91-4C2B-BF8A-568109C3C788}"/>
    <cellStyle name="Comma 5 6 2 4 2 2 2" xfId="57896" xr:uid="{0A54B8ED-F1BC-41A0-B8D5-D6AED97648C3}"/>
    <cellStyle name="Comma 5 6 2 4 2 3" xfId="42776" xr:uid="{6814628A-F5AD-41BA-91A7-146FE7A0D13F}"/>
    <cellStyle name="Comma 5 6 2 4 3" xfId="18584" xr:uid="{7EC57214-853D-4749-8846-5433D9429E93}"/>
    <cellStyle name="Comma 5 6 2 4 3 2" xfId="48824" xr:uid="{264FDBAD-D172-437D-A1F6-5B82811240E0}"/>
    <cellStyle name="Comma 5 6 2 4 4" xfId="33704" xr:uid="{2C2CF669-7464-499A-A105-1F3B4F2ECFB4}"/>
    <cellStyle name="Comma 5 6 2 5" xfId="4976" xr:uid="{7A1099F3-9D43-473C-B534-1A4D0FE358E0}"/>
    <cellStyle name="Comma 5 6 2 5 2" xfId="14048" xr:uid="{867DEC5A-D169-4FBB-9FE7-8921F283C83C}"/>
    <cellStyle name="Comma 5 6 2 5 2 2" xfId="29168" xr:uid="{638E583A-2831-4CFA-8449-878B4C545D5D}"/>
    <cellStyle name="Comma 5 6 2 5 2 2 2" xfId="59408" xr:uid="{E75F3D0D-EE67-4E6D-ADEB-4A2DB0A0D85C}"/>
    <cellStyle name="Comma 5 6 2 5 2 3" xfId="44288" xr:uid="{501614E1-6886-4362-AFA6-74A3F468641C}"/>
    <cellStyle name="Comma 5 6 2 5 3" xfId="20096" xr:uid="{0B80B6D6-9A7F-4A52-A402-12BD73B2EE92}"/>
    <cellStyle name="Comma 5 6 2 5 3 2" xfId="50336" xr:uid="{1B90A321-5BD4-47DC-AE5F-FDEB53785A07}"/>
    <cellStyle name="Comma 5 6 2 5 4" xfId="35216" xr:uid="{7DD84C50-4985-49F4-8CBE-9168C2B5BCA4}"/>
    <cellStyle name="Comma 5 6 2 6" xfId="6488" xr:uid="{514B2E78-B525-47F9-9BDE-31EABC889241}"/>
    <cellStyle name="Comma 5 6 2 6 2" xfId="21608" xr:uid="{9645B05B-91F9-46CF-8404-915321C496F3}"/>
    <cellStyle name="Comma 5 6 2 6 2 2" xfId="51848" xr:uid="{77CE2267-E510-4200-86DF-E15B2F51AE4A}"/>
    <cellStyle name="Comma 5 6 2 6 3" xfId="36728" xr:uid="{8B8D8BEB-BBD7-4538-A932-540F55A39CD0}"/>
    <cellStyle name="Comma 5 6 2 7" xfId="8000" xr:uid="{BA9AD16C-8864-496A-85A6-40B68E061023}"/>
    <cellStyle name="Comma 5 6 2 7 2" xfId="23120" xr:uid="{8CB6AE8C-1A54-4896-A43E-E015E4FD8190}"/>
    <cellStyle name="Comma 5 6 2 7 2 2" xfId="53360" xr:uid="{605CA82D-F441-4471-89AA-7387F3006448}"/>
    <cellStyle name="Comma 5 6 2 7 3" xfId="38240" xr:uid="{683061A8-40D7-4468-90F6-DC74262691EF}"/>
    <cellStyle name="Comma 5 6 2 8" xfId="9512" xr:uid="{CEDE6880-97D9-4E98-B629-69497CB8AFA0}"/>
    <cellStyle name="Comma 5 6 2 8 2" xfId="24632" xr:uid="{3D4C4256-157E-44A4-B7C7-8344A15E76EA}"/>
    <cellStyle name="Comma 5 6 2 8 2 2" xfId="54872" xr:uid="{0975E216-4F72-4387-A63D-15E1752820C7}"/>
    <cellStyle name="Comma 5 6 2 8 3" xfId="39752" xr:uid="{3E4FF175-B711-4269-9373-D2A7CAD94C61}"/>
    <cellStyle name="Comma 5 6 2 9" xfId="15560" xr:uid="{4A1365DD-92E4-4A5A-BB84-99542A64F2BF}"/>
    <cellStyle name="Comma 5 6 2 9 2" xfId="45800" xr:uid="{EAAE9712-5556-49B8-AAB7-7790F84ECFF6}"/>
    <cellStyle name="Comma 5 6 3" xfId="692" xr:uid="{57232458-70FD-4209-82BF-1AA1578181FA}"/>
    <cellStyle name="Comma 5 6 3 10" xfId="30932" xr:uid="{2F574158-8384-4504-A93F-4E3C7072052A}"/>
    <cellStyle name="Comma 5 6 3 2" xfId="1448" xr:uid="{AAB19A10-8C6D-4B56-B3E5-048B2532696C}"/>
    <cellStyle name="Comma 5 6 3 2 2" xfId="2960" xr:uid="{81BB8299-8EC7-4743-8B49-B479813B504C}"/>
    <cellStyle name="Comma 5 6 3 2 2 2" xfId="12032" xr:uid="{A20FD414-EAA9-4FED-B42A-C6A25E87C822}"/>
    <cellStyle name="Comma 5 6 3 2 2 2 2" xfId="27152" xr:uid="{792134B2-3A1E-4584-82F4-04E8824887EF}"/>
    <cellStyle name="Comma 5 6 3 2 2 2 2 2" xfId="57392" xr:uid="{8BEFA118-62B3-40C6-A7EC-2F6F59303895}"/>
    <cellStyle name="Comma 5 6 3 2 2 2 3" xfId="42272" xr:uid="{30B511F0-84F5-4DDD-9AEB-53E3B51A1442}"/>
    <cellStyle name="Comma 5 6 3 2 2 3" xfId="18080" xr:uid="{6C2FDD2E-BA9F-411D-B431-A69E5D15AD96}"/>
    <cellStyle name="Comma 5 6 3 2 2 3 2" xfId="48320" xr:uid="{D8B5DA59-A210-4878-84A0-7B9D557A97F7}"/>
    <cellStyle name="Comma 5 6 3 2 2 4" xfId="33200" xr:uid="{88ECC23A-D59E-4ECD-8ABE-9179830CD7E4}"/>
    <cellStyle name="Comma 5 6 3 2 3" xfId="4472" xr:uid="{D787CE84-B5CC-404D-865F-DD76C838AECC}"/>
    <cellStyle name="Comma 5 6 3 2 3 2" xfId="13544" xr:uid="{A0DF534D-DACE-4DC8-ABD9-5AFC817AC12F}"/>
    <cellStyle name="Comma 5 6 3 2 3 2 2" xfId="28664" xr:uid="{33218108-3C76-4C80-A4EB-01DEBA7B648C}"/>
    <cellStyle name="Comma 5 6 3 2 3 2 2 2" xfId="58904" xr:uid="{225BA100-28CC-40A4-8710-8CDE96D55AFA}"/>
    <cellStyle name="Comma 5 6 3 2 3 2 3" xfId="43784" xr:uid="{CEF147BC-ADB0-4F47-ACF6-A902605B58C0}"/>
    <cellStyle name="Comma 5 6 3 2 3 3" xfId="19592" xr:uid="{ECEC3F98-4F6E-4C24-9707-187B9406B8FF}"/>
    <cellStyle name="Comma 5 6 3 2 3 3 2" xfId="49832" xr:uid="{1643AC90-3539-4EC4-B3E3-6E8F92F99E36}"/>
    <cellStyle name="Comma 5 6 3 2 3 4" xfId="34712" xr:uid="{04E31AF4-F634-4A46-B988-7661795A1C25}"/>
    <cellStyle name="Comma 5 6 3 2 4" xfId="5984" xr:uid="{FF10B1CF-02C5-4BCB-8799-D82E73191803}"/>
    <cellStyle name="Comma 5 6 3 2 4 2" xfId="15056" xr:uid="{5DC8F700-307E-4844-AEF1-14BA296C9BD6}"/>
    <cellStyle name="Comma 5 6 3 2 4 2 2" xfId="30176" xr:uid="{8AA3795F-230B-4137-81C1-AF3B19542E31}"/>
    <cellStyle name="Comma 5 6 3 2 4 2 2 2" xfId="60416" xr:uid="{CF239761-B987-4B62-9E79-B6C8DC63AF3E}"/>
    <cellStyle name="Comma 5 6 3 2 4 2 3" xfId="45296" xr:uid="{378E8F39-130C-4FC4-A380-61B483622B11}"/>
    <cellStyle name="Comma 5 6 3 2 4 3" xfId="21104" xr:uid="{1E8D0F7B-4C52-4DC1-ABBD-A192CA9C9AB6}"/>
    <cellStyle name="Comma 5 6 3 2 4 3 2" xfId="51344" xr:uid="{410363B9-D164-4CC6-828E-D469C8338671}"/>
    <cellStyle name="Comma 5 6 3 2 4 4" xfId="36224" xr:uid="{4A829BA1-3A52-4A1F-A2E5-7BA96F185B69}"/>
    <cellStyle name="Comma 5 6 3 2 5" xfId="7496" xr:uid="{FC3E2A19-8AD8-4A5B-81A3-1E59C9916D02}"/>
    <cellStyle name="Comma 5 6 3 2 5 2" xfId="22616" xr:uid="{66ADA92A-EF79-4F5B-8780-C271B74B9140}"/>
    <cellStyle name="Comma 5 6 3 2 5 2 2" xfId="52856" xr:uid="{68E50E83-581D-413F-8A0C-95F7D9B45898}"/>
    <cellStyle name="Comma 5 6 3 2 5 3" xfId="37736" xr:uid="{164B8765-ADA3-4304-806C-9D8F80329DBC}"/>
    <cellStyle name="Comma 5 6 3 2 6" xfId="9008" xr:uid="{D2E5C48A-0089-493E-9AC4-4D0EFDC1524F}"/>
    <cellStyle name="Comma 5 6 3 2 6 2" xfId="24128" xr:uid="{76C50AD6-05B0-47DF-8789-FD48EE8852C1}"/>
    <cellStyle name="Comma 5 6 3 2 6 2 2" xfId="54368" xr:uid="{C3C52CDF-9CE8-4550-90A8-D9114977B730}"/>
    <cellStyle name="Comma 5 6 3 2 6 3" xfId="39248" xr:uid="{F7ED6D8E-F0F6-4C93-A4C3-22D5EE3855A9}"/>
    <cellStyle name="Comma 5 6 3 2 7" xfId="10520" xr:uid="{7507CDC5-4728-4986-BB6E-5035BE53835F}"/>
    <cellStyle name="Comma 5 6 3 2 7 2" xfId="25640" xr:uid="{0FE1D4F9-2770-4C13-8F0F-05B9977AD33B}"/>
    <cellStyle name="Comma 5 6 3 2 7 2 2" xfId="55880" xr:uid="{19BF6635-8342-4535-8160-576661B46E40}"/>
    <cellStyle name="Comma 5 6 3 2 7 3" xfId="40760" xr:uid="{29D45082-5F4C-4D7D-9A1A-24CE24229B94}"/>
    <cellStyle name="Comma 5 6 3 2 8" xfId="16568" xr:uid="{31358414-1B97-4142-B371-01583D099DCA}"/>
    <cellStyle name="Comma 5 6 3 2 8 2" xfId="46808" xr:uid="{B9DA95D8-3A08-4B1E-84AA-82C405DC7A06}"/>
    <cellStyle name="Comma 5 6 3 2 9" xfId="31688" xr:uid="{3735FFD0-AFDB-40E8-9876-1AD695CFE612}"/>
    <cellStyle name="Comma 5 6 3 3" xfId="2204" xr:uid="{FE24336F-D1E5-4946-BC6F-CF6C432269F0}"/>
    <cellStyle name="Comma 5 6 3 3 2" xfId="11276" xr:uid="{3837EEDE-32A8-4FA2-9D54-9E498EAC3C91}"/>
    <cellStyle name="Comma 5 6 3 3 2 2" xfId="26396" xr:uid="{32F1DB3B-AFC9-4227-8084-2A2C8500020A}"/>
    <cellStyle name="Comma 5 6 3 3 2 2 2" xfId="56636" xr:uid="{705A9DAD-5FD6-4328-86F1-5AD0B08C89C8}"/>
    <cellStyle name="Comma 5 6 3 3 2 3" xfId="41516" xr:uid="{31EAC3D1-7496-426E-9F6F-B96B131DA81D}"/>
    <cellStyle name="Comma 5 6 3 3 3" xfId="17324" xr:uid="{D2A3BD97-19A7-4628-881B-AC499B9D6EFB}"/>
    <cellStyle name="Comma 5 6 3 3 3 2" xfId="47564" xr:uid="{502D9CE6-D541-461C-868C-B8B81726038E}"/>
    <cellStyle name="Comma 5 6 3 3 4" xfId="32444" xr:uid="{E013B42D-39BA-4711-B2DB-1B62FADC2422}"/>
    <cellStyle name="Comma 5 6 3 4" xfId="3716" xr:uid="{B91592C2-C20F-4A7C-A3C4-8BB4B4F7743B}"/>
    <cellStyle name="Comma 5 6 3 4 2" xfId="12788" xr:uid="{FE451AC1-9FE5-40CD-91A4-77C111947929}"/>
    <cellStyle name="Comma 5 6 3 4 2 2" xfId="27908" xr:uid="{54DC7072-93FC-4B58-8964-9B72D38FAB91}"/>
    <cellStyle name="Comma 5 6 3 4 2 2 2" xfId="58148" xr:uid="{D31D6391-83D7-428B-B32F-BDFE224B881A}"/>
    <cellStyle name="Comma 5 6 3 4 2 3" xfId="43028" xr:uid="{B1C5641F-E324-4564-B3E4-671CB5073E89}"/>
    <cellStyle name="Comma 5 6 3 4 3" xfId="18836" xr:uid="{F144D09E-9EBC-4C46-9A82-C036EBB5E0BA}"/>
    <cellStyle name="Comma 5 6 3 4 3 2" xfId="49076" xr:uid="{A5850931-9655-4A12-B3BC-B494182289AA}"/>
    <cellStyle name="Comma 5 6 3 4 4" xfId="33956" xr:uid="{B89A1F11-0040-470E-9CAB-988488BCA23D}"/>
    <cellStyle name="Comma 5 6 3 5" xfId="5228" xr:uid="{E039DFD9-750F-4514-9E4D-1BD660CC4AA6}"/>
    <cellStyle name="Comma 5 6 3 5 2" xfId="14300" xr:uid="{61F77BC2-8A88-471A-8E92-D537BF45BF80}"/>
    <cellStyle name="Comma 5 6 3 5 2 2" xfId="29420" xr:uid="{21A0BEDA-111E-454C-8BC9-BCDA09942A14}"/>
    <cellStyle name="Comma 5 6 3 5 2 2 2" xfId="59660" xr:uid="{F2CAC0AA-E1CF-4DDA-A1FA-50487C0B66C1}"/>
    <cellStyle name="Comma 5 6 3 5 2 3" xfId="44540" xr:uid="{43639AE8-F5B1-4135-81EC-7F199CE1D82C}"/>
    <cellStyle name="Comma 5 6 3 5 3" xfId="20348" xr:uid="{6CF9721A-F79D-4C69-B0E6-CD93BD38C2D7}"/>
    <cellStyle name="Comma 5 6 3 5 3 2" xfId="50588" xr:uid="{AA151A8C-CC16-4809-9CE7-65F5F15C6B25}"/>
    <cellStyle name="Comma 5 6 3 5 4" xfId="35468" xr:uid="{087FDF3D-054F-4C45-BF2F-9B7C057A1767}"/>
    <cellStyle name="Comma 5 6 3 6" xfId="6740" xr:uid="{9B32EEB2-1602-4DE2-A7A3-F02FDEC26A65}"/>
    <cellStyle name="Comma 5 6 3 6 2" xfId="21860" xr:uid="{3D14B289-D77F-4EDF-BE44-E050B495EB56}"/>
    <cellStyle name="Comma 5 6 3 6 2 2" xfId="52100" xr:uid="{49362093-93B9-4758-AEC7-C2E0A9579721}"/>
    <cellStyle name="Comma 5 6 3 6 3" xfId="36980" xr:uid="{CAE9AA7F-8B75-4962-92FE-2F102BB1835E}"/>
    <cellStyle name="Comma 5 6 3 7" xfId="8252" xr:uid="{B782917A-575B-41D2-B25E-D5A663879272}"/>
    <cellStyle name="Comma 5 6 3 7 2" xfId="23372" xr:uid="{776D5081-8E65-4E22-AA93-F4E05764A96D}"/>
    <cellStyle name="Comma 5 6 3 7 2 2" xfId="53612" xr:uid="{0DD1617B-79C6-4C0B-B086-7F0EF3D57C8D}"/>
    <cellStyle name="Comma 5 6 3 7 3" xfId="38492" xr:uid="{EF01082B-9FD7-4CFA-A600-32C32561CCA9}"/>
    <cellStyle name="Comma 5 6 3 8" xfId="9764" xr:uid="{3AF8286E-6BB3-4AB8-9293-99B8BAFC62AC}"/>
    <cellStyle name="Comma 5 6 3 8 2" xfId="24884" xr:uid="{A410714D-6973-4C78-87F6-6F88AC86E97A}"/>
    <cellStyle name="Comma 5 6 3 8 2 2" xfId="55124" xr:uid="{23E91BF6-0D27-4F1C-B3E8-5A4B812AC7F4}"/>
    <cellStyle name="Comma 5 6 3 8 3" xfId="40004" xr:uid="{7982CFB3-46A5-4688-826B-AB282DA5FDC5}"/>
    <cellStyle name="Comma 5 6 3 9" xfId="15812" xr:uid="{49611719-5231-4303-B66A-22EB17C0E410}"/>
    <cellStyle name="Comma 5 6 3 9 2" xfId="46052" xr:uid="{3B68ED8F-F1BD-4FA6-93B6-9822E17F2459}"/>
    <cellStyle name="Comma 5 6 4" xfId="944" xr:uid="{22C9E4FD-E1C9-42D8-8512-4E97FEE8A61D}"/>
    <cellStyle name="Comma 5 6 4 2" xfId="2456" xr:uid="{8A474D92-FE5A-42B7-87A7-BE188C058287}"/>
    <cellStyle name="Comma 5 6 4 2 2" xfId="11528" xr:uid="{0AA7A7DC-A687-44C4-938F-B3FAD426C77C}"/>
    <cellStyle name="Comma 5 6 4 2 2 2" xfId="26648" xr:uid="{C36CB36A-2A66-4788-8409-EEC349CAA583}"/>
    <cellStyle name="Comma 5 6 4 2 2 2 2" xfId="56888" xr:uid="{AA49F3AB-03C9-4205-9985-4DB6E820ECF7}"/>
    <cellStyle name="Comma 5 6 4 2 2 3" xfId="41768" xr:uid="{E4BED5B8-E2E3-4D79-9B5A-27D2169352A8}"/>
    <cellStyle name="Comma 5 6 4 2 3" xfId="17576" xr:uid="{6B4B4E08-EC03-4661-A0D0-B14A20C0CE6A}"/>
    <cellStyle name="Comma 5 6 4 2 3 2" xfId="47816" xr:uid="{303C838E-F7FD-463B-887D-858F499CFB93}"/>
    <cellStyle name="Comma 5 6 4 2 4" xfId="32696" xr:uid="{A1E96FA0-5E2B-4849-BF85-E8B68F2C1C9B}"/>
    <cellStyle name="Comma 5 6 4 3" xfId="3968" xr:uid="{8358FFFB-A3F4-4C72-B325-07E9928CE4C8}"/>
    <cellStyle name="Comma 5 6 4 3 2" xfId="13040" xr:uid="{4635AF00-0B87-4A63-9166-5336D084C71E}"/>
    <cellStyle name="Comma 5 6 4 3 2 2" xfId="28160" xr:uid="{BD361B2E-D56C-4745-8C3C-B0530D46FFF3}"/>
    <cellStyle name="Comma 5 6 4 3 2 2 2" xfId="58400" xr:uid="{8BFD532B-5599-4B34-88EE-E4E4BD24E02B}"/>
    <cellStyle name="Comma 5 6 4 3 2 3" xfId="43280" xr:uid="{A3D5090F-A2B1-4EC1-B5C2-6570DC36C172}"/>
    <cellStyle name="Comma 5 6 4 3 3" xfId="19088" xr:uid="{63204F74-F116-4EDA-9F88-01B883342847}"/>
    <cellStyle name="Comma 5 6 4 3 3 2" xfId="49328" xr:uid="{CC606071-5523-43A1-A401-35BAB9B072D1}"/>
    <cellStyle name="Comma 5 6 4 3 4" xfId="34208" xr:uid="{F61095D0-825F-45A3-A9E9-E7AC6B78040B}"/>
    <cellStyle name="Comma 5 6 4 4" xfId="5480" xr:uid="{0504CE45-E602-4F90-AF5F-1DDD91809521}"/>
    <cellStyle name="Comma 5 6 4 4 2" xfId="14552" xr:uid="{EFBE213C-4B3C-46CB-9E7B-A666F12B3275}"/>
    <cellStyle name="Comma 5 6 4 4 2 2" xfId="29672" xr:uid="{01D87B4B-6154-491C-BDC9-930D84A2E411}"/>
    <cellStyle name="Comma 5 6 4 4 2 2 2" xfId="59912" xr:uid="{5F0D26AA-5B3A-461D-9677-74BF6AC55948}"/>
    <cellStyle name="Comma 5 6 4 4 2 3" xfId="44792" xr:uid="{95053BF7-3880-4DF1-8F75-F61776313EAB}"/>
    <cellStyle name="Comma 5 6 4 4 3" xfId="20600" xr:uid="{BE774DE5-6CBB-418D-B3DA-8D949117DA5B}"/>
    <cellStyle name="Comma 5 6 4 4 3 2" xfId="50840" xr:uid="{F9F268B5-4D3B-4D34-994B-5EEC4D2403D0}"/>
    <cellStyle name="Comma 5 6 4 4 4" xfId="35720" xr:uid="{68007CC6-B27B-4A13-885B-260EDEE71892}"/>
    <cellStyle name="Comma 5 6 4 5" xfId="6992" xr:uid="{F21F11A2-D4E4-4A30-9CE6-741082C46A19}"/>
    <cellStyle name="Comma 5 6 4 5 2" xfId="22112" xr:uid="{9E902DBF-4F8B-4F39-B1FC-98A712BD7984}"/>
    <cellStyle name="Comma 5 6 4 5 2 2" xfId="52352" xr:uid="{D8268B10-6850-4EED-9101-BD4BEB3F44C9}"/>
    <cellStyle name="Comma 5 6 4 5 3" xfId="37232" xr:uid="{9C3FB652-FC7A-4AAE-A04D-F2E2A5D5DC6D}"/>
    <cellStyle name="Comma 5 6 4 6" xfId="8504" xr:uid="{14D35832-AE0F-4E86-AC86-D1A27B82700D}"/>
    <cellStyle name="Comma 5 6 4 6 2" xfId="23624" xr:uid="{0B88561D-038C-4C8C-AF6C-92922B6DC0C7}"/>
    <cellStyle name="Comma 5 6 4 6 2 2" xfId="53864" xr:uid="{1D1452FC-4F6D-4086-8C78-C51D8D8A9602}"/>
    <cellStyle name="Comma 5 6 4 6 3" xfId="38744" xr:uid="{3353DA75-3DA0-4228-BF67-D048BAD22434}"/>
    <cellStyle name="Comma 5 6 4 7" xfId="10016" xr:uid="{7FD7D506-8F46-45B0-BD90-9F84DB4DD842}"/>
    <cellStyle name="Comma 5 6 4 7 2" xfId="25136" xr:uid="{A0F36951-4B0A-40A1-8E3E-AE8259EAF536}"/>
    <cellStyle name="Comma 5 6 4 7 2 2" xfId="55376" xr:uid="{7BF3EAD6-52F4-4243-B4BF-F27D0E883B0F}"/>
    <cellStyle name="Comma 5 6 4 7 3" xfId="40256" xr:uid="{9B324FAD-451F-4D03-A418-4AC902D56243}"/>
    <cellStyle name="Comma 5 6 4 8" xfId="16064" xr:uid="{DF820661-70B4-4F25-8D24-C0694AD0BA61}"/>
    <cellStyle name="Comma 5 6 4 8 2" xfId="46304" xr:uid="{593C73F5-FDFE-4A3B-98D0-7FEB4787476B}"/>
    <cellStyle name="Comma 5 6 4 9" xfId="31184" xr:uid="{59C878B1-D1E6-40F3-B725-71C09D886E15}"/>
    <cellStyle name="Comma 5 6 5" xfId="1700" xr:uid="{244179C3-A8F2-4901-B648-40421C65E8E7}"/>
    <cellStyle name="Comma 5 6 5 2" xfId="10772" xr:uid="{045E8110-3A7C-4126-880D-D14D0BCF6F88}"/>
    <cellStyle name="Comma 5 6 5 2 2" xfId="25892" xr:uid="{A3391878-D078-426B-9B33-97579841753F}"/>
    <cellStyle name="Comma 5 6 5 2 2 2" xfId="56132" xr:uid="{9AB3364E-CF9C-440D-9C54-CC61798A2BDB}"/>
    <cellStyle name="Comma 5 6 5 2 3" xfId="41012" xr:uid="{E8E88AB2-5DFF-4AA2-B03A-636297B2D2F7}"/>
    <cellStyle name="Comma 5 6 5 3" xfId="16820" xr:uid="{847EF18E-D77B-4565-98B2-F42C395A5F25}"/>
    <cellStyle name="Comma 5 6 5 3 2" xfId="47060" xr:uid="{58086A63-E355-40D6-B956-4DCF6E6488A7}"/>
    <cellStyle name="Comma 5 6 5 4" xfId="31940" xr:uid="{99CA35D2-149D-4A49-BF02-CDE24EDCD653}"/>
    <cellStyle name="Comma 5 6 6" xfId="3212" xr:uid="{E0C38AC7-6092-4CB7-BDBE-A6FDBC1DAE8A}"/>
    <cellStyle name="Comma 5 6 6 2" xfId="12284" xr:uid="{FF669C57-6149-422C-B1BB-DC80B303830C}"/>
    <cellStyle name="Comma 5 6 6 2 2" xfId="27404" xr:uid="{CBD920B7-D446-4021-A393-C8949E2E2756}"/>
    <cellStyle name="Comma 5 6 6 2 2 2" xfId="57644" xr:uid="{6A8AA206-F7ED-47EE-8FE9-D80242F1614A}"/>
    <cellStyle name="Comma 5 6 6 2 3" xfId="42524" xr:uid="{09974F75-E82B-4792-9D0A-9A20959CBB2F}"/>
    <cellStyle name="Comma 5 6 6 3" xfId="18332" xr:uid="{531AB22B-DE74-44F4-A6FC-B5299C9A6083}"/>
    <cellStyle name="Comma 5 6 6 3 2" xfId="48572" xr:uid="{71CD9452-78C1-447C-A602-32477C4C0990}"/>
    <cellStyle name="Comma 5 6 6 4" xfId="33452" xr:uid="{B4496C81-87A1-4C99-867F-A4BD7EDF35A6}"/>
    <cellStyle name="Comma 5 6 7" xfId="4724" xr:uid="{B64FA3ED-8E71-4E1B-BC8C-86E07BD66114}"/>
    <cellStyle name="Comma 5 6 7 2" xfId="13796" xr:uid="{4E9DE124-F7E8-4AC4-BA77-7402930F4B96}"/>
    <cellStyle name="Comma 5 6 7 2 2" xfId="28916" xr:uid="{0D35595D-F1E2-4B62-A430-9E125978DF8F}"/>
    <cellStyle name="Comma 5 6 7 2 2 2" xfId="59156" xr:uid="{AEBD497A-A39D-4B27-80F1-B54AE3FAFA7B}"/>
    <cellStyle name="Comma 5 6 7 2 3" xfId="44036" xr:uid="{02DB69CB-3A89-4546-901C-D3EDEFED3C9F}"/>
    <cellStyle name="Comma 5 6 7 3" xfId="19844" xr:uid="{2B3699EA-8687-4FAD-96EA-76FCB3183CA1}"/>
    <cellStyle name="Comma 5 6 7 3 2" xfId="50084" xr:uid="{8141C83C-554C-4F44-A32D-C8E1845B2CB0}"/>
    <cellStyle name="Comma 5 6 7 4" xfId="34964" xr:uid="{ED5E5796-0ED8-4CBE-8C1E-62C84DC85EA4}"/>
    <cellStyle name="Comma 5 6 8" xfId="6236" xr:uid="{E3063486-A352-4A1C-AE2E-E1D7303EEFA5}"/>
    <cellStyle name="Comma 5 6 8 2" xfId="21356" xr:uid="{FA34FE43-A9AA-4A6B-96D1-1536BD36FE01}"/>
    <cellStyle name="Comma 5 6 8 2 2" xfId="51596" xr:uid="{0DB63270-7166-4456-AD59-7231FF6A3B40}"/>
    <cellStyle name="Comma 5 6 8 3" xfId="36476" xr:uid="{FEC775B3-3633-41E9-8D2C-0916F46D1E7F}"/>
    <cellStyle name="Comma 5 6 9" xfId="7748" xr:uid="{C212C2A7-D143-4A09-9FD8-BE4969F89C00}"/>
    <cellStyle name="Comma 5 6 9 2" xfId="22868" xr:uid="{650363F7-DF42-4289-B403-5A0B6F977324}"/>
    <cellStyle name="Comma 5 6 9 2 2" xfId="53108" xr:uid="{69393F96-FA2F-46A8-BC37-AEA6CAD22AE2}"/>
    <cellStyle name="Comma 5 6 9 3" xfId="37988" xr:uid="{96491815-75BA-419A-816D-DA76724EA9B8}"/>
    <cellStyle name="Comma 5 7" xfId="272" xr:uid="{D0AE8A72-6D20-4963-9972-FB76CE7A7845}"/>
    <cellStyle name="Comma 5 7 10" xfId="30512" xr:uid="{CA236506-753D-4DD8-9F53-E1759957F843}"/>
    <cellStyle name="Comma 5 7 2" xfId="1028" xr:uid="{69823B46-DC3D-4F83-92D8-8A5D45FAFAFE}"/>
    <cellStyle name="Comma 5 7 2 2" xfId="2540" xr:uid="{70689C20-DAF0-4343-83B5-4BE798FE349E}"/>
    <cellStyle name="Comma 5 7 2 2 2" xfId="11612" xr:uid="{42A13F7E-F85B-4DA9-A880-2ADA48AE8573}"/>
    <cellStyle name="Comma 5 7 2 2 2 2" xfId="26732" xr:uid="{538A6D7C-FC7C-4E46-879C-DDA33784553C}"/>
    <cellStyle name="Comma 5 7 2 2 2 2 2" xfId="56972" xr:uid="{C55ED6E3-5480-4F06-A973-90CFE8C4115B}"/>
    <cellStyle name="Comma 5 7 2 2 2 3" xfId="41852" xr:uid="{42D13994-F1CB-4F3E-96D9-B7231C23EA37}"/>
    <cellStyle name="Comma 5 7 2 2 3" xfId="17660" xr:uid="{A8B095C3-AE98-4A55-A045-07BCDB257106}"/>
    <cellStyle name="Comma 5 7 2 2 3 2" xfId="47900" xr:uid="{A41EFF59-7122-4AFE-B2B6-D78B3C1FE834}"/>
    <cellStyle name="Comma 5 7 2 2 4" xfId="32780" xr:uid="{24E67D0F-853F-4425-9313-E7028FBC1684}"/>
    <cellStyle name="Comma 5 7 2 3" xfId="4052" xr:uid="{0EB7280C-645E-4FB4-811C-06030FF80E09}"/>
    <cellStyle name="Comma 5 7 2 3 2" xfId="13124" xr:uid="{6C840ED6-FE8F-47FC-9BCA-4DFC6F336348}"/>
    <cellStyle name="Comma 5 7 2 3 2 2" xfId="28244" xr:uid="{33E650A9-48CA-4827-9837-B953DEDA3677}"/>
    <cellStyle name="Comma 5 7 2 3 2 2 2" xfId="58484" xr:uid="{9657B73F-5184-4852-8EB5-1AACEA35409B}"/>
    <cellStyle name="Comma 5 7 2 3 2 3" xfId="43364" xr:uid="{5A81691B-AC49-45C8-AE55-E6A14B3CE044}"/>
    <cellStyle name="Comma 5 7 2 3 3" xfId="19172" xr:uid="{3AABD7B2-F54F-45E8-B10E-EA5CCF013BDB}"/>
    <cellStyle name="Comma 5 7 2 3 3 2" xfId="49412" xr:uid="{335B56A2-C658-49FD-A05C-3B6EBB3A9218}"/>
    <cellStyle name="Comma 5 7 2 3 4" xfId="34292" xr:uid="{F0EF26D8-4BEA-48D3-A1C4-C54A1798C886}"/>
    <cellStyle name="Comma 5 7 2 4" xfId="5564" xr:uid="{F610F35C-42E5-4ECC-9792-CFB2AAEB909E}"/>
    <cellStyle name="Comma 5 7 2 4 2" xfId="14636" xr:uid="{C7971B6B-3441-4C9C-8784-176139459082}"/>
    <cellStyle name="Comma 5 7 2 4 2 2" xfId="29756" xr:uid="{C07968AB-E1B2-4910-BC66-D14AC8981885}"/>
    <cellStyle name="Comma 5 7 2 4 2 2 2" xfId="59996" xr:uid="{C5C089B1-1F51-4F89-807B-19418BEE2A3A}"/>
    <cellStyle name="Comma 5 7 2 4 2 3" xfId="44876" xr:uid="{C7953CA9-B333-4E73-B2B5-BA0566BE0242}"/>
    <cellStyle name="Comma 5 7 2 4 3" xfId="20684" xr:uid="{3F3B4AA2-6313-407B-A2C7-4753ED849AF6}"/>
    <cellStyle name="Comma 5 7 2 4 3 2" xfId="50924" xr:uid="{F3E8B968-3146-4EB3-8258-F5A92363A157}"/>
    <cellStyle name="Comma 5 7 2 4 4" xfId="35804" xr:uid="{E3EF9A8C-64EB-4422-9043-6153104353AC}"/>
    <cellStyle name="Comma 5 7 2 5" xfId="7076" xr:uid="{5011B51C-3A3B-4C06-9BF4-8E540E08CB7A}"/>
    <cellStyle name="Comma 5 7 2 5 2" xfId="22196" xr:uid="{11CFCFA4-52D0-4733-950F-3E4FA44778F1}"/>
    <cellStyle name="Comma 5 7 2 5 2 2" xfId="52436" xr:uid="{F227A194-72EE-4EBF-80E4-388267A61BDE}"/>
    <cellStyle name="Comma 5 7 2 5 3" xfId="37316" xr:uid="{6D49C1BF-0D6E-4119-AFD7-F8AA44EC6162}"/>
    <cellStyle name="Comma 5 7 2 6" xfId="8588" xr:uid="{BF6E348F-8089-42AD-973B-042A40ADDF64}"/>
    <cellStyle name="Comma 5 7 2 6 2" xfId="23708" xr:uid="{4D07D48D-762F-4C2D-AAC7-E9EC6B936BFF}"/>
    <cellStyle name="Comma 5 7 2 6 2 2" xfId="53948" xr:uid="{67E44523-87D0-4D9F-8815-FDE9CE0BABFA}"/>
    <cellStyle name="Comma 5 7 2 6 3" xfId="38828" xr:uid="{48E79B5E-A316-4CDD-B68A-01640F41E212}"/>
    <cellStyle name="Comma 5 7 2 7" xfId="10100" xr:uid="{2F9FD10F-7369-4A29-9A3E-A24CD4944539}"/>
    <cellStyle name="Comma 5 7 2 7 2" xfId="25220" xr:uid="{F6B1F579-7802-4162-AD70-4344AABA379D}"/>
    <cellStyle name="Comma 5 7 2 7 2 2" xfId="55460" xr:uid="{F4178597-8646-4857-82E5-47DC0E19D922}"/>
    <cellStyle name="Comma 5 7 2 7 3" xfId="40340" xr:uid="{B6DAEBD3-48F1-49CB-9799-FB983612BB2F}"/>
    <cellStyle name="Comma 5 7 2 8" xfId="16148" xr:uid="{FFB088AD-4D09-4F9F-865F-7248B985EBFF}"/>
    <cellStyle name="Comma 5 7 2 8 2" xfId="46388" xr:uid="{7D15C33A-E4C4-4EAC-9FB9-506A4EB1AEBD}"/>
    <cellStyle name="Comma 5 7 2 9" xfId="31268" xr:uid="{351CE10D-36D0-45A0-BDA0-9DACD248E712}"/>
    <cellStyle name="Comma 5 7 3" xfId="1784" xr:uid="{C484279B-043F-4468-B855-027D4A481846}"/>
    <cellStyle name="Comma 5 7 3 2" xfId="10856" xr:uid="{18920906-DEBD-4DBE-B15C-0FC020802C19}"/>
    <cellStyle name="Comma 5 7 3 2 2" xfId="25976" xr:uid="{1581DF07-FD87-4D1E-8EE5-425FF6F82739}"/>
    <cellStyle name="Comma 5 7 3 2 2 2" xfId="56216" xr:uid="{FD444450-C8B8-4A8C-9D9C-8126D832B59B}"/>
    <cellStyle name="Comma 5 7 3 2 3" xfId="41096" xr:uid="{8699F6F9-E70C-414C-86E9-F7934EE8B042}"/>
    <cellStyle name="Comma 5 7 3 3" xfId="16904" xr:uid="{FEFEFD72-1A62-4479-B4E0-6C46C7464DB7}"/>
    <cellStyle name="Comma 5 7 3 3 2" xfId="47144" xr:uid="{429D19E3-5538-433F-BA22-39517F253A72}"/>
    <cellStyle name="Comma 5 7 3 4" xfId="32024" xr:uid="{0F54E413-A2BA-40F1-9580-9C267D611E7C}"/>
    <cellStyle name="Comma 5 7 4" xfId="3296" xr:uid="{210F01DE-20D3-4D75-B39A-88A1F2CEB9EA}"/>
    <cellStyle name="Comma 5 7 4 2" xfId="12368" xr:uid="{7E4841AB-986B-4B6E-B044-2E95BDCA0D5C}"/>
    <cellStyle name="Comma 5 7 4 2 2" xfId="27488" xr:uid="{9DC8428A-2A1E-4442-A821-600696EBBD84}"/>
    <cellStyle name="Comma 5 7 4 2 2 2" xfId="57728" xr:uid="{17CDC51C-5179-46C3-961A-C1E03C7565D0}"/>
    <cellStyle name="Comma 5 7 4 2 3" xfId="42608" xr:uid="{15853A92-60A0-4C64-A1D1-D428722F32ED}"/>
    <cellStyle name="Comma 5 7 4 3" xfId="18416" xr:uid="{56DFF7E9-156C-41F9-95B1-0BC3285C313E}"/>
    <cellStyle name="Comma 5 7 4 3 2" xfId="48656" xr:uid="{C670A847-3BBF-4871-B271-4D3022FE200D}"/>
    <cellStyle name="Comma 5 7 4 4" xfId="33536" xr:uid="{D9AE1DC1-D73B-448D-B675-724E7976A5BA}"/>
    <cellStyle name="Comma 5 7 5" xfId="4808" xr:uid="{C3382EA9-4615-44CC-B29A-A374ED0677E6}"/>
    <cellStyle name="Comma 5 7 5 2" xfId="13880" xr:uid="{CDA9F804-060F-413D-8981-D96C6DF80CF1}"/>
    <cellStyle name="Comma 5 7 5 2 2" xfId="29000" xr:uid="{61D9798E-3EB3-4F2B-8A44-1BB2C799A3A8}"/>
    <cellStyle name="Comma 5 7 5 2 2 2" xfId="59240" xr:uid="{78B2596C-DAE0-4197-A127-EC4B593AF812}"/>
    <cellStyle name="Comma 5 7 5 2 3" xfId="44120" xr:uid="{7AA21FB3-2EAE-4A0A-A023-07BB91D6B68F}"/>
    <cellStyle name="Comma 5 7 5 3" xfId="19928" xr:uid="{66248250-5EAD-4072-A774-B25D6C65F8B1}"/>
    <cellStyle name="Comma 5 7 5 3 2" xfId="50168" xr:uid="{D57243D6-2AD6-42A7-B39D-1F1E6EDF2727}"/>
    <cellStyle name="Comma 5 7 5 4" xfId="35048" xr:uid="{4A4DECEF-5880-4A59-8598-D3E9C4C1C919}"/>
    <cellStyle name="Comma 5 7 6" xfId="6320" xr:uid="{00720315-E356-46FE-887F-D7972E9B48C3}"/>
    <cellStyle name="Comma 5 7 6 2" xfId="21440" xr:uid="{76DD59D0-1440-45E6-A4A5-C865F996AA5B}"/>
    <cellStyle name="Comma 5 7 6 2 2" xfId="51680" xr:uid="{712FDEA3-C7EE-4186-B394-3C6CEB5FE071}"/>
    <cellStyle name="Comma 5 7 6 3" xfId="36560" xr:uid="{12D6D69A-82E9-486D-AD65-6AEEF70DD3AF}"/>
    <cellStyle name="Comma 5 7 7" xfId="7832" xr:uid="{0A6B3858-B8C5-46AB-97CD-5695FDF0A144}"/>
    <cellStyle name="Comma 5 7 7 2" xfId="22952" xr:uid="{75B93A0A-62F7-49A9-9E85-8A3C82D43910}"/>
    <cellStyle name="Comma 5 7 7 2 2" xfId="53192" xr:uid="{0820CF2F-33D7-4594-A476-BB354F146157}"/>
    <cellStyle name="Comma 5 7 7 3" xfId="38072" xr:uid="{0FEA7782-78BD-4AF2-BEEC-A1C962BEBE83}"/>
    <cellStyle name="Comma 5 7 8" xfId="9344" xr:uid="{658A94BE-22D9-451B-A0F3-5EE287936342}"/>
    <cellStyle name="Comma 5 7 8 2" xfId="24464" xr:uid="{7286BC79-CE40-4ED3-9642-E13B40008B9B}"/>
    <cellStyle name="Comma 5 7 8 2 2" xfId="54704" xr:uid="{F17D81B8-AC15-4EF9-9BE2-128C14B09993}"/>
    <cellStyle name="Comma 5 7 8 3" xfId="39584" xr:uid="{3A99DC25-DCB0-4B2F-95BF-B50174FE092F}"/>
    <cellStyle name="Comma 5 7 9" xfId="15392" xr:uid="{FFCCECE9-10E5-44B3-ABA2-92B476F57ECB}"/>
    <cellStyle name="Comma 5 7 9 2" xfId="45632" xr:uid="{29F79D24-6567-4207-B661-E4BF7F1C81C9}"/>
    <cellStyle name="Comma 5 8" xfId="524" xr:uid="{D8F287DA-D0F1-4550-8170-D4CB5BA587A3}"/>
    <cellStyle name="Comma 5 8 10" xfId="30764" xr:uid="{51FF6642-A277-47C4-9E93-999C47998B63}"/>
    <cellStyle name="Comma 5 8 2" xfId="1280" xr:uid="{2D69EF04-2D1C-4F3E-941F-5D5B9C9C1F9F}"/>
    <cellStyle name="Comma 5 8 2 2" xfId="2792" xr:uid="{039CCBF7-1EB4-4F1B-B18F-9347657E96CC}"/>
    <cellStyle name="Comma 5 8 2 2 2" xfId="11864" xr:uid="{D9CC1C00-7BEC-416C-A80A-E4773364F5CE}"/>
    <cellStyle name="Comma 5 8 2 2 2 2" xfId="26984" xr:uid="{1AC2E46B-3B59-492E-A017-1DB6C9446667}"/>
    <cellStyle name="Comma 5 8 2 2 2 2 2" xfId="57224" xr:uid="{23AB71E1-53A6-4ECD-93F6-39C998E7BE30}"/>
    <cellStyle name="Comma 5 8 2 2 2 3" xfId="42104" xr:uid="{86483BAE-43E6-4B7E-B69F-F8D7D64D2D92}"/>
    <cellStyle name="Comma 5 8 2 2 3" xfId="17912" xr:uid="{3A9FA387-EEED-49B9-BB41-6732AED01AC5}"/>
    <cellStyle name="Comma 5 8 2 2 3 2" xfId="48152" xr:uid="{E88C4FF9-B994-4CA9-A4DD-23A9713AEAA5}"/>
    <cellStyle name="Comma 5 8 2 2 4" xfId="33032" xr:uid="{52981C22-3D54-433A-9BA1-FB4FAED8FCE8}"/>
    <cellStyle name="Comma 5 8 2 3" xfId="4304" xr:uid="{D78EC0AB-F5E0-44A0-B45C-39ECF44D4431}"/>
    <cellStyle name="Comma 5 8 2 3 2" xfId="13376" xr:uid="{7F40D555-44AE-4E7E-8409-B98FB0C5FBD4}"/>
    <cellStyle name="Comma 5 8 2 3 2 2" xfId="28496" xr:uid="{70B1FD9D-C372-47AE-8BE2-3E803411B3A8}"/>
    <cellStyle name="Comma 5 8 2 3 2 2 2" xfId="58736" xr:uid="{1DABED9C-4E79-45C2-9559-44B2096C019F}"/>
    <cellStyle name="Comma 5 8 2 3 2 3" xfId="43616" xr:uid="{AC4FC840-E37E-4BA6-914A-25B9136F44C8}"/>
    <cellStyle name="Comma 5 8 2 3 3" xfId="19424" xr:uid="{4BC8BC11-1C58-4932-8C5B-454F0BB0AB50}"/>
    <cellStyle name="Comma 5 8 2 3 3 2" xfId="49664" xr:uid="{9878E8C5-B0A9-4595-8483-4BC446551313}"/>
    <cellStyle name="Comma 5 8 2 3 4" xfId="34544" xr:uid="{A4458226-AAEC-4DBB-8C84-748A4F617332}"/>
    <cellStyle name="Comma 5 8 2 4" xfId="5816" xr:uid="{395D2D45-D9B3-4BBF-BFBF-469CE5F8938B}"/>
    <cellStyle name="Comma 5 8 2 4 2" xfId="14888" xr:uid="{6FD6ED93-AB72-48D0-ADB2-4B7FA8FCB3C0}"/>
    <cellStyle name="Comma 5 8 2 4 2 2" xfId="30008" xr:uid="{BDABAF12-5EDB-4F2C-B014-A78E57E44B06}"/>
    <cellStyle name="Comma 5 8 2 4 2 2 2" xfId="60248" xr:uid="{B2AFF5A3-3E07-4ACD-B281-5DFB00BB33E1}"/>
    <cellStyle name="Comma 5 8 2 4 2 3" xfId="45128" xr:uid="{9F9F8E95-54D6-40EE-8608-0F5CA9387044}"/>
    <cellStyle name="Comma 5 8 2 4 3" xfId="20936" xr:uid="{7D2D1896-D935-411D-940F-63E3448C21AD}"/>
    <cellStyle name="Comma 5 8 2 4 3 2" xfId="51176" xr:uid="{27833FCC-22F6-4115-B280-85F9145CC4BD}"/>
    <cellStyle name="Comma 5 8 2 4 4" xfId="36056" xr:uid="{14806393-7AAF-49F3-8FAB-74570E78A634}"/>
    <cellStyle name="Comma 5 8 2 5" xfId="7328" xr:uid="{F609DC23-7062-4C11-8029-53F42D006067}"/>
    <cellStyle name="Comma 5 8 2 5 2" xfId="22448" xr:uid="{7AFB7D3E-FC2B-4F43-9451-846C96763A64}"/>
    <cellStyle name="Comma 5 8 2 5 2 2" xfId="52688" xr:uid="{0D5159CA-65B1-4D69-AEC7-657C1F08EBC1}"/>
    <cellStyle name="Comma 5 8 2 5 3" xfId="37568" xr:uid="{9D6AF472-56CE-4810-9AFF-F98C184FA011}"/>
    <cellStyle name="Comma 5 8 2 6" xfId="8840" xr:uid="{9E4B058C-3519-4637-867D-32E93D9EF0B6}"/>
    <cellStyle name="Comma 5 8 2 6 2" xfId="23960" xr:uid="{EF795D2B-8B82-490B-BAD2-14DEC7FFC48B}"/>
    <cellStyle name="Comma 5 8 2 6 2 2" xfId="54200" xr:uid="{60D34E9A-A774-4869-B4D5-4755F753F44F}"/>
    <cellStyle name="Comma 5 8 2 6 3" xfId="39080" xr:uid="{F8054BAF-FE7A-4E48-9E87-911F35E5686C}"/>
    <cellStyle name="Comma 5 8 2 7" xfId="10352" xr:uid="{B021CBFB-0BC2-40D7-BD32-03548105EDEE}"/>
    <cellStyle name="Comma 5 8 2 7 2" xfId="25472" xr:uid="{2BD03BC8-71FF-4900-92DA-6A357FB9D4A6}"/>
    <cellStyle name="Comma 5 8 2 7 2 2" xfId="55712" xr:uid="{6FB489F7-0316-45B5-BC68-E5785D180739}"/>
    <cellStyle name="Comma 5 8 2 7 3" xfId="40592" xr:uid="{C48DF941-49F9-4AA7-AC40-0F1C43EE9252}"/>
    <cellStyle name="Comma 5 8 2 8" xfId="16400" xr:uid="{7451844A-FA55-4C3D-AECE-23C4BD8A7A59}"/>
    <cellStyle name="Comma 5 8 2 8 2" xfId="46640" xr:uid="{A030FC72-439F-4E2E-BF79-8084FC1BF2D6}"/>
    <cellStyle name="Comma 5 8 2 9" xfId="31520" xr:uid="{818E6333-1B42-477C-B39B-D397D9BDEE15}"/>
    <cellStyle name="Comma 5 8 3" xfId="2036" xr:uid="{C4776DDE-C95A-41C0-863D-A3EE5FE324C4}"/>
    <cellStyle name="Comma 5 8 3 2" xfId="11108" xr:uid="{B1E06AE6-7E43-4FAD-BD27-C6A77B34000C}"/>
    <cellStyle name="Comma 5 8 3 2 2" xfId="26228" xr:uid="{FFC823C6-2541-48FC-B1A6-3C005D547604}"/>
    <cellStyle name="Comma 5 8 3 2 2 2" xfId="56468" xr:uid="{34957F31-3ABA-451D-98DC-CE6374460356}"/>
    <cellStyle name="Comma 5 8 3 2 3" xfId="41348" xr:uid="{8D039CC4-FA42-4612-9C0B-E56B92C26DD2}"/>
    <cellStyle name="Comma 5 8 3 3" xfId="17156" xr:uid="{50FFA8BF-1ADE-406A-A7C2-C178ECE13DD8}"/>
    <cellStyle name="Comma 5 8 3 3 2" xfId="47396" xr:uid="{9B8D269C-8A5B-4EA1-8E04-45899DB7A9DB}"/>
    <cellStyle name="Comma 5 8 3 4" xfId="32276" xr:uid="{A3103264-EB6B-4F5C-BC1A-988532CD673F}"/>
    <cellStyle name="Comma 5 8 4" xfId="3548" xr:uid="{760232CB-512B-4072-83E9-E93E743520FB}"/>
    <cellStyle name="Comma 5 8 4 2" xfId="12620" xr:uid="{C1E7D973-4A90-4D3D-B0DC-D194569B4D95}"/>
    <cellStyle name="Comma 5 8 4 2 2" xfId="27740" xr:uid="{43EF84BB-0ED6-4D4D-B278-85321545F532}"/>
    <cellStyle name="Comma 5 8 4 2 2 2" xfId="57980" xr:uid="{0938EEA4-DC2E-410A-8A7D-C83E3902C2D9}"/>
    <cellStyle name="Comma 5 8 4 2 3" xfId="42860" xr:uid="{77C7991E-C46A-4E4A-BBC1-9D04D7A8A35A}"/>
    <cellStyle name="Comma 5 8 4 3" xfId="18668" xr:uid="{245A4D97-97AF-42F1-8DE4-C9A0E0BC008E}"/>
    <cellStyle name="Comma 5 8 4 3 2" xfId="48908" xr:uid="{B3DA9477-4504-4F9A-8277-557DA415D2B3}"/>
    <cellStyle name="Comma 5 8 4 4" xfId="33788" xr:uid="{5221A5FA-6B5F-4F3A-BEDD-7FA825FE0191}"/>
    <cellStyle name="Comma 5 8 5" xfId="5060" xr:uid="{BEAD6EED-2CD9-464C-B5DB-1092D7DF29F1}"/>
    <cellStyle name="Comma 5 8 5 2" xfId="14132" xr:uid="{B1A2B7B0-4D85-4948-8DCE-5F3CBCA5332A}"/>
    <cellStyle name="Comma 5 8 5 2 2" xfId="29252" xr:uid="{17D2D8B0-6CC3-4579-A971-7940AB859A6C}"/>
    <cellStyle name="Comma 5 8 5 2 2 2" xfId="59492" xr:uid="{5E77F38F-93BE-41FB-8BEF-B2E0625C6B1C}"/>
    <cellStyle name="Comma 5 8 5 2 3" xfId="44372" xr:uid="{0A481FC6-87EE-43D4-971B-2D14B2D99C63}"/>
    <cellStyle name="Comma 5 8 5 3" xfId="20180" xr:uid="{17C2DB17-7C43-48E6-9CE1-85355D725294}"/>
    <cellStyle name="Comma 5 8 5 3 2" xfId="50420" xr:uid="{BE155F91-FB86-4D18-906E-6D2682529729}"/>
    <cellStyle name="Comma 5 8 5 4" xfId="35300" xr:uid="{F5C95D69-B87A-4492-9D14-473A1CB89491}"/>
    <cellStyle name="Comma 5 8 6" xfId="6572" xr:uid="{75A1DA1A-3C09-4F68-AFCA-7A0D880888C8}"/>
    <cellStyle name="Comma 5 8 6 2" xfId="21692" xr:uid="{E8967ED0-5673-4C45-8539-73FFFD5FDEF7}"/>
    <cellStyle name="Comma 5 8 6 2 2" xfId="51932" xr:uid="{D86D9042-FFAE-4AED-A383-27F5A43C5247}"/>
    <cellStyle name="Comma 5 8 6 3" xfId="36812" xr:uid="{13FF1E60-D97D-40B0-9F55-2720FAAF6DE9}"/>
    <cellStyle name="Comma 5 8 7" xfId="8084" xr:uid="{57BB3B3A-C067-468C-BE73-C40DACD95711}"/>
    <cellStyle name="Comma 5 8 7 2" xfId="23204" xr:uid="{7DA52EDA-574C-4B89-931A-2266E70B4403}"/>
    <cellStyle name="Comma 5 8 7 2 2" xfId="53444" xr:uid="{85A35E66-432A-4412-863F-B81C00134EE3}"/>
    <cellStyle name="Comma 5 8 7 3" xfId="38324" xr:uid="{92CEEF9D-E08A-4FBF-8517-C95180AA3E38}"/>
    <cellStyle name="Comma 5 8 8" xfId="9596" xr:uid="{D852B811-1904-44D8-BB3E-966C68F2BC5A}"/>
    <cellStyle name="Comma 5 8 8 2" xfId="24716" xr:uid="{8376A900-CDC6-48E1-A35B-2330B2A1A0CA}"/>
    <cellStyle name="Comma 5 8 8 2 2" xfId="54956" xr:uid="{8542403B-32B8-473C-B481-04FC3399798F}"/>
    <cellStyle name="Comma 5 8 8 3" xfId="39836" xr:uid="{66625CC1-2D2E-45B5-8987-FD0312AF0AE4}"/>
    <cellStyle name="Comma 5 8 9" xfId="15644" xr:uid="{F74A7400-E41E-4CD4-B966-2C9E90B19C5B}"/>
    <cellStyle name="Comma 5 8 9 2" xfId="45884" xr:uid="{F6BAF6F8-2802-472E-9E82-BD010C2F4B57}"/>
    <cellStyle name="Comma 5 9" xfId="776" xr:uid="{C0A2D06D-39F9-456F-8376-7DD40EBC4B12}"/>
    <cellStyle name="Comma 5 9 2" xfId="2288" xr:uid="{1C79A0B9-3924-4CBB-89C1-EC23FE0DD47C}"/>
    <cellStyle name="Comma 5 9 2 2" xfId="11360" xr:uid="{D0542C56-EF7D-41CE-BE8D-E0E7492B28EC}"/>
    <cellStyle name="Comma 5 9 2 2 2" xfId="26480" xr:uid="{5CB8C396-DF4A-492C-8936-9241C1AA9E14}"/>
    <cellStyle name="Comma 5 9 2 2 2 2" xfId="56720" xr:uid="{7A031A3D-8BE2-4573-B10E-16E96FD86A05}"/>
    <cellStyle name="Comma 5 9 2 2 3" xfId="41600" xr:uid="{18101D2F-A77B-4238-BCBE-22651B0B18EC}"/>
    <cellStyle name="Comma 5 9 2 3" xfId="17408" xr:uid="{869D9147-314F-41AC-9A64-58248419C427}"/>
    <cellStyle name="Comma 5 9 2 3 2" xfId="47648" xr:uid="{4D265A7A-0200-45A8-B902-9B0D749561E1}"/>
    <cellStyle name="Comma 5 9 2 4" xfId="32528" xr:uid="{A003A90D-5017-48F3-AD91-346CB9178BA7}"/>
    <cellStyle name="Comma 5 9 3" xfId="3800" xr:uid="{77D7F8E4-FD1C-44B8-8FEB-289FAD79E313}"/>
    <cellStyle name="Comma 5 9 3 2" xfId="12872" xr:uid="{8D2E710A-1A10-42ED-901A-AB362087CB16}"/>
    <cellStyle name="Comma 5 9 3 2 2" xfId="27992" xr:uid="{966BE460-69AB-4F9B-9F30-00714ECC2A0A}"/>
    <cellStyle name="Comma 5 9 3 2 2 2" xfId="58232" xr:uid="{8FFE46C4-7293-483A-9CAE-F629B95F4FDC}"/>
    <cellStyle name="Comma 5 9 3 2 3" xfId="43112" xr:uid="{9C9B9536-F72A-4F77-A1E5-5BE4C46F5BEB}"/>
    <cellStyle name="Comma 5 9 3 3" xfId="18920" xr:uid="{24D3111E-A456-47C0-BB7E-AB2BEA1ACA90}"/>
    <cellStyle name="Comma 5 9 3 3 2" xfId="49160" xr:uid="{B98502CF-7B98-4E4F-9A34-33C86EB9DFEF}"/>
    <cellStyle name="Comma 5 9 3 4" xfId="34040" xr:uid="{D692617E-CE56-42D1-AD40-9DF6DDC0DDEA}"/>
    <cellStyle name="Comma 5 9 4" xfId="5312" xr:uid="{D10F4E80-11B6-4733-AB52-CB44F4C8FC42}"/>
    <cellStyle name="Comma 5 9 4 2" xfId="14384" xr:uid="{DBB161E0-4078-4AFB-AD87-5882CECBFCC4}"/>
    <cellStyle name="Comma 5 9 4 2 2" xfId="29504" xr:uid="{B6DC2E25-E6E4-49C1-8C48-00C140F444E1}"/>
    <cellStyle name="Comma 5 9 4 2 2 2" xfId="59744" xr:uid="{7CD6B2C5-71A0-4002-B3CD-D750BC0EE600}"/>
    <cellStyle name="Comma 5 9 4 2 3" xfId="44624" xr:uid="{E7D03882-C8BB-4ADC-9406-EB60FBD7480C}"/>
    <cellStyle name="Comma 5 9 4 3" xfId="20432" xr:uid="{3D6B3E70-E2B2-48A7-9A20-00CAAFCA76C7}"/>
    <cellStyle name="Comma 5 9 4 3 2" xfId="50672" xr:uid="{A0CA6AFF-74F8-4307-B38E-AD109139DD36}"/>
    <cellStyle name="Comma 5 9 4 4" xfId="35552" xr:uid="{719E9334-6BFF-4609-AA82-BF6FEC1EBCE4}"/>
    <cellStyle name="Comma 5 9 5" xfId="6824" xr:uid="{AEE2BCE1-CB90-4E6F-807F-92211ED159C4}"/>
    <cellStyle name="Comma 5 9 5 2" xfId="21944" xr:uid="{A727A9A7-65C5-4D6C-A699-61A35818E8A3}"/>
    <cellStyle name="Comma 5 9 5 2 2" xfId="52184" xr:uid="{5C1482A7-5B5C-4ABF-A818-30BCF6B4F289}"/>
    <cellStyle name="Comma 5 9 5 3" xfId="37064" xr:uid="{B9248892-3EE3-4EEF-B2D4-3CD9A9B4656F}"/>
    <cellStyle name="Comma 5 9 6" xfId="8336" xr:uid="{FE0C1FE5-5081-4827-9922-A05FBC97AD9C}"/>
    <cellStyle name="Comma 5 9 6 2" xfId="23456" xr:uid="{4C857FD5-DF69-4C52-A247-DE0533E35C58}"/>
    <cellStyle name="Comma 5 9 6 2 2" xfId="53696" xr:uid="{494BC999-36C4-4347-951E-4B8A8410FCE1}"/>
    <cellStyle name="Comma 5 9 6 3" xfId="38576" xr:uid="{A1C58AA9-692E-4D49-8940-314B1767928D}"/>
    <cellStyle name="Comma 5 9 7" xfId="9848" xr:uid="{9D9DC9E5-FA19-4239-B195-8FB23BDCC28F}"/>
    <cellStyle name="Comma 5 9 7 2" xfId="24968" xr:uid="{E0093EEF-3B93-4F01-A334-247176B64DF1}"/>
    <cellStyle name="Comma 5 9 7 2 2" xfId="55208" xr:uid="{D20EE19C-9701-461E-9459-925A6BA61A46}"/>
    <cellStyle name="Comma 5 9 7 3" xfId="40088" xr:uid="{E21D35C6-0F73-4F66-A6D6-7654B73121A8}"/>
    <cellStyle name="Comma 5 9 8" xfId="15896" xr:uid="{CD741CC6-2A73-438E-920F-5F2E9D99575F}"/>
    <cellStyle name="Comma 5 9 8 2" xfId="46136" xr:uid="{D82365AD-C007-4F17-8673-E4C21488E447}"/>
    <cellStyle name="Comma 5 9 9" xfId="31016" xr:uid="{33F086D4-9C9C-4C32-96E0-42006ED753F7}"/>
    <cellStyle name="Comma 6" xfId="21" xr:uid="{AA5C76C1-90BF-4857-A072-B51505C11F9A}"/>
    <cellStyle name="Comma 6 10" xfId="1533" xr:uid="{D80560C0-2E34-409C-A459-AF892A804532}"/>
    <cellStyle name="Comma 6 10 2" xfId="10605" xr:uid="{F22C6C83-BF35-4366-A2C6-5B1D01FF8DBA}"/>
    <cellStyle name="Comma 6 10 2 2" xfId="25725" xr:uid="{FD0B1DC7-3F11-4EC0-8A90-18FB8560E887}"/>
    <cellStyle name="Comma 6 10 2 2 2" xfId="55965" xr:uid="{9DCA0750-4918-40B4-8832-7260BFCA8805}"/>
    <cellStyle name="Comma 6 10 2 3" xfId="40845" xr:uid="{7D1544DD-0F54-4B63-9BA8-54B3D03EB75D}"/>
    <cellStyle name="Comma 6 10 3" xfId="16653" xr:uid="{2CEA9ED9-7944-44D5-95B6-EAF403462942}"/>
    <cellStyle name="Comma 6 10 3 2" xfId="46893" xr:uid="{C1D0855B-B65E-4CF7-BB88-1955C3BCA605}"/>
    <cellStyle name="Comma 6 10 4" xfId="31773" xr:uid="{600DF389-60D7-468C-9AAF-7AFDCFC2510B}"/>
    <cellStyle name="Comma 6 11" xfId="3045" xr:uid="{EE7C6E81-128F-42C3-B3BD-5DFD86D762EC}"/>
    <cellStyle name="Comma 6 11 2" xfId="12117" xr:uid="{8B8FBF0F-18AB-46DE-AE5A-453DC01C18DC}"/>
    <cellStyle name="Comma 6 11 2 2" xfId="27237" xr:uid="{5E9A87B3-5121-4AC5-8E34-35C45C74705D}"/>
    <cellStyle name="Comma 6 11 2 2 2" xfId="57477" xr:uid="{83D6724C-C212-471C-AA10-D7149B428604}"/>
    <cellStyle name="Comma 6 11 2 3" xfId="42357" xr:uid="{E355627D-CE7B-4201-9D9C-BDCCED4B63DD}"/>
    <cellStyle name="Comma 6 11 3" xfId="18165" xr:uid="{DFC7AFE4-E90E-47C8-BB37-4B2437635290}"/>
    <cellStyle name="Comma 6 11 3 2" xfId="48405" xr:uid="{80F8667E-A6BB-4387-A3DB-45102BBF79E3}"/>
    <cellStyle name="Comma 6 11 4" xfId="33285" xr:uid="{47C12BF9-B872-4575-B8AF-39C15A415AF0}"/>
    <cellStyle name="Comma 6 12" xfId="4557" xr:uid="{6A0E1AC0-0BAC-403D-84AE-9A4A46CD8BA0}"/>
    <cellStyle name="Comma 6 12 2" xfId="13629" xr:uid="{88D5DA03-5D87-4403-B603-6F3067B5A3EF}"/>
    <cellStyle name="Comma 6 12 2 2" xfId="28749" xr:uid="{B893EDB9-99F3-4B88-918F-32FF7750799D}"/>
    <cellStyle name="Comma 6 12 2 2 2" xfId="58989" xr:uid="{8B0080FB-134A-48EA-938A-7DE27376C4DB}"/>
    <cellStyle name="Comma 6 12 2 3" xfId="43869" xr:uid="{4BDB226A-FA1A-46DF-B056-683DFC0D2F38}"/>
    <cellStyle name="Comma 6 12 3" xfId="19677" xr:uid="{402863A0-BEC5-48D3-9877-E42F16668125}"/>
    <cellStyle name="Comma 6 12 3 2" xfId="49917" xr:uid="{B59114E7-C106-4EEE-9072-BFB8AF7BC119}"/>
    <cellStyle name="Comma 6 12 4" xfId="34797" xr:uid="{D7B544AB-CBA9-4487-BE8A-FC22A57AD6E4}"/>
    <cellStyle name="Comma 6 13" xfId="6069" xr:uid="{39148AFB-978B-4978-8AA2-D0D52EFF6900}"/>
    <cellStyle name="Comma 6 13 2" xfId="21189" xr:uid="{F43EC3CB-75ED-42B2-9CA2-C6826F61C5F1}"/>
    <cellStyle name="Comma 6 13 2 2" xfId="51429" xr:uid="{C7F4C81B-C3A7-49D0-B22F-89F3C3DC6DC8}"/>
    <cellStyle name="Comma 6 13 3" xfId="36309" xr:uid="{93799365-ED17-46A0-A472-E58705D206DD}"/>
    <cellStyle name="Comma 6 14" xfId="7581" xr:uid="{10329003-17E5-4EEF-B74A-8CBC66038980}"/>
    <cellStyle name="Comma 6 14 2" xfId="22701" xr:uid="{7C9AE41D-0B04-4E7D-8836-EB5421ECB9D8}"/>
    <cellStyle name="Comma 6 14 2 2" xfId="52941" xr:uid="{031B8FB6-0268-4B8A-AFB0-48727A02DA80}"/>
    <cellStyle name="Comma 6 14 3" xfId="37821" xr:uid="{863A301D-4F23-4448-AA3D-7ED5A52E773F}"/>
    <cellStyle name="Comma 6 15" xfId="9093" xr:uid="{8EDACA7E-90CE-4AC2-8FEF-9B42C9BB74C5}"/>
    <cellStyle name="Comma 6 15 2" xfId="24213" xr:uid="{F36C5601-3BD3-4E5A-8F38-AEF7690185C3}"/>
    <cellStyle name="Comma 6 15 2 2" xfId="54453" xr:uid="{D95F3F67-FB48-4CE7-B2B1-ED7F3C05B180}"/>
    <cellStyle name="Comma 6 15 3" xfId="39333" xr:uid="{FFD5CA72-18FB-40D4-9BE2-AA90B9CBCA99}"/>
    <cellStyle name="Comma 6 16" xfId="15141" xr:uid="{FEBC0B84-160B-42D2-905D-2A4877EA3FB2}"/>
    <cellStyle name="Comma 6 16 2" xfId="45381" xr:uid="{E3D7C99E-28B4-45C2-9CF5-DAB4208A159D}"/>
    <cellStyle name="Comma 6 17" xfId="30261" xr:uid="{C0215B38-41A6-4812-9EB5-99287B63DF05}"/>
    <cellStyle name="Comma 6 2" xfId="35" xr:uid="{E1CA9846-905C-4D2A-B383-AB2245BC6DCD}"/>
    <cellStyle name="Comma 6 2 10" xfId="4571" xr:uid="{A86D8BE5-CAF9-4BD4-BB1C-C7B4D943B096}"/>
    <cellStyle name="Comma 6 2 10 2" xfId="13643" xr:uid="{FAC2F2A8-4E20-4B79-8E2C-EB5C7FFA39F5}"/>
    <cellStyle name="Comma 6 2 10 2 2" xfId="28763" xr:uid="{45E52AD7-7586-468C-BDB6-6D173EC43CD2}"/>
    <cellStyle name="Comma 6 2 10 2 2 2" xfId="59003" xr:uid="{208FDC13-6C2E-424C-B76A-8DBBB621C146}"/>
    <cellStyle name="Comma 6 2 10 2 3" xfId="43883" xr:uid="{B8EF6A9C-B2DE-428B-B533-4612E7B7AE03}"/>
    <cellStyle name="Comma 6 2 10 3" xfId="19691" xr:uid="{9FCC4E33-89D2-46DA-AB6D-965DDDC6AFB5}"/>
    <cellStyle name="Comma 6 2 10 3 2" xfId="49931" xr:uid="{81B6E0CA-BA26-43E2-AFE0-3B04F1D01D4E}"/>
    <cellStyle name="Comma 6 2 10 4" xfId="34811" xr:uid="{F46022D3-C41D-4010-B944-8995C3C91FC4}"/>
    <cellStyle name="Comma 6 2 11" xfId="6083" xr:uid="{98D13D14-EC39-4FAA-AC20-45A47B750D7F}"/>
    <cellStyle name="Comma 6 2 11 2" xfId="21203" xr:uid="{07DD0C53-891E-49D8-AC41-ED4C9B7A29CF}"/>
    <cellStyle name="Comma 6 2 11 2 2" xfId="51443" xr:uid="{98D5CD97-AB06-41A0-9AFB-34B53FBFFF7D}"/>
    <cellStyle name="Comma 6 2 11 3" xfId="36323" xr:uid="{3D789E9C-0488-4322-BA01-7153A47B8CB4}"/>
    <cellStyle name="Comma 6 2 12" xfId="7595" xr:uid="{49DC86A6-FE8F-4ECB-8C14-A69F34B7E89D}"/>
    <cellStyle name="Comma 6 2 12 2" xfId="22715" xr:uid="{D085F595-E6E6-4C8E-951F-C3165B025D66}"/>
    <cellStyle name="Comma 6 2 12 2 2" xfId="52955" xr:uid="{58EFA25E-31E2-4C73-B5CC-DD9CD5E18785}"/>
    <cellStyle name="Comma 6 2 12 3" xfId="37835" xr:uid="{7E0EEE99-F75A-4D11-BEB6-A57B067FA55F}"/>
    <cellStyle name="Comma 6 2 13" xfId="9107" xr:uid="{2FBFB092-F8B3-4556-9F29-7A580E76DDA6}"/>
    <cellStyle name="Comma 6 2 13 2" xfId="24227" xr:uid="{9329110A-411A-47C5-9002-5B6209AA154D}"/>
    <cellStyle name="Comma 6 2 13 2 2" xfId="54467" xr:uid="{B22B2545-0A4E-4FE2-8A71-1B07662D9FE7}"/>
    <cellStyle name="Comma 6 2 13 3" xfId="39347" xr:uid="{08C93C49-2BB8-4A89-B0A4-E5099FA057D7}"/>
    <cellStyle name="Comma 6 2 14" xfId="15155" xr:uid="{8150BA80-06C7-4D4C-BDC8-C6E43093A1D2}"/>
    <cellStyle name="Comma 6 2 14 2" xfId="45395" xr:uid="{29DA10DD-D40A-479D-BD1F-B7F4A4DDE5D5}"/>
    <cellStyle name="Comma 6 2 15" xfId="30275" xr:uid="{D31CA8F5-DE2E-4154-A59F-3D19A8B05AB5}"/>
    <cellStyle name="Comma 6 2 2" xfId="77" xr:uid="{D57CB963-5137-476F-BF27-FC8D714F8421}"/>
    <cellStyle name="Comma 6 2 2 10" xfId="6125" xr:uid="{2CD9A2A8-EBBE-470C-8A0D-28B1701D71FB}"/>
    <cellStyle name="Comma 6 2 2 10 2" xfId="21245" xr:uid="{7BBBFF23-049C-4328-BC73-0FD1C7D89114}"/>
    <cellStyle name="Comma 6 2 2 10 2 2" xfId="51485" xr:uid="{6D86DD3B-5061-49A6-98A7-B2448A6B80AD}"/>
    <cellStyle name="Comma 6 2 2 10 3" xfId="36365" xr:uid="{64949ECE-9E79-434E-AC9F-5E510A879997}"/>
    <cellStyle name="Comma 6 2 2 11" xfId="7637" xr:uid="{762A27CD-0737-4FD2-A08B-67E523E5F9B8}"/>
    <cellStyle name="Comma 6 2 2 11 2" xfId="22757" xr:uid="{65DE7F91-9146-4A6F-9FF1-BCC0C56779FA}"/>
    <cellStyle name="Comma 6 2 2 11 2 2" xfId="52997" xr:uid="{84EBEEDF-5950-4234-9A11-DCF1AFCC492E}"/>
    <cellStyle name="Comma 6 2 2 11 3" xfId="37877" xr:uid="{29C1D99C-B4A1-48C7-AAFF-1301FC515897}"/>
    <cellStyle name="Comma 6 2 2 12" xfId="9149" xr:uid="{E23E39DE-5253-4799-BBEA-48DECB0F5E4B}"/>
    <cellStyle name="Comma 6 2 2 12 2" xfId="24269" xr:uid="{2317E504-7101-4621-82FA-BD6FD996D6CA}"/>
    <cellStyle name="Comma 6 2 2 12 2 2" xfId="54509" xr:uid="{E3AE74F6-1614-4215-B5BA-E3B6E3B1B1F0}"/>
    <cellStyle name="Comma 6 2 2 12 3" xfId="39389" xr:uid="{EE7F6FBD-687D-46C7-A3B6-B267FDC7B124}"/>
    <cellStyle name="Comma 6 2 2 13" xfId="15197" xr:uid="{1D38C783-3082-4602-9260-19C173F6BFA9}"/>
    <cellStyle name="Comma 6 2 2 13 2" xfId="45437" xr:uid="{D34D82F1-16D4-48FE-AB7E-80F6BBB9FBF0}"/>
    <cellStyle name="Comma 6 2 2 14" xfId="30317" xr:uid="{D35E3B53-2F5C-42E3-A034-28D25C31B315}"/>
    <cellStyle name="Comma 6 2 2 2" xfId="161" xr:uid="{871BDADB-9F2C-4DCD-9FCA-B2E479E1920F}"/>
    <cellStyle name="Comma 6 2 2 2 10" xfId="9233" xr:uid="{E6A7C67B-4793-47B0-83FD-A95B90F10289}"/>
    <cellStyle name="Comma 6 2 2 2 10 2" xfId="24353" xr:uid="{BD27E05E-ECE8-49F1-A45C-02BB7BD7C0F1}"/>
    <cellStyle name="Comma 6 2 2 2 10 2 2" xfId="54593" xr:uid="{5A693157-949A-4916-B160-16FB3B61A6C2}"/>
    <cellStyle name="Comma 6 2 2 2 10 3" xfId="39473" xr:uid="{FB0460EA-A0F1-4D92-963B-0EFC5AA6280C}"/>
    <cellStyle name="Comma 6 2 2 2 11" xfId="15281" xr:uid="{091BF9EC-1192-46C6-A94E-A47DD30D5C1B}"/>
    <cellStyle name="Comma 6 2 2 2 11 2" xfId="45521" xr:uid="{E46663A9-2F0E-4D03-9048-4C9F6F1194D1}"/>
    <cellStyle name="Comma 6 2 2 2 12" xfId="30401" xr:uid="{3074A33D-B2A8-474B-9797-B0DDFEA22253}"/>
    <cellStyle name="Comma 6 2 2 2 2" xfId="413" xr:uid="{0596C871-9AEB-4EDB-942B-AD0D89F84CFD}"/>
    <cellStyle name="Comma 6 2 2 2 2 10" xfId="30653" xr:uid="{12FA0E7D-D06B-40BB-BA02-E7E8D5DD217F}"/>
    <cellStyle name="Comma 6 2 2 2 2 2" xfId="1169" xr:uid="{20B3CE94-E0A0-4BE0-907C-B2B146D6FD9B}"/>
    <cellStyle name="Comma 6 2 2 2 2 2 2" xfId="2681" xr:uid="{85293059-F7A1-4EA5-990A-C1B7267D85ED}"/>
    <cellStyle name="Comma 6 2 2 2 2 2 2 2" xfId="11753" xr:uid="{DD80E84F-8079-4A3B-98D5-1E2503B9C611}"/>
    <cellStyle name="Comma 6 2 2 2 2 2 2 2 2" xfId="26873" xr:uid="{9709A5F1-D41A-4D84-B91F-BB44329D451D}"/>
    <cellStyle name="Comma 6 2 2 2 2 2 2 2 2 2" xfId="57113" xr:uid="{F176818A-A9D6-44C3-B8F0-790A04164B87}"/>
    <cellStyle name="Comma 6 2 2 2 2 2 2 2 3" xfId="41993" xr:uid="{12FED141-2701-411F-9E47-5E822427236A}"/>
    <cellStyle name="Comma 6 2 2 2 2 2 2 3" xfId="17801" xr:uid="{524019BB-4629-48E7-8E27-D9C0230DB872}"/>
    <cellStyle name="Comma 6 2 2 2 2 2 2 3 2" xfId="48041" xr:uid="{369F1A38-7EBD-4059-89AD-D400D7C2D526}"/>
    <cellStyle name="Comma 6 2 2 2 2 2 2 4" xfId="32921" xr:uid="{8F774E4D-C9A4-4F7E-B5DD-FFFB3C095B39}"/>
    <cellStyle name="Comma 6 2 2 2 2 2 3" xfId="4193" xr:uid="{F4A5DFFF-13B2-443E-8B5D-714E0AF929B7}"/>
    <cellStyle name="Comma 6 2 2 2 2 2 3 2" xfId="13265" xr:uid="{5D0A3EA7-9BAB-4DD5-B88B-EACA7E83EA24}"/>
    <cellStyle name="Comma 6 2 2 2 2 2 3 2 2" xfId="28385" xr:uid="{5B219955-74C6-45A1-B204-F362AF4C3D60}"/>
    <cellStyle name="Comma 6 2 2 2 2 2 3 2 2 2" xfId="58625" xr:uid="{56B9B566-282E-4D37-A9B2-8C486F27DFDD}"/>
    <cellStyle name="Comma 6 2 2 2 2 2 3 2 3" xfId="43505" xr:uid="{F527D43B-AE3F-4DFA-B605-BF1E7D950F1B}"/>
    <cellStyle name="Comma 6 2 2 2 2 2 3 3" xfId="19313" xr:uid="{704C1AC2-7ED7-46D1-86F6-A3D35C8C6B7C}"/>
    <cellStyle name="Comma 6 2 2 2 2 2 3 3 2" xfId="49553" xr:uid="{2A882B53-7066-4F54-B8CD-31525429CC70}"/>
    <cellStyle name="Comma 6 2 2 2 2 2 3 4" xfId="34433" xr:uid="{C3B02052-C53B-4914-BBA3-FBC2E8C0B396}"/>
    <cellStyle name="Comma 6 2 2 2 2 2 4" xfId="5705" xr:uid="{6F68D3FB-CFE6-4BB7-B09F-2DFF98079E14}"/>
    <cellStyle name="Comma 6 2 2 2 2 2 4 2" xfId="14777" xr:uid="{FD003FAD-FA9C-4C3D-9CF8-09F3DB83F9A8}"/>
    <cellStyle name="Comma 6 2 2 2 2 2 4 2 2" xfId="29897" xr:uid="{2FCD3A24-075B-4FF3-B4E1-EE18705A7036}"/>
    <cellStyle name="Comma 6 2 2 2 2 2 4 2 2 2" xfId="60137" xr:uid="{32E8424A-4515-4C17-B569-45EA783BFE98}"/>
    <cellStyle name="Comma 6 2 2 2 2 2 4 2 3" xfId="45017" xr:uid="{5723F66A-1A55-4549-9E01-1F808EE225FC}"/>
    <cellStyle name="Comma 6 2 2 2 2 2 4 3" xfId="20825" xr:uid="{E4030A5A-722E-416A-8EAD-CA24CDB7AF65}"/>
    <cellStyle name="Comma 6 2 2 2 2 2 4 3 2" xfId="51065" xr:uid="{ABA5AADD-D703-48B1-A169-42C19B207D2D}"/>
    <cellStyle name="Comma 6 2 2 2 2 2 4 4" xfId="35945" xr:uid="{7CAEE4DE-795D-4915-B43F-5B2469DF0D9B}"/>
    <cellStyle name="Comma 6 2 2 2 2 2 5" xfId="7217" xr:uid="{9F5EA86E-A952-490B-B221-FF1FC7428E75}"/>
    <cellStyle name="Comma 6 2 2 2 2 2 5 2" xfId="22337" xr:uid="{0D37E89E-41D7-4B68-969F-26D048EC1DF2}"/>
    <cellStyle name="Comma 6 2 2 2 2 2 5 2 2" xfId="52577" xr:uid="{3050C293-E1A7-4769-8401-F987BF2414E9}"/>
    <cellStyle name="Comma 6 2 2 2 2 2 5 3" xfId="37457" xr:uid="{35FFBF9E-6FD8-4A34-B3E0-6A1DF5E4FF70}"/>
    <cellStyle name="Comma 6 2 2 2 2 2 6" xfId="8729" xr:uid="{B689B182-183C-466F-BA29-CBFA45BC533D}"/>
    <cellStyle name="Comma 6 2 2 2 2 2 6 2" xfId="23849" xr:uid="{71D48DA5-822B-44C1-8F9C-FB8A362C8D0D}"/>
    <cellStyle name="Comma 6 2 2 2 2 2 6 2 2" xfId="54089" xr:uid="{5FBFF4B8-450C-48FC-A67A-99D623FFB47A}"/>
    <cellStyle name="Comma 6 2 2 2 2 2 6 3" xfId="38969" xr:uid="{B949B6C4-91E7-48C3-8EA4-5B48D4501716}"/>
    <cellStyle name="Comma 6 2 2 2 2 2 7" xfId="10241" xr:uid="{D5DBF1B0-5F73-4401-AEAF-493A60F9B328}"/>
    <cellStyle name="Comma 6 2 2 2 2 2 7 2" xfId="25361" xr:uid="{46674032-C55C-4229-9E86-E18D2F1AE8E9}"/>
    <cellStyle name="Comma 6 2 2 2 2 2 7 2 2" xfId="55601" xr:uid="{9AE7FB6D-F04F-4FB4-A762-E2F76ABA362A}"/>
    <cellStyle name="Comma 6 2 2 2 2 2 7 3" xfId="40481" xr:uid="{59E49C7E-EA56-41E1-9CC5-33E633523F67}"/>
    <cellStyle name="Comma 6 2 2 2 2 2 8" xfId="16289" xr:uid="{61593FF5-3F96-43E5-B5B7-34A0D304D58A}"/>
    <cellStyle name="Comma 6 2 2 2 2 2 8 2" xfId="46529" xr:uid="{ECC237DE-2563-4339-BC50-2BA21E6A3394}"/>
    <cellStyle name="Comma 6 2 2 2 2 2 9" xfId="31409" xr:uid="{BF93E74C-3445-44AB-A8F4-3271EE6A3087}"/>
    <cellStyle name="Comma 6 2 2 2 2 3" xfId="1925" xr:uid="{E0E41311-98C8-4585-ABF3-59C24A2BA7EF}"/>
    <cellStyle name="Comma 6 2 2 2 2 3 2" xfId="10997" xr:uid="{37606F33-5A25-404C-8E7F-EB82BF1196A1}"/>
    <cellStyle name="Comma 6 2 2 2 2 3 2 2" xfId="26117" xr:uid="{A0A646AD-CCD6-4F5B-A41B-8A36CFC6C8A6}"/>
    <cellStyle name="Comma 6 2 2 2 2 3 2 2 2" xfId="56357" xr:uid="{2EDB6961-4450-43A4-9A97-E31DA3A6BE96}"/>
    <cellStyle name="Comma 6 2 2 2 2 3 2 3" xfId="41237" xr:uid="{D93BDDEC-C5B1-4296-8E2F-F69000891848}"/>
    <cellStyle name="Comma 6 2 2 2 2 3 3" xfId="17045" xr:uid="{0AB1D0F3-6BA6-493D-A460-774B24C8BE9C}"/>
    <cellStyle name="Comma 6 2 2 2 2 3 3 2" xfId="47285" xr:uid="{E0A8ED0B-0431-407D-8E4C-21D96CCD98BD}"/>
    <cellStyle name="Comma 6 2 2 2 2 3 4" xfId="32165" xr:uid="{A84B4C78-4919-4CC1-A574-0F8DACF05F13}"/>
    <cellStyle name="Comma 6 2 2 2 2 4" xfId="3437" xr:uid="{24C9743B-3F9C-4D8D-AE27-775CBF728F14}"/>
    <cellStyle name="Comma 6 2 2 2 2 4 2" xfId="12509" xr:uid="{391F0635-4F4B-44C1-9A90-0E0031B76364}"/>
    <cellStyle name="Comma 6 2 2 2 2 4 2 2" xfId="27629" xr:uid="{4E1B62A0-B575-4D59-B15E-AA18DA06352A}"/>
    <cellStyle name="Comma 6 2 2 2 2 4 2 2 2" xfId="57869" xr:uid="{F84899D6-6D45-4071-8576-538936012C50}"/>
    <cellStyle name="Comma 6 2 2 2 2 4 2 3" xfId="42749" xr:uid="{5122E3B5-4721-432F-A398-F663BED765D8}"/>
    <cellStyle name="Comma 6 2 2 2 2 4 3" xfId="18557" xr:uid="{44B7B16D-4525-4B90-96A4-9780C74B17FD}"/>
    <cellStyle name="Comma 6 2 2 2 2 4 3 2" xfId="48797" xr:uid="{EFF6B7A8-BF51-4B74-96DD-D18567C66C4D}"/>
    <cellStyle name="Comma 6 2 2 2 2 4 4" xfId="33677" xr:uid="{8E6F1349-96C8-432E-863C-6AB71EAE3493}"/>
    <cellStyle name="Comma 6 2 2 2 2 5" xfId="4949" xr:uid="{237A4C73-C810-473A-950C-C1AC2F58AE38}"/>
    <cellStyle name="Comma 6 2 2 2 2 5 2" xfId="14021" xr:uid="{FD5835CC-B9F6-4189-8DDD-451DD5DA8B2D}"/>
    <cellStyle name="Comma 6 2 2 2 2 5 2 2" xfId="29141" xr:uid="{A5FB7036-930B-4A96-90E8-A21DD8CB68F5}"/>
    <cellStyle name="Comma 6 2 2 2 2 5 2 2 2" xfId="59381" xr:uid="{90E1D2A4-848F-4DB7-BEE7-DB977EF08C0C}"/>
    <cellStyle name="Comma 6 2 2 2 2 5 2 3" xfId="44261" xr:uid="{F80B6DBA-7588-4B86-9A49-D9B0F5684610}"/>
    <cellStyle name="Comma 6 2 2 2 2 5 3" xfId="20069" xr:uid="{09CDE25C-7731-4296-BBAA-D577FE4CB095}"/>
    <cellStyle name="Comma 6 2 2 2 2 5 3 2" xfId="50309" xr:uid="{E629AE09-5CA2-495A-A3A1-E8F7DE5719EC}"/>
    <cellStyle name="Comma 6 2 2 2 2 5 4" xfId="35189" xr:uid="{DE14DA5F-1FF5-48CD-A2E3-8B1645FB2FD3}"/>
    <cellStyle name="Comma 6 2 2 2 2 6" xfId="6461" xr:uid="{FA2C24D1-F41B-4CFC-BB88-AA949E143A97}"/>
    <cellStyle name="Comma 6 2 2 2 2 6 2" xfId="21581" xr:uid="{22EDBF77-3438-47F8-A14E-AA211C92A4FA}"/>
    <cellStyle name="Comma 6 2 2 2 2 6 2 2" xfId="51821" xr:uid="{6FCFA5FC-346E-4BC5-A221-33A7EB2D3869}"/>
    <cellStyle name="Comma 6 2 2 2 2 6 3" xfId="36701" xr:uid="{C8EA025A-E50A-46BD-992E-A26F70868D42}"/>
    <cellStyle name="Comma 6 2 2 2 2 7" xfId="7973" xr:uid="{DCE89759-7DB7-4EEE-9F4D-8E16F6D53F4C}"/>
    <cellStyle name="Comma 6 2 2 2 2 7 2" xfId="23093" xr:uid="{263E1B85-9B67-45C7-90E0-07EBE5353FF7}"/>
    <cellStyle name="Comma 6 2 2 2 2 7 2 2" xfId="53333" xr:uid="{E8F21E4C-D2EF-4DBB-AEC1-AE4F65B27E31}"/>
    <cellStyle name="Comma 6 2 2 2 2 7 3" xfId="38213" xr:uid="{69DAE759-747F-4B73-866D-6158C4BBF23C}"/>
    <cellStyle name="Comma 6 2 2 2 2 8" xfId="9485" xr:uid="{2DBB407F-BB6F-4651-B9A2-BCBF0201B20D}"/>
    <cellStyle name="Comma 6 2 2 2 2 8 2" xfId="24605" xr:uid="{5B946497-8523-477B-84A5-1BEE2D03E388}"/>
    <cellStyle name="Comma 6 2 2 2 2 8 2 2" xfId="54845" xr:uid="{85EBF9E8-6836-40AE-9D2E-B6C74DD7A14B}"/>
    <cellStyle name="Comma 6 2 2 2 2 8 3" xfId="39725" xr:uid="{4D6ED42C-963D-4170-9B81-6A5196FE52A7}"/>
    <cellStyle name="Comma 6 2 2 2 2 9" xfId="15533" xr:uid="{A56F3C3B-606A-40DB-AE2C-4C1C4A90DD82}"/>
    <cellStyle name="Comma 6 2 2 2 2 9 2" xfId="45773" xr:uid="{9826A5E3-8869-4EEA-A6CD-2FF529C9A081}"/>
    <cellStyle name="Comma 6 2 2 2 3" xfId="665" xr:uid="{D16B3510-4F93-49FB-BC9C-564FA1446402}"/>
    <cellStyle name="Comma 6 2 2 2 3 10" xfId="30905" xr:uid="{7232FD83-57E2-4BA9-9E34-3EDBE3F5CE5E}"/>
    <cellStyle name="Comma 6 2 2 2 3 2" xfId="1421" xr:uid="{199B613F-2847-4F32-B712-CF2195BA50C1}"/>
    <cellStyle name="Comma 6 2 2 2 3 2 2" xfId="2933" xr:uid="{3B767A6D-0EC7-408E-BA09-78DC8973FA2B}"/>
    <cellStyle name="Comma 6 2 2 2 3 2 2 2" xfId="12005" xr:uid="{74567D55-2DE6-4479-B9EF-173184B7D664}"/>
    <cellStyle name="Comma 6 2 2 2 3 2 2 2 2" xfId="27125" xr:uid="{B12A2EAE-759D-4D8E-98F5-28AD7B9F7FE0}"/>
    <cellStyle name="Comma 6 2 2 2 3 2 2 2 2 2" xfId="57365" xr:uid="{A7B1FF77-2D28-47E7-B21B-93C6DB04E4C9}"/>
    <cellStyle name="Comma 6 2 2 2 3 2 2 2 3" xfId="42245" xr:uid="{690961B8-4387-44F0-9936-072E77F59910}"/>
    <cellStyle name="Comma 6 2 2 2 3 2 2 3" xfId="18053" xr:uid="{DCB1E091-A4B3-4FB0-8944-B60E56BA6FB7}"/>
    <cellStyle name="Comma 6 2 2 2 3 2 2 3 2" xfId="48293" xr:uid="{FBA311AA-D479-4682-986A-9C8AB9D46EFB}"/>
    <cellStyle name="Comma 6 2 2 2 3 2 2 4" xfId="33173" xr:uid="{0106486D-6A3E-441D-AF7B-198C279B352D}"/>
    <cellStyle name="Comma 6 2 2 2 3 2 3" xfId="4445" xr:uid="{356BD7D4-C56D-4605-B222-CBDD00D92CBE}"/>
    <cellStyle name="Comma 6 2 2 2 3 2 3 2" xfId="13517" xr:uid="{A63AF7D3-6EBD-4CC7-B754-C79FD67AA86F}"/>
    <cellStyle name="Comma 6 2 2 2 3 2 3 2 2" xfId="28637" xr:uid="{76500D25-0023-468D-8F79-5F6B6F81D868}"/>
    <cellStyle name="Comma 6 2 2 2 3 2 3 2 2 2" xfId="58877" xr:uid="{5B9F2B2A-E055-4D29-B743-65071EE80D0F}"/>
    <cellStyle name="Comma 6 2 2 2 3 2 3 2 3" xfId="43757" xr:uid="{37863936-C11C-4DEC-8412-ED21378F940E}"/>
    <cellStyle name="Comma 6 2 2 2 3 2 3 3" xfId="19565" xr:uid="{3903A0EA-5C35-4F3F-B83B-5EC19E097931}"/>
    <cellStyle name="Comma 6 2 2 2 3 2 3 3 2" xfId="49805" xr:uid="{12CBB915-CE05-43A6-BEAD-2EE61E76D6FD}"/>
    <cellStyle name="Comma 6 2 2 2 3 2 3 4" xfId="34685" xr:uid="{956E6B24-968C-4415-BB12-3A6B65C97F16}"/>
    <cellStyle name="Comma 6 2 2 2 3 2 4" xfId="5957" xr:uid="{17177CCE-73AE-4C37-96AE-9A4E26D0353F}"/>
    <cellStyle name="Comma 6 2 2 2 3 2 4 2" xfId="15029" xr:uid="{B5C756EE-FE58-4538-906D-AE04CBFA0C6D}"/>
    <cellStyle name="Comma 6 2 2 2 3 2 4 2 2" xfId="30149" xr:uid="{16B0D499-6ADB-4D5B-A911-2FE3AC6D4310}"/>
    <cellStyle name="Comma 6 2 2 2 3 2 4 2 2 2" xfId="60389" xr:uid="{0EB5D513-FC29-4DB4-879B-C5181C9E9AE7}"/>
    <cellStyle name="Comma 6 2 2 2 3 2 4 2 3" xfId="45269" xr:uid="{974BE91F-3628-4F69-91F4-B199F41E9F5A}"/>
    <cellStyle name="Comma 6 2 2 2 3 2 4 3" xfId="21077" xr:uid="{79215D4C-5CD7-47F2-A697-DB3E4C7DB053}"/>
    <cellStyle name="Comma 6 2 2 2 3 2 4 3 2" xfId="51317" xr:uid="{F7F30867-879F-49C4-9500-6BCED8FB9DA9}"/>
    <cellStyle name="Comma 6 2 2 2 3 2 4 4" xfId="36197" xr:uid="{14936DD0-A0C4-44E6-B185-B1433F237A79}"/>
    <cellStyle name="Comma 6 2 2 2 3 2 5" xfId="7469" xr:uid="{BAE79DA9-51FF-4B04-97A3-9CFEFF88201D}"/>
    <cellStyle name="Comma 6 2 2 2 3 2 5 2" xfId="22589" xr:uid="{03F0EFE2-96D0-4BD3-90FC-F166D49B731E}"/>
    <cellStyle name="Comma 6 2 2 2 3 2 5 2 2" xfId="52829" xr:uid="{36378EC6-5F2F-4840-BB56-C25088E53920}"/>
    <cellStyle name="Comma 6 2 2 2 3 2 5 3" xfId="37709" xr:uid="{8B097652-35AA-43EA-AAAE-F499FDC18BD2}"/>
    <cellStyle name="Comma 6 2 2 2 3 2 6" xfId="8981" xr:uid="{1B820A21-9946-41EE-9455-CFC17140B796}"/>
    <cellStyle name="Comma 6 2 2 2 3 2 6 2" xfId="24101" xr:uid="{67A96422-EF2D-44B0-8553-E919E74FC2D9}"/>
    <cellStyle name="Comma 6 2 2 2 3 2 6 2 2" xfId="54341" xr:uid="{5B5A64AA-C6E1-40CE-A5A7-1AAF4441B466}"/>
    <cellStyle name="Comma 6 2 2 2 3 2 6 3" xfId="39221" xr:uid="{BE149C1E-C69B-43D6-9B33-44A4197917C0}"/>
    <cellStyle name="Comma 6 2 2 2 3 2 7" xfId="10493" xr:uid="{D0E491A5-32F0-40E8-9D5B-8CB3DBE267AD}"/>
    <cellStyle name="Comma 6 2 2 2 3 2 7 2" xfId="25613" xr:uid="{FBB03AC1-7327-44FD-B44A-4A824848B724}"/>
    <cellStyle name="Comma 6 2 2 2 3 2 7 2 2" xfId="55853" xr:uid="{C8D3C5FA-5BE3-4DB7-921B-5F0227132BF6}"/>
    <cellStyle name="Comma 6 2 2 2 3 2 7 3" xfId="40733" xr:uid="{F385D65B-A468-40BA-85F0-B6833BE64CEC}"/>
    <cellStyle name="Comma 6 2 2 2 3 2 8" xfId="16541" xr:uid="{E6D75CA2-76A3-47A3-9F1F-99E60D1E3DCD}"/>
    <cellStyle name="Comma 6 2 2 2 3 2 8 2" xfId="46781" xr:uid="{D1417B61-0CFB-402B-B921-25FAC084BBEC}"/>
    <cellStyle name="Comma 6 2 2 2 3 2 9" xfId="31661" xr:uid="{53CF55B5-A441-4A12-A4F2-8F1575C42CCD}"/>
    <cellStyle name="Comma 6 2 2 2 3 3" xfId="2177" xr:uid="{B53E5E47-78B4-4D91-B2D8-8E292A9CBB03}"/>
    <cellStyle name="Comma 6 2 2 2 3 3 2" xfId="11249" xr:uid="{B86A71C7-FDBD-46E9-B905-43E746B88104}"/>
    <cellStyle name="Comma 6 2 2 2 3 3 2 2" xfId="26369" xr:uid="{E0941FBA-5D71-4872-8572-E81489A0D5BC}"/>
    <cellStyle name="Comma 6 2 2 2 3 3 2 2 2" xfId="56609" xr:uid="{04336348-17E0-453A-B833-42113557C398}"/>
    <cellStyle name="Comma 6 2 2 2 3 3 2 3" xfId="41489" xr:uid="{2E2B185F-438E-4C46-BF64-2BADC4D61761}"/>
    <cellStyle name="Comma 6 2 2 2 3 3 3" xfId="17297" xr:uid="{136BAA87-B3EE-4B73-B4D9-743DFD11053B}"/>
    <cellStyle name="Comma 6 2 2 2 3 3 3 2" xfId="47537" xr:uid="{B75FD703-735F-455D-96CA-30D11CC20FD8}"/>
    <cellStyle name="Comma 6 2 2 2 3 3 4" xfId="32417" xr:uid="{1483B196-75BA-4B23-AEEA-347DAE38D3BC}"/>
    <cellStyle name="Comma 6 2 2 2 3 4" xfId="3689" xr:uid="{0D3D5567-9126-4F14-BB03-7D946328DA44}"/>
    <cellStyle name="Comma 6 2 2 2 3 4 2" xfId="12761" xr:uid="{CAA98E79-BF69-4702-B4D4-1F55BEDFE2A8}"/>
    <cellStyle name="Comma 6 2 2 2 3 4 2 2" xfId="27881" xr:uid="{2A7BDFAB-B898-4A60-A6D4-DB67013C7DB3}"/>
    <cellStyle name="Comma 6 2 2 2 3 4 2 2 2" xfId="58121" xr:uid="{6FFBFE1C-4712-4FFA-A529-0DF55960C0E4}"/>
    <cellStyle name="Comma 6 2 2 2 3 4 2 3" xfId="43001" xr:uid="{C16D2900-0F5D-4ABB-878E-DBDF5DC867C4}"/>
    <cellStyle name="Comma 6 2 2 2 3 4 3" xfId="18809" xr:uid="{0E2F091A-D8C6-443B-A64E-F89DB66DD8CF}"/>
    <cellStyle name="Comma 6 2 2 2 3 4 3 2" xfId="49049" xr:uid="{102528D9-C50D-49B6-8265-4441DBBD351E}"/>
    <cellStyle name="Comma 6 2 2 2 3 4 4" xfId="33929" xr:uid="{D972A4A1-7658-4D29-921C-5B5D3B0F42DE}"/>
    <cellStyle name="Comma 6 2 2 2 3 5" xfId="5201" xr:uid="{53FEBB85-BF43-47B7-A663-699F1A499972}"/>
    <cellStyle name="Comma 6 2 2 2 3 5 2" xfId="14273" xr:uid="{DC5F6907-92CB-4784-807E-63D3D40AA6B4}"/>
    <cellStyle name="Comma 6 2 2 2 3 5 2 2" xfId="29393" xr:uid="{2CC051A6-2D5C-44F0-8D6B-57C875E01CC5}"/>
    <cellStyle name="Comma 6 2 2 2 3 5 2 2 2" xfId="59633" xr:uid="{7CCB499C-6E46-40D4-8E78-5654A8785772}"/>
    <cellStyle name="Comma 6 2 2 2 3 5 2 3" xfId="44513" xr:uid="{0A5F1541-202E-4339-9378-89A93315D305}"/>
    <cellStyle name="Comma 6 2 2 2 3 5 3" xfId="20321" xr:uid="{1B3BF182-BCCB-4508-98DD-B4D0A5C0A647}"/>
    <cellStyle name="Comma 6 2 2 2 3 5 3 2" xfId="50561" xr:uid="{D4B2C842-FC29-44BF-9184-71B3798C0697}"/>
    <cellStyle name="Comma 6 2 2 2 3 5 4" xfId="35441" xr:uid="{6C665EF8-1B9D-465E-B772-91697D295035}"/>
    <cellStyle name="Comma 6 2 2 2 3 6" xfId="6713" xr:uid="{E1145E4B-DDB4-4F1A-B2C0-63B193E57DDD}"/>
    <cellStyle name="Comma 6 2 2 2 3 6 2" xfId="21833" xr:uid="{A926C094-ED7B-46A1-BEB1-FBCC57791EC6}"/>
    <cellStyle name="Comma 6 2 2 2 3 6 2 2" xfId="52073" xr:uid="{63B2518F-6D02-493B-A9BE-DA28FF414B09}"/>
    <cellStyle name="Comma 6 2 2 2 3 6 3" xfId="36953" xr:uid="{B9FE621B-5A51-4B15-A95B-50A07AA22D9B}"/>
    <cellStyle name="Comma 6 2 2 2 3 7" xfId="8225" xr:uid="{306F446D-7945-40B4-814E-DB15AB0902DD}"/>
    <cellStyle name="Comma 6 2 2 2 3 7 2" xfId="23345" xr:uid="{A7AF906B-5CFE-48AC-A5A2-FBA1F96BE53B}"/>
    <cellStyle name="Comma 6 2 2 2 3 7 2 2" xfId="53585" xr:uid="{7E6EEA2F-1D88-4B44-BDEA-02A3F624A882}"/>
    <cellStyle name="Comma 6 2 2 2 3 7 3" xfId="38465" xr:uid="{6DBF55FF-7BED-4C22-9443-E4C31171C770}"/>
    <cellStyle name="Comma 6 2 2 2 3 8" xfId="9737" xr:uid="{199130C8-2728-4168-A0FD-E5D14561F54F}"/>
    <cellStyle name="Comma 6 2 2 2 3 8 2" xfId="24857" xr:uid="{F81F58B6-C434-4345-AED7-C0CD9F01DA6E}"/>
    <cellStyle name="Comma 6 2 2 2 3 8 2 2" xfId="55097" xr:uid="{BC303796-926B-4B3C-8A44-752371342C66}"/>
    <cellStyle name="Comma 6 2 2 2 3 8 3" xfId="39977" xr:uid="{8FC6C2DF-E848-4FDD-907B-FC9BB4AF9724}"/>
    <cellStyle name="Comma 6 2 2 2 3 9" xfId="15785" xr:uid="{25D5BC08-4785-4F78-9EF0-0B4B29E5024C}"/>
    <cellStyle name="Comma 6 2 2 2 3 9 2" xfId="46025" xr:uid="{CF664321-8023-4744-A88A-5C19AEC1E2AE}"/>
    <cellStyle name="Comma 6 2 2 2 4" xfId="917" xr:uid="{2FDF79EE-910A-4B87-8367-030E707059CA}"/>
    <cellStyle name="Comma 6 2 2 2 4 2" xfId="2429" xr:uid="{8D5040C4-E699-409B-9497-8EF9A26B6589}"/>
    <cellStyle name="Comma 6 2 2 2 4 2 2" xfId="11501" xr:uid="{8A118975-5905-4BCF-A533-55AB492F650A}"/>
    <cellStyle name="Comma 6 2 2 2 4 2 2 2" xfId="26621" xr:uid="{CF05B20D-938C-4B52-BCCC-D92DC2E238A2}"/>
    <cellStyle name="Comma 6 2 2 2 4 2 2 2 2" xfId="56861" xr:uid="{8AB98187-17A8-459D-BDA9-7C204F49CC58}"/>
    <cellStyle name="Comma 6 2 2 2 4 2 2 3" xfId="41741" xr:uid="{2614E902-9D5A-42FB-8910-65404F77BCB2}"/>
    <cellStyle name="Comma 6 2 2 2 4 2 3" xfId="17549" xr:uid="{6D432B83-3320-4AD0-8688-D6D4E4CC57DD}"/>
    <cellStyle name="Comma 6 2 2 2 4 2 3 2" xfId="47789" xr:uid="{216C22D4-557F-4D03-B706-48DC24090513}"/>
    <cellStyle name="Comma 6 2 2 2 4 2 4" xfId="32669" xr:uid="{F12F522B-27CC-44E2-AA09-039AFD6EF9F0}"/>
    <cellStyle name="Comma 6 2 2 2 4 3" xfId="3941" xr:uid="{535345F9-4F35-473B-8A4F-F15A103F44F3}"/>
    <cellStyle name="Comma 6 2 2 2 4 3 2" xfId="13013" xr:uid="{8BB23195-0ECD-4682-AFAE-C9DBDB42264F}"/>
    <cellStyle name="Comma 6 2 2 2 4 3 2 2" xfId="28133" xr:uid="{7DF18A68-ABD9-41E1-9046-A0FCC0D6B18A}"/>
    <cellStyle name="Comma 6 2 2 2 4 3 2 2 2" xfId="58373" xr:uid="{C564BB12-E1DB-4F15-B577-D8DF9DCA8CD7}"/>
    <cellStyle name="Comma 6 2 2 2 4 3 2 3" xfId="43253" xr:uid="{70DAD5D1-6E20-4669-A39D-A6F527A59E5E}"/>
    <cellStyle name="Comma 6 2 2 2 4 3 3" xfId="19061" xr:uid="{B431CA3B-2ABB-4182-B220-3514A6F2C115}"/>
    <cellStyle name="Comma 6 2 2 2 4 3 3 2" xfId="49301" xr:uid="{3C7C2B41-F7D1-4499-918F-138B352E00FC}"/>
    <cellStyle name="Comma 6 2 2 2 4 3 4" xfId="34181" xr:uid="{CD5710FD-7FCA-4F7E-96A6-E20FA8BCB516}"/>
    <cellStyle name="Comma 6 2 2 2 4 4" xfId="5453" xr:uid="{224E1ED9-18F4-4FFE-8227-8F67C8FFF0D3}"/>
    <cellStyle name="Comma 6 2 2 2 4 4 2" xfId="14525" xr:uid="{B7FF8E54-783A-49C1-A404-BBC5609A8678}"/>
    <cellStyle name="Comma 6 2 2 2 4 4 2 2" xfId="29645" xr:uid="{7DD51A8C-80F1-44CA-AA73-4E26A4003852}"/>
    <cellStyle name="Comma 6 2 2 2 4 4 2 2 2" xfId="59885" xr:uid="{74C60A17-4D79-4039-A713-BC54603CE872}"/>
    <cellStyle name="Comma 6 2 2 2 4 4 2 3" xfId="44765" xr:uid="{62EF2ACA-79C8-45F5-8B7B-34ADD903C6A9}"/>
    <cellStyle name="Comma 6 2 2 2 4 4 3" xfId="20573" xr:uid="{3D8EB220-7FD1-498E-83C9-DD47A72C34FF}"/>
    <cellStyle name="Comma 6 2 2 2 4 4 3 2" xfId="50813" xr:uid="{A689B9C8-D10D-4E4D-A315-2B7CA40BAE0B}"/>
    <cellStyle name="Comma 6 2 2 2 4 4 4" xfId="35693" xr:uid="{32BFA7E9-F2C5-474A-B4DE-9B59B32DF44E}"/>
    <cellStyle name="Comma 6 2 2 2 4 5" xfId="6965" xr:uid="{270CF547-E6E0-4260-88DC-F1836495CC4F}"/>
    <cellStyle name="Comma 6 2 2 2 4 5 2" xfId="22085" xr:uid="{41D8D2F9-B58B-4733-BFBE-86A5521B7B37}"/>
    <cellStyle name="Comma 6 2 2 2 4 5 2 2" xfId="52325" xr:uid="{4872AB14-AB60-4E48-991F-D4F1F70BACB6}"/>
    <cellStyle name="Comma 6 2 2 2 4 5 3" xfId="37205" xr:uid="{0A8520E6-07C4-41F3-83C8-6075F149054B}"/>
    <cellStyle name="Comma 6 2 2 2 4 6" xfId="8477" xr:uid="{12679B0E-F281-4CE0-8760-6AE3A0B3D876}"/>
    <cellStyle name="Comma 6 2 2 2 4 6 2" xfId="23597" xr:uid="{6E1EEA6C-39F9-493B-B680-224D193DCABB}"/>
    <cellStyle name="Comma 6 2 2 2 4 6 2 2" xfId="53837" xr:uid="{53E5BF51-D79E-435A-BA50-1725A5FD570E}"/>
    <cellStyle name="Comma 6 2 2 2 4 6 3" xfId="38717" xr:uid="{412E6384-33AE-476E-9316-23B2C01A5390}"/>
    <cellStyle name="Comma 6 2 2 2 4 7" xfId="9989" xr:uid="{DB4A23D4-853C-4905-A91D-CE8DB1CE8832}"/>
    <cellStyle name="Comma 6 2 2 2 4 7 2" xfId="25109" xr:uid="{55F67362-21B3-4CBA-9252-11AA7A53EE04}"/>
    <cellStyle name="Comma 6 2 2 2 4 7 2 2" xfId="55349" xr:uid="{D232AF95-D8D5-401A-BD49-82A7F9FCA0EB}"/>
    <cellStyle name="Comma 6 2 2 2 4 7 3" xfId="40229" xr:uid="{4BC77BA8-59EA-481C-A352-EECC28832239}"/>
    <cellStyle name="Comma 6 2 2 2 4 8" xfId="16037" xr:uid="{E2FECE32-7A59-4A41-805B-50504D967743}"/>
    <cellStyle name="Comma 6 2 2 2 4 8 2" xfId="46277" xr:uid="{E082A598-8C9B-4239-A9DC-39C9630B3D49}"/>
    <cellStyle name="Comma 6 2 2 2 4 9" xfId="31157" xr:uid="{36EF12AA-7553-470B-A917-6D14C1805ADF}"/>
    <cellStyle name="Comma 6 2 2 2 5" xfId="1673" xr:uid="{99BFC9C7-9A62-4D32-BAF0-E0A62A38C42E}"/>
    <cellStyle name="Comma 6 2 2 2 5 2" xfId="10745" xr:uid="{4024BC5E-7791-4C3D-A039-EEFE7FDE885D}"/>
    <cellStyle name="Comma 6 2 2 2 5 2 2" xfId="25865" xr:uid="{4575D2C7-07C1-453A-9CF7-2FDD73AF45D1}"/>
    <cellStyle name="Comma 6 2 2 2 5 2 2 2" xfId="56105" xr:uid="{CA172FE9-CB18-40DC-ACED-D0A6F62F27D5}"/>
    <cellStyle name="Comma 6 2 2 2 5 2 3" xfId="40985" xr:uid="{E31CFE79-CE4B-42FD-9C0D-67DCB31482F5}"/>
    <cellStyle name="Comma 6 2 2 2 5 3" xfId="16793" xr:uid="{F004AFC8-832D-444B-ACBF-2F9D25E77B8B}"/>
    <cellStyle name="Comma 6 2 2 2 5 3 2" xfId="47033" xr:uid="{D833EE1E-5B18-4CF8-8A4E-600BD6716C7E}"/>
    <cellStyle name="Comma 6 2 2 2 5 4" xfId="31913" xr:uid="{5E6213A1-43B7-4A12-9BFC-D41D8ADB1A64}"/>
    <cellStyle name="Comma 6 2 2 2 6" xfId="3185" xr:uid="{62A63565-2C1E-4AD1-B32A-09AEBF8A5EAA}"/>
    <cellStyle name="Comma 6 2 2 2 6 2" xfId="12257" xr:uid="{058268FE-4E8A-4C1C-A549-537A1886B82D}"/>
    <cellStyle name="Comma 6 2 2 2 6 2 2" xfId="27377" xr:uid="{E7E04053-6899-44A0-A4B3-DC17550A879B}"/>
    <cellStyle name="Comma 6 2 2 2 6 2 2 2" xfId="57617" xr:uid="{64ADFF0A-5454-4770-8A38-42914F3DFDAC}"/>
    <cellStyle name="Comma 6 2 2 2 6 2 3" xfId="42497" xr:uid="{C0E2EA49-AD61-497D-9AE0-2A48CC8AC163}"/>
    <cellStyle name="Comma 6 2 2 2 6 3" xfId="18305" xr:uid="{929FD291-03B1-45F2-9FDB-1BF3931B76A4}"/>
    <cellStyle name="Comma 6 2 2 2 6 3 2" xfId="48545" xr:uid="{62696126-755F-4390-953D-58C5B9EDA15A}"/>
    <cellStyle name="Comma 6 2 2 2 6 4" xfId="33425" xr:uid="{8925040A-AB23-4FE7-9435-BF5312EE177E}"/>
    <cellStyle name="Comma 6 2 2 2 7" xfId="4697" xr:uid="{05CAFF6C-EE10-455D-A9EA-A8904E05CCC4}"/>
    <cellStyle name="Comma 6 2 2 2 7 2" xfId="13769" xr:uid="{88A79D20-035D-40E8-A662-B94A67F02B32}"/>
    <cellStyle name="Comma 6 2 2 2 7 2 2" xfId="28889" xr:uid="{FA3FB4CD-364E-491F-95F1-AD354B2098C3}"/>
    <cellStyle name="Comma 6 2 2 2 7 2 2 2" xfId="59129" xr:uid="{E128C248-BBD0-4889-9C23-7294DE5FD76F}"/>
    <cellStyle name="Comma 6 2 2 2 7 2 3" xfId="44009" xr:uid="{FE9A0676-3AB0-482C-837F-0C315314E67C}"/>
    <cellStyle name="Comma 6 2 2 2 7 3" xfId="19817" xr:uid="{95D5E87E-FB78-4B34-9707-74DD89E94E20}"/>
    <cellStyle name="Comma 6 2 2 2 7 3 2" xfId="50057" xr:uid="{FA19DDC1-0FE3-498D-AF40-7A195F841685}"/>
    <cellStyle name="Comma 6 2 2 2 7 4" xfId="34937" xr:uid="{AEF4124F-D23F-40C5-AF35-75D5C6A33543}"/>
    <cellStyle name="Comma 6 2 2 2 8" xfId="6209" xr:uid="{F28E9332-F37E-4F21-A9EF-42C44B7EEFA6}"/>
    <cellStyle name="Comma 6 2 2 2 8 2" xfId="21329" xr:uid="{D0BA197E-2C89-4DF4-8846-15967689DB94}"/>
    <cellStyle name="Comma 6 2 2 2 8 2 2" xfId="51569" xr:uid="{99F008D8-4B71-4776-98E4-F7434B80F059}"/>
    <cellStyle name="Comma 6 2 2 2 8 3" xfId="36449" xr:uid="{EB01FB3B-E262-4FF5-9C00-2447730DC288}"/>
    <cellStyle name="Comma 6 2 2 2 9" xfId="7721" xr:uid="{41ADEA3F-21B1-4945-8051-6C4F1BB98E7A}"/>
    <cellStyle name="Comma 6 2 2 2 9 2" xfId="22841" xr:uid="{E29E2B86-6D2D-4552-B5CC-7B481F018296}"/>
    <cellStyle name="Comma 6 2 2 2 9 2 2" xfId="53081" xr:uid="{D4A9B2B7-DDCE-421E-B768-BB8CA76A2B76}"/>
    <cellStyle name="Comma 6 2 2 2 9 3" xfId="37961" xr:uid="{84EB021E-7579-4525-8B98-C1C9F9B3BDE1}"/>
    <cellStyle name="Comma 6 2 2 3" xfId="245" xr:uid="{0C3FBF06-01C7-49F9-A459-CB857E1C1C80}"/>
    <cellStyle name="Comma 6 2 2 3 10" xfId="9317" xr:uid="{F8329E05-3FC5-4BCF-9D0D-6DFA09A8E6D9}"/>
    <cellStyle name="Comma 6 2 2 3 10 2" xfId="24437" xr:uid="{87FD9A79-5745-4165-8855-A76DFB8E4FD3}"/>
    <cellStyle name="Comma 6 2 2 3 10 2 2" xfId="54677" xr:uid="{45051B45-C926-45CA-A8AF-FCD194B3E828}"/>
    <cellStyle name="Comma 6 2 2 3 10 3" xfId="39557" xr:uid="{D38B3FC5-16CE-4703-A8AD-D1E60B8066EC}"/>
    <cellStyle name="Comma 6 2 2 3 11" xfId="15365" xr:uid="{35DB059A-EDB0-41D5-BD8F-E5EC81E18BDF}"/>
    <cellStyle name="Comma 6 2 2 3 11 2" xfId="45605" xr:uid="{E77F7449-726D-4244-A4B0-1E7116CBDE30}"/>
    <cellStyle name="Comma 6 2 2 3 12" xfId="30485" xr:uid="{FC80E904-383C-4647-9F67-5B3B37FBB18B}"/>
    <cellStyle name="Comma 6 2 2 3 2" xfId="497" xr:uid="{B7C74882-E47D-4DF2-993D-BD6CE4FC6881}"/>
    <cellStyle name="Comma 6 2 2 3 2 10" xfId="30737" xr:uid="{33FB3908-8B9C-422E-92D3-FD34969AB252}"/>
    <cellStyle name="Comma 6 2 2 3 2 2" xfId="1253" xr:uid="{1C66E6AC-0317-4B99-B1AB-D02727F905DC}"/>
    <cellStyle name="Comma 6 2 2 3 2 2 2" xfId="2765" xr:uid="{07F1B4F4-8138-4D48-B762-E0BD16E50CFC}"/>
    <cellStyle name="Comma 6 2 2 3 2 2 2 2" xfId="11837" xr:uid="{B0EAFB77-E5B5-400C-BF5B-799A36F5FA14}"/>
    <cellStyle name="Comma 6 2 2 3 2 2 2 2 2" xfId="26957" xr:uid="{7F4D2907-B9BF-4DF8-AAFF-BF4AF7FCB2BF}"/>
    <cellStyle name="Comma 6 2 2 3 2 2 2 2 2 2" xfId="57197" xr:uid="{BAFF4B90-D54B-4508-AA3E-F7B41971030B}"/>
    <cellStyle name="Comma 6 2 2 3 2 2 2 2 3" xfId="42077" xr:uid="{00193DE3-C867-4779-A01A-7F8048454794}"/>
    <cellStyle name="Comma 6 2 2 3 2 2 2 3" xfId="17885" xr:uid="{CEB00459-A47E-4674-B6AA-E59044B09FA8}"/>
    <cellStyle name="Comma 6 2 2 3 2 2 2 3 2" xfId="48125" xr:uid="{D55C8201-3E7E-478F-82AC-717857534982}"/>
    <cellStyle name="Comma 6 2 2 3 2 2 2 4" xfId="33005" xr:uid="{AF456211-B61F-4EF2-AD60-2A365388FBC1}"/>
    <cellStyle name="Comma 6 2 2 3 2 2 3" xfId="4277" xr:uid="{96A219C0-117F-46AA-9615-EA475113F9D3}"/>
    <cellStyle name="Comma 6 2 2 3 2 2 3 2" xfId="13349" xr:uid="{C4663588-2CBE-4AA0-B95D-2234450F6ABB}"/>
    <cellStyle name="Comma 6 2 2 3 2 2 3 2 2" xfId="28469" xr:uid="{30E3C3BF-736E-4796-9DA7-4BF275CB79AA}"/>
    <cellStyle name="Comma 6 2 2 3 2 2 3 2 2 2" xfId="58709" xr:uid="{CBC6D09F-5A69-4A5E-A7BE-79A5CDD8F48E}"/>
    <cellStyle name="Comma 6 2 2 3 2 2 3 2 3" xfId="43589" xr:uid="{CB859D01-1D3D-4CBE-8BFE-8E2B627D7601}"/>
    <cellStyle name="Comma 6 2 2 3 2 2 3 3" xfId="19397" xr:uid="{3FFE416C-C682-42E8-AEF0-6D1EDDE2CC0D}"/>
    <cellStyle name="Comma 6 2 2 3 2 2 3 3 2" xfId="49637" xr:uid="{B3FB9A88-602B-431F-8D6B-D574179EAB51}"/>
    <cellStyle name="Comma 6 2 2 3 2 2 3 4" xfId="34517" xr:uid="{80EC83A2-6DCF-4041-825A-D77253DAE2FF}"/>
    <cellStyle name="Comma 6 2 2 3 2 2 4" xfId="5789" xr:uid="{CA31B702-EA56-4D90-BD5A-DD4C383F92A1}"/>
    <cellStyle name="Comma 6 2 2 3 2 2 4 2" xfId="14861" xr:uid="{C2C60DA7-4306-49AC-BC2A-336D4FE366B1}"/>
    <cellStyle name="Comma 6 2 2 3 2 2 4 2 2" xfId="29981" xr:uid="{BD2911FE-7FED-4A40-A48E-013CC5B463CE}"/>
    <cellStyle name="Comma 6 2 2 3 2 2 4 2 2 2" xfId="60221" xr:uid="{EE04ED9C-00D9-4D57-BC86-AC108458E693}"/>
    <cellStyle name="Comma 6 2 2 3 2 2 4 2 3" xfId="45101" xr:uid="{74299AB1-41BA-404B-A2E9-5409907418BA}"/>
    <cellStyle name="Comma 6 2 2 3 2 2 4 3" xfId="20909" xr:uid="{599B6974-177D-4483-A951-8C18E32686C0}"/>
    <cellStyle name="Comma 6 2 2 3 2 2 4 3 2" xfId="51149" xr:uid="{C6EE00E2-44D4-4EE0-9370-E976316F6E73}"/>
    <cellStyle name="Comma 6 2 2 3 2 2 4 4" xfId="36029" xr:uid="{F57331B6-1E7B-418B-ABA3-CD83E355302B}"/>
    <cellStyle name="Comma 6 2 2 3 2 2 5" xfId="7301" xr:uid="{490EA882-C82B-429A-8295-7CBC333C95C5}"/>
    <cellStyle name="Comma 6 2 2 3 2 2 5 2" xfId="22421" xr:uid="{2BB3AA04-B2AF-48ED-97AC-918BABA75BC5}"/>
    <cellStyle name="Comma 6 2 2 3 2 2 5 2 2" xfId="52661" xr:uid="{6886E653-E530-49AC-B36A-379B2A8C4B4F}"/>
    <cellStyle name="Comma 6 2 2 3 2 2 5 3" xfId="37541" xr:uid="{7A02EF1B-0667-4F5A-9727-1CF9924CDCB0}"/>
    <cellStyle name="Comma 6 2 2 3 2 2 6" xfId="8813" xr:uid="{12E30593-E184-4036-98DB-EADDF342F7E1}"/>
    <cellStyle name="Comma 6 2 2 3 2 2 6 2" xfId="23933" xr:uid="{B4FBFB47-5577-4112-9638-A357140A3739}"/>
    <cellStyle name="Comma 6 2 2 3 2 2 6 2 2" xfId="54173" xr:uid="{485A658F-2522-43EE-ABC6-CBC02342E9EF}"/>
    <cellStyle name="Comma 6 2 2 3 2 2 6 3" xfId="39053" xr:uid="{E5F870E9-4E5F-4645-A50C-98A1BC3F3729}"/>
    <cellStyle name="Comma 6 2 2 3 2 2 7" xfId="10325" xr:uid="{86ACFB7A-9C37-4A6C-85BF-C0147A282E03}"/>
    <cellStyle name="Comma 6 2 2 3 2 2 7 2" xfId="25445" xr:uid="{2369378A-D95F-41B8-A425-8F2D87765CAB}"/>
    <cellStyle name="Comma 6 2 2 3 2 2 7 2 2" xfId="55685" xr:uid="{4FE162EC-6CB5-4821-AEB5-ED2C49346BD4}"/>
    <cellStyle name="Comma 6 2 2 3 2 2 7 3" xfId="40565" xr:uid="{5578EDA8-06F3-4F93-B9CE-472D9D1FB511}"/>
    <cellStyle name="Comma 6 2 2 3 2 2 8" xfId="16373" xr:uid="{05C7CB63-6E63-48CA-AA0B-B60480900AAC}"/>
    <cellStyle name="Comma 6 2 2 3 2 2 8 2" xfId="46613" xr:uid="{B8AB4E3E-A35C-4128-8ED4-F480000B0326}"/>
    <cellStyle name="Comma 6 2 2 3 2 2 9" xfId="31493" xr:uid="{FF1CFF26-31D6-4E39-859D-57F013443994}"/>
    <cellStyle name="Comma 6 2 2 3 2 3" xfId="2009" xr:uid="{424919B5-9876-486D-A369-A54ECA541CBE}"/>
    <cellStyle name="Comma 6 2 2 3 2 3 2" xfId="11081" xr:uid="{095A1910-0E8C-422B-AD53-041CBA29AE0E}"/>
    <cellStyle name="Comma 6 2 2 3 2 3 2 2" xfId="26201" xr:uid="{1652FBEF-AF4D-4700-A25B-3A8F2A1D7E21}"/>
    <cellStyle name="Comma 6 2 2 3 2 3 2 2 2" xfId="56441" xr:uid="{356EAADB-39DF-4077-9431-462D0CFB0E0C}"/>
    <cellStyle name="Comma 6 2 2 3 2 3 2 3" xfId="41321" xr:uid="{DA96B851-5AEC-44DF-B0C5-1F362E93C551}"/>
    <cellStyle name="Comma 6 2 2 3 2 3 3" xfId="17129" xr:uid="{0F5A409A-80A6-40AB-AA47-FB6852360E9B}"/>
    <cellStyle name="Comma 6 2 2 3 2 3 3 2" xfId="47369" xr:uid="{D8068316-07E2-4D51-ABDD-5D10FE116C0E}"/>
    <cellStyle name="Comma 6 2 2 3 2 3 4" xfId="32249" xr:uid="{F7BE2E0E-D5B8-41EC-8D46-4195D74D2C9A}"/>
    <cellStyle name="Comma 6 2 2 3 2 4" xfId="3521" xr:uid="{A53617F9-0284-41EF-B02D-55147CE975D8}"/>
    <cellStyle name="Comma 6 2 2 3 2 4 2" xfId="12593" xr:uid="{EB45CEEB-CD42-4EED-89A2-58CCFFC9F6E1}"/>
    <cellStyle name="Comma 6 2 2 3 2 4 2 2" xfId="27713" xr:uid="{F8E26BB8-0045-44C6-ABEF-C061CA7F90D0}"/>
    <cellStyle name="Comma 6 2 2 3 2 4 2 2 2" xfId="57953" xr:uid="{FDC0B658-B122-42A5-97F7-01B1A45E9162}"/>
    <cellStyle name="Comma 6 2 2 3 2 4 2 3" xfId="42833" xr:uid="{FFBEA4DD-BAA3-4720-8F7A-AE2F7610A4C8}"/>
    <cellStyle name="Comma 6 2 2 3 2 4 3" xfId="18641" xr:uid="{D9C67785-2B46-4BB8-A849-FFD9F179CAF3}"/>
    <cellStyle name="Comma 6 2 2 3 2 4 3 2" xfId="48881" xr:uid="{A6CB6F1E-76A3-4141-A2FC-6F058B01922F}"/>
    <cellStyle name="Comma 6 2 2 3 2 4 4" xfId="33761" xr:uid="{100F02FA-5DDF-44D2-BF07-5C39836D330C}"/>
    <cellStyle name="Comma 6 2 2 3 2 5" xfId="5033" xr:uid="{134B3F8A-9D67-43EF-A843-D999EBB9EE60}"/>
    <cellStyle name="Comma 6 2 2 3 2 5 2" xfId="14105" xr:uid="{DB1638E5-B33B-4DF1-98C9-07F6159159C6}"/>
    <cellStyle name="Comma 6 2 2 3 2 5 2 2" xfId="29225" xr:uid="{04C45FE2-BC17-4997-B362-C72CA20BA84C}"/>
    <cellStyle name="Comma 6 2 2 3 2 5 2 2 2" xfId="59465" xr:uid="{77F15AC0-A7B6-4A8C-8E31-FD14E135D904}"/>
    <cellStyle name="Comma 6 2 2 3 2 5 2 3" xfId="44345" xr:uid="{311D3D9A-98A9-4BB6-B87D-83BAE5B5E4D5}"/>
    <cellStyle name="Comma 6 2 2 3 2 5 3" xfId="20153" xr:uid="{F2F0099E-1870-4A2B-8C75-90C4D7BBE84B}"/>
    <cellStyle name="Comma 6 2 2 3 2 5 3 2" xfId="50393" xr:uid="{A810E1F4-323A-4BAF-BC65-2089C8E619A5}"/>
    <cellStyle name="Comma 6 2 2 3 2 5 4" xfId="35273" xr:uid="{695F0426-8482-4772-BE83-6218409002C1}"/>
    <cellStyle name="Comma 6 2 2 3 2 6" xfId="6545" xr:uid="{1CE6585A-F267-408D-85B6-82D6F7AFEDF0}"/>
    <cellStyle name="Comma 6 2 2 3 2 6 2" xfId="21665" xr:uid="{F1F3625C-8B32-4C9D-AA9C-DA08B3DD8157}"/>
    <cellStyle name="Comma 6 2 2 3 2 6 2 2" xfId="51905" xr:uid="{79F6282B-109F-46E2-915A-283C24DD9A5D}"/>
    <cellStyle name="Comma 6 2 2 3 2 6 3" xfId="36785" xr:uid="{94379DC8-691B-4FEA-B849-D0B3E6B240A1}"/>
    <cellStyle name="Comma 6 2 2 3 2 7" xfId="8057" xr:uid="{B849A069-D48C-41FD-B53F-3E992F1AA702}"/>
    <cellStyle name="Comma 6 2 2 3 2 7 2" xfId="23177" xr:uid="{F60B079C-C4CD-4DB0-AD2C-29B000A3D743}"/>
    <cellStyle name="Comma 6 2 2 3 2 7 2 2" xfId="53417" xr:uid="{2743CFDD-0230-4511-A096-A58AD29C9836}"/>
    <cellStyle name="Comma 6 2 2 3 2 7 3" xfId="38297" xr:uid="{0B4DF5F5-427F-422A-94B1-401B7C4A9697}"/>
    <cellStyle name="Comma 6 2 2 3 2 8" xfId="9569" xr:uid="{BC20B971-83F7-4E3D-B2F8-318B9B71B743}"/>
    <cellStyle name="Comma 6 2 2 3 2 8 2" xfId="24689" xr:uid="{881CE286-E92D-4093-9751-419F6389A3CD}"/>
    <cellStyle name="Comma 6 2 2 3 2 8 2 2" xfId="54929" xr:uid="{11C92681-CFE9-4EBB-BEF2-76B459E5A8A9}"/>
    <cellStyle name="Comma 6 2 2 3 2 8 3" xfId="39809" xr:uid="{EEF0DF5F-EC2B-4CC8-AAA0-8C7CEFAB4E26}"/>
    <cellStyle name="Comma 6 2 2 3 2 9" xfId="15617" xr:uid="{38E08BC1-9D72-4DB6-A98D-4872ABE95A0A}"/>
    <cellStyle name="Comma 6 2 2 3 2 9 2" xfId="45857" xr:uid="{65DCCA90-1C10-4DB2-A0DC-73BA2EE54902}"/>
    <cellStyle name="Comma 6 2 2 3 3" xfId="749" xr:uid="{3C2000BF-11A5-46CA-90F1-E67675D4C669}"/>
    <cellStyle name="Comma 6 2 2 3 3 10" xfId="30989" xr:uid="{38FF883F-7DBB-4779-B36D-073FAE2FA640}"/>
    <cellStyle name="Comma 6 2 2 3 3 2" xfId="1505" xr:uid="{BBE23819-73E4-4FA1-A642-496E32552DF9}"/>
    <cellStyle name="Comma 6 2 2 3 3 2 2" xfId="3017" xr:uid="{A7DD6C38-CF4B-4FE3-8E54-AD44C34D6A54}"/>
    <cellStyle name="Comma 6 2 2 3 3 2 2 2" xfId="12089" xr:uid="{0A35DE0C-5233-4164-A2CA-429857BC6780}"/>
    <cellStyle name="Comma 6 2 2 3 3 2 2 2 2" xfId="27209" xr:uid="{26F871B0-CB07-4CC1-81D2-17AEF279BD9F}"/>
    <cellStyle name="Comma 6 2 2 3 3 2 2 2 2 2" xfId="57449" xr:uid="{A15E9A33-B40D-4397-A6E9-A2547335F6AA}"/>
    <cellStyle name="Comma 6 2 2 3 3 2 2 2 3" xfId="42329" xr:uid="{00E6E0E0-7477-42DB-B91D-928F1560CE9C}"/>
    <cellStyle name="Comma 6 2 2 3 3 2 2 3" xfId="18137" xr:uid="{C588486C-5B6A-4DDE-928E-0CE7B56A3AB5}"/>
    <cellStyle name="Comma 6 2 2 3 3 2 2 3 2" xfId="48377" xr:uid="{E118F81F-CD2B-4A95-9324-598E88011D7E}"/>
    <cellStyle name="Comma 6 2 2 3 3 2 2 4" xfId="33257" xr:uid="{83637926-AD7B-4416-AAD6-0AC3239A7C46}"/>
    <cellStyle name="Comma 6 2 2 3 3 2 3" xfId="4529" xr:uid="{D798F5D8-7A57-420F-88C6-8075230ADA83}"/>
    <cellStyle name="Comma 6 2 2 3 3 2 3 2" xfId="13601" xr:uid="{20D53FE1-8F41-49D5-8B93-DD121E4F77BC}"/>
    <cellStyle name="Comma 6 2 2 3 3 2 3 2 2" xfId="28721" xr:uid="{B06ADEDD-3BD7-468A-BBDD-03AC74E9C742}"/>
    <cellStyle name="Comma 6 2 2 3 3 2 3 2 2 2" xfId="58961" xr:uid="{1F440C25-F2E8-4C79-8292-EFFFE1965A12}"/>
    <cellStyle name="Comma 6 2 2 3 3 2 3 2 3" xfId="43841" xr:uid="{7299092E-7D33-43C2-933F-9A9DB45B3F09}"/>
    <cellStyle name="Comma 6 2 2 3 3 2 3 3" xfId="19649" xr:uid="{5F4FA21E-6323-452E-B863-A1F6BA9E7AAB}"/>
    <cellStyle name="Comma 6 2 2 3 3 2 3 3 2" xfId="49889" xr:uid="{69D29B41-5C16-48E0-AC1A-3EC76E94ABD5}"/>
    <cellStyle name="Comma 6 2 2 3 3 2 3 4" xfId="34769" xr:uid="{80262E7D-C582-408A-B678-C994994A5707}"/>
    <cellStyle name="Comma 6 2 2 3 3 2 4" xfId="6041" xr:uid="{0500E8E3-A35A-4434-A685-A5775C848205}"/>
    <cellStyle name="Comma 6 2 2 3 3 2 4 2" xfId="15113" xr:uid="{5D17D6F0-5C5E-44A7-ABB1-75B8C0FD13A6}"/>
    <cellStyle name="Comma 6 2 2 3 3 2 4 2 2" xfId="30233" xr:uid="{CD9F5680-6E5B-4479-B6E8-A85AE0074E34}"/>
    <cellStyle name="Comma 6 2 2 3 3 2 4 2 2 2" xfId="60473" xr:uid="{4366ECF9-0CEA-4477-8F43-4A26BC3A7173}"/>
    <cellStyle name="Comma 6 2 2 3 3 2 4 2 3" xfId="45353" xr:uid="{7BEE4EFE-FFF1-4F22-9093-96C7DEDB90F4}"/>
    <cellStyle name="Comma 6 2 2 3 3 2 4 3" xfId="21161" xr:uid="{0B7489A5-ABB2-47B3-8B44-3EC68CB08D4F}"/>
    <cellStyle name="Comma 6 2 2 3 3 2 4 3 2" xfId="51401" xr:uid="{6B89B22D-431C-4225-8AC3-CC0E63299FDC}"/>
    <cellStyle name="Comma 6 2 2 3 3 2 4 4" xfId="36281" xr:uid="{2923A0FD-B6F1-4BE3-AF8C-2E9D5FDCAC28}"/>
    <cellStyle name="Comma 6 2 2 3 3 2 5" xfId="7553" xr:uid="{50F6AFAE-5DA6-4F1C-80B7-A6B6CA17D49B}"/>
    <cellStyle name="Comma 6 2 2 3 3 2 5 2" xfId="22673" xr:uid="{AACF4F24-86FF-4DB5-8D73-5887C4BABD36}"/>
    <cellStyle name="Comma 6 2 2 3 3 2 5 2 2" xfId="52913" xr:uid="{90B28864-9500-406A-822A-B6308DA77096}"/>
    <cellStyle name="Comma 6 2 2 3 3 2 5 3" xfId="37793" xr:uid="{B19C245E-1EF8-48AE-98B5-5C160F1FBE84}"/>
    <cellStyle name="Comma 6 2 2 3 3 2 6" xfId="9065" xr:uid="{9A16CA8F-9EE9-4678-811A-64640AF796BA}"/>
    <cellStyle name="Comma 6 2 2 3 3 2 6 2" xfId="24185" xr:uid="{6DB816BD-D0A0-458F-BC67-C87A78071595}"/>
    <cellStyle name="Comma 6 2 2 3 3 2 6 2 2" xfId="54425" xr:uid="{8FB9F76C-009F-458B-83B2-AB676A981928}"/>
    <cellStyle name="Comma 6 2 2 3 3 2 6 3" xfId="39305" xr:uid="{39B11CDD-083B-4754-A3C7-2C22A60971AB}"/>
    <cellStyle name="Comma 6 2 2 3 3 2 7" xfId="10577" xr:uid="{E77BFF40-5B80-44A4-8261-B09BA5AFF184}"/>
    <cellStyle name="Comma 6 2 2 3 3 2 7 2" xfId="25697" xr:uid="{516C1ACE-69F5-4213-9C10-BE2BBAD21A4C}"/>
    <cellStyle name="Comma 6 2 2 3 3 2 7 2 2" xfId="55937" xr:uid="{7699B4AD-0675-41AD-A241-65E8FE9E7495}"/>
    <cellStyle name="Comma 6 2 2 3 3 2 7 3" xfId="40817" xr:uid="{839F0F2E-8605-4884-8B67-5FD68A699C48}"/>
    <cellStyle name="Comma 6 2 2 3 3 2 8" xfId="16625" xr:uid="{5D301868-D31B-41D7-86E7-9A4362A428AC}"/>
    <cellStyle name="Comma 6 2 2 3 3 2 8 2" xfId="46865" xr:uid="{7CFB2212-2BFA-4D39-B1DC-1A5FC555FA1A}"/>
    <cellStyle name="Comma 6 2 2 3 3 2 9" xfId="31745" xr:uid="{C4C135F9-621A-417A-B964-693E2F2B7263}"/>
    <cellStyle name="Comma 6 2 2 3 3 3" xfId="2261" xr:uid="{79310B33-D4EA-432E-988A-DCAE688FA81B}"/>
    <cellStyle name="Comma 6 2 2 3 3 3 2" xfId="11333" xr:uid="{4E0AF3B8-DEE9-4EF9-B69B-8D64C60EA641}"/>
    <cellStyle name="Comma 6 2 2 3 3 3 2 2" xfId="26453" xr:uid="{9A5BB576-A358-4674-9458-665228FCD587}"/>
    <cellStyle name="Comma 6 2 2 3 3 3 2 2 2" xfId="56693" xr:uid="{37DDD7C3-6F91-450F-84AF-670098A97575}"/>
    <cellStyle name="Comma 6 2 2 3 3 3 2 3" xfId="41573" xr:uid="{CA53C91F-9621-4A54-BA50-F3E7BFE2C0EA}"/>
    <cellStyle name="Comma 6 2 2 3 3 3 3" xfId="17381" xr:uid="{3E99894A-3B98-42FB-80BF-81D483AB05F1}"/>
    <cellStyle name="Comma 6 2 2 3 3 3 3 2" xfId="47621" xr:uid="{2FA08E42-78CB-44C3-B61F-10F71A5B25ED}"/>
    <cellStyle name="Comma 6 2 2 3 3 3 4" xfId="32501" xr:uid="{732C30E9-CB16-4908-8EE3-49ED6A19B743}"/>
    <cellStyle name="Comma 6 2 2 3 3 4" xfId="3773" xr:uid="{2F08E6DF-AC8D-4624-8412-20110FED64DF}"/>
    <cellStyle name="Comma 6 2 2 3 3 4 2" xfId="12845" xr:uid="{F1062126-7FF7-4BBF-B63E-B696A3C73D69}"/>
    <cellStyle name="Comma 6 2 2 3 3 4 2 2" xfId="27965" xr:uid="{4724BC67-1D44-494E-B9F9-35616A3BB8B1}"/>
    <cellStyle name="Comma 6 2 2 3 3 4 2 2 2" xfId="58205" xr:uid="{6AFF8811-FE1A-468A-8EDC-7B3D2A36C558}"/>
    <cellStyle name="Comma 6 2 2 3 3 4 2 3" xfId="43085" xr:uid="{49092263-0780-4874-9E42-159A794DD192}"/>
    <cellStyle name="Comma 6 2 2 3 3 4 3" xfId="18893" xr:uid="{4690F0B4-B3A0-4F02-85C1-A0FBFA4A6E87}"/>
    <cellStyle name="Comma 6 2 2 3 3 4 3 2" xfId="49133" xr:uid="{B836937E-08BB-41D9-AD25-772131ADBC89}"/>
    <cellStyle name="Comma 6 2 2 3 3 4 4" xfId="34013" xr:uid="{44D72FF8-3F3F-4A38-AF30-D7699D590059}"/>
    <cellStyle name="Comma 6 2 2 3 3 5" xfId="5285" xr:uid="{EAC19E8B-AFAB-4610-AD19-8BF768EA1D13}"/>
    <cellStyle name="Comma 6 2 2 3 3 5 2" xfId="14357" xr:uid="{D9A8F977-FCA4-49D4-AC7F-C14DEBD5F2E8}"/>
    <cellStyle name="Comma 6 2 2 3 3 5 2 2" xfId="29477" xr:uid="{EC130393-B38D-43B1-817B-C76DAC0C46A1}"/>
    <cellStyle name="Comma 6 2 2 3 3 5 2 2 2" xfId="59717" xr:uid="{7178C6B0-D025-4747-8C9E-137F37D30DF2}"/>
    <cellStyle name="Comma 6 2 2 3 3 5 2 3" xfId="44597" xr:uid="{8BE0AFD8-AF31-4F96-984C-A2E75D63ECD4}"/>
    <cellStyle name="Comma 6 2 2 3 3 5 3" xfId="20405" xr:uid="{648F44A4-7E37-4C1F-B729-9ABFF4F0D95B}"/>
    <cellStyle name="Comma 6 2 2 3 3 5 3 2" xfId="50645" xr:uid="{B562AFCE-7EEB-4BFF-9C80-A04BCAD8FD4D}"/>
    <cellStyle name="Comma 6 2 2 3 3 5 4" xfId="35525" xr:uid="{A79E87A9-B2B1-4661-A3D9-B7EE748222C9}"/>
    <cellStyle name="Comma 6 2 2 3 3 6" xfId="6797" xr:uid="{B2DFB668-42FB-465D-9AE0-2C18FA537E14}"/>
    <cellStyle name="Comma 6 2 2 3 3 6 2" xfId="21917" xr:uid="{C8156C67-A184-4C2E-BF38-F33872887E6E}"/>
    <cellStyle name="Comma 6 2 2 3 3 6 2 2" xfId="52157" xr:uid="{BDB5F3C0-C19E-4270-882F-059442694702}"/>
    <cellStyle name="Comma 6 2 2 3 3 6 3" xfId="37037" xr:uid="{148D83EA-86D9-4E2D-AC44-46D530103083}"/>
    <cellStyle name="Comma 6 2 2 3 3 7" xfId="8309" xr:uid="{4CBAB743-F700-4D74-A876-6675506C69C1}"/>
    <cellStyle name="Comma 6 2 2 3 3 7 2" xfId="23429" xr:uid="{34FF2818-3BFD-43CB-9D1D-2E96F48D62EA}"/>
    <cellStyle name="Comma 6 2 2 3 3 7 2 2" xfId="53669" xr:uid="{D992AE7F-57B7-4EC1-B89D-DC4EB7981400}"/>
    <cellStyle name="Comma 6 2 2 3 3 7 3" xfId="38549" xr:uid="{0A147E54-DFCE-4BCE-B94F-5775E170AFB8}"/>
    <cellStyle name="Comma 6 2 2 3 3 8" xfId="9821" xr:uid="{163C6B32-5CC9-450A-9EB9-865DC73F8D8A}"/>
    <cellStyle name="Comma 6 2 2 3 3 8 2" xfId="24941" xr:uid="{09DE276F-4E45-41BA-8973-9C163DB67A3B}"/>
    <cellStyle name="Comma 6 2 2 3 3 8 2 2" xfId="55181" xr:uid="{120E2FE2-4CE4-4503-9984-6A1B95558454}"/>
    <cellStyle name="Comma 6 2 2 3 3 8 3" xfId="40061" xr:uid="{615A9E4B-74A9-4553-9CA7-13029BBA6C3B}"/>
    <cellStyle name="Comma 6 2 2 3 3 9" xfId="15869" xr:uid="{6DA870A9-24AD-44E9-BE78-0968AD9E7D7A}"/>
    <cellStyle name="Comma 6 2 2 3 3 9 2" xfId="46109" xr:uid="{907B80A9-1F38-4446-8399-8AC4AE79DD46}"/>
    <cellStyle name="Comma 6 2 2 3 4" xfId="1001" xr:uid="{F8D7DF1E-A6D7-4CE4-A3C6-3F5031FA135C}"/>
    <cellStyle name="Comma 6 2 2 3 4 2" xfId="2513" xr:uid="{BF6394E4-D3D8-4D25-A3E4-1D26BE33AD61}"/>
    <cellStyle name="Comma 6 2 2 3 4 2 2" xfId="11585" xr:uid="{E1FF7A17-0431-454D-9DCB-D1C598175A2C}"/>
    <cellStyle name="Comma 6 2 2 3 4 2 2 2" xfId="26705" xr:uid="{A8672BB8-FF4D-4003-9929-E7B977D027F5}"/>
    <cellStyle name="Comma 6 2 2 3 4 2 2 2 2" xfId="56945" xr:uid="{D1FAA697-E9FE-4587-BFB4-F01B61DEAD4E}"/>
    <cellStyle name="Comma 6 2 2 3 4 2 2 3" xfId="41825" xr:uid="{9419A883-9A1F-48FA-A4E1-B98B44FFDA60}"/>
    <cellStyle name="Comma 6 2 2 3 4 2 3" xfId="17633" xr:uid="{9CAC298D-F9F9-4393-8F3C-CD323AA5B2DC}"/>
    <cellStyle name="Comma 6 2 2 3 4 2 3 2" xfId="47873" xr:uid="{857F2A04-49F9-491B-B2DF-42B3E9F1AEC7}"/>
    <cellStyle name="Comma 6 2 2 3 4 2 4" xfId="32753" xr:uid="{CDF389DF-797F-4C82-8961-1E95D8AC6777}"/>
    <cellStyle name="Comma 6 2 2 3 4 3" xfId="4025" xr:uid="{16610F6F-2536-415C-8162-1B5C8318A120}"/>
    <cellStyle name="Comma 6 2 2 3 4 3 2" xfId="13097" xr:uid="{4ACA3119-FE61-4B01-B821-CBD9301574E5}"/>
    <cellStyle name="Comma 6 2 2 3 4 3 2 2" xfId="28217" xr:uid="{B67491B8-3189-4252-A453-93ADF4345FFC}"/>
    <cellStyle name="Comma 6 2 2 3 4 3 2 2 2" xfId="58457" xr:uid="{B691E8F1-4326-4609-BED6-59EAEB2E82A1}"/>
    <cellStyle name="Comma 6 2 2 3 4 3 2 3" xfId="43337" xr:uid="{361B85FB-E011-4DD2-B686-CBCF775A582B}"/>
    <cellStyle name="Comma 6 2 2 3 4 3 3" xfId="19145" xr:uid="{F8063975-D04F-480C-B2B2-50D00A8A87F8}"/>
    <cellStyle name="Comma 6 2 2 3 4 3 3 2" xfId="49385" xr:uid="{E55A4297-0F01-48B0-93F4-E6BE36EAC5EF}"/>
    <cellStyle name="Comma 6 2 2 3 4 3 4" xfId="34265" xr:uid="{99A5F1BF-7DDC-4744-BB0D-00AA86E79B5A}"/>
    <cellStyle name="Comma 6 2 2 3 4 4" xfId="5537" xr:uid="{20BE2666-F992-4E8C-9903-885F9DB354EE}"/>
    <cellStyle name="Comma 6 2 2 3 4 4 2" xfId="14609" xr:uid="{EE07DD6B-78FE-46DA-9DE3-D0468A48C4A8}"/>
    <cellStyle name="Comma 6 2 2 3 4 4 2 2" xfId="29729" xr:uid="{B2AA4B5D-14BB-40EF-8249-8EF5F8E8627C}"/>
    <cellStyle name="Comma 6 2 2 3 4 4 2 2 2" xfId="59969" xr:uid="{E98E5D1A-71A4-4396-8343-EB9987D99941}"/>
    <cellStyle name="Comma 6 2 2 3 4 4 2 3" xfId="44849" xr:uid="{3D2B0D5A-53B4-4449-914C-B2158FC9033A}"/>
    <cellStyle name="Comma 6 2 2 3 4 4 3" xfId="20657" xr:uid="{2BD53B2B-682E-4B68-BAA5-EB118752170C}"/>
    <cellStyle name="Comma 6 2 2 3 4 4 3 2" xfId="50897" xr:uid="{F4ECC05D-878A-4FDA-979C-9B7AC76CD03F}"/>
    <cellStyle name="Comma 6 2 2 3 4 4 4" xfId="35777" xr:uid="{A62FC315-4923-4D59-AD84-59415B1274E0}"/>
    <cellStyle name="Comma 6 2 2 3 4 5" xfId="7049" xr:uid="{ED903EA0-A8CF-4C28-ADD5-94BF227CBA10}"/>
    <cellStyle name="Comma 6 2 2 3 4 5 2" xfId="22169" xr:uid="{F751E088-C388-4046-882E-085469CF8FDB}"/>
    <cellStyle name="Comma 6 2 2 3 4 5 2 2" xfId="52409" xr:uid="{03C9BDA8-535D-42B2-BD8A-943B67D0241B}"/>
    <cellStyle name="Comma 6 2 2 3 4 5 3" xfId="37289" xr:uid="{13C42F8E-189F-4345-B39E-E759FA424A82}"/>
    <cellStyle name="Comma 6 2 2 3 4 6" xfId="8561" xr:uid="{C3D2FD13-4ECB-41F7-9207-1018CFCED1B8}"/>
    <cellStyle name="Comma 6 2 2 3 4 6 2" xfId="23681" xr:uid="{2F348E7A-58B9-4888-BE86-246ECE936924}"/>
    <cellStyle name="Comma 6 2 2 3 4 6 2 2" xfId="53921" xr:uid="{1310437C-C9E2-4791-8A94-83093FC1E478}"/>
    <cellStyle name="Comma 6 2 2 3 4 6 3" xfId="38801" xr:uid="{FEF421BD-5349-4AF6-9F05-CCA8BDCF2765}"/>
    <cellStyle name="Comma 6 2 2 3 4 7" xfId="10073" xr:uid="{11259098-B286-49A8-9E5B-4D4650B32A0F}"/>
    <cellStyle name="Comma 6 2 2 3 4 7 2" xfId="25193" xr:uid="{17E7CEEA-4D1A-4A0A-B551-694E2966ABC8}"/>
    <cellStyle name="Comma 6 2 2 3 4 7 2 2" xfId="55433" xr:uid="{66946906-536F-4B8E-8C14-52806A63D77B}"/>
    <cellStyle name="Comma 6 2 2 3 4 7 3" xfId="40313" xr:uid="{56338C14-C06A-48F5-A52A-BF5A71E1FDD6}"/>
    <cellStyle name="Comma 6 2 2 3 4 8" xfId="16121" xr:uid="{73751D8E-60D5-4375-9860-A46BB19D9594}"/>
    <cellStyle name="Comma 6 2 2 3 4 8 2" xfId="46361" xr:uid="{3FEC8F6E-1D05-4060-AE3D-6F850DCF0B30}"/>
    <cellStyle name="Comma 6 2 2 3 4 9" xfId="31241" xr:uid="{51DA629F-FB12-4122-A658-D452615AE354}"/>
    <cellStyle name="Comma 6 2 2 3 5" xfId="1757" xr:uid="{1F2D04F2-BA8B-425A-BC97-67618FEEC745}"/>
    <cellStyle name="Comma 6 2 2 3 5 2" xfId="10829" xr:uid="{6CDCAA30-FB84-402B-999C-96CADC533E90}"/>
    <cellStyle name="Comma 6 2 2 3 5 2 2" xfId="25949" xr:uid="{6F20D046-E95E-4C67-8A62-65C2BD7D921F}"/>
    <cellStyle name="Comma 6 2 2 3 5 2 2 2" xfId="56189" xr:uid="{8CD95131-A86A-4548-A1D6-3FD08F9EF450}"/>
    <cellStyle name="Comma 6 2 2 3 5 2 3" xfId="41069" xr:uid="{1440AF59-E4FA-4BC9-ABAD-1A33218FC975}"/>
    <cellStyle name="Comma 6 2 2 3 5 3" xfId="16877" xr:uid="{445FDD04-0BEE-4400-AD39-C1A594E2045A}"/>
    <cellStyle name="Comma 6 2 2 3 5 3 2" xfId="47117" xr:uid="{CD5453CB-C529-431C-942D-20023AC3FC1C}"/>
    <cellStyle name="Comma 6 2 2 3 5 4" xfId="31997" xr:uid="{0E824247-BFF5-4B15-B46F-E9141431778E}"/>
    <cellStyle name="Comma 6 2 2 3 6" xfId="3269" xr:uid="{51E765B8-2E15-42B4-84D5-91A5D517FC93}"/>
    <cellStyle name="Comma 6 2 2 3 6 2" xfId="12341" xr:uid="{39A0E696-81EC-42D4-8AAA-6609F589909C}"/>
    <cellStyle name="Comma 6 2 2 3 6 2 2" xfId="27461" xr:uid="{0BB353E5-BA37-46BE-B0DD-C3E132286917}"/>
    <cellStyle name="Comma 6 2 2 3 6 2 2 2" xfId="57701" xr:uid="{71BA1DBF-862F-4251-ADC3-92E2ECE26978}"/>
    <cellStyle name="Comma 6 2 2 3 6 2 3" xfId="42581" xr:uid="{1AA15B57-724F-4209-8D07-FDCAA1E4184B}"/>
    <cellStyle name="Comma 6 2 2 3 6 3" xfId="18389" xr:uid="{43F000AE-9A16-462A-AAAA-8B86447D278D}"/>
    <cellStyle name="Comma 6 2 2 3 6 3 2" xfId="48629" xr:uid="{126EE7EE-9E31-437F-BB25-EF2CB32FF50D}"/>
    <cellStyle name="Comma 6 2 2 3 6 4" xfId="33509" xr:uid="{4C024B67-5322-4C14-B3EF-268E8B6457A3}"/>
    <cellStyle name="Comma 6 2 2 3 7" xfId="4781" xr:uid="{F1374C51-FC06-4B21-AD11-199E738EFEF1}"/>
    <cellStyle name="Comma 6 2 2 3 7 2" xfId="13853" xr:uid="{D6A0C9C5-BEE4-4C46-8A12-85375DB579F6}"/>
    <cellStyle name="Comma 6 2 2 3 7 2 2" xfId="28973" xr:uid="{FADB64E8-D5CF-432A-932B-626B61F7766B}"/>
    <cellStyle name="Comma 6 2 2 3 7 2 2 2" xfId="59213" xr:uid="{ED7E24CF-FDB6-43E9-B842-9044EDBBBEC3}"/>
    <cellStyle name="Comma 6 2 2 3 7 2 3" xfId="44093" xr:uid="{CB9D1DBB-A803-4F28-B02F-DA6DF69D299B}"/>
    <cellStyle name="Comma 6 2 2 3 7 3" xfId="19901" xr:uid="{0E77D879-7330-49E5-9307-DB553A41C306}"/>
    <cellStyle name="Comma 6 2 2 3 7 3 2" xfId="50141" xr:uid="{CAAF5DEC-5D16-43B1-BF6E-8D09C54C47E3}"/>
    <cellStyle name="Comma 6 2 2 3 7 4" xfId="35021" xr:uid="{A23C93EE-F7B1-4AE0-9C20-AEECF5BC5F8E}"/>
    <cellStyle name="Comma 6 2 2 3 8" xfId="6293" xr:uid="{CC94858D-1484-42CC-94E4-E66AD9D24EA7}"/>
    <cellStyle name="Comma 6 2 2 3 8 2" xfId="21413" xr:uid="{6D1C456B-E994-4FC5-A8F7-64A19F08C24F}"/>
    <cellStyle name="Comma 6 2 2 3 8 2 2" xfId="51653" xr:uid="{B95E7310-CFAE-499F-9F1A-B8A5BD617E92}"/>
    <cellStyle name="Comma 6 2 2 3 8 3" xfId="36533" xr:uid="{A81E4A4A-4BD4-4102-A0FB-94A327243456}"/>
    <cellStyle name="Comma 6 2 2 3 9" xfId="7805" xr:uid="{D27A13C4-1BD9-4D9E-83F4-E94F887A882D}"/>
    <cellStyle name="Comma 6 2 2 3 9 2" xfId="22925" xr:uid="{7B659D95-7651-4AA2-B30E-CDF345624185}"/>
    <cellStyle name="Comma 6 2 2 3 9 2 2" xfId="53165" xr:uid="{0946C851-012D-4697-8B8B-3462B937A8CF}"/>
    <cellStyle name="Comma 6 2 2 3 9 3" xfId="38045" xr:uid="{C748A2A4-BAAF-49AC-B435-631610E373D7}"/>
    <cellStyle name="Comma 6 2 2 4" xfId="329" xr:uid="{80868DAE-B90C-4E1B-B2EB-0A490B154E03}"/>
    <cellStyle name="Comma 6 2 2 4 10" xfId="30569" xr:uid="{A339F31B-D061-4C01-AA0B-1E6ED9C5CA64}"/>
    <cellStyle name="Comma 6 2 2 4 2" xfId="1085" xr:uid="{BA622A84-1D3A-4AF6-90FF-3B6DC17BB9FB}"/>
    <cellStyle name="Comma 6 2 2 4 2 2" xfId="2597" xr:uid="{DCE2CAF8-337D-4994-80C5-982357E696C0}"/>
    <cellStyle name="Comma 6 2 2 4 2 2 2" xfId="11669" xr:uid="{EF4A831B-C830-4999-B0F3-527E2863D945}"/>
    <cellStyle name="Comma 6 2 2 4 2 2 2 2" xfId="26789" xr:uid="{2AF5E10E-8A74-4E56-94BA-F54587EAF0D2}"/>
    <cellStyle name="Comma 6 2 2 4 2 2 2 2 2" xfId="57029" xr:uid="{1F5109CC-E75A-4A07-9A7B-A9B036777883}"/>
    <cellStyle name="Comma 6 2 2 4 2 2 2 3" xfId="41909" xr:uid="{6B277A69-DE53-4528-9561-4764B2BBCCE7}"/>
    <cellStyle name="Comma 6 2 2 4 2 2 3" xfId="17717" xr:uid="{63598A78-6568-46DE-9279-3E2780727ECB}"/>
    <cellStyle name="Comma 6 2 2 4 2 2 3 2" xfId="47957" xr:uid="{9F5D9BCD-B1EE-4D73-A08A-EB400D95520D}"/>
    <cellStyle name="Comma 6 2 2 4 2 2 4" xfId="32837" xr:uid="{917F9860-AF74-4187-B301-D5E1E2A1A1D6}"/>
    <cellStyle name="Comma 6 2 2 4 2 3" xfId="4109" xr:uid="{D39AAC27-1C8A-4DF6-A81D-921F906CD6DF}"/>
    <cellStyle name="Comma 6 2 2 4 2 3 2" xfId="13181" xr:uid="{B3212F7D-AF0B-43EC-BE60-93AB8A4979EC}"/>
    <cellStyle name="Comma 6 2 2 4 2 3 2 2" xfId="28301" xr:uid="{02ED8AF8-6429-4D51-85CA-8502527BCEC1}"/>
    <cellStyle name="Comma 6 2 2 4 2 3 2 2 2" xfId="58541" xr:uid="{79BB15FF-FA02-4C24-A656-66C8FA14D5A2}"/>
    <cellStyle name="Comma 6 2 2 4 2 3 2 3" xfId="43421" xr:uid="{55E94B8B-24B3-49FB-A45F-5D3C7B851B1E}"/>
    <cellStyle name="Comma 6 2 2 4 2 3 3" xfId="19229" xr:uid="{45683C64-CDAA-4300-997D-82A78BDD17AE}"/>
    <cellStyle name="Comma 6 2 2 4 2 3 3 2" xfId="49469" xr:uid="{6B2FB529-73AC-4A99-9B39-7C714CE56BF5}"/>
    <cellStyle name="Comma 6 2 2 4 2 3 4" xfId="34349" xr:uid="{3238FAF2-E2FF-4C04-B310-D21E5F4A2D9F}"/>
    <cellStyle name="Comma 6 2 2 4 2 4" xfId="5621" xr:uid="{69C24938-5765-4658-AC7F-9BEA6CCFD6EF}"/>
    <cellStyle name="Comma 6 2 2 4 2 4 2" xfId="14693" xr:uid="{09A0DE13-D2ED-4431-8F46-D32C7786C5B0}"/>
    <cellStyle name="Comma 6 2 2 4 2 4 2 2" xfId="29813" xr:uid="{EA71D935-8BAE-4FE2-8773-E8DC234E483A}"/>
    <cellStyle name="Comma 6 2 2 4 2 4 2 2 2" xfId="60053" xr:uid="{9DAE2AAD-0FF4-448D-AF7B-89220BEE2F69}"/>
    <cellStyle name="Comma 6 2 2 4 2 4 2 3" xfId="44933" xr:uid="{3278CA16-723D-47DE-B6FE-7952AC00F2E2}"/>
    <cellStyle name="Comma 6 2 2 4 2 4 3" xfId="20741" xr:uid="{9AA66AA1-F3E7-41C9-BF00-BA26609EEB60}"/>
    <cellStyle name="Comma 6 2 2 4 2 4 3 2" xfId="50981" xr:uid="{D405A639-683B-44D5-804A-8964E19C4E01}"/>
    <cellStyle name="Comma 6 2 2 4 2 4 4" xfId="35861" xr:uid="{A0953841-CD24-4573-9247-7170710B52EF}"/>
    <cellStyle name="Comma 6 2 2 4 2 5" xfId="7133" xr:uid="{BBF774B2-9B44-4277-8582-C92B5A6807B5}"/>
    <cellStyle name="Comma 6 2 2 4 2 5 2" xfId="22253" xr:uid="{191D9376-F210-4C0B-A536-D5257DCE98F2}"/>
    <cellStyle name="Comma 6 2 2 4 2 5 2 2" xfId="52493" xr:uid="{7B0FC4A1-6109-4FC1-9592-4D5CC44858C0}"/>
    <cellStyle name="Comma 6 2 2 4 2 5 3" xfId="37373" xr:uid="{77F7FC45-BB8E-4391-AF03-FBC5DADEC830}"/>
    <cellStyle name="Comma 6 2 2 4 2 6" xfId="8645" xr:uid="{91C026E6-41F6-42B4-A86B-C1F7A7A83AD2}"/>
    <cellStyle name="Comma 6 2 2 4 2 6 2" xfId="23765" xr:uid="{263C5A62-4159-4B4F-AC90-09C7243B9435}"/>
    <cellStyle name="Comma 6 2 2 4 2 6 2 2" xfId="54005" xr:uid="{57E9DF0A-39B3-4D09-92E6-CE4C55F58AC7}"/>
    <cellStyle name="Comma 6 2 2 4 2 6 3" xfId="38885" xr:uid="{DEE0EB4F-BD26-4597-A2E2-6A8EAF13C163}"/>
    <cellStyle name="Comma 6 2 2 4 2 7" xfId="10157" xr:uid="{1B465A10-A1BC-48A1-9748-84CD1993F314}"/>
    <cellStyle name="Comma 6 2 2 4 2 7 2" xfId="25277" xr:uid="{9C1D389C-8CB0-483A-BCCD-B48A625104D1}"/>
    <cellStyle name="Comma 6 2 2 4 2 7 2 2" xfId="55517" xr:uid="{93C7978C-10CD-41CD-960B-5B36B329A540}"/>
    <cellStyle name="Comma 6 2 2 4 2 7 3" xfId="40397" xr:uid="{9477DBB8-6693-415A-93E7-DDC01157471E}"/>
    <cellStyle name="Comma 6 2 2 4 2 8" xfId="16205" xr:uid="{04FA30DF-D7CB-46E4-8783-9180BF745951}"/>
    <cellStyle name="Comma 6 2 2 4 2 8 2" xfId="46445" xr:uid="{BECC5BB0-12CE-4A51-9500-DE8DEEB692E6}"/>
    <cellStyle name="Comma 6 2 2 4 2 9" xfId="31325" xr:uid="{6FBEFCC6-DA7F-42AC-9407-206113A0E1A3}"/>
    <cellStyle name="Comma 6 2 2 4 3" xfId="1841" xr:uid="{83EC1C45-ABA0-46A8-8768-DE4F4083894F}"/>
    <cellStyle name="Comma 6 2 2 4 3 2" xfId="10913" xr:uid="{717271E2-4323-4E97-96A4-748939A04C6E}"/>
    <cellStyle name="Comma 6 2 2 4 3 2 2" xfId="26033" xr:uid="{EA17DCA0-FAEE-42A6-AAC1-FF6A3B946826}"/>
    <cellStyle name="Comma 6 2 2 4 3 2 2 2" xfId="56273" xr:uid="{36742580-8715-405F-A8B6-C80E5FCB4A32}"/>
    <cellStyle name="Comma 6 2 2 4 3 2 3" xfId="41153" xr:uid="{A292C9F9-7DB1-4F5B-9688-DB8D124C1FAE}"/>
    <cellStyle name="Comma 6 2 2 4 3 3" xfId="16961" xr:uid="{89140243-C04E-4508-ADAB-50D692885D6E}"/>
    <cellStyle name="Comma 6 2 2 4 3 3 2" xfId="47201" xr:uid="{25D7401B-CD1D-4C49-8DE2-145D2B5A4F4C}"/>
    <cellStyle name="Comma 6 2 2 4 3 4" xfId="32081" xr:uid="{5C4F9A9A-4E34-4E8E-BAF4-AAF58E48B4EB}"/>
    <cellStyle name="Comma 6 2 2 4 4" xfId="3353" xr:uid="{D6355940-F815-4ADA-93CC-D5E7643F2DA8}"/>
    <cellStyle name="Comma 6 2 2 4 4 2" xfId="12425" xr:uid="{7D8E9409-0274-4CFF-B387-A6EF6D7A8D50}"/>
    <cellStyle name="Comma 6 2 2 4 4 2 2" xfId="27545" xr:uid="{BE3C8989-3934-41A6-9042-7ED4F4C43FFF}"/>
    <cellStyle name="Comma 6 2 2 4 4 2 2 2" xfId="57785" xr:uid="{61A4D3BA-5132-495E-9816-4ACB0B631547}"/>
    <cellStyle name="Comma 6 2 2 4 4 2 3" xfId="42665" xr:uid="{26C5E37C-12BF-45A0-BF09-BA205F1E41A0}"/>
    <cellStyle name="Comma 6 2 2 4 4 3" xfId="18473" xr:uid="{B74557FD-5F20-4DE1-893F-79BB9DF074DC}"/>
    <cellStyle name="Comma 6 2 2 4 4 3 2" xfId="48713" xr:uid="{0BF3D4AA-924A-465E-948B-D00C2105C512}"/>
    <cellStyle name="Comma 6 2 2 4 4 4" xfId="33593" xr:uid="{C4A51443-AE26-413C-AA75-A20F8FD65379}"/>
    <cellStyle name="Comma 6 2 2 4 5" xfId="4865" xr:uid="{573B8661-E427-4129-9B38-47226B31DD8D}"/>
    <cellStyle name="Comma 6 2 2 4 5 2" xfId="13937" xr:uid="{6729AC66-5395-4347-9ACD-1083685D2497}"/>
    <cellStyle name="Comma 6 2 2 4 5 2 2" xfId="29057" xr:uid="{3BC2485C-7874-40F7-8C08-2641BE9DBC8C}"/>
    <cellStyle name="Comma 6 2 2 4 5 2 2 2" xfId="59297" xr:uid="{ED71D263-1F18-46A9-947A-CCED59647AEA}"/>
    <cellStyle name="Comma 6 2 2 4 5 2 3" xfId="44177" xr:uid="{27F2B7A7-021B-4F20-A731-A5929C81D2C6}"/>
    <cellStyle name="Comma 6 2 2 4 5 3" xfId="19985" xr:uid="{F0D31F70-E30A-490F-81C6-FC3E024C2D7E}"/>
    <cellStyle name="Comma 6 2 2 4 5 3 2" xfId="50225" xr:uid="{D6DBF5E6-CEF3-4F2A-8FF5-BC3A7DE3EDE6}"/>
    <cellStyle name="Comma 6 2 2 4 5 4" xfId="35105" xr:uid="{4C90FEFF-880F-46D2-AAB9-61AFB8CB6E2C}"/>
    <cellStyle name="Comma 6 2 2 4 6" xfId="6377" xr:uid="{5547B3C8-41BE-4AA8-9445-6957D6E3F765}"/>
    <cellStyle name="Comma 6 2 2 4 6 2" xfId="21497" xr:uid="{A5272C9C-271F-47AE-8A6C-7F0E5BF9E532}"/>
    <cellStyle name="Comma 6 2 2 4 6 2 2" xfId="51737" xr:uid="{F42D5E1E-0998-4EBC-BE76-8B2C871A040D}"/>
    <cellStyle name="Comma 6 2 2 4 6 3" xfId="36617" xr:uid="{B4DD6E3A-CD36-45F1-ACD4-AB277B0193B3}"/>
    <cellStyle name="Comma 6 2 2 4 7" xfId="7889" xr:uid="{7AB143D6-0154-4A01-978A-7630E3702BA1}"/>
    <cellStyle name="Comma 6 2 2 4 7 2" xfId="23009" xr:uid="{D1FBC2B4-9331-4E2C-9DAE-A984AAC25900}"/>
    <cellStyle name="Comma 6 2 2 4 7 2 2" xfId="53249" xr:uid="{C9437283-7F96-4774-8925-AD9D5AE488D6}"/>
    <cellStyle name="Comma 6 2 2 4 7 3" xfId="38129" xr:uid="{B1EFCF41-4238-403D-985E-B35D48F7D975}"/>
    <cellStyle name="Comma 6 2 2 4 8" xfId="9401" xr:uid="{9471D7E6-22B8-44FB-A5B5-81BA391E6187}"/>
    <cellStyle name="Comma 6 2 2 4 8 2" xfId="24521" xr:uid="{8941E8EE-641A-4825-9BDE-F87E83E3CC6B}"/>
    <cellStyle name="Comma 6 2 2 4 8 2 2" xfId="54761" xr:uid="{4906B8AA-8B3A-4B64-ADC0-F5D5F1A76AE1}"/>
    <cellStyle name="Comma 6 2 2 4 8 3" xfId="39641" xr:uid="{3C8002E5-851F-4C7C-97B2-8C11F38ACE53}"/>
    <cellStyle name="Comma 6 2 2 4 9" xfId="15449" xr:uid="{7801F8E0-372D-497A-9B33-5F13C876F3EE}"/>
    <cellStyle name="Comma 6 2 2 4 9 2" xfId="45689" xr:uid="{BD7E63F3-A121-435C-AA04-14640E6ABD5A}"/>
    <cellStyle name="Comma 6 2 2 5" xfId="581" xr:uid="{A1FF3FB0-2737-4CD9-B2D2-AB5A6F708532}"/>
    <cellStyle name="Comma 6 2 2 5 10" xfId="30821" xr:uid="{240993F3-3279-4C54-8168-D82FFC8065DF}"/>
    <cellStyle name="Comma 6 2 2 5 2" xfId="1337" xr:uid="{F4A8DDD8-087F-4C8A-B279-82AAF45E0713}"/>
    <cellStyle name="Comma 6 2 2 5 2 2" xfId="2849" xr:uid="{B580FAE4-98C0-4B1B-92B6-8F42ACDA1F1A}"/>
    <cellStyle name="Comma 6 2 2 5 2 2 2" xfId="11921" xr:uid="{52374A21-6EB6-4E2D-9A9C-0FBB4C370D0D}"/>
    <cellStyle name="Comma 6 2 2 5 2 2 2 2" xfId="27041" xr:uid="{A69D1B11-3673-4212-AFCC-EA6B4BF00ABD}"/>
    <cellStyle name="Comma 6 2 2 5 2 2 2 2 2" xfId="57281" xr:uid="{9FC6F82A-EAFD-4E52-BC23-A4607CDFEC20}"/>
    <cellStyle name="Comma 6 2 2 5 2 2 2 3" xfId="42161" xr:uid="{F890C0F1-52E4-4722-9D63-5B03922E68B9}"/>
    <cellStyle name="Comma 6 2 2 5 2 2 3" xfId="17969" xr:uid="{47F6E912-945D-4DA9-B079-BDBAE5BCC82A}"/>
    <cellStyle name="Comma 6 2 2 5 2 2 3 2" xfId="48209" xr:uid="{399F81C0-037D-4EFA-887E-4F77D971A050}"/>
    <cellStyle name="Comma 6 2 2 5 2 2 4" xfId="33089" xr:uid="{A8583444-E1B1-4918-AF8C-014F20702E9E}"/>
    <cellStyle name="Comma 6 2 2 5 2 3" xfId="4361" xr:uid="{8A4DA791-6560-4626-9A43-DDDA80AE8D3B}"/>
    <cellStyle name="Comma 6 2 2 5 2 3 2" xfId="13433" xr:uid="{858F906B-26F2-4A35-8F6C-EFDCB35B032A}"/>
    <cellStyle name="Comma 6 2 2 5 2 3 2 2" xfId="28553" xr:uid="{89511D3B-9954-410A-A53C-6373BCE84ABF}"/>
    <cellStyle name="Comma 6 2 2 5 2 3 2 2 2" xfId="58793" xr:uid="{FA2728FB-483B-4EDE-8D70-FAE5ADB3E8C6}"/>
    <cellStyle name="Comma 6 2 2 5 2 3 2 3" xfId="43673" xr:uid="{D61474EE-5902-43B7-9972-7B588A22223C}"/>
    <cellStyle name="Comma 6 2 2 5 2 3 3" xfId="19481" xr:uid="{62D6BDFA-891F-4D2A-BD86-4AB5F8162B36}"/>
    <cellStyle name="Comma 6 2 2 5 2 3 3 2" xfId="49721" xr:uid="{429B3045-D60E-4AFE-B540-423F2BBB30E8}"/>
    <cellStyle name="Comma 6 2 2 5 2 3 4" xfId="34601" xr:uid="{9B00E1B3-4492-4AD3-95CF-58417F3172AA}"/>
    <cellStyle name="Comma 6 2 2 5 2 4" xfId="5873" xr:uid="{44A9B8D4-5102-4F83-9746-5509F2893222}"/>
    <cellStyle name="Comma 6 2 2 5 2 4 2" xfId="14945" xr:uid="{464BC067-A54F-484C-9E50-857490E86ED6}"/>
    <cellStyle name="Comma 6 2 2 5 2 4 2 2" xfId="30065" xr:uid="{E60737BC-A968-414F-8138-1E59D0871209}"/>
    <cellStyle name="Comma 6 2 2 5 2 4 2 2 2" xfId="60305" xr:uid="{0FB72F3D-2859-4636-80E3-9C1EF2EBE049}"/>
    <cellStyle name="Comma 6 2 2 5 2 4 2 3" xfId="45185" xr:uid="{8E4D93C7-68AC-4D2F-A0D3-DE5A84D54BEA}"/>
    <cellStyle name="Comma 6 2 2 5 2 4 3" xfId="20993" xr:uid="{5AFB7900-7AFB-4D62-8A3E-CF2AA141E9E6}"/>
    <cellStyle name="Comma 6 2 2 5 2 4 3 2" xfId="51233" xr:uid="{B632E603-625E-4A1C-A936-790B346E3A5F}"/>
    <cellStyle name="Comma 6 2 2 5 2 4 4" xfId="36113" xr:uid="{F8098A8C-3A89-45DB-A686-45D294B25FA4}"/>
    <cellStyle name="Comma 6 2 2 5 2 5" xfId="7385" xr:uid="{F4B615FB-084E-4BC6-972D-67FFC70A38C9}"/>
    <cellStyle name="Comma 6 2 2 5 2 5 2" xfId="22505" xr:uid="{CA1D6A1A-5FFF-49B8-8086-ED8EA9E56B8E}"/>
    <cellStyle name="Comma 6 2 2 5 2 5 2 2" xfId="52745" xr:uid="{400CCF6D-C85E-488F-B284-1A058778589C}"/>
    <cellStyle name="Comma 6 2 2 5 2 5 3" xfId="37625" xr:uid="{F1106882-BB9D-4621-B56D-ACF7C5B45260}"/>
    <cellStyle name="Comma 6 2 2 5 2 6" xfId="8897" xr:uid="{E82AC21B-6F77-4315-8A7D-2272E6974181}"/>
    <cellStyle name="Comma 6 2 2 5 2 6 2" xfId="24017" xr:uid="{B159B26E-B5DB-4543-9490-D21D498875FE}"/>
    <cellStyle name="Comma 6 2 2 5 2 6 2 2" xfId="54257" xr:uid="{DE3AFBD2-0FBC-4B68-A695-4F2F145D2D99}"/>
    <cellStyle name="Comma 6 2 2 5 2 6 3" xfId="39137" xr:uid="{226A3515-F8FC-4D79-BB59-CB1C9CCEC5AD}"/>
    <cellStyle name="Comma 6 2 2 5 2 7" xfId="10409" xr:uid="{A57C7937-044D-417D-BF5B-CE3748E5DB37}"/>
    <cellStyle name="Comma 6 2 2 5 2 7 2" xfId="25529" xr:uid="{041882A5-B0A5-4865-BA97-04E010EEEE91}"/>
    <cellStyle name="Comma 6 2 2 5 2 7 2 2" xfId="55769" xr:uid="{ADBEE573-6D73-465E-B1DF-5B90F7B832A3}"/>
    <cellStyle name="Comma 6 2 2 5 2 7 3" xfId="40649" xr:uid="{5DBEE88B-5599-44F9-A7E9-50ABE584094B}"/>
    <cellStyle name="Comma 6 2 2 5 2 8" xfId="16457" xr:uid="{659A4EAC-0096-4B33-9205-AB6ED8FDA081}"/>
    <cellStyle name="Comma 6 2 2 5 2 8 2" xfId="46697" xr:uid="{1A0C0AD5-6B44-4EC9-BEA2-238A0D2D3E97}"/>
    <cellStyle name="Comma 6 2 2 5 2 9" xfId="31577" xr:uid="{4E21466C-F85E-45A0-B361-3D594CB9DC00}"/>
    <cellStyle name="Comma 6 2 2 5 3" xfId="2093" xr:uid="{E6CF9E85-BB19-429B-B176-8BEF50DF70EB}"/>
    <cellStyle name="Comma 6 2 2 5 3 2" xfId="11165" xr:uid="{BE697CB4-F315-4CE9-AF2B-329257BF6516}"/>
    <cellStyle name="Comma 6 2 2 5 3 2 2" xfId="26285" xr:uid="{7A05A417-983E-444E-801A-125215DA7D99}"/>
    <cellStyle name="Comma 6 2 2 5 3 2 2 2" xfId="56525" xr:uid="{3EF7F010-BFD3-49A0-AD28-6C757181DD91}"/>
    <cellStyle name="Comma 6 2 2 5 3 2 3" xfId="41405" xr:uid="{967BE537-EFB8-4A67-AFF6-2DA5D57F275F}"/>
    <cellStyle name="Comma 6 2 2 5 3 3" xfId="17213" xr:uid="{34765816-9796-417F-9111-FFB7D8482362}"/>
    <cellStyle name="Comma 6 2 2 5 3 3 2" xfId="47453" xr:uid="{7CE502B0-C987-4EE3-8956-74E7D8BBF35D}"/>
    <cellStyle name="Comma 6 2 2 5 3 4" xfId="32333" xr:uid="{8FB13761-3B53-4E5E-93EA-323A766070BD}"/>
    <cellStyle name="Comma 6 2 2 5 4" xfId="3605" xr:uid="{4D932985-1508-4AB1-B91B-E39FC3AA36EE}"/>
    <cellStyle name="Comma 6 2 2 5 4 2" xfId="12677" xr:uid="{752C3FF0-3C8A-4AB3-A5F3-738129B48AA6}"/>
    <cellStyle name="Comma 6 2 2 5 4 2 2" xfId="27797" xr:uid="{DEE6189D-59A1-405B-8785-E86F0EF38835}"/>
    <cellStyle name="Comma 6 2 2 5 4 2 2 2" xfId="58037" xr:uid="{0189B307-50C3-4333-A942-7CBD37426B13}"/>
    <cellStyle name="Comma 6 2 2 5 4 2 3" xfId="42917" xr:uid="{12DFFB41-4374-47B7-A775-DC873F57E212}"/>
    <cellStyle name="Comma 6 2 2 5 4 3" xfId="18725" xr:uid="{199CE45E-BF68-41B5-8EBE-EC53D40D1282}"/>
    <cellStyle name="Comma 6 2 2 5 4 3 2" xfId="48965" xr:uid="{1C456E74-F083-4C21-B949-32A24454A83E}"/>
    <cellStyle name="Comma 6 2 2 5 4 4" xfId="33845" xr:uid="{1C41927E-5E30-4B31-BF91-847C8EF13698}"/>
    <cellStyle name="Comma 6 2 2 5 5" xfId="5117" xr:uid="{EA1E4AF0-4285-4007-9EBF-B2CC5991363F}"/>
    <cellStyle name="Comma 6 2 2 5 5 2" xfId="14189" xr:uid="{274FFA62-578D-4AD1-A4BA-E1C1CEE24EB0}"/>
    <cellStyle name="Comma 6 2 2 5 5 2 2" xfId="29309" xr:uid="{51D1CAC9-E195-4410-B1D7-174ED606623C}"/>
    <cellStyle name="Comma 6 2 2 5 5 2 2 2" xfId="59549" xr:uid="{59866DF2-AAD7-4B68-A5EA-F457F48F9873}"/>
    <cellStyle name="Comma 6 2 2 5 5 2 3" xfId="44429" xr:uid="{D767D581-BEAE-424D-B035-13EC6DC50887}"/>
    <cellStyle name="Comma 6 2 2 5 5 3" xfId="20237" xr:uid="{21A00774-BFBB-47FB-9249-43F324342E7E}"/>
    <cellStyle name="Comma 6 2 2 5 5 3 2" xfId="50477" xr:uid="{2DCBF600-4522-4AC8-B5B7-F7DC53B0D76B}"/>
    <cellStyle name="Comma 6 2 2 5 5 4" xfId="35357" xr:uid="{249B46EE-423E-40D1-84DA-EA176ED51874}"/>
    <cellStyle name="Comma 6 2 2 5 6" xfId="6629" xr:uid="{5A01DC0F-FBEE-4648-BEF1-A008880322FC}"/>
    <cellStyle name="Comma 6 2 2 5 6 2" xfId="21749" xr:uid="{3F6581A8-65E8-49E6-A904-6AFBD5BBCC55}"/>
    <cellStyle name="Comma 6 2 2 5 6 2 2" xfId="51989" xr:uid="{BEA369DD-7BEC-4334-AA35-9088AA2DC8FE}"/>
    <cellStyle name="Comma 6 2 2 5 6 3" xfId="36869" xr:uid="{5E48C1D5-5987-496B-B7FC-6A6E7BFC052C}"/>
    <cellStyle name="Comma 6 2 2 5 7" xfId="8141" xr:uid="{77167446-440B-46D2-AC30-92B175CE784E}"/>
    <cellStyle name="Comma 6 2 2 5 7 2" xfId="23261" xr:uid="{27D1DF00-4B31-4553-9953-FC7C6A52EB20}"/>
    <cellStyle name="Comma 6 2 2 5 7 2 2" xfId="53501" xr:uid="{F5429D0A-4D29-4600-9081-E06384F9BC2F}"/>
    <cellStyle name="Comma 6 2 2 5 7 3" xfId="38381" xr:uid="{0E86DCED-1834-4A9B-AE94-BCA3332A277D}"/>
    <cellStyle name="Comma 6 2 2 5 8" xfId="9653" xr:uid="{BDE59FA6-0819-475B-A812-EE5DF3EAC4E4}"/>
    <cellStyle name="Comma 6 2 2 5 8 2" xfId="24773" xr:uid="{B81A7105-FCA6-4C4B-AD96-160E5DBAE941}"/>
    <cellStyle name="Comma 6 2 2 5 8 2 2" xfId="55013" xr:uid="{59FB69B6-FC5F-43F5-9070-0669E3891E16}"/>
    <cellStyle name="Comma 6 2 2 5 8 3" xfId="39893" xr:uid="{0CDC63EA-22C4-4509-90BE-9B702C257234}"/>
    <cellStyle name="Comma 6 2 2 5 9" xfId="15701" xr:uid="{06B71D6B-9502-4EA7-B953-AB13563DD649}"/>
    <cellStyle name="Comma 6 2 2 5 9 2" xfId="45941" xr:uid="{D8947B93-943F-41E8-954F-0CAA10C86EF1}"/>
    <cellStyle name="Comma 6 2 2 6" xfId="833" xr:uid="{5E879507-BA6D-4535-83B9-95B8C273AD8E}"/>
    <cellStyle name="Comma 6 2 2 6 2" xfId="2345" xr:uid="{107B700B-5235-4E1F-8123-771637AAA9C1}"/>
    <cellStyle name="Comma 6 2 2 6 2 2" xfId="11417" xr:uid="{DF652EE9-4760-4B10-AE10-FE16574BA973}"/>
    <cellStyle name="Comma 6 2 2 6 2 2 2" xfId="26537" xr:uid="{96A40928-0637-4437-BEFD-1ED6EF2672CE}"/>
    <cellStyle name="Comma 6 2 2 6 2 2 2 2" xfId="56777" xr:uid="{AE869872-EC17-4E18-A2F5-F0B5C9C8D6BB}"/>
    <cellStyle name="Comma 6 2 2 6 2 2 3" xfId="41657" xr:uid="{FC109367-BA4C-4C9D-A832-78E8235A9863}"/>
    <cellStyle name="Comma 6 2 2 6 2 3" xfId="17465" xr:uid="{E73B8B53-321B-4EC3-AAD1-7DC1427ABBEF}"/>
    <cellStyle name="Comma 6 2 2 6 2 3 2" xfId="47705" xr:uid="{2FA84B84-3719-4F06-8E86-C85E65A2BB6F}"/>
    <cellStyle name="Comma 6 2 2 6 2 4" xfId="32585" xr:uid="{8C6837B7-682D-4213-8270-1D641C26DB6D}"/>
    <cellStyle name="Comma 6 2 2 6 3" xfId="3857" xr:uid="{F26449F1-7B59-45AD-ABEB-EEC95DDC81AA}"/>
    <cellStyle name="Comma 6 2 2 6 3 2" xfId="12929" xr:uid="{A151AAE2-F4B8-465E-953A-8CE20EA35DF0}"/>
    <cellStyle name="Comma 6 2 2 6 3 2 2" xfId="28049" xr:uid="{83B800F9-71D1-4F81-9A68-804B8E4D7A2E}"/>
    <cellStyle name="Comma 6 2 2 6 3 2 2 2" xfId="58289" xr:uid="{4A9307AF-FDA8-4433-B5E8-F39E43044760}"/>
    <cellStyle name="Comma 6 2 2 6 3 2 3" xfId="43169" xr:uid="{9AACA18A-06F5-474E-893A-EFC5E4937AFA}"/>
    <cellStyle name="Comma 6 2 2 6 3 3" xfId="18977" xr:uid="{FC96859E-74FB-4101-8726-C8C255433D8E}"/>
    <cellStyle name="Comma 6 2 2 6 3 3 2" xfId="49217" xr:uid="{58CB5838-3731-4F6B-B60A-D9EF4D09CC1F}"/>
    <cellStyle name="Comma 6 2 2 6 3 4" xfId="34097" xr:uid="{19A5665E-7CC5-4B9B-AF07-8BCE40219CA0}"/>
    <cellStyle name="Comma 6 2 2 6 4" xfId="5369" xr:uid="{1844B2DE-E83D-44E9-9B73-E72D529C07B8}"/>
    <cellStyle name="Comma 6 2 2 6 4 2" xfId="14441" xr:uid="{77A4A5B5-489D-4CEC-8DFF-2E1772F6BE0C}"/>
    <cellStyle name="Comma 6 2 2 6 4 2 2" xfId="29561" xr:uid="{3161CC3A-C712-4C9F-8E04-C1A25607C365}"/>
    <cellStyle name="Comma 6 2 2 6 4 2 2 2" xfId="59801" xr:uid="{B1703E46-15C1-4DD3-B764-1077A79284F8}"/>
    <cellStyle name="Comma 6 2 2 6 4 2 3" xfId="44681" xr:uid="{48381437-4138-49E1-8AAB-C64693AF93AA}"/>
    <cellStyle name="Comma 6 2 2 6 4 3" xfId="20489" xr:uid="{C16257F1-0981-460A-9380-451735060C66}"/>
    <cellStyle name="Comma 6 2 2 6 4 3 2" xfId="50729" xr:uid="{31D95A63-AD13-48E3-8F51-F857D525DFDE}"/>
    <cellStyle name="Comma 6 2 2 6 4 4" xfId="35609" xr:uid="{351EFFD2-D2A3-471A-AE27-84B63678715A}"/>
    <cellStyle name="Comma 6 2 2 6 5" xfId="6881" xr:uid="{2CEACD1A-9E8E-4894-A0D1-B6271736BAE4}"/>
    <cellStyle name="Comma 6 2 2 6 5 2" xfId="22001" xr:uid="{FDE8BA76-98AB-40EB-BF26-C88988B26598}"/>
    <cellStyle name="Comma 6 2 2 6 5 2 2" xfId="52241" xr:uid="{25176C35-B185-4851-8065-946D14080774}"/>
    <cellStyle name="Comma 6 2 2 6 5 3" xfId="37121" xr:uid="{B3E0C8A8-F86D-4E30-988F-46A7A3C96DCF}"/>
    <cellStyle name="Comma 6 2 2 6 6" xfId="8393" xr:uid="{2B0E983F-83A4-4404-A73C-D0F4FC0D00C6}"/>
    <cellStyle name="Comma 6 2 2 6 6 2" xfId="23513" xr:uid="{10DBE836-896E-4B7E-AAA8-12D3C5C2DFF9}"/>
    <cellStyle name="Comma 6 2 2 6 6 2 2" xfId="53753" xr:uid="{2215C62B-3B82-4E9B-99CD-073194FCA446}"/>
    <cellStyle name="Comma 6 2 2 6 6 3" xfId="38633" xr:uid="{CBB36252-1ADF-4A4C-9E25-BAB95DC0D449}"/>
    <cellStyle name="Comma 6 2 2 6 7" xfId="9905" xr:uid="{B3C8BE67-33C5-4D76-A5C8-59027B9E889F}"/>
    <cellStyle name="Comma 6 2 2 6 7 2" xfId="25025" xr:uid="{116B185C-FEC7-4758-B5A3-3DB820F5CD85}"/>
    <cellStyle name="Comma 6 2 2 6 7 2 2" xfId="55265" xr:uid="{A1DC1386-ACB3-4970-882C-446989903690}"/>
    <cellStyle name="Comma 6 2 2 6 7 3" xfId="40145" xr:uid="{30328078-F324-4358-A637-923106271F5E}"/>
    <cellStyle name="Comma 6 2 2 6 8" xfId="15953" xr:uid="{532A2221-5A6B-494B-B10E-3327E12DF2A4}"/>
    <cellStyle name="Comma 6 2 2 6 8 2" xfId="46193" xr:uid="{1B068CDE-AD35-4868-8323-E329FBF92CEB}"/>
    <cellStyle name="Comma 6 2 2 6 9" xfId="31073" xr:uid="{A6A85636-3D14-48FA-92AB-CD41DA3B06AD}"/>
    <cellStyle name="Comma 6 2 2 7" xfId="1589" xr:uid="{F5174C17-5E3C-4182-AE23-F1B15BE34C01}"/>
    <cellStyle name="Comma 6 2 2 7 2" xfId="10661" xr:uid="{96397775-32C0-468C-8813-E4C56E687DF3}"/>
    <cellStyle name="Comma 6 2 2 7 2 2" xfId="25781" xr:uid="{8876604F-A602-4078-8DF4-651F1E830DBF}"/>
    <cellStyle name="Comma 6 2 2 7 2 2 2" xfId="56021" xr:uid="{A9F3D5FE-302B-4813-B16B-A8C60DA3A096}"/>
    <cellStyle name="Comma 6 2 2 7 2 3" xfId="40901" xr:uid="{290E1CF7-26AE-4FF7-BFBC-925BE80A5C86}"/>
    <cellStyle name="Comma 6 2 2 7 3" xfId="16709" xr:uid="{1E413F83-FF40-4487-B8C2-72394252AD1C}"/>
    <cellStyle name="Comma 6 2 2 7 3 2" xfId="46949" xr:uid="{84A7772C-1D2F-47DA-A814-3487F9EA7ADF}"/>
    <cellStyle name="Comma 6 2 2 7 4" xfId="31829" xr:uid="{DC93BD28-6C91-4092-B35E-B345BE925D2A}"/>
    <cellStyle name="Comma 6 2 2 8" xfId="3101" xr:uid="{CFCB247B-930C-46F8-B21F-A7619F32D426}"/>
    <cellStyle name="Comma 6 2 2 8 2" xfId="12173" xr:uid="{428BAC74-3849-4316-94FE-B849F686A0C2}"/>
    <cellStyle name="Comma 6 2 2 8 2 2" xfId="27293" xr:uid="{807954C0-94ED-4F14-9529-FC5A6BFB2A16}"/>
    <cellStyle name="Comma 6 2 2 8 2 2 2" xfId="57533" xr:uid="{052487E5-8FA0-4083-B00A-FFB316DAD706}"/>
    <cellStyle name="Comma 6 2 2 8 2 3" xfId="42413" xr:uid="{ED0CDA86-0B95-4B20-9A69-BA86B5AE3DDD}"/>
    <cellStyle name="Comma 6 2 2 8 3" xfId="18221" xr:uid="{4A38E06D-2D93-4D52-BF96-26E944CAD3F9}"/>
    <cellStyle name="Comma 6 2 2 8 3 2" xfId="48461" xr:uid="{9E5BDF58-819E-4787-BA4C-5EA45E1FE712}"/>
    <cellStyle name="Comma 6 2 2 8 4" xfId="33341" xr:uid="{3CBC7D09-5391-4E08-9FF5-8C9A5AE63D43}"/>
    <cellStyle name="Comma 6 2 2 9" xfId="4613" xr:uid="{FF9E83EA-8FB1-443A-8DF6-19FA10FBABD5}"/>
    <cellStyle name="Comma 6 2 2 9 2" xfId="13685" xr:uid="{67C85840-7265-410A-87B3-E5FC7C40954B}"/>
    <cellStyle name="Comma 6 2 2 9 2 2" xfId="28805" xr:uid="{B2A11056-82D4-4E7F-8298-1BB2F320B8B5}"/>
    <cellStyle name="Comma 6 2 2 9 2 2 2" xfId="59045" xr:uid="{ED38CCD9-FF66-4F12-A16B-3BA2A2F9B527}"/>
    <cellStyle name="Comma 6 2 2 9 2 3" xfId="43925" xr:uid="{BCA31C98-798D-4BE1-AF10-6DE930C6DE26}"/>
    <cellStyle name="Comma 6 2 2 9 3" xfId="19733" xr:uid="{D1627A25-5EC9-4F3B-8C6D-3F5C77A92741}"/>
    <cellStyle name="Comma 6 2 2 9 3 2" xfId="49973" xr:uid="{E6E23987-2FB4-45B2-8DB6-621C8CC750CB}"/>
    <cellStyle name="Comma 6 2 2 9 4" xfId="34853" xr:uid="{D06F7633-2848-4CFC-AD56-FB74CFE7AB2D}"/>
    <cellStyle name="Comma 6 2 3" xfId="119" xr:uid="{8C359162-AE93-4D90-904E-CC11BE74125D}"/>
    <cellStyle name="Comma 6 2 3 10" xfId="9191" xr:uid="{C9D047C7-4EB8-48A5-A390-60DA25291E29}"/>
    <cellStyle name="Comma 6 2 3 10 2" xfId="24311" xr:uid="{D30548DF-21C1-4D58-9703-799C7F89D47C}"/>
    <cellStyle name="Comma 6 2 3 10 2 2" xfId="54551" xr:uid="{A1E43F50-1EF0-4FA6-BA0D-A3ABF3D4632E}"/>
    <cellStyle name="Comma 6 2 3 10 3" xfId="39431" xr:uid="{004F7B59-BB5E-4223-B252-DEE8930AFF64}"/>
    <cellStyle name="Comma 6 2 3 11" xfId="15239" xr:uid="{47A9A4AD-8E6C-493B-A48A-DA5A9946A5CE}"/>
    <cellStyle name="Comma 6 2 3 11 2" xfId="45479" xr:uid="{91C0D963-49C2-46D7-9636-F6182B5E8175}"/>
    <cellStyle name="Comma 6 2 3 12" xfId="30359" xr:uid="{A6C52302-48C1-4BC9-BD87-3DA36E6DD97D}"/>
    <cellStyle name="Comma 6 2 3 2" xfId="371" xr:uid="{914EFBCB-CE70-43A2-8A63-C3EFE5E891FE}"/>
    <cellStyle name="Comma 6 2 3 2 10" xfId="30611" xr:uid="{DD5F7297-EF57-4A80-A3F6-6C4F79E14CE0}"/>
    <cellStyle name="Comma 6 2 3 2 2" xfId="1127" xr:uid="{14D3372A-52B5-464E-8FB8-91FB0E15C8B3}"/>
    <cellStyle name="Comma 6 2 3 2 2 2" xfId="2639" xr:uid="{80556B80-AFB5-494B-B58D-A9A0820810E0}"/>
    <cellStyle name="Comma 6 2 3 2 2 2 2" xfId="11711" xr:uid="{5467FB8C-E589-416B-B58D-1EE2E99B6870}"/>
    <cellStyle name="Comma 6 2 3 2 2 2 2 2" xfId="26831" xr:uid="{96A6C1A1-067D-4563-98DD-909C5625BC90}"/>
    <cellStyle name="Comma 6 2 3 2 2 2 2 2 2" xfId="57071" xr:uid="{99089609-1285-49E1-9AAE-AD92E9FFABA3}"/>
    <cellStyle name="Comma 6 2 3 2 2 2 2 3" xfId="41951" xr:uid="{1DFF3F67-599E-4C6D-877C-100ACB9F7BCC}"/>
    <cellStyle name="Comma 6 2 3 2 2 2 3" xfId="17759" xr:uid="{3401E09A-9DAA-4A19-A994-95DE7F02EBA7}"/>
    <cellStyle name="Comma 6 2 3 2 2 2 3 2" xfId="47999" xr:uid="{655ED20C-1D71-476A-B66C-BDB3C236778F}"/>
    <cellStyle name="Comma 6 2 3 2 2 2 4" xfId="32879" xr:uid="{280D0BCC-0ADD-4A13-8462-41C7CD3352F3}"/>
    <cellStyle name="Comma 6 2 3 2 2 3" xfId="4151" xr:uid="{77814817-FADA-4603-98FC-8A50FC3778A0}"/>
    <cellStyle name="Comma 6 2 3 2 2 3 2" xfId="13223" xr:uid="{14F90B0D-C3E2-47EA-AA80-C2D5DF720F5A}"/>
    <cellStyle name="Comma 6 2 3 2 2 3 2 2" xfId="28343" xr:uid="{90DBBE9C-88BE-47DB-95E4-8AA654531536}"/>
    <cellStyle name="Comma 6 2 3 2 2 3 2 2 2" xfId="58583" xr:uid="{64C7251C-AEC2-4472-B96A-72D5F0CFD9F6}"/>
    <cellStyle name="Comma 6 2 3 2 2 3 2 3" xfId="43463" xr:uid="{0894C148-57D2-4530-9C02-A97CA35B51E0}"/>
    <cellStyle name="Comma 6 2 3 2 2 3 3" xfId="19271" xr:uid="{9EA14E84-A122-4C2B-80D5-1CE8518A25C6}"/>
    <cellStyle name="Comma 6 2 3 2 2 3 3 2" xfId="49511" xr:uid="{4ADA575D-BC8F-4280-871F-38DDF081170C}"/>
    <cellStyle name="Comma 6 2 3 2 2 3 4" xfId="34391" xr:uid="{67BACD8E-D722-4B04-82DC-DC76883DBEDF}"/>
    <cellStyle name="Comma 6 2 3 2 2 4" xfId="5663" xr:uid="{0944EC04-8BA4-4E26-B65C-438DF005AB1C}"/>
    <cellStyle name="Comma 6 2 3 2 2 4 2" xfId="14735" xr:uid="{78CD4A6F-8EBC-40CC-83E1-170CA607A323}"/>
    <cellStyle name="Comma 6 2 3 2 2 4 2 2" xfId="29855" xr:uid="{DDD7C56E-79DF-4AC8-B441-0328C8B78622}"/>
    <cellStyle name="Comma 6 2 3 2 2 4 2 2 2" xfId="60095" xr:uid="{9B8BE42A-1D47-45A7-AD79-76D8390ECA1D}"/>
    <cellStyle name="Comma 6 2 3 2 2 4 2 3" xfId="44975" xr:uid="{0A3FEA02-DD4C-4DDB-8275-B1414AC38E90}"/>
    <cellStyle name="Comma 6 2 3 2 2 4 3" xfId="20783" xr:uid="{16A75403-69A0-4EA0-B98D-921F842A3BB0}"/>
    <cellStyle name="Comma 6 2 3 2 2 4 3 2" xfId="51023" xr:uid="{B8BB69C4-CB1F-4B19-874E-5585C398A684}"/>
    <cellStyle name="Comma 6 2 3 2 2 4 4" xfId="35903" xr:uid="{03688A58-3ED6-4716-B406-2BF612FD4368}"/>
    <cellStyle name="Comma 6 2 3 2 2 5" xfId="7175" xr:uid="{CFE4BF25-B952-41AE-B0F8-53ED3258EC48}"/>
    <cellStyle name="Comma 6 2 3 2 2 5 2" xfId="22295" xr:uid="{D2A9F488-FA9E-48EF-A78C-E5F9A6257B85}"/>
    <cellStyle name="Comma 6 2 3 2 2 5 2 2" xfId="52535" xr:uid="{5A2515B1-712D-49AD-A9A5-70E13D4A2DBF}"/>
    <cellStyle name="Comma 6 2 3 2 2 5 3" xfId="37415" xr:uid="{C9715E0F-D4FB-4CD8-BD14-30FCC38A622A}"/>
    <cellStyle name="Comma 6 2 3 2 2 6" xfId="8687" xr:uid="{CBE14614-A526-4910-83F1-F77047CA987D}"/>
    <cellStyle name="Comma 6 2 3 2 2 6 2" xfId="23807" xr:uid="{A01B15E4-752B-47CC-9557-ECC986D5B31C}"/>
    <cellStyle name="Comma 6 2 3 2 2 6 2 2" xfId="54047" xr:uid="{CE31D36F-176F-4827-8B3B-3B51AD740AC8}"/>
    <cellStyle name="Comma 6 2 3 2 2 6 3" xfId="38927" xr:uid="{C673295D-3E07-42AB-8946-9C7C1D6B1675}"/>
    <cellStyle name="Comma 6 2 3 2 2 7" xfId="10199" xr:uid="{8B795E3C-9367-455B-97CB-D00EC7D0E128}"/>
    <cellStyle name="Comma 6 2 3 2 2 7 2" xfId="25319" xr:uid="{7569D338-CC52-4685-A5F0-07B00D7E275F}"/>
    <cellStyle name="Comma 6 2 3 2 2 7 2 2" xfId="55559" xr:uid="{0CEFD7FE-796E-4AC5-82C2-EC1128711AB0}"/>
    <cellStyle name="Comma 6 2 3 2 2 7 3" xfId="40439" xr:uid="{F0388F83-047C-44BA-8072-E962C69CAF8E}"/>
    <cellStyle name="Comma 6 2 3 2 2 8" xfId="16247" xr:uid="{6541A832-DDF8-451F-8DE0-5549A62E26E5}"/>
    <cellStyle name="Comma 6 2 3 2 2 8 2" xfId="46487" xr:uid="{08B39488-633F-4F22-9F84-F743AA875346}"/>
    <cellStyle name="Comma 6 2 3 2 2 9" xfId="31367" xr:uid="{AF425B91-2D37-41D9-9367-91F60A902C47}"/>
    <cellStyle name="Comma 6 2 3 2 3" xfId="1883" xr:uid="{4D7912A3-1632-4569-A060-5142633612B5}"/>
    <cellStyle name="Comma 6 2 3 2 3 2" xfId="10955" xr:uid="{7B2A2EEE-F9BA-49F0-9261-D0CE2EE8CFF8}"/>
    <cellStyle name="Comma 6 2 3 2 3 2 2" xfId="26075" xr:uid="{F8F040AF-6CEC-4A11-824B-FFA683391A17}"/>
    <cellStyle name="Comma 6 2 3 2 3 2 2 2" xfId="56315" xr:uid="{40F452B2-8406-43B3-9004-477AFBC0507D}"/>
    <cellStyle name="Comma 6 2 3 2 3 2 3" xfId="41195" xr:uid="{DBDF8BAD-C212-454A-B099-C7A0D0A71ADC}"/>
    <cellStyle name="Comma 6 2 3 2 3 3" xfId="17003" xr:uid="{F0F02A66-066C-4684-9AD7-606461337F7D}"/>
    <cellStyle name="Comma 6 2 3 2 3 3 2" xfId="47243" xr:uid="{E7153BDA-B700-416C-82E0-0DF2EC64E435}"/>
    <cellStyle name="Comma 6 2 3 2 3 4" xfId="32123" xr:uid="{7995F830-6942-4229-880F-331A702D1F03}"/>
    <cellStyle name="Comma 6 2 3 2 4" xfId="3395" xr:uid="{666F0BBF-7514-4A6A-A38A-297AC237BD9B}"/>
    <cellStyle name="Comma 6 2 3 2 4 2" xfId="12467" xr:uid="{BB1C7131-4A51-4620-BB37-1E8B4BA3356E}"/>
    <cellStyle name="Comma 6 2 3 2 4 2 2" xfId="27587" xr:uid="{4E3FC810-34A7-4EB9-87BE-01AB645FC714}"/>
    <cellStyle name="Comma 6 2 3 2 4 2 2 2" xfId="57827" xr:uid="{95C7ACA9-1E9F-4083-94D0-E1F5D972C4E7}"/>
    <cellStyle name="Comma 6 2 3 2 4 2 3" xfId="42707" xr:uid="{D9DEFE25-7A16-416A-87D7-0B7A59A78849}"/>
    <cellStyle name="Comma 6 2 3 2 4 3" xfId="18515" xr:uid="{1B5C2683-6949-4A4C-8E4C-EA58E28989B8}"/>
    <cellStyle name="Comma 6 2 3 2 4 3 2" xfId="48755" xr:uid="{53BF04E0-6BB6-4912-895A-4980449661E9}"/>
    <cellStyle name="Comma 6 2 3 2 4 4" xfId="33635" xr:uid="{1020D003-5B4F-4F14-BF0D-4E9A222DA62D}"/>
    <cellStyle name="Comma 6 2 3 2 5" xfId="4907" xr:uid="{A5353CC7-45F8-4B9B-8105-D80BEB056CA0}"/>
    <cellStyle name="Comma 6 2 3 2 5 2" xfId="13979" xr:uid="{D139E9D6-0C44-4380-B634-055B5556748D}"/>
    <cellStyle name="Comma 6 2 3 2 5 2 2" xfId="29099" xr:uid="{FF3534E6-01A4-4714-9E9B-76909C12EE8D}"/>
    <cellStyle name="Comma 6 2 3 2 5 2 2 2" xfId="59339" xr:uid="{2AD7C902-587A-4431-BAE2-B1CF97367D94}"/>
    <cellStyle name="Comma 6 2 3 2 5 2 3" xfId="44219" xr:uid="{094B5EC1-213C-47FD-A046-C204D4790E67}"/>
    <cellStyle name="Comma 6 2 3 2 5 3" xfId="20027" xr:uid="{8B3618F3-B579-4B5E-A90F-31F02B74CC3C}"/>
    <cellStyle name="Comma 6 2 3 2 5 3 2" xfId="50267" xr:uid="{BCE0A91E-D01F-45F4-B104-7FF4D9B5C622}"/>
    <cellStyle name="Comma 6 2 3 2 5 4" xfId="35147" xr:uid="{BE0A3590-B9E7-4D27-A67B-40EFEF9126DF}"/>
    <cellStyle name="Comma 6 2 3 2 6" xfId="6419" xr:uid="{9319A94B-6C7E-4740-9891-ED15C0F78784}"/>
    <cellStyle name="Comma 6 2 3 2 6 2" xfId="21539" xr:uid="{78A637E7-7420-449F-A48D-BBBD125F9FE0}"/>
    <cellStyle name="Comma 6 2 3 2 6 2 2" xfId="51779" xr:uid="{734D995C-0523-4C0D-B014-5955DF2ECAC0}"/>
    <cellStyle name="Comma 6 2 3 2 6 3" xfId="36659" xr:uid="{14BD115F-F61C-459C-A24F-671E24A6C500}"/>
    <cellStyle name="Comma 6 2 3 2 7" xfId="7931" xr:uid="{0DCDDE96-F488-428F-9C1C-9DD93B331DA1}"/>
    <cellStyle name="Comma 6 2 3 2 7 2" xfId="23051" xr:uid="{3917532A-4592-424D-B308-3E49B864726D}"/>
    <cellStyle name="Comma 6 2 3 2 7 2 2" xfId="53291" xr:uid="{FD5906FE-ECB4-4A73-9A55-A93363839AF4}"/>
    <cellStyle name="Comma 6 2 3 2 7 3" xfId="38171" xr:uid="{D824E7A0-E9C0-4DFB-A0D9-2E5D7D1A3A16}"/>
    <cellStyle name="Comma 6 2 3 2 8" xfId="9443" xr:uid="{D6493235-2234-40D0-B4E8-4455B7322BF6}"/>
    <cellStyle name="Comma 6 2 3 2 8 2" xfId="24563" xr:uid="{10BD9049-E0B9-4E6F-B176-04CC4A52714B}"/>
    <cellStyle name="Comma 6 2 3 2 8 2 2" xfId="54803" xr:uid="{6EA67E18-6071-462E-8845-CC6AE427B7DF}"/>
    <cellStyle name="Comma 6 2 3 2 8 3" xfId="39683" xr:uid="{644F5768-B7F3-4F5F-A7A2-F11972ADF36D}"/>
    <cellStyle name="Comma 6 2 3 2 9" xfId="15491" xr:uid="{2EEE6041-E5EE-42E2-B4AA-6A7D903597A8}"/>
    <cellStyle name="Comma 6 2 3 2 9 2" xfId="45731" xr:uid="{21D97A8F-61B8-481F-A6F6-F5CA518F317D}"/>
    <cellStyle name="Comma 6 2 3 3" xfId="623" xr:uid="{C287EA45-3988-421C-9C27-14EF38BE509C}"/>
    <cellStyle name="Comma 6 2 3 3 10" xfId="30863" xr:uid="{E8A67F02-39B3-425F-988F-AB0937E387A9}"/>
    <cellStyle name="Comma 6 2 3 3 2" xfId="1379" xr:uid="{6D423D03-CA51-441A-BE69-3015FAE875CD}"/>
    <cellStyle name="Comma 6 2 3 3 2 2" xfId="2891" xr:uid="{A5EA5DBD-48F0-48C4-B869-E0AF06BEF67B}"/>
    <cellStyle name="Comma 6 2 3 3 2 2 2" xfId="11963" xr:uid="{77F4AA95-2EFA-41FA-BF78-9C6825B2AD74}"/>
    <cellStyle name="Comma 6 2 3 3 2 2 2 2" xfId="27083" xr:uid="{6BF4EB7C-28FA-48C8-AF0B-3B3EFE5600AA}"/>
    <cellStyle name="Comma 6 2 3 3 2 2 2 2 2" xfId="57323" xr:uid="{7A75B743-4499-405B-B945-2D726F570513}"/>
    <cellStyle name="Comma 6 2 3 3 2 2 2 3" xfId="42203" xr:uid="{CCFA879B-B61D-4E1F-8AAE-BCD6854F8E0F}"/>
    <cellStyle name="Comma 6 2 3 3 2 2 3" xfId="18011" xr:uid="{D52962CD-7C25-442D-AD49-9999296611FE}"/>
    <cellStyle name="Comma 6 2 3 3 2 2 3 2" xfId="48251" xr:uid="{2D587EFF-6905-4A98-85B0-25448DC7C20F}"/>
    <cellStyle name="Comma 6 2 3 3 2 2 4" xfId="33131" xr:uid="{8F83851D-F807-4432-A54B-EA9B8BF4B3BF}"/>
    <cellStyle name="Comma 6 2 3 3 2 3" xfId="4403" xr:uid="{B0743EB8-9DF1-4D1C-A187-0602C93A4275}"/>
    <cellStyle name="Comma 6 2 3 3 2 3 2" xfId="13475" xr:uid="{2C1B42E9-680E-4854-A9D0-663CB3F1054D}"/>
    <cellStyle name="Comma 6 2 3 3 2 3 2 2" xfId="28595" xr:uid="{DEAFF108-F00F-4D3B-B7EE-13DD0B6C1F93}"/>
    <cellStyle name="Comma 6 2 3 3 2 3 2 2 2" xfId="58835" xr:uid="{1FE0EBD9-9E94-45B7-AF69-1FBD6FA83CBE}"/>
    <cellStyle name="Comma 6 2 3 3 2 3 2 3" xfId="43715" xr:uid="{71B2AB28-D94F-469E-8CC7-57A04C5B8CA7}"/>
    <cellStyle name="Comma 6 2 3 3 2 3 3" xfId="19523" xr:uid="{F961C63A-03B5-494A-B856-A6D53308D4CC}"/>
    <cellStyle name="Comma 6 2 3 3 2 3 3 2" xfId="49763" xr:uid="{B79A99F9-AFAB-4908-825D-07D875935FDF}"/>
    <cellStyle name="Comma 6 2 3 3 2 3 4" xfId="34643" xr:uid="{22548519-C2B1-4D9B-B7C5-29C09E64E850}"/>
    <cellStyle name="Comma 6 2 3 3 2 4" xfId="5915" xr:uid="{3437F4AD-49C9-45D0-AEED-575143772736}"/>
    <cellStyle name="Comma 6 2 3 3 2 4 2" xfId="14987" xr:uid="{5E0BD9B2-EE33-46EB-950F-EA8BA715D602}"/>
    <cellStyle name="Comma 6 2 3 3 2 4 2 2" xfId="30107" xr:uid="{DE32D4EE-9926-4DA6-B590-7E6A30294E1B}"/>
    <cellStyle name="Comma 6 2 3 3 2 4 2 2 2" xfId="60347" xr:uid="{F8CB1557-3630-4B50-9013-65525248BBBA}"/>
    <cellStyle name="Comma 6 2 3 3 2 4 2 3" xfId="45227" xr:uid="{F75359C6-9EDB-4EDB-9FCD-5127F172AC3A}"/>
    <cellStyle name="Comma 6 2 3 3 2 4 3" xfId="21035" xr:uid="{FE9FC6BC-5A11-4BFE-BEDB-C4A8D340F890}"/>
    <cellStyle name="Comma 6 2 3 3 2 4 3 2" xfId="51275" xr:uid="{6582477B-8A1D-4E0F-9BBB-D190E7F40F40}"/>
    <cellStyle name="Comma 6 2 3 3 2 4 4" xfId="36155" xr:uid="{5460A491-91B3-4CB9-8236-B0DAD9E3CDD6}"/>
    <cellStyle name="Comma 6 2 3 3 2 5" xfId="7427" xr:uid="{458AEBE9-BAAC-4306-9BC3-892543C93452}"/>
    <cellStyle name="Comma 6 2 3 3 2 5 2" xfId="22547" xr:uid="{5FA925DE-22A9-4C78-AA86-4E700B3CDE31}"/>
    <cellStyle name="Comma 6 2 3 3 2 5 2 2" xfId="52787" xr:uid="{DBD703E2-5A68-4F92-ABE1-B8CBD953032D}"/>
    <cellStyle name="Comma 6 2 3 3 2 5 3" xfId="37667" xr:uid="{A4A05ABB-742F-4C42-B1EF-9F99C1DF3904}"/>
    <cellStyle name="Comma 6 2 3 3 2 6" xfId="8939" xr:uid="{2DA37AE3-2A6F-4E16-A899-D57BDEE39A2E}"/>
    <cellStyle name="Comma 6 2 3 3 2 6 2" xfId="24059" xr:uid="{66D96C41-D569-4BF1-9101-71F50525CE90}"/>
    <cellStyle name="Comma 6 2 3 3 2 6 2 2" xfId="54299" xr:uid="{081FB84A-79E9-4CCD-876A-A4BD3626B003}"/>
    <cellStyle name="Comma 6 2 3 3 2 6 3" xfId="39179" xr:uid="{026E17C7-C2C1-492F-B2E1-8FB5E93DE1BB}"/>
    <cellStyle name="Comma 6 2 3 3 2 7" xfId="10451" xr:uid="{DCEEEADE-56A9-4999-8267-FBE620B9A86F}"/>
    <cellStyle name="Comma 6 2 3 3 2 7 2" xfId="25571" xr:uid="{2163C266-E8ED-4A6E-AB1C-EB62A33DF4B6}"/>
    <cellStyle name="Comma 6 2 3 3 2 7 2 2" xfId="55811" xr:uid="{F7C31C03-B815-46F9-86C6-FAE4F468037C}"/>
    <cellStyle name="Comma 6 2 3 3 2 7 3" xfId="40691" xr:uid="{ED372D8E-1A41-439D-9EE7-9202213CDE7E}"/>
    <cellStyle name="Comma 6 2 3 3 2 8" xfId="16499" xr:uid="{269E0321-1901-4EA5-8D0B-85755FE0FC05}"/>
    <cellStyle name="Comma 6 2 3 3 2 8 2" xfId="46739" xr:uid="{6D86D107-1C06-4817-9430-FC5568087F2A}"/>
    <cellStyle name="Comma 6 2 3 3 2 9" xfId="31619" xr:uid="{8187281E-CEE6-4140-B971-9FA987E98F13}"/>
    <cellStyle name="Comma 6 2 3 3 3" xfId="2135" xr:uid="{B493FBB9-52D4-46D8-A53E-7DE55BD783C3}"/>
    <cellStyle name="Comma 6 2 3 3 3 2" xfId="11207" xr:uid="{6BE2BD80-7920-49C9-B63B-1484B4774E7E}"/>
    <cellStyle name="Comma 6 2 3 3 3 2 2" xfId="26327" xr:uid="{C04060AF-DA4F-4DDE-8CA2-CE6B270A2261}"/>
    <cellStyle name="Comma 6 2 3 3 3 2 2 2" xfId="56567" xr:uid="{CDC6152F-D1DC-4159-8298-1BBC2B3F0598}"/>
    <cellStyle name="Comma 6 2 3 3 3 2 3" xfId="41447" xr:uid="{9507A9A3-0E76-414D-BC9F-9ED5DE45A59A}"/>
    <cellStyle name="Comma 6 2 3 3 3 3" xfId="17255" xr:uid="{3CB1EA94-C800-4FB7-A1A2-1FE86947CD94}"/>
    <cellStyle name="Comma 6 2 3 3 3 3 2" xfId="47495" xr:uid="{7EA58200-42DF-4A0C-9746-9B0C64A91E74}"/>
    <cellStyle name="Comma 6 2 3 3 3 4" xfId="32375" xr:uid="{4376EB29-AE67-452E-8398-3DFF61703351}"/>
    <cellStyle name="Comma 6 2 3 3 4" xfId="3647" xr:uid="{84E5F67D-B030-452A-B329-90E7DA23BF9D}"/>
    <cellStyle name="Comma 6 2 3 3 4 2" xfId="12719" xr:uid="{A49001DC-97D5-4F9D-BACE-2D4BAAA87740}"/>
    <cellStyle name="Comma 6 2 3 3 4 2 2" xfId="27839" xr:uid="{3EDDB1F9-7FFB-446E-AFE8-AC997E317E32}"/>
    <cellStyle name="Comma 6 2 3 3 4 2 2 2" xfId="58079" xr:uid="{7307672B-76EA-4648-9F03-B354A2B9A720}"/>
    <cellStyle name="Comma 6 2 3 3 4 2 3" xfId="42959" xr:uid="{8888CF60-7E6A-4738-A56F-BEEA23F47896}"/>
    <cellStyle name="Comma 6 2 3 3 4 3" xfId="18767" xr:uid="{55640E0B-12BA-41F8-945F-1F51497F8C1F}"/>
    <cellStyle name="Comma 6 2 3 3 4 3 2" xfId="49007" xr:uid="{854EA905-0527-4C85-817F-FA69E245A926}"/>
    <cellStyle name="Comma 6 2 3 3 4 4" xfId="33887" xr:uid="{8F379DB9-A424-455B-A566-62DEE6E0AE1E}"/>
    <cellStyle name="Comma 6 2 3 3 5" xfId="5159" xr:uid="{0A5A0E4E-AFC2-430E-962D-AED2349A08F9}"/>
    <cellStyle name="Comma 6 2 3 3 5 2" xfId="14231" xr:uid="{C48DA3AD-D095-42F1-8087-53084E651452}"/>
    <cellStyle name="Comma 6 2 3 3 5 2 2" xfId="29351" xr:uid="{E91094F1-F064-478F-9495-578863B80FB9}"/>
    <cellStyle name="Comma 6 2 3 3 5 2 2 2" xfId="59591" xr:uid="{3668A85C-5F0F-4C4E-8AF0-327CFF2376ED}"/>
    <cellStyle name="Comma 6 2 3 3 5 2 3" xfId="44471" xr:uid="{EE56CD31-84BB-4C0F-A66C-CE4D5A9895DE}"/>
    <cellStyle name="Comma 6 2 3 3 5 3" xfId="20279" xr:uid="{A1EC77BD-F960-4343-AA48-87DB3D6DFE3D}"/>
    <cellStyle name="Comma 6 2 3 3 5 3 2" xfId="50519" xr:uid="{BDD20605-7E1B-49A4-BF2C-07746F54C598}"/>
    <cellStyle name="Comma 6 2 3 3 5 4" xfId="35399" xr:uid="{9BF46679-0479-4199-A80D-72450AB17C43}"/>
    <cellStyle name="Comma 6 2 3 3 6" xfId="6671" xr:uid="{EF41171E-9331-4BA3-A9CE-3E088657BFB9}"/>
    <cellStyle name="Comma 6 2 3 3 6 2" xfId="21791" xr:uid="{AD5D014A-B1EB-48D5-A1A7-FEDF18830487}"/>
    <cellStyle name="Comma 6 2 3 3 6 2 2" xfId="52031" xr:uid="{49B4A6F2-6BAA-483D-9E6A-E32D701A6B92}"/>
    <cellStyle name="Comma 6 2 3 3 6 3" xfId="36911" xr:uid="{7940CC83-439F-4C17-B285-221028350743}"/>
    <cellStyle name="Comma 6 2 3 3 7" xfId="8183" xr:uid="{8BF64679-631C-480C-850C-15BB13C250C4}"/>
    <cellStyle name="Comma 6 2 3 3 7 2" xfId="23303" xr:uid="{2F6EDE84-0C76-4E6E-AF7B-208F33B4170E}"/>
    <cellStyle name="Comma 6 2 3 3 7 2 2" xfId="53543" xr:uid="{4B9020D0-528F-46D3-916F-06EC0E3FDDB0}"/>
    <cellStyle name="Comma 6 2 3 3 7 3" xfId="38423" xr:uid="{12DF771E-4E70-4816-9809-8559C3B798CF}"/>
    <cellStyle name="Comma 6 2 3 3 8" xfId="9695" xr:uid="{B185172F-98C0-4948-B522-541CCC34562C}"/>
    <cellStyle name="Comma 6 2 3 3 8 2" xfId="24815" xr:uid="{BA5F128C-9658-4DF5-A2B5-BA583278D09F}"/>
    <cellStyle name="Comma 6 2 3 3 8 2 2" xfId="55055" xr:uid="{1899C82B-C8C1-494A-913B-7550AE92FF1A}"/>
    <cellStyle name="Comma 6 2 3 3 8 3" xfId="39935" xr:uid="{43D1B67D-A04F-46D6-A349-C6F8C675FA89}"/>
    <cellStyle name="Comma 6 2 3 3 9" xfId="15743" xr:uid="{8C5CFDD6-83E9-44FD-9970-ECC7C6B19BC7}"/>
    <cellStyle name="Comma 6 2 3 3 9 2" xfId="45983" xr:uid="{0D2459E7-D254-4A51-87D2-92C0688CA2B4}"/>
    <cellStyle name="Comma 6 2 3 4" xfId="875" xr:uid="{4A213438-CAFF-4C88-9635-8A9C3F4C63CD}"/>
    <cellStyle name="Comma 6 2 3 4 2" xfId="2387" xr:uid="{EEA7CD6F-4054-463A-AE6F-BA8F48063683}"/>
    <cellStyle name="Comma 6 2 3 4 2 2" xfId="11459" xr:uid="{6FBC5140-CB2E-44BD-B080-F84A7B438A6C}"/>
    <cellStyle name="Comma 6 2 3 4 2 2 2" xfId="26579" xr:uid="{F79BF27F-1483-444D-85DD-2BB9ACD27C1F}"/>
    <cellStyle name="Comma 6 2 3 4 2 2 2 2" xfId="56819" xr:uid="{99B3C5DF-EC13-4F9F-9CF3-C7BC2BA10E5D}"/>
    <cellStyle name="Comma 6 2 3 4 2 2 3" xfId="41699" xr:uid="{9364524D-0676-482B-8316-8CB876FA74E6}"/>
    <cellStyle name="Comma 6 2 3 4 2 3" xfId="17507" xr:uid="{787BE3F6-EE1E-44C8-A6B6-DADA8F57F4E9}"/>
    <cellStyle name="Comma 6 2 3 4 2 3 2" xfId="47747" xr:uid="{F62D36EE-1583-4ACD-92BF-104A57BE04EB}"/>
    <cellStyle name="Comma 6 2 3 4 2 4" xfId="32627" xr:uid="{D5FB3155-1E1F-4B9C-90A4-036E28908A75}"/>
    <cellStyle name="Comma 6 2 3 4 3" xfId="3899" xr:uid="{70A58E63-13D2-4659-A49A-40354879C4C3}"/>
    <cellStyle name="Comma 6 2 3 4 3 2" xfId="12971" xr:uid="{EBB5520F-6CB3-496D-9338-B10F2BA84684}"/>
    <cellStyle name="Comma 6 2 3 4 3 2 2" xfId="28091" xr:uid="{46A93D3F-EF06-4991-A966-999A71F781C6}"/>
    <cellStyle name="Comma 6 2 3 4 3 2 2 2" xfId="58331" xr:uid="{FC32990E-F6A9-4735-9904-35803E092F7D}"/>
    <cellStyle name="Comma 6 2 3 4 3 2 3" xfId="43211" xr:uid="{0BDB1504-6A96-4D4D-BB26-F29C1AB89FA2}"/>
    <cellStyle name="Comma 6 2 3 4 3 3" xfId="19019" xr:uid="{6DCE862E-7B60-49DF-A5EC-EB48668A667D}"/>
    <cellStyle name="Comma 6 2 3 4 3 3 2" xfId="49259" xr:uid="{8C562A11-91C0-40F9-B401-DD1EFF9C6E5B}"/>
    <cellStyle name="Comma 6 2 3 4 3 4" xfId="34139" xr:uid="{BC17E90E-7E01-4A62-BF2F-DFE9ADFD9BF8}"/>
    <cellStyle name="Comma 6 2 3 4 4" xfId="5411" xr:uid="{D5F7B2FC-BEEB-4090-98C8-5F464FE8BE0E}"/>
    <cellStyle name="Comma 6 2 3 4 4 2" xfId="14483" xr:uid="{3BC0CDE9-7F95-402A-8B55-8D1FA51C50AB}"/>
    <cellStyle name="Comma 6 2 3 4 4 2 2" xfId="29603" xr:uid="{DC7D95D2-60F3-453D-B774-9A914781F765}"/>
    <cellStyle name="Comma 6 2 3 4 4 2 2 2" xfId="59843" xr:uid="{1871FE73-1D67-474B-A7B4-661251280CD3}"/>
    <cellStyle name="Comma 6 2 3 4 4 2 3" xfId="44723" xr:uid="{C71A039C-3B0A-4836-8F1F-7A858CC60328}"/>
    <cellStyle name="Comma 6 2 3 4 4 3" xfId="20531" xr:uid="{192F46EC-B545-47B1-9D63-3185F072652A}"/>
    <cellStyle name="Comma 6 2 3 4 4 3 2" xfId="50771" xr:uid="{02463C7E-1552-472D-8181-5847D47CF5DE}"/>
    <cellStyle name="Comma 6 2 3 4 4 4" xfId="35651" xr:uid="{163FEB18-AB6C-4A12-8C0A-5C276BBE7658}"/>
    <cellStyle name="Comma 6 2 3 4 5" xfId="6923" xr:uid="{CBACBFC8-4D33-4187-955D-72B14DB9BC21}"/>
    <cellStyle name="Comma 6 2 3 4 5 2" xfId="22043" xr:uid="{EAA9E841-32B5-40A2-955D-188A1E8D23DE}"/>
    <cellStyle name="Comma 6 2 3 4 5 2 2" xfId="52283" xr:uid="{3EE2D868-34EC-4EA0-BF18-D688E901B2C7}"/>
    <cellStyle name="Comma 6 2 3 4 5 3" xfId="37163" xr:uid="{36CFCD17-4204-4930-A88B-21A4E85527A5}"/>
    <cellStyle name="Comma 6 2 3 4 6" xfId="8435" xr:uid="{E6645F76-2AC7-4074-8B05-576E368797A5}"/>
    <cellStyle name="Comma 6 2 3 4 6 2" xfId="23555" xr:uid="{566098A0-7CB3-4392-B2F3-B3465DB88E53}"/>
    <cellStyle name="Comma 6 2 3 4 6 2 2" xfId="53795" xr:uid="{ACF8CE07-3AF1-4E3E-A5D6-218A9BF71C1C}"/>
    <cellStyle name="Comma 6 2 3 4 6 3" xfId="38675" xr:uid="{4427F524-7EFD-4767-9F35-F581B1C66722}"/>
    <cellStyle name="Comma 6 2 3 4 7" xfId="9947" xr:uid="{128FAA94-799C-40F4-93CC-38BDA8D74E52}"/>
    <cellStyle name="Comma 6 2 3 4 7 2" xfId="25067" xr:uid="{88AEB477-BB3B-4B56-89D8-684BFF147A99}"/>
    <cellStyle name="Comma 6 2 3 4 7 2 2" xfId="55307" xr:uid="{62866895-6E20-4BAD-B0DE-76DB671418C2}"/>
    <cellStyle name="Comma 6 2 3 4 7 3" xfId="40187" xr:uid="{4EBF8C02-9548-4E8C-8EE6-8598F0B1DDF0}"/>
    <cellStyle name="Comma 6 2 3 4 8" xfId="15995" xr:uid="{6EE8EB46-D5D9-4169-80B6-145C425C0019}"/>
    <cellStyle name="Comma 6 2 3 4 8 2" xfId="46235" xr:uid="{A219F146-BEF6-4349-B131-E1FCB839BD63}"/>
    <cellStyle name="Comma 6 2 3 4 9" xfId="31115" xr:uid="{7B7A38B6-55FC-40F6-B056-6D7251D5605C}"/>
    <cellStyle name="Comma 6 2 3 5" xfId="1631" xr:uid="{723367C1-F4EC-4216-B714-24631775810B}"/>
    <cellStyle name="Comma 6 2 3 5 2" xfId="10703" xr:uid="{7B54E484-21C9-4A18-B547-0FA39FB2F29A}"/>
    <cellStyle name="Comma 6 2 3 5 2 2" xfId="25823" xr:uid="{90AAF813-9819-485D-B684-7D05FB3B0499}"/>
    <cellStyle name="Comma 6 2 3 5 2 2 2" xfId="56063" xr:uid="{CD9265B7-54F1-42B4-A2A5-682CDC8384B1}"/>
    <cellStyle name="Comma 6 2 3 5 2 3" xfId="40943" xr:uid="{66B4C5F0-72CF-44EC-900D-D430877EA7F6}"/>
    <cellStyle name="Comma 6 2 3 5 3" xfId="16751" xr:uid="{C2364D00-D7AE-46A2-BE3D-488366AF2D10}"/>
    <cellStyle name="Comma 6 2 3 5 3 2" xfId="46991" xr:uid="{8A895D63-0AFF-4B4A-884A-633ED4C3E2C2}"/>
    <cellStyle name="Comma 6 2 3 5 4" xfId="31871" xr:uid="{4696AE6D-AACF-4D32-9F89-64D83B9A29AD}"/>
    <cellStyle name="Comma 6 2 3 6" xfId="3143" xr:uid="{C2CBD827-D630-4C22-B9B8-474DE9274262}"/>
    <cellStyle name="Comma 6 2 3 6 2" xfId="12215" xr:uid="{4DC4CAB4-6427-40CB-AB22-EAC998079528}"/>
    <cellStyle name="Comma 6 2 3 6 2 2" xfId="27335" xr:uid="{C309AAAA-24EB-45A0-AE3C-15C1D883FF2E}"/>
    <cellStyle name="Comma 6 2 3 6 2 2 2" xfId="57575" xr:uid="{F5F0F430-75CC-4042-9A72-5A8EECCCF022}"/>
    <cellStyle name="Comma 6 2 3 6 2 3" xfId="42455" xr:uid="{4B7CC7B0-A7E9-4FF6-A089-C5B17A5F9C17}"/>
    <cellStyle name="Comma 6 2 3 6 3" xfId="18263" xr:uid="{4506EAD7-F93D-40D7-A7F6-E90B2DAC6F3C}"/>
    <cellStyle name="Comma 6 2 3 6 3 2" xfId="48503" xr:uid="{F6762B2A-9DE0-434C-A6C9-4490D3CFD80D}"/>
    <cellStyle name="Comma 6 2 3 6 4" xfId="33383" xr:uid="{F0F75C49-D586-4311-9774-F0F1A09A3061}"/>
    <cellStyle name="Comma 6 2 3 7" xfId="4655" xr:uid="{5B342172-6973-4D2C-BD2D-C525D0DF651D}"/>
    <cellStyle name="Comma 6 2 3 7 2" xfId="13727" xr:uid="{8E8327CA-740F-41BA-9BD0-B0EEE2691755}"/>
    <cellStyle name="Comma 6 2 3 7 2 2" xfId="28847" xr:uid="{2AC10BFE-04F4-4784-9301-7664EFA29F5B}"/>
    <cellStyle name="Comma 6 2 3 7 2 2 2" xfId="59087" xr:uid="{D154324A-8381-4BD0-B2C7-4B853F696887}"/>
    <cellStyle name="Comma 6 2 3 7 2 3" xfId="43967" xr:uid="{925FF71A-11A7-4AF7-A9CE-ECF3D3466A53}"/>
    <cellStyle name="Comma 6 2 3 7 3" xfId="19775" xr:uid="{A698BBFB-276D-4618-9465-53931B1B0811}"/>
    <cellStyle name="Comma 6 2 3 7 3 2" xfId="50015" xr:uid="{2E7F0A91-703A-4A8E-B328-2E189D252F80}"/>
    <cellStyle name="Comma 6 2 3 7 4" xfId="34895" xr:uid="{D20644DF-B2B5-4E8B-B477-593A609D3F43}"/>
    <cellStyle name="Comma 6 2 3 8" xfId="6167" xr:uid="{A3D21155-7F28-4B98-BA0C-2420317C2E82}"/>
    <cellStyle name="Comma 6 2 3 8 2" xfId="21287" xr:uid="{FE0B7E4A-19EE-491E-A7AE-DD6F0EC87485}"/>
    <cellStyle name="Comma 6 2 3 8 2 2" xfId="51527" xr:uid="{75965472-EAC6-41B0-8D47-55AFDF27CEE1}"/>
    <cellStyle name="Comma 6 2 3 8 3" xfId="36407" xr:uid="{9E70F5B9-B672-4F72-AD65-D55DC9988965}"/>
    <cellStyle name="Comma 6 2 3 9" xfId="7679" xr:uid="{9AF910BE-CE22-47EB-A74D-1E3C0A1DD783}"/>
    <cellStyle name="Comma 6 2 3 9 2" xfId="22799" xr:uid="{7CD79818-AE7B-4DCC-86B4-0AFF87C02B3D}"/>
    <cellStyle name="Comma 6 2 3 9 2 2" xfId="53039" xr:uid="{693BCABB-7526-447C-8F30-A4BED030023D}"/>
    <cellStyle name="Comma 6 2 3 9 3" xfId="37919" xr:uid="{61E5059C-61A4-4354-B27F-59B289D66065}"/>
    <cellStyle name="Comma 6 2 4" xfId="203" xr:uid="{E09B014E-669B-4601-9244-1348D5E761E1}"/>
    <cellStyle name="Comma 6 2 4 10" xfId="9275" xr:uid="{067158B7-9908-4622-A66A-9C397BD8B50E}"/>
    <cellStyle name="Comma 6 2 4 10 2" xfId="24395" xr:uid="{A47D1BA2-1E01-487D-B0C5-15013D71BE06}"/>
    <cellStyle name="Comma 6 2 4 10 2 2" xfId="54635" xr:uid="{B06E95F4-F099-454E-966B-6179FD42D652}"/>
    <cellStyle name="Comma 6 2 4 10 3" xfId="39515" xr:uid="{2C5A27C4-48EB-47D9-9BF9-27E32FE48129}"/>
    <cellStyle name="Comma 6 2 4 11" xfId="15323" xr:uid="{9C6B7F6F-853B-42E5-BB73-C99AC70B4736}"/>
    <cellStyle name="Comma 6 2 4 11 2" xfId="45563" xr:uid="{AF0011D8-2308-46B3-AAD3-40D74740FE30}"/>
    <cellStyle name="Comma 6 2 4 12" xfId="30443" xr:uid="{C34F6352-07A8-4F74-87CC-B1E38658F3B6}"/>
    <cellStyle name="Comma 6 2 4 2" xfId="455" xr:uid="{1099008A-37D8-4729-9832-AB8B1B02491D}"/>
    <cellStyle name="Comma 6 2 4 2 10" xfId="30695" xr:uid="{BB6BA26B-0BAF-44CF-AF17-DFB988D3752A}"/>
    <cellStyle name="Comma 6 2 4 2 2" xfId="1211" xr:uid="{8973BC30-9080-45D0-BC1F-BCC4BD599C20}"/>
    <cellStyle name="Comma 6 2 4 2 2 2" xfId="2723" xr:uid="{353973CA-217C-4652-9E9C-BEEBAA80F5EC}"/>
    <cellStyle name="Comma 6 2 4 2 2 2 2" xfId="11795" xr:uid="{6D4510B2-5C80-4E30-8F0A-03345768BDC6}"/>
    <cellStyle name="Comma 6 2 4 2 2 2 2 2" xfId="26915" xr:uid="{743780C9-E22A-41ED-88DB-6CE354B9D6CF}"/>
    <cellStyle name="Comma 6 2 4 2 2 2 2 2 2" xfId="57155" xr:uid="{BF72C981-788C-4F07-9323-74529B4B25C0}"/>
    <cellStyle name="Comma 6 2 4 2 2 2 2 3" xfId="42035" xr:uid="{31FFE561-4D5D-482A-93CD-BA9A1CC122DD}"/>
    <cellStyle name="Comma 6 2 4 2 2 2 3" xfId="17843" xr:uid="{741552D9-B383-4DCB-A533-AD811E9D1380}"/>
    <cellStyle name="Comma 6 2 4 2 2 2 3 2" xfId="48083" xr:uid="{A1463701-0462-406F-AD5B-6AC5B00D8151}"/>
    <cellStyle name="Comma 6 2 4 2 2 2 4" xfId="32963" xr:uid="{A5DCFE2B-76CC-40A8-B473-6B5997DC933B}"/>
    <cellStyle name="Comma 6 2 4 2 2 3" xfId="4235" xr:uid="{52F6BB33-8FF1-4FD1-8D14-7F01E6B476DB}"/>
    <cellStyle name="Comma 6 2 4 2 2 3 2" xfId="13307" xr:uid="{68DC5064-3BF8-4CB8-9410-2D020ACE7026}"/>
    <cellStyle name="Comma 6 2 4 2 2 3 2 2" xfId="28427" xr:uid="{95EEF5CD-F12C-4633-B339-E276283D881E}"/>
    <cellStyle name="Comma 6 2 4 2 2 3 2 2 2" xfId="58667" xr:uid="{0BB08E8F-0D58-48F4-A540-CECB8336D7FE}"/>
    <cellStyle name="Comma 6 2 4 2 2 3 2 3" xfId="43547" xr:uid="{F08E3C73-5EFA-4CD8-989D-F6F60E27A596}"/>
    <cellStyle name="Comma 6 2 4 2 2 3 3" xfId="19355" xr:uid="{8CBA81D7-9E59-4110-B12D-F3F5B9648684}"/>
    <cellStyle name="Comma 6 2 4 2 2 3 3 2" xfId="49595" xr:uid="{ADD61AE1-13A5-4508-841B-2CE9025528A9}"/>
    <cellStyle name="Comma 6 2 4 2 2 3 4" xfId="34475" xr:uid="{B1A39BAF-9093-4B23-B16F-4C362ECAAEE2}"/>
    <cellStyle name="Comma 6 2 4 2 2 4" xfId="5747" xr:uid="{767F1DBE-C58A-4C2C-A747-E80E3D369774}"/>
    <cellStyle name="Comma 6 2 4 2 2 4 2" xfId="14819" xr:uid="{15461F8F-1470-4900-949A-EB408865D25B}"/>
    <cellStyle name="Comma 6 2 4 2 2 4 2 2" xfId="29939" xr:uid="{6D2FE4C0-ACA0-4BBF-AF90-D7F4B43022B5}"/>
    <cellStyle name="Comma 6 2 4 2 2 4 2 2 2" xfId="60179" xr:uid="{E4DFC3F1-FC0F-4E56-9A0C-99AC89DA4406}"/>
    <cellStyle name="Comma 6 2 4 2 2 4 2 3" xfId="45059" xr:uid="{AEC6EA31-5070-435F-9888-FD578DCD9FAF}"/>
    <cellStyle name="Comma 6 2 4 2 2 4 3" xfId="20867" xr:uid="{CE3940B5-AAF2-4523-B122-DB6F58497C95}"/>
    <cellStyle name="Comma 6 2 4 2 2 4 3 2" xfId="51107" xr:uid="{8A6D38FC-C535-40E4-B6D4-DD34EF5D3DF9}"/>
    <cellStyle name="Comma 6 2 4 2 2 4 4" xfId="35987" xr:uid="{C3EFAF42-0F6A-4263-9362-CD6715842B27}"/>
    <cellStyle name="Comma 6 2 4 2 2 5" xfId="7259" xr:uid="{3B29583D-346B-4ADA-921C-3D91658D3D10}"/>
    <cellStyle name="Comma 6 2 4 2 2 5 2" xfId="22379" xr:uid="{4775498F-02A9-4B4D-81FC-FDDCDA7B676A}"/>
    <cellStyle name="Comma 6 2 4 2 2 5 2 2" xfId="52619" xr:uid="{EC08AF34-6CE5-411A-9B56-1D85B223251D}"/>
    <cellStyle name="Comma 6 2 4 2 2 5 3" xfId="37499" xr:uid="{B681C67A-B854-42C2-ADAA-38FA22813B7C}"/>
    <cellStyle name="Comma 6 2 4 2 2 6" xfId="8771" xr:uid="{E8DB4703-F296-470F-87C1-C5EF2AF3C365}"/>
    <cellStyle name="Comma 6 2 4 2 2 6 2" xfId="23891" xr:uid="{7E2735C8-F6D7-4DEA-B0B0-6F248EF23B71}"/>
    <cellStyle name="Comma 6 2 4 2 2 6 2 2" xfId="54131" xr:uid="{ED870DF8-D362-4649-ADA9-CC9D97863BBE}"/>
    <cellStyle name="Comma 6 2 4 2 2 6 3" xfId="39011" xr:uid="{6D470DEE-BC61-4811-A2BB-F3E5CF1CC762}"/>
    <cellStyle name="Comma 6 2 4 2 2 7" xfId="10283" xr:uid="{D73AE7BA-58B4-4286-A33E-CAC8DDE56FA7}"/>
    <cellStyle name="Comma 6 2 4 2 2 7 2" xfId="25403" xr:uid="{5BA2ABBF-16CE-4350-BD7B-91F07E2BDAC9}"/>
    <cellStyle name="Comma 6 2 4 2 2 7 2 2" xfId="55643" xr:uid="{E7987A1A-5377-4152-9351-2349C375C4FF}"/>
    <cellStyle name="Comma 6 2 4 2 2 7 3" xfId="40523" xr:uid="{52D746D6-822A-49B1-A069-081DB3049F20}"/>
    <cellStyle name="Comma 6 2 4 2 2 8" xfId="16331" xr:uid="{6F57FAB2-A173-4893-988B-792EA4D41F99}"/>
    <cellStyle name="Comma 6 2 4 2 2 8 2" xfId="46571" xr:uid="{80A80F24-C000-4B51-AB0C-7C051F7B79C0}"/>
    <cellStyle name="Comma 6 2 4 2 2 9" xfId="31451" xr:uid="{FA47613E-3FE9-4ECA-AEE6-95B8E308EAF9}"/>
    <cellStyle name="Comma 6 2 4 2 3" xfId="1967" xr:uid="{EFAC77FD-8440-4F16-BA1C-9F060E58F008}"/>
    <cellStyle name="Comma 6 2 4 2 3 2" xfId="11039" xr:uid="{2A53825F-2A91-4017-88E2-7522035FE931}"/>
    <cellStyle name="Comma 6 2 4 2 3 2 2" xfId="26159" xr:uid="{55FB25EF-B631-4CCE-8BBD-731F12476594}"/>
    <cellStyle name="Comma 6 2 4 2 3 2 2 2" xfId="56399" xr:uid="{3801F274-589C-4EB2-950F-2A7F011F0EA8}"/>
    <cellStyle name="Comma 6 2 4 2 3 2 3" xfId="41279" xr:uid="{F7928463-7345-4552-8BAB-01ECC3DC9156}"/>
    <cellStyle name="Comma 6 2 4 2 3 3" xfId="17087" xr:uid="{85F4BD3F-CEA7-49EA-8772-A837BA01CF0E}"/>
    <cellStyle name="Comma 6 2 4 2 3 3 2" xfId="47327" xr:uid="{039CD9E9-8344-492E-9E05-94AC1C788E2F}"/>
    <cellStyle name="Comma 6 2 4 2 3 4" xfId="32207" xr:uid="{742CAEE3-4990-458F-95F5-61D6CAD73DC6}"/>
    <cellStyle name="Comma 6 2 4 2 4" xfId="3479" xr:uid="{B2A20688-BD68-4048-A08F-4ED5D57BE415}"/>
    <cellStyle name="Comma 6 2 4 2 4 2" xfId="12551" xr:uid="{FB656079-184A-4D31-AAE1-21C093490C83}"/>
    <cellStyle name="Comma 6 2 4 2 4 2 2" xfId="27671" xr:uid="{E5B67EBB-5B99-48B7-87CA-170C9363B039}"/>
    <cellStyle name="Comma 6 2 4 2 4 2 2 2" xfId="57911" xr:uid="{0C0153A9-4207-413F-9600-62B1DBBAC15F}"/>
    <cellStyle name="Comma 6 2 4 2 4 2 3" xfId="42791" xr:uid="{6506BEDE-61AA-4E22-8100-0EE57B961E09}"/>
    <cellStyle name="Comma 6 2 4 2 4 3" xfId="18599" xr:uid="{AF61CF99-57A5-4609-BD54-A2F9BE78091E}"/>
    <cellStyle name="Comma 6 2 4 2 4 3 2" xfId="48839" xr:uid="{C49F2640-4788-4095-80F2-21A0F070D36E}"/>
    <cellStyle name="Comma 6 2 4 2 4 4" xfId="33719" xr:uid="{EEDB4429-27DF-4477-A929-F4B6CFE3928B}"/>
    <cellStyle name="Comma 6 2 4 2 5" xfId="4991" xr:uid="{CEF176AD-1E1C-4636-8986-08B36AEE01E0}"/>
    <cellStyle name="Comma 6 2 4 2 5 2" xfId="14063" xr:uid="{D010D984-5637-4712-9E51-91EAB6168B37}"/>
    <cellStyle name="Comma 6 2 4 2 5 2 2" xfId="29183" xr:uid="{5E9D2B57-B307-42DA-94AF-6B03D6E047A5}"/>
    <cellStyle name="Comma 6 2 4 2 5 2 2 2" xfId="59423" xr:uid="{AEACD8D8-A805-4F9F-92E3-D5DEA883B922}"/>
    <cellStyle name="Comma 6 2 4 2 5 2 3" xfId="44303" xr:uid="{54A6CF52-E31B-440D-AA57-F563C510A903}"/>
    <cellStyle name="Comma 6 2 4 2 5 3" xfId="20111" xr:uid="{3943B006-E392-4942-BF6B-420A995E3BE7}"/>
    <cellStyle name="Comma 6 2 4 2 5 3 2" xfId="50351" xr:uid="{4BB2A590-0DC4-437B-A3AC-2D7174A395D1}"/>
    <cellStyle name="Comma 6 2 4 2 5 4" xfId="35231" xr:uid="{FEC147C5-F48E-4920-BD11-32E20C6023B0}"/>
    <cellStyle name="Comma 6 2 4 2 6" xfId="6503" xr:uid="{64C14518-9BA0-488F-B045-2E8911891A99}"/>
    <cellStyle name="Comma 6 2 4 2 6 2" xfId="21623" xr:uid="{919F8888-4BD5-45D3-870E-AAFB4F3006FA}"/>
    <cellStyle name="Comma 6 2 4 2 6 2 2" xfId="51863" xr:uid="{3ED9072E-8572-44FB-A295-439E1F46CF14}"/>
    <cellStyle name="Comma 6 2 4 2 6 3" xfId="36743" xr:uid="{952CCDAA-10AC-4CDC-885C-CD24A4671566}"/>
    <cellStyle name="Comma 6 2 4 2 7" xfId="8015" xr:uid="{78849863-D573-4192-9811-D861A26302AC}"/>
    <cellStyle name="Comma 6 2 4 2 7 2" xfId="23135" xr:uid="{92099636-0B18-4403-A827-B7EC3B10D38E}"/>
    <cellStyle name="Comma 6 2 4 2 7 2 2" xfId="53375" xr:uid="{229B20E2-0C96-44D5-B98D-3E9F6E4AB435}"/>
    <cellStyle name="Comma 6 2 4 2 7 3" xfId="38255" xr:uid="{3A8F08D0-9799-4F1B-AF64-BE13FD2257E5}"/>
    <cellStyle name="Comma 6 2 4 2 8" xfId="9527" xr:uid="{94E17010-83BC-43C8-BC7B-0A47BCBF7BCC}"/>
    <cellStyle name="Comma 6 2 4 2 8 2" xfId="24647" xr:uid="{07B38A0C-4FB7-4FC7-B8C5-F688FEB6109D}"/>
    <cellStyle name="Comma 6 2 4 2 8 2 2" xfId="54887" xr:uid="{749D1903-8287-4DF3-9A46-0BD4D76130E9}"/>
    <cellStyle name="Comma 6 2 4 2 8 3" xfId="39767" xr:uid="{0DECBFBB-8E85-4F86-A6F1-71310529DA4E}"/>
    <cellStyle name="Comma 6 2 4 2 9" xfId="15575" xr:uid="{13D4A562-B564-454E-B8F7-0C3E21D3414D}"/>
    <cellStyle name="Comma 6 2 4 2 9 2" xfId="45815" xr:uid="{BE5EB26B-8249-4236-8669-99DD93375085}"/>
    <cellStyle name="Comma 6 2 4 3" xfId="707" xr:uid="{3A97F84A-C377-4B15-8F5F-12D3B5A089D8}"/>
    <cellStyle name="Comma 6 2 4 3 10" xfId="30947" xr:uid="{E5C3A6CA-9C37-483B-A82D-D2EED5FB2AF7}"/>
    <cellStyle name="Comma 6 2 4 3 2" xfId="1463" xr:uid="{C38D61CA-016D-4974-8871-481CD69400E4}"/>
    <cellStyle name="Comma 6 2 4 3 2 2" xfId="2975" xr:uid="{7FC6418A-DBD8-4797-9B26-C58930A0F555}"/>
    <cellStyle name="Comma 6 2 4 3 2 2 2" xfId="12047" xr:uid="{43D7CC02-F326-4652-BEC0-FD3852B0AECD}"/>
    <cellStyle name="Comma 6 2 4 3 2 2 2 2" xfId="27167" xr:uid="{8EB0A391-2B6E-4304-B259-291BFE64CD59}"/>
    <cellStyle name="Comma 6 2 4 3 2 2 2 2 2" xfId="57407" xr:uid="{3F1237CB-6150-4FBC-BBDF-2187EBBF8FD9}"/>
    <cellStyle name="Comma 6 2 4 3 2 2 2 3" xfId="42287" xr:uid="{7AE389A5-FAF9-42AC-A7AC-8381F5AC0D26}"/>
    <cellStyle name="Comma 6 2 4 3 2 2 3" xfId="18095" xr:uid="{332535EB-CB7E-42F8-B314-2254E7270B8F}"/>
    <cellStyle name="Comma 6 2 4 3 2 2 3 2" xfId="48335" xr:uid="{899B6C07-F773-43F4-91E6-F745D0E273A5}"/>
    <cellStyle name="Comma 6 2 4 3 2 2 4" xfId="33215" xr:uid="{65A67F90-8485-4D90-905B-948A0755CCB5}"/>
    <cellStyle name="Comma 6 2 4 3 2 3" xfId="4487" xr:uid="{952DB9A7-9FEE-4AF7-AF7D-A7BFEDB48E3C}"/>
    <cellStyle name="Comma 6 2 4 3 2 3 2" xfId="13559" xr:uid="{411FBA1B-8E9A-420C-AF5D-95DFFE5526EF}"/>
    <cellStyle name="Comma 6 2 4 3 2 3 2 2" xfId="28679" xr:uid="{6ED36975-C286-4B47-8E02-6601FF3F977C}"/>
    <cellStyle name="Comma 6 2 4 3 2 3 2 2 2" xfId="58919" xr:uid="{49274EB1-FAF8-4953-80FA-6D3921537DDE}"/>
    <cellStyle name="Comma 6 2 4 3 2 3 2 3" xfId="43799" xr:uid="{449AA05A-9F76-4B9E-B5D4-C1D1B6B71973}"/>
    <cellStyle name="Comma 6 2 4 3 2 3 3" xfId="19607" xr:uid="{AE9C8EAD-88B9-4261-BA70-D9A65635FB04}"/>
    <cellStyle name="Comma 6 2 4 3 2 3 3 2" xfId="49847" xr:uid="{C997039E-9152-42E1-A262-3C20D795C874}"/>
    <cellStyle name="Comma 6 2 4 3 2 3 4" xfId="34727" xr:uid="{7EF277D3-C761-4DD8-BD04-392308BCDDF4}"/>
    <cellStyle name="Comma 6 2 4 3 2 4" xfId="5999" xr:uid="{12507B2E-7141-49C6-9E1B-A1D1FE226449}"/>
    <cellStyle name="Comma 6 2 4 3 2 4 2" xfId="15071" xr:uid="{76EB98D4-5AF2-4D9F-9CB1-EEDA45E4072F}"/>
    <cellStyle name="Comma 6 2 4 3 2 4 2 2" xfId="30191" xr:uid="{A9F3B0C8-9C62-401B-A5F8-A14F86F3FD56}"/>
    <cellStyle name="Comma 6 2 4 3 2 4 2 2 2" xfId="60431" xr:uid="{EACA5678-E8AC-4672-85C5-7C55B26654B0}"/>
    <cellStyle name="Comma 6 2 4 3 2 4 2 3" xfId="45311" xr:uid="{2A420C0F-7CE7-4BCD-AB10-3E843CD1B77E}"/>
    <cellStyle name="Comma 6 2 4 3 2 4 3" xfId="21119" xr:uid="{049725B5-5608-4AF0-9541-AA5B946D3100}"/>
    <cellStyle name="Comma 6 2 4 3 2 4 3 2" xfId="51359" xr:uid="{D8C57E36-728B-4AE5-8497-049B856EE822}"/>
    <cellStyle name="Comma 6 2 4 3 2 4 4" xfId="36239" xr:uid="{2FA5E26D-54B7-443E-8A97-3948A63AFA19}"/>
    <cellStyle name="Comma 6 2 4 3 2 5" xfId="7511" xr:uid="{216FD668-8A6C-448D-8BD8-74AB3C7AA470}"/>
    <cellStyle name="Comma 6 2 4 3 2 5 2" xfId="22631" xr:uid="{FF79C243-FEC5-4F43-A296-8A6F03F01E18}"/>
    <cellStyle name="Comma 6 2 4 3 2 5 2 2" xfId="52871" xr:uid="{E53D2F4C-7089-4B45-B171-D243BE818747}"/>
    <cellStyle name="Comma 6 2 4 3 2 5 3" xfId="37751" xr:uid="{37C01FF7-E7E5-4DF1-A781-AD7EB3C9086F}"/>
    <cellStyle name="Comma 6 2 4 3 2 6" xfId="9023" xr:uid="{C39E9943-E174-4D06-8AB3-AA775998D229}"/>
    <cellStyle name="Comma 6 2 4 3 2 6 2" xfId="24143" xr:uid="{03573FE1-6AF4-4E98-9D13-C77DE78DD791}"/>
    <cellStyle name="Comma 6 2 4 3 2 6 2 2" xfId="54383" xr:uid="{2CC8A5F4-68DB-46B1-80A7-CD37C29A5AE8}"/>
    <cellStyle name="Comma 6 2 4 3 2 6 3" xfId="39263" xr:uid="{77655B8E-B49C-4061-B86E-311F3AC6C98B}"/>
    <cellStyle name="Comma 6 2 4 3 2 7" xfId="10535" xr:uid="{B63053E9-2EA3-432A-8BC9-EB720DAABE2E}"/>
    <cellStyle name="Comma 6 2 4 3 2 7 2" xfId="25655" xr:uid="{4A7F8468-AF11-45C6-B9BF-A97B7B4947EF}"/>
    <cellStyle name="Comma 6 2 4 3 2 7 2 2" xfId="55895" xr:uid="{6033742D-7EDB-403F-BA7A-16E7F3974534}"/>
    <cellStyle name="Comma 6 2 4 3 2 7 3" xfId="40775" xr:uid="{D955D976-3DAE-4978-864A-592BCBAD9C0E}"/>
    <cellStyle name="Comma 6 2 4 3 2 8" xfId="16583" xr:uid="{93C866BB-DEB9-4CE4-B345-5B4BF5F455B0}"/>
    <cellStyle name="Comma 6 2 4 3 2 8 2" xfId="46823" xr:uid="{4CA10D4E-4F3B-4396-AE0D-14CDE053FE5C}"/>
    <cellStyle name="Comma 6 2 4 3 2 9" xfId="31703" xr:uid="{F107AB9C-132B-4420-8E46-CA881CF26C92}"/>
    <cellStyle name="Comma 6 2 4 3 3" xfId="2219" xr:uid="{3E17CFCD-3447-46E0-9760-582E11A163E3}"/>
    <cellStyle name="Comma 6 2 4 3 3 2" xfId="11291" xr:uid="{7285B8CE-8F16-4ADB-89B5-4A9ABD8612B0}"/>
    <cellStyle name="Comma 6 2 4 3 3 2 2" xfId="26411" xr:uid="{5F72D5CC-7FFF-4DD3-A474-0F47868D9DAD}"/>
    <cellStyle name="Comma 6 2 4 3 3 2 2 2" xfId="56651" xr:uid="{A442BAC3-28F6-45D0-95B3-F19483368D95}"/>
    <cellStyle name="Comma 6 2 4 3 3 2 3" xfId="41531" xr:uid="{2ACB8782-E2A7-4F51-B0BB-38CA2100D8E2}"/>
    <cellStyle name="Comma 6 2 4 3 3 3" xfId="17339" xr:uid="{1CF1C3CD-BDC2-4E9F-8599-030F29952466}"/>
    <cellStyle name="Comma 6 2 4 3 3 3 2" xfId="47579" xr:uid="{BE9F312D-8766-4D73-8A2D-FFC10AA58D40}"/>
    <cellStyle name="Comma 6 2 4 3 3 4" xfId="32459" xr:uid="{38176F0C-4764-4A0E-8DEF-449A64CEA055}"/>
    <cellStyle name="Comma 6 2 4 3 4" xfId="3731" xr:uid="{EEE3C399-2997-48E0-86BC-86A23D9EA2DF}"/>
    <cellStyle name="Comma 6 2 4 3 4 2" xfId="12803" xr:uid="{5B93691F-3B64-42A0-8B40-A10906E879F8}"/>
    <cellStyle name="Comma 6 2 4 3 4 2 2" xfId="27923" xr:uid="{439DAED7-4357-4D6A-A60F-A02861988FAE}"/>
    <cellStyle name="Comma 6 2 4 3 4 2 2 2" xfId="58163" xr:uid="{20F3D019-B3CF-4C8C-A23B-E756A56E9C00}"/>
    <cellStyle name="Comma 6 2 4 3 4 2 3" xfId="43043" xr:uid="{777F9D98-B7D5-4BAE-B8B5-5AD59A48FC16}"/>
    <cellStyle name="Comma 6 2 4 3 4 3" xfId="18851" xr:uid="{F67DAB09-9DEF-40F2-82BC-ABA3FD0B0D93}"/>
    <cellStyle name="Comma 6 2 4 3 4 3 2" xfId="49091" xr:uid="{32030B78-923D-4841-8FFC-0DFC4DFA5209}"/>
    <cellStyle name="Comma 6 2 4 3 4 4" xfId="33971" xr:uid="{3D314941-9F48-48DE-8628-2C520EA9AD34}"/>
    <cellStyle name="Comma 6 2 4 3 5" xfId="5243" xr:uid="{B257B913-DA0B-4A7F-A648-FB473AD5EDD7}"/>
    <cellStyle name="Comma 6 2 4 3 5 2" xfId="14315" xr:uid="{D3C29940-878A-4000-A635-B76E57309FF7}"/>
    <cellStyle name="Comma 6 2 4 3 5 2 2" xfId="29435" xr:uid="{02349CA7-D7D9-487E-B2D1-318A9CD064A5}"/>
    <cellStyle name="Comma 6 2 4 3 5 2 2 2" xfId="59675" xr:uid="{1A906932-DB38-4D63-B68B-69EA32AFA70F}"/>
    <cellStyle name="Comma 6 2 4 3 5 2 3" xfId="44555" xr:uid="{02F6CC9B-993D-47CA-90AE-B23017C6EE40}"/>
    <cellStyle name="Comma 6 2 4 3 5 3" xfId="20363" xr:uid="{1A4AFA8F-F63D-4E1B-A887-06FDFC72D3E5}"/>
    <cellStyle name="Comma 6 2 4 3 5 3 2" xfId="50603" xr:uid="{DCC757BE-5443-4BBD-98EA-ED43C8CDECE0}"/>
    <cellStyle name="Comma 6 2 4 3 5 4" xfId="35483" xr:uid="{3B5D38D1-1492-45E7-AEE1-79110C98F014}"/>
    <cellStyle name="Comma 6 2 4 3 6" xfId="6755" xr:uid="{CA239B20-8A45-41CE-B7A2-6704CD035CA4}"/>
    <cellStyle name="Comma 6 2 4 3 6 2" xfId="21875" xr:uid="{42F8F656-3B2F-4E6F-A27B-BC676F17D045}"/>
    <cellStyle name="Comma 6 2 4 3 6 2 2" xfId="52115" xr:uid="{F9BCD994-5259-4163-8F91-E622FC9391E3}"/>
    <cellStyle name="Comma 6 2 4 3 6 3" xfId="36995" xr:uid="{3A48288B-C3E7-404D-A927-05531FD6A982}"/>
    <cellStyle name="Comma 6 2 4 3 7" xfId="8267" xr:uid="{37621279-CB0E-438D-9442-25D865DFE167}"/>
    <cellStyle name="Comma 6 2 4 3 7 2" xfId="23387" xr:uid="{4FEC3261-2749-4E21-837E-32FA06B0EBA2}"/>
    <cellStyle name="Comma 6 2 4 3 7 2 2" xfId="53627" xr:uid="{21DF987D-F9D7-4179-961B-D3A0216C2AE3}"/>
    <cellStyle name="Comma 6 2 4 3 7 3" xfId="38507" xr:uid="{4D31D653-4B4F-47FB-AA19-2E4F413DEC33}"/>
    <cellStyle name="Comma 6 2 4 3 8" xfId="9779" xr:uid="{01BFA58F-6C26-45BF-9ECE-83470F24D6D9}"/>
    <cellStyle name="Comma 6 2 4 3 8 2" xfId="24899" xr:uid="{D32FD36E-ABFF-4A2E-8DD1-797700A4D2EC}"/>
    <cellStyle name="Comma 6 2 4 3 8 2 2" xfId="55139" xr:uid="{71507D2A-2DED-4E8B-867D-B90FC3AC7020}"/>
    <cellStyle name="Comma 6 2 4 3 8 3" xfId="40019" xr:uid="{90329E9A-3B80-4370-8139-1D9CBFA78148}"/>
    <cellStyle name="Comma 6 2 4 3 9" xfId="15827" xr:uid="{EB40A935-84B7-4D1A-8792-7CE082FBCF0F}"/>
    <cellStyle name="Comma 6 2 4 3 9 2" xfId="46067" xr:uid="{7B6EB502-5CF6-4239-8D91-139460950C67}"/>
    <cellStyle name="Comma 6 2 4 4" xfId="959" xr:uid="{DF0132AA-C568-4059-986A-617939023726}"/>
    <cellStyle name="Comma 6 2 4 4 2" xfId="2471" xr:uid="{BCC0DADA-D019-4EED-941B-CFB79ABC18D7}"/>
    <cellStyle name="Comma 6 2 4 4 2 2" xfId="11543" xr:uid="{166D59CA-A578-450F-B272-BB6958757D26}"/>
    <cellStyle name="Comma 6 2 4 4 2 2 2" xfId="26663" xr:uid="{88419FC8-6F21-4045-883A-E4D0B25A654B}"/>
    <cellStyle name="Comma 6 2 4 4 2 2 2 2" xfId="56903" xr:uid="{4136498B-464C-4EC1-B44E-B5E8C6B516C4}"/>
    <cellStyle name="Comma 6 2 4 4 2 2 3" xfId="41783" xr:uid="{9EE6A322-FE83-4D18-96DD-21B8B1C1FC58}"/>
    <cellStyle name="Comma 6 2 4 4 2 3" xfId="17591" xr:uid="{6FCD639A-6B9C-4F1B-850D-F10B0D6D7779}"/>
    <cellStyle name="Comma 6 2 4 4 2 3 2" xfId="47831" xr:uid="{BB5FD066-CF4E-4821-BB3F-66422BE36B57}"/>
    <cellStyle name="Comma 6 2 4 4 2 4" xfId="32711" xr:uid="{E336A29C-546C-46D2-A7F1-889D45264D26}"/>
    <cellStyle name="Comma 6 2 4 4 3" xfId="3983" xr:uid="{6F974FB4-5C8A-4AE2-AC02-488B64EBC26B}"/>
    <cellStyle name="Comma 6 2 4 4 3 2" xfId="13055" xr:uid="{D78586E0-5A53-4469-9986-8664FF0E8A63}"/>
    <cellStyle name="Comma 6 2 4 4 3 2 2" xfId="28175" xr:uid="{1712DAB4-CC78-428D-BF5B-75A115C1D345}"/>
    <cellStyle name="Comma 6 2 4 4 3 2 2 2" xfId="58415" xr:uid="{13082142-A4A7-4760-87B8-7A84127F326E}"/>
    <cellStyle name="Comma 6 2 4 4 3 2 3" xfId="43295" xr:uid="{7A04D400-A2E3-4A73-8D7D-96F9D06AD3C5}"/>
    <cellStyle name="Comma 6 2 4 4 3 3" xfId="19103" xr:uid="{291592B0-0DD4-411C-AAC2-D6AA961CF876}"/>
    <cellStyle name="Comma 6 2 4 4 3 3 2" xfId="49343" xr:uid="{241F8B2E-7DC7-4899-9B53-897424E42689}"/>
    <cellStyle name="Comma 6 2 4 4 3 4" xfId="34223" xr:uid="{02F66B88-FDF9-4427-9B3F-F4175675B00F}"/>
    <cellStyle name="Comma 6 2 4 4 4" xfId="5495" xr:uid="{22BFB234-ABB6-4065-9954-7EF1E7210533}"/>
    <cellStyle name="Comma 6 2 4 4 4 2" xfId="14567" xr:uid="{A49A0433-D97C-431C-A1BB-767A0CF02F09}"/>
    <cellStyle name="Comma 6 2 4 4 4 2 2" xfId="29687" xr:uid="{71E61D20-00C3-4FB4-9FA8-AEAA3E0EC9C8}"/>
    <cellStyle name="Comma 6 2 4 4 4 2 2 2" xfId="59927" xr:uid="{044912AC-C9D6-4D1C-AF72-97404E369A6D}"/>
    <cellStyle name="Comma 6 2 4 4 4 2 3" xfId="44807" xr:uid="{7D8C774A-AAF1-4C5D-BC69-EFE0DC0E49BF}"/>
    <cellStyle name="Comma 6 2 4 4 4 3" xfId="20615" xr:uid="{ECA93586-19F4-4595-933F-EEF66DB3D695}"/>
    <cellStyle name="Comma 6 2 4 4 4 3 2" xfId="50855" xr:uid="{F1412F66-5493-40BA-9287-2712E4FACE93}"/>
    <cellStyle name="Comma 6 2 4 4 4 4" xfId="35735" xr:uid="{EAA4F2D6-E49F-4802-AD74-E95374698929}"/>
    <cellStyle name="Comma 6 2 4 4 5" xfId="7007" xr:uid="{90D34AFD-7AF2-4181-B407-863D64704CC9}"/>
    <cellStyle name="Comma 6 2 4 4 5 2" xfId="22127" xr:uid="{DA803537-40B3-4151-BDAC-8DE152341536}"/>
    <cellStyle name="Comma 6 2 4 4 5 2 2" xfId="52367" xr:uid="{C5576929-3A0B-46C3-A7C8-D714D3BEDFF2}"/>
    <cellStyle name="Comma 6 2 4 4 5 3" xfId="37247" xr:uid="{ED014426-3B77-4CAA-9050-98766B75069C}"/>
    <cellStyle name="Comma 6 2 4 4 6" xfId="8519" xr:uid="{E0EA2025-BDC5-40BB-9C9C-B958B4F8B21E}"/>
    <cellStyle name="Comma 6 2 4 4 6 2" xfId="23639" xr:uid="{5ADCE8FD-90FA-4406-833D-2F12FB5D1EDF}"/>
    <cellStyle name="Comma 6 2 4 4 6 2 2" xfId="53879" xr:uid="{874D714B-AE33-4194-A95C-841843A4C1C8}"/>
    <cellStyle name="Comma 6 2 4 4 6 3" xfId="38759" xr:uid="{23F3029E-CF67-4802-869D-311F5BA700E6}"/>
    <cellStyle name="Comma 6 2 4 4 7" xfId="10031" xr:uid="{BB41790B-710B-419A-A66C-0BEF5DF3BD8F}"/>
    <cellStyle name="Comma 6 2 4 4 7 2" xfId="25151" xr:uid="{2C8403E1-135A-4137-B893-136D8C7CB82C}"/>
    <cellStyle name="Comma 6 2 4 4 7 2 2" xfId="55391" xr:uid="{A461D3EC-6627-44AE-9B3E-0A159CB3D0F6}"/>
    <cellStyle name="Comma 6 2 4 4 7 3" xfId="40271" xr:uid="{80A9E164-BA16-4C66-BA15-118D658C3AB2}"/>
    <cellStyle name="Comma 6 2 4 4 8" xfId="16079" xr:uid="{CEA65899-19A7-4A37-B38D-1E21D1154368}"/>
    <cellStyle name="Comma 6 2 4 4 8 2" xfId="46319" xr:uid="{CBA0D86A-CAB4-4DBB-A23C-F058B713FD8E}"/>
    <cellStyle name="Comma 6 2 4 4 9" xfId="31199" xr:uid="{60A516FA-3F0B-4F41-9351-DFE89F9B4DD2}"/>
    <cellStyle name="Comma 6 2 4 5" xfId="1715" xr:uid="{7E476054-2A33-43DD-B2B4-EAC3AA355564}"/>
    <cellStyle name="Comma 6 2 4 5 2" xfId="10787" xr:uid="{27AD2068-AF3F-4F72-B28B-A6953DFA3C4F}"/>
    <cellStyle name="Comma 6 2 4 5 2 2" xfId="25907" xr:uid="{8E4D24F8-84E1-484C-B6C3-7EE57A734389}"/>
    <cellStyle name="Comma 6 2 4 5 2 2 2" xfId="56147" xr:uid="{811759E3-B4F4-4A69-9C02-7B40597B416A}"/>
    <cellStyle name="Comma 6 2 4 5 2 3" xfId="41027" xr:uid="{FF3063E5-A547-4E4F-A3BD-1844AB2F48F8}"/>
    <cellStyle name="Comma 6 2 4 5 3" xfId="16835" xr:uid="{5BB2E96F-395C-4254-B68C-7053CDD4B39E}"/>
    <cellStyle name="Comma 6 2 4 5 3 2" xfId="47075" xr:uid="{C54A9194-BB46-413E-AD9F-5C3A781FB812}"/>
    <cellStyle name="Comma 6 2 4 5 4" xfId="31955" xr:uid="{F9A8B307-D9D8-4250-9FE9-C433877024BB}"/>
    <cellStyle name="Comma 6 2 4 6" xfId="3227" xr:uid="{38E056B8-8505-4E33-BD11-5D2B1C416916}"/>
    <cellStyle name="Comma 6 2 4 6 2" xfId="12299" xr:uid="{412D7270-54E5-434D-88C3-2498C93FEF47}"/>
    <cellStyle name="Comma 6 2 4 6 2 2" xfId="27419" xr:uid="{058CA024-873E-42EC-B4F3-705C6BE74828}"/>
    <cellStyle name="Comma 6 2 4 6 2 2 2" xfId="57659" xr:uid="{A49A71CC-D44C-484E-B17C-6ABE6544DA77}"/>
    <cellStyle name="Comma 6 2 4 6 2 3" xfId="42539" xr:uid="{A56C8A0A-8C62-4C6A-A91A-44904F26A9FB}"/>
    <cellStyle name="Comma 6 2 4 6 3" xfId="18347" xr:uid="{730CC137-EFDF-4C89-8213-F761D8C9D990}"/>
    <cellStyle name="Comma 6 2 4 6 3 2" xfId="48587" xr:uid="{ED1EF206-6BC6-44C1-88E3-465A1E372593}"/>
    <cellStyle name="Comma 6 2 4 6 4" xfId="33467" xr:uid="{CDC50613-1DF0-4B77-A7BC-8980E29A04FA}"/>
    <cellStyle name="Comma 6 2 4 7" xfId="4739" xr:uid="{E8CB3384-9C4D-46DA-8EBE-6471F5C1CE18}"/>
    <cellStyle name="Comma 6 2 4 7 2" xfId="13811" xr:uid="{E6E6D790-4E72-4CF5-A128-01045968616F}"/>
    <cellStyle name="Comma 6 2 4 7 2 2" xfId="28931" xr:uid="{DBDF1417-3905-40E9-B7B1-5E3DB8A49B30}"/>
    <cellStyle name="Comma 6 2 4 7 2 2 2" xfId="59171" xr:uid="{40F30165-043D-46DD-8625-E11A4CBBCD29}"/>
    <cellStyle name="Comma 6 2 4 7 2 3" xfId="44051" xr:uid="{3A355748-4E16-434E-B654-A748227B3D81}"/>
    <cellStyle name="Comma 6 2 4 7 3" xfId="19859" xr:uid="{2D9AEF27-76DA-41AA-9EF8-A32C301A9D5B}"/>
    <cellStyle name="Comma 6 2 4 7 3 2" xfId="50099" xr:uid="{1FCAC3CD-C820-46F5-B5F4-FE7E6951769B}"/>
    <cellStyle name="Comma 6 2 4 7 4" xfId="34979" xr:uid="{7623A213-04E3-4AAD-B7B7-D6753FBAACA9}"/>
    <cellStyle name="Comma 6 2 4 8" xfId="6251" xr:uid="{ACD8D20C-6159-4212-9E7E-99BAB28D9077}"/>
    <cellStyle name="Comma 6 2 4 8 2" xfId="21371" xr:uid="{C5F13FF1-2404-4853-BDB5-46FB7BE96FCB}"/>
    <cellStyle name="Comma 6 2 4 8 2 2" xfId="51611" xr:uid="{CD9DF042-A360-43BA-B922-2AB09B298603}"/>
    <cellStyle name="Comma 6 2 4 8 3" xfId="36491" xr:uid="{D6B8BD97-F479-4DC3-BD2C-2E8CB05FB2A3}"/>
    <cellStyle name="Comma 6 2 4 9" xfId="7763" xr:uid="{9A1AB648-FFE8-4893-8535-9FA6F2001A43}"/>
    <cellStyle name="Comma 6 2 4 9 2" xfId="22883" xr:uid="{333D97AE-2530-4F02-9B76-179470B1E7A9}"/>
    <cellStyle name="Comma 6 2 4 9 2 2" xfId="53123" xr:uid="{28C7EBF9-3A00-4E76-BC74-1D3531AB75BB}"/>
    <cellStyle name="Comma 6 2 4 9 3" xfId="38003" xr:uid="{7582C151-69DF-4B5F-8253-CDA545BF8AEF}"/>
    <cellStyle name="Comma 6 2 5" xfId="287" xr:uid="{F1DE6D61-7C82-4F2D-A917-7EFABA30A55C}"/>
    <cellStyle name="Comma 6 2 5 10" xfId="30527" xr:uid="{147B7BF7-6419-4C96-936E-66631BCA3928}"/>
    <cellStyle name="Comma 6 2 5 2" xfId="1043" xr:uid="{3C7E3245-B02B-451C-B6EA-645A36FE5350}"/>
    <cellStyle name="Comma 6 2 5 2 2" xfId="2555" xr:uid="{FE97C765-0B6E-4524-A482-0E23C84E396D}"/>
    <cellStyle name="Comma 6 2 5 2 2 2" xfId="11627" xr:uid="{CF0F100D-FFFF-4C37-9E0C-3E714158F8EC}"/>
    <cellStyle name="Comma 6 2 5 2 2 2 2" xfId="26747" xr:uid="{414AD3D0-9D0A-4570-82EF-8155CF3B5AEB}"/>
    <cellStyle name="Comma 6 2 5 2 2 2 2 2" xfId="56987" xr:uid="{2AB8F009-2D01-405B-A5C9-68C66D2D9971}"/>
    <cellStyle name="Comma 6 2 5 2 2 2 3" xfId="41867" xr:uid="{77F48150-7FB7-4950-BBCC-C72FBC7CB322}"/>
    <cellStyle name="Comma 6 2 5 2 2 3" xfId="17675" xr:uid="{7E8FC235-BEC2-4912-8453-FDBCA7070303}"/>
    <cellStyle name="Comma 6 2 5 2 2 3 2" xfId="47915" xr:uid="{48CB7C7D-E66A-4950-80B6-5B3069F7000F}"/>
    <cellStyle name="Comma 6 2 5 2 2 4" xfId="32795" xr:uid="{C0198F7F-00E2-4349-8E18-78255EF84D60}"/>
    <cellStyle name="Comma 6 2 5 2 3" xfId="4067" xr:uid="{12284F64-45A1-4DF9-9FA8-5D37A419965C}"/>
    <cellStyle name="Comma 6 2 5 2 3 2" xfId="13139" xr:uid="{F7D3F87C-987E-460E-95D9-45433BEB7961}"/>
    <cellStyle name="Comma 6 2 5 2 3 2 2" xfId="28259" xr:uid="{26102A1C-5108-432F-AE0E-B18B9F6DA345}"/>
    <cellStyle name="Comma 6 2 5 2 3 2 2 2" xfId="58499" xr:uid="{88DA0572-5F0D-4AC1-B626-4D7A094B5407}"/>
    <cellStyle name="Comma 6 2 5 2 3 2 3" xfId="43379" xr:uid="{63554935-621D-4198-AE74-BB6060C7D6CE}"/>
    <cellStyle name="Comma 6 2 5 2 3 3" xfId="19187" xr:uid="{D3581497-9DF3-4217-BC49-9BDE6AE466C3}"/>
    <cellStyle name="Comma 6 2 5 2 3 3 2" xfId="49427" xr:uid="{47C5C459-501B-48EA-9D1D-C758B9802A78}"/>
    <cellStyle name="Comma 6 2 5 2 3 4" xfId="34307" xr:uid="{D788DA24-8C9F-4EB0-974F-586FA789210C}"/>
    <cellStyle name="Comma 6 2 5 2 4" xfId="5579" xr:uid="{AF7CC29F-E2AA-4F36-90B2-7625E3466AD6}"/>
    <cellStyle name="Comma 6 2 5 2 4 2" xfId="14651" xr:uid="{CBAFF0F6-275B-4421-8C33-E7A134DEEA6F}"/>
    <cellStyle name="Comma 6 2 5 2 4 2 2" xfId="29771" xr:uid="{3D2DB7E7-4BFC-404D-920A-34C655986C49}"/>
    <cellStyle name="Comma 6 2 5 2 4 2 2 2" xfId="60011" xr:uid="{E65E6008-A046-4457-84B5-BC867950E02E}"/>
    <cellStyle name="Comma 6 2 5 2 4 2 3" xfId="44891" xr:uid="{22447398-73F9-4618-BA9E-CB49E4D6E4F3}"/>
    <cellStyle name="Comma 6 2 5 2 4 3" xfId="20699" xr:uid="{E6E6C74D-062F-4412-AF6B-4E61B0375EC7}"/>
    <cellStyle name="Comma 6 2 5 2 4 3 2" xfId="50939" xr:uid="{A7ADF8A7-DA1C-469F-AAC8-5BA0ADB02CD7}"/>
    <cellStyle name="Comma 6 2 5 2 4 4" xfId="35819" xr:uid="{039FA623-EE23-4E9F-9280-C909E689998D}"/>
    <cellStyle name="Comma 6 2 5 2 5" xfId="7091" xr:uid="{70CD7888-FC60-4759-B67A-ADE0C7A529F3}"/>
    <cellStyle name="Comma 6 2 5 2 5 2" xfId="22211" xr:uid="{1178094D-E587-4F5B-B12D-90D6EA30149B}"/>
    <cellStyle name="Comma 6 2 5 2 5 2 2" xfId="52451" xr:uid="{07F9ADF9-7BA3-4495-83BB-FE52500FBA9A}"/>
    <cellStyle name="Comma 6 2 5 2 5 3" xfId="37331" xr:uid="{0BF6643A-9C79-4B66-B911-28C5E410008A}"/>
    <cellStyle name="Comma 6 2 5 2 6" xfId="8603" xr:uid="{5B5A4C92-E98E-4BA5-BAD7-E4F5F52BB649}"/>
    <cellStyle name="Comma 6 2 5 2 6 2" xfId="23723" xr:uid="{6CB504CA-B999-47BF-9186-4B8202081D81}"/>
    <cellStyle name="Comma 6 2 5 2 6 2 2" xfId="53963" xr:uid="{56262880-A08B-44EA-956E-D85F8FB13698}"/>
    <cellStyle name="Comma 6 2 5 2 6 3" xfId="38843" xr:uid="{1E75EAC5-28B5-4D36-812B-F43DD85CDF0A}"/>
    <cellStyle name="Comma 6 2 5 2 7" xfId="10115" xr:uid="{CC6B6B76-48B8-499F-94C3-C969778D78BC}"/>
    <cellStyle name="Comma 6 2 5 2 7 2" xfId="25235" xr:uid="{8FFC45B8-8C33-4A58-B666-B899A4B5D8CD}"/>
    <cellStyle name="Comma 6 2 5 2 7 2 2" xfId="55475" xr:uid="{56F3D2DE-EC44-4335-BE61-2C111C0BFFE0}"/>
    <cellStyle name="Comma 6 2 5 2 7 3" xfId="40355" xr:uid="{67C5B28A-4EFB-46EB-B29C-D7D6346D72E9}"/>
    <cellStyle name="Comma 6 2 5 2 8" xfId="16163" xr:uid="{6F8EC6F4-C06A-40FC-BF83-985E66060077}"/>
    <cellStyle name="Comma 6 2 5 2 8 2" xfId="46403" xr:uid="{AC6DA29C-A5B5-45B0-889B-07FDD320B0AD}"/>
    <cellStyle name="Comma 6 2 5 2 9" xfId="31283" xr:uid="{4795AE04-7419-4FDD-9390-E109BF064B31}"/>
    <cellStyle name="Comma 6 2 5 3" xfId="1799" xr:uid="{0B779B4B-5676-4A9B-9053-54C7C3C88C62}"/>
    <cellStyle name="Comma 6 2 5 3 2" xfId="10871" xr:uid="{0201F9F3-61D5-4022-921D-44241ECDEA51}"/>
    <cellStyle name="Comma 6 2 5 3 2 2" xfId="25991" xr:uid="{30D7D129-CAFD-44F3-BA69-138F36379A12}"/>
    <cellStyle name="Comma 6 2 5 3 2 2 2" xfId="56231" xr:uid="{0B965ACF-5D99-4AB4-ABA0-98EF0AE48B25}"/>
    <cellStyle name="Comma 6 2 5 3 2 3" xfId="41111" xr:uid="{143E3420-6EB0-4F12-BA0D-7CF46CF0E597}"/>
    <cellStyle name="Comma 6 2 5 3 3" xfId="16919" xr:uid="{3C5AD120-A72C-4601-867C-C7967EF9FD21}"/>
    <cellStyle name="Comma 6 2 5 3 3 2" xfId="47159" xr:uid="{A00BD9FF-47E3-471E-874D-34F0C1538292}"/>
    <cellStyle name="Comma 6 2 5 3 4" xfId="32039" xr:uid="{7BC19119-35AC-4A0E-BAB1-81A4084A1D6E}"/>
    <cellStyle name="Comma 6 2 5 4" xfId="3311" xr:uid="{BA0DC71E-6EA7-4618-8F29-62CDCA07A471}"/>
    <cellStyle name="Comma 6 2 5 4 2" xfId="12383" xr:uid="{828004EC-D84E-4E78-84FB-DA1E1FF2CB13}"/>
    <cellStyle name="Comma 6 2 5 4 2 2" xfId="27503" xr:uid="{EEE6C0E5-3721-4A60-821C-09653ED76D3D}"/>
    <cellStyle name="Comma 6 2 5 4 2 2 2" xfId="57743" xr:uid="{D90FB5D5-2332-4C69-9B2B-01D310E8C3AD}"/>
    <cellStyle name="Comma 6 2 5 4 2 3" xfId="42623" xr:uid="{BBCB0F8A-942E-4FCF-AB8C-9BDBCA112E89}"/>
    <cellStyle name="Comma 6 2 5 4 3" xfId="18431" xr:uid="{982D3A81-A576-476A-B0CD-7945A3140B8F}"/>
    <cellStyle name="Comma 6 2 5 4 3 2" xfId="48671" xr:uid="{30E9E379-B14C-401D-9C97-FCDC5C333E00}"/>
    <cellStyle name="Comma 6 2 5 4 4" xfId="33551" xr:uid="{6C466BAC-D4D0-4EE6-9B63-DB9420816422}"/>
    <cellStyle name="Comma 6 2 5 5" xfId="4823" xr:uid="{CEC3B4BA-7B56-460E-8C95-D7C229D75D23}"/>
    <cellStyle name="Comma 6 2 5 5 2" xfId="13895" xr:uid="{F651719C-C727-4702-92EB-AAF90E2BC111}"/>
    <cellStyle name="Comma 6 2 5 5 2 2" xfId="29015" xr:uid="{177E3A82-EB9A-47DE-9C39-6ABAF2F99965}"/>
    <cellStyle name="Comma 6 2 5 5 2 2 2" xfId="59255" xr:uid="{7584E4FB-CEFA-44F8-BD7F-3709EDE5B9C3}"/>
    <cellStyle name="Comma 6 2 5 5 2 3" xfId="44135" xr:uid="{1E190C36-C81F-4CE3-B8CA-EB2C238E5DC7}"/>
    <cellStyle name="Comma 6 2 5 5 3" xfId="19943" xr:uid="{8226B6A8-3DA3-4D98-A0C2-AB110EA843BA}"/>
    <cellStyle name="Comma 6 2 5 5 3 2" xfId="50183" xr:uid="{118BC248-550D-46A1-97A0-73D1A51C3F7E}"/>
    <cellStyle name="Comma 6 2 5 5 4" xfId="35063" xr:uid="{C3785E9F-B7B2-4D65-A980-6812CED1BC87}"/>
    <cellStyle name="Comma 6 2 5 6" xfId="6335" xr:uid="{F050CE18-2546-4342-80A2-380449DF092D}"/>
    <cellStyle name="Comma 6 2 5 6 2" xfId="21455" xr:uid="{75928047-EAEC-4755-BFB0-B1ED4189E276}"/>
    <cellStyle name="Comma 6 2 5 6 2 2" xfId="51695" xr:uid="{B0675571-FAF8-44C8-AE6C-4A7111D8ABE6}"/>
    <cellStyle name="Comma 6 2 5 6 3" xfId="36575" xr:uid="{EDD1353E-C421-4DF9-8CA6-53A08D914CBF}"/>
    <cellStyle name="Comma 6 2 5 7" xfId="7847" xr:uid="{3D37B402-1368-4616-B8C6-C18D48F05213}"/>
    <cellStyle name="Comma 6 2 5 7 2" xfId="22967" xr:uid="{2B0CBC35-57B7-4AE7-A057-68D40A885550}"/>
    <cellStyle name="Comma 6 2 5 7 2 2" xfId="53207" xr:uid="{21583198-436F-476D-86F3-4841E7721E0F}"/>
    <cellStyle name="Comma 6 2 5 7 3" xfId="38087" xr:uid="{56453C93-F524-445A-9A81-38D6E32B57F8}"/>
    <cellStyle name="Comma 6 2 5 8" xfId="9359" xr:uid="{8EDA1FFF-0BD3-4442-91D3-95A0C37856B5}"/>
    <cellStyle name="Comma 6 2 5 8 2" xfId="24479" xr:uid="{738C3A3E-6469-41DA-A4E4-2F7048EF6BEC}"/>
    <cellStyle name="Comma 6 2 5 8 2 2" xfId="54719" xr:uid="{3DFC1746-8965-43CA-9812-C3A39F1C351B}"/>
    <cellStyle name="Comma 6 2 5 8 3" xfId="39599" xr:uid="{068D19D9-EFCD-47B9-BE07-8EC77FDE73C2}"/>
    <cellStyle name="Comma 6 2 5 9" xfId="15407" xr:uid="{A3FF9345-76FB-4D51-8972-2C2EDE2F99B1}"/>
    <cellStyle name="Comma 6 2 5 9 2" xfId="45647" xr:uid="{FFEBD983-7D71-48DC-8108-068CC3A401DA}"/>
    <cellStyle name="Comma 6 2 6" xfId="539" xr:uid="{FDD0847C-8A9F-4985-960F-ACFE7DB7F070}"/>
    <cellStyle name="Comma 6 2 6 10" xfId="30779" xr:uid="{8F42A5CF-72AF-48E8-ACAA-7DF0B577447E}"/>
    <cellStyle name="Comma 6 2 6 2" xfId="1295" xr:uid="{F971343E-7F22-47F7-A7C5-286E96EBC334}"/>
    <cellStyle name="Comma 6 2 6 2 2" xfId="2807" xr:uid="{B830F3ED-7EA4-4CF5-BFF8-E20F7D5A7E6B}"/>
    <cellStyle name="Comma 6 2 6 2 2 2" xfId="11879" xr:uid="{475CB5A4-CA49-42AC-A983-D8C9A54B800E}"/>
    <cellStyle name="Comma 6 2 6 2 2 2 2" xfId="26999" xr:uid="{23E8F671-A435-4F38-B26B-B0069607A204}"/>
    <cellStyle name="Comma 6 2 6 2 2 2 2 2" xfId="57239" xr:uid="{0CF00D75-750C-4940-B5DA-10DF5AA3CF87}"/>
    <cellStyle name="Comma 6 2 6 2 2 2 3" xfId="42119" xr:uid="{3C475BAE-F66C-4315-B2A9-1545573BA2D9}"/>
    <cellStyle name="Comma 6 2 6 2 2 3" xfId="17927" xr:uid="{CCE37F6A-345E-4F8A-8504-35540030E5A5}"/>
    <cellStyle name="Comma 6 2 6 2 2 3 2" xfId="48167" xr:uid="{E41A059A-94CF-4158-B375-A610980A50BE}"/>
    <cellStyle name="Comma 6 2 6 2 2 4" xfId="33047" xr:uid="{68A5A4A5-6A19-40A2-80E8-6E74534ADE0B}"/>
    <cellStyle name="Comma 6 2 6 2 3" xfId="4319" xr:uid="{E8424BE7-534C-4838-AEB2-329E438FA8F8}"/>
    <cellStyle name="Comma 6 2 6 2 3 2" xfId="13391" xr:uid="{F272BD53-89F8-4217-96C4-AB17B1E0FE3D}"/>
    <cellStyle name="Comma 6 2 6 2 3 2 2" xfId="28511" xr:uid="{600F3359-E0F3-4C16-8278-71DDE9771660}"/>
    <cellStyle name="Comma 6 2 6 2 3 2 2 2" xfId="58751" xr:uid="{961BD639-E056-4EE8-AB66-C606A084FB53}"/>
    <cellStyle name="Comma 6 2 6 2 3 2 3" xfId="43631" xr:uid="{1A3E090D-EE16-4791-9ECC-BE9B39E94EFD}"/>
    <cellStyle name="Comma 6 2 6 2 3 3" xfId="19439" xr:uid="{B5CD9438-5402-41AE-93F4-3709DE30A0AE}"/>
    <cellStyle name="Comma 6 2 6 2 3 3 2" xfId="49679" xr:uid="{E1B26B94-BCB9-4241-96A5-D46E1FDCDB90}"/>
    <cellStyle name="Comma 6 2 6 2 3 4" xfId="34559" xr:uid="{B9EF976C-AC9B-4316-8EFF-4852952E2919}"/>
    <cellStyle name="Comma 6 2 6 2 4" xfId="5831" xr:uid="{5C10A985-E59F-458A-AA35-FF07290E2318}"/>
    <cellStyle name="Comma 6 2 6 2 4 2" xfId="14903" xr:uid="{6604C7A9-103C-49F5-99FB-33116101BB03}"/>
    <cellStyle name="Comma 6 2 6 2 4 2 2" xfId="30023" xr:uid="{7D2AF63B-5552-4F7A-9A30-42C5925048B0}"/>
    <cellStyle name="Comma 6 2 6 2 4 2 2 2" xfId="60263" xr:uid="{EF171711-F4C8-48A5-9F9B-CD93A469122A}"/>
    <cellStyle name="Comma 6 2 6 2 4 2 3" xfId="45143" xr:uid="{089245D5-192F-4410-A80B-0AB3576DD916}"/>
    <cellStyle name="Comma 6 2 6 2 4 3" xfId="20951" xr:uid="{BB03BA60-ED43-4667-B6EE-669CDC13F2D2}"/>
    <cellStyle name="Comma 6 2 6 2 4 3 2" xfId="51191" xr:uid="{810310C4-56D8-4E5F-9E25-B82650189797}"/>
    <cellStyle name="Comma 6 2 6 2 4 4" xfId="36071" xr:uid="{D94E2BE6-2567-407F-BE84-8CE438B5B39A}"/>
    <cellStyle name="Comma 6 2 6 2 5" xfId="7343" xr:uid="{20C10FD9-0177-4886-898C-54CA96ACC5F0}"/>
    <cellStyle name="Comma 6 2 6 2 5 2" xfId="22463" xr:uid="{193B9877-BDEA-4A08-8A1E-CA22F636A2DB}"/>
    <cellStyle name="Comma 6 2 6 2 5 2 2" xfId="52703" xr:uid="{4B99F56B-992E-4116-A332-FD0802E8D0B3}"/>
    <cellStyle name="Comma 6 2 6 2 5 3" xfId="37583" xr:uid="{DC97ADA3-49F1-4FC7-98A0-4416EE6251CE}"/>
    <cellStyle name="Comma 6 2 6 2 6" xfId="8855" xr:uid="{EF76C65E-D6C3-4165-8765-7DC2F8774A3C}"/>
    <cellStyle name="Comma 6 2 6 2 6 2" xfId="23975" xr:uid="{FA139EFD-E998-4C1E-9094-BF10CC9705D4}"/>
    <cellStyle name="Comma 6 2 6 2 6 2 2" xfId="54215" xr:uid="{A01D6875-4929-49B8-B055-18074E28A095}"/>
    <cellStyle name="Comma 6 2 6 2 6 3" xfId="39095" xr:uid="{88B74A39-1C24-4B0B-80D1-1AFD255ECB7E}"/>
    <cellStyle name="Comma 6 2 6 2 7" xfId="10367" xr:uid="{5036BEC0-650D-41EE-82B4-B8464CFAB2C5}"/>
    <cellStyle name="Comma 6 2 6 2 7 2" xfId="25487" xr:uid="{25813070-7EB7-4760-BF19-AD10079FE098}"/>
    <cellStyle name="Comma 6 2 6 2 7 2 2" xfId="55727" xr:uid="{843BFA14-585A-4189-A41D-2F249929E382}"/>
    <cellStyle name="Comma 6 2 6 2 7 3" xfId="40607" xr:uid="{F7E49CA8-6386-494E-8BAC-B3F7B18B8858}"/>
    <cellStyle name="Comma 6 2 6 2 8" xfId="16415" xr:uid="{16C1F586-DA06-4FDD-AFEA-9B8B47550821}"/>
    <cellStyle name="Comma 6 2 6 2 8 2" xfId="46655" xr:uid="{C77F8759-0243-422B-BCAA-6F5161A1E345}"/>
    <cellStyle name="Comma 6 2 6 2 9" xfId="31535" xr:uid="{AF107810-D779-45C9-B0AC-B232C90143BD}"/>
    <cellStyle name="Comma 6 2 6 3" xfId="2051" xr:uid="{E0774DF6-3F7C-4EE4-A3CE-73628C111796}"/>
    <cellStyle name="Comma 6 2 6 3 2" xfId="11123" xr:uid="{D70481C0-563A-47A8-8B3D-9772E71AFDD2}"/>
    <cellStyle name="Comma 6 2 6 3 2 2" xfId="26243" xr:uid="{6DA57796-45DC-4E9A-AC8C-8D7C00B8A8A4}"/>
    <cellStyle name="Comma 6 2 6 3 2 2 2" xfId="56483" xr:uid="{12C2F00D-8E99-42A5-B863-087BF1F2A176}"/>
    <cellStyle name="Comma 6 2 6 3 2 3" xfId="41363" xr:uid="{6EF686CA-85D0-43FD-9FEE-86BEC175FB89}"/>
    <cellStyle name="Comma 6 2 6 3 3" xfId="17171" xr:uid="{BB40598C-152A-4788-8C8E-3BDC0652060B}"/>
    <cellStyle name="Comma 6 2 6 3 3 2" xfId="47411" xr:uid="{319543DA-9FC6-4E45-AC8F-159FEB0BEDBF}"/>
    <cellStyle name="Comma 6 2 6 3 4" xfId="32291" xr:uid="{D8DD0887-ABBA-4C78-925F-1CF563E61ADB}"/>
    <cellStyle name="Comma 6 2 6 4" xfId="3563" xr:uid="{41112D2A-6CFC-429F-A4EE-EE2FFD66F347}"/>
    <cellStyle name="Comma 6 2 6 4 2" xfId="12635" xr:uid="{332029D3-ADF3-4226-BEFF-2DA99DE8823E}"/>
    <cellStyle name="Comma 6 2 6 4 2 2" xfId="27755" xr:uid="{643AD1FC-0AE9-4B25-A7CA-A7CF4A40BEBA}"/>
    <cellStyle name="Comma 6 2 6 4 2 2 2" xfId="57995" xr:uid="{4D4B6EC2-9A90-44EB-BA1A-B2503BC1F0DE}"/>
    <cellStyle name="Comma 6 2 6 4 2 3" xfId="42875" xr:uid="{49208DE7-EE69-4143-8D08-2D8376AC1046}"/>
    <cellStyle name="Comma 6 2 6 4 3" xfId="18683" xr:uid="{C1087B65-A6BA-4672-A24C-C50F5AEB94CB}"/>
    <cellStyle name="Comma 6 2 6 4 3 2" xfId="48923" xr:uid="{1497CD15-113B-4CB7-9709-4A5533F24237}"/>
    <cellStyle name="Comma 6 2 6 4 4" xfId="33803" xr:uid="{9E54DBE6-C27C-4CCA-ABDD-3547B2620BEC}"/>
    <cellStyle name="Comma 6 2 6 5" xfId="5075" xr:uid="{D0F9F9E1-A878-4159-ABC0-67C2438D0B8A}"/>
    <cellStyle name="Comma 6 2 6 5 2" xfId="14147" xr:uid="{8649771A-CA6F-480D-9CAC-AB57096D3805}"/>
    <cellStyle name="Comma 6 2 6 5 2 2" xfId="29267" xr:uid="{276C688A-3E40-4A4F-B75F-4DB86CA7E1EA}"/>
    <cellStyle name="Comma 6 2 6 5 2 2 2" xfId="59507" xr:uid="{9A0C7B1B-92E5-4A4E-BFB4-B1B219F34830}"/>
    <cellStyle name="Comma 6 2 6 5 2 3" xfId="44387" xr:uid="{14BACA27-A3F8-4E75-BAB6-24CB4235FB79}"/>
    <cellStyle name="Comma 6 2 6 5 3" xfId="20195" xr:uid="{F5429E59-1E2D-44F4-B415-8717259B7F4C}"/>
    <cellStyle name="Comma 6 2 6 5 3 2" xfId="50435" xr:uid="{5F213B28-D900-43A4-A27C-477E30C6FCB2}"/>
    <cellStyle name="Comma 6 2 6 5 4" xfId="35315" xr:uid="{1C064019-4BE9-482E-B1F2-8D8F3331AA88}"/>
    <cellStyle name="Comma 6 2 6 6" xfId="6587" xr:uid="{26F15A32-4477-4084-AD23-1E585A2A5E38}"/>
    <cellStyle name="Comma 6 2 6 6 2" xfId="21707" xr:uid="{9B3B88B8-0BB2-472A-BEDC-6BF1807EF3E2}"/>
    <cellStyle name="Comma 6 2 6 6 2 2" xfId="51947" xr:uid="{30DFCDCE-7219-47DC-8263-50300F95757D}"/>
    <cellStyle name="Comma 6 2 6 6 3" xfId="36827" xr:uid="{9048EDBE-40F6-4A2E-A6B7-E4ABC1E3BAA3}"/>
    <cellStyle name="Comma 6 2 6 7" xfId="8099" xr:uid="{91CE297B-A1F9-4D5E-9096-D74DC03B7B4C}"/>
    <cellStyle name="Comma 6 2 6 7 2" xfId="23219" xr:uid="{995D7F14-C826-4B0D-8488-1ABA1FA874C2}"/>
    <cellStyle name="Comma 6 2 6 7 2 2" xfId="53459" xr:uid="{1D67730C-C503-412F-9B3B-F7A4C55C86D6}"/>
    <cellStyle name="Comma 6 2 6 7 3" xfId="38339" xr:uid="{5A94C60F-29A9-4C57-97EB-19C6EC809BD4}"/>
    <cellStyle name="Comma 6 2 6 8" xfId="9611" xr:uid="{F4BF5232-224F-4424-B7FA-E17EB3ECDF5E}"/>
    <cellStyle name="Comma 6 2 6 8 2" xfId="24731" xr:uid="{9922B47D-AE1D-48AE-A2BD-6ECDEF5528C0}"/>
    <cellStyle name="Comma 6 2 6 8 2 2" xfId="54971" xr:uid="{2D90946E-5DE1-4897-B622-65F58BC8BB93}"/>
    <cellStyle name="Comma 6 2 6 8 3" xfId="39851" xr:uid="{1893F160-E03C-4FD3-A301-6BF1B572FECB}"/>
    <cellStyle name="Comma 6 2 6 9" xfId="15659" xr:uid="{16EE075E-B418-479D-87FF-F7B9DBB4BC47}"/>
    <cellStyle name="Comma 6 2 6 9 2" xfId="45899" xr:uid="{F1DBCAAD-A943-4054-BD60-5F0CEDF7377F}"/>
    <cellStyle name="Comma 6 2 7" xfId="791" xr:uid="{17A782EA-3F03-480C-900E-3BA0CBF167E2}"/>
    <cellStyle name="Comma 6 2 7 2" xfId="2303" xr:uid="{AF6DB584-B498-41E7-9526-DF9B14DF08BA}"/>
    <cellStyle name="Comma 6 2 7 2 2" xfId="11375" xr:uid="{89E8408E-FF6C-4403-B6A1-21AAFCA78737}"/>
    <cellStyle name="Comma 6 2 7 2 2 2" xfId="26495" xr:uid="{A1DF5CEE-1066-49E3-8E9E-F935D7DBCBA4}"/>
    <cellStyle name="Comma 6 2 7 2 2 2 2" xfId="56735" xr:uid="{DEBB1F1C-04C0-4E7D-93B8-A9FD0637C528}"/>
    <cellStyle name="Comma 6 2 7 2 2 3" xfId="41615" xr:uid="{8A8EFA3D-F16B-45CF-88C4-DF4765A56E74}"/>
    <cellStyle name="Comma 6 2 7 2 3" xfId="17423" xr:uid="{FA13F121-AE84-462E-996E-F2887377F02E}"/>
    <cellStyle name="Comma 6 2 7 2 3 2" xfId="47663" xr:uid="{46189ED5-A94E-4453-BC2C-1E98FDC5E455}"/>
    <cellStyle name="Comma 6 2 7 2 4" xfId="32543" xr:uid="{6AE31CEF-ADD3-4E08-A736-370544C06630}"/>
    <cellStyle name="Comma 6 2 7 3" xfId="3815" xr:uid="{7A3AA484-E19F-4D4A-BDE6-DE935D8ADD86}"/>
    <cellStyle name="Comma 6 2 7 3 2" xfId="12887" xr:uid="{D0679694-DF2D-4251-85FF-3C33FEBCCA3E}"/>
    <cellStyle name="Comma 6 2 7 3 2 2" xfId="28007" xr:uid="{58FB0815-210C-4674-89E4-A25591DECBE0}"/>
    <cellStyle name="Comma 6 2 7 3 2 2 2" xfId="58247" xr:uid="{E640061C-D0E6-4BFA-9088-297C9A18E0A9}"/>
    <cellStyle name="Comma 6 2 7 3 2 3" xfId="43127" xr:uid="{F8A2069C-D101-490B-9795-300D4772ADF6}"/>
    <cellStyle name="Comma 6 2 7 3 3" xfId="18935" xr:uid="{032C7FCF-50AF-46D5-9229-22E39FF86459}"/>
    <cellStyle name="Comma 6 2 7 3 3 2" xfId="49175" xr:uid="{50688AE1-AA0D-4114-A77F-44B95882E0DD}"/>
    <cellStyle name="Comma 6 2 7 3 4" xfId="34055" xr:uid="{DD20368B-74AD-419A-986F-F86C507AB37B}"/>
    <cellStyle name="Comma 6 2 7 4" xfId="5327" xr:uid="{C33B94E6-D4CC-487B-BB98-0FDB4679516D}"/>
    <cellStyle name="Comma 6 2 7 4 2" xfId="14399" xr:uid="{08F0E54B-D508-4DF6-A9EA-143303135211}"/>
    <cellStyle name="Comma 6 2 7 4 2 2" xfId="29519" xr:uid="{7F1D4545-BA09-4242-BE0E-9E07EE3D8AC9}"/>
    <cellStyle name="Comma 6 2 7 4 2 2 2" xfId="59759" xr:uid="{647F370E-7F9D-45B8-8C03-B622F87F1880}"/>
    <cellStyle name="Comma 6 2 7 4 2 3" xfId="44639" xr:uid="{C659812B-BD8E-470B-9DFC-B6F9BC19ACA0}"/>
    <cellStyle name="Comma 6 2 7 4 3" xfId="20447" xr:uid="{21DD3D1B-C7F6-441B-9759-BC1E9E788F60}"/>
    <cellStyle name="Comma 6 2 7 4 3 2" xfId="50687" xr:uid="{A7A42C50-8E5D-43A2-959C-38ED8E31EB5B}"/>
    <cellStyle name="Comma 6 2 7 4 4" xfId="35567" xr:uid="{274FE29B-08DF-43F3-B75E-814AC3A3C445}"/>
    <cellStyle name="Comma 6 2 7 5" xfId="6839" xr:uid="{D1F3C65A-C754-464A-80AC-7F5290C86BA3}"/>
    <cellStyle name="Comma 6 2 7 5 2" xfId="21959" xr:uid="{AFFDA02D-2C91-4B5C-87B0-4BB2CD5F33A3}"/>
    <cellStyle name="Comma 6 2 7 5 2 2" xfId="52199" xr:uid="{BC9E90FC-5A44-4DC1-B21B-73AD8929B9DA}"/>
    <cellStyle name="Comma 6 2 7 5 3" xfId="37079" xr:uid="{9BCF5327-4AF8-4808-AD62-1EECC667EFF4}"/>
    <cellStyle name="Comma 6 2 7 6" xfId="8351" xr:uid="{D96AB53E-7040-4CD7-B45C-B9C73A7343C7}"/>
    <cellStyle name="Comma 6 2 7 6 2" xfId="23471" xr:uid="{6CA970AF-9AF8-4C82-88AE-F4C0A9583BA4}"/>
    <cellStyle name="Comma 6 2 7 6 2 2" xfId="53711" xr:uid="{F030D93E-5314-40F2-9B26-8234988E5BA5}"/>
    <cellStyle name="Comma 6 2 7 6 3" xfId="38591" xr:uid="{5F305D7C-1038-41BB-855C-ADC021296F88}"/>
    <cellStyle name="Comma 6 2 7 7" xfId="9863" xr:uid="{659294C1-56E6-4245-A8BE-CC2DBD5557C1}"/>
    <cellStyle name="Comma 6 2 7 7 2" xfId="24983" xr:uid="{2CC24E07-3017-4F1C-AE8B-0D2654A77458}"/>
    <cellStyle name="Comma 6 2 7 7 2 2" xfId="55223" xr:uid="{BCB1875C-3EFA-42BA-963D-BE924D287E87}"/>
    <cellStyle name="Comma 6 2 7 7 3" xfId="40103" xr:uid="{1286A0F7-F9FE-48D5-A3E2-F9E08E00CD2A}"/>
    <cellStyle name="Comma 6 2 7 8" xfId="15911" xr:uid="{1B50D740-CCF0-4450-A9E8-B054E50D9087}"/>
    <cellStyle name="Comma 6 2 7 8 2" xfId="46151" xr:uid="{7156AF88-E4B5-46DC-A64D-63D98F406706}"/>
    <cellStyle name="Comma 6 2 7 9" xfId="31031" xr:uid="{A34AD742-8579-407C-A9DB-0895D53CB565}"/>
    <cellStyle name="Comma 6 2 8" xfId="1547" xr:uid="{684AAB40-4D3A-4CE2-B368-A04C2857C651}"/>
    <cellStyle name="Comma 6 2 8 2" xfId="10619" xr:uid="{794589B9-FBC7-4A81-8BB2-8473FA765A13}"/>
    <cellStyle name="Comma 6 2 8 2 2" xfId="25739" xr:uid="{6AA01507-44F2-462C-86AE-CB0F75193A5C}"/>
    <cellStyle name="Comma 6 2 8 2 2 2" xfId="55979" xr:uid="{419DDEFD-EF4F-493F-86ED-B56ADFD97345}"/>
    <cellStyle name="Comma 6 2 8 2 3" xfId="40859" xr:uid="{378FEF89-F135-4AC0-9CF0-5AB1C99D103D}"/>
    <cellStyle name="Comma 6 2 8 3" xfId="16667" xr:uid="{3006452C-4D0C-4D9D-909C-2EB7E36088C1}"/>
    <cellStyle name="Comma 6 2 8 3 2" xfId="46907" xr:uid="{CDFB40E5-5666-4BDE-B782-262FBD4038BD}"/>
    <cellStyle name="Comma 6 2 8 4" xfId="31787" xr:uid="{DBC25177-B4A5-47A0-9579-07D8CB796F5A}"/>
    <cellStyle name="Comma 6 2 9" xfId="3059" xr:uid="{A217BBFF-7C4C-4038-8207-1CB443E84D0C}"/>
    <cellStyle name="Comma 6 2 9 2" xfId="12131" xr:uid="{2ADCDFE3-9C9E-4EF6-B22A-7773498CB597}"/>
    <cellStyle name="Comma 6 2 9 2 2" xfId="27251" xr:uid="{C272D014-D3C4-4FFB-A261-46BF9119084F}"/>
    <cellStyle name="Comma 6 2 9 2 2 2" xfId="57491" xr:uid="{6ABD4E61-18E0-4D3A-A96E-C9BC6E464799}"/>
    <cellStyle name="Comma 6 2 9 2 3" xfId="42371" xr:uid="{AC9CB7AD-3D59-4030-A650-4E1412AD9826}"/>
    <cellStyle name="Comma 6 2 9 3" xfId="18179" xr:uid="{477BEE8B-B3D0-4514-8AEE-600C369EDEE6}"/>
    <cellStyle name="Comma 6 2 9 3 2" xfId="48419" xr:uid="{1AB6123F-D630-48F9-9F3E-64532AB79B19}"/>
    <cellStyle name="Comma 6 2 9 4" xfId="33299" xr:uid="{5380400C-DEA8-408B-A260-D55BCF1752E2}"/>
    <cellStyle name="Comma 6 3" xfId="49" xr:uid="{FF2129CB-B379-45C4-B736-A4E21AB5DC75}"/>
    <cellStyle name="Comma 6 3 10" xfId="4585" xr:uid="{2EF500F2-027E-42B5-B9D7-E8DE61F04027}"/>
    <cellStyle name="Comma 6 3 10 2" xfId="13657" xr:uid="{24CFB1A3-866B-45A1-A22F-6FE92E277FE1}"/>
    <cellStyle name="Comma 6 3 10 2 2" xfId="28777" xr:uid="{1AB4DD44-BBE4-4526-9455-630E54A6B90E}"/>
    <cellStyle name="Comma 6 3 10 2 2 2" xfId="59017" xr:uid="{B07D09D7-121B-41C9-9526-446C2547B5AB}"/>
    <cellStyle name="Comma 6 3 10 2 3" xfId="43897" xr:uid="{99FF6C7E-62DB-4098-AE0F-6435C1C39F75}"/>
    <cellStyle name="Comma 6 3 10 3" xfId="19705" xr:uid="{08FECEF7-8F83-4034-9AF0-4DE62AD41383}"/>
    <cellStyle name="Comma 6 3 10 3 2" xfId="49945" xr:uid="{B89A54A3-18B4-44ED-975C-FC13E9B8428F}"/>
    <cellStyle name="Comma 6 3 10 4" xfId="34825" xr:uid="{284C485F-E735-4958-ADBC-AE1CB91FBCFE}"/>
    <cellStyle name="Comma 6 3 11" xfId="6097" xr:uid="{9940EBA1-A11F-413F-9E35-31FFDFE0424E}"/>
    <cellStyle name="Comma 6 3 11 2" xfId="21217" xr:uid="{41D77F63-3BF3-4043-9C64-7772EA3EFDCE}"/>
    <cellStyle name="Comma 6 3 11 2 2" xfId="51457" xr:uid="{FC8B6F1C-F37E-462B-917D-C972700F52E1}"/>
    <cellStyle name="Comma 6 3 11 3" xfId="36337" xr:uid="{48BC1FEA-C4AA-45E6-A0E9-748E406E43A7}"/>
    <cellStyle name="Comma 6 3 12" xfId="7609" xr:uid="{CBCB588D-E73A-4F20-9909-EE04E528911F}"/>
    <cellStyle name="Comma 6 3 12 2" xfId="22729" xr:uid="{8C2008C3-FA0C-4386-AAF5-C61EA70A2856}"/>
    <cellStyle name="Comma 6 3 12 2 2" xfId="52969" xr:uid="{671400E4-867F-4CE1-9EF4-3839ED0E4E71}"/>
    <cellStyle name="Comma 6 3 12 3" xfId="37849" xr:uid="{54EC1C82-62E9-409F-BEFA-8A498DF51139}"/>
    <cellStyle name="Comma 6 3 13" xfId="9121" xr:uid="{DC00AF6A-BBB0-45D1-9247-2177533B8F8A}"/>
    <cellStyle name="Comma 6 3 13 2" xfId="24241" xr:uid="{6DF1A7EE-8316-4B11-83B5-4C76F9F98D6E}"/>
    <cellStyle name="Comma 6 3 13 2 2" xfId="54481" xr:uid="{9FF58C06-2160-449C-9B85-1B553F4995BC}"/>
    <cellStyle name="Comma 6 3 13 3" xfId="39361" xr:uid="{A9DD51BC-1F74-420D-8374-9E11FE0F7938}"/>
    <cellStyle name="Comma 6 3 14" xfId="15169" xr:uid="{2E6D0D4C-E002-47DA-9120-F1766C5AC9C8}"/>
    <cellStyle name="Comma 6 3 14 2" xfId="45409" xr:uid="{C333EA9B-A571-41BC-B3C8-E6FF15186E5A}"/>
    <cellStyle name="Comma 6 3 15" xfId="30289" xr:uid="{5A49F935-3290-4027-AFDF-BB90FEAE7E0B}"/>
    <cellStyle name="Comma 6 3 2" xfId="91" xr:uid="{7F755C60-53D0-46EC-A233-14C6E2910E19}"/>
    <cellStyle name="Comma 6 3 2 10" xfId="6139" xr:uid="{D9E6AA5F-4868-4B70-A7CE-3A9C8CE9D458}"/>
    <cellStyle name="Comma 6 3 2 10 2" xfId="21259" xr:uid="{D0536B0A-AD45-4D8D-8D8E-AB8B27A1F595}"/>
    <cellStyle name="Comma 6 3 2 10 2 2" xfId="51499" xr:uid="{78AF1E77-9061-4748-AC14-2DECC3F5BE90}"/>
    <cellStyle name="Comma 6 3 2 10 3" xfId="36379" xr:uid="{FD91BABA-58FD-40F1-82B8-00B67A2B30A9}"/>
    <cellStyle name="Comma 6 3 2 11" xfId="7651" xr:uid="{D6163408-D781-429D-9D38-875579B739D0}"/>
    <cellStyle name="Comma 6 3 2 11 2" xfId="22771" xr:uid="{3D4BCC36-7BB7-4C8A-9B6F-B189CACEEC17}"/>
    <cellStyle name="Comma 6 3 2 11 2 2" xfId="53011" xr:uid="{3DE47C8C-73C3-4A71-8412-97D9FAB829BE}"/>
    <cellStyle name="Comma 6 3 2 11 3" xfId="37891" xr:uid="{AEFBE126-E484-4CF7-90EE-6A17D9FFE6FD}"/>
    <cellStyle name="Comma 6 3 2 12" xfId="9163" xr:uid="{2A9843FC-E78B-44E3-9750-127BAFE597F6}"/>
    <cellStyle name="Comma 6 3 2 12 2" xfId="24283" xr:uid="{340C4FE3-8E64-452E-828A-83B98B08E713}"/>
    <cellStyle name="Comma 6 3 2 12 2 2" xfId="54523" xr:uid="{9305A0CA-E2B7-4331-B9D9-19375C8602AE}"/>
    <cellStyle name="Comma 6 3 2 12 3" xfId="39403" xr:uid="{D2A62AC5-B56C-47F6-8FBC-829A92BC09F2}"/>
    <cellStyle name="Comma 6 3 2 13" xfId="15211" xr:uid="{4A51F146-E4E7-4246-9B38-0F44B7D7253F}"/>
    <cellStyle name="Comma 6 3 2 13 2" xfId="45451" xr:uid="{EE3F6B3F-2183-496C-A168-47D64C742D0C}"/>
    <cellStyle name="Comma 6 3 2 14" xfId="30331" xr:uid="{152C5A9D-5F9C-4944-8988-7D145D248D61}"/>
    <cellStyle name="Comma 6 3 2 2" xfId="175" xr:uid="{9F77C7EA-C900-4144-B30E-C74AE369AED4}"/>
    <cellStyle name="Comma 6 3 2 2 10" xfId="9247" xr:uid="{18C3D805-84F7-47E6-BB68-AF0FA642C31D}"/>
    <cellStyle name="Comma 6 3 2 2 10 2" xfId="24367" xr:uid="{94A00B98-6A60-463B-A603-6D69E4F51A52}"/>
    <cellStyle name="Comma 6 3 2 2 10 2 2" xfId="54607" xr:uid="{A8E74A22-6C0E-47CF-961F-7B8E5A100C11}"/>
    <cellStyle name="Comma 6 3 2 2 10 3" xfId="39487" xr:uid="{B320E355-6ECA-46A4-9561-9516D8CAADC6}"/>
    <cellStyle name="Comma 6 3 2 2 11" xfId="15295" xr:uid="{3A9F5084-F5B0-4F35-9F16-A8AA68D97862}"/>
    <cellStyle name="Comma 6 3 2 2 11 2" xfId="45535" xr:uid="{2B2E7EB5-785C-46E1-9618-1E82F173194A}"/>
    <cellStyle name="Comma 6 3 2 2 12" xfId="30415" xr:uid="{F6883AFC-3D30-47EC-B96D-CE032747F202}"/>
    <cellStyle name="Comma 6 3 2 2 2" xfId="427" xr:uid="{C7A477CF-1211-44FB-8A86-60534145AD6C}"/>
    <cellStyle name="Comma 6 3 2 2 2 10" xfId="30667" xr:uid="{96CF297F-15B4-4F26-8730-670502C8EC78}"/>
    <cellStyle name="Comma 6 3 2 2 2 2" xfId="1183" xr:uid="{F11B0523-E52B-477C-8A3B-DD8D77DDEBFB}"/>
    <cellStyle name="Comma 6 3 2 2 2 2 2" xfId="2695" xr:uid="{45061225-617C-4A94-ACC7-5A140AF3ABC8}"/>
    <cellStyle name="Comma 6 3 2 2 2 2 2 2" xfId="11767" xr:uid="{198E14B1-6EDD-41D0-A4BD-2C91FF63E5EB}"/>
    <cellStyle name="Comma 6 3 2 2 2 2 2 2 2" xfId="26887" xr:uid="{EB8FE232-9351-4B5F-9E4A-58C928B3B218}"/>
    <cellStyle name="Comma 6 3 2 2 2 2 2 2 2 2" xfId="57127" xr:uid="{9B61D284-A92F-452F-8AA5-273F862D4B22}"/>
    <cellStyle name="Comma 6 3 2 2 2 2 2 2 3" xfId="42007" xr:uid="{EF1A720E-65EF-42AA-A543-223D83EC1C94}"/>
    <cellStyle name="Comma 6 3 2 2 2 2 2 3" xfId="17815" xr:uid="{078E6DE4-D200-427B-82E2-E809F6A3B169}"/>
    <cellStyle name="Comma 6 3 2 2 2 2 2 3 2" xfId="48055" xr:uid="{BB0FBF4C-BB1F-47C0-B605-A23B5610A34E}"/>
    <cellStyle name="Comma 6 3 2 2 2 2 2 4" xfId="32935" xr:uid="{93DA785F-770E-4DF3-AB2C-CC615A3918B6}"/>
    <cellStyle name="Comma 6 3 2 2 2 2 3" xfId="4207" xr:uid="{901D1E4E-3782-4DA2-BBF9-053C53DE0433}"/>
    <cellStyle name="Comma 6 3 2 2 2 2 3 2" xfId="13279" xr:uid="{F845A666-97FA-4AEE-A56D-6298CACEA322}"/>
    <cellStyle name="Comma 6 3 2 2 2 2 3 2 2" xfId="28399" xr:uid="{168E5DCD-CBE4-4BDE-890B-CC0CBB8F58DB}"/>
    <cellStyle name="Comma 6 3 2 2 2 2 3 2 2 2" xfId="58639" xr:uid="{25E7A8CC-B6E1-476D-A6A5-E59481D0C3DF}"/>
    <cellStyle name="Comma 6 3 2 2 2 2 3 2 3" xfId="43519" xr:uid="{0F6F23CB-211B-42FC-913A-73FD6E0F27BC}"/>
    <cellStyle name="Comma 6 3 2 2 2 2 3 3" xfId="19327" xr:uid="{12CC6085-7A99-4766-92DE-70C98802073F}"/>
    <cellStyle name="Comma 6 3 2 2 2 2 3 3 2" xfId="49567" xr:uid="{C24AE79C-3905-4DEC-97DA-4FFBE125EAD5}"/>
    <cellStyle name="Comma 6 3 2 2 2 2 3 4" xfId="34447" xr:uid="{2E80D881-7BB1-4813-A252-754E00D0D36A}"/>
    <cellStyle name="Comma 6 3 2 2 2 2 4" xfId="5719" xr:uid="{A4C529D5-F4E5-48B6-83B0-E4D12FE25B11}"/>
    <cellStyle name="Comma 6 3 2 2 2 2 4 2" xfId="14791" xr:uid="{527CDFB2-3AA4-4D0E-86CB-BC389204E3FF}"/>
    <cellStyle name="Comma 6 3 2 2 2 2 4 2 2" xfId="29911" xr:uid="{1A65C5F5-6F50-4A86-8DFC-EF1DB6F5EEA9}"/>
    <cellStyle name="Comma 6 3 2 2 2 2 4 2 2 2" xfId="60151" xr:uid="{119671FC-86DD-486B-82C1-80402D3AAE0C}"/>
    <cellStyle name="Comma 6 3 2 2 2 2 4 2 3" xfId="45031" xr:uid="{71B87E73-01B7-4794-824D-68AF2A8E5149}"/>
    <cellStyle name="Comma 6 3 2 2 2 2 4 3" xfId="20839" xr:uid="{C4B369D1-E90B-44C3-8A13-D1DCC8A356CE}"/>
    <cellStyle name="Comma 6 3 2 2 2 2 4 3 2" xfId="51079" xr:uid="{577A80D5-A5DE-414A-96DF-C94D057359EE}"/>
    <cellStyle name="Comma 6 3 2 2 2 2 4 4" xfId="35959" xr:uid="{0CFFAED1-4242-498D-8413-F74BAE561EAC}"/>
    <cellStyle name="Comma 6 3 2 2 2 2 5" xfId="7231" xr:uid="{199639F4-07ED-47D4-94F8-CEEC475A5330}"/>
    <cellStyle name="Comma 6 3 2 2 2 2 5 2" xfId="22351" xr:uid="{873F4EE0-B71D-4EC9-A7C8-53ECD775322E}"/>
    <cellStyle name="Comma 6 3 2 2 2 2 5 2 2" xfId="52591" xr:uid="{FEC6E6E0-568D-49B7-AF56-BF5B2EC47425}"/>
    <cellStyle name="Comma 6 3 2 2 2 2 5 3" xfId="37471" xr:uid="{BAFB37C4-14D4-492C-A2CA-6F17AA6A1BD5}"/>
    <cellStyle name="Comma 6 3 2 2 2 2 6" xfId="8743" xr:uid="{61EA22C2-6C37-45ED-9054-C22CD0121291}"/>
    <cellStyle name="Comma 6 3 2 2 2 2 6 2" xfId="23863" xr:uid="{1097412A-3B47-48AA-BDB8-3F7B9758ADD5}"/>
    <cellStyle name="Comma 6 3 2 2 2 2 6 2 2" xfId="54103" xr:uid="{BA1D6FAC-44B9-48A6-A09C-3576E0236BB1}"/>
    <cellStyle name="Comma 6 3 2 2 2 2 6 3" xfId="38983" xr:uid="{B4F0E43B-2502-4080-849B-2D1E50E78104}"/>
    <cellStyle name="Comma 6 3 2 2 2 2 7" xfId="10255" xr:uid="{1B7DA313-615C-446A-A62B-152CBAD21CAC}"/>
    <cellStyle name="Comma 6 3 2 2 2 2 7 2" xfId="25375" xr:uid="{42D9D794-5BDA-4DB0-8CE6-7F57EF633C48}"/>
    <cellStyle name="Comma 6 3 2 2 2 2 7 2 2" xfId="55615" xr:uid="{8BFD3926-C94A-42D4-8E91-1DE6A9BC2CC7}"/>
    <cellStyle name="Comma 6 3 2 2 2 2 7 3" xfId="40495" xr:uid="{7E2030D5-D78A-4E87-B731-62D7B54346E5}"/>
    <cellStyle name="Comma 6 3 2 2 2 2 8" xfId="16303" xr:uid="{39C26556-7EE7-402A-A045-9E3F32D09A04}"/>
    <cellStyle name="Comma 6 3 2 2 2 2 8 2" xfId="46543" xr:uid="{2A92FD56-9486-41D6-8F86-AADD48ABC4B5}"/>
    <cellStyle name="Comma 6 3 2 2 2 2 9" xfId="31423" xr:uid="{84E245E8-03A3-4D2C-8329-D6C0BFB1649B}"/>
    <cellStyle name="Comma 6 3 2 2 2 3" xfId="1939" xr:uid="{2DB1714B-5E6F-4DF4-B609-E638ADD04963}"/>
    <cellStyle name="Comma 6 3 2 2 2 3 2" xfId="11011" xr:uid="{3AF3C78D-F130-4CB8-9ACE-0184E27CC3E8}"/>
    <cellStyle name="Comma 6 3 2 2 2 3 2 2" xfId="26131" xr:uid="{CEC0A7A6-3966-4EF6-809B-5B020082DB1D}"/>
    <cellStyle name="Comma 6 3 2 2 2 3 2 2 2" xfId="56371" xr:uid="{7C60A3E4-19EB-4987-874F-3EE0B5D61DDF}"/>
    <cellStyle name="Comma 6 3 2 2 2 3 2 3" xfId="41251" xr:uid="{1AF2B0FB-2DAD-44DE-8178-B773227B2938}"/>
    <cellStyle name="Comma 6 3 2 2 2 3 3" xfId="17059" xr:uid="{CA098384-0D8B-4F18-ADDC-7B1B5DD01471}"/>
    <cellStyle name="Comma 6 3 2 2 2 3 3 2" xfId="47299" xr:uid="{5BA20A2F-BD61-4001-B91C-D96F79F50653}"/>
    <cellStyle name="Comma 6 3 2 2 2 3 4" xfId="32179" xr:uid="{22FA86BE-E341-4A58-8FE4-44792186C8E3}"/>
    <cellStyle name="Comma 6 3 2 2 2 4" xfId="3451" xr:uid="{1AF0CF80-D0F6-4E32-8BC8-FDCFAD0ADC31}"/>
    <cellStyle name="Comma 6 3 2 2 2 4 2" xfId="12523" xr:uid="{8001847D-2C42-4D70-A235-61B8C9208DF1}"/>
    <cellStyle name="Comma 6 3 2 2 2 4 2 2" xfId="27643" xr:uid="{5FC8EFEB-56C9-4038-AD67-2CAB484EA608}"/>
    <cellStyle name="Comma 6 3 2 2 2 4 2 2 2" xfId="57883" xr:uid="{9C75F73A-E119-4B8B-A1B9-CC433947CFBE}"/>
    <cellStyle name="Comma 6 3 2 2 2 4 2 3" xfId="42763" xr:uid="{6D9AAF90-119A-43FE-B654-09F9CBD05FA7}"/>
    <cellStyle name="Comma 6 3 2 2 2 4 3" xfId="18571" xr:uid="{D95151BC-516C-4973-99F5-D108D6DCE75F}"/>
    <cellStyle name="Comma 6 3 2 2 2 4 3 2" xfId="48811" xr:uid="{30706BF9-6B97-4843-B38A-448CD794BD67}"/>
    <cellStyle name="Comma 6 3 2 2 2 4 4" xfId="33691" xr:uid="{D6534B67-6895-4CA5-A9EC-D9AE799D514F}"/>
    <cellStyle name="Comma 6 3 2 2 2 5" xfId="4963" xr:uid="{3C41343E-D369-49C9-A13F-297F0FFFBFD2}"/>
    <cellStyle name="Comma 6 3 2 2 2 5 2" xfId="14035" xr:uid="{B032C8D5-E6A3-4DF4-BFD1-7DC1B5261518}"/>
    <cellStyle name="Comma 6 3 2 2 2 5 2 2" xfId="29155" xr:uid="{15B50ECF-849E-4A8B-9D2C-BF7A972593CA}"/>
    <cellStyle name="Comma 6 3 2 2 2 5 2 2 2" xfId="59395" xr:uid="{649F943F-2A56-4A1D-A967-3C86F604D4C5}"/>
    <cellStyle name="Comma 6 3 2 2 2 5 2 3" xfId="44275" xr:uid="{57D75C1B-35C3-4A22-9C5B-A9A331680C7F}"/>
    <cellStyle name="Comma 6 3 2 2 2 5 3" xfId="20083" xr:uid="{8505D264-F485-4D72-8559-F115FC317C78}"/>
    <cellStyle name="Comma 6 3 2 2 2 5 3 2" xfId="50323" xr:uid="{97E27D66-BEEC-40BC-85EF-57A61AD54FD0}"/>
    <cellStyle name="Comma 6 3 2 2 2 5 4" xfId="35203" xr:uid="{3A70EC2E-FD94-40E2-9520-028044A10C5F}"/>
    <cellStyle name="Comma 6 3 2 2 2 6" xfId="6475" xr:uid="{AA722C11-5864-4A02-8B68-0D636E1E8590}"/>
    <cellStyle name="Comma 6 3 2 2 2 6 2" xfId="21595" xr:uid="{A192B785-7047-43DC-ACB3-B3DA5D0AFE86}"/>
    <cellStyle name="Comma 6 3 2 2 2 6 2 2" xfId="51835" xr:uid="{E072AA2B-18E1-44DA-AD6A-9A7393B92F92}"/>
    <cellStyle name="Comma 6 3 2 2 2 6 3" xfId="36715" xr:uid="{B0DDE6EF-C1C9-4005-B19C-D4D83E5EB88E}"/>
    <cellStyle name="Comma 6 3 2 2 2 7" xfId="7987" xr:uid="{25CD82E2-F38E-4C09-B34C-A0348781E1F0}"/>
    <cellStyle name="Comma 6 3 2 2 2 7 2" xfId="23107" xr:uid="{9F8F90A1-CF0E-496C-BFC9-8BF0A9E9F32E}"/>
    <cellStyle name="Comma 6 3 2 2 2 7 2 2" xfId="53347" xr:uid="{589ABBF8-3194-4454-9A25-3ADCC3BDC4F1}"/>
    <cellStyle name="Comma 6 3 2 2 2 7 3" xfId="38227" xr:uid="{A3429C9F-427D-4EB9-BDAD-376DD90D9B30}"/>
    <cellStyle name="Comma 6 3 2 2 2 8" xfId="9499" xr:uid="{5D982A9C-5B5E-4763-9012-C40A0265451C}"/>
    <cellStyle name="Comma 6 3 2 2 2 8 2" xfId="24619" xr:uid="{D14A5BE9-D075-4323-9B60-16B3442E1F8D}"/>
    <cellStyle name="Comma 6 3 2 2 2 8 2 2" xfId="54859" xr:uid="{B893C064-745C-43B3-8113-849DC4A27FF1}"/>
    <cellStyle name="Comma 6 3 2 2 2 8 3" xfId="39739" xr:uid="{10BF3BC4-4E5B-4F45-AC1C-907614BC1768}"/>
    <cellStyle name="Comma 6 3 2 2 2 9" xfId="15547" xr:uid="{6BC1EB05-69E6-4A00-9C33-BAACF577BEBC}"/>
    <cellStyle name="Comma 6 3 2 2 2 9 2" xfId="45787" xr:uid="{09D2A1B8-7896-4A8C-9538-635867227811}"/>
    <cellStyle name="Comma 6 3 2 2 3" xfId="679" xr:uid="{405782C9-689D-4A30-B088-2F15CA553990}"/>
    <cellStyle name="Comma 6 3 2 2 3 10" xfId="30919" xr:uid="{AC34A739-2780-45BA-BEDD-14D77B85EB78}"/>
    <cellStyle name="Comma 6 3 2 2 3 2" xfId="1435" xr:uid="{CB77B53B-631C-4B5B-899F-31167BD53067}"/>
    <cellStyle name="Comma 6 3 2 2 3 2 2" xfId="2947" xr:uid="{4BBB0E0F-AC9B-41CF-922B-9E74A5D7823E}"/>
    <cellStyle name="Comma 6 3 2 2 3 2 2 2" xfId="12019" xr:uid="{C77AB59A-7621-447B-9E5D-E7EDB51D5F66}"/>
    <cellStyle name="Comma 6 3 2 2 3 2 2 2 2" xfId="27139" xr:uid="{20B82605-78B9-4934-BAC6-8F3214B81CBE}"/>
    <cellStyle name="Comma 6 3 2 2 3 2 2 2 2 2" xfId="57379" xr:uid="{A6DB7937-0485-4DFB-B823-900E79DBA39E}"/>
    <cellStyle name="Comma 6 3 2 2 3 2 2 2 3" xfId="42259" xr:uid="{12F5C3B1-3BDF-43D8-A63F-15CB474786A4}"/>
    <cellStyle name="Comma 6 3 2 2 3 2 2 3" xfId="18067" xr:uid="{9F91EA45-9BD9-4571-BFE5-6E6827CA525E}"/>
    <cellStyle name="Comma 6 3 2 2 3 2 2 3 2" xfId="48307" xr:uid="{A7918B60-636D-4C60-A114-9AE920B77697}"/>
    <cellStyle name="Comma 6 3 2 2 3 2 2 4" xfId="33187" xr:uid="{D527EC1D-EB56-4367-88AA-7B59B3F678EE}"/>
    <cellStyle name="Comma 6 3 2 2 3 2 3" xfId="4459" xr:uid="{5C4FD4DD-4533-4510-84B3-39B34123B07E}"/>
    <cellStyle name="Comma 6 3 2 2 3 2 3 2" xfId="13531" xr:uid="{7A79F747-F80B-4F88-9BC2-64E8F3F7DEA8}"/>
    <cellStyle name="Comma 6 3 2 2 3 2 3 2 2" xfId="28651" xr:uid="{078AD9DD-41BE-47DA-9786-A129F99D7B04}"/>
    <cellStyle name="Comma 6 3 2 2 3 2 3 2 2 2" xfId="58891" xr:uid="{1F98DD5E-D829-4E6F-8418-BA00CA83F0A3}"/>
    <cellStyle name="Comma 6 3 2 2 3 2 3 2 3" xfId="43771" xr:uid="{315DEC12-82EE-45D6-BDE5-4F20F52FAA62}"/>
    <cellStyle name="Comma 6 3 2 2 3 2 3 3" xfId="19579" xr:uid="{D58C1E91-B1D9-49AD-940F-D0611851F3DB}"/>
    <cellStyle name="Comma 6 3 2 2 3 2 3 3 2" xfId="49819" xr:uid="{E42DEB7B-586A-4E43-B263-760C2FD3C0C6}"/>
    <cellStyle name="Comma 6 3 2 2 3 2 3 4" xfId="34699" xr:uid="{C17B4E3C-24B6-41CD-9E21-A96E534AC660}"/>
    <cellStyle name="Comma 6 3 2 2 3 2 4" xfId="5971" xr:uid="{7DAA88EA-2591-4EEE-8430-832CFD21BCCD}"/>
    <cellStyle name="Comma 6 3 2 2 3 2 4 2" xfId="15043" xr:uid="{DF260CC3-C32D-4580-A5D6-5C3C91C8BE95}"/>
    <cellStyle name="Comma 6 3 2 2 3 2 4 2 2" xfId="30163" xr:uid="{871278EB-4E31-4492-82A8-CF29C4784A6E}"/>
    <cellStyle name="Comma 6 3 2 2 3 2 4 2 2 2" xfId="60403" xr:uid="{6D6E391C-E430-49E2-A950-F0CE1153CC48}"/>
    <cellStyle name="Comma 6 3 2 2 3 2 4 2 3" xfId="45283" xr:uid="{F63615B2-BFE1-4B5E-AAB4-FB42DA4CB2D3}"/>
    <cellStyle name="Comma 6 3 2 2 3 2 4 3" xfId="21091" xr:uid="{19C17B3F-CDB9-4E66-84A0-408ABD1BFF5A}"/>
    <cellStyle name="Comma 6 3 2 2 3 2 4 3 2" xfId="51331" xr:uid="{D452B838-C0DC-4D62-B8FF-3145B8DEF31E}"/>
    <cellStyle name="Comma 6 3 2 2 3 2 4 4" xfId="36211" xr:uid="{81646A89-02C3-43E9-907C-348FDFE1D826}"/>
    <cellStyle name="Comma 6 3 2 2 3 2 5" xfId="7483" xr:uid="{974F0E30-5760-45D7-8135-DEC7CF2EA052}"/>
    <cellStyle name="Comma 6 3 2 2 3 2 5 2" xfId="22603" xr:uid="{98F1099F-03B3-4062-AABF-5C386D458F52}"/>
    <cellStyle name="Comma 6 3 2 2 3 2 5 2 2" xfId="52843" xr:uid="{79249651-CDF0-46CE-B842-2FCA463A7572}"/>
    <cellStyle name="Comma 6 3 2 2 3 2 5 3" xfId="37723" xr:uid="{723A06CA-5D07-44B8-BF36-8538341D565B}"/>
    <cellStyle name="Comma 6 3 2 2 3 2 6" xfId="8995" xr:uid="{EA88B6E3-A40B-4086-8AA2-8151CC5AC802}"/>
    <cellStyle name="Comma 6 3 2 2 3 2 6 2" xfId="24115" xr:uid="{90CF78C1-9EBA-4CF5-B9A2-57A754193BE3}"/>
    <cellStyle name="Comma 6 3 2 2 3 2 6 2 2" xfId="54355" xr:uid="{DFBDD5EA-9E8C-463A-B3A7-426821047C7D}"/>
    <cellStyle name="Comma 6 3 2 2 3 2 6 3" xfId="39235" xr:uid="{E8E03C7F-BEF9-45F1-AEE3-E3611D1DD126}"/>
    <cellStyle name="Comma 6 3 2 2 3 2 7" xfId="10507" xr:uid="{7024DE52-C869-4D38-91D3-30787E084A6D}"/>
    <cellStyle name="Comma 6 3 2 2 3 2 7 2" xfId="25627" xr:uid="{DF0CE091-36A8-499A-A83D-F6C4CB50AEA4}"/>
    <cellStyle name="Comma 6 3 2 2 3 2 7 2 2" xfId="55867" xr:uid="{09B8C16F-3496-4BA6-9207-27F1B3FE076F}"/>
    <cellStyle name="Comma 6 3 2 2 3 2 7 3" xfId="40747" xr:uid="{71BF29C8-EBC2-4D5D-8E99-30B88E499191}"/>
    <cellStyle name="Comma 6 3 2 2 3 2 8" xfId="16555" xr:uid="{8B684661-1C76-4703-96E3-521F74E0B98D}"/>
    <cellStyle name="Comma 6 3 2 2 3 2 8 2" xfId="46795" xr:uid="{58F381B7-4B82-4B48-A2FE-5292C80B6391}"/>
    <cellStyle name="Comma 6 3 2 2 3 2 9" xfId="31675" xr:uid="{8AA6A443-7481-47F9-9A30-4FF27017E600}"/>
    <cellStyle name="Comma 6 3 2 2 3 3" xfId="2191" xr:uid="{DF18551A-0AB0-436E-9764-CB6D64F75218}"/>
    <cellStyle name="Comma 6 3 2 2 3 3 2" xfId="11263" xr:uid="{92D94A95-9E9A-4406-8FD9-609B6245009A}"/>
    <cellStyle name="Comma 6 3 2 2 3 3 2 2" xfId="26383" xr:uid="{CF129562-2BFE-4008-B3E1-496993BF7DDC}"/>
    <cellStyle name="Comma 6 3 2 2 3 3 2 2 2" xfId="56623" xr:uid="{015A4642-E958-4C41-9A89-72154DAE0A1E}"/>
    <cellStyle name="Comma 6 3 2 2 3 3 2 3" xfId="41503" xr:uid="{DA8D0C17-DAB3-4181-8809-5368EAFF4D3D}"/>
    <cellStyle name="Comma 6 3 2 2 3 3 3" xfId="17311" xr:uid="{A136B744-8860-4869-8F71-0BF22487BC2D}"/>
    <cellStyle name="Comma 6 3 2 2 3 3 3 2" xfId="47551" xr:uid="{6D5D0717-52C0-4EB4-9CE7-0C9F92969382}"/>
    <cellStyle name="Comma 6 3 2 2 3 3 4" xfId="32431" xr:uid="{818854D2-8BA5-41D5-94AB-2D234E0424C9}"/>
    <cellStyle name="Comma 6 3 2 2 3 4" xfId="3703" xr:uid="{8EAEDC99-4269-4C59-9054-F7F5691D7232}"/>
    <cellStyle name="Comma 6 3 2 2 3 4 2" xfId="12775" xr:uid="{6974D724-5744-4588-964C-B58F1D3E6E9E}"/>
    <cellStyle name="Comma 6 3 2 2 3 4 2 2" xfId="27895" xr:uid="{6B3A693E-3B31-4B4C-BAE6-E8C0445D12EE}"/>
    <cellStyle name="Comma 6 3 2 2 3 4 2 2 2" xfId="58135" xr:uid="{92903FFD-19EC-4A9F-AE19-1366B5B86C09}"/>
    <cellStyle name="Comma 6 3 2 2 3 4 2 3" xfId="43015" xr:uid="{78627F65-49C9-44D7-898F-BCC4275A90C2}"/>
    <cellStyle name="Comma 6 3 2 2 3 4 3" xfId="18823" xr:uid="{A896112D-4C8E-4A5D-A1F2-BDCE32E2C870}"/>
    <cellStyle name="Comma 6 3 2 2 3 4 3 2" xfId="49063" xr:uid="{E72F872D-6D17-4B36-B215-507575A3C61A}"/>
    <cellStyle name="Comma 6 3 2 2 3 4 4" xfId="33943" xr:uid="{9B75E719-0E75-4E94-9F2A-A24D59EEFF8F}"/>
    <cellStyle name="Comma 6 3 2 2 3 5" xfId="5215" xr:uid="{192B8A2A-C947-4C0D-9944-BF53B119BA01}"/>
    <cellStyle name="Comma 6 3 2 2 3 5 2" xfId="14287" xr:uid="{F8902E11-87E1-4FF7-B613-0F5D30783CB2}"/>
    <cellStyle name="Comma 6 3 2 2 3 5 2 2" xfId="29407" xr:uid="{0E74D31B-5CF8-4CC7-BA64-E08849A1E9BF}"/>
    <cellStyle name="Comma 6 3 2 2 3 5 2 2 2" xfId="59647" xr:uid="{D296CD97-A34C-49F1-86DD-E7D80563599C}"/>
    <cellStyle name="Comma 6 3 2 2 3 5 2 3" xfId="44527" xr:uid="{F92BFF74-EE7B-4A80-895C-69E4C6FA2A4C}"/>
    <cellStyle name="Comma 6 3 2 2 3 5 3" xfId="20335" xr:uid="{95CCFF10-07EE-459B-BA17-FE0EFA17C898}"/>
    <cellStyle name="Comma 6 3 2 2 3 5 3 2" xfId="50575" xr:uid="{5F5C5AFF-76DE-47FC-99CC-C68B3BCCB62A}"/>
    <cellStyle name="Comma 6 3 2 2 3 5 4" xfId="35455" xr:uid="{539CCB59-36E1-4540-8A78-231162BAAA3B}"/>
    <cellStyle name="Comma 6 3 2 2 3 6" xfId="6727" xr:uid="{4190C79C-824F-4762-ACE5-3CEC6B50C365}"/>
    <cellStyle name="Comma 6 3 2 2 3 6 2" xfId="21847" xr:uid="{50ABA232-0481-489B-9990-7B5B707CDDE2}"/>
    <cellStyle name="Comma 6 3 2 2 3 6 2 2" xfId="52087" xr:uid="{39F96D30-E9A5-4396-906D-EE8F9D9993E0}"/>
    <cellStyle name="Comma 6 3 2 2 3 6 3" xfId="36967" xr:uid="{7E6B77AA-3396-4CEE-AC16-25A87EE46A33}"/>
    <cellStyle name="Comma 6 3 2 2 3 7" xfId="8239" xr:uid="{ECF1A991-6AAE-4805-9770-DE0FAF0EB355}"/>
    <cellStyle name="Comma 6 3 2 2 3 7 2" xfId="23359" xr:uid="{DB0A1F39-FDC8-493D-A8E5-4FB8C129D225}"/>
    <cellStyle name="Comma 6 3 2 2 3 7 2 2" xfId="53599" xr:uid="{B5362394-08E9-4A05-B09A-EFBDC3434133}"/>
    <cellStyle name="Comma 6 3 2 2 3 7 3" xfId="38479" xr:uid="{5EBA5A5E-F506-48A7-BCE4-109C543DF6D2}"/>
    <cellStyle name="Comma 6 3 2 2 3 8" xfId="9751" xr:uid="{C384B649-9D0A-46E9-B520-4258FE6331C1}"/>
    <cellStyle name="Comma 6 3 2 2 3 8 2" xfId="24871" xr:uid="{A761220D-98B1-4E80-BD9F-E78127E09F90}"/>
    <cellStyle name="Comma 6 3 2 2 3 8 2 2" xfId="55111" xr:uid="{0DC45D3B-E8B2-4208-A922-3BE0F96DAFD8}"/>
    <cellStyle name="Comma 6 3 2 2 3 8 3" xfId="39991" xr:uid="{B9BCFC8B-7DA3-4002-8243-759689ED7A3C}"/>
    <cellStyle name="Comma 6 3 2 2 3 9" xfId="15799" xr:uid="{DBFEFE8B-7EF5-4094-A29A-02C0A3A7E292}"/>
    <cellStyle name="Comma 6 3 2 2 3 9 2" xfId="46039" xr:uid="{F1282810-B40A-4CA9-A266-A011208056E9}"/>
    <cellStyle name="Comma 6 3 2 2 4" xfId="931" xr:uid="{C40FFF9F-228D-4DBB-A52A-726E774D61F8}"/>
    <cellStyle name="Comma 6 3 2 2 4 2" xfId="2443" xr:uid="{F3354FD6-DB53-4357-A1B2-D64BBFFD9662}"/>
    <cellStyle name="Comma 6 3 2 2 4 2 2" xfId="11515" xr:uid="{E76468FD-6265-49CF-8360-45EDCC23FBF2}"/>
    <cellStyle name="Comma 6 3 2 2 4 2 2 2" xfId="26635" xr:uid="{32D7102B-7B82-4506-8E5C-C3BD2A21095D}"/>
    <cellStyle name="Comma 6 3 2 2 4 2 2 2 2" xfId="56875" xr:uid="{9BB82C64-A2D5-43AC-B228-DF12033E02D8}"/>
    <cellStyle name="Comma 6 3 2 2 4 2 2 3" xfId="41755" xr:uid="{E4AD6639-D472-41E3-92A7-6E759EBD2D89}"/>
    <cellStyle name="Comma 6 3 2 2 4 2 3" xfId="17563" xr:uid="{808336EF-008F-438D-85D0-559CC3794CC6}"/>
    <cellStyle name="Comma 6 3 2 2 4 2 3 2" xfId="47803" xr:uid="{8DDA906F-34EC-4F3D-A110-40B119F70199}"/>
    <cellStyle name="Comma 6 3 2 2 4 2 4" xfId="32683" xr:uid="{07F4CAEE-4026-4741-B84F-07A2FA1E6A66}"/>
    <cellStyle name="Comma 6 3 2 2 4 3" xfId="3955" xr:uid="{88A397CC-5BA2-4240-AA52-CA1E04A0B465}"/>
    <cellStyle name="Comma 6 3 2 2 4 3 2" xfId="13027" xr:uid="{200E508C-B1C4-4570-93DF-8E44DDCE4673}"/>
    <cellStyle name="Comma 6 3 2 2 4 3 2 2" xfId="28147" xr:uid="{519FFD5C-46D9-45B2-8827-7740B5C468CB}"/>
    <cellStyle name="Comma 6 3 2 2 4 3 2 2 2" xfId="58387" xr:uid="{3CC42170-6DB5-478E-8242-891CA6426A82}"/>
    <cellStyle name="Comma 6 3 2 2 4 3 2 3" xfId="43267" xr:uid="{07DBB531-1975-4E89-89AE-23EF1330958F}"/>
    <cellStyle name="Comma 6 3 2 2 4 3 3" xfId="19075" xr:uid="{BCBA171B-1BA3-4025-9019-8510636A6F08}"/>
    <cellStyle name="Comma 6 3 2 2 4 3 3 2" xfId="49315" xr:uid="{AFA7F662-CEC2-4840-9E5F-8AFC839458BC}"/>
    <cellStyle name="Comma 6 3 2 2 4 3 4" xfId="34195" xr:uid="{E95B085F-3EC3-46F9-B564-6F3B9B206FF4}"/>
    <cellStyle name="Comma 6 3 2 2 4 4" xfId="5467" xr:uid="{77501683-B0B2-49E8-B9B6-925AF14CAEA6}"/>
    <cellStyle name="Comma 6 3 2 2 4 4 2" xfId="14539" xr:uid="{0CFA2ADC-09A5-469E-9262-21C04CBEFA45}"/>
    <cellStyle name="Comma 6 3 2 2 4 4 2 2" xfId="29659" xr:uid="{57C78675-B1E1-4300-B619-B2030C6C107E}"/>
    <cellStyle name="Comma 6 3 2 2 4 4 2 2 2" xfId="59899" xr:uid="{EF92E5E0-F402-4039-96BC-452F7B953DC6}"/>
    <cellStyle name="Comma 6 3 2 2 4 4 2 3" xfId="44779" xr:uid="{6EA03700-A93A-44A1-ABBC-6711274DAEE0}"/>
    <cellStyle name="Comma 6 3 2 2 4 4 3" xfId="20587" xr:uid="{540D6F1D-B5AA-4122-852B-741643AC5E9D}"/>
    <cellStyle name="Comma 6 3 2 2 4 4 3 2" xfId="50827" xr:uid="{C2F95413-2DAF-4A95-86EB-991392B43DC6}"/>
    <cellStyle name="Comma 6 3 2 2 4 4 4" xfId="35707" xr:uid="{5C2893B4-352A-4472-ABA7-E6006A621750}"/>
    <cellStyle name="Comma 6 3 2 2 4 5" xfId="6979" xr:uid="{DA182AF3-F2FB-4620-85F0-57661649379E}"/>
    <cellStyle name="Comma 6 3 2 2 4 5 2" xfId="22099" xr:uid="{FBCDF351-2E4E-460B-B12A-501CEA256BA4}"/>
    <cellStyle name="Comma 6 3 2 2 4 5 2 2" xfId="52339" xr:uid="{C27776A4-A1F0-4C8A-A5AC-FACC2CBE175A}"/>
    <cellStyle name="Comma 6 3 2 2 4 5 3" xfId="37219" xr:uid="{CE6EFA96-F480-479E-A1B3-042974038169}"/>
    <cellStyle name="Comma 6 3 2 2 4 6" xfId="8491" xr:uid="{C0DE1534-66BD-4DEC-8BA3-6ED0D76CEC31}"/>
    <cellStyle name="Comma 6 3 2 2 4 6 2" xfId="23611" xr:uid="{6DC305C5-19E2-407E-982C-87E108FFF17D}"/>
    <cellStyle name="Comma 6 3 2 2 4 6 2 2" xfId="53851" xr:uid="{B48E45A2-0B5F-41F8-A011-34AE307BE576}"/>
    <cellStyle name="Comma 6 3 2 2 4 6 3" xfId="38731" xr:uid="{D6F29499-C658-4E69-8B1A-DA2E19692D37}"/>
    <cellStyle name="Comma 6 3 2 2 4 7" xfId="10003" xr:uid="{FEE9A76D-1FC6-4EE7-99C9-BAED0CBB1DA6}"/>
    <cellStyle name="Comma 6 3 2 2 4 7 2" xfId="25123" xr:uid="{E1B9D476-D2E5-47C3-A09D-A431F07AAE42}"/>
    <cellStyle name="Comma 6 3 2 2 4 7 2 2" xfId="55363" xr:uid="{BC068FC7-6747-40F4-90A0-7B8E59209EF9}"/>
    <cellStyle name="Comma 6 3 2 2 4 7 3" xfId="40243" xr:uid="{3EABC7AF-9C9B-41FF-8735-1E794F97F9F8}"/>
    <cellStyle name="Comma 6 3 2 2 4 8" xfId="16051" xr:uid="{CBABBDF8-DECF-4C67-B80C-7C5166EA4EC5}"/>
    <cellStyle name="Comma 6 3 2 2 4 8 2" xfId="46291" xr:uid="{E42C1B10-7687-4F6D-93BB-DD92DD699D57}"/>
    <cellStyle name="Comma 6 3 2 2 4 9" xfId="31171" xr:uid="{E864FD68-1914-4F9E-A7F2-DA716C37FC9C}"/>
    <cellStyle name="Comma 6 3 2 2 5" xfId="1687" xr:uid="{F15CCDE4-8FA9-4128-AD20-7DE946A97EB9}"/>
    <cellStyle name="Comma 6 3 2 2 5 2" xfId="10759" xr:uid="{667E88B0-E502-4996-98D3-A4D50A6CEB0E}"/>
    <cellStyle name="Comma 6 3 2 2 5 2 2" xfId="25879" xr:uid="{CA61F037-872C-4479-B5B8-C36776BF1844}"/>
    <cellStyle name="Comma 6 3 2 2 5 2 2 2" xfId="56119" xr:uid="{10BD15C8-B8D8-45D7-B3C3-8D55809C12FB}"/>
    <cellStyle name="Comma 6 3 2 2 5 2 3" xfId="40999" xr:uid="{7FD7B280-1437-40FD-B96A-188B56A556E0}"/>
    <cellStyle name="Comma 6 3 2 2 5 3" xfId="16807" xr:uid="{7103D022-A571-48D5-B7B2-9BAD38E1A6AE}"/>
    <cellStyle name="Comma 6 3 2 2 5 3 2" xfId="47047" xr:uid="{2DE2B1B9-D2A0-4B77-84F7-923A431DC5F0}"/>
    <cellStyle name="Comma 6 3 2 2 5 4" xfId="31927" xr:uid="{1A16952B-5DBF-4280-B333-D4C3F5DE3F52}"/>
    <cellStyle name="Comma 6 3 2 2 6" xfId="3199" xr:uid="{5BBAF572-7C49-4769-8D97-A3F602391115}"/>
    <cellStyle name="Comma 6 3 2 2 6 2" xfId="12271" xr:uid="{824B4EFA-8A96-43B4-9589-5BA4B3BFD3AC}"/>
    <cellStyle name="Comma 6 3 2 2 6 2 2" xfId="27391" xr:uid="{EB989E44-EE1E-4D1F-9484-693F1F5F9028}"/>
    <cellStyle name="Comma 6 3 2 2 6 2 2 2" xfId="57631" xr:uid="{84C9C4E2-CF99-4C37-976F-671ADED2F2C7}"/>
    <cellStyle name="Comma 6 3 2 2 6 2 3" xfId="42511" xr:uid="{FF77A3CC-7EA9-4A54-A51F-9E5B32C508D2}"/>
    <cellStyle name="Comma 6 3 2 2 6 3" xfId="18319" xr:uid="{27749DAC-E996-4A94-8E07-4BBB931151D5}"/>
    <cellStyle name="Comma 6 3 2 2 6 3 2" xfId="48559" xr:uid="{E53C4C27-DC60-4D05-8F64-964107A07EFD}"/>
    <cellStyle name="Comma 6 3 2 2 6 4" xfId="33439" xr:uid="{4DF0ED26-B245-4389-B7CD-061BFBFE0863}"/>
    <cellStyle name="Comma 6 3 2 2 7" xfId="4711" xr:uid="{176B2FD2-8B67-4ADD-AE76-D919744DA281}"/>
    <cellStyle name="Comma 6 3 2 2 7 2" xfId="13783" xr:uid="{2C200F09-7234-400C-8B5B-47640E3C7454}"/>
    <cellStyle name="Comma 6 3 2 2 7 2 2" xfId="28903" xr:uid="{C003986C-0373-4D1C-BEB6-5E13F07B8939}"/>
    <cellStyle name="Comma 6 3 2 2 7 2 2 2" xfId="59143" xr:uid="{3F05E4A3-0CFA-4791-9850-FB88C441EBC9}"/>
    <cellStyle name="Comma 6 3 2 2 7 2 3" xfId="44023" xr:uid="{773B48FC-DBA1-4169-B3F3-C3A3935A9BF9}"/>
    <cellStyle name="Comma 6 3 2 2 7 3" xfId="19831" xr:uid="{A9EDEB28-2FB8-425D-B57E-34CC1699E9EB}"/>
    <cellStyle name="Comma 6 3 2 2 7 3 2" xfId="50071" xr:uid="{346E7357-CBAB-42B5-9729-991A33D16099}"/>
    <cellStyle name="Comma 6 3 2 2 7 4" xfId="34951" xr:uid="{7EA75996-E838-47DC-9E5F-AB5592AE093E}"/>
    <cellStyle name="Comma 6 3 2 2 8" xfId="6223" xr:uid="{33B873D8-912F-4388-B761-495AAD789483}"/>
    <cellStyle name="Comma 6 3 2 2 8 2" xfId="21343" xr:uid="{B1F469B4-2282-4AB4-BA94-3272F844CFCE}"/>
    <cellStyle name="Comma 6 3 2 2 8 2 2" xfId="51583" xr:uid="{28F6F356-6D5D-4B83-8912-AD4947840F63}"/>
    <cellStyle name="Comma 6 3 2 2 8 3" xfId="36463" xr:uid="{0941A441-22AD-4DA4-93D2-A597C5505A1F}"/>
    <cellStyle name="Comma 6 3 2 2 9" xfId="7735" xr:uid="{E66D7704-6790-4B12-A33C-C57505647130}"/>
    <cellStyle name="Comma 6 3 2 2 9 2" xfId="22855" xr:uid="{1B1C2C0E-5F34-40F1-9CF2-5FA1F6D57D6D}"/>
    <cellStyle name="Comma 6 3 2 2 9 2 2" xfId="53095" xr:uid="{8B8FE4D0-ACCE-47D9-854B-A67B2D2252C6}"/>
    <cellStyle name="Comma 6 3 2 2 9 3" xfId="37975" xr:uid="{28AFCCFB-90D4-4F24-BDE7-553B4541697A}"/>
    <cellStyle name="Comma 6 3 2 3" xfId="259" xr:uid="{112409E4-C687-432D-A2CD-63C4B685E2BD}"/>
    <cellStyle name="Comma 6 3 2 3 10" xfId="9331" xr:uid="{5129D1DC-96F8-4734-A698-6B44E0C3CDD5}"/>
    <cellStyle name="Comma 6 3 2 3 10 2" xfId="24451" xr:uid="{681CD82D-8064-4115-B32E-6F6A0769A274}"/>
    <cellStyle name="Comma 6 3 2 3 10 2 2" xfId="54691" xr:uid="{F0FBFD23-2201-4C4C-ACEA-CB872A7C8E0F}"/>
    <cellStyle name="Comma 6 3 2 3 10 3" xfId="39571" xr:uid="{EE118C5B-8011-47C3-9360-5128D597BEB8}"/>
    <cellStyle name="Comma 6 3 2 3 11" xfId="15379" xr:uid="{3C3767D8-BF7C-46DC-8D52-2C7D0A94AE3C}"/>
    <cellStyle name="Comma 6 3 2 3 11 2" xfId="45619" xr:uid="{5E81DC8C-A540-4E6C-B44C-86635F3614C8}"/>
    <cellStyle name="Comma 6 3 2 3 12" xfId="30499" xr:uid="{A6F7858A-C1DD-4E87-AF34-0EC634E3EE96}"/>
    <cellStyle name="Comma 6 3 2 3 2" xfId="511" xr:uid="{9CF70B85-1159-41D7-8275-9308BA48D86C}"/>
    <cellStyle name="Comma 6 3 2 3 2 10" xfId="30751" xr:uid="{D8166594-6A01-44FF-8180-B35BC6BC13DB}"/>
    <cellStyle name="Comma 6 3 2 3 2 2" xfId="1267" xr:uid="{AA8D38D2-C7F0-4706-A1AB-838F04C71191}"/>
    <cellStyle name="Comma 6 3 2 3 2 2 2" xfId="2779" xr:uid="{C0D7C352-04D5-4C3A-91BF-FF21E245AEB9}"/>
    <cellStyle name="Comma 6 3 2 3 2 2 2 2" xfId="11851" xr:uid="{F1B77F45-F0FA-4F06-AF33-7A6D39A7BF5A}"/>
    <cellStyle name="Comma 6 3 2 3 2 2 2 2 2" xfId="26971" xr:uid="{2183D78D-C8BC-40CF-8DCA-CA30990924C2}"/>
    <cellStyle name="Comma 6 3 2 3 2 2 2 2 2 2" xfId="57211" xr:uid="{474C2BE3-84B9-476D-8D72-671F1CEBBAF7}"/>
    <cellStyle name="Comma 6 3 2 3 2 2 2 2 3" xfId="42091" xr:uid="{61BDC83B-DACF-43BA-8DE5-E403242E1409}"/>
    <cellStyle name="Comma 6 3 2 3 2 2 2 3" xfId="17899" xr:uid="{28C548A7-F20B-4D71-8E83-9BA848CE1950}"/>
    <cellStyle name="Comma 6 3 2 3 2 2 2 3 2" xfId="48139" xr:uid="{6121DDB2-8ACD-4702-92C5-689615A4D15E}"/>
    <cellStyle name="Comma 6 3 2 3 2 2 2 4" xfId="33019" xr:uid="{96E8ABD1-8D9C-4C04-960D-846F97B0E3A5}"/>
    <cellStyle name="Comma 6 3 2 3 2 2 3" xfId="4291" xr:uid="{EF642B87-0FA7-4FB8-B1A5-F0AF9C087098}"/>
    <cellStyle name="Comma 6 3 2 3 2 2 3 2" xfId="13363" xr:uid="{40FFA63A-1297-4C25-B1DE-A46C5B927CF8}"/>
    <cellStyle name="Comma 6 3 2 3 2 2 3 2 2" xfId="28483" xr:uid="{D189F598-BEC6-4264-BB6F-5EB6D928BC35}"/>
    <cellStyle name="Comma 6 3 2 3 2 2 3 2 2 2" xfId="58723" xr:uid="{BB94EF45-571F-442D-9131-4E308632BF02}"/>
    <cellStyle name="Comma 6 3 2 3 2 2 3 2 3" xfId="43603" xr:uid="{F0EAFCC4-4137-4AE7-8246-44799408345B}"/>
    <cellStyle name="Comma 6 3 2 3 2 2 3 3" xfId="19411" xr:uid="{B5C85F9A-5E05-472A-9420-997AE7F14030}"/>
    <cellStyle name="Comma 6 3 2 3 2 2 3 3 2" xfId="49651" xr:uid="{329AB984-96DE-4EE7-97E6-045E7A57D998}"/>
    <cellStyle name="Comma 6 3 2 3 2 2 3 4" xfId="34531" xr:uid="{F71C01B3-8345-427D-AE04-63E3ABEA7695}"/>
    <cellStyle name="Comma 6 3 2 3 2 2 4" xfId="5803" xr:uid="{9519A2B7-69BC-4AC4-B7C7-2E27D71ADFB2}"/>
    <cellStyle name="Comma 6 3 2 3 2 2 4 2" xfId="14875" xr:uid="{C9F3A16E-5D85-416B-95DB-1DD80E639D90}"/>
    <cellStyle name="Comma 6 3 2 3 2 2 4 2 2" xfId="29995" xr:uid="{1C07D212-EDC7-40B1-9FED-342594D1A453}"/>
    <cellStyle name="Comma 6 3 2 3 2 2 4 2 2 2" xfId="60235" xr:uid="{13F60E4D-C5DF-416D-9506-2CCC325EC1EE}"/>
    <cellStyle name="Comma 6 3 2 3 2 2 4 2 3" xfId="45115" xr:uid="{E50EAE95-B61A-4D6C-A335-80622BE8EF25}"/>
    <cellStyle name="Comma 6 3 2 3 2 2 4 3" xfId="20923" xr:uid="{F355E45E-2BBB-476A-992D-FB6F2445FBC1}"/>
    <cellStyle name="Comma 6 3 2 3 2 2 4 3 2" xfId="51163" xr:uid="{4C1D1ADD-4246-458D-809C-783A7D0D434D}"/>
    <cellStyle name="Comma 6 3 2 3 2 2 4 4" xfId="36043" xr:uid="{E552400B-D311-4882-B130-9A1C89DC4199}"/>
    <cellStyle name="Comma 6 3 2 3 2 2 5" xfId="7315" xr:uid="{E6C71CA1-95B3-4209-8335-163668245BFF}"/>
    <cellStyle name="Comma 6 3 2 3 2 2 5 2" xfId="22435" xr:uid="{76A959FD-74D6-4B3F-8A64-1C4BB7107BF5}"/>
    <cellStyle name="Comma 6 3 2 3 2 2 5 2 2" xfId="52675" xr:uid="{3088EF42-7937-485D-B1F9-31AB36A0A1CD}"/>
    <cellStyle name="Comma 6 3 2 3 2 2 5 3" xfId="37555" xr:uid="{FF15CB1A-1CA8-4BC8-A323-0D1C270E6619}"/>
    <cellStyle name="Comma 6 3 2 3 2 2 6" xfId="8827" xr:uid="{7DE8ED39-D38A-4563-8808-A6359207C1F1}"/>
    <cellStyle name="Comma 6 3 2 3 2 2 6 2" xfId="23947" xr:uid="{3E6723D0-E06C-4300-A116-88FCD6CB5043}"/>
    <cellStyle name="Comma 6 3 2 3 2 2 6 2 2" xfId="54187" xr:uid="{21B42837-6E09-4E24-95FD-CE36B69881F5}"/>
    <cellStyle name="Comma 6 3 2 3 2 2 6 3" xfId="39067" xr:uid="{8221952F-6F48-49E8-89A4-97D6D0543BF3}"/>
    <cellStyle name="Comma 6 3 2 3 2 2 7" xfId="10339" xr:uid="{AB39BAD0-0577-4E10-A69E-1409F2CBD327}"/>
    <cellStyle name="Comma 6 3 2 3 2 2 7 2" xfId="25459" xr:uid="{12FD8C44-0141-4162-99DE-6BD0D2228AEF}"/>
    <cellStyle name="Comma 6 3 2 3 2 2 7 2 2" xfId="55699" xr:uid="{25098139-DB3F-4B21-B503-B766F808CA72}"/>
    <cellStyle name="Comma 6 3 2 3 2 2 7 3" xfId="40579" xr:uid="{88F15182-EB8F-4A63-A09D-2A831DA46173}"/>
    <cellStyle name="Comma 6 3 2 3 2 2 8" xfId="16387" xr:uid="{74A4652A-C0F4-452F-A149-D19DD42101C1}"/>
    <cellStyle name="Comma 6 3 2 3 2 2 8 2" xfId="46627" xr:uid="{ADF3C6B7-7EA4-4731-9EB0-1294384C5FCE}"/>
    <cellStyle name="Comma 6 3 2 3 2 2 9" xfId="31507" xr:uid="{9AACAE84-558A-4CB3-A9D2-FE50231EE400}"/>
    <cellStyle name="Comma 6 3 2 3 2 3" xfId="2023" xr:uid="{E5E44E76-0523-4C18-817F-E72A14BC7DCF}"/>
    <cellStyle name="Comma 6 3 2 3 2 3 2" xfId="11095" xr:uid="{CEFB3CEC-07D2-4D2A-A59E-3EAE3754C40C}"/>
    <cellStyle name="Comma 6 3 2 3 2 3 2 2" xfId="26215" xr:uid="{220180AF-4115-4C19-B034-1734FD0A6A28}"/>
    <cellStyle name="Comma 6 3 2 3 2 3 2 2 2" xfId="56455" xr:uid="{7249FD0B-E795-4F7E-AD84-BE48277EFF3A}"/>
    <cellStyle name="Comma 6 3 2 3 2 3 2 3" xfId="41335" xr:uid="{101232F4-0712-4DC3-AEAF-F4695C47BAA8}"/>
    <cellStyle name="Comma 6 3 2 3 2 3 3" xfId="17143" xr:uid="{464F8C01-AEA4-4F4C-8FD2-630A981462F5}"/>
    <cellStyle name="Comma 6 3 2 3 2 3 3 2" xfId="47383" xr:uid="{52F8EE00-D1B5-4C39-B9B1-3D64C54D33DC}"/>
    <cellStyle name="Comma 6 3 2 3 2 3 4" xfId="32263" xr:uid="{FD5BEBCD-BCD8-4061-B305-082CD8B8B6CA}"/>
    <cellStyle name="Comma 6 3 2 3 2 4" xfId="3535" xr:uid="{8FC48C89-BFA0-4421-87A0-944111524C45}"/>
    <cellStyle name="Comma 6 3 2 3 2 4 2" xfId="12607" xr:uid="{B4F99877-D964-4DCB-B2A9-11A66C24469E}"/>
    <cellStyle name="Comma 6 3 2 3 2 4 2 2" xfId="27727" xr:uid="{D5793F1A-3B1E-4DE2-8B8A-087120CE72A1}"/>
    <cellStyle name="Comma 6 3 2 3 2 4 2 2 2" xfId="57967" xr:uid="{25870576-31CF-4D97-986B-644A2BCC2280}"/>
    <cellStyle name="Comma 6 3 2 3 2 4 2 3" xfId="42847" xr:uid="{6845EA2F-8BBD-42CF-B6D7-74960884F800}"/>
    <cellStyle name="Comma 6 3 2 3 2 4 3" xfId="18655" xr:uid="{8B43ECB5-7D53-494D-97AE-E014A8DECC36}"/>
    <cellStyle name="Comma 6 3 2 3 2 4 3 2" xfId="48895" xr:uid="{1A3A15ED-AEAB-4D12-BEBB-4188E3428E23}"/>
    <cellStyle name="Comma 6 3 2 3 2 4 4" xfId="33775" xr:uid="{E36EE308-9601-4B29-A59D-D48310768EF7}"/>
    <cellStyle name="Comma 6 3 2 3 2 5" xfId="5047" xr:uid="{D82CF0D2-78FF-458E-8B35-597AA4B48566}"/>
    <cellStyle name="Comma 6 3 2 3 2 5 2" xfId="14119" xr:uid="{84E7ABF6-4879-4949-A37C-8CFAE3B5AAA4}"/>
    <cellStyle name="Comma 6 3 2 3 2 5 2 2" xfId="29239" xr:uid="{9A014CD0-59B8-48CB-94C1-0258F3064275}"/>
    <cellStyle name="Comma 6 3 2 3 2 5 2 2 2" xfId="59479" xr:uid="{0F8DB617-A3BC-4144-B5B6-E661F6ED14F2}"/>
    <cellStyle name="Comma 6 3 2 3 2 5 2 3" xfId="44359" xr:uid="{73B0CE06-2246-4FC4-97A3-92E00061564A}"/>
    <cellStyle name="Comma 6 3 2 3 2 5 3" xfId="20167" xr:uid="{243D1BD7-68A0-4EBD-9677-68C79933FCA1}"/>
    <cellStyle name="Comma 6 3 2 3 2 5 3 2" xfId="50407" xr:uid="{03655815-1F47-4884-AA00-6A8540960476}"/>
    <cellStyle name="Comma 6 3 2 3 2 5 4" xfId="35287" xr:uid="{D72F4D27-B41B-4BD9-8881-053DB351161F}"/>
    <cellStyle name="Comma 6 3 2 3 2 6" xfId="6559" xr:uid="{220BC801-7048-4AC1-844B-FFE96F532216}"/>
    <cellStyle name="Comma 6 3 2 3 2 6 2" xfId="21679" xr:uid="{BE319713-86D1-48DD-977F-A4A4156A8D98}"/>
    <cellStyle name="Comma 6 3 2 3 2 6 2 2" xfId="51919" xr:uid="{34839630-6006-4973-88A5-9690858B6829}"/>
    <cellStyle name="Comma 6 3 2 3 2 6 3" xfId="36799" xr:uid="{043E1BC3-77AB-411B-84AB-CFC0765749C3}"/>
    <cellStyle name="Comma 6 3 2 3 2 7" xfId="8071" xr:uid="{868B5697-D699-4412-962B-5847600D24F2}"/>
    <cellStyle name="Comma 6 3 2 3 2 7 2" xfId="23191" xr:uid="{1CFE8AEA-E6C1-4EB7-ADE6-746E8BCFF96C}"/>
    <cellStyle name="Comma 6 3 2 3 2 7 2 2" xfId="53431" xr:uid="{D09E52D5-8BC8-4FD7-A34C-734661F70B1F}"/>
    <cellStyle name="Comma 6 3 2 3 2 7 3" xfId="38311" xr:uid="{B6FD78DF-43D5-43CA-8C37-C2B0CDB1CCDF}"/>
    <cellStyle name="Comma 6 3 2 3 2 8" xfId="9583" xr:uid="{467B1B61-FBEB-447B-BAAD-6F75492E9D8A}"/>
    <cellStyle name="Comma 6 3 2 3 2 8 2" xfId="24703" xr:uid="{193768E1-CD44-4CBC-A5E6-67F40040A9B3}"/>
    <cellStyle name="Comma 6 3 2 3 2 8 2 2" xfId="54943" xr:uid="{2E0CE3BD-0DE7-45B7-B382-85201E8937AB}"/>
    <cellStyle name="Comma 6 3 2 3 2 8 3" xfId="39823" xr:uid="{67B15518-ABE7-416B-A5D2-A504A8052D58}"/>
    <cellStyle name="Comma 6 3 2 3 2 9" xfId="15631" xr:uid="{47AC8589-C6C6-4B9A-9852-9DD500A1334D}"/>
    <cellStyle name="Comma 6 3 2 3 2 9 2" xfId="45871" xr:uid="{59179F29-33A7-45C7-9078-889ABC092382}"/>
    <cellStyle name="Comma 6 3 2 3 3" xfId="763" xr:uid="{A9DCE971-013E-4243-9B8B-CEB7C8FBADEC}"/>
    <cellStyle name="Comma 6 3 2 3 3 10" xfId="31003" xr:uid="{2C3FB6D6-4855-4F07-ABE4-4DBA0A846CCB}"/>
    <cellStyle name="Comma 6 3 2 3 3 2" xfId="1519" xr:uid="{4D8CE67B-DE5A-434F-96F1-460767E9C202}"/>
    <cellStyle name="Comma 6 3 2 3 3 2 2" xfId="3031" xr:uid="{9FB19FB5-4DA2-4DB6-A83E-353E824A4237}"/>
    <cellStyle name="Comma 6 3 2 3 3 2 2 2" xfId="12103" xr:uid="{8234FA89-5FB4-413E-9191-AB5B9AFAF069}"/>
    <cellStyle name="Comma 6 3 2 3 3 2 2 2 2" xfId="27223" xr:uid="{1A6F6276-8088-4A21-9927-3A824551E04B}"/>
    <cellStyle name="Comma 6 3 2 3 3 2 2 2 2 2" xfId="57463" xr:uid="{CAC13231-781F-41AF-AA0E-C814A2F64B60}"/>
    <cellStyle name="Comma 6 3 2 3 3 2 2 2 3" xfId="42343" xr:uid="{8F669E60-78A8-4602-B85D-3A90F61A8B00}"/>
    <cellStyle name="Comma 6 3 2 3 3 2 2 3" xfId="18151" xr:uid="{072D2758-D90E-4FC8-8434-4AA846506374}"/>
    <cellStyle name="Comma 6 3 2 3 3 2 2 3 2" xfId="48391" xr:uid="{D35053A0-3929-4606-8E86-4A2FFFAB5277}"/>
    <cellStyle name="Comma 6 3 2 3 3 2 2 4" xfId="33271" xr:uid="{D2680B1D-5FA1-4515-BABA-E413D0282DF7}"/>
    <cellStyle name="Comma 6 3 2 3 3 2 3" xfId="4543" xr:uid="{4107825A-F5EC-463B-9610-7681531D3374}"/>
    <cellStyle name="Comma 6 3 2 3 3 2 3 2" xfId="13615" xr:uid="{02813401-D060-43CA-93C5-59BE38B60F8C}"/>
    <cellStyle name="Comma 6 3 2 3 3 2 3 2 2" xfId="28735" xr:uid="{CEC5C022-B0ED-4F83-AEB5-9FDC8870ECFC}"/>
    <cellStyle name="Comma 6 3 2 3 3 2 3 2 2 2" xfId="58975" xr:uid="{B58F9C52-2D3F-497F-B2D8-D853E451ACBB}"/>
    <cellStyle name="Comma 6 3 2 3 3 2 3 2 3" xfId="43855" xr:uid="{CB7C5DA3-06B4-4A6D-93A6-7645D319B08C}"/>
    <cellStyle name="Comma 6 3 2 3 3 2 3 3" xfId="19663" xr:uid="{233CEE2F-D523-4B97-87C1-A16FE0D0D30E}"/>
    <cellStyle name="Comma 6 3 2 3 3 2 3 3 2" xfId="49903" xr:uid="{3F8D6AFB-3502-4390-80EF-247220D25E8B}"/>
    <cellStyle name="Comma 6 3 2 3 3 2 3 4" xfId="34783" xr:uid="{956B97F5-1126-46E3-937E-6D6BAA5A9929}"/>
    <cellStyle name="Comma 6 3 2 3 3 2 4" xfId="6055" xr:uid="{91AC3BAC-846E-4B3C-944D-BAF353B07321}"/>
    <cellStyle name="Comma 6 3 2 3 3 2 4 2" xfId="15127" xr:uid="{6215E791-DA6D-45A8-99D3-BA9CE6A75272}"/>
    <cellStyle name="Comma 6 3 2 3 3 2 4 2 2" xfId="30247" xr:uid="{D29279B9-050E-4885-9D7A-574CED13030B}"/>
    <cellStyle name="Comma 6 3 2 3 3 2 4 2 2 2" xfId="60487" xr:uid="{3877B5F1-064B-480D-B117-CAE7330E412F}"/>
    <cellStyle name="Comma 6 3 2 3 3 2 4 2 3" xfId="45367" xr:uid="{3F9AABC4-38C2-4F13-927C-7BCE4667E77B}"/>
    <cellStyle name="Comma 6 3 2 3 3 2 4 3" xfId="21175" xr:uid="{7BD859FB-105D-408E-BCCB-1C1733029ACE}"/>
    <cellStyle name="Comma 6 3 2 3 3 2 4 3 2" xfId="51415" xr:uid="{22818CCB-B3D1-48A5-8569-7F48F70C1638}"/>
    <cellStyle name="Comma 6 3 2 3 3 2 4 4" xfId="36295" xr:uid="{BB57282C-C4BE-40B0-8A01-100342A4E68C}"/>
    <cellStyle name="Comma 6 3 2 3 3 2 5" xfId="7567" xr:uid="{11BEAD3F-FDA1-4BFE-BD42-BDB363FAEAAA}"/>
    <cellStyle name="Comma 6 3 2 3 3 2 5 2" xfId="22687" xr:uid="{362714EF-76C1-4EF2-A76B-1A22EA78AA99}"/>
    <cellStyle name="Comma 6 3 2 3 3 2 5 2 2" xfId="52927" xr:uid="{674D7383-7A07-4261-B4E3-A90579935606}"/>
    <cellStyle name="Comma 6 3 2 3 3 2 5 3" xfId="37807" xr:uid="{EDCBF8AA-6EF4-414E-9329-D15E94B94154}"/>
    <cellStyle name="Comma 6 3 2 3 3 2 6" xfId="9079" xr:uid="{796773D8-1095-40E2-8864-437028C896FE}"/>
    <cellStyle name="Comma 6 3 2 3 3 2 6 2" xfId="24199" xr:uid="{953E41F5-BE01-4DC3-A8D3-0AFEB1939D05}"/>
    <cellStyle name="Comma 6 3 2 3 3 2 6 2 2" xfId="54439" xr:uid="{36852EF5-847B-4383-B14C-021642E455DB}"/>
    <cellStyle name="Comma 6 3 2 3 3 2 6 3" xfId="39319" xr:uid="{BADE07CB-6D5D-473B-8049-D487A08896E3}"/>
    <cellStyle name="Comma 6 3 2 3 3 2 7" xfId="10591" xr:uid="{34D4A467-182F-423E-B076-755E43E41DD1}"/>
    <cellStyle name="Comma 6 3 2 3 3 2 7 2" xfId="25711" xr:uid="{8E31FF29-1D4A-4AA3-B1CE-ECFD85EA78E0}"/>
    <cellStyle name="Comma 6 3 2 3 3 2 7 2 2" xfId="55951" xr:uid="{2977D00C-3791-4B37-A46C-3409C01264E0}"/>
    <cellStyle name="Comma 6 3 2 3 3 2 7 3" xfId="40831" xr:uid="{99EC6FE6-DF98-4812-9891-BB01B53F697B}"/>
    <cellStyle name="Comma 6 3 2 3 3 2 8" xfId="16639" xr:uid="{DD4FA488-9E16-4C4D-AFED-A50791E7BAD1}"/>
    <cellStyle name="Comma 6 3 2 3 3 2 8 2" xfId="46879" xr:uid="{4F8A920E-85E1-4B77-9363-BF4B4ABEA5E4}"/>
    <cellStyle name="Comma 6 3 2 3 3 2 9" xfId="31759" xr:uid="{79ACEF61-9C98-40DA-981B-9F92F0C9D2BC}"/>
    <cellStyle name="Comma 6 3 2 3 3 3" xfId="2275" xr:uid="{2FC14855-E46D-4041-927C-3746CBC9255B}"/>
    <cellStyle name="Comma 6 3 2 3 3 3 2" xfId="11347" xr:uid="{555F40C9-1D6E-425D-9510-94D9CB932DF6}"/>
    <cellStyle name="Comma 6 3 2 3 3 3 2 2" xfId="26467" xr:uid="{1305E817-2B21-4294-B2E7-D761AABC4394}"/>
    <cellStyle name="Comma 6 3 2 3 3 3 2 2 2" xfId="56707" xr:uid="{9DFEF643-6853-402C-986E-12D8F63A6C5A}"/>
    <cellStyle name="Comma 6 3 2 3 3 3 2 3" xfId="41587" xr:uid="{C9BCD316-BA4D-4DB5-AB3F-002D6B1EDAD2}"/>
    <cellStyle name="Comma 6 3 2 3 3 3 3" xfId="17395" xr:uid="{EA3115F6-1115-4B84-9243-CEA32237D44A}"/>
    <cellStyle name="Comma 6 3 2 3 3 3 3 2" xfId="47635" xr:uid="{C89C605E-EE7F-4162-90EC-94FB472EBEFC}"/>
    <cellStyle name="Comma 6 3 2 3 3 3 4" xfId="32515" xr:uid="{E654902A-98E2-498C-8589-36FAE76D8100}"/>
    <cellStyle name="Comma 6 3 2 3 3 4" xfId="3787" xr:uid="{0EEE86EC-6A4D-4F3F-A8DF-CB9AFEB01E50}"/>
    <cellStyle name="Comma 6 3 2 3 3 4 2" xfId="12859" xr:uid="{FD9F51C2-B883-4286-AFA1-9265FDAA41ED}"/>
    <cellStyle name="Comma 6 3 2 3 3 4 2 2" xfId="27979" xr:uid="{47F37B07-CDBE-4BF3-8CEF-A0594D8D46E9}"/>
    <cellStyle name="Comma 6 3 2 3 3 4 2 2 2" xfId="58219" xr:uid="{4A5A7529-91B7-417F-85F6-F4FA95FF5889}"/>
    <cellStyle name="Comma 6 3 2 3 3 4 2 3" xfId="43099" xr:uid="{1EAC7A23-0E20-48D4-A112-DE347BE54646}"/>
    <cellStyle name="Comma 6 3 2 3 3 4 3" xfId="18907" xr:uid="{11D09916-9E89-4EA8-9482-9D71D90D8458}"/>
    <cellStyle name="Comma 6 3 2 3 3 4 3 2" xfId="49147" xr:uid="{251D767D-8A5D-4EF7-8AFE-9D042523BBCD}"/>
    <cellStyle name="Comma 6 3 2 3 3 4 4" xfId="34027" xr:uid="{9359577A-EAF2-40AE-9D79-8941AC3DEF32}"/>
    <cellStyle name="Comma 6 3 2 3 3 5" xfId="5299" xr:uid="{DC0D01EE-73FC-42F6-8DE9-4808CF2C7E5B}"/>
    <cellStyle name="Comma 6 3 2 3 3 5 2" xfId="14371" xr:uid="{56710E45-3BE5-4836-9B4B-B90C9B9D5488}"/>
    <cellStyle name="Comma 6 3 2 3 3 5 2 2" xfId="29491" xr:uid="{0ABF04C7-C277-4FE0-8F0D-37CDBA97D49D}"/>
    <cellStyle name="Comma 6 3 2 3 3 5 2 2 2" xfId="59731" xr:uid="{7F7F9257-C339-4564-8AFB-433BF4868175}"/>
    <cellStyle name="Comma 6 3 2 3 3 5 2 3" xfId="44611" xr:uid="{322A6C6F-4194-4A8C-8EA9-0E21686C7ACA}"/>
    <cellStyle name="Comma 6 3 2 3 3 5 3" xfId="20419" xr:uid="{D641314D-59F4-4CD4-88C7-395FA2047030}"/>
    <cellStyle name="Comma 6 3 2 3 3 5 3 2" xfId="50659" xr:uid="{6B02BA06-A38C-4800-B107-ED5D543626B4}"/>
    <cellStyle name="Comma 6 3 2 3 3 5 4" xfId="35539" xr:uid="{1ABF40BD-F8C4-49DE-A8DB-262795436FB4}"/>
    <cellStyle name="Comma 6 3 2 3 3 6" xfId="6811" xr:uid="{5BD9C164-65E8-46F3-ADBA-64761300BA66}"/>
    <cellStyle name="Comma 6 3 2 3 3 6 2" xfId="21931" xr:uid="{543AEEFA-6294-4ED7-85A6-898A00423CD2}"/>
    <cellStyle name="Comma 6 3 2 3 3 6 2 2" xfId="52171" xr:uid="{06D990F2-1B89-47A3-B1F4-F5D4765D314F}"/>
    <cellStyle name="Comma 6 3 2 3 3 6 3" xfId="37051" xr:uid="{23F5633E-D4A5-4DA7-BA98-2D9EA323BECF}"/>
    <cellStyle name="Comma 6 3 2 3 3 7" xfId="8323" xr:uid="{96F9459B-EA8C-4963-AA99-CE76DE25FE97}"/>
    <cellStyle name="Comma 6 3 2 3 3 7 2" xfId="23443" xr:uid="{22EAF47A-594E-4040-BBE2-540DE8A7267F}"/>
    <cellStyle name="Comma 6 3 2 3 3 7 2 2" xfId="53683" xr:uid="{4F91F6B1-C3AE-4A3C-B02F-909BCCB356C7}"/>
    <cellStyle name="Comma 6 3 2 3 3 7 3" xfId="38563" xr:uid="{95C01EBB-623A-41B4-A3C3-1D39EC4C02AC}"/>
    <cellStyle name="Comma 6 3 2 3 3 8" xfId="9835" xr:uid="{48A41C3E-45EC-4765-85E9-D59C1A21DFD5}"/>
    <cellStyle name="Comma 6 3 2 3 3 8 2" xfId="24955" xr:uid="{B9E0EA10-2411-42C7-AA99-3DBFE629543A}"/>
    <cellStyle name="Comma 6 3 2 3 3 8 2 2" xfId="55195" xr:uid="{E01DB38D-653A-44FF-881C-AC4EA1401C05}"/>
    <cellStyle name="Comma 6 3 2 3 3 8 3" xfId="40075" xr:uid="{C4E12EEE-2A06-4927-86A5-52D779391FFF}"/>
    <cellStyle name="Comma 6 3 2 3 3 9" xfId="15883" xr:uid="{37FE70D7-53FE-4B42-B42D-BC74813DC144}"/>
    <cellStyle name="Comma 6 3 2 3 3 9 2" xfId="46123" xr:uid="{5B6E5E94-3F7A-496F-86C1-7CA05FD3A944}"/>
    <cellStyle name="Comma 6 3 2 3 4" xfId="1015" xr:uid="{AF596D59-DFEB-4520-9FD4-F2A4BC2BEBE4}"/>
    <cellStyle name="Comma 6 3 2 3 4 2" xfId="2527" xr:uid="{4D1BDB8F-83F5-4A19-ACB6-26A78ED8B76B}"/>
    <cellStyle name="Comma 6 3 2 3 4 2 2" xfId="11599" xr:uid="{77DA5487-D3FD-4BED-98D5-7A4990BA8B28}"/>
    <cellStyle name="Comma 6 3 2 3 4 2 2 2" xfId="26719" xr:uid="{2473A01B-4F76-4826-901D-A5C3150EB08B}"/>
    <cellStyle name="Comma 6 3 2 3 4 2 2 2 2" xfId="56959" xr:uid="{F8F9BEC3-1CB8-4E2F-AA6D-99A25805ECC7}"/>
    <cellStyle name="Comma 6 3 2 3 4 2 2 3" xfId="41839" xr:uid="{31836F36-DCAC-47DB-955B-DF7DFDED3E5C}"/>
    <cellStyle name="Comma 6 3 2 3 4 2 3" xfId="17647" xr:uid="{FB292D61-D6B7-40BB-8729-1525613479FE}"/>
    <cellStyle name="Comma 6 3 2 3 4 2 3 2" xfId="47887" xr:uid="{E182EEED-A531-4FA1-9F86-F6F4A6AE4493}"/>
    <cellStyle name="Comma 6 3 2 3 4 2 4" xfId="32767" xr:uid="{2B3DED58-50CB-4F0F-8338-08C417C02F7F}"/>
    <cellStyle name="Comma 6 3 2 3 4 3" xfId="4039" xr:uid="{DF4F899F-45B8-40FE-8544-75724FE20390}"/>
    <cellStyle name="Comma 6 3 2 3 4 3 2" xfId="13111" xr:uid="{1CB73373-73A7-408C-8901-6FC0F8981A47}"/>
    <cellStyle name="Comma 6 3 2 3 4 3 2 2" xfId="28231" xr:uid="{4251FE0C-F36D-4EF3-AB4C-EE54D9EBAAC0}"/>
    <cellStyle name="Comma 6 3 2 3 4 3 2 2 2" xfId="58471" xr:uid="{73C7505C-28A4-4F1A-8BDE-D90A1BE90438}"/>
    <cellStyle name="Comma 6 3 2 3 4 3 2 3" xfId="43351" xr:uid="{F37AEF7B-79E5-40B4-85B8-6883D32CC766}"/>
    <cellStyle name="Comma 6 3 2 3 4 3 3" xfId="19159" xr:uid="{916F4093-B0B9-42D3-A5B3-A0D2D1FD407D}"/>
    <cellStyle name="Comma 6 3 2 3 4 3 3 2" xfId="49399" xr:uid="{7EA2416E-90C4-487D-B7F2-1524E727A4BD}"/>
    <cellStyle name="Comma 6 3 2 3 4 3 4" xfId="34279" xr:uid="{69CA1DBC-4F74-42D1-A68E-6FF82A9BC539}"/>
    <cellStyle name="Comma 6 3 2 3 4 4" xfId="5551" xr:uid="{39A1C5AE-7840-48A5-8E8D-A8632D49D995}"/>
    <cellStyle name="Comma 6 3 2 3 4 4 2" xfId="14623" xr:uid="{0CC501F1-0470-4279-BBC7-A9A14230921A}"/>
    <cellStyle name="Comma 6 3 2 3 4 4 2 2" xfId="29743" xr:uid="{C28B2F90-2AF2-4239-AE2C-894E57E9ECB5}"/>
    <cellStyle name="Comma 6 3 2 3 4 4 2 2 2" xfId="59983" xr:uid="{0B573560-0462-469C-9050-5C03552B3BDA}"/>
    <cellStyle name="Comma 6 3 2 3 4 4 2 3" xfId="44863" xr:uid="{D5D0E634-1B56-481E-A4B5-BCCCB47ADD13}"/>
    <cellStyle name="Comma 6 3 2 3 4 4 3" xfId="20671" xr:uid="{1068DF7C-CB9F-489D-8A24-B15EC1EDD2A8}"/>
    <cellStyle name="Comma 6 3 2 3 4 4 3 2" xfId="50911" xr:uid="{4B242169-9910-4F4B-86AE-AB890A3A2B1D}"/>
    <cellStyle name="Comma 6 3 2 3 4 4 4" xfId="35791" xr:uid="{015D3B8B-4C35-4732-9BA5-97D37341FB82}"/>
    <cellStyle name="Comma 6 3 2 3 4 5" xfId="7063" xr:uid="{687AAB1D-09E0-477A-BF45-EDE05FE49225}"/>
    <cellStyle name="Comma 6 3 2 3 4 5 2" xfId="22183" xr:uid="{12DE9E8C-8A04-4191-844F-DEDEE2BDB860}"/>
    <cellStyle name="Comma 6 3 2 3 4 5 2 2" xfId="52423" xr:uid="{761CACB9-52FF-4852-8A52-8A623DDF4DA2}"/>
    <cellStyle name="Comma 6 3 2 3 4 5 3" xfId="37303" xr:uid="{E2193D94-0AC9-4DDD-982B-22ED5DCA69DB}"/>
    <cellStyle name="Comma 6 3 2 3 4 6" xfId="8575" xr:uid="{24A0FFB0-8AC6-4A04-911B-A4871F58B090}"/>
    <cellStyle name="Comma 6 3 2 3 4 6 2" xfId="23695" xr:uid="{2044E7AD-400A-493B-A277-F4F5173D6D5E}"/>
    <cellStyle name="Comma 6 3 2 3 4 6 2 2" xfId="53935" xr:uid="{67887A42-0F9F-4699-A0E2-084751F4EC79}"/>
    <cellStyle name="Comma 6 3 2 3 4 6 3" xfId="38815" xr:uid="{8A6988D0-733F-4530-BD45-70D9DAA84F00}"/>
    <cellStyle name="Comma 6 3 2 3 4 7" xfId="10087" xr:uid="{E83D9BC6-78B7-4266-8FFA-809FA338E000}"/>
    <cellStyle name="Comma 6 3 2 3 4 7 2" xfId="25207" xr:uid="{F94F8318-39E9-4C2D-8BA9-DF46487440B7}"/>
    <cellStyle name="Comma 6 3 2 3 4 7 2 2" xfId="55447" xr:uid="{9EAB159C-241A-44CD-8E40-68EC48B594FF}"/>
    <cellStyle name="Comma 6 3 2 3 4 7 3" xfId="40327" xr:uid="{6BEB8864-BD89-4275-8B03-4DC8EEE05C38}"/>
    <cellStyle name="Comma 6 3 2 3 4 8" xfId="16135" xr:uid="{232D817C-C401-4C3A-A9AC-9941768C8153}"/>
    <cellStyle name="Comma 6 3 2 3 4 8 2" xfId="46375" xr:uid="{09DBBDA3-36ED-46F3-B78E-66F5963F96C4}"/>
    <cellStyle name="Comma 6 3 2 3 4 9" xfId="31255" xr:uid="{B6F5DF4F-DA61-4443-949A-8AEED6000502}"/>
    <cellStyle name="Comma 6 3 2 3 5" xfId="1771" xr:uid="{4F56B053-DE15-464E-9D6D-01F4AD70DD0F}"/>
    <cellStyle name="Comma 6 3 2 3 5 2" xfId="10843" xr:uid="{D46463A9-DB31-4D2B-8480-B5FDDD8E6447}"/>
    <cellStyle name="Comma 6 3 2 3 5 2 2" xfId="25963" xr:uid="{37DB1709-BBD0-477D-B018-C0A0C9F01279}"/>
    <cellStyle name="Comma 6 3 2 3 5 2 2 2" xfId="56203" xr:uid="{DDA006AB-9C5D-4C53-B460-E7C0F7DE4FBB}"/>
    <cellStyle name="Comma 6 3 2 3 5 2 3" xfId="41083" xr:uid="{D3B7F59A-4933-438F-8972-6C9F2FCA997F}"/>
    <cellStyle name="Comma 6 3 2 3 5 3" xfId="16891" xr:uid="{6465499D-1796-4449-91CE-6F3CDD47C73D}"/>
    <cellStyle name="Comma 6 3 2 3 5 3 2" xfId="47131" xr:uid="{EEF26417-3BD1-449A-9A51-25BE874FC094}"/>
    <cellStyle name="Comma 6 3 2 3 5 4" xfId="32011" xr:uid="{472F092D-2EA3-412C-AED3-10F3ED2E6881}"/>
    <cellStyle name="Comma 6 3 2 3 6" xfId="3283" xr:uid="{5F10BC55-E009-40A0-9543-7D7B2132E608}"/>
    <cellStyle name="Comma 6 3 2 3 6 2" xfId="12355" xr:uid="{E7CFB055-14CE-43EB-928A-87E3538267AF}"/>
    <cellStyle name="Comma 6 3 2 3 6 2 2" xfId="27475" xr:uid="{80529586-1E7C-4C3F-83D6-D577F1B54DE0}"/>
    <cellStyle name="Comma 6 3 2 3 6 2 2 2" xfId="57715" xr:uid="{E2BA1DD8-5069-482B-BAE8-0FEB95BC0E4E}"/>
    <cellStyle name="Comma 6 3 2 3 6 2 3" xfId="42595" xr:uid="{5ACD0705-77D2-4780-9C2B-EFBE292AC4F6}"/>
    <cellStyle name="Comma 6 3 2 3 6 3" xfId="18403" xr:uid="{4C304F01-FCB6-47F6-B06F-AFA86F26612B}"/>
    <cellStyle name="Comma 6 3 2 3 6 3 2" xfId="48643" xr:uid="{9CB6E979-58DD-4E76-8147-F03056AB7BAD}"/>
    <cellStyle name="Comma 6 3 2 3 6 4" xfId="33523" xr:uid="{C447E4AF-4C03-45C2-8E75-471D15EA844D}"/>
    <cellStyle name="Comma 6 3 2 3 7" xfId="4795" xr:uid="{4CFAF397-3928-400A-B467-8550C00896D1}"/>
    <cellStyle name="Comma 6 3 2 3 7 2" xfId="13867" xr:uid="{E6B77690-B91E-4688-9A48-41E7FC54EC44}"/>
    <cellStyle name="Comma 6 3 2 3 7 2 2" xfId="28987" xr:uid="{7C1DCC85-C5B4-4897-9EB5-CF30B6A2E79B}"/>
    <cellStyle name="Comma 6 3 2 3 7 2 2 2" xfId="59227" xr:uid="{2648F3F7-B01B-4481-8C19-7C66A6D69CC3}"/>
    <cellStyle name="Comma 6 3 2 3 7 2 3" xfId="44107" xr:uid="{7DA81A4F-1669-44C8-AF66-C9D0FA09A973}"/>
    <cellStyle name="Comma 6 3 2 3 7 3" xfId="19915" xr:uid="{13100B3B-A1B2-4AD9-A90B-450E00BD4FDC}"/>
    <cellStyle name="Comma 6 3 2 3 7 3 2" xfId="50155" xr:uid="{FF09060D-49B9-4327-A04D-BC9FFFDA94E6}"/>
    <cellStyle name="Comma 6 3 2 3 7 4" xfId="35035" xr:uid="{A6E2DF6A-049D-48A8-A194-10A6457FAF75}"/>
    <cellStyle name="Comma 6 3 2 3 8" xfId="6307" xr:uid="{2F999DE6-0190-49C7-B217-609707D83124}"/>
    <cellStyle name="Comma 6 3 2 3 8 2" xfId="21427" xr:uid="{AB9C4767-1E68-40EF-BCBB-14C214F2941F}"/>
    <cellStyle name="Comma 6 3 2 3 8 2 2" xfId="51667" xr:uid="{CB031945-730A-4B31-A8F7-D2CDCA8CB19B}"/>
    <cellStyle name="Comma 6 3 2 3 8 3" xfId="36547" xr:uid="{92083FF6-F946-499C-A49D-3AADA0EFCE5E}"/>
    <cellStyle name="Comma 6 3 2 3 9" xfId="7819" xr:uid="{63ED553F-FA07-4BAB-A2CB-9CCC15958C85}"/>
    <cellStyle name="Comma 6 3 2 3 9 2" xfId="22939" xr:uid="{AE8A072D-F641-4A54-B26B-62B5B250F4EF}"/>
    <cellStyle name="Comma 6 3 2 3 9 2 2" xfId="53179" xr:uid="{D449CA54-1766-4640-B5B4-439D5278B225}"/>
    <cellStyle name="Comma 6 3 2 3 9 3" xfId="38059" xr:uid="{E71B2DD5-3BA3-4CEC-AD7A-70AA2BA8C158}"/>
    <cellStyle name="Comma 6 3 2 4" xfId="343" xr:uid="{03FE0D56-E5E6-48E7-A9BE-C12C803FDC19}"/>
    <cellStyle name="Comma 6 3 2 4 10" xfId="30583" xr:uid="{47495576-65F8-448E-BF3E-83DA579D042B}"/>
    <cellStyle name="Comma 6 3 2 4 2" xfId="1099" xr:uid="{1FD5D8FF-E3EA-4B2C-9935-E7C11495FADE}"/>
    <cellStyle name="Comma 6 3 2 4 2 2" xfId="2611" xr:uid="{047A0C0D-A704-4935-A9FD-AB205B353A76}"/>
    <cellStyle name="Comma 6 3 2 4 2 2 2" xfId="11683" xr:uid="{65A9506C-A108-4099-87B1-A1EE58F5791C}"/>
    <cellStyle name="Comma 6 3 2 4 2 2 2 2" xfId="26803" xr:uid="{F732F3C9-7F18-48E4-97D9-3EDB397103E8}"/>
    <cellStyle name="Comma 6 3 2 4 2 2 2 2 2" xfId="57043" xr:uid="{D5D531E8-0F0E-41FF-8217-5E250B8D4235}"/>
    <cellStyle name="Comma 6 3 2 4 2 2 2 3" xfId="41923" xr:uid="{D4F17318-5C87-45D2-B67A-69FC58F696FF}"/>
    <cellStyle name="Comma 6 3 2 4 2 2 3" xfId="17731" xr:uid="{D3AD75C7-6347-477C-8AAE-F2C78B71213A}"/>
    <cellStyle name="Comma 6 3 2 4 2 2 3 2" xfId="47971" xr:uid="{F056C9CD-D2DA-4710-B082-E9CA8186EAA9}"/>
    <cellStyle name="Comma 6 3 2 4 2 2 4" xfId="32851" xr:uid="{354E0805-18E6-400A-9A59-C31F505EABF0}"/>
    <cellStyle name="Comma 6 3 2 4 2 3" xfId="4123" xr:uid="{8BDF732B-90FA-4554-A104-EC881D8341A1}"/>
    <cellStyle name="Comma 6 3 2 4 2 3 2" xfId="13195" xr:uid="{05FA7AEF-4A4C-43D6-AA0F-C0CE7DEDDA9B}"/>
    <cellStyle name="Comma 6 3 2 4 2 3 2 2" xfId="28315" xr:uid="{65F192D0-112F-46B7-9BCC-41A306929707}"/>
    <cellStyle name="Comma 6 3 2 4 2 3 2 2 2" xfId="58555" xr:uid="{01FCA06B-D262-43D2-9163-1ED14CFFB91A}"/>
    <cellStyle name="Comma 6 3 2 4 2 3 2 3" xfId="43435" xr:uid="{7AB266E7-9AC7-4827-83C2-4E5C64B4CE30}"/>
    <cellStyle name="Comma 6 3 2 4 2 3 3" xfId="19243" xr:uid="{A0433CC4-CE21-4526-9E3D-68B72DF150DD}"/>
    <cellStyle name="Comma 6 3 2 4 2 3 3 2" xfId="49483" xr:uid="{A914041F-0358-4025-8754-A01595E84A01}"/>
    <cellStyle name="Comma 6 3 2 4 2 3 4" xfId="34363" xr:uid="{3BA77972-9F40-4B36-8E0D-E86014618504}"/>
    <cellStyle name="Comma 6 3 2 4 2 4" xfId="5635" xr:uid="{5A06984D-1133-4597-B6A1-6AC0FE98E4DB}"/>
    <cellStyle name="Comma 6 3 2 4 2 4 2" xfId="14707" xr:uid="{FED51CDC-D518-4A85-9D64-D6E886336790}"/>
    <cellStyle name="Comma 6 3 2 4 2 4 2 2" xfId="29827" xr:uid="{C7339D46-942A-4CD1-9369-F1E61807B899}"/>
    <cellStyle name="Comma 6 3 2 4 2 4 2 2 2" xfId="60067" xr:uid="{5EE640D3-70A3-45EE-8413-13A52950E993}"/>
    <cellStyle name="Comma 6 3 2 4 2 4 2 3" xfId="44947" xr:uid="{68BD3117-18AF-47D3-8037-2058DE8115E9}"/>
    <cellStyle name="Comma 6 3 2 4 2 4 3" xfId="20755" xr:uid="{E9F9CD0A-8A84-4C9D-8AB5-E9E475515DC5}"/>
    <cellStyle name="Comma 6 3 2 4 2 4 3 2" xfId="50995" xr:uid="{8DF69C4C-1CCE-4AA8-AF70-CC7D79A28505}"/>
    <cellStyle name="Comma 6 3 2 4 2 4 4" xfId="35875" xr:uid="{BBC6C699-65F3-40FD-B72E-34F03B675DF2}"/>
    <cellStyle name="Comma 6 3 2 4 2 5" xfId="7147" xr:uid="{E8C933FA-8FB5-4FE9-8E4B-9C54EA42732A}"/>
    <cellStyle name="Comma 6 3 2 4 2 5 2" xfId="22267" xr:uid="{7A6775F6-855D-45F9-87A5-F999586F51DF}"/>
    <cellStyle name="Comma 6 3 2 4 2 5 2 2" xfId="52507" xr:uid="{FA18D34E-E20E-4D38-9C2C-E9F9DBA01AF3}"/>
    <cellStyle name="Comma 6 3 2 4 2 5 3" xfId="37387" xr:uid="{9FCF83EA-2703-4C5A-9061-68272A86002D}"/>
    <cellStyle name="Comma 6 3 2 4 2 6" xfId="8659" xr:uid="{0EA0C98E-EC77-43E3-B957-EE6BCF86E86A}"/>
    <cellStyle name="Comma 6 3 2 4 2 6 2" xfId="23779" xr:uid="{0BCDC269-2AF6-45FE-BB0D-7871D40CB7DB}"/>
    <cellStyle name="Comma 6 3 2 4 2 6 2 2" xfId="54019" xr:uid="{867627DD-64A3-46B8-939F-43FE8C563646}"/>
    <cellStyle name="Comma 6 3 2 4 2 6 3" xfId="38899" xr:uid="{DEE14CC9-3209-49C9-BCA0-459C6FB26077}"/>
    <cellStyle name="Comma 6 3 2 4 2 7" xfId="10171" xr:uid="{34FC944A-4279-41AC-BFC7-6EE24209EC5F}"/>
    <cellStyle name="Comma 6 3 2 4 2 7 2" xfId="25291" xr:uid="{5F49AA62-BB18-496E-A5BA-00FB47A7C9D1}"/>
    <cellStyle name="Comma 6 3 2 4 2 7 2 2" xfId="55531" xr:uid="{7FE8CACC-223F-4550-A742-A8DC5F8A4CAB}"/>
    <cellStyle name="Comma 6 3 2 4 2 7 3" xfId="40411" xr:uid="{90F1B4DC-0CF7-4431-9C52-00526971BA24}"/>
    <cellStyle name="Comma 6 3 2 4 2 8" xfId="16219" xr:uid="{FEFB4B9F-ECE8-4FCF-8525-214A5E0C8EBC}"/>
    <cellStyle name="Comma 6 3 2 4 2 8 2" xfId="46459" xr:uid="{C7547BAF-7A49-4AB4-935E-71CD7CF978B3}"/>
    <cellStyle name="Comma 6 3 2 4 2 9" xfId="31339" xr:uid="{A8B60055-FA0D-4C96-8486-F4E59ED5CBA9}"/>
    <cellStyle name="Comma 6 3 2 4 3" xfId="1855" xr:uid="{E62D4AB6-BE8D-4AFB-AE44-FFF1BBCFFF7F}"/>
    <cellStyle name="Comma 6 3 2 4 3 2" xfId="10927" xr:uid="{A46AA1AE-A931-4CA4-99BD-BEC4B1F7ADA5}"/>
    <cellStyle name="Comma 6 3 2 4 3 2 2" xfId="26047" xr:uid="{12F57380-AD76-497A-9C66-A1D72B872795}"/>
    <cellStyle name="Comma 6 3 2 4 3 2 2 2" xfId="56287" xr:uid="{4A9B8AE3-18CB-4011-99E5-751BA4D1E20F}"/>
    <cellStyle name="Comma 6 3 2 4 3 2 3" xfId="41167" xr:uid="{361CF0E3-542E-43A0-85E0-2460DD9EE5D1}"/>
    <cellStyle name="Comma 6 3 2 4 3 3" xfId="16975" xr:uid="{71B7CBD7-CE97-46A3-BBCB-D9CC01BB699A}"/>
    <cellStyle name="Comma 6 3 2 4 3 3 2" xfId="47215" xr:uid="{4A02C8F7-AECE-44F8-90CB-2342AAE3BA5D}"/>
    <cellStyle name="Comma 6 3 2 4 3 4" xfId="32095" xr:uid="{C28741B2-3EE3-4EFF-A5E1-64AE602593AB}"/>
    <cellStyle name="Comma 6 3 2 4 4" xfId="3367" xr:uid="{AD6930E0-7603-4A1D-8066-F529C67BAEC6}"/>
    <cellStyle name="Comma 6 3 2 4 4 2" xfId="12439" xr:uid="{A7FD9406-CAAF-4AC6-A2D1-650C233BE37E}"/>
    <cellStyle name="Comma 6 3 2 4 4 2 2" xfId="27559" xr:uid="{0A9094D6-D9E4-4F2B-80D3-305B7606BA11}"/>
    <cellStyle name="Comma 6 3 2 4 4 2 2 2" xfId="57799" xr:uid="{51114F6C-1F7E-4C6D-8D75-EB646A826D03}"/>
    <cellStyle name="Comma 6 3 2 4 4 2 3" xfId="42679" xr:uid="{612C10DA-B205-409F-A174-5753308D8730}"/>
    <cellStyle name="Comma 6 3 2 4 4 3" xfId="18487" xr:uid="{2A271812-B94C-461B-BC1C-A64CB62DC23D}"/>
    <cellStyle name="Comma 6 3 2 4 4 3 2" xfId="48727" xr:uid="{0381620C-BEB8-4F33-B9BB-98A5F2D05710}"/>
    <cellStyle name="Comma 6 3 2 4 4 4" xfId="33607" xr:uid="{8C7937CB-A7C9-41E2-94B7-978E856DC5BA}"/>
    <cellStyle name="Comma 6 3 2 4 5" xfId="4879" xr:uid="{FB84563C-86E1-44B1-864E-37642A45CDA1}"/>
    <cellStyle name="Comma 6 3 2 4 5 2" xfId="13951" xr:uid="{70B6490C-D600-4DBD-B317-9CC40AC7EC67}"/>
    <cellStyle name="Comma 6 3 2 4 5 2 2" xfId="29071" xr:uid="{C94086A4-8745-4073-8DC4-62E3D7D6CCFB}"/>
    <cellStyle name="Comma 6 3 2 4 5 2 2 2" xfId="59311" xr:uid="{0353CF5B-C8C7-417C-B1B8-E2EB5AE96D32}"/>
    <cellStyle name="Comma 6 3 2 4 5 2 3" xfId="44191" xr:uid="{E285F171-7D81-41E4-87A8-DB026ADC89F2}"/>
    <cellStyle name="Comma 6 3 2 4 5 3" xfId="19999" xr:uid="{B31CBF57-DAA9-489E-84DE-3962A4A56E07}"/>
    <cellStyle name="Comma 6 3 2 4 5 3 2" xfId="50239" xr:uid="{E90F68E7-C59F-450A-9342-D135F92ACCA0}"/>
    <cellStyle name="Comma 6 3 2 4 5 4" xfId="35119" xr:uid="{E7C2970B-C07E-4480-9396-AB062F45F65B}"/>
    <cellStyle name="Comma 6 3 2 4 6" xfId="6391" xr:uid="{757E9DBD-D34A-4DF7-8A8F-27066D87E97A}"/>
    <cellStyle name="Comma 6 3 2 4 6 2" xfId="21511" xr:uid="{683D553D-1DFE-4D2B-BC60-BE15A086B6FE}"/>
    <cellStyle name="Comma 6 3 2 4 6 2 2" xfId="51751" xr:uid="{DD4C4EFF-FCEC-4ECA-BAD6-7754E8EDB177}"/>
    <cellStyle name="Comma 6 3 2 4 6 3" xfId="36631" xr:uid="{6B98B7B0-1F58-41C3-9BDD-D8705704D8D0}"/>
    <cellStyle name="Comma 6 3 2 4 7" xfId="7903" xr:uid="{C9E4A87D-4A08-4695-AD11-002E9C9DD171}"/>
    <cellStyle name="Comma 6 3 2 4 7 2" xfId="23023" xr:uid="{712846A7-B469-4E42-B6E0-B8F1AA47F9A8}"/>
    <cellStyle name="Comma 6 3 2 4 7 2 2" xfId="53263" xr:uid="{767210A7-49FE-473B-A9AC-605114DFBE36}"/>
    <cellStyle name="Comma 6 3 2 4 7 3" xfId="38143" xr:uid="{0A4BF529-0615-47DA-A4D0-197B3EEDB411}"/>
    <cellStyle name="Comma 6 3 2 4 8" xfId="9415" xr:uid="{98E9638C-31ED-4A5A-BD89-574F8E215E06}"/>
    <cellStyle name="Comma 6 3 2 4 8 2" xfId="24535" xr:uid="{EC846992-466E-44B2-90C4-F008CD04CA4B}"/>
    <cellStyle name="Comma 6 3 2 4 8 2 2" xfId="54775" xr:uid="{B8C38C3A-1AE8-4D8E-B8F4-C54F3CC740BC}"/>
    <cellStyle name="Comma 6 3 2 4 8 3" xfId="39655" xr:uid="{DE2ADED9-D0AD-41A5-8167-7171AEAAB47F}"/>
    <cellStyle name="Comma 6 3 2 4 9" xfId="15463" xr:uid="{77063E18-81C9-4A6B-99DB-AD9F61AF8AF3}"/>
    <cellStyle name="Comma 6 3 2 4 9 2" xfId="45703" xr:uid="{D5C44B88-43D8-4339-9104-25A3B10CA848}"/>
    <cellStyle name="Comma 6 3 2 5" xfId="595" xr:uid="{E1E72BC4-FAC5-4F82-A0A2-9BDC0DEBB597}"/>
    <cellStyle name="Comma 6 3 2 5 10" xfId="30835" xr:uid="{B3A01B9C-1C7F-4955-A72D-EA83F78B0F28}"/>
    <cellStyle name="Comma 6 3 2 5 2" xfId="1351" xr:uid="{0B264411-350D-4F9A-A03F-30C84BB1AA07}"/>
    <cellStyle name="Comma 6 3 2 5 2 2" xfId="2863" xr:uid="{796BEB06-B50C-4746-A1D3-BFD9E7182B2A}"/>
    <cellStyle name="Comma 6 3 2 5 2 2 2" xfId="11935" xr:uid="{786391E2-A7C1-44A1-8A6B-DF3FC98C2C79}"/>
    <cellStyle name="Comma 6 3 2 5 2 2 2 2" xfId="27055" xr:uid="{0B4558EF-BA14-43F3-B636-0631CD56FDE1}"/>
    <cellStyle name="Comma 6 3 2 5 2 2 2 2 2" xfId="57295" xr:uid="{B8146C60-4104-47A0-87C5-A9421F90AC03}"/>
    <cellStyle name="Comma 6 3 2 5 2 2 2 3" xfId="42175" xr:uid="{EB9867BC-D8A6-4E6D-8EFD-E98616E05F82}"/>
    <cellStyle name="Comma 6 3 2 5 2 2 3" xfId="17983" xr:uid="{DBDDCBF2-F418-4410-8328-BCA19FDEDCFF}"/>
    <cellStyle name="Comma 6 3 2 5 2 2 3 2" xfId="48223" xr:uid="{4994663C-3465-4A6F-8C9E-FF6DE507818A}"/>
    <cellStyle name="Comma 6 3 2 5 2 2 4" xfId="33103" xr:uid="{C05C4A5F-D66B-4763-8D49-98A496262AC8}"/>
    <cellStyle name="Comma 6 3 2 5 2 3" xfId="4375" xr:uid="{007136B2-5FF6-42C9-8412-E63A7385283D}"/>
    <cellStyle name="Comma 6 3 2 5 2 3 2" xfId="13447" xr:uid="{8C183D27-CA74-4E8A-8C9A-6F83B466264D}"/>
    <cellStyle name="Comma 6 3 2 5 2 3 2 2" xfId="28567" xr:uid="{DFD0FEFB-15B0-48BC-BAA1-5D184568F270}"/>
    <cellStyle name="Comma 6 3 2 5 2 3 2 2 2" xfId="58807" xr:uid="{7688B5D5-CC04-43D1-B47F-6E5DCC1BC3FF}"/>
    <cellStyle name="Comma 6 3 2 5 2 3 2 3" xfId="43687" xr:uid="{F6706212-C905-4680-B28A-02D765ED8D92}"/>
    <cellStyle name="Comma 6 3 2 5 2 3 3" xfId="19495" xr:uid="{DE020416-F57D-4B43-8C35-A774ECB985F6}"/>
    <cellStyle name="Comma 6 3 2 5 2 3 3 2" xfId="49735" xr:uid="{5A88487A-D8D3-40E4-B449-BFCDCE47DAF0}"/>
    <cellStyle name="Comma 6 3 2 5 2 3 4" xfId="34615" xr:uid="{A23BA6C1-509D-4E6F-899E-FA6426F08CCB}"/>
    <cellStyle name="Comma 6 3 2 5 2 4" xfId="5887" xr:uid="{B246E505-11AD-4A37-A490-CE82602CE6D1}"/>
    <cellStyle name="Comma 6 3 2 5 2 4 2" xfId="14959" xr:uid="{14036848-F1E5-4987-A422-C711BBFDCCF3}"/>
    <cellStyle name="Comma 6 3 2 5 2 4 2 2" xfId="30079" xr:uid="{750363EC-9AEE-4795-BD85-C3F8A2DDA564}"/>
    <cellStyle name="Comma 6 3 2 5 2 4 2 2 2" xfId="60319" xr:uid="{8EE971AA-97D3-4163-A70E-CB0915CED8D4}"/>
    <cellStyle name="Comma 6 3 2 5 2 4 2 3" xfId="45199" xr:uid="{70947373-BB10-4F12-B4BE-A442CCC66BB8}"/>
    <cellStyle name="Comma 6 3 2 5 2 4 3" xfId="21007" xr:uid="{85A5329C-6251-432E-9D8C-E2906EF91B78}"/>
    <cellStyle name="Comma 6 3 2 5 2 4 3 2" xfId="51247" xr:uid="{5644ADB0-3C01-4846-A853-BA6370C7C2B2}"/>
    <cellStyle name="Comma 6 3 2 5 2 4 4" xfId="36127" xr:uid="{2E5573AD-F7BA-4070-A50F-902B62017E19}"/>
    <cellStyle name="Comma 6 3 2 5 2 5" xfId="7399" xr:uid="{A0219BB3-6D23-4CAF-BE79-528AEC766D61}"/>
    <cellStyle name="Comma 6 3 2 5 2 5 2" xfId="22519" xr:uid="{1B7C7040-EE0B-4402-84F5-BC2054BB5102}"/>
    <cellStyle name="Comma 6 3 2 5 2 5 2 2" xfId="52759" xr:uid="{79B185E6-AA5D-403A-B509-175BAAAC8168}"/>
    <cellStyle name="Comma 6 3 2 5 2 5 3" xfId="37639" xr:uid="{E3611CE1-8540-4072-835A-B4055B77B012}"/>
    <cellStyle name="Comma 6 3 2 5 2 6" xfId="8911" xr:uid="{245E565C-9DEF-4A99-9604-418ACE720853}"/>
    <cellStyle name="Comma 6 3 2 5 2 6 2" xfId="24031" xr:uid="{DDA6E7CC-D34A-450B-B648-186EE074B3D0}"/>
    <cellStyle name="Comma 6 3 2 5 2 6 2 2" xfId="54271" xr:uid="{A999E666-51FD-4000-95A7-B844ADB3CB47}"/>
    <cellStyle name="Comma 6 3 2 5 2 6 3" xfId="39151" xr:uid="{A84F7FF4-2C4F-49BC-BEE3-330A66D0A55F}"/>
    <cellStyle name="Comma 6 3 2 5 2 7" xfId="10423" xr:uid="{A112BA3E-F68E-421B-B74A-E4AB6459AB25}"/>
    <cellStyle name="Comma 6 3 2 5 2 7 2" xfId="25543" xr:uid="{299F6C9C-612D-49E8-AFB9-6017D2E42883}"/>
    <cellStyle name="Comma 6 3 2 5 2 7 2 2" xfId="55783" xr:uid="{3DA9BF76-6D4D-4CE0-ADAD-C25B68BC5F12}"/>
    <cellStyle name="Comma 6 3 2 5 2 7 3" xfId="40663" xr:uid="{52E72B27-2807-4C00-9DC5-A7B570997A82}"/>
    <cellStyle name="Comma 6 3 2 5 2 8" xfId="16471" xr:uid="{B5B7D005-55EA-46C4-9369-624EF93C5308}"/>
    <cellStyle name="Comma 6 3 2 5 2 8 2" xfId="46711" xr:uid="{C560CE85-3833-417B-9679-4F8FCDDE4D8A}"/>
    <cellStyle name="Comma 6 3 2 5 2 9" xfId="31591" xr:uid="{3349148C-67A7-451A-90AF-569DBF71AE5C}"/>
    <cellStyle name="Comma 6 3 2 5 3" xfId="2107" xr:uid="{0DFADC0D-A9F9-4861-A6F3-77E780A51787}"/>
    <cellStyle name="Comma 6 3 2 5 3 2" xfId="11179" xr:uid="{1C402408-8E54-449B-BB15-D6B6E0876E29}"/>
    <cellStyle name="Comma 6 3 2 5 3 2 2" xfId="26299" xr:uid="{4FC5C0C9-3596-44D6-9EFD-8C71F1E1BD6C}"/>
    <cellStyle name="Comma 6 3 2 5 3 2 2 2" xfId="56539" xr:uid="{EC2B1A1E-BFD5-4FFB-83C1-00C98CE1C64F}"/>
    <cellStyle name="Comma 6 3 2 5 3 2 3" xfId="41419" xr:uid="{C29D7724-22C1-4042-AF53-3E2203824D31}"/>
    <cellStyle name="Comma 6 3 2 5 3 3" xfId="17227" xr:uid="{E5BE75C5-8532-4E89-9CF3-CC0373A1F4B1}"/>
    <cellStyle name="Comma 6 3 2 5 3 3 2" xfId="47467" xr:uid="{5BBB0487-C5E3-47B6-86B9-1DFC5E6584CF}"/>
    <cellStyle name="Comma 6 3 2 5 3 4" xfId="32347" xr:uid="{C3B10246-3B25-4DC0-8772-CEF08283159F}"/>
    <cellStyle name="Comma 6 3 2 5 4" xfId="3619" xr:uid="{AF9ABF10-0EA8-41EB-8268-075D41A77477}"/>
    <cellStyle name="Comma 6 3 2 5 4 2" xfId="12691" xr:uid="{E613B719-64A7-4CE3-BE23-0389A418DA93}"/>
    <cellStyle name="Comma 6 3 2 5 4 2 2" xfId="27811" xr:uid="{915F1356-CB02-453A-BB5F-10DCAB7F8A96}"/>
    <cellStyle name="Comma 6 3 2 5 4 2 2 2" xfId="58051" xr:uid="{799D0720-F79D-474E-92B3-FF5F78A280DC}"/>
    <cellStyle name="Comma 6 3 2 5 4 2 3" xfId="42931" xr:uid="{F5F5CF6A-4A89-486D-B5D7-8398862D1B82}"/>
    <cellStyle name="Comma 6 3 2 5 4 3" xfId="18739" xr:uid="{694496DE-DD0B-4010-8867-D8E82E8E9F6F}"/>
    <cellStyle name="Comma 6 3 2 5 4 3 2" xfId="48979" xr:uid="{5FCDDDB1-2B20-4A1F-89C6-53C476BFA251}"/>
    <cellStyle name="Comma 6 3 2 5 4 4" xfId="33859" xr:uid="{286A9BAF-DE51-4116-9E4F-58DE373B60F5}"/>
    <cellStyle name="Comma 6 3 2 5 5" xfId="5131" xr:uid="{BDBC1F11-321F-4B93-BCEC-FE46895BC686}"/>
    <cellStyle name="Comma 6 3 2 5 5 2" xfId="14203" xr:uid="{5F00C0DB-24BB-4EB9-A1C1-1862AA1EE2F6}"/>
    <cellStyle name="Comma 6 3 2 5 5 2 2" xfId="29323" xr:uid="{BFF942F5-E827-4C5C-B624-2801C33958D3}"/>
    <cellStyle name="Comma 6 3 2 5 5 2 2 2" xfId="59563" xr:uid="{78546CD1-8F26-418C-B810-4FF0C43460C9}"/>
    <cellStyle name="Comma 6 3 2 5 5 2 3" xfId="44443" xr:uid="{1BB0AF57-EE43-49F5-BA3F-56CF0A54A705}"/>
    <cellStyle name="Comma 6 3 2 5 5 3" xfId="20251" xr:uid="{884EB83B-DF62-4F7C-8EAD-4CE3570E1AC4}"/>
    <cellStyle name="Comma 6 3 2 5 5 3 2" xfId="50491" xr:uid="{BBA8F644-F855-4661-9E01-42C2B3A83F3F}"/>
    <cellStyle name="Comma 6 3 2 5 5 4" xfId="35371" xr:uid="{CFCE0C17-062D-4DB9-89C6-4CA01522C545}"/>
    <cellStyle name="Comma 6 3 2 5 6" xfId="6643" xr:uid="{EB804E8E-344E-407B-B835-ED736CC2A797}"/>
    <cellStyle name="Comma 6 3 2 5 6 2" xfId="21763" xr:uid="{40CE0917-A389-4161-BCF1-C0A7795020D0}"/>
    <cellStyle name="Comma 6 3 2 5 6 2 2" xfId="52003" xr:uid="{76574534-D8B1-4720-BB98-573704A746D0}"/>
    <cellStyle name="Comma 6 3 2 5 6 3" xfId="36883" xr:uid="{5CF304D1-E6A5-4806-945A-C4ED49148CCF}"/>
    <cellStyle name="Comma 6 3 2 5 7" xfId="8155" xr:uid="{83952C90-81B1-4A02-9E84-EE124F3593FB}"/>
    <cellStyle name="Comma 6 3 2 5 7 2" xfId="23275" xr:uid="{751F4EBF-217F-4865-8EB6-D366A0BE2EFE}"/>
    <cellStyle name="Comma 6 3 2 5 7 2 2" xfId="53515" xr:uid="{6BD5C945-5D02-4D6F-92D6-2F5D21B326F7}"/>
    <cellStyle name="Comma 6 3 2 5 7 3" xfId="38395" xr:uid="{2BFD16E0-ADC7-4998-BC11-022E69331664}"/>
    <cellStyle name="Comma 6 3 2 5 8" xfId="9667" xr:uid="{602EDA89-7E92-4218-A160-BDA401CBE94A}"/>
    <cellStyle name="Comma 6 3 2 5 8 2" xfId="24787" xr:uid="{8F2BC3EC-0654-49D3-8181-707D88334956}"/>
    <cellStyle name="Comma 6 3 2 5 8 2 2" xfId="55027" xr:uid="{CE142257-693A-42E7-9912-B8032364D4FD}"/>
    <cellStyle name="Comma 6 3 2 5 8 3" xfId="39907" xr:uid="{07EA682A-8890-44DE-A647-4743497248E2}"/>
    <cellStyle name="Comma 6 3 2 5 9" xfId="15715" xr:uid="{881A489E-D1A3-4BF0-BA96-A39AD73B56F4}"/>
    <cellStyle name="Comma 6 3 2 5 9 2" xfId="45955" xr:uid="{29CC3DDA-6C7A-4FE0-B98F-6694E6DCDCB7}"/>
    <cellStyle name="Comma 6 3 2 6" xfId="847" xr:uid="{D47F61B8-A7EC-4632-834E-9BBFAC22CC00}"/>
    <cellStyle name="Comma 6 3 2 6 2" xfId="2359" xr:uid="{9BD45D56-B56E-4A80-B1F7-F5718592C115}"/>
    <cellStyle name="Comma 6 3 2 6 2 2" xfId="11431" xr:uid="{F2E8BA25-0D02-469D-BE24-400B7F365DC7}"/>
    <cellStyle name="Comma 6 3 2 6 2 2 2" xfId="26551" xr:uid="{A76C4DF3-A769-4725-A166-697F36542D26}"/>
    <cellStyle name="Comma 6 3 2 6 2 2 2 2" xfId="56791" xr:uid="{7758F78F-A75C-4459-B67B-9B11BC9FED21}"/>
    <cellStyle name="Comma 6 3 2 6 2 2 3" xfId="41671" xr:uid="{1485734E-8230-4CB6-BD87-2047DE7D1588}"/>
    <cellStyle name="Comma 6 3 2 6 2 3" xfId="17479" xr:uid="{3AEAD72C-523D-4F6B-A20B-460397525E2E}"/>
    <cellStyle name="Comma 6 3 2 6 2 3 2" xfId="47719" xr:uid="{8E18A5B4-4746-48E9-9C5B-70E8367FC748}"/>
    <cellStyle name="Comma 6 3 2 6 2 4" xfId="32599" xr:uid="{F699F570-4F13-47FC-943E-0ED987EB589F}"/>
    <cellStyle name="Comma 6 3 2 6 3" xfId="3871" xr:uid="{DDEFC254-D574-4D99-8D1B-8A7C30AD5FAB}"/>
    <cellStyle name="Comma 6 3 2 6 3 2" xfId="12943" xr:uid="{2B3545C1-7D72-44D6-A49D-B36D96A8B34E}"/>
    <cellStyle name="Comma 6 3 2 6 3 2 2" xfId="28063" xr:uid="{83994B2A-7B45-4ED2-BCC7-CFD2F69496F8}"/>
    <cellStyle name="Comma 6 3 2 6 3 2 2 2" xfId="58303" xr:uid="{D0171DB8-70C1-4C07-BBA7-E0F9B1897BC6}"/>
    <cellStyle name="Comma 6 3 2 6 3 2 3" xfId="43183" xr:uid="{835DD70A-DD91-4D63-9F14-C6EA499144B8}"/>
    <cellStyle name="Comma 6 3 2 6 3 3" xfId="18991" xr:uid="{358EA1F3-68AD-49A6-B43A-E56555D5302A}"/>
    <cellStyle name="Comma 6 3 2 6 3 3 2" xfId="49231" xr:uid="{05021476-31D5-419F-8F25-FC31599BE8AE}"/>
    <cellStyle name="Comma 6 3 2 6 3 4" xfId="34111" xr:uid="{5C455F9F-6565-4517-A060-3036F0720FED}"/>
    <cellStyle name="Comma 6 3 2 6 4" xfId="5383" xr:uid="{37C27D67-5AC8-4697-80B3-EDDE54B5583A}"/>
    <cellStyle name="Comma 6 3 2 6 4 2" xfId="14455" xr:uid="{DAEAD6F6-8D90-41A6-B527-CB14D72B7CA4}"/>
    <cellStyle name="Comma 6 3 2 6 4 2 2" xfId="29575" xr:uid="{644E0ACB-74C6-4259-8E6B-94CA967D01A8}"/>
    <cellStyle name="Comma 6 3 2 6 4 2 2 2" xfId="59815" xr:uid="{53B9C1A4-22CF-44C5-BEF1-3F5A060BD512}"/>
    <cellStyle name="Comma 6 3 2 6 4 2 3" xfId="44695" xr:uid="{14B28A88-CAA4-4E4D-9676-EE7A8E5550EC}"/>
    <cellStyle name="Comma 6 3 2 6 4 3" xfId="20503" xr:uid="{576FA10A-9B9F-46DB-8D6D-775FE882A76E}"/>
    <cellStyle name="Comma 6 3 2 6 4 3 2" xfId="50743" xr:uid="{FD9D62CC-EDB8-4158-9C79-8156072F942C}"/>
    <cellStyle name="Comma 6 3 2 6 4 4" xfId="35623" xr:uid="{0E0B7E15-C2C9-419E-A348-0E5A89CCC7B1}"/>
    <cellStyle name="Comma 6 3 2 6 5" xfId="6895" xr:uid="{9F3BE9DD-BD2A-4E69-BCE2-B05020D8BFAD}"/>
    <cellStyle name="Comma 6 3 2 6 5 2" xfId="22015" xr:uid="{05223E84-7D33-438D-A895-46CF87F0B32E}"/>
    <cellStyle name="Comma 6 3 2 6 5 2 2" xfId="52255" xr:uid="{53794B4E-F40C-4E9F-80E7-B06891E05C59}"/>
    <cellStyle name="Comma 6 3 2 6 5 3" xfId="37135" xr:uid="{066F315F-578E-49AB-A825-ABB470FC8A19}"/>
    <cellStyle name="Comma 6 3 2 6 6" xfId="8407" xr:uid="{1DE6D326-8263-4D5F-AD0C-710513892413}"/>
    <cellStyle name="Comma 6 3 2 6 6 2" xfId="23527" xr:uid="{AF81C654-8ED9-44A8-B8F9-5E402ABC5567}"/>
    <cellStyle name="Comma 6 3 2 6 6 2 2" xfId="53767" xr:uid="{81DA07D9-086D-48E5-A308-D8E15C06AEC6}"/>
    <cellStyle name="Comma 6 3 2 6 6 3" xfId="38647" xr:uid="{0BDDD8D8-9563-43D0-922B-FBB345ACC342}"/>
    <cellStyle name="Comma 6 3 2 6 7" xfId="9919" xr:uid="{7CB3E979-E36E-4247-9C91-87BF11162F9E}"/>
    <cellStyle name="Comma 6 3 2 6 7 2" xfId="25039" xr:uid="{4642E44F-9001-444A-B89D-335FB07E6939}"/>
    <cellStyle name="Comma 6 3 2 6 7 2 2" xfId="55279" xr:uid="{8FCBFF40-039F-4004-8755-E7E20347E8BE}"/>
    <cellStyle name="Comma 6 3 2 6 7 3" xfId="40159" xr:uid="{DD6ECA46-9667-43D6-942D-E9A61C880549}"/>
    <cellStyle name="Comma 6 3 2 6 8" xfId="15967" xr:uid="{3A36B6B3-E4D5-4C9F-842E-3AA0EAEE1920}"/>
    <cellStyle name="Comma 6 3 2 6 8 2" xfId="46207" xr:uid="{B4C7B07F-535F-40F0-A155-E01A97FAE278}"/>
    <cellStyle name="Comma 6 3 2 6 9" xfId="31087" xr:uid="{C938C4F3-8A85-4A75-ABA4-861C38EC17DF}"/>
    <cellStyle name="Comma 6 3 2 7" xfId="1603" xr:uid="{09D810FD-D224-4958-95BA-053AA80352A4}"/>
    <cellStyle name="Comma 6 3 2 7 2" xfId="10675" xr:uid="{7CA7D9FD-CA06-47D4-9015-65E72ED00A0F}"/>
    <cellStyle name="Comma 6 3 2 7 2 2" xfId="25795" xr:uid="{EC44E4E4-9E48-461A-9BF4-401D1347326C}"/>
    <cellStyle name="Comma 6 3 2 7 2 2 2" xfId="56035" xr:uid="{CE99A4DD-CB50-4E34-9286-BDB6FF70A8CC}"/>
    <cellStyle name="Comma 6 3 2 7 2 3" xfId="40915" xr:uid="{40890A7A-1287-4540-B1AB-BD9BFA2B0285}"/>
    <cellStyle name="Comma 6 3 2 7 3" xfId="16723" xr:uid="{6E92065F-72EB-4554-9D83-A0805F16855A}"/>
    <cellStyle name="Comma 6 3 2 7 3 2" xfId="46963" xr:uid="{712A05B8-DC1F-42EF-89B9-00E1E3CBB662}"/>
    <cellStyle name="Comma 6 3 2 7 4" xfId="31843" xr:uid="{8FDED06C-616A-4E82-A620-9B918CF410A8}"/>
    <cellStyle name="Comma 6 3 2 8" xfId="3115" xr:uid="{3A22C72D-16D5-4923-B1B9-9BBEA5A7284F}"/>
    <cellStyle name="Comma 6 3 2 8 2" xfId="12187" xr:uid="{94A7526D-FBAE-4C93-9919-2A888320090A}"/>
    <cellStyle name="Comma 6 3 2 8 2 2" xfId="27307" xr:uid="{7DA27BB1-15CC-41CF-BE77-FCA768B029B3}"/>
    <cellStyle name="Comma 6 3 2 8 2 2 2" xfId="57547" xr:uid="{E8F2181B-8BCF-48F7-8640-0B68A33DD7FC}"/>
    <cellStyle name="Comma 6 3 2 8 2 3" xfId="42427" xr:uid="{8D7D05C4-8858-40C0-9E97-08A5839D6405}"/>
    <cellStyle name="Comma 6 3 2 8 3" xfId="18235" xr:uid="{F8F63028-C911-4313-8688-7DE532AEEAE8}"/>
    <cellStyle name="Comma 6 3 2 8 3 2" xfId="48475" xr:uid="{AAE98BA3-4AFC-4EA7-A125-51644BA66686}"/>
    <cellStyle name="Comma 6 3 2 8 4" xfId="33355" xr:uid="{095F90C6-9F1B-4A58-AB31-B6C4528E9402}"/>
    <cellStyle name="Comma 6 3 2 9" xfId="4627" xr:uid="{CF511DF3-3C52-4E12-8D57-0971B9A6CC4F}"/>
    <cellStyle name="Comma 6 3 2 9 2" xfId="13699" xr:uid="{FB11DD8B-30F0-42DC-94E1-E2E77E69E4BC}"/>
    <cellStyle name="Comma 6 3 2 9 2 2" xfId="28819" xr:uid="{09CE7798-E65B-46A9-9EC7-287645472DC1}"/>
    <cellStyle name="Comma 6 3 2 9 2 2 2" xfId="59059" xr:uid="{EF7835D0-C13A-4543-9F3F-3E2BCC6EA916}"/>
    <cellStyle name="Comma 6 3 2 9 2 3" xfId="43939" xr:uid="{A07C01B5-5BFF-42B6-95C8-5214E389A7A7}"/>
    <cellStyle name="Comma 6 3 2 9 3" xfId="19747" xr:uid="{488730BC-2C15-4F8D-91A6-1E0BDB1DE430}"/>
    <cellStyle name="Comma 6 3 2 9 3 2" xfId="49987" xr:uid="{A52B9FB3-D9FF-45B5-AE07-D881C81AFEE0}"/>
    <cellStyle name="Comma 6 3 2 9 4" xfId="34867" xr:uid="{AF1CCBB1-A1C4-4B1C-BDAA-A8EBA3D6E52D}"/>
    <cellStyle name="Comma 6 3 3" xfId="133" xr:uid="{6CEC7EB2-C91A-406B-8ADE-3358393A1807}"/>
    <cellStyle name="Comma 6 3 3 10" xfId="9205" xr:uid="{EDBAC49A-6CBD-4052-9668-1690E926294C}"/>
    <cellStyle name="Comma 6 3 3 10 2" xfId="24325" xr:uid="{C655CCE8-0766-4A9B-BBCD-3F830A4B3C7F}"/>
    <cellStyle name="Comma 6 3 3 10 2 2" xfId="54565" xr:uid="{AA46F73A-6FB6-4244-9539-68B6FC49C158}"/>
    <cellStyle name="Comma 6 3 3 10 3" xfId="39445" xr:uid="{C790455F-C0A7-4D66-B5E1-9C236BC4C34D}"/>
    <cellStyle name="Comma 6 3 3 11" xfId="15253" xr:uid="{39552497-D5EE-4339-9A6A-0D859ED1AFC8}"/>
    <cellStyle name="Comma 6 3 3 11 2" xfId="45493" xr:uid="{134A5BC3-A6F2-499C-A46A-B26972C020C3}"/>
    <cellStyle name="Comma 6 3 3 12" xfId="30373" xr:uid="{E79DB098-C950-4C72-87E7-9CCAD91FE7A1}"/>
    <cellStyle name="Comma 6 3 3 2" xfId="385" xr:uid="{30F6ACC5-B862-48F4-A3E7-E4E982B4AD25}"/>
    <cellStyle name="Comma 6 3 3 2 10" xfId="30625" xr:uid="{C80F02C0-CFEE-4B4D-9131-C5FC99ED6414}"/>
    <cellStyle name="Comma 6 3 3 2 2" xfId="1141" xr:uid="{8FC294A3-BC6A-4644-A993-645A04DE1599}"/>
    <cellStyle name="Comma 6 3 3 2 2 2" xfId="2653" xr:uid="{8CD1A9FD-8462-4473-B3C1-59606A6EA876}"/>
    <cellStyle name="Comma 6 3 3 2 2 2 2" xfId="11725" xr:uid="{7EA7397A-6B4C-43EF-B82E-6B3EA376B40F}"/>
    <cellStyle name="Comma 6 3 3 2 2 2 2 2" xfId="26845" xr:uid="{83A180AA-E6E7-423D-9E76-32F8024F53C5}"/>
    <cellStyle name="Comma 6 3 3 2 2 2 2 2 2" xfId="57085" xr:uid="{1ECFCBED-EC50-41DE-9A3B-FAE41DD427C4}"/>
    <cellStyle name="Comma 6 3 3 2 2 2 2 3" xfId="41965" xr:uid="{043160DD-869B-4500-A167-487546741B21}"/>
    <cellStyle name="Comma 6 3 3 2 2 2 3" xfId="17773" xr:uid="{674A3457-14EE-44D4-BCBB-EA96C0341683}"/>
    <cellStyle name="Comma 6 3 3 2 2 2 3 2" xfId="48013" xr:uid="{C443658F-0469-4ECD-937D-C54C82076BCB}"/>
    <cellStyle name="Comma 6 3 3 2 2 2 4" xfId="32893" xr:uid="{09168EF3-5E09-4C7B-9622-C67D2D6C83A1}"/>
    <cellStyle name="Comma 6 3 3 2 2 3" xfId="4165" xr:uid="{B64C68D8-796D-48FD-9B29-4D73F572AFD6}"/>
    <cellStyle name="Comma 6 3 3 2 2 3 2" xfId="13237" xr:uid="{6370835A-79C1-4F35-8797-069ABFADE858}"/>
    <cellStyle name="Comma 6 3 3 2 2 3 2 2" xfId="28357" xr:uid="{D442E12F-F631-4745-94CE-8D885579EA69}"/>
    <cellStyle name="Comma 6 3 3 2 2 3 2 2 2" xfId="58597" xr:uid="{FB987907-D962-4C9A-B438-E163C6128445}"/>
    <cellStyle name="Comma 6 3 3 2 2 3 2 3" xfId="43477" xr:uid="{6229854A-FE3E-4ADA-AA71-51E22CF606AE}"/>
    <cellStyle name="Comma 6 3 3 2 2 3 3" xfId="19285" xr:uid="{A002503D-9867-4CD8-9627-D2F0C9D12423}"/>
    <cellStyle name="Comma 6 3 3 2 2 3 3 2" xfId="49525" xr:uid="{552DA261-9923-4A69-BD86-D2E59135E1C0}"/>
    <cellStyle name="Comma 6 3 3 2 2 3 4" xfId="34405" xr:uid="{9BB2BC29-1D3C-4C56-93D2-CBD0DF67EDC2}"/>
    <cellStyle name="Comma 6 3 3 2 2 4" xfId="5677" xr:uid="{2E953EE1-319F-4F34-BF32-A29E086279B7}"/>
    <cellStyle name="Comma 6 3 3 2 2 4 2" xfId="14749" xr:uid="{79D87401-C67A-41F9-ADDC-458E2452A66F}"/>
    <cellStyle name="Comma 6 3 3 2 2 4 2 2" xfId="29869" xr:uid="{FCEA5228-6A0C-45A5-9C15-279A6A653CFD}"/>
    <cellStyle name="Comma 6 3 3 2 2 4 2 2 2" xfId="60109" xr:uid="{6AE33377-124C-4617-A858-96307D61232B}"/>
    <cellStyle name="Comma 6 3 3 2 2 4 2 3" xfId="44989" xr:uid="{C3E2CD2C-5483-4F21-A492-A8E4A3DFD932}"/>
    <cellStyle name="Comma 6 3 3 2 2 4 3" xfId="20797" xr:uid="{BF120255-654A-414C-B4E9-FC03FEF982FA}"/>
    <cellStyle name="Comma 6 3 3 2 2 4 3 2" xfId="51037" xr:uid="{9B79EC48-F884-48B8-BC18-F8F90AB1011F}"/>
    <cellStyle name="Comma 6 3 3 2 2 4 4" xfId="35917" xr:uid="{9367A6FD-CBE3-493E-A65A-76AC2B485B20}"/>
    <cellStyle name="Comma 6 3 3 2 2 5" xfId="7189" xr:uid="{AC581205-B5AB-414F-8142-C466A80507BD}"/>
    <cellStyle name="Comma 6 3 3 2 2 5 2" xfId="22309" xr:uid="{35E150AD-8FBF-48AE-B1F0-76B979D04D4C}"/>
    <cellStyle name="Comma 6 3 3 2 2 5 2 2" xfId="52549" xr:uid="{7384B15A-C0D7-4ADD-A2E2-EF90F82B744B}"/>
    <cellStyle name="Comma 6 3 3 2 2 5 3" xfId="37429" xr:uid="{4CDB298F-9EE9-4E5B-BF6E-668A8D888E7E}"/>
    <cellStyle name="Comma 6 3 3 2 2 6" xfId="8701" xr:uid="{911A3485-5F41-4F79-8343-A6B9DC85C523}"/>
    <cellStyle name="Comma 6 3 3 2 2 6 2" xfId="23821" xr:uid="{267145D9-90C0-4891-BBCA-88991981BA78}"/>
    <cellStyle name="Comma 6 3 3 2 2 6 2 2" xfId="54061" xr:uid="{3D3DCB86-5E6E-4D37-A430-72AFCB1C8389}"/>
    <cellStyle name="Comma 6 3 3 2 2 6 3" xfId="38941" xr:uid="{FDD2A13A-4D95-4064-B184-767C89D55B34}"/>
    <cellStyle name="Comma 6 3 3 2 2 7" xfId="10213" xr:uid="{38822102-12BF-4D87-A6F0-F72C82A20297}"/>
    <cellStyle name="Comma 6 3 3 2 2 7 2" xfId="25333" xr:uid="{BD100D8E-A9EA-40BA-A1D9-DCDC61915CF4}"/>
    <cellStyle name="Comma 6 3 3 2 2 7 2 2" xfId="55573" xr:uid="{2349E242-966F-4F3E-9FAE-5A3181889467}"/>
    <cellStyle name="Comma 6 3 3 2 2 7 3" xfId="40453" xr:uid="{573634F6-660D-4F8E-8158-E8D887D4F3A6}"/>
    <cellStyle name="Comma 6 3 3 2 2 8" xfId="16261" xr:uid="{8E4DE271-88B4-47F4-A5B6-F7F459613277}"/>
    <cellStyle name="Comma 6 3 3 2 2 8 2" xfId="46501" xr:uid="{938C5FDB-87B7-4D02-B348-778E9F880631}"/>
    <cellStyle name="Comma 6 3 3 2 2 9" xfId="31381" xr:uid="{E2529383-7017-4C0B-AAEE-95FFAED45755}"/>
    <cellStyle name="Comma 6 3 3 2 3" xfId="1897" xr:uid="{C0E0989B-56FE-4DCF-A1F2-70C3F859BBDE}"/>
    <cellStyle name="Comma 6 3 3 2 3 2" xfId="10969" xr:uid="{3D14D29A-EE69-48FA-91CB-5B3A6BC5E64A}"/>
    <cellStyle name="Comma 6 3 3 2 3 2 2" xfId="26089" xr:uid="{0F4CB87E-3EDD-4BAF-A97A-03170F177B0D}"/>
    <cellStyle name="Comma 6 3 3 2 3 2 2 2" xfId="56329" xr:uid="{1F93B07A-99BD-41A9-B519-FA3DA065C9E0}"/>
    <cellStyle name="Comma 6 3 3 2 3 2 3" xfId="41209" xr:uid="{A0A194F2-3080-4567-BEA9-6E2F93A7868C}"/>
    <cellStyle name="Comma 6 3 3 2 3 3" xfId="17017" xr:uid="{C64B27BD-C0C7-4FFD-9795-AAC5E06345B1}"/>
    <cellStyle name="Comma 6 3 3 2 3 3 2" xfId="47257" xr:uid="{6850F49A-93B4-4E1F-A10C-9DE4827745A6}"/>
    <cellStyle name="Comma 6 3 3 2 3 4" xfId="32137" xr:uid="{62209C87-0E26-45A1-A307-B1EB910AC179}"/>
    <cellStyle name="Comma 6 3 3 2 4" xfId="3409" xr:uid="{F1E7F5A7-1457-4F6E-8F53-D7B1E1C5BB87}"/>
    <cellStyle name="Comma 6 3 3 2 4 2" xfId="12481" xr:uid="{712AEC08-2545-4FD1-8EB0-18B866AAF0F4}"/>
    <cellStyle name="Comma 6 3 3 2 4 2 2" xfId="27601" xr:uid="{AF1B557F-BB57-40E2-81E2-4961F63D2C82}"/>
    <cellStyle name="Comma 6 3 3 2 4 2 2 2" xfId="57841" xr:uid="{82B7704E-E407-4E5C-864C-1928C1CC57A5}"/>
    <cellStyle name="Comma 6 3 3 2 4 2 3" xfId="42721" xr:uid="{5D8489E8-313B-4F5B-B793-F5F54AF0A1A2}"/>
    <cellStyle name="Comma 6 3 3 2 4 3" xfId="18529" xr:uid="{3AB78F7B-A378-4F4E-A1D4-72065F1AF0E1}"/>
    <cellStyle name="Comma 6 3 3 2 4 3 2" xfId="48769" xr:uid="{3CDF74DB-AD7B-4DC2-B0AA-4E2AE59EEDA4}"/>
    <cellStyle name="Comma 6 3 3 2 4 4" xfId="33649" xr:uid="{FA1ED7F2-7C2F-44A9-BFB3-69E1848F7441}"/>
    <cellStyle name="Comma 6 3 3 2 5" xfId="4921" xr:uid="{E10CC5B1-6A54-4F82-8F0D-AD425CA54002}"/>
    <cellStyle name="Comma 6 3 3 2 5 2" xfId="13993" xr:uid="{9E96EA5E-AE7E-4E7B-8325-E21594AEB056}"/>
    <cellStyle name="Comma 6 3 3 2 5 2 2" xfId="29113" xr:uid="{40606EC7-8BAA-4E8B-81D4-B6A12D9F98A5}"/>
    <cellStyle name="Comma 6 3 3 2 5 2 2 2" xfId="59353" xr:uid="{38A2B024-713C-4787-85FB-47B17D3495B7}"/>
    <cellStyle name="Comma 6 3 3 2 5 2 3" xfId="44233" xr:uid="{B79D5B9F-E961-4C54-BAB7-4B17AE579A92}"/>
    <cellStyle name="Comma 6 3 3 2 5 3" xfId="20041" xr:uid="{0D0D4F86-881C-47F9-890B-CBD06FE0D260}"/>
    <cellStyle name="Comma 6 3 3 2 5 3 2" xfId="50281" xr:uid="{2E314350-A851-4972-98D4-5E44DEC3436E}"/>
    <cellStyle name="Comma 6 3 3 2 5 4" xfId="35161" xr:uid="{F5947F3F-6D60-41D1-882E-20DD3B8B6D31}"/>
    <cellStyle name="Comma 6 3 3 2 6" xfId="6433" xr:uid="{0E48D547-9A17-4133-A50D-E8B91A325222}"/>
    <cellStyle name="Comma 6 3 3 2 6 2" xfId="21553" xr:uid="{6031744B-2D3C-4FC3-8F3A-EFDE9FDBF7BB}"/>
    <cellStyle name="Comma 6 3 3 2 6 2 2" xfId="51793" xr:uid="{427252C3-89D1-45C7-AEDA-248EF9A5A1BD}"/>
    <cellStyle name="Comma 6 3 3 2 6 3" xfId="36673" xr:uid="{8F6B09F8-8892-4B06-9223-59046B839BE1}"/>
    <cellStyle name="Comma 6 3 3 2 7" xfId="7945" xr:uid="{4E33A117-2A40-45AF-82DC-0BD6288E3036}"/>
    <cellStyle name="Comma 6 3 3 2 7 2" xfId="23065" xr:uid="{DE16F237-4960-43EF-B23C-642ED81599D1}"/>
    <cellStyle name="Comma 6 3 3 2 7 2 2" xfId="53305" xr:uid="{67FDC93E-DC21-43D5-99C1-32DF2CE99198}"/>
    <cellStyle name="Comma 6 3 3 2 7 3" xfId="38185" xr:uid="{09A3A3D3-3145-4B3D-BE3B-FCD6F8DB3331}"/>
    <cellStyle name="Comma 6 3 3 2 8" xfId="9457" xr:uid="{541C0CBF-2879-4CAD-8062-590BD66CEF1F}"/>
    <cellStyle name="Comma 6 3 3 2 8 2" xfId="24577" xr:uid="{A133384F-D4FE-43A6-A285-9ADAC07B5557}"/>
    <cellStyle name="Comma 6 3 3 2 8 2 2" xfId="54817" xr:uid="{C11EBE49-B57C-4C1F-BDBC-70ED92E9FC11}"/>
    <cellStyle name="Comma 6 3 3 2 8 3" xfId="39697" xr:uid="{CC395EF6-5BCA-4E8F-8FE5-A80B38A2EA0A}"/>
    <cellStyle name="Comma 6 3 3 2 9" xfId="15505" xr:uid="{1EF599B3-D6D8-4D4B-8E12-B9E8532E84FA}"/>
    <cellStyle name="Comma 6 3 3 2 9 2" xfId="45745" xr:uid="{5BC967C6-CD9E-4970-BDB5-D28BAF32CB20}"/>
    <cellStyle name="Comma 6 3 3 3" xfId="637" xr:uid="{D94E2A0B-671A-4C46-AECA-5BEABC41B8B0}"/>
    <cellStyle name="Comma 6 3 3 3 10" xfId="30877" xr:uid="{A9CB34C6-3AB0-4024-8ACE-10A69BD53BCD}"/>
    <cellStyle name="Comma 6 3 3 3 2" xfId="1393" xr:uid="{F96F263F-3978-4BD3-8D00-25C19D044364}"/>
    <cellStyle name="Comma 6 3 3 3 2 2" xfId="2905" xr:uid="{5661BF4A-6342-4FB9-9F2D-C624231276BB}"/>
    <cellStyle name="Comma 6 3 3 3 2 2 2" xfId="11977" xr:uid="{8B0FA1A3-93B7-4CC4-A1D6-864E09C6C2C1}"/>
    <cellStyle name="Comma 6 3 3 3 2 2 2 2" xfId="27097" xr:uid="{288FF21E-6AF0-4EB7-827F-A346D0580580}"/>
    <cellStyle name="Comma 6 3 3 3 2 2 2 2 2" xfId="57337" xr:uid="{A1C0C944-2C63-49A8-B08E-5718D3E8276B}"/>
    <cellStyle name="Comma 6 3 3 3 2 2 2 3" xfId="42217" xr:uid="{E70F4728-D007-4B78-B295-84897533907A}"/>
    <cellStyle name="Comma 6 3 3 3 2 2 3" xfId="18025" xr:uid="{B1EDE69E-BADC-4771-9C7A-F7EEDCC6215A}"/>
    <cellStyle name="Comma 6 3 3 3 2 2 3 2" xfId="48265" xr:uid="{3E222AB8-CAC3-4712-9C88-395E3196C59B}"/>
    <cellStyle name="Comma 6 3 3 3 2 2 4" xfId="33145" xr:uid="{F41ADDFE-B9B1-4F78-A6E8-B842BBED37CB}"/>
    <cellStyle name="Comma 6 3 3 3 2 3" xfId="4417" xr:uid="{D29E54DE-C833-4A34-AE25-E36D132BF988}"/>
    <cellStyle name="Comma 6 3 3 3 2 3 2" xfId="13489" xr:uid="{969AD93C-84D7-4D15-BC5F-EA1099A4C704}"/>
    <cellStyle name="Comma 6 3 3 3 2 3 2 2" xfId="28609" xr:uid="{5E8BDC09-DC9E-47A7-85D4-09CC49B0A677}"/>
    <cellStyle name="Comma 6 3 3 3 2 3 2 2 2" xfId="58849" xr:uid="{1396EB5A-EE9A-44CC-A16A-3E548AD41738}"/>
    <cellStyle name="Comma 6 3 3 3 2 3 2 3" xfId="43729" xr:uid="{AF5BE075-AF21-4639-AF17-BC585767CE27}"/>
    <cellStyle name="Comma 6 3 3 3 2 3 3" xfId="19537" xr:uid="{14503E7E-2212-450A-BE6D-E7A81432AC5D}"/>
    <cellStyle name="Comma 6 3 3 3 2 3 3 2" xfId="49777" xr:uid="{0E0A0680-8C4B-44C4-9241-4E731A08ED8B}"/>
    <cellStyle name="Comma 6 3 3 3 2 3 4" xfId="34657" xr:uid="{7C6EEF8A-AD73-4822-9C34-5A7E4505FF4F}"/>
    <cellStyle name="Comma 6 3 3 3 2 4" xfId="5929" xr:uid="{115498CB-8356-4F45-8CE6-D27D8A71580E}"/>
    <cellStyle name="Comma 6 3 3 3 2 4 2" xfId="15001" xr:uid="{4E761BE5-D736-4B43-96F3-E87D3DABB626}"/>
    <cellStyle name="Comma 6 3 3 3 2 4 2 2" xfId="30121" xr:uid="{B51B4C57-DAB8-43F1-B4C2-93A4429AAC11}"/>
    <cellStyle name="Comma 6 3 3 3 2 4 2 2 2" xfId="60361" xr:uid="{3A87FD66-11F6-4AF2-A00C-CA598A77CE52}"/>
    <cellStyle name="Comma 6 3 3 3 2 4 2 3" xfId="45241" xr:uid="{B81C2078-4806-4F7D-A268-ADA65D437D91}"/>
    <cellStyle name="Comma 6 3 3 3 2 4 3" xfId="21049" xr:uid="{80930440-BD1E-4BF3-995E-72CF591AB998}"/>
    <cellStyle name="Comma 6 3 3 3 2 4 3 2" xfId="51289" xr:uid="{0E35634D-3679-43E1-B229-B19083168BFC}"/>
    <cellStyle name="Comma 6 3 3 3 2 4 4" xfId="36169" xr:uid="{CA64CA11-3F97-459D-B476-C631FD968AC5}"/>
    <cellStyle name="Comma 6 3 3 3 2 5" xfId="7441" xr:uid="{C0F0FCA5-8CDC-4728-A4F3-E71A87911800}"/>
    <cellStyle name="Comma 6 3 3 3 2 5 2" xfId="22561" xr:uid="{FB9B5043-A4B4-49A9-84D9-5F2A05716AE6}"/>
    <cellStyle name="Comma 6 3 3 3 2 5 2 2" xfId="52801" xr:uid="{3286F260-AD84-4717-9BFB-AD406FCEF883}"/>
    <cellStyle name="Comma 6 3 3 3 2 5 3" xfId="37681" xr:uid="{AB731F03-8663-4DF7-BF5F-DFD8BB3B02BE}"/>
    <cellStyle name="Comma 6 3 3 3 2 6" xfId="8953" xr:uid="{336EFB60-BE96-4639-A859-C54908964708}"/>
    <cellStyle name="Comma 6 3 3 3 2 6 2" xfId="24073" xr:uid="{2CE6434B-4280-430C-A21F-76B351B1EE48}"/>
    <cellStyle name="Comma 6 3 3 3 2 6 2 2" xfId="54313" xr:uid="{2B2F653C-5190-4660-BC37-6322DD0F49B8}"/>
    <cellStyle name="Comma 6 3 3 3 2 6 3" xfId="39193" xr:uid="{8C1FC0EF-24C1-41C5-9409-0DA28BF0F05C}"/>
    <cellStyle name="Comma 6 3 3 3 2 7" xfId="10465" xr:uid="{53AA9566-6CB7-4FFC-ABD3-180A8C4F6DE6}"/>
    <cellStyle name="Comma 6 3 3 3 2 7 2" xfId="25585" xr:uid="{F8ED93B4-EF9A-49DC-B0C8-2EE905A2CE64}"/>
    <cellStyle name="Comma 6 3 3 3 2 7 2 2" xfId="55825" xr:uid="{F1CDC52B-1D7A-4648-B070-0CF834854E20}"/>
    <cellStyle name="Comma 6 3 3 3 2 7 3" xfId="40705" xr:uid="{DB0FB65E-CCC2-4908-A6E9-3AA8F0C98170}"/>
    <cellStyle name="Comma 6 3 3 3 2 8" xfId="16513" xr:uid="{7C8C61F4-EDC1-4854-BDA9-1F26EF1F7E23}"/>
    <cellStyle name="Comma 6 3 3 3 2 8 2" xfId="46753" xr:uid="{AF723381-54EC-48C1-99B3-E34524DC691B}"/>
    <cellStyle name="Comma 6 3 3 3 2 9" xfId="31633" xr:uid="{A95771F9-E392-4ADB-A1E3-4EB0F4120E3A}"/>
    <cellStyle name="Comma 6 3 3 3 3" xfId="2149" xr:uid="{81D2F883-1DA1-484F-A891-31B6FB0F45EF}"/>
    <cellStyle name="Comma 6 3 3 3 3 2" xfId="11221" xr:uid="{4AD7DF36-72DB-4147-BCB6-4C258E8AA108}"/>
    <cellStyle name="Comma 6 3 3 3 3 2 2" xfId="26341" xr:uid="{3AEEE6A2-E9CA-4492-BA45-8D495C1E992D}"/>
    <cellStyle name="Comma 6 3 3 3 3 2 2 2" xfId="56581" xr:uid="{97C3CEA6-6D55-4602-8CFC-4C1D8B05C614}"/>
    <cellStyle name="Comma 6 3 3 3 3 2 3" xfId="41461" xr:uid="{5EC40989-733C-4244-8136-E20674555674}"/>
    <cellStyle name="Comma 6 3 3 3 3 3" xfId="17269" xr:uid="{EAAAAA2D-BE15-4736-BE18-0E91EAD450F3}"/>
    <cellStyle name="Comma 6 3 3 3 3 3 2" xfId="47509" xr:uid="{46AE4B14-DFE8-419C-9275-CBCED745CE25}"/>
    <cellStyle name="Comma 6 3 3 3 3 4" xfId="32389" xr:uid="{4B489601-9726-420F-98E3-1FDA4BC5A7F9}"/>
    <cellStyle name="Comma 6 3 3 3 4" xfId="3661" xr:uid="{8BF80900-F808-4F25-A31F-EF85BD7A2DDF}"/>
    <cellStyle name="Comma 6 3 3 3 4 2" xfId="12733" xr:uid="{339C6C50-6E54-439D-9A2D-A7739485FC2F}"/>
    <cellStyle name="Comma 6 3 3 3 4 2 2" xfId="27853" xr:uid="{32BE51F5-ADF1-4AC7-8384-3D5928EAB691}"/>
    <cellStyle name="Comma 6 3 3 3 4 2 2 2" xfId="58093" xr:uid="{18BA1E70-C829-48F3-9971-DDDB185C4BAB}"/>
    <cellStyle name="Comma 6 3 3 3 4 2 3" xfId="42973" xr:uid="{000D6737-F037-4CF8-9378-4759C0DF4D99}"/>
    <cellStyle name="Comma 6 3 3 3 4 3" xfId="18781" xr:uid="{C6C44103-7992-4C01-9DD5-55163CF1442D}"/>
    <cellStyle name="Comma 6 3 3 3 4 3 2" xfId="49021" xr:uid="{9D88661C-8F43-41E9-B29C-E047739831CD}"/>
    <cellStyle name="Comma 6 3 3 3 4 4" xfId="33901" xr:uid="{C84C9DE6-0376-4382-9498-2218C2F083DC}"/>
    <cellStyle name="Comma 6 3 3 3 5" xfId="5173" xr:uid="{D71CED72-5E92-4F43-931E-D6DD5C0D0DF9}"/>
    <cellStyle name="Comma 6 3 3 3 5 2" xfId="14245" xr:uid="{E36B4B24-6399-44B4-9B78-F49E5B71C9EA}"/>
    <cellStyle name="Comma 6 3 3 3 5 2 2" xfId="29365" xr:uid="{E5927712-AC60-4D0B-B823-E7D25C04AC6E}"/>
    <cellStyle name="Comma 6 3 3 3 5 2 2 2" xfId="59605" xr:uid="{4FAA9713-28DF-4FF2-9BBB-96E7A0C5DB29}"/>
    <cellStyle name="Comma 6 3 3 3 5 2 3" xfId="44485" xr:uid="{67EC9B84-3B0F-4709-B2E8-2FF63A76E441}"/>
    <cellStyle name="Comma 6 3 3 3 5 3" xfId="20293" xr:uid="{2FF8F0AB-CEB3-40F5-B036-23E8AB3A3D03}"/>
    <cellStyle name="Comma 6 3 3 3 5 3 2" xfId="50533" xr:uid="{A3A160ED-4E9A-4FEC-8020-2A4D19B7E2CA}"/>
    <cellStyle name="Comma 6 3 3 3 5 4" xfId="35413" xr:uid="{DE87B5F7-8C2F-4A8D-981C-8D93DB4CEEBA}"/>
    <cellStyle name="Comma 6 3 3 3 6" xfId="6685" xr:uid="{8351D67B-57BF-4FAA-8EE3-593C64C7EE0C}"/>
    <cellStyle name="Comma 6 3 3 3 6 2" xfId="21805" xr:uid="{486B7326-38F3-484E-8DDE-549BDBDAA91C}"/>
    <cellStyle name="Comma 6 3 3 3 6 2 2" xfId="52045" xr:uid="{6B81CC61-1B99-4D5F-BE03-CF0F52101ADB}"/>
    <cellStyle name="Comma 6 3 3 3 6 3" xfId="36925" xr:uid="{399E283C-E66E-4BF4-B23D-93C101B6E10F}"/>
    <cellStyle name="Comma 6 3 3 3 7" xfId="8197" xr:uid="{D6AAD7BC-752A-491E-8185-8882D402D049}"/>
    <cellStyle name="Comma 6 3 3 3 7 2" xfId="23317" xr:uid="{42A52BB5-310D-43DE-B975-8517E38150D5}"/>
    <cellStyle name="Comma 6 3 3 3 7 2 2" xfId="53557" xr:uid="{706B349F-5FE9-41AA-8F91-CAEC2D1E4559}"/>
    <cellStyle name="Comma 6 3 3 3 7 3" xfId="38437" xr:uid="{E80DC044-E5ED-4162-ACB8-BFC0B49C537E}"/>
    <cellStyle name="Comma 6 3 3 3 8" xfId="9709" xr:uid="{9242C5E5-3D4E-4377-AF25-76AB6FFA2603}"/>
    <cellStyle name="Comma 6 3 3 3 8 2" xfId="24829" xr:uid="{A73ECDCE-8937-4968-B08A-271A5256E192}"/>
    <cellStyle name="Comma 6 3 3 3 8 2 2" xfId="55069" xr:uid="{39CA27DE-72D5-4225-8E5C-3F4ADAF1FA9E}"/>
    <cellStyle name="Comma 6 3 3 3 8 3" xfId="39949" xr:uid="{FC1151F8-818A-48B0-B091-4F0199A2CF5B}"/>
    <cellStyle name="Comma 6 3 3 3 9" xfId="15757" xr:uid="{A861F5DE-2FEE-4DD8-9B9C-B6F5219B8F3C}"/>
    <cellStyle name="Comma 6 3 3 3 9 2" xfId="45997" xr:uid="{244BECE6-785C-4F7D-A900-C8144DFFE8EF}"/>
    <cellStyle name="Comma 6 3 3 4" xfId="889" xr:uid="{733DCF3D-5521-4358-B9DB-5DDE2B0AB18B}"/>
    <cellStyle name="Comma 6 3 3 4 2" xfId="2401" xr:uid="{C2414103-AA0F-44D8-B7E8-A8BCFD780A80}"/>
    <cellStyle name="Comma 6 3 3 4 2 2" xfId="11473" xr:uid="{E47976E9-1136-4731-A08E-6671FC900003}"/>
    <cellStyle name="Comma 6 3 3 4 2 2 2" xfId="26593" xr:uid="{2F364FA3-1BF4-48A0-98AE-46568DCB532B}"/>
    <cellStyle name="Comma 6 3 3 4 2 2 2 2" xfId="56833" xr:uid="{56C015BB-7903-4AA2-9732-719535E29464}"/>
    <cellStyle name="Comma 6 3 3 4 2 2 3" xfId="41713" xr:uid="{6AEDE53E-3A53-4CBC-9EE7-17258E27DD76}"/>
    <cellStyle name="Comma 6 3 3 4 2 3" xfId="17521" xr:uid="{A5A2D0E0-A743-4B69-8FF2-ED4274CCCC76}"/>
    <cellStyle name="Comma 6 3 3 4 2 3 2" xfId="47761" xr:uid="{2D15A28D-AB50-4DE6-9B3E-8CEE5E31F95E}"/>
    <cellStyle name="Comma 6 3 3 4 2 4" xfId="32641" xr:uid="{91BC66F1-3FE9-4528-8B3C-76A82FFE4EE6}"/>
    <cellStyle name="Comma 6 3 3 4 3" xfId="3913" xr:uid="{023FD4A3-132B-4DF2-9DB7-E1A6D03C1140}"/>
    <cellStyle name="Comma 6 3 3 4 3 2" xfId="12985" xr:uid="{71BEBE34-4449-4B73-B553-C43F97D4AD3A}"/>
    <cellStyle name="Comma 6 3 3 4 3 2 2" xfId="28105" xr:uid="{412C5997-8C62-4C77-9AF2-12133D23A1F0}"/>
    <cellStyle name="Comma 6 3 3 4 3 2 2 2" xfId="58345" xr:uid="{DE4033A9-FBBC-4B73-AC5E-090D02571FC4}"/>
    <cellStyle name="Comma 6 3 3 4 3 2 3" xfId="43225" xr:uid="{EE054F53-4DC5-42F1-86E9-D7B9DEBFE7D6}"/>
    <cellStyle name="Comma 6 3 3 4 3 3" xfId="19033" xr:uid="{7D9FC872-D80A-4329-B01F-B1E884D405CE}"/>
    <cellStyle name="Comma 6 3 3 4 3 3 2" xfId="49273" xr:uid="{9DAF91A6-181F-4017-933C-44A16EBE1F9E}"/>
    <cellStyle name="Comma 6 3 3 4 3 4" xfId="34153" xr:uid="{C680784F-EA4F-486C-A228-508F16C4F00C}"/>
    <cellStyle name="Comma 6 3 3 4 4" xfId="5425" xr:uid="{BB175575-8028-466C-BD26-CF85D9A39EFD}"/>
    <cellStyle name="Comma 6 3 3 4 4 2" xfId="14497" xr:uid="{ABE95CFD-75B7-47B8-BC47-427C6D851CCA}"/>
    <cellStyle name="Comma 6 3 3 4 4 2 2" xfId="29617" xr:uid="{08AC3799-D9A4-4774-8F62-7C74ED34426D}"/>
    <cellStyle name="Comma 6 3 3 4 4 2 2 2" xfId="59857" xr:uid="{DB7C4C28-AF7D-46DA-B596-3AD851198851}"/>
    <cellStyle name="Comma 6 3 3 4 4 2 3" xfId="44737" xr:uid="{9DC3BA2C-7C2C-4855-A5BE-91CED1A3D78B}"/>
    <cellStyle name="Comma 6 3 3 4 4 3" xfId="20545" xr:uid="{EA5AF957-344B-404B-B25D-A7662143FFEE}"/>
    <cellStyle name="Comma 6 3 3 4 4 3 2" xfId="50785" xr:uid="{320F5AE9-8034-413F-A9C6-771312DA6051}"/>
    <cellStyle name="Comma 6 3 3 4 4 4" xfId="35665" xr:uid="{EE340109-2EB8-4A08-AE4B-BF93BC3547DF}"/>
    <cellStyle name="Comma 6 3 3 4 5" xfId="6937" xr:uid="{00142259-68BE-48E2-9C12-0219B05CF42E}"/>
    <cellStyle name="Comma 6 3 3 4 5 2" xfId="22057" xr:uid="{046ABAFC-5948-4509-AF64-5C8B70284D8C}"/>
    <cellStyle name="Comma 6 3 3 4 5 2 2" xfId="52297" xr:uid="{35FE5D4E-42E2-4D8A-A611-EF20DD533A3A}"/>
    <cellStyle name="Comma 6 3 3 4 5 3" xfId="37177" xr:uid="{9AA1F787-3A10-4B62-AD2A-1067CA73B3A6}"/>
    <cellStyle name="Comma 6 3 3 4 6" xfId="8449" xr:uid="{505EA4BF-287C-40A5-A233-DBB6C1E39EDC}"/>
    <cellStyle name="Comma 6 3 3 4 6 2" xfId="23569" xr:uid="{A8E88C67-56D5-49F3-B896-DE8BB6EC7F74}"/>
    <cellStyle name="Comma 6 3 3 4 6 2 2" xfId="53809" xr:uid="{43C967C1-6FD8-47CF-8BCF-F178162FED04}"/>
    <cellStyle name="Comma 6 3 3 4 6 3" xfId="38689" xr:uid="{87C4D57A-5394-4746-B3C5-62FD9AC953DB}"/>
    <cellStyle name="Comma 6 3 3 4 7" xfId="9961" xr:uid="{62AEDF46-3D48-487D-9614-A19F24E8D8D6}"/>
    <cellStyle name="Comma 6 3 3 4 7 2" xfId="25081" xr:uid="{6EA2E2E2-081A-4DA9-97EA-C6F564C82E66}"/>
    <cellStyle name="Comma 6 3 3 4 7 2 2" xfId="55321" xr:uid="{7E7FED1D-EAD8-41F6-9B16-C959AEED9362}"/>
    <cellStyle name="Comma 6 3 3 4 7 3" xfId="40201" xr:uid="{69068E2B-F036-42F2-A2D8-CCC412BFB565}"/>
    <cellStyle name="Comma 6 3 3 4 8" xfId="16009" xr:uid="{C962AD6C-FA1B-4455-81DD-10B55B818DD3}"/>
    <cellStyle name="Comma 6 3 3 4 8 2" xfId="46249" xr:uid="{9DD48304-ED7C-46A5-899E-2746F67DB48F}"/>
    <cellStyle name="Comma 6 3 3 4 9" xfId="31129" xr:uid="{1A6CF396-E287-4E16-84FC-31AE330C1781}"/>
    <cellStyle name="Comma 6 3 3 5" xfId="1645" xr:uid="{DC2FFFA5-CC58-4F5A-9C2E-7576A513B1C6}"/>
    <cellStyle name="Comma 6 3 3 5 2" xfId="10717" xr:uid="{CD8CD92F-D0C1-4732-B527-BC0B0017BCB8}"/>
    <cellStyle name="Comma 6 3 3 5 2 2" xfId="25837" xr:uid="{EE861674-0911-4E47-9CE7-0F405D9CA4FD}"/>
    <cellStyle name="Comma 6 3 3 5 2 2 2" xfId="56077" xr:uid="{AC013633-08DD-4B41-889D-C772076EA778}"/>
    <cellStyle name="Comma 6 3 3 5 2 3" xfId="40957" xr:uid="{327C0BD9-282A-47D2-89B2-5B86A46C09D4}"/>
    <cellStyle name="Comma 6 3 3 5 3" xfId="16765" xr:uid="{43EFE3F1-2734-401B-9AB8-680FDBEF2DA9}"/>
    <cellStyle name="Comma 6 3 3 5 3 2" xfId="47005" xr:uid="{B801295E-BCC8-4189-9CD2-89B2FC560E26}"/>
    <cellStyle name="Comma 6 3 3 5 4" xfId="31885" xr:uid="{D4FC3425-AED3-428E-A3F2-63C728E7ADC3}"/>
    <cellStyle name="Comma 6 3 3 6" xfId="3157" xr:uid="{F0739F26-F4D2-40B7-AAAD-AF24E4548D65}"/>
    <cellStyle name="Comma 6 3 3 6 2" xfId="12229" xr:uid="{A2D8B3F7-23CE-4144-93A6-5E814494C36C}"/>
    <cellStyle name="Comma 6 3 3 6 2 2" xfId="27349" xr:uid="{7C53CC3F-A146-4D02-88B3-4F76036E283C}"/>
    <cellStyle name="Comma 6 3 3 6 2 2 2" xfId="57589" xr:uid="{1BB73271-80C4-4F30-A535-4E858CF9F629}"/>
    <cellStyle name="Comma 6 3 3 6 2 3" xfId="42469" xr:uid="{CD1FF238-C92C-49A7-92E3-9BED61B53134}"/>
    <cellStyle name="Comma 6 3 3 6 3" xfId="18277" xr:uid="{7044DF35-E5B5-40D0-A4AD-8A2E7A863213}"/>
    <cellStyle name="Comma 6 3 3 6 3 2" xfId="48517" xr:uid="{1327B48E-8F77-46F4-A2C1-8AFCBBF17F81}"/>
    <cellStyle name="Comma 6 3 3 6 4" xfId="33397" xr:uid="{5E243F6E-7D59-4646-A619-CB5891D9E8BB}"/>
    <cellStyle name="Comma 6 3 3 7" xfId="4669" xr:uid="{E8FE5BB9-FFBA-4C45-A9F8-36BD79D32D5A}"/>
    <cellStyle name="Comma 6 3 3 7 2" xfId="13741" xr:uid="{AD4B0F2C-0CAF-4B8B-A58A-4588B55BAF69}"/>
    <cellStyle name="Comma 6 3 3 7 2 2" xfId="28861" xr:uid="{FE4EB492-EB03-4DB7-8444-A52BCC6F736A}"/>
    <cellStyle name="Comma 6 3 3 7 2 2 2" xfId="59101" xr:uid="{AEAA2D2A-2740-4276-A393-6C4FCC7F6027}"/>
    <cellStyle name="Comma 6 3 3 7 2 3" xfId="43981" xr:uid="{BFFA4DCA-1E63-4209-A7C3-5B6C4741DF2D}"/>
    <cellStyle name="Comma 6 3 3 7 3" xfId="19789" xr:uid="{EDDE5044-8364-435F-B861-35B9C37B4EDC}"/>
    <cellStyle name="Comma 6 3 3 7 3 2" xfId="50029" xr:uid="{8DE531A9-FB1B-4723-9AB8-0D1EA973EB3A}"/>
    <cellStyle name="Comma 6 3 3 7 4" xfId="34909" xr:uid="{AC145C30-158F-4AC9-9F7A-304305572545}"/>
    <cellStyle name="Comma 6 3 3 8" xfId="6181" xr:uid="{63B2921A-FEF7-4C62-9A3F-B8EE8A649A1C}"/>
    <cellStyle name="Comma 6 3 3 8 2" xfId="21301" xr:uid="{8581BED8-4EA5-4060-9A29-B283C9C68399}"/>
    <cellStyle name="Comma 6 3 3 8 2 2" xfId="51541" xr:uid="{395C83FB-29EA-4786-994A-80263545E78F}"/>
    <cellStyle name="Comma 6 3 3 8 3" xfId="36421" xr:uid="{37024CDE-C806-4388-A5B7-4148AAEDB2BA}"/>
    <cellStyle name="Comma 6 3 3 9" xfId="7693" xr:uid="{7C221BCA-422C-47E8-867F-A9B887E321A3}"/>
    <cellStyle name="Comma 6 3 3 9 2" xfId="22813" xr:uid="{4E54704C-4000-4668-8453-14625E2E4193}"/>
    <cellStyle name="Comma 6 3 3 9 2 2" xfId="53053" xr:uid="{A26D364E-4B67-4FE2-BA34-44E0015C8465}"/>
    <cellStyle name="Comma 6 3 3 9 3" xfId="37933" xr:uid="{BB4EC0BD-630C-4E36-B14E-E5F80BD3EA48}"/>
    <cellStyle name="Comma 6 3 4" xfId="217" xr:uid="{C6785EC5-68BB-42F5-8F5F-7F5A5CF3AFE9}"/>
    <cellStyle name="Comma 6 3 4 10" xfId="9289" xr:uid="{E918CD63-100A-46E7-B381-BE250172E377}"/>
    <cellStyle name="Comma 6 3 4 10 2" xfId="24409" xr:uid="{4E941CF1-DA65-471E-A8C4-8B8810DF435C}"/>
    <cellStyle name="Comma 6 3 4 10 2 2" xfId="54649" xr:uid="{4FFC684B-BC94-4F26-A31C-16CE9F25B2C2}"/>
    <cellStyle name="Comma 6 3 4 10 3" xfId="39529" xr:uid="{B72B4FFD-35F6-4AD7-8EEA-86DE7AE11517}"/>
    <cellStyle name="Comma 6 3 4 11" xfId="15337" xr:uid="{B22B76C4-B653-4B56-9A58-B04325B2FBE9}"/>
    <cellStyle name="Comma 6 3 4 11 2" xfId="45577" xr:uid="{1D589850-1BD6-4ABD-AFF1-6BAD3D045159}"/>
    <cellStyle name="Comma 6 3 4 12" xfId="30457" xr:uid="{4EB951A2-9954-48DF-8E12-9FB3EA3D79D0}"/>
    <cellStyle name="Comma 6 3 4 2" xfId="469" xr:uid="{A421D81D-E238-489C-A5EC-547B2AE55F2F}"/>
    <cellStyle name="Comma 6 3 4 2 10" xfId="30709" xr:uid="{76C87408-275A-4472-9016-79739A9B9985}"/>
    <cellStyle name="Comma 6 3 4 2 2" xfId="1225" xr:uid="{2E9D3CF5-08D2-430B-98B9-98E91DC278D1}"/>
    <cellStyle name="Comma 6 3 4 2 2 2" xfId="2737" xr:uid="{CD518D0D-28F7-470C-BCAA-71C0FA06FDD0}"/>
    <cellStyle name="Comma 6 3 4 2 2 2 2" xfId="11809" xr:uid="{D8CA0542-FF80-4155-8F37-5077BF8BDF9E}"/>
    <cellStyle name="Comma 6 3 4 2 2 2 2 2" xfId="26929" xr:uid="{83484684-55E1-42E8-8F61-6E8C0DA4D443}"/>
    <cellStyle name="Comma 6 3 4 2 2 2 2 2 2" xfId="57169" xr:uid="{11A0B8CE-66D7-4196-81DA-B58B3CE7EE20}"/>
    <cellStyle name="Comma 6 3 4 2 2 2 2 3" xfId="42049" xr:uid="{A20F8794-7FBF-4369-A29E-9F63B5DA1CE4}"/>
    <cellStyle name="Comma 6 3 4 2 2 2 3" xfId="17857" xr:uid="{35673B9C-39FA-4B89-AF67-B845417180FB}"/>
    <cellStyle name="Comma 6 3 4 2 2 2 3 2" xfId="48097" xr:uid="{402D538D-760A-409A-A84C-94B9F585010C}"/>
    <cellStyle name="Comma 6 3 4 2 2 2 4" xfId="32977" xr:uid="{A2AF83FC-4A37-4AED-B1C2-CE9F0A0687BA}"/>
    <cellStyle name="Comma 6 3 4 2 2 3" xfId="4249" xr:uid="{10692E35-0C98-487F-9627-135D5F78AF05}"/>
    <cellStyle name="Comma 6 3 4 2 2 3 2" xfId="13321" xr:uid="{2E225547-3FA3-4707-86D5-6C1B962B4AEC}"/>
    <cellStyle name="Comma 6 3 4 2 2 3 2 2" xfId="28441" xr:uid="{579BB783-879B-4557-8B4B-1C018C87D1E8}"/>
    <cellStyle name="Comma 6 3 4 2 2 3 2 2 2" xfId="58681" xr:uid="{27719F24-5305-48E1-A98E-9D8645B190A3}"/>
    <cellStyle name="Comma 6 3 4 2 2 3 2 3" xfId="43561" xr:uid="{00ACEBEA-31B0-417B-B8DF-CFCE4AA803EE}"/>
    <cellStyle name="Comma 6 3 4 2 2 3 3" xfId="19369" xr:uid="{92581708-452D-46F5-9DF1-13143FF6B53A}"/>
    <cellStyle name="Comma 6 3 4 2 2 3 3 2" xfId="49609" xr:uid="{75B81D23-E7AE-4360-ABF5-2F9C3C92A76B}"/>
    <cellStyle name="Comma 6 3 4 2 2 3 4" xfId="34489" xr:uid="{40475B01-9063-4491-AD9A-3E07BFB46036}"/>
    <cellStyle name="Comma 6 3 4 2 2 4" xfId="5761" xr:uid="{42A8327C-C1D1-4977-928D-3E3F0A3759D7}"/>
    <cellStyle name="Comma 6 3 4 2 2 4 2" xfId="14833" xr:uid="{F6A212F0-5D43-46EB-96BB-BF9A9692A461}"/>
    <cellStyle name="Comma 6 3 4 2 2 4 2 2" xfId="29953" xr:uid="{9FC554BC-537C-4EA6-999B-9220F9FA07BD}"/>
    <cellStyle name="Comma 6 3 4 2 2 4 2 2 2" xfId="60193" xr:uid="{0212BE0A-4C48-4CEC-A7DB-2C1E21C53298}"/>
    <cellStyle name="Comma 6 3 4 2 2 4 2 3" xfId="45073" xr:uid="{080D2D45-202A-4B79-A918-A86E70BE7AC9}"/>
    <cellStyle name="Comma 6 3 4 2 2 4 3" xfId="20881" xr:uid="{D3CA8C01-2E09-4C42-AB48-9689E74E335A}"/>
    <cellStyle name="Comma 6 3 4 2 2 4 3 2" xfId="51121" xr:uid="{77B2236D-DE18-4FF0-A889-7E170E580A44}"/>
    <cellStyle name="Comma 6 3 4 2 2 4 4" xfId="36001" xr:uid="{A87424A0-F295-412E-8E51-3CEB7221AD5D}"/>
    <cellStyle name="Comma 6 3 4 2 2 5" xfId="7273" xr:uid="{A9E1A3E0-941D-4E3F-BE1F-379FC15AAF6C}"/>
    <cellStyle name="Comma 6 3 4 2 2 5 2" xfId="22393" xr:uid="{99646446-A897-4C38-91D5-AD64ED0F75E5}"/>
    <cellStyle name="Comma 6 3 4 2 2 5 2 2" xfId="52633" xr:uid="{D0ACD099-C1BA-48BF-894C-F63597213D7B}"/>
    <cellStyle name="Comma 6 3 4 2 2 5 3" xfId="37513" xr:uid="{E8378979-8834-4EE0-AD06-1C54CEA638F4}"/>
    <cellStyle name="Comma 6 3 4 2 2 6" xfId="8785" xr:uid="{7F936C7D-7C13-4CE9-B2A2-14227B8CB5E1}"/>
    <cellStyle name="Comma 6 3 4 2 2 6 2" xfId="23905" xr:uid="{6A1822DF-8129-4CA1-808D-0E00D56C8A27}"/>
    <cellStyle name="Comma 6 3 4 2 2 6 2 2" xfId="54145" xr:uid="{024263D2-AA93-4B01-B78C-15217D7DA6D3}"/>
    <cellStyle name="Comma 6 3 4 2 2 6 3" xfId="39025" xr:uid="{F02ABB3B-E467-4DB2-8F09-EFA5D13BC4B0}"/>
    <cellStyle name="Comma 6 3 4 2 2 7" xfId="10297" xr:uid="{4B42529D-E543-480D-83DA-9C6A7AD14E99}"/>
    <cellStyle name="Comma 6 3 4 2 2 7 2" xfId="25417" xr:uid="{63A1781A-B997-489B-983E-BCEB374199BF}"/>
    <cellStyle name="Comma 6 3 4 2 2 7 2 2" xfId="55657" xr:uid="{A77F65DB-2DAB-4257-8ADB-C9B548603EA0}"/>
    <cellStyle name="Comma 6 3 4 2 2 7 3" xfId="40537" xr:uid="{268C92EC-323A-4DBC-80F0-330FD3EE55C2}"/>
    <cellStyle name="Comma 6 3 4 2 2 8" xfId="16345" xr:uid="{CBB6EC41-504B-4992-B2C8-417B41BD553D}"/>
    <cellStyle name="Comma 6 3 4 2 2 8 2" xfId="46585" xr:uid="{5DC96805-4530-472B-9BDA-349D2D0B9A3A}"/>
    <cellStyle name="Comma 6 3 4 2 2 9" xfId="31465" xr:uid="{931BB59B-CCF2-43E6-9B86-036D9A07E7EB}"/>
    <cellStyle name="Comma 6 3 4 2 3" xfId="1981" xr:uid="{F62D0E57-7248-4347-8DC6-2065B2FA3AB1}"/>
    <cellStyle name="Comma 6 3 4 2 3 2" xfId="11053" xr:uid="{27591C15-E8CD-4E76-98F5-F2A05CBE2F11}"/>
    <cellStyle name="Comma 6 3 4 2 3 2 2" xfId="26173" xr:uid="{DDA357D4-32D4-40A9-A0EA-065FF23EAF94}"/>
    <cellStyle name="Comma 6 3 4 2 3 2 2 2" xfId="56413" xr:uid="{A4BF3D24-2BD4-4E79-8222-66A4D59444DD}"/>
    <cellStyle name="Comma 6 3 4 2 3 2 3" xfId="41293" xr:uid="{75B536F1-2EA8-4BC0-8C87-642D130842A6}"/>
    <cellStyle name="Comma 6 3 4 2 3 3" xfId="17101" xr:uid="{EC156C59-2134-4ADC-95D5-0E75CF27313A}"/>
    <cellStyle name="Comma 6 3 4 2 3 3 2" xfId="47341" xr:uid="{B4DFDB9A-2307-4B20-A5CC-31AA688211F9}"/>
    <cellStyle name="Comma 6 3 4 2 3 4" xfId="32221" xr:uid="{862936B4-C495-4A61-BA3F-3EC33B5EF958}"/>
    <cellStyle name="Comma 6 3 4 2 4" xfId="3493" xr:uid="{EE3CA9A3-B0FC-49C3-8B75-62CF469DE907}"/>
    <cellStyle name="Comma 6 3 4 2 4 2" xfId="12565" xr:uid="{534BA764-4F81-4567-B7A2-54324CEC9AA9}"/>
    <cellStyle name="Comma 6 3 4 2 4 2 2" xfId="27685" xr:uid="{6508ED89-2E61-408C-98FB-83B24609A3C9}"/>
    <cellStyle name="Comma 6 3 4 2 4 2 2 2" xfId="57925" xr:uid="{2C0ECFBB-B529-4D9B-9443-34E3BD7330B0}"/>
    <cellStyle name="Comma 6 3 4 2 4 2 3" xfId="42805" xr:uid="{01F8A759-6DE2-460B-8F11-580CE3C0CDAC}"/>
    <cellStyle name="Comma 6 3 4 2 4 3" xfId="18613" xr:uid="{11C53D5A-671F-4790-B1B5-90110F27FDE9}"/>
    <cellStyle name="Comma 6 3 4 2 4 3 2" xfId="48853" xr:uid="{6CA09350-F202-49A1-A7BB-0883B1B2FCEC}"/>
    <cellStyle name="Comma 6 3 4 2 4 4" xfId="33733" xr:uid="{FA068FD8-FD3E-498C-8808-D196ABC85477}"/>
    <cellStyle name="Comma 6 3 4 2 5" xfId="5005" xr:uid="{4C01CE9F-F212-4994-B063-69EB11670928}"/>
    <cellStyle name="Comma 6 3 4 2 5 2" xfId="14077" xr:uid="{90A8EF13-1BB9-4CD4-BDFC-965841048720}"/>
    <cellStyle name="Comma 6 3 4 2 5 2 2" xfId="29197" xr:uid="{FB4D8127-2BA9-420B-95EA-AE67DB790944}"/>
    <cellStyle name="Comma 6 3 4 2 5 2 2 2" xfId="59437" xr:uid="{DBA658C2-4073-4607-96B0-739BE4E06E04}"/>
    <cellStyle name="Comma 6 3 4 2 5 2 3" xfId="44317" xr:uid="{0A5443CE-0594-4006-849C-D139E33104C6}"/>
    <cellStyle name="Comma 6 3 4 2 5 3" xfId="20125" xr:uid="{21F35875-276F-413E-827C-9E5D1F91D6DD}"/>
    <cellStyle name="Comma 6 3 4 2 5 3 2" xfId="50365" xr:uid="{C6E91316-E8A7-4FCB-8529-ECC9B814AFAB}"/>
    <cellStyle name="Comma 6 3 4 2 5 4" xfId="35245" xr:uid="{8528A237-7D31-4492-89A6-5469CA0A292B}"/>
    <cellStyle name="Comma 6 3 4 2 6" xfId="6517" xr:uid="{A89B1BD6-184B-4ED4-A998-128F81410325}"/>
    <cellStyle name="Comma 6 3 4 2 6 2" xfId="21637" xr:uid="{E74A48AF-5325-4F35-881B-ECAD3EDFC254}"/>
    <cellStyle name="Comma 6 3 4 2 6 2 2" xfId="51877" xr:uid="{A4964238-EE20-4DE0-81CB-DCEDEEE22394}"/>
    <cellStyle name="Comma 6 3 4 2 6 3" xfId="36757" xr:uid="{247B47FC-AC77-4042-AAF7-0AC0ECA5DB61}"/>
    <cellStyle name="Comma 6 3 4 2 7" xfId="8029" xr:uid="{9DB3D9F9-5F20-414E-BE52-5AD84C2BEF37}"/>
    <cellStyle name="Comma 6 3 4 2 7 2" xfId="23149" xr:uid="{DD3E92A5-922D-4738-8D3F-B0674CE23359}"/>
    <cellStyle name="Comma 6 3 4 2 7 2 2" xfId="53389" xr:uid="{1C44E13D-9671-4E44-9D82-CFAC53054785}"/>
    <cellStyle name="Comma 6 3 4 2 7 3" xfId="38269" xr:uid="{834CCCF0-A9B6-4706-A444-6D527AD9ECE3}"/>
    <cellStyle name="Comma 6 3 4 2 8" xfId="9541" xr:uid="{6C731329-C634-4E1A-8FDE-F7DB5E5D9380}"/>
    <cellStyle name="Comma 6 3 4 2 8 2" xfId="24661" xr:uid="{3ADEEB0C-7A11-4F3F-9C62-15EBA7323E19}"/>
    <cellStyle name="Comma 6 3 4 2 8 2 2" xfId="54901" xr:uid="{7123170C-6AC9-464E-A24C-DE6A7D1F83B5}"/>
    <cellStyle name="Comma 6 3 4 2 8 3" xfId="39781" xr:uid="{D5E2F3DF-FF0C-42A3-BA39-6BA228A019C2}"/>
    <cellStyle name="Comma 6 3 4 2 9" xfId="15589" xr:uid="{98AC8865-4ACE-4746-95BB-97408B9115C8}"/>
    <cellStyle name="Comma 6 3 4 2 9 2" xfId="45829" xr:uid="{BDA9AF24-ED57-48F7-B06A-CA3B9DABBC10}"/>
    <cellStyle name="Comma 6 3 4 3" xfId="721" xr:uid="{7325812B-E92D-4EDE-9F21-212B5690EBA1}"/>
    <cellStyle name="Comma 6 3 4 3 10" xfId="30961" xr:uid="{FA922528-58A1-44E9-870A-F9C600D306A0}"/>
    <cellStyle name="Comma 6 3 4 3 2" xfId="1477" xr:uid="{EFBDC2E9-6B76-4EC7-962F-EEFB72DA43DE}"/>
    <cellStyle name="Comma 6 3 4 3 2 2" xfId="2989" xr:uid="{84671032-9B37-4A1E-8270-3947759AB76F}"/>
    <cellStyle name="Comma 6 3 4 3 2 2 2" xfId="12061" xr:uid="{180BBD13-CE16-47FD-8CC7-3977B148B1D9}"/>
    <cellStyle name="Comma 6 3 4 3 2 2 2 2" xfId="27181" xr:uid="{F59FC84D-F946-4913-A341-5B6FB3E09BD9}"/>
    <cellStyle name="Comma 6 3 4 3 2 2 2 2 2" xfId="57421" xr:uid="{4C0C3AD3-E8C6-4E8C-BCD8-97236C842FFC}"/>
    <cellStyle name="Comma 6 3 4 3 2 2 2 3" xfId="42301" xr:uid="{BAD086EA-28C3-4CBE-A507-FFD53C1B2887}"/>
    <cellStyle name="Comma 6 3 4 3 2 2 3" xfId="18109" xr:uid="{20FF6968-2FE1-453C-9418-93CC084D29C1}"/>
    <cellStyle name="Comma 6 3 4 3 2 2 3 2" xfId="48349" xr:uid="{D04CA716-D3C2-4DA3-B352-504A2627D648}"/>
    <cellStyle name="Comma 6 3 4 3 2 2 4" xfId="33229" xr:uid="{192A6A19-B683-428B-BB6A-0BCFB92B85F1}"/>
    <cellStyle name="Comma 6 3 4 3 2 3" xfId="4501" xr:uid="{BA7F1804-3B2D-45FA-B0DA-80B89606FB90}"/>
    <cellStyle name="Comma 6 3 4 3 2 3 2" xfId="13573" xr:uid="{67906D69-5EFE-4887-8BD9-1786B5BC180A}"/>
    <cellStyle name="Comma 6 3 4 3 2 3 2 2" xfId="28693" xr:uid="{28BFB19B-7EAD-426D-9996-C790AC7CF59B}"/>
    <cellStyle name="Comma 6 3 4 3 2 3 2 2 2" xfId="58933" xr:uid="{B7FDE4FA-1719-45CF-A158-A517F1770EDF}"/>
    <cellStyle name="Comma 6 3 4 3 2 3 2 3" xfId="43813" xr:uid="{10022F55-71B6-436F-8AF6-0E419D2BABEE}"/>
    <cellStyle name="Comma 6 3 4 3 2 3 3" xfId="19621" xr:uid="{26218E6E-D4E0-42C9-9439-6CB1C289D698}"/>
    <cellStyle name="Comma 6 3 4 3 2 3 3 2" xfId="49861" xr:uid="{3D8EF0FF-4A26-4E1C-83E8-ECCFB852C2D1}"/>
    <cellStyle name="Comma 6 3 4 3 2 3 4" xfId="34741" xr:uid="{572AACEE-F600-4645-8B55-27F6F7D0E4D4}"/>
    <cellStyle name="Comma 6 3 4 3 2 4" xfId="6013" xr:uid="{9EED7437-6B43-4426-AA75-E73C317008CA}"/>
    <cellStyle name="Comma 6 3 4 3 2 4 2" xfId="15085" xr:uid="{8773F87B-DA8F-43BA-B375-EF36F7D4C508}"/>
    <cellStyle name="Comma 6 3 4 3 2 4 2 2" xfId="30205" xr:uid="{33DF44E1-2066-4B1E-B74F-AB55E29038A4}"/>
    <cellStyle name="Comma 6 3 4 3 2 4 2 2 2" xfId="60445" xr:uid="{85865D0A-F2BA-4067-BC4A-070AD8282681}"/>
    <cellStyle name="Comma 6 3 4 3 2 4 2 3" xfId="45325" xr:uid="{2EEB2987-09A9-45EB-B76F-AE6F92FDD40E}"/>
    <cellStyle name="Comma 6 3 4 3 2 4 3" xfId="21133" xr:uid="{245870FD-7541-4D95-A028-AFE829EB8682}"/>
    <cellStyle name="Comma 6 3 4 3 2 4 3 2" xfId="51373" xr:uid="{21AA96DE-25D6-448F-AB19-F826809DF550}"/>
    <cellStyle name="Comma 6 3 4 3 2 4 4" xfId="36253" xr:uid="{F891E687-9D48-470B-A703-4C78AF9E3E6D}"/>
    <cellStyle name="Comma 6 3 4 3 2 5" xfId="7525" xr:uid="{5EB52631-04E8-4214-8A10-761BA09C0442}"/>
    <cellStyle name="Comma 6 3 4 3 2 5 2" xfId="22645" xr:uid="{C3605FD3-1239-4BC6-AC22-5258275697D3}"/>
    <cellStyle name="Comma 6 3 4 3 2 5 2 2" xfId="52885" xr:uid="{D17D61BE-D0A9-4DB2-A1EF-5E619854FFCE}"/>
    <cellStyle name="Comma 6 3 4 3 2 5 3" xfId="37765" xr:uid="{0BA71174-683D-434A-A272-CE4A5CB95224}"/>
    <cellStyle name="Comma 6 3 4 3 2 6" xfId="9037" xr:uid="{FBC999D4-06DA-47AE-B8D8-8ED4A1B72904}"/>
    <cellStyle name="Comma 6 3 4 3 2 6 2" xfId="24157" xr:uid="{E670ACD4-111D-4F19-A0FE-40B157172B7A}"/>
    <cellStyle name="Comma 6 3 4 3 2 6 2 2" xfId="54397" xr:uid="{0DF78C1A-7272-41BE-9BF1-83A47F3D02D0}"/>
    <cellStyle name="Comma 6 3 4 3 2 6 3" xfId="39277" xr:uid="{C0ED7F97-42D7-48CF-88E7-DCB5755C5FCF}"/>
    <cellStyle name="Comma 6 3 4 3 2 7" xfId="10549" xr:uid="{056C385A-4925-440C-97DD-69A99562615E}"/>
    <cellStyle name="Comma 6 3 4 3 2 7 2" xfId="25669" xr:uid="{F3D1360A-67DA-4629-98BC-CEF3CB796DBE}"/>
    <cellStyle name="Comma 6 3 4 3 2 7 2 2" xfId="55909" xr:uid="{CD07C727-C73A-45C3-BC25-23589FAB4843}"/>
    <cellStyle name="Comma 6 3 4 3 2 7 3" xfId="40789" xr:uid="{1A9C65BF-B9BA-40FD-A03D-8A125C2D663C}"/>
    <cellStyle name="Comma 6 3 4 3 2 8" xfId="16597" xr:uid="{973462CD-833D-4B27-A69B-F1971307D552}"/>
    <cellStyle name="Comma 6 3 4 3 2 8 2" xfId="46837" xr:uid="{4AC94989-BB66-4A96-963E-895476037237}"/>
    <cellStyle name="Comma 6 3 4 3 2 9" xfId="31717" xr:uid="{5147DB8E-9A00-46A0-BBC4-FE8A3CB4B021}"/>
    <cellStyle name="Comma 6 3 4 3 3" xfId="2233" xr:uid="{19F01178-61B1-4779-A83D-89B7A7BB59C0}"/>
    <cellStyle name="Comma 6 3 4 3 3 2" xfId="11305" xr:uid="{BB2439E4-CB4A-436F-B8C0-5DAC3E15149B}"/>
    <cellStyle name="Comma 6 3 4 3 3 2 2" xfId="26425" xr:uid="{B853BA08-C72C-41C2-9F48-72AAB1F4AE9E}"/>
    <cellStyle name="Comma 6 3 4 3 3 2 2 2" xfId="56665" xr:uid="{9D333C15-CDB7-4337-9336-0F3B11DB767C}"/>
    <cellStyle name="Comma 6 3 4 3 3 2 3" xfId="41545" xr:uid="{F69487D9-CDD5-40AE-969F-17336BAC765A}"/>
    <cellStyle name="Comma 6 3 4 3 3 3" xfId="17353" xr:uid="{58DAB7F0-F117-406C-89BF-B7E88150C6BC}"/>
    <cellStyle name="Comma 6 3 4 3 3 3 2" xfId="47593" xr:uid="{247D841A-BEE2-4665-B44E-954B495C5894}"/>
    <cellStyle name="Comma 6 3 4 3 3 4" xfId="32473" xr:uid="{5C94D507-B18D-4D2B-9025-303A5C91CF48}"/>
    <cellStyle name="Comma 6 3 4 3 4" xfId="3745" xr:uid="{41FDFAE9-00AF-4C1F-8805-682650EEDE51}"/>
    <cellStyle name="Comma 6 3 4 3 4 2" xfId="12817" xr:uid="{4C45D62C-D822-4561-AB99-F9A28EA5CF26}"/>
    <cellStyle name="Comma 6 3 4 3 4 2 2" xfId="27937" xr:uid="{19786723-6707-4C75-8AAA-393F031C6D50}"/>
    <cellStyle name="Comma 6 3 4 3 4 2 2 2" xfId="58177" xr:uid="{23773CCA-91BA-428D-B885-72EB8C027B80}"/>
    <cellStyle name="Comma 6 3 4 3 4 2 3" xfId="43057" xr:uid="{3A47662B-28A5-49DE-9E1B-5CC33AFEDB66}"/>
    <cellStyle name="Comma 6 3 4 3 4 3" xfId="18865" xr:uid="{B0215149-2A36-4EFE-85A6-082B30C6A664}"/>
    <cellStyle name="Comma 6 3 4 3 4 3 2" xfId="49105" xr:uid="{68B05D24-43D0-40A8-8424-6286D3C74BB9}"/>
    <cellStyle name="Comma 6 3 4 3 4 4" xfId="33985" xr:uid="{41A7BD45-51FA-43C4-AE90-DE0B196E0A21}"/>
    <cellStyle name="Comma 6 3 4 3 5" xfId="5257" xr:uid="{E2A47CC3-E414-4818-811C-C6E8727BD0C0}"/>
    <cellStyle name="Comma 6 3 4 3 5 2" xfId="14329" xr:uid="{410D3A3A-37BC-4B89-A22E-D881D8293E9D}"/>
    <cellStyle name="Comma 6 3 4 3 5 2 2" xfId="29449" xr:uid="{0EA66B86-CF0D-43E1-8E68-36EAE6A087F6}"/>
    <cellStyle name="Comma 6 3 4 3 5 2 2 2" xfId="59689" xr:uid="{6990B423-E79B-45EC-BB5F-28EE49EB9EA2}"/>
    <cellStyle name="Comma 6 3 4 3 5 2 3" xfId="44569" xr:uid="{265461CE-D222-4A27-9B56-2491E3E7C6C5}"/>
    <cellStyle name="Comma 6 3 4 3 5 3" xfId="20377" xr:uid="{49C19DB9-8AC2-426D-A687-4FBE3CFC1EA7}"/>
    <cellStyle name="Comma 6 3 4 3 5 3 2" xfId="50617" xr:uid="{E7E46173-73AA-43DA-8FE0-67A562255768}"/>
    <cellStyle name="Comma 6 3 4 3 5 4" xfId="35497" xr:uid="{48EA1F43-AF30-4BF7-84AA-7198849D5CAC}"/>
    <cellStyle name="Comma 6 3 4 3 6" xfId="6769" xr:uid="{0582F10D-465B-4419-980C-66B40A110453}"/>
    <cellStyle name="Comma 6 3 4 3 6 2" xfId="21889" xr:uid="{22472163-7501-42F7-A392-96BD80DD6147}"/>
    <cellStyle name="Comma 6 3 4 3 6 2 2" xfId="52129" xr:uid="{E92E6D31-4E79-4C15-9D6A-B8892FA82AFF}"/>
    <cellStyle name="Comma 6 3 4 3 6 3" xfId="37009" xr:uid="{E0F5C25B-894E-430C-A6C6-868280EE8F21}"/>
    <cellStyle name="Comma 6 3 4 3 7" xfId="8281" xr:uid="{81489E83-DC22-4AC6-94DF-BD88F37C7438}"/>
    <cellStyle name="Comma 6 3 4 3 7 2" xfId="23401" xr:uid="{F8991296-746D-465F-9B85-AFCB90AE7589}"/>
    <cellStyle name="Comma 6 3 4 3 7 2 2" xfId="53641" xr:uid="{A11CC087-FCA2-4E96-B9A3-5295788087C0}"/>
    <cellStyle name="Comma 6 3 4 3 7 3" xfId="38521" xr:uid="{804BE423-A092-449D-B964-6186C96F6139}"/>
    <cellStyle name="Comma 6 3 4 3 8" xfId="9793" xr:uid="{DFCF2BFF-1832-4F17-9593-B3EF129DD864}"/>
    <cellStyle name="Comma 6 3 4 3 8 2" xfId="24913" xr:uid="{1A561814-42D2-4079-B9B2-26A3D0CD24AE}"/>
    <cellStyle name="Comma 6 3 4 3 8 2 2" xfId="55153" xr:uid="{7CD1D75C-CFB8-4254-B249-B4AAFB9242B7}"/>
    <cellStyle name="Comma 6 3 4 3 8 3" xfId="40033" xr:uid="{FBE01ECE-F27C-473F-9469-EE975E4F780D}"/>
    <cellStyle name="Comma 6 3 4 3 9" xfId="15841" xr:uid="{A6E1BB85-0654-48F1-8650-DFA4B5E4C57A}"/>
    <cellStyle name="Comma 6 3 4 3 9 2" xfId="46081" xr:uid="{2B10C479-CFD0-4C35-8DCF-5233954E86EA}"/>
    <cellStyle name="Comma 6 3 4 4" xfId="973" xr:uid="{D5F2BEEE-1690-4C05-A16F-C12E91A003D8}"/>
    <cellStyle name="Comma 6 3 4 4 2" xfId="2485" xr:uid="{DEC29E5C-2BEB-4626-8410-BF843EFEFB2E}"/>
    <cellStyle name="Comma 6 3 4 4 2 2" xfId="11557" xr:uid="{C08B6C31-5982-4037-BE27-BEE58D5EDEE8}"/>
    <cellStyle name="Comma 6 3 4 4 2 2 2" xfId="26677" xr:uid="{A02485AC-E47F-451D-BD88-92AEC0ED2AD2}"/>
    <cellStyle name="Comma 6 3 4 4 2 2 2 2" xfId="56917" xr:uid="{C9826D01-3BAF-4538-935F-20C85E7D314B}"/>
    <cellStyle name="Comma 6 3 4 4 2 2 3" xfId="41797" xr:uid="{558DB7B8-F56F-4FA2-85AA-B620AE885E24}"/>
    <cellStyle name="Comma 6 3 4 4 2 3" xfId="17605" xr:uid="{18CD9E30-5031-4A17-8E72-82BC9B11BC36}"/>
    <cellStyle name="Comma 6 3 4 4 2 3 2" xfId="47845" xr:uid="{BFBFEC27-D6D6-49E4-B78C-EB23518871C2}"/>
    <cellStyle name="Comma 6 3 4 4 2 4" xfId="32725" xr:uid="{035F5BCB-457F-4C13-9260-F4396A21101D}"/>
    <cellStyle name="Comma 6 3 4 4 3" xfId="3997" xr:uid="{E0CF62D6-9754-481A-BA39-35FAC85D2018}"/>
    <cellStyle name="Comma 6 3 4 4 3 2" xfId="13069" xr:uid="{74929237-BBD0-4C80-BF6E-A900E1474452}"/>
    <cellStyle name="Comma 6 3 4 4 3 2 2" xfId="28189" xr:uid="{A092F4E6-70D6-4BE4-B70E-DB26DA885826}"/>
    <cellStyle name="Comma 6 3 4 4 3 2 2 2" xfId="58429" xr:uid="{3BC7651D-27CA-4551-9413-E5602E758079}"/>
    <cellStyle name="Comma 6 3 4 4 3 2 3" xfId="43309" xr:uid="{55BE6E7E-1D06-4498-903E-E123C5F31F6B}"/>
    <cellStyle name="Comma 6 3 4 4 3 3" xfId="19117" xr:uid="{5B6217D9-BE85-4C90-AA14-9405A958EEC7}"/>
    <cellStyle name="Comma 6 3 4 4 3 3 2" xfId="49357" xr:uid="{F835619D-28F5-421E-81C6-D5EB6A4926E9}"/>
    <cellStyle name="Comma 6 3 4 4 3 4" xfId="34237" xr:uid="{FEB80117-2AD8-4232-AFD2-0A2817306C24}"/>
    <cellStyle name="Comma 6 3 4 4 4" xfId="5509" xr:uid="{3BF631B9-7FA7-4E51-B786-420B695E2AD8}"/>
    <cellStyle name="Comma 6 3 4 4 4 2" xfId="14581" xr:uid="{BEA20565-E64E-4D7F-9D3B-8D0AF5823099}"/>
    <cellStyle name="Comma 6 3 4 4 4 2 2" xfId="29701" xr:uid="{0874991C-0B30-46C8-9EC1-41036CBAF95E}"/>
    <cellStyle name="Comma 6 3 4 4 4 2 2 2" xfId="59941" xr:uid="{AB9D8AB2-A5D4-4323-A53B-C88234031167}"/>
    <cellStyle name="Comma 6 3 4 4 4 2 3" xfId="44821" xr:uid="{AA27F1B5-E81B-411D-AA1D-E0D2990BB779}"/>
    <cellStyle name="Comma 6 3 4 4 4 3" xfId="20629" xr:uid="{A786C300-505E-4E75-AFB3-D1FA8000302F}"/>
    <cellStyle name="Comma 6 3 4 4 4 3 2" xfId="50869" xr:uid="{51AFAF53-9D9E-4ACF-8952-60E9B8F6BAEC}"/>
    <cellStyle name="Comma 6 3 4 4 4 4" xfId="35749" xr:uid="{9E8940B5-0C74-43E5-B6C9-3719E7D7EC8E}"/>
    <cellStyle name="Comma 6 3 4 4 5" xfId="7021" xr:uid="{7E304624-FE0C-4990-A48B-5F5CBDA64F8B}"/>
    <cellStyle name="Comma 6 3 4 4 5 2" xfId="22141" xr:uid="{64B2AA20-B4F7-4832-8280-00312EBBDC5D}"/>
    <cellStyle name="Comma 6 3 4 4 5 2 2" xfId="52381" xr:uid="{EADC74F7-BDA1-47DA-B6F7-D78CC1FC736C}"/>
    <cellStyle name="Comma 6 3 4 4 5 3" xfId="37261" xr:uid="{3276BB01-147A-4CA7-8B8E-636B0E43B721}"/>
    <cellStyle name="Comma 6 3 4 4 6" xfId="8533" xr:uid="{A74582C8-55C2-4779-AF7C-FDC88034F8E5}"/>
    <cellStyle name="Comma 6 3 4 4 6 2" xfId="23653" xr:uid="{A50AC5BE-5101-42E6-9CD9-323ED3033386}"/>
    <cellStyle name="Comma 6 3 4 4 6 2 2" xfId="53893" xr:uid="{B45B57FC-6F02-4D02-BA7A-BEFA6EBAC0FA}"/>
    <cellStyle name="Comma 6 3 4 4 6 3" xfId="38773" xr:uid="{AE594CD9-54F8-45B7-AF0E-951FCDEB39FD}"/>
    <cellStyle name="Comma 6 3 4 4 7" xfId="10045" xr:uid="{2F12E48D-D2D9-4F21-BA6E-EA36B7903277}"/>
    <cellStyle name="Comma 6 3 4 4 7 2" xfId="25165" xr:uid="{A8DCBB80-166C-43A0-A30D-AF30163C823F}"/>
    <cellStyle name="Comma 6 3 4 4 7 2 2" xfId="55405" xr:uid="{E4621EA9-4879-4589-9106-84E5F4AE947C}"/>
    <cellStyle name="Comma 6 3 4 4 7 3" xfId="40285" xr:uid="{34C3BAFF-8514-4479-B67E-868505EAEF32}"/>
    <cellStyle name="Comma 6 3 4 4 8" xfId="16093" xr:uid="{9401082E-30DB-49A6-9533-ADC55EFA514B}"/>
    <cellStyle name="Comma 6 3 4 4 8 2" xfId="46333" xr:uid="{D8CF24ED-2684-44E2-BF70-CD04DF96CF07}"/>
    <cellStyle name="Comma 6 3 4 4 9" xfId="31213" xr:uid="{D88D9DC0-B442-4680-A441-42A06B419C0C}"/>
    <cellStyle name="Comma 6 3 4 5" xfId="1729" xr:uid="{38B230A9-28FC-4CCC-818D-877B7858CC79}"/>
    <cellStyle name="Comma 6 3 4 5 2" xfId="10801" xr:uid="{C0A46F77-29A3-4E1D-A780-9BCF040B3C3A}"/>
    <cellStyle name="Comma 6 3 4 5 2 2" xfId="25921" xr:uid="{7B7A2794-8482-4132-8B31-DA083A86688A}"/>
    <cellStyle name="Comma 6 3 4 5 2 2 2" xfId="56161" xr:uid="{ED6AE27A-B387-4E7E-AAFB-F988F42BC59B}"/>
    <cellStyle name="Comma 6 3 4 5 2 3" xfId="41041" xr:uid="{66914EB2-94E8-4F2E-ADC5-98C37CCD98A3}"/>
    <cellStyle name="Comma 6 3 4 5 3" xfId="16849" xr:uid="{63E9E1C9-E7FC-435B-ADEA-1FCA0AFF566C}"/>
    <cellStyle name="Comma 6 3 4 5 3 2" xfId="47089" xr:uid="{1F80B925-61EA-46F2-93FD-60D0C957EC18}"/>
    <cellStyle name="Comma 6 3 4 5 4" xfId="31969" xr:uid="{D14D44F5-C3F3-49EF-80D0-1BA713926818}"/>
    <cellStyle name="Comma 6 3 4 6" xfId="3241" xr:uid="{62F22711-3330-44B7-A7A9-57792785C996}"/>
    <cellStyle name="Comma 6 3 4 6 2" xfId="12313" xr:uid="{3AEF762E-4D57-4EE6-B887-49FDF469FC16}"/>
    <cellStyle name="Comma 6 3 4 6 2 2" xfId="27433" xr:uid="{ED674450-CA26-4C7F-8659-0FE48BE6AAE5}"/>
    <cellStyle name="Comma 6 3 4 6 2 2 2" xfId="57673" xr:uid="{1FEC44B4-8963-434C-833C-1108213EBCBE}"/>
    <cellStyle name="Comma 6 3 4 6 2 3" xfId="42553" xr:uid="{405A6F00-CF9F-49EF-A2E3-DF3E3502E7DE}"/>
    <cellStyle name="Comma 6 3 4 6 3" xfId="18361" xr:uid="{A4E6AEF1-5A47-472D-858A-7E4F780E7699}"/>
    <cellStyle name="Comma 6 3 4 6 3 2" xfId="48601" xr:uid="{624795E4-5051-4D33-B5B8-7A70B1BBCF22}"/>
    <cellStyle name="Comma 6 3 4 6 4" xfId="33481" xr:uid="{46DC3888-8356-4549-8BEE-DE9ADAF3974A}"/>
    <cellStyle name="Comma 6 3 4 7" xfId="4753" xr:uid="{EB58BF22-09AB-437E-8B3D-4F4857EDCEF5}"/>
    <cellStyle name="Comma 6 3 4 7 2" xfId="13825" xr:uid="{2960E34F-FA76-47C6-8835-EA103F14AEEA}"/>
    <cellStyle name="Comma 6 3 4 7 2 2" xfId="28945" xr:uid="{F8D8FD35-6609-440E-85EA-47C154999C5F}"/>
    <cellStyle name="Comma 6 3 4 7 2 2 2" xfId="59185" xr:uid="{8F2DC3B1-8053-423F-AE0F-F02AFFEFE7BE}"/>
    <cellStyle name="Comma 6 3 4 7 2 3" xfId="44065" xr:uid="{AD293058-4FAA-4591-B835-3F7320BFB599}"/>
    <cellStyle name="Comma 6 3 4 7 3" xfId="19873" xr:uid="{A2A753DC-E76F-49A3-9A12-29EBA2AAFE47}"/>
    <cellStyle name="Comma 6 3 4 7 3 2" xfId="50113" xr:uid="{5F85839C-B5BF-41E4-ADCF-AB2C4E021A36}"/>
    <cellStyle name="Comma 6 3 4 7 4" xfId="34993" xr:uid="{3C5FEC83-E971-4B46-9443-16BBF11D147A}"/>
    <cellStyle name="Comma 6 3 4 8" xfId="6265" xr:uid="{8A3ACDA1-F75B-4A34-9CE6-606AB451C3AA}"/>
    <cellStyle name="Comma 6 3 4 8 2" xfId="21385" xr:uid="{E6EA5AFE-E701-4691-8045-67E465672AFD}"/>
    <cellStyle name="Comma 6 3 4 8 2 2" xfId="51625" xr:uid="{372D6B3A-E4C6-43E1-A04E-F807682DE23A}"/>
    <cellStyle name="Comma 6 3 4 8 3" xfId="36505" xr:uid="{EFBF2350-FAC5-437A-AA4C-85D7C8847565}"/>
    <cellStyle name="Comma 6 3 4 9" xfId="7777" xr:uid="{A691F3DA-AEF9-4C22-87E2-215BCFA30DD4}"/>
    <cellStyle name="Comma 6 3 4 9 2" xfId="22897" xr:uid="{22DDDF5E-587B-437B-875F-C77BDD8C90FE}"/>
    <cellStyle name="Comma 6 3 4 9 2 2" xfId="53137" xr:uid="{C29CEA12-182C-4815-8E59-B0F2C5F7D905}"/>
    <cellStyle name="Comma 6 3 4 9 3" xfId="38017" xr:uid="{DFBE4FDF-8568-4CFF-B29B-F986CD0B1F8E}"/>
    <cellStyle name="Comma 6 3 5" xfId="301" xr:uid="{A7F3C1DD-CD0F-4895-9542-143E37DA40FD}"/>
    <cellStyle name="Comma 6 3 5 10" xfId="30541" xr:uid="{07B850A0-7BAF-4994-8BF2-F2A50BD51D1E}"/>
    <cellStyle name="Comma 6 3 5 2" xfId="1057" xr:uid="{24C468CA-F1B4-46FD-A5F7-C0C09CC913A8}"/>
    <cellStyle name="Comma 6 3 5 2 2" xfId="2569" xr:uid="{36E07BF6-588F-46D6-BE4B-8CB75C508778}"/>
    <cellStyle name="Comma 6 3 5 2 2 2" xfId="11641" xr:uid="{08124E68-E507-426B-B71D-ADA8E611DAE8}"/>
    <cellStyle name="Comma 6 3 5 2 2 2 2" xfId="26761" xr:uid="{1DA929F3-8FC1-4D1B-B19C-2C536F19A2EA}"/>
    <cellStyle name="Comma 6 3 5 2 2 2 2 2" xfId="57001" xr:uid="{D9FE84DF-41A2-4F6F-B1F4-3F4CC9977BFE}"/>
    <cellStyle name="Comma 6 3 5 2 2 2 3" xfId="41881" xr:uid="{0DA8CA15-5578-4C2E-8B93-B2D0C3BAAAA3}"/>
    <cellStyle name="Comma 6 3 5 2 2 3" xfId="17689" xr:uid="{889DC6EE-40BA-4609-B2C4-5F989795CAE6}"/>
    <cellStyle name="Comma 6 3 5 2 2 3 2" xfId="47929" xr:uid="{6859D6CA-FA64-411F-A96D-9B35E1FE3981}"/>
    <cellStyle name="Comma 6 3 5 2 2 4" xfId="32809" xr:uid="{CD12B7BF-8F38-4407-B8E0-9166F125AEB9}"/>
    <cellStyle name="Comma 6 3 5 2 3" xfId="4081" xr:uid="{8D396EF5-BB0C-498C-9E3F-2DD16475C803}"/>
    <cellStyle name="Comma 6 3 5 2 3 2" xfId="13153" xr:uid="{F7E078DE-54FE-4ACF-B1A1-9A3C5E133F47}"/>
    <cellStyle name="Comma 6 3 5 2 3 2 2" xfId="28273" xr:uid="{B933DE0F-8C86-483C-B78F-BDBC90703822}"/>
    <cellStyle name="Comma 6 3 5 2 3 2 2 2" xfId="58513" xr:uid="{9D9AD82F-CC15-47CD-8479-765EE38A180C}"/>
    <cellStyle name="Comma 6 3 5 2 3 2 3" xfId="43393" xr:uid="{4CB7485C-3809-4140-9D65-DE5A8D6AF907}"/>
    <cellStyle name="Comma 6 3 5 2 3 3" xfId="19201" xr:uid="{9AD27FAB-3080-4FFB-A85E-5C64C559614F}"/>
    <cellStyle name="Comma 6 3 5 2 3 3 2" xfId="49441" xr:uid="{8B87D6AC-4833-43F6-A3A2-B5D4FA49AD20}"/>
    <cellStyle name="Comma 6 3 5 2 3 4" xfId="34321" xr:uid="{26007BE7-4B66-489B-986E-063373FDF4E0}"/>
    <cellStyle name="Comma 6 3 5 2 4" xfId="5593" xr:uid="{FE418CDF-6356-47A9-9256-6A32BFD5C3B4}"/>
    <cellStyle name="Comma 6 3 5 2 4 2" xfId="14665" xr:uid="{E9BC06D3-4B96-4060-A415-FF900388A528}"/>
    <cellStyle name="Comma 6 3 5 2 4 2 2" xfId="29785" xr:uid="{9732FAC1-7469-4512-AAD8-52B3097CDA83}"/>
    <cellStyle name="Comma 6 3 5 2 4 2 2 2" xfId="60025" xr:uid="{CD0A242E-F6B3-4133-A141-E02EF4EA5129}"/>
    <cellStyle name="Comma 6 3 5 2 4 2 3" xfId="44905" xr:uid="{17FD531B-A374-4BD7-8AD0-7851D7185C08}"/>
    <cellStyle name="Comma 6 3 5 2 4 3" xfId="20713" xr:uid="{8A6870C1-5833-42C6-B0D3-26A6F881F3F9}"/>
    <cellStyle name="Comma 6 3 5 2 4 3 2" xfId="50953" xr:uid="{A8A8FAF5-3F10-4B5D-8DBB-A197591C8D9E}"/>
    <cellStyle name="Comma 6 3 5 2 4 4" xfId="35833" xr:uid="{C7035DC1-B63C-42E3-B570-1FAFA445D6AB}"/>
    <cellStyle name="Comma 6 3 5 2 5" xfId="7105" xr:uid="{E91C610B-3220-4A4D-A96F-7603BE5C406A}"/>
    <cellStyle name="Comma 6 3 5 2 5 2" xfId="22225" xr:uid="{0CDBDA25-6B29-4C78-A6B1-D906AEF1EA0B}"/>
    <cellStyle name="Comma 6 3 5 2 5 2 2" xfId="52465" xr:uid="{9229A640-3DBA-4976-A7DB-E76A6075E0EE}"/>
    <cellStyle name="Comma 6 3 5 2 5 3" xfId="37345" xr:uid="{047F4031-E1FE-4D6A-9F58-DB2713498B02}"/>
    <cellStyle name="Comma 6 3 5 2 6" xfId="8617" xr:uid="{AC70AB05-F0BA-448A-8716-1DB879810DEB}"/>
    <cellStyle name="Comma 6 3 5 2 6 2" xfId="23737" xr:uid="{38BFB3AD-8720-453D-A367-90B3D40FE3F2}"/>
    <cellStyle name="Comma 6 3 5 2 6 2 2" xfId="53977" xr:uid="{2B78D7B3-3E14-4EF0-B4FF-5367AC644740}"/>
    <cellStyle name="Comma 6 3 5 2 6 3" xfId="38857" xr:uid="{321A6DD7-403D-42E5-A6EF-DA4C3EA7F94D}"/>
    <cellStyle name="Comma 6 3 5 2 7" xfId="10129" xr:uid="{AD44CEEF-1418-4285-998F-2623E3229D7C}"/>
    <cellStyle name="Comma 6 3 5 2 7 2" xfId="25249" xr:uid="{0FAB197B-C0AE-447A-970F-09B9672DC9F7}"/>
    <cellStyle name="Comma 6 3 5 2 7 2 2" xfId="55489" xr:uid="{F899352E-5AC9-41AA-BE04-FE877B8F4B5A}"/>
    <cellStyle name="Comma 6 3 5 2 7 3" xfId="40369" xr:uid="{8B86A7D3-B2A6-4509-B977-B782FEE87B4C}"/>
    <cellStyle name="Comma 6 3 5 2 8" xfId="16177" xr:uid="{6411872C-4ACE-4D3E-BE2E-ED6D2B08C319}"/>
    <cellStyle name="Comma 6 3 5 2 8 2" xfId="46417" xr:uid="{3CCEC8FA-4FC8-4117-9CE9-EC9353D75210}"/>
    <cellStyle name="Comma 6 3 5 2 9" xfId="31297" xr:uid="{87E7C319-E8A7-4553-B298-43A7047F7D1A}"/>
    <cellStyle name="Comma 6 3 5 3" xfId="1813" xr:uid="{EDBB43F2-828E-4847-96BE-FACF1FE14819}"/>
    <cellStyle name="Comma 6 3 5 3 2" xfId="10885" xr:uid="{E6E7E8D4-C9A4-4552-96F7-84C17B8DDEB6}"/>
    <cellStyle name="Comma 6 3 5 3 2 2" xfId="26005" xr:uid="{A4F17F2A-BD77-446E-BC73-B75611408177}"/>
    <cellStyle name="Comma 6 3 5 3 2 2 2" xfId="56245" xr:uid="{1C2EAF71-CC7A-4932-B1E7-D83337CC6163}"/>
    <cellStyle name="Comma 6 3 5 3 2 3" xfId="41125" xr:uid="{48D36E2A-0FA3-4558-BB93-B94E3237EB6B}"/>
    <cellStyle name="Comma 6 3 5 3 3" xfId="16933" xr:uid="{51488C0A-1754-4E3E-BDD2-7179F5757C3F}"/>
    <cellStyle name="Comma 6 3 5 3 3 2" xfId="47173" xr:uid="{9571CF4C-8EEB-43C5-9F49-B93AE15534ED}"/>
    <cellStyle name="Comma 6 3 5 3 4" xfId="32053" xr:uid="{1277DAF8-44C5-41FB-AA83-29C6769B66C0}"/>
    <cellStyle name="Comma 6 3 5 4" xfId="3325" xr:uid="{C4822EBC-1B08-4BFB-954B-5421010E0893}"/>
    <cellStyle name="Comma 6 3 5 4 2" xfId="12397" xr:uid="{ADDCCE27-C706-4626-ABFC-7AA368A2AAAE}"/>
    <cellStyle name="Comma 6 3 5 4 2 2" xfId="27517" xr:uid="{FA9E97AE-4F38-4488-B08C-A70D032349AA}"/>
    <cellStyle name="Comma 6 3 5 4 2 2 2" xfId="57757" xr:uid="{E395A78F-F5A6-402C-ACC2-1170DF47E3D4}"/>
    <cellStyle name="Comma 6 3 5 4 2 3" xfId="42637" xr:uid="{211DE3ED-17F0-4399-B2D2-D0E00DF728FA}"/>
    <cellStyle name="Comma 6 3 5 4 3" xfId="18445" xr:uid="{EB1A00A1-E6E8-48A8-9248-FBCAD0AE5786}"/>
    <cellStyle name="Comma 6 3 5 4 3 2" xfId="48685" xr:uid="{2B65A2D0-3BDD-4A76-B724-D79DFF7B2857}"/>
    <cellStyle name="Comma 6 3 5 4 4" xfId="33565" xr:uid="{7FF6B755-E331-45E7-91E1-F14E02062EE0}"/>
    <cellStyle name="Comma 6 3 5 5" xfId="4837" xr:uid="{DA089F4B-12FF-46AB-9D61-6E789D77972D}"/>
    <cellStyle name="Comma 6 3 5 5 2" xfId="13909" xr:uid="{41244682-9780-480C-A728-087460240131}"/>
    <cellStyle name="Comma 6 3 5 5 2 2" xfId="29029" xr:uid="{0EACDB69-5E8F-45EC-A99A-324466DA9D39}"/>
    <cellStyle name="Comma 6 3 5 5 2 2 2" xfId="59269" xr:uid="{BB7B02F4-C5AC-4D07-9D80-A37784560573}"/>
    <cellStyle name="Comma 6 3 5 5 2 3" xfId="44149" xr:uid="{C4A1B4D1-06F4-43D2-B453-073B38AFA7D6}"/>
    <cellStyle name="Comma 6 3 5 5 3" xfId="19957" xr:uid="{AB6EA409-3B0C-427D-A59A-B2E729C4CDDF}"/>
    <cellStyle name="Comma 6 3 5 5 3 2" xfId="50197" xr:uid="{2B181B57-E34E-4671-9F06-59D07DD1CA94}"/>
    <cellStyle name="Comma 6 3 5 5 4" xfId="35077" xr:uid="{BDE1AAC9-FBA2-4D08-A128-702E66E22C08}"/>
    <cellStyle name="Comma 6 3 5 6" xfId="6349" xr:uid="{9608B408-49C6-4BAC-8BC9-3951057430E6}"/>
    <cellStyle name="Comma 6 3 5 6 2" xfId="21469" xr:uid="{A75AE96A-89AF-4E78-A732-95819BF47DC2}"/>
    <cellStyle name="Comma 6 3 5 6 2 2" xfId="51709" xr:uid="{AE0674F9-A6A1-44FA-93DF-1ACAEBCA39D5}"/>
    <cellStyle name="Comma 6 3 5 6 3" xfId="36589" xr:uid="{733C2AA1-617B-4591-8F72-2C296F43C2E0}"/>
    <cellStyle name="Comma 6 3 5 7" xfId="7861" xr:uid="{5A0AADCB-6D14-4DBB-948C-7B275C76CFC9}"/>
    <cellStyle name="Comma 6 3 5 7 2" xfId="22981" xr:uid="{219E4940-AFE7-44B0-9D1F-606AE76E54EE}"/>
    <cellStyle name="Comma 6 3 5 7 2 2" xfId="53221" xr:uid="{9D0545A5-32BF-4893-A2AF-0EC409AA6736}"/>
    <cellStyle name="Comma 6 3 5 7 3" xfId="38101" xr:uid="{AFCD4BB2-ECE8-42E2-9E6D-30FD0CFD7E1E}"/>
    <cellStyle name="Comma 6 3 5 8" xfId="9373" xr:uid="{844C57C0-D71C-4EAA-9691-E2612CCD577F}"/>
    <cellStyle name="Comma 6 3 5 8 2" xfId="24493" xr:uid="{9B2EA8A8-779D-47BC-BC8C-CC64166331E2}"/>
    <cellStyle name="Comma 6 3 5 8 2 2" xfId="54733" xr:uid="{C3459B2B-F3D1-4D65-A072-72F383C07A3B}"/>
    <cellStyle name="Comma 6 3 5 8 3" xfId="39613" xr:uid="{83055A60-2711-4725-8E4B-318C3F756B15}"/>
    <cellStyle name="Comma 6 3 5 9" xfId="15421" xr:uid="{1E331104-9664-4D6B-8715-0AF02D5FF392}"/>
    <cellStyle name="Comma 6 3 5 9 2" xfId="45661" xr:uid="{316B9BD5-39A4-41FF-A0CF-1FADECDF3588}"/>
    <cellStyle name="Comma 6 3 6" xfId="553" xr:uid="{17E80642-C394-4148-9F57-8125F7F13978}"/>
    <cellStyle name="Comma 6 3 6 10" xfId="30793" xr:uid="{05175591-7611-47F1-87F4-070457FE350A}"/>
    <cellStyle name="Comma 6 3 6 2" xfId="1309" xr:uid="{6F3714FF-4B82-49FA-8BCA-DF780A9EE53C}"/>
    <cellStyle name="Comma 6 3 6 2 2" xfId="2821" xr:uid="{F85E0D0C-687D-485B-AD51-C73BCEF3CF0C}"/>
    <cellStyle name="Comma 6 3 6 2 2 2" xfId="11893" xr:uid="{725DAF1D-EAB9-445B-97C2-2F8D14BD8F14}"/>
    <cellStyle name="Comma 6 3 6 2 2 2 2" xfId="27013" xr:uid="{D2899841-F29A-4D17-92F3-2A7702323712}"/>
    <cellStyle name="Comma 6 3 6 2 2 2 2 2" xfId="57253" xr:uid="{28CB006A-E897-45FA-8F9A-CF75EF7032DC}"/>
    <cellStyle name="Comma 6 3 6 2 2 2 3" xfId="42133" xr:uid="{35DBC6F5-5DAB-44F6-89F8-A32A99229C05}"/>
    <cellStyle name="Comma 6 3 6 2 2 3" xfId="17941" xr:uid="{2CD80BEE-E0EC-4DD4-96F2-DF1347527DD9}"/>
    <cellStyle name="Comma 6 3 6 2 2 3 2" xfId="48181" xr:uid="{BA3FD9A5-7641-414D-A09C-637B0B0D4B6B}"/>
    <cellStyle name="Comma 6 3 6 2 2 4" xfId="33061" xr:uid="{D8832D15-32B3-490C-99F9-772B9A112B5F}"/>
    <cellStyle name="Comma 6 3 6 2 3" xfId="4333" xr:uid="{0D212AB3-2773-4ACE-9803-901E108A1148}"/>
    <cellStyle name="Comma 6 3 6 2 3 2" xfId="13405" xr:uid="{5C2526F8-5E8E-4A61-94E0-0A7E319D8BD5}"/>
    <cellStyle name="Comma 6 3 6 2 3 2 2" xfId="28525" xr:uid="{BF2613A7-AC42-472D-8F7E-013C776593B6}"/>
    <cellStyle name="Comma 6 3 6 2 3 2 2 2" xfId="58765" xr:uid="{45C90911-6067-4CB3-BB15-ECCEFE956A86}"/>
    <cellStyle name="Comma 6 3 6 2 3 2 3" xfId="43645" xr:uid="{1030E975-1C06-4741-85D5-AFD12C15EC00}"/>
    <cellStyle name="Comma 6 3 6 2 3 3" xfId="19453" xr:uid="{BE3144D3-1DA6-446B-A024-7AE012028D8A}"/>
    <cellStyle name="Comma 6 3 6 2 3 3 2" xfId="49693" xr:uid="{21312350-350C-4B05-A8BD-3CF9E6EE0179}"/>
    <cellStyle name="Comma 6 3 6 2 3 4" xfId="34573" xr:uid="{036F16AA-C16C-4F2B-A673-499F1FA7678C}"/>
    <cellStyle name="Comma 6 3 6 2 4" xfId="5845" xr:uid="{DE3FCD8B-9A84-4E75-AE72-8352D522779A}"/>
    <cellStyle name="Comma 6 3 6 2 4 2" xfId="14917" xr:uid="{6E4CAF0D-8BE5-4928-95C1-C73730843D9A}"/>
    <cellStyle name="Comma 6 3 6 2 4 2 2" xfId="30037" xr:uid="{B25926C2-A1C8-4BF0-A607-3E448E5150BC}"/>
    <cellStyle name="Comma 6 3 6 2 4 2 2 2" xfId="60277" xr:uid="{B83CE777-8E81-455F-BCB2-5F783AD5A598}"/>
    <cellStyle name="Comma 6 3 6 2 4 2 3" xfId="45157" xr:uid="{48536ACF-A615-4A35-9E09-B0943625574D}"/>
    <cellStyle name="Comma 6 3 6 2 4 3" xfId="20965" xr:uid="{9350590D-42EA-4D30-940D-21559361B7BA}"/>
    <cellStyle name="Comma 6 3 6 2 4 3 2" xfId="51205" xr:uid="{5189AB62-8BBA-4B83-93BA-DE30D5F39859}"/>
    <cellStyle name="Comma 6 3 6 2 4 4" xfId="36085" xr:uid="{1B627D83-367F-4EE3-B493-E283C0F51F1F}"/>
    <cellStyle name="Comma 6 3 6 2 5" xfId="7357" xr:uid="{AABBE121-3A04-4F72-B968-DD55C66198DD}"/>
    <cellStyle name="Comma 6 3 6 2 5 2" xfId="22477" xr:uid="{89E0AE63-8706-4F61-BCA1-0F66D45A753C}"/>
    <cellStyle name="Comma 6 3 6 2 5 2 2" xfId="52717" xr:uid="{6593FDB4-12D3-4162-B639-73CD3448FE2D}"/>
    <cellStyle name="Comma 6 3 6 2 5 3" xfId="37597" xr:uid="{3C4A84F3-90A9-4C62-BF29-327EA8986A44}"/>
    <cellStyle name="Comma 6 3 6 2 6" xfId="8869" xr:uid="{49CAA551-061A-43CF-881B-27F7FD9B05B7}"/>
    <cellStyle name="Comma 6 3 6 2 6 2" xfId="23989" xr:uid="{579759A7-7E2D-4AC3-9EBA-BA44940F2E3D}"/>
    <cellStyle name="Comma 6 3 6 2 6 2 2" xfId="54229" xr:uid="{0B0DA4DD-9989-4B85-BC16-5C1679449A99}"/>
    <cellStyle name="Comma 6 3 6 2 6 3" xfId="39109" xr:uid="{1E2F9E1E-0083-463F-BE0D-4E36DB808255}"/>
    <cellStyle name="Comma 6 3 6 2 7" xfId="10381" xr:uid="{E55E6ACD-2DD8-4B85-88E3-F666D6AAEA41}"/>
    <cellStyle name="Comma 6 3 6 2 7 2" xfId="25501" xr:uid="{F68BE81F-7815-4768-9ACE-2A9D4C0429FD}"/>
    <cellStyle name="Comma 6 3 6 2 7 2 2" xfId="55741" xr:uid="{2CAC3443-2F1D-4423-8A63-5BC6386B5007}"/>
    <cellStyle name="Comma 6 3 6 2 7 3" xfId="40621" xr:uid="{C55F4375-517C-4ADC-8590-B39F193AACA8}"/>
    <cellStyle name="Comma 6 3 6 2 8" xfId="16429" xr:uid="{8FC36360-85B2-49D6-8FF0-927248E0D7E7}"/>
    <cellStyle name="Comma 6 3 6 2 8 2" xfId="46669" xr:uid="{700DD34A-A253-4320-8C53-7F00FD2818B2}"/>
    <cellStyle name="Comma 6 3 6 2 9" xfId="31549" xr:uid="{D98A3D2F-CC08-4A12-830B-E9E8A3374F12}"/>
    <cellStyle name="Comma 6 3 6 3" xfId="2065" xr:uid="{D1D81A99-2618-40D4-84CB-097AB39F8678}"/>
    <cellStyle name="Comma 6 3 6 3 2" xfId="11137" xr:uid="{936259FB-1805-45BA-87B5-9959295563FB}"/>
    <cellStyle name="Comma 6 3 6 3 2 2" xfId="26257" xr:uid="{A5FCE2B1-BB65-4CE9-A93D-9B6C06D34567}"/>
    <cellStyle name="Comma 6 3 6 3 2 2 2" xfId="56497" xr:uid="{F602C7CC-1260-468D-854F-F04A73EAA50F}"/>
    <cellStyle name="Comma 6 3 6 3 2 3" xfId="41377" xr:uid="{890BA060-3691-4453-85A1-827839D0041B}"/>
    <cellStyle name="Comma 6 3 6 3 3" xfId="17185" xr:uid="{3E4BB6F8-6E73-47F9-BA34-2F8AC1FB7882}"/>
    <cellStyle name="Comma 6 3 6 3 3 2" xfId="47425" xr:uid="{0837E64B-5F44-4DB4-8BE2-F50C1C7E13D8}"/>
    <cellStyle name="Comma 6 3 6 3 4" xfId="32305" xr:uid="{DD926DC2-C89A-400C-9408-1B9D164ADA40}"/>
    <cellStyle name="Comma 6 3 6 4" xfId="3577" xr:uid="{50288107-158A-4A51-B7B5-7A76F7113DC1}"/>
    <cellStyle name="Comma 6 3 6 4 2" xfId="12649" xr:uid="{6AB49A7B-1830-40C6-A674-336CF2C4D50A}"/>
    <cellStyle name="Comma 6 3 6 4 2 2" xfId="27769" xr:uid="{1370DA6C-44C0-4183-A896-C106296C3886}"/>
    <cellStyle name="Comma 6 3 6 4 2 2 2" xfId="58009" xr:uid="{5D414047-0A9F-4124-89F2-22FADCCBAD9C}"/>
    <cellStyle name="Comma 6 3 6 4 2 3" xfId="42889" xr:uid="{6AC315C0-3196-4C4C-95DF-F858F859FAB7}"/>
    <cellStyle name="Comma 6 3 6 4 3" xfId="18697" xr:uid="{328F08D0-4939-44D7-B636-0EDA3A407DA1}"/>
    <cellStyle name="Comma 6 3 6 4 3 2" xfId="48937" xr:uid="{E8A74A4F-F91A-47BF-9AC7-17E8A2093A43}"/>
    <cellStyle name="Comma 6 3 6 4 4" xfId="33817" xr:uid="{F80CD7AF-9B12-4109-B544-3479905D5B99}"/>
    <cellStyle name="Comma 6 3 6 5" xfId="5089" xr:uid="{A922382F-9322-481C-8841-264E2A74FF90}"/>
    <cellStyle name="Comma 6 3 6 5 2" xfId="14161" xr:uid="{6A2A7E88-EED6-4B4E-B508-9BF6B4A464DF}"/>
    <cellStyle name="Comma 6 3 6 5 2 2" xfId="29281" xr:uid="{6BCF1046-91AF-4609-887A-1059D279443F}"/>
    <cellStyle name="Comma 6 3 6 5 2 2 2" xfId="59521" xr:uid="{35128ACB-609C-412A-89AD-C616926BF179}"/>
    <cellStyle name="Comma 6 3 6 5 2 3" xfId="44401" xr:uid="{6AC5FA75-F975-4D25-A590-AAA5EB993DB5}"/>
    <cellStyle name="Comma 6 3 6 5 3" xfId="20209" xr:uid="{0F1E8DD8-5732-438D-84E0-EE3CA04B504C}"/>
    <cellStyle name="Comma 6 3 6 5 3 2" xfId="50449" xr:uid="{8DDD01C2-2441-4F44-97AC-0268F55578F6}"/>
    <cellStyle name="Comma 6 3 6 5 4" xfId="35329" xr:uid="{1AE1E2C7-F941-4AA3-BED1-A92C4D3FC97E}"/>
    <cellStyle name="Comma 6 3 6 6" xfId="6601" xr:uid="{7EEFDC72-2B59-49C7-A3EB-749A4CA4643E}"/>
    <cellStyle name="Comma 6 3 6 6 2" xfId="21721" xr:uid="{C90620C0-A7D2-41B3-A7BD-582BB230A92C}"/>
    <cellStyle name="Comma 6 3 6 6 2 2" xfId="51961" xr:uid="{1363B23B-4486-49B6-896E-8ECA7B4B9931}"/>
    <cellStyle name="Comma 6 3 6 6 3" xfId="36841" xr:uid="{D78A9365-ACA8-4F26-948D-B6C44D7612C4}"/>
    <cellStyle name="Comma 6 3 6 7" xfId="8113" xr:uid="{09070626-FE5F-4E3D-AE1C-638B0E730C29}"/>
    <cellStyle name="Comma 6 3 6 7 2" xfId="23233" xr:uid="{B1E4BF92-DA1F-4C5D-B893-B20B788FDCCA}"/>
    <cellStyle name="Comma 6 3 6 7 2 2" xfId="53473" xr:uid="{B162AC78-D17C-4E92-A493-8127041A2CA8}"/>
    <cellStyle name="Comma 6 3 6 7 3" xfId="38353" xr:uid="{0A1588C2-4042-46B2-A55D-B4BDDB2977E6}"/>
    <cellStyle name="Comma 6 3 6 8" xfId="9625" xr:uid="{0686903D-E3F4-445B-A657-757A05B1F8CF}"/>
    <cellStyle name="Comma 6 3 6 8 2" xfId="24745" xr:uid="{19C69B88-BA88-4FB0-AAE3-E361D7AC4D47}"/>
    <cellStyle name="Comma 6 3 6 8 2 2" xfId="54985" xr:uid="{290372A8-B2F6-4D8A-A41A-9B324C1405B5}"/>
    <cellStyle name="Comma 6 3 6 8 3" xfId="39865" xr:uid="{949D7996-87CA-4CC7-A389-295B9FBB8542}"/>
    <cellStyle name="Comma 6 3 6 9" xfId="15673" xr:uid="{F4E4A2C8-3975-47ED-887D-8D341E9C68EA}"/>
    <cellStyle name="Comma 6 3 6 9 2" xfId="45913" xr:uid="{D1D6938B-8247-4563-A99E-D7FF5026BDF1}"/>
    <cellStyle name="Comma 6 3 7" xfId="805" xr:uid="{DA054838-4E3B-4B35-A0FB-8FA8A3A115EA}"/>
    <cellStyle name="Comma 6 3 7 2" xfId="2317" xr:uid="{66CE9415-FA10-4AF0-B23D-94F9D97124E6}"/>
    <cellStyle name="Comma 6 3 7 2 2" xfId="11389" xr:uid="{AA9EDEE5-3FE4-4F68-8AC8-3C7BB198DCD9}"/>
    <cellStyle name="Comma 6 3 7 2 2 2" xfId="26509" xr:uid="{49A5AF68-B556-42B1-8324-70FF0C1F1B83}"/>
    <cellStyle name="Comma 6 3 7 2 2 2 2" xfId="56749" xr:uid="{51BCD3CF-0B70-4F8A-9136-2F6C2D0C7EE1}"/>
    <cellStyle name="Comma 6 3 7 2 2 3" xfId="41629" xr:uid="{E196B355-B9B4-4CD4-9E48-1777EBD6D17E}"/>
    <cellStyle name="Comma 6 3 7 2 3" xfId="17437" xr:uid="{9F9768EF-E5AF-4D2F-8FBC-3DA92CDE023C}"/>
    <cellStyle name="Comma 6 3 7 2 3 2" xfId="47677" xr:uid="{6600A275-EBEA-4B80-B034-BB22F6373775}"/>
    <cellStyle name="Comma 6 3 7 2 4" xfId="32557" xr:uid="{B1FB542C-A19A-4CDC-AF24-295D4C0A55FB}"/>
    <cellStyle name="Comma 6 3 7 3" xfId="3829" xr:uid="{EC7C893A-7414-4C6D-9354-BFF8756BAFAB}"/>
    <cellStyle name="Comma 6 3 7 3 2" xfId="12901" xr:uid="{22BA018E-DB5D-4B53-973A-D80D91E4DAEE}"/>
    <cellStyle name="Comma 6 3 7 3 2 2" xfId="28021" xr:uid="{163D3A80-E62B-4B2D-A5F9-45D1F65B1427}"/>
    <cellStyle name="Comma 6 3 7 3 2 2 2" xfId="58261" xr:uid="{690D285D-BBC3-469D-B47E-7256328997EA}"/>
    <cellStyle name="Comma 6 3 7 3 2 3" xfId="43141" xr:uid="{9E1FD44C-678D-4695-846A-A5B747AF39A7}"/>
    <cellStyle name="Comma 6 3 7 3 3" xfId="18949" xr:uid="{0F73C478-D367-4D37-A447-CF61BF755F0F}"/>
    <cellStyle name="Comma 6 3 7 3 3 2" xfId="49189" xr:uid="{2A857CA3-4BF3-49CE-B8CC-A716633096DA}"/>
    <cellStyle name="Comma 6 3 7 3 4" xfId="34069" xr:uid="{2920EDBA-DD72-4769-94D5-5562D59152B5}"/>
    <cellStyle name="Comma 6 3 7 4" xfId="5341" xr:uid="{6A883169-EEF5-4C2B-AD2B-F9CC64F16838}"/>
    <cellStyle name="Comma 6 3 7 4 2" xfId="14413" xr:uid="{F166AE04-CEBA-429E-AF71-B21FEDDF3584}"/>
    <cellStyle name="Comma 6 3 7 4 2 2" xfId="29533" xr:uid="{90E6598A-F8F6-4897-AB0A-DC1635A0AC63}"/>
    <cellStyle name="Comma 6 3 7 4 2 2 2" xfId="59773" xr:uid="{B82C1588-5633-4366-A8A8-3A53FBD991B6}"/>
    <cellStyle name="Comma 6 3 7 4 2 3" xfId="44653" xr:uid="{9BDC3F3C-5F6D-4EE4-B5E9-70FD82FCEDD2}"/>
    <cellStyle name="Comma 6 3 7 4 3" xfId="20461" xr:uid="{3822CCA3-C415-469D-A4BD-98057369368E}"/>
    <cellStyle name="Comma 6 3 7 4 3 2" xfId="50701" xr:uid="{CF9D90CE-DA6E-41CD-9721-920BB1355D1C}"/>
    <cellStyle name="Comma 6 3 7 4 4" xfId="35581" xr:uid="{AC7BB7FB-08CC-40B2-BD34-F949ED4E7F6D}"/>
    <cellStyle name="Comma 6 3 7 5" xfId="6853" xr:uid="{8DA4070A-D068-40B0-A964-88B83F35E591}"/>
    <cellStyle name="Comma 6 3 7 5 2" xfId="21973" xr:uid="{43569639-7E55-4C2F-83FA-40BAE229645B}"/>
    <cellStyle name="Comma 6 3 7 5 2 2" xfId="52213" xr:uid="{EAD52DAB-F3AB-42C5-8709-465905539C83}"/>
    <cellStyle name="Comma 6 3 7 5 3" xfId="37093" xr:uid="{00830D21-36DA-4227-B52D-54E7B9800B5A}"/>
    <cellStyle name="Comma 6 3 7 6" xfId="8365" xr:uid="{866C988E-9E88-4DF5-B035-6B2D563B0480}"/>
    <cellStyle name="Comma 6 3 7 6 2" xfId="23485" xr:uid="{4B38883D-4C98-461A-9DAA-9406453E54CB}"/>
    <cellStyle name="Comma 6 3 7 6 2 2" xfId="53725" xr:uid="{17734F9E-4DAC-4087-BD48-D45332051AF4}"/>
    <cellStyle name="Comma 6 3 7 6 3" xfId="38605" xr:uid="{41C5248D-B60E-42DC-A6E1-5031DE0E4722}"/>
    <cellStyle name="Comma 6 3 7 7" xfId="9877" xr:uid="{D34B6507-EA98-4297-80B2-814FAD0CDB0B}"/>
    <cellStyle name="Comma 6 3 7 7 2" xfId="24997" xr:uid="{86374E4A-F5C7-4DBB-BD11-96ECA50D40C5}"/>
    <cellStyle name="Comma 6 3 7 7 2 2" xfId="55237" xr:uid="{4AF07D40-E600-4658-9172-0BB5FDEA11B2}"/>
    <cellStyle name="Comma 6 3 7 7 3" xfId="40117" xr:uid="{31609A81-44A8-44D2-AD13-10C5C31754BC}"/>
    <cellStyle name="Comma 6 3 7 8" xfId="15925" xr:uid="{98EA7BED-28A3-4BCC-9A08-E105B285E3F8}"/>
    <cellStyle name="Comma 6 3 7 8 2" xfId="46165" xr:uid="{D2769687-A2AF-484E-9A33-084BF0AC7027}"/>
    <cellStyle name="Comma 6 3 7 9" xfId="31045" xr:uid="{85390AF8-948F-4298-B3BE-A3CDD25F623D}"/>
    <cellStyle name="Comma 6 3 8" xfId="1561" xr:uid="{955A1237-26E1-4F32-BB3F-B18E83EAC26C}"/>
    <cellStyle name="Comma 6 3 8 2" xfId="10633" xr:uid="{1B62429D-E220-4217-8810-AA66CAB763CD}"/>
    <cellStyle name="Comma 6 3 8 2 2" xfId="25753" xr:uid="{E0C5BA8A-8B54-497E-89E4-371EDCA3EF75}"/>
    <cellStyle name="Comma 6 3 8 2 2 2" xfId="55993" xr:uid="{5214A2C7-C77A-46BE-ABEE-A9C31187294A}"/>
    <cellStyle name="Comma 6 3 8 2 3" xfId="40873" xr:uid="{078443CA-43C8-4007-806E-BDB937E8E1E6}"/>
    <cellStyle name="Comma 6 3 8 3" xfId="16681" xr:uid="{68EDEDCA-C051-416B-91AE-13468ED42210}"/>
    <cellStyle name="Comma 6 3 8 3 2" xfId="46921" xr:uid="{F98AF170-E6E4-439F-98D0-40436E6D56D1}"/>
    <cellStyle name="Comma 6 3 8 4" xfId="31801" xr:uid="{F48F3A4E-5C0E-4EE5-9A97-E98D665789D0}"/>
    <cellStyle name="Comma 6 3 9" xfId="3073" xr:uid="{1E45BE2A-E16B-4EBD-8D76-9F3FEDBA8AAC}"/>
    <cellStyle name="Comma 6 3 9 2" xfId="12145" xr:uid="{F165F219-5272-4F68-BDD3-606DE290B45A}"/>
    <cellStyle name="Comma 6 3 9 2 2" xfId="27265" xr:uid="{E4CB8870-A323-4EE1-BE69-7A0D2432CC1C}"/>
    <cellStyle name="Comma 6 3 9 2 2 2" xfId="57505" xr:uid="{990AE54A-D5F3-454B-8A17-3E50BBFFAA7C}"/>
    <cellStyle name="Comma 6 3 9 2 3" xfId="42385" xr:uid="{B4E1562C-9CBF-4741-893D-D6B857F3B653}"/>
    <cellStyle name="Comma 6 3 9 3" xfId="18193" xr:uid="{22B541C0-BCAE-4EA3-8341-95087ECDD570}"/>
    <cellStyle name="Comma 6 3 9 3 2" xfId="48433" xr:uid="{90C701B1-8811-4B2B-A7A2-CB7E214573E9}"/>
    <cellStyle name="Comma 6 3 9 4" xfId="33313" xr:uid="{DF26437F-0310-4CC4-8F31-0117F97449BB}"/>
    <cellStyle name="Comma 6 4" xfId="63" xr:uid="{9F41D588-05E9-4E3F-9755-E246264A49B0}"/>
    <cellStyle name="Comma 6 4 10" xfId="6111" xr:uid="{A3BB273D-6A81-484B-A702-102DDC425502}"/>
    <cellStyle name="Comma 6 4 10 2" xfId="21231" xr:uid="{28F3F09B-24FE-482B-AB41-8D86B1E3EA4C}"/>
    <cellStyle name="Comma 6 4 10 2 2" xfId="51471" xr:uid="{DFC6EB1C-FA8C-427D-A2D4-ABDB4B7E4446}"/>
    <cellStyle name="Comma 6 4 10 3" xfId="36351" xr:uid="{63F0F5D9-290C-4D30-AE0C-187C8ADE4266}"/>
    <cellStyle name="Comma 6 4 11" xfId="7623" xr:uid="{75A98554-4437-49DA-8067-917A13A674B9}"/>
    <cellStyle name="Comma 6 4 11 2" xfId="22743" xr:uid="{3AFC7AAC-25BD-4446-84AE-3C8C141A8052}"/>
    <cellStyle name="Comma 6 4 11 2 2" xfId="52983" xr:uid="{629592E9-7C45-43CD-BDA2-C6501C74E3FF}"/>
    <cellStyle name="Comma 6 4 11 3" xfId="37863" xr:uid="{09759DC7-56B9-443F-9D8F-63541F20721F}"/>
    <cellStyle name="Comma 6 4 12" xfId="9135" xr:uid="{817C4D35-A49A-43BB-99EC-9200A1AA2919}"/>
    <cellStyle name="Comma 6 4 12 2" xfId="24255" xr:uid="{7BD9D16D-BA3B-4AFD-8BD5-09B0486A1767}"/>
    <cellStyle name="Comma 6 4 12 2 2" xfId="54495" xr:uid="{DCFBEE31-4A66-4114-A1A6-26688024280B}"/>
    <cellStyle name="Comma 6 4 12 3" xfId="39375" xr:uid="{075D49DF-6B40-4C01-A1FC-745ED6CE0E21}"/>
    <cellStyle name="Comma 6 4 13" xfId="15183" xr:uid="{D13D4113-BCB1-40AD-BBE1-D6A127622A5B}"/>
    <cellStyle name="Comma 6 4 13 2" xfId="45423" xr:uid="{F74A5301-6659-4070-AA0A-3D40D3DDEEF6}"/>
    <cellStyle name="Comma 6 4 14" xfId="30303" xr:uid="{CFEBCD88-91F9-4012-976D-BFE658B3ACFD}"/>
    <cellStyle name="Comma 6 4 2" xfId="147" xr:uid="{A985C252-ED42-4244-AA50-66AA7DB3C425}"/>
    <cellStyle name="Comma 6 4 2 10" xfId="9219" xr:uid="{AF3CDB8A-4148-4A49-B47A-CF5B61865105}"/>
    <cellStyle name="Comma 6 4 2 10 2" xfId="24339" xr:uid="{7E88BA0E-2F20-4189-ACC9-0EAD81589226}"/>
    <cellStyle name="Comma 6 4 2 10 2 2" xfId="54579" xr:uid="{5234C8CF-7E61-4310-8829-F818E2EBE57E}"/>
    <cellStyle name="Comma 6 4 2 10 3" xfId="39459" xr:uid="{899A1A06-594F-4ED3-86B1-AF7EFF30E166}"/>
    <cellStyle name="Comma 6 4 2 11" xfId="15267" xr:uid="{5FB11D94-B8A0-4BA2-AEA6-E2B0F8DE39F6}"/>
    <cellStyle name="Comma 6 4 2 11 2" xfId="45507" xr:uid="{F3041AAF-F995-46FA-86C6-7C2A0729F416}"/>
    <cellStyle name="Comma 6 4 2 12" xfId="30387" xr:uid="{18A00E2A-8B31-4C55-92D9-602C2DE21D02}"/>
    <cellStyle name="Comma 6 4 2 2" xfId="399" xr:uid="{C7B7FBAE-2B8F-4B21-879C-B6C18DF89567}"/>
    <cellStyle name="Comma 6 4 2 2 10" xfId="30639" xr:uid="{63F6BF2B-1509-472B-A3D1-0A38017A3292}"/>
    <cellStyle name="Comma 6 4 2 2 2" xfId="1155" xr:uid="{DFB3CD30-7460-4CC6-9880-BD8DD69F86D2}"/>
    <cellStyle name="Comma 6 4 2 2 2 2" xfId="2667" xr:uid="{DE09FB3A-C857-40D3-BB0F-20D0962D5268}"/>
    <cellStyle name="Comma 6 4 2 2 2 2 2" xfId="11739" xr:uid="{333BD0FF-A208-4640-ABF7-8F923DF369CC}"/>
    <cellStyle name="Comma 6 4 2 2 2 2 2 2" xfId="26859" xr:uid="{7DD9C4D0-1F75-4B05-A0AF-EC03528B10A1}"/>
    <cellStyle name="Comma 6 4 2 2 2 2 2 2 2" xfId="57099" xr:uid="{976EF87B-284F-4132-AFF7-A9BE0E9F41B2}"/>
    <cellStyle name="Comma 6 4 2 2 2 2 2 3" xfId="41979" xr:uid="{94BF051B-E4B1-4DB9-8EB1-82D488EC4AE2}"/>
    <cellStyle name="Comma 6 4 2 2 2 2 3" xfId="17787" xr:uid="{EF9EF0F3-F2AC-446E-AC2A-02E293AD6030}"/>
    <cellStyle name="Comma 6 4 2 2 2 2 3 2" xfId="48027" xr:uid="{A2284C9E-9089-4197-8BDA-4AEF8C8ECA82}"/>
    <cellStyle name="Comma 6 4 2 2 2 2 4" xfId="32907" xr:uid="{4582891D-E5AE-4E34-B7B6-C80382DE9957}"/>
    <cellStyle name="Comma 6 4 2 2 2 3" xfId="4179" xr:uid="{8BBAE776-19A5-4ECD-965C-5637A74F00D7}"/>
    <cellStyle name="Comma 6 4 2 2 2 3 2" xfId="13251" xr:uid="{B291C586-64F8-43B8-B0CD-F3750E1C889B}"/>
    <cellStyle name="Comma 6 4 2 2 2 3 2 2" xfId="28371" xr:uid="{0BBC92CB-6C3B-4E8F-B070-927CEA11BA75}"/>
    <cellStyle name="Comma 6 4 2 2 2 3 2 2 2" xfId="58611" xr:uid="{21A252C8-F992-4164-B636-0EB013DEE0CB}"/>
    <cellStyle name="Comma 6 4 2 2 2 3 2 3" xfId="43491" xr:uid="{C514A699-1254-43E5-9B02-BC3E1AADF548}"/>
    <cellStyle name="Comma 6 4 2 2 2 3 3" xfId="19299" xr:uid="{01A9C35D-9D08-4273-AD38-F136DFCFF27D}"/>
    <cellStyle name="Comma 6 4 2 2 2 3 3 2" xfId="49539" xr:uid="{644B9473-4E9A-4E6F-8227-1391AFB37B39}"/>
    <cellStyle name="Comma 6 4 2 2 2 3 4" xfId="34419" xr:uid="{CA1BA11C-54FF-45C2-A98D-D23BE8BD0A73}"/>
    <cellStyle name="Comma 6 4 2 2 2 4" xfId="5691" xr:uid="{6C51D5EC-DA6C-4689-98D8-106094796A4A}"/>
    <cellStyle name="Comma 6 4 2 2 2 4 2" xfId="14763" xr:uid="{BACF7F71-3034-44E7-A96E-AB6873ED071E}"/>
    <cellStyle name="Comma 6 4 2 2 2 4 2 2" xfId="29883" xr:uid="{CB48F95B-11B1-4C80-80C1-C9B9282B3D55}"/>
    <cellStyle name="Comma 6 4 2 2 2 4 2 2 2" xfId="60123" xr:uid="{3348190C-A3FB-4A38-8D66-0BDA2C4EB087}"/>
    <cellStyle name="Comma 6 4 2 2 2 4 2 3" xfId="45003" xr:uid="{7C46CE54-6F82-4C98-84D9-B7F660EC67F8}"/>
    <cellStyle name="Comma 6 4 2 2 2 4 3" xfId="20811" xr:uid="{2B4AFD08-EDA4-4ADB-B662-F31B6E56EC66}"/>
    <cellStyle name="Comma 6 4 2 2 2 4 3 2" xfId="51051" xr:uid="{EEC81B1A-34B8-4930-907D-A27D61AA8947}"/>
    <cellStyle name="Comma 6 4 2 2 2 4 4" xfId="35931" xr:uid="{A35A3075-B82A-4211-B807-7D930379D675}"/>
    <cellStyle name="Comma 6 4 2 2 2 5" xfId="7203" xr:uid="{665343AB-7DC7-4D2C-B70E-313918F4F0E1}"/>
    <cellStyle name="Comma 6 4 2 2 2 5 2" xfId="22323" xr:uid="{52098556-A5CD-4323-A31C-72B638105D78}"/>
    <cellStyle name="Comma 6 4 2 2 2 5 2 2" xfId="52563" xr:uid="{4FE18121-BA0B-4F54-9B8D-B82A6C1EF7A3}"/>
    <cellStyle name="Comma 6 4 2 2 2 5 3" xfId="37443" xr:uid="{A4092206-9C3E-4BDD-AB66-B6665E6F0BBC}"/>
    <cellStyle name="Comma 6 4 2 2 2 6" xfId="8715" xr:uid="{995E1D6D-2D2F-469F-A681-226F189FEEF7}"/>
    <cellStyle name="Comma 6 4 2 2 2 6 2" xfId="23835" xr:uid="{C27A4C54-B08A-415B-91C4-E4432637AFFF}"/>
    <cellStyle name="Comma 6 4 2 2 2 6 2 2" xfId="54075" xr:uid="{6B4F535B-0A59-4325-B78E-F3428E1E31AC}"/>
    <cellStyle name="Comma 6 4 2 2 2 6 3" xfId="38955" xr:uid="{FB9981E8-94E0-4955-AE0D-29C9480427FA}"/>
    <cellStyle name="Comma 6 4 2 2 2 7" xfId="10227" xr:uid="{6E7D8F8D-5AD2-4F61-B13D-86F3D8AE31F3}"/>
    <cellStyle name="Comma 6 4 2 2 2 7 2" xfId="25347" xr:uid="{5E7812A3-B98F-4655-9DEF-589F94A9B3E0}"/>
    <cellStyle name="Comma 6 4 2 2 2 7 2 2" xfId="55587" xr:uid="{C019FFAB-3019-4B93-A28C-5D016DA597D2}"/>
    <cellStyle name="Comma 6 4 2 2 2 7 3" xfId="40467" xr:uid="{9AB3BB61-A341-4046-ABB7-24F68ACE9A27}"/>
    <cellStyle name="Comma 6 4 2 2 2 8" xfId="16275" xr:uid="{29C48103-312A-4A8D-A49F-13FEF95C635B}"/>
    <cellStyle name="Comma 6 4 2 2 2 8 2" xfId="46515" xr:uid="{194E5D70-E7D4-46B6-9C67-C328FE9C8259}"/>
    <cellStyle name="Comma 6 4 2 2 2 9" xfId="31395" xr:uid="{53F4E3C6-6F8C-4866-8158-C7517FD6417F}"/>
    <cellStyle name="Comma 6 4 2 2 3" xfId="1911" xr:uid="{18107EC9-40BC-4502-B5CC-45F5B98C6A53}"/>
    <cellStyle name="Comma 6 4 2 2 3 2" xfId="10983" xr:uid="{0E977AF9-62DB-4FF4-8993-D1C325822C26}"/>
    <cellStyle name="Comma 6 4 2 2 3 2 2" xfId="26103" xr:uid="{B5244906-41FF-49B0-B1F4-7839CBC0DC33}"/>
    <cellStyle name="Comma 6 4 2 2 3 2 2 2" xfId="56343" xr:uid="{5267B58E-8F24-4EA5-9A46-6336AC70BD7A}"/>
    <cellStyle name="Comma 6 4 2 2 3 2 3" xfId="41223" xr:uid="{0F7CC19F-BC62-4FF5-8886-0517428479E8}"/>
    <cellStyle name="Comma 6 4 2 2 3 3" xfId="17031" xr:uid="{0BB548E3-4189-4287-9B60-B3A27440BB91}"/>
    <cellStyle name="Comma 6 4 2 2 3 3 2" xfId="47271" xr:uid="{1F0611D7-92A3-4C51-A6A6-7FC1D4DAFD88}"/>
    <cellStyle name="Comma 6 4 2 2 3 4" xfId="32151" xr:uid="{F2CA7D9C-7823-4A04-BBFB-197B8B36A2D4}"/>
    <cellStyle name="Comma 6 4 2 2 4" xfId="3423" xr:uid="{5F0DCE67-0D6E-4DDA-98CE-ADD3D952AC4C}"/>
    <cellStyle name="Comma 6 4 2 2 4 2" xfId="12495" xr:uid="{62969277-6E4E-4AD1-802A-316BA2B4D656}"/>
    <cellStyle name="Comma 6 4 2 2 4 2 2" xfId="27615" xr:uid="{6ABCC01B-F17B-4BB6-92BA-1BA2CE1CB194}"/>
    <cellStyle name="Comma 6 4 2 2 4 2 2 2" xfId="57855" xr:uid="{91619A45-B152-42F0-8E4A-8FC1AA597DB0}"/>
    <cellStyle name="Comma 6 4 2 2 4 2 3" xfId="42735" xr:uid="{AD8C7A0A-47BE-4EC7-9D1B-0DC5F8ACFBBE}"/>
    <cellStyle name="Comma 6 4 2 2 4 3" xfId="18543" xr:uid="{9B59E95F-9B8D-4DDE-8040-CD8AD3EFB4E7}"/>
    <cellStyle name="Comma 6 4 2 2 4 3 2" xfId="48783" xr:uid="{DD6E5D47-CC8D-4896-B759-35FDB0C0671B}"/>
    <cellStyle name="Comma 6 4 2 2 4 4" xfId="33663" xr:uid="{A3B4FA88-83A3-49B2-A1FE-F0E5D577D398}"/>
    <cellStyle name="Comma 6 4 2 2 5" xfId="4935" xr:uid="{965EC3ED-9C26-428D-9AD7-60984010797E}"/>
    <cellStyle name="Comma 6 4 2 2 5 2" xfId="14007" xr:uid="{B4E72389-CDE1-4671-82D3-96A601C6461C}"/>
    <cellStyle name="Comma 6 4 2 2 5 2 2" xfId="29127" xr:uid="{80311182-A3FD-497F-A7CC-55101442B75E}"/>
    <cellStyle name="Comma 6 4 2 2 5 2 2 2" xfId="59367" xr:uid="{6EC42A3B-2577-4008-B407-AA2C8A33893A}"/>
    <cellStyle name="Comma 6 4 2 2 5 2 3" xfId="44247" xr:uid="{6464FCF6-8BF6-44E6-8043-3BBA381E8B57}"/>
    <cellStyle name="Comma 6 4 2 2 5 3" xfId="20055" xr:uid="{EF79D4BE-E8C5-4B8D-83DD-27445B3AB332}"/>
    <cellStyle name="Comma 6 4 2 2 5 3 2" xfId="50295" xr:uid="{9CDC34E3-07BB-4FFE-B42D-9CCF172C6702}"/>
    <cellStyle name="Comma 6 4 2 2 5 4" xfId="35175" xr:uid="{9356B3ED-664F-4146-8765-8A297EFB83A0}"/>
    <cellStyle name="Comma 6 4 2 2 6" xfId="6447" xr:uid="{5F161B3A-6786-48AC-8C7D-7146CD8545D8}"/>
    <cellStyle name="Comma 6 4 2 2 6 2" xfId="21567" xr:uid="{F5B93398-BDC7-4111-B880-E32C5D7CD6AF}"/>
    <cellStyle name="Comma 6 4 2 2 6 2 2" xfId="51807" xr:uid="{03BCF1B7-5791-4658-8913-AE1B82A28461}"/>
    <cellStyle name="Comma 6 4 2 2 6 3" xfId="36687" xr:uid="{3D46CB9F-1CC2-4E40-9DCD-4F6E7E76CC8E}"/>
    <cellStyle name="Comma 6 4 2 2 7" xfId="7959" xr:uid="{E77D9704-F507-4E11-B18A-295409D2A954}"/>
    <cellStyle name="Comma 6 4 2 2 7 2" xfId="23079" xr:uid="{B4F8017F-1296-47C1-8A40-9EB273708F61}"/>
    <cellStyle name="Comma 6 4 2 2 7 2 2" xfId="53319" xr:uid="{354FCF56-95E5-4058-8F80-F4C87FC91335}"/>
    <cellStyle name="Comma 6 4 2 2 7 3" xfId="38199" xr:uid="{1B05BAD6-ECAC-4348-BB45-E533C677C498}"/>
    <cellStyle name="Comma 6 4 2 2 8" xfId="9471" xr:uid="{151D64D1-4824-4DDB-B8E4-CD636917BF69}"/>
    <cellStyle name="Comma 6 4 2 2 8 2" xfId="24591" xr:uid="{AEB01EC9-A6B0-4090-BA95-065BEA30D6E2}"/>
    <cellStyle name="Comma 6 4 2 2 8 2 2" xfId="54831" xr:uid="{63B6F31E-F0C0-4FF8-9094-820FF1BA6A6A}"/>
    <cellStyle name="Comma 6 4 2 2 8 3" xfId="39711" xr:uid="{893A5C49-F945-4C7F-BA97-FBB77E38B790}"/>
    <cellStyle name="Comma 6 4 2 2 9" xfId="15519" xr:uid="{E600FB76-2428-4BB7-AB9C-2B25D1644D94}"/>
    <cellStyle name="Comma 6 4 2 2 9 2" xfId="45759" xr:uid="{CE612EED-8876-4207-8086-44ADFD8B1A8D}"/>
    <cellStyle name="Comma 6 4 2 3" xfId="651" xr:uid="{715965F4-11F4-4B8B-B9E3-1C4A00FAC679}"/>
    <cellStyle name="Comma 6 4 2 3 10" xfId="30891" xr:uid="{F7DE2F88-5F0B-41D3-B6B0-23A209C55718}"/>
    <cellStyle name="Comma 6 4 2 3 2" xfId="1407" xr:uid="{675BC646-4911-4618-A2FD-D351B03E76EF}"/>
    <cellStyle name="Comma 6 4 2 3 2 2" xfId="2919" xr:uid="{EEA47C8B-D82C-4D8C-8974-0FAD434BEC4B}"/>
    <cellStyle name="Comma 6 4 2 3 2 2 2" xfId="11991" xr:uid="{6E1C86B7-92C0-4DDC-9A47-F953591DD279}"/>
    <cellStyle name="Comma 6 4 2 3 2 2 2 2" xfId="27111" xr:uid="{301C0225-2970-4899-900D-AAC183843D0E}"/>
    <cellStyle name="Comma 6 4 2 3 2 2 2 2 2" xfId="57351" xr:uid="{7E667A4A-1581-45AE-BB38-955F2324625F}"/>
    <cellStyle name="Comma 6 4 2 3 2 2 2 3" xfId="42231" xr:uid="{AC8B9D83-1AEF-410D-83BA-72EC31FBCBF1}"/>
    <cellStyle name="Comma 6 4 2 3 2 2 3" xfId="18039" xr:uid="{E268732C-5FFA-418F-A584-CB1218C4E2E0}"/>
    <cellStyle name="Comma 6 4 2 3 2 2 3 2" xfId="48279" xr:uid="{C988A528-2087-43C5-92D1-3B9F832A3B6C}"/>
    <cellStyle name="Comma 6 4 2 3 2 2 4" xfId="33159" xr:uid="{1CA5DB55-C5C1-44CB-87BE-D2C6C8245F95}"/>
    <cellStyle name="Comma 6 4 2 3 2 3" xfId="4431" xr:uid="{A06197DD-3C01-48B0-9A96-3647278BECCD}"/>
    <cellStyle name="Comma 6 4 2 3 2 3 2" xfId="13503" xr:uid="{BA17D259-0943-4A2E-B7AA-086CE4FE063F}"/>
    <cellStyle name="Comma 6 4 2 3 2 3 2 2" xfId="28623" xr:uid="{8DB30773-93A9-43A8-B325-685BB5945455}"/>
    <cellStyle name="Comma 6 4 2 3 2 3 2 2 2" xfId="58863" xr:uid="{3142C81A-5712-4D95-88B7-9027694DC768}"/>
    <cellStyle name="Comma 6 4 2 3 2 3 2 3" xfId="43743" xr:uid="{4677329E-0ED1-466F-8094-E8A7A9FD2C03}"/>
    <cellStyle name="Comma 6 4 2 3 2 3 3" xfId="19551" xr:uid="{B0CB4A22-DCEF-45A2-8954-3B82E7F15C47}"/>
    <cellStyle name="Comma 6 4 2 3 2 3 3 2" xfId="49791" xr:uid="{7EBE6B6B-9AC4-4BE9-A3E4-7DE72CF165B3}"/>
    <cellStyle name="Comma 6 4 2 3 2 3 4" xfId="34671" xr:uid="{6527131B-F8E7-4934-B82E-45401BDF929D}"/>
    <cellStyle name="Comma 6 4 2 3 2 4" xfId="5943" xr:uid="{CD364986-6CBD-4E6E-8048-328E474046BE}"/>
    <cellStyle name="Comma 6 4 2 3 2 4 2" xfId="15015" xr:uid="{4A354079-FB6E-44E3-AA18-3E7B186FB8EF}"/>
    <cellStyle name="Comma 6 4 2 3 2 4 2 2" xfId="30135" xr:uid="{E8785111-5769-4D2B-A6CB-7CB37D1B6355}"/>
    <cellStyle name="Comma 6 4 2 3 2 4 2 2 2" xfId="60375" xr:uid="{EDA0798E-473B-429E-93A6-457F94DB00D5}"/>
    <cellStyle name="Comma 6 4 2 3 2 4 2 3" xfId="45255" xr:uid="{86DCBD1A-5BE1-463F-8AE1-8D0BFC6C8630}"/>
    <cellStyle name="Comma 6 4 2 3 2 4 3" xfId="21063" xr:uid="{1407F040-EF5E-403D-B448-80A7E5271C3E}"/>
    <cellStyle name="Comma 6 4 2 3 2 4 3 2" xfId="51303" xr:uid="{2DE3D3A9-1E14-471E-A576-BEA604378972}"/>
    <cellStyle name="Comma 6 4 2 3 2 4 4" xfId="36183" xr:uid="{31313394-A176-4D39-BE9F-352803D52A14}"/>
    <cellStyle name="Comma 6 4 2 3 2 5" xfId="7455" xr:uid="{E33BB558-514A-4654-BF5D-59C70F94A951}"/>
    <cellStyle name="Comma 6 4 2 3 2 5 2" xfId="22575" xr:uid="{F1CFD3CE-0414-4D38-9BE7-F92076CCBF9D}"/>
    <cellStyle name="Comma 6 4 2 3 2 5 2 2" xfId="52815" xr:uid="{E8D4020D-0EE7-4ADB-8DB4-D944B9188F55}"/>
    <cellStyle name="Comma 6 4 2 3 2 5 3" xfId="37695" xr:uid="{F87F6FE0-C7B0-4FC0-B2C0-D3F811268F74}"/>
    <cellStyle name="Comma 6 4 2 3 2 6" xfId="8967" xr:uid="{9624ACA5-B423-4DB4-BF6F-9590B98EC710}"/>
    <cellStyle name="Comma 6 4 2 3 2 6 2" xfId="24087" xr:uid="{5C41AF53-65BF-4A82-89DD-1795187CFD8B}"/>
    <cellStyle name="Comma 6 4 2 3 2 6 2 2" xfId="54327" xr:uid="{9D5266A3-E758-4BF0-94A3-70652921DECA}"/>
    <cellStyle name="Comma 6 4 2 3 2 6 3" xfId="39207" xr:uid="{4D7B6497-346E-44EF-9256-4DC6165577E2}"/>
    <cellStyle name="Comma 6 4 2 3 2 7" xfId="10479" xr:uid="{4A4BC622-2711-468D-B73D-2F91E5B5EB68}"/>
    <cellStyle name="Comma 6 4 2 3 2 7 2" xfId="25599" xr:uid="{9F516807-05EA-4122-AE44-E0A3AA3B30E8}"/>
    <cellStyle name="Comma 6 4 2 3 2 7 2 2" xfId="55839" xr:uid="{D926A8DE-74BA-4FF7-ADA4-0675C3F9EA8A}"/>
    <cellStyle name="Comma 6 4 2 3 2 7 3" xfId="40719" xr:uid="{33A5FED0-6A3D-44F3-B0E2-4E0C2312E9F6}"/>
    <cellStyle name="Comma 6 4 2 3 2 8" xfId="16527" xr:uid="{31ECE457-C562-4AB8-85BC-1CD17A00EBCF}"/>
    <cellStyle name="Comma 6 4 2 3 2 8 2" xfId="46767" xr:uid="{F651FF85-66FA-4A38-A3D9-2BB7A5025C75}"/>
    <cellStyle name="Comma 6 4 2 3 2 9" xfId="31647" xr:uid="{D60678F3-D798-4237-92D2-5FDF9C7621F3}"/>
    <cellStyle name="Comma 6 4 2 3 3" xfId="2163" xr:uid="{4D45A983-1DE9-40D0-AB09-019D7EA36D63}"/>
    <cellStyle name="Comma 6 4 2 3 3 2" xfId="11235" xr:uid="{086696B2-9D6B-449A-ADE3-E7A424E73BDC}"/>
    <cellStyle name="Comma 6 4 2 3 3 2 2" xfId="26355" xr:uid="{90D6CB72-D4C1-49E2-9C7A-5724745C8984}"/>
    <cellStyle name="Comma 6 4 2 3 3 2 2 2" xfId="56595" xr:uid="{8E37F7EC-EFAE-4504-8FE5-B4B10737018C}"/>
    <cellStyle name="Comma 6 4 2 3 3 2 3" xfId="41475" xr:uid="{EB83E7BE-CBB7-435A-8AEC-3259CC4ED100}"/>
    <cellStyle name="Comma 6 4 2 3 3 3" xfId="17283" xr:uid="{E0FADC50-0A7D-47D5-8B36-98DBBF0B47FF}"/>
    <cellStyle name="Comma 6 4 2 3 3 3 2" xfId="47523" xr:uid="{12DC9CEF-520E-4951-8AF8-D9AC4EB5CB5E}"/>
    <cellStyle name="Comma 6 4 2 3 3 4" xfId="32403" xr:uid="{857E630B-8676-46CE-8502-8DBFB98C1F84}"/>
    <cellStyle name="Comma 6 4 2 3 4" xfId="3675" xr:uid="{06B83831-5FDA-4E7A-BD3E-F35D4BD4C8C7}"/>
    <cellStyle name="Comma 6 4 2 3 4 2" xfId="12747" xr:uid="{C663FE3A-FA7F-4B22-9EFF-C245344A64C0}"/>
    <cellStyle name="Comma 6 4 2 3 4 2 2" xfId="27867" xr:uid="{75CAC954-1B7F-442D-ACD5-BC36C67FE677}"/>
    <cellStyle name="Comma 6 4 2 3 4 2 2 2" xfId="58107" xr:uid="{7D40D804-D526-4057-897C-F535D8EA7625}"/>
    <cellStyle name="Comma 6 4 2 3 4 2 3" xfId="42987" xr:uid="{D2973471-BA1D-4434-8604-AB865E802670}"/>
    <cellStyle name="Comma 6 4 2 3 4 3" xfId="18795" xr:uid="{4EEB7899-D083-4713-966A-A785065F533A}"/>
    <cellStyle name="Comma 6 4 2 3 4 3 2" xfId="49035" xr:uid="{75F49879-8D2D-4968-AE1F-AF04D4796094}"/>
    <cellStyle name="Comma 6 4 2 3 4 4" xfId="33915" xr:uid="{BCAB25A5-FFCA-49D0-84DE-E31413E4D2C5}"/>
    <cellStyle name="Comma 6 4 2 3 5" xfId="5187" xr:uid="{2164A725-4E24-4F79-B4F3-0F8C73B95F69}"/>
    <cellStyle name="Comma 6 4 2 3 5 2" xfId="14259" xr:uid="{91DF7CBD-5347-486D-A9C8-D747770FC65E}"/>
    <cellStyle name="Comma 6 4 2 3 5 2 2" xfId="29379" xr:uid="{AB17AD5C-1D32-42D5-BEE7-41408B2B7B6F}"/>
    <cellStyle name="Comma 6 4 2 3 5 2 2 2" xfId="59619" xr:uid="{AC5739D1-C68E-4BA2-91EC-326A32EEB8E2}"/>
    <cellStyle name="Comma 6 4 2 3 5 2 3" xfId="44499" xr:uid="{508DEC47-42FE-4FF6-829B-F6DE8DBFD493}"/>
    <cellStyle name="Comma 6 4 2 3 5 3" xfId="20307" xr:uid="{9A207668-022E-46EE-BC54-27E1169E7A59}"/>
    <cellStyle name="Comma 6 4 2 3 5 3 2" xfId="50547" xr:uid="{4D03FF4D-25DF-4899-83CA-B92D61427874}"/>
    <cellStyle name="Comma 6 4 2 3 5 4" xfId="35427" xr:uid="{37CF71D6-35FB-4F4E-88EB-3E1D72C27CFB}"/>
    <cellStyle name="Comma 6 4 2 3 6" xfId="6699" xr:uid="{43DFF2F4-83DE-4932-947A-285FD0CB5622}"/>
    <cellStyle name="Comma 6 4 2 3 6 2" xfId="21819" xr:uid="{DA2D215F-D9F8-4C3D-968B-428718399FDF}"/>
    <cellStyle name="Comma 6 4 2 3 6 2 2" xfId="52059" xr:uid="{C192AB6D-04D7-41A0-A910-A7F9E18DB9C4}"/>
    <cellStyle name="Comma 6 4 2 3 6 3" xfId="36939" xr:uid="{B11E0373-4599-4505-A6D9-208836102561}"/>
    <cellStyle name="Comma 6 4 2 3 7" xfId="8211" xr:uid="{1CAE3427-9477-4297-9333-E8D2715D1048}"/>
    <cellStyle name="Comma 6 4 2 3 7 2" xfId="23331" xr:uid="{802B9BA8-453F-429A-847E-30B2F73FC779}"/>
    <cellStyle name="Comma 6 4 2 3 7 2 2" xfId="53571" xr:uid="{2E6E2A6A-DFD0-468F-AECA-4ECAB6D3F188}"/>
    <cellStyle name="Comma 6 4 2 3 7 3" xfId="38451" xr:uid="{CBFB174E-E951-4C52-B34B-896BCF893E91}"/>
    <cellStyle name="Comma 6 4 2 3 8" xfId="9723" xr:uid="{F3F2ADEA-81F0-4D0B-AE51-94448D43EB68}"/>
    <cellStyle name="Comma 6 4 2 3 8 2" xfId="24843" xr:uid="{FDD061DE-1223-457E-9BDB-1046768578F5}"/>
    <cellStyle name="Comma 6 4 2 3 8 2 2" xfId="55083" xr:uid="{186F3A46-FB61-456E-8C62-A7FAADC58C9D}"/>
    <cellStyle name="Comma 6 4 2 3 8 3" xfId="39963" xr:uid="{6D641908-7098-4C63-86FD-DA0661EB1FB3}"/>
    <cellStyle name="Comma 6 4 2 3 9" xfId="15771" xr:uid="{E4EAF5C8-6D5C-4CF9-A9A8-84F8D5C94837}"/>
    <cellStyle name="Comma 6 4 2 3 9 2" xfId="46011" xr:uid="{6311FB0B-A36F-4FA9-B24F-3C07BA154809}"/>
    <cellStyle name="Comma 6 4 2 4" xfId="903" xr:uid="{DE75192F-B731-4C44-8FC6-93B1C0408051}"/>
    <cellStyle name="Comma 6 4 2 4 2" xfId="2415" xr:uid="{04DDCD4C-3B24-443A-AB22-57F7C7EBFAAD}"/>
    <cellStyle name="Comma 6 4 2 4 2 2" xfId="11487" xr:uid="{741B69F7-29D5-4989-B482-17979F993FC4}"/>
    <cellStyle name="Comma 6 4 2 4 2 2 2" xfId="26607" xr:uid="{05492482-281C-4AD3-9051-238EA230B7B2}"/>
    <cellStyle name="Comma 6 4 2 4 2 2 2 2" xfId="56847" xr:uid="{43C16EA8-509F-49F3-B25D-35F80086083E}"/>
    <cellStyle name="Comma 6 4 2 4 2 2 3" xfId="41727" xr:uid="{D937E55D-6686-4F72-B445-AF6B4FECF500}"/>
    <cellStyle name="Comma 6 4 2 4 2 3" xfId="17535" xr:uid="{F31639D7-A389-4731-B12C-7E3A0ECE6F88}"/>
    <cellStyle name="Comma 6 4 2 4 2 3 2" xfId="47775" xr:uid="{005252A7-B8D0-4304-95C7-4F97AFBAE763}"/>
    <cellStyle name="Comma 6 4 2 4 2 4" xfId="32655" xr:uid="{50193768-BE1F-4D10-8615-353FF7D0389B}"/>
    <cellStyle name="Comma 6 4 2 4 3" xfId="3927" xr:uid="{63249AE6-9912-4511-B0E9-12CBA1C6F2B7}"/>
    <cellStyle name="Comma 6 4 2 4 3 2" xfId="12999" xr:uid="{7E8DFF58-5C1B-4078-84E4-C2786F0BF347}"/>
    <cellStyle name="Comma 6 4 2 4 3 2 2" xfId="28119" xr:uid="{ED1B877C-9AD1-464E-8173-6289F9971242}"/>
    <cellStyle name="Comma 6 4 2 4 3 2 2 2" xfId="58359" xr:uid="{AA684BD5-B44E-4063-8FA7-940A048FCD45}"/>
    <cellStyle name="Comma 6 4 2 4 3 2 3" xfId="43239" xr:uid="{FC248F81-8FBB-405B-BC32-C661318FCC4B}"/>
    <cellStyle name="Comma 6 4 2 4 3 3" xfId="19047" xr:uid="{971DCC17-F9AD-440F-9D32-C05A97BCB1C4}"/>
    <cellStyle name="Comma 6 4 2 4 3 3 2" xfId="49287" xr:uid="{5B1CC149-4E6B-44B6-A604-B070F4158102}"/>
    <cellStyle name="Comma 6 4 2 4 3 4" xfId="34167" xr:uid="{73EE89ED-F1F5-43E9-9D1F-7EAB93DAC292}"/>
    <cellStyle name="Comma 6 4 2 4 4" xfId="5439" xr:uid="{1DC2AA2D-38C7-466A-86C7-FDB873DA2059}"/>
    <cellStyle name="Comma 6 4 2 4 4 2" xfId="14511" xr:uid="{D288E822-7163-49AA-B1EF-792A7B33C49D}"/>
    <cellStyle name="Comma 6 4 2 4 4 2 2" xfId="29631" xr:uid="{FFDCC0E5-9199-4915-AC94-1803DC9CFE2F}"/>
    <cellStyle name="Comma 6 4 2 4 4 2 2 2" xfId="59871" xr:uid="{CBA519DF-F832-4971-B9D4-2DE6BA6B210A}"/>
    <cellStyle name="Comma 6 4 2 4 4 2 3" xfId="44751" xr:uid="{1C4C6774-05E8-4C73-9B7D-AA486909F700}"/>
    <cellStyle name="Comma 6 4 2 4 4 3" xfId="20559" xr:uid="{562654CF-42BF-42D5-B144-97FF91A4383B}"/>
    <cellStyle name="Comma 6 4 2 4 4 3 2" xfId="50799" xr:uid="{239AD934-5326-42E0-835C-C6E15CA8F12B}"/>
    <cellStyle name="Comma 6 4 2 4 4 4" xfId="35679" xr:uid="{CC2AD5B9-4E2A-4235-B1BE-1567B81D1B33}"/>
    <cellStyle name="Comma 6 4 2 4 5" xfId="6951" xr:uid="{98E77CEF-CE7E-4586-B7D9-F469A0CC0AB1}"/>
    <cellStyle name="Comma 6 4 2 4 5 2" xfId="22071" xr:uid="{6B78C42B-15A6-466F-953D-0179CA1BA72F}"/>
    <cellStyle name="Comma 6 4 2 4 5 2 2" xfId="52311" xr:uid="{3C7231A1-4986-4AD4-80D3-9D70A9589F21}"/>
    <cellStyle name="Comma 6 4 2 4 5 3" xfId="37191" xr:uid="{357696ED-B0C8-4C75-ABC9-62FB86A87F15}"/>
    <cellStyle name="Comma 6 4 2 4 6" xfId="8463" xr:uid="{24089429-0169-4A79-BDA0-F8031662CD81}"/>
    <cellStyle name="Comma 6 4 2 4 6 2" xfId="23583" xr:uid="{79C4A0BE-3ACA-464D-92F2-7FA601F25779}"/>
    <cellStyle name="Comma 6 4 2 4 6 2 2" xfId="53823" xr:uid="{58CBBAEE-9516-42C6-9FA7-D9B17099BAB4}"/>
    <cellStyle name="Comma 6 4 2 4 6 3" xfId="38703" xr:uid="{B2BFD169-6555-4D13-A47D-C623378FB0EF}"/>
    <cellStyle name="Comma 6 4 2 4 7" xfId="9975" xr:uid="{6317BBFF-46A5-448B-8799-3F902FBCEF53}"/>
    <cellStyle name="Comma 6 4 2 4 7 2" xfId="25095" xr:uid="{F3214AC9-016E-4B7B-A336-322D953A451F}"/>
    <cellStyle name="Comma 6 4 2 4 7 2 2" xfId="55335" xr:uid="{93809CB6-FF6A-4CDD-AFA3-99D1ADC33047}"/>
    <cellStyle name="Comma 6 4 2 4 7 3" xfId="40215" xr:uid="{EA042F32-1AE6-4CE7-8A32-EA5BF7F388C6}"/>
    <cellStyle name="Comma 6 4 2 4 8" xfId="16023" xr:uid="{2E926B51-8333-409C-9C54-D3EE0FB2264A}"/>
    <cellStyle name="Comma 6 4 2 4 8 2" xfId="46263" xr:uid="{AA5C9CF5-2E06-40BB-88E4-3B8EF0DA9EF7}"/>
    <cellStyle name="Comma 6 4 2 4 9" xfId="31143" xr:uid="{50AF3EA3-C57A-46BE-8BB1-76B4D5871648}"/>
    <cellStyle name="Comma 6 4 2 5" xfId="1659" xr:uid="{2ACF1966-12C5-45A1-920C-E0B7A8C2E131}"/>
    <cellStyle name="Comma 6 4 2 5 2" xfId="10731" xr:uid="{2B3F2595-398B-41CA-B8B6-462B1B681747}"/>
    <cellStyle name="Comma 6 4 2 5 2 2" xfId="25851" xr:uid="{12FB32F5-225D-4887-878D-06EF7A83E3FE}"/>
    <cellStyle name="Comma 6 4 2 5 2 2 2" xfId="56091" xr:uid="{67F8FFC1-8C95-4107-96D4-7F26A223A458}"/>
    <cellStyle name="Comma 6 4 2 5 2 3" xfId="40971" xr:uid="{8B7ED34D-420E-44B7-9416-852479415FCE}"/>
    <cellStyle name="Comma 6 4 2 5 3" xfId="16779" xr:uid="{EB06B6E6-C61B-4677-BDC9-AB69F20C251D}"/>
    <cellStyle name="Comma 6 4 2 5 3 2" xfId="47019" xr:uid="{7CD9FE2C-9AF6-4024-A8E2-368067D36275}"/>
    <cellStyle name="Comma 6 4 2 5 4" xfId="31899" xr:uid="{998246CF-CA7E-453F-84FC-A1234CA58F76}"/>
    <cellStyle name="Comma 6 4 2 6" xfId="3171" xr:uid="{B7B9904E-F024-45CE-90CC-20A0FCBF65E7}"/>
    <cellStyle name="Comma 6 4 2 6 2" xfId="12243" xr:uid="{DD998368-CDD0-4CE5-AADC-DCB82C8E51AA}"/>
    <cellStyle name="Comma 6 4 2 6 2 2" xfId="27363" xr:uid="{C747EFA2-5021-4094-9D9D-D6513B2FA1A0}"/>
    <cellStyle name="Comma 6 4 2 6 2 2 2" xfId="57603" xr:uid="{3F6E4CD5-2427-4859-AB8B-F34638D62809}"/>
    <cellStyle name="Comma 6 4 2 6 2 3" xfId="42483" xr:uid="{E92EC302-FB70-42D5-8DA4-564963BFFA82}"/>
    <cellStyle name="Comma 6 4 2 6 3" xfId="18291" xr:uid="{CBCB6C26-72B1-49CA-A1D8-345453202DCA}"/>
    <cellStyle name="Comma 6 4 2 6 3 2" xfId="48531" xr:uid="{D54A35D9-6C63-47F3-9775-F1F9F9197035}"/>
    <cellStyle name="Comma 6 4 2 6 4" xfId="33411" xr:uid="{AFB79465-C2CA-4066-BB2E-AE90DDEB4BA9}"/>
    <cellStyle name="Comma 6 4 2 7" xfId="4683" xr:uid="{71C18D90-2BF2-42EE-847D-D281407B4821}"/>
    <cellStyle name="Comma 6 4 2 7 2" xfId="13755" xr:uid="{CF37AB43-3133-43C9-90B6-0057EE976899}"/>
    <cellStyle name="Comma 6 4 2 7 2 2" xfId="28875" xr:uid="{AFC63160-A78D-4D5A-8854-F954E181A81F}"/>
    <cellStyle name="Comma 6 4 2 7 2 2 2" xfId="59115" xr:uid="{4338640A-9402-4B0D-BBDE-DE7CB0F6D180}"/>
    <cellStyle name="Comma 6 4 2 7 2 3" xfId="43995" xr:uid="{91428C05-DEC7-4A18-B04B-8AD926EB9DAB}"/>
    <cellStyle name="Comma 6 4 2 7 3" xfId="19803" xr:uid="{F40C82C8-B493-4DCA-86AA-E135E706FEDA}"/>
    <cellStyle name="Comma 6 4 2 7 3 2" xfId="50043" xr:uid="{86DA0E5B-5EA2-445A-8970-26FDA333DB2D}"/>
    <cellStyle name="Comma 6 4 2 7 4" xfId="34923" xr:uid="{5B3899DD-7C0A-431B-BA7B-49B5A1566022}"/>
    <cellStyle name="Comma 6 4 2 8" xfId="6195" xr:uid="{2EDFB372-30DF-4A70-9BAE-FEC374296B0F}"/>
    <cellStyle name="Comma 6 4 2 8 2" xfId="21315" xr:uid="{7AE0B5C4-1883-4B96-AFC3-5FF8297D5347}"/>
    <cellStyle name="Comma 6 4 2 8 2 2" xfId="51555" xr:uid="{1C9C2C1F-AC40-41B3-977A-1C566E53029B}"/>
    <cellStyle name="Comma 6 4 2 8 3" xfId="36435" xr:uid="{97F835CC-B190-495F-ACD1-2A75705CDCEE}"/>
    <cellStyle name="Comma 6 4 2 9" xfId="7707" xr:uid="{061F0AB6-E63C-47EF-B109-FE68CA109271}"/>
    <cellStyle name="Comma 6 4 2 9 2" xfId="22827" xr:uid="{0580C576-2B47-4F01-92EA-0D9268AB81F0}"/>
    <cellStyle name="Comma 6 4 2 9 2 2" xfId="53067" xr:uid="{48271086-6ADF-499C-8E60-F4FD50B3E5DA}"/>
    <cellStyle name="Comma 6 4 2 9 3" xfId="37947" xr:uid="{79D931BB-9EC3-4384-B29A-AAF60D3058A0}"/>
    <cellStyle name="Comma 6 4 3" xfId="231" xr:uid="{21900ACD-FF36-497E-BC41-A0392A24C92F}"/>
    <cellStyle name="Comma 6 4 3 10" xfId="9303" xr:uid="{138309F5-18E9-421F-BE77-03339515FE0B}"/>
    <cellStyle name="Comma 6 4 3 10 2" xfId="24423" xr:uid="{304C7466-7FE4-4237-8422-1C2265E3E4E7}"/>
    <cellStyle name="Comma 6 4 3 10 2 2" xfId="54663" xr:uid="{9E10D9AE-88CB-4740-8C83-19EEC25F700E}"/>
    <cellStyle name="Comma 6 4 3 10 3" xfId="39543" xr:uid="{16982FBF-9D84-47A8-B6B7-45B0EA395BD7}"/>
    <cellStyle name="Comma 6 4 3 11" xfId="15351" xr:uid="{9276AD40-51D7-450E-87F6-259D51F270AD}"/>
    <cellStyle name="Comma 6 4 3 11 2" xfId="45591" xr:uid="{3E77A1DF-B5EB-4421-B8AD-9836E5077045}"/>
    <cellStyle name="Comma 6 4 3 12" xfId="30471" xr:uid="{3DCC430F-1A12-402D-89ED-D1D9BE8D91DD}"/>
    <cellStyle name="Comma 6 4 3 2" xfId="483" xr:uid="{FFC9251C-1646-4A64-8774-D25D8E675C79}"/>
    <cellStyle name="Comma 6 4 3 2 10" xfId="30723" xr:uid="{BC8B3EA4-49CA-4640-8186-51908F28DB13}"/>
    <cellStyle name="Comma 6 4 3 2 2" xfId="1239" xr:uid="{A5A805B6-F267-4110-9E9C-BF2EA3C2B995}"/>
    <cellStyle name="Comma 6 4 3 2 2 2" xfId="2751" xr:uid="{F563D005-67C7-4F67-BA2C-F9EACDF0C4B6}"/>
    <cellStyle name="Comma 6 4 3 2 2 2 2" xfId="11823" xr:uid="{6F764BE3-3E9C-4368-8340-8E3529B921B1}"/>
    <cellStyle name="Comma 6 4 3 2 2 2 2 2" xfId="26943" xr:uid="{F605ECD9-ED94-48E5-AF6F-F1303DC90CFD}"/>
    <cellStyle name="Comma 6 4 3 2 2 2 2 2 2" xfId="57183" xr:uid="{A22B689C-3165-4350-A209-2B30908CB97E}"/>
    <cellStyle name="Comma 6 4 3 2 2 2 2 3" xfId="42063" xr:uid="{19988DB6-4CC7-4D00-9C23-246A8F604666}"/>
    <cellStyle name="Comma 6 4 3 2 2 2 3" xfId="17871" xr:uid="{DE9AFB78-41BA-4B0C-B218-4CE9340B36FD}"/>
    <cellStyle name="Comma 6 4 3 2 2 2 3 2" xfId="48111" xr:uid="{3B8F6E0A-CD32-4793-B004-AB932E054222}"/>
    <cellStyle name="Comma 6 4 3 2 2 2 4" xfId="32991" xr:uid="{D1F6A199-A798-40F2-9189-EA6E6DF4C30C}"/>
    <cellStyle name="Comma 6 4 3 2 2 3" xfId="4263" xr:uid="{88A961C5-E296-434A-B34E-9DD2DAF45020}"/>
    <cellStyle name="Comma 6 4 3 2 2 3 2" xfId="13335" xr:uid="{0FAE445B-9920-4EBF-AEE9-A4ABD3BF12D8}"/>
    <cellStyle name="Comma 6 4 3 2 2 3 2 2" xfId="28455" xr:uid="{828A200B-BDB9-4B8E-A8AC-3EC0ABEF912B}"/>
    <cellStyle name="Comma 6 4 3 2 2 3 2 2 2" xfId="58695" xr:uid="{576183BC-8118-4030-AFF6-F2960E836F80}"/>
    <cellStyle name="Comma 6 4 3 2 2 3 2 3" xfId="43575" xr:uid="{809ABB79-1CBA-4AD5-AC16-648C169F66B7}"/>
    <cellStyle name="Comma 6 4 3 2 2 3 3" xfId="19383" xr:uid="{2BE0C287-F9F5-4812-BB1C-1CB4BDCD7505}"/>
    <cellStyle name="Comma 6 4 3 2 2 3 3 2" xfId="49623" xr:uid="{61163076-B15B-472A-960C-6BCEB71C001F}"/>
    <cellStyle name="Comma 6 4 3 2 2 3 4" xfId="34503" xr:uid="{57AB5AD4-5CD2-42CA-B669-500DD711AA8B}"/>
    <cellStyle name="Comma 6 4 3 2 2 4" xfId="5775" xr:uid="{F32137CD-032A-4BCA-B55B-20E53CD0BDAE}"/>
    <cellStyle name="Comma 6 4 3 2 2 4 2" xfId="14847" xr:uid="{224D8B13-1CA5-4E00-80E8-88F90A9C8616}"/>
    <cellStyle name="Comma 6 4 3 2 2 4 2 2" xfId="29967" xr:uid="{78929853-9043-4098-B7E0-FEA2531C1F2D}"/>
    <cellStyle name="Comma 6 4 3 2 2 4 2 2 2" xfId="60207" xr:uid="{8C3C0E5C-E4FD-4168-94FE-837581961D49}"/>
    <cellStyle name="Comma 6 4 3 2 2 4 2 3" xfId="45087" xr:uid="{D6F2372C-D3C7-4359-998D-CA3A1190EA50}"/>
    <cellStyle name="Comma 6 4 3 2 2 4 3" xfId="20895" xr:uid="{D000EADD-548A-4C66-BC2F-44AA23D96CE4}"/>
    <cellStyle name="Comma 6 4 3 2 2 4 3 2" xfId="51135" xr:uid="{A17AFF5B-3BBB-4680-BE38-0593A74AAF2A}"/>
    <cellStyle name="Comma 6 4 3 2 2 4 4" xfId="36015" xr:uid="{C8C0B98C-80F7-499A-930C-6E5E157E6CA4}"/>
    <cellStyle name="Comma 6 4 3 2 2 5" xfId="7287" xr:uid="{B6CDBF18-6003-4344-824B-85ED2EB2F171}"/>
    <cellStyle name="Comma 6 4 3 2 2 5 2" xfId="22407" xr:uid="{CD3CAB6F-45B9-44EC-9373-2C7D78981060}"/>
    <cellStyle name="Comma 6 4 3 2 2 5 2 2" xfId="52647" xr:uid="{2F4CEFA0-6315-4DAA-B06C-2283BD02B829}"/>
    <cellStyle name="Comma 6 4 3 2 2 5 3" xfId="37527" xr:uid="{1D2838C3-7252-4F45-9D34-960920B642AD}"/>
    <cellStyle name="Comma 6 4 3 2 2 6" xfId="8799" xr:uid="{1D34665C-0B05-40A7-8E5A-AFB02DB9D9EC}"/>
    <cellStyle name="Comma 6 4 3 2 2 6 2" xfId="23919" xr:uid="{5F1F01C9-0FCA-4D24-AA5A-5ADA13616989}"/>
    <cellStyle name="Comma 6 4 3 2 2 6 2 2" xfId="54159" xr:uid="{663388C1-B458-43EB-9168-96D4D74F5B89}"/>
    <cellStyle name="Comma 6 4 3 2 2 6 3" xfId="39039" xr:uid="{02556114-DBB6-41C0-8B1E-B3C600981BEE}"/>
    <cellStyle name="Comma 6 4 3 2 2 7" xfId="10311" xr:uid="{2758A8E7-7066-4780-8618-2E780C04B683}"/>
    <cellStyle name="Comma 6 4 3 2 2 7 2" xfId="25431" xr:uid="{0122EC6F-2579-450D-9617-7BAB3CEEC43F}"/>
    <cellStyle name="Comma 6 4 3 2 2 7 2 2" xfId="55671" xr:uid="{409E2EBB-4F38-4446-A140-788B9DF106C6}"/>
    <cellStyle name="Comma 6 4 3 2 2 7 3" xfId="40551" xr:uid="{338A5040-66B5-4D72-BDAF-F5357F1343B0}"/>
    <cellStyle name="Comma 6 4 3 2 2 8" xfId="16359" xr:uid="{14DD932A-1CE3-4CA0-BE7A-359AAB3536FD}"/>
    <cellStyle name="Comma 6 4 3 2 2 8 2" xfId="46599" xr:uid="{993EB7F9-2E22-4A12-BC37-D5049E63FB9A}"/>
    <cellStyle name="Comma 6 4 3 2 2 9" xfId="31479" xr:uid="{C117625D-A819-437C-A63B-10F556126E46}"/>
    <cellStyle name="Comma 6 4 3 2 3" xfId="1995" xr:uid="{EF33804A-3041-4A52-A4C6-711486CBE9B0}"/>
    <cellStyle name="Comma 6 4 3 2 3 2" xfId="11067" xr:uid="{86EBCDE1-D7A7-423D-9586-80A9E6BC7FBA}"/>
    <cellStyle name="Comma 6 4 3 2 3 2 2" xfId="26187" xr:uid="{6E43C468-A965-4523-97EB-8AF68B92AE1B}"/>
    <cellStyle name="Comma 6 4 3 2 3 2 2 2" xfId="56427" xr:uid="{C810F1F3-CE9B-400E-B1AB-4DEE25A4A118}"/>
    <cellStyle name="Comma 6 4 3 2 3 2 3" xfId="41307" xr:uid="{9ECA8CC8-A718-4E12-BBCD-B0EC20727F49}"/>
    <cellStyle name="Comma 6 4 3 2 3 3" xfId="17115" xr:uid="{29BA96A4-C87D-4CA6-84B8-AF99674E3D5D}"/>
    <cellStyle name="Comma 6 4 3 2 3 3 2" xfId="47355" xr:uid="{3528F421-1D84-402F-B4DE-3B4338A4FE38}"/>
    <cellStyle name="Comma 6 4 3 2 3 4" xfId="32235" xr:uid="{FF529F69-4375-4BA1-A9C4-EEB6F6A121D6}"/>
    <cellStyle name="Comma 6 4 3 2 4" xfId="3507" xr:uid="{CD3C04B1-C7C3-4F80-85A5-83FE871BC8FD}"/>
    <cellStyle name="Comma 6 4 3 2 4 2" xfId="12579" xr:uid="{6A380499-A7FF-4487-808B-AED73A6820DE}"/>
    <cellStyle name="Comma 6 4 3 2 4 2 2" xfId="27699" xr:uid="{6A746C0C-9D81-41F0-9D80-9409234212AD}"/>
    <cellStyle name="Comma 6 4 3 2 4 2 2 2" xfId="57939" xr:uid="{D48BCDCA-1DD9-4A20-805C-16EC62754660}"/>
    <cellStyle name="Comma 6 4 3 2 4 2 3" xfId="42819" xr:uid="{E02A96C3-A970-4D6F-9140-8922E184FFC9}"/>
    <cellStyle name="Comma 6 4 3 2 4 3" xfId="18627" xr:uid="{C407254E-391C-4BCF-B215-3F236CEABEFF}"/>
    <cellStyle name="Comma 6 4 3 2 4 3 2" xfId="48867" xr:uid="{AE224F22-0EC4-41D7-8EBB-8CA30E301EBC}"/>
    <cellStyle name="Comma 6 4 3 2 4 4" xfId="33747" xr:uid="{87239FFC-74D4-47C9-A9DB-E11A29E46E71}"/>
    <cellStyle name="Comma 6 4 3 2 5" xfId="5019" xr:uid="{B1B6EEAF-C25F-493A-B241-2192D1B507C4}"/>
    <cellStyle name="Comma 6 4 3 2 5 2" xfId="14091" xr:uid="{92C32B0B-72DA-4687-9D3F-E16007C0B7B6}"/>
    <cellStyle name="Comma 6 4 3 2 5 2 2" xfId="29211" xr:uid="{E67ACB0C-1A29-417F-B13E-317359809F0E}"/>
    <cellStyle name="Comma 6 4 3 2 5 2 2 2" xfId="59451" xr:uid="{A2F627F0-3950-4A74-9B6B-87D01D2F3736}"/>
    <cellStyle name="Comma 6 4 3 2 5 2 3" xfId="44331" xr:uid="{FDCD07BF-7FC0-4060-9DC7-F31D74DBFA97}"/>
    <cellStyle name="Comma 6 4 3 2 5 3" xfId="20139" xr:uid="{51D9345D-A86F-48A8-8C3F-B4F9D08C81F4}"/>
    <cellStyle name="Comma 6 4 3 2 5 3 2" xfId="50379" xr:uid="{CBAF228F-839A-435E-A3D3-B033D24639FF}"/>
    <cellStyle name="Comma 6 4 3 2 5 4" xfId="35259" xr:uid="{EF99CD43-B391-4C66-8A81-3B28661D4E08}"/>
    <cellStyle name="Comma 6 4 3 2 6" xfId="6531" xr:uid="{87EA74DA-EB63-4E9B-8DCB-0B9D76E3B68F}"/>
    <cellStyle name="Comma 6 4 3 2 6 2" xfId="21651" xr:uid="{B4B4749E-DB81-43F3-A29E-F8F466E2BDF7}"/>
    <cellStyle name="Comma 6 4 3 2 6 2 2" xfId="51891" xr:uid="{4DDE542D-DF6A-4BA0-A4B6-C2FC653400FE}"/>
    <cellStyle name="Comma 6 4 3 2 6 3" xfId="36771" xr:uid="{BC2B57C6-D9B7-458E-8032-C71C5B8C6557}"/>
    <cellStyle name="Comma 6 4 3 2 7" xfId="8043" xr:uid="{73B9EC19-2356-45C1-BBA5-6356F370BDC9}"/>
    <cellStyle name="Comma 6 4 3 2 7 2" xfId="23163" xr:uid="{4976EBB9-DF4A-4A28-8549-CD7DB48F5A70}"/>
    <cellStyle name="Comma 6 4 3 2 7 2 2" xfId="53403" xr:uid="{B1843B5F-3A5A-44C1-92FD-B13F4A05EDD6}"/>
    <cellStyle name="Comma 6 4 3 2 7 3" xfId="38283" xr:uid="{4DA4A83F-12C8-450E-A5F9-414AE02F063E}"/>
    <cellStyle name="Comma 6 4 3 2 8" xfId="9555" xr:uid="{0C3E8E94-4C01-4153-84B7-A05AFF1FF435}"/>
    <cellStyle name="Comma 6 4 3 2 8 2" xfId="24675" xr:uid="{A7A9AE21-8768-451A-9CA5-87D9E8C0E8DC}"/>
    <cellStyle name="Comma 6 4 3 2 8 2 2" xfId="54915" xr:uid="{6E035860-B038-4628-8410-B46308F03E40}"/>
    <cellStyle name="Comma 6 4 3 2 8 3" xfId="39795" xr:uid="{E1375156-90BE-4EB5-8C26-F47669439056}"/>
    <cellStyle name="Comma 6 4 3 2 9" xfId="15603" xr:uid="{BA418AC0-3456-4920-81E5-E5D65E54FED0}"/>
    <cellStyle name="Comma 6 4 3 2 9 2" xfId="45843" xr:uid="{C11E2312-0B65-447C-AD65-06E74D2A223D}"/>
    <cellStyle name="Comma 6 4 3 3" xfId="735" xr:uid="{BF5A8386-90D9-4758-B78F-0B8CD7C612A5}"/>
    <cellStyle name="Comma 6 4 3 3 10" xfId="30975" xr:uid="{972FFFE8-2A64-4ADB-845E-1A5AC54F26FC}"/>
    <cellStyle name="Comma 6 4 3 3 2" xfId="1491" xr:uid="{1603E263-E64F-4FC6-932D-536D3308FDCA}"/>
    <cellStyle name="Comma 6 4 3 3 2 2" xfId="3003" xr:uid="{A40ED6F1-B086-4E3F-8984-CD75A46CE181}"/>
    <cellStyle name="Comma 6 4 3 3 2 2 2" xfId="12075" xr:uid="{156C200E-C7AE-4B81-A0B4-5C4864F62FF2}"/>
    <cellStyle name="Comma 6 4 3 3 2 2 2 2" xfId="27195" xr:uid="{B3317B62-3E81-4C85-B637-51267B90AA71}"/>
    <cellStyle name="Comma 6 4 3 3 2 2 2 2 2" xfId="57435" xr:uid="{40F2EB8A-D373-4FA1-B3CB-EDC62FAE6D17}"/>
    <cellStyle name="Comma 6 4 3 3 2 2 2 3" xfId="42315" xr:uid="{D5FC509D-F835-47E9-BBC0-D5A13D973949}"/>
    <cellStyle name="Comma 6 4 3 3 2 2 3" xfId="18123" xr:uid="{DB798879-B43B-42A9-9743-5CF277D5A0FA}"/>
    <cellStyle name="Comma 6 4 3 3 2 2 3 2" xfId="48363" xr:uid="{950B2D95-07CC-42AD-A7FD-7107A87F58CF}"/>
    <cellStyle name="Comma 6 4 3 3 2 2 4" xfId="33243" xr:uid="{F16EA01C-FF76-4DD8-8ABD-F087BB762B17}"/>
    <cellStyle name="Comma 6 4 3 3 2 3" xfId="4515" xr:uid="{6FD6705E-7429-4C19-BF92-337A38F53DD7}"/>
    <cellStyle name="Comma 6 4 3 3 2 3 2" xfId="13587" xr:uid="{1BDB8958-87F7-422E-9A30-6EEDCCB966B3}"/>
    <cellStyle name="Comma 6 4 3 3 2 3 2 2" xfId="28707" xr:uid="{AFD5EABA-3419-4D13-94D9-7398E9993C83}"/>
    <cellStyle name="Comma 6 4 3 3 2 3 2 2 2" xfId="58947" xr:uid="{EA5FB688-AC23-4D80-A039-CDDD6D6333A8}"/>
    <cellStyle name="Comma 6 4 3 3 2 3 2 3" xfId="43827" xr:uid="{EE6D786F-A2B7-40FE-B570-690BCA3A3264}"/>
    <cellStyle name="Comma 6 4 3 3 2 3 3" xfId="19635" xr:uid="{09BCC20D-3E8F-479E-ACBE-1E5EA8CB52E1}"/>
    <cellStyle name="Comma 6 4 3 3 2 3 3 2" xfId="49875" xr:uid="{3D736AF3-7AC9-4E69-A738-F6039D9E44CC}"/>
    <cellStyle name="Comma 6 4 3 3 2 3 4" xfId="34755" xr:uid="{800082B3-968B-4D06-8F82-D3195C1CE565}"/>
    <cellStyle name="Comma 6 4 3 3 2 4" xfId="6027" xr:uid="{34EA8D83-16C0-47E2-84DC-EB6C54CB42D9}"/>
    <cellStyle name="Comma 6 4 3 3 2 4 2" xfId="15099" xr:uid="{6942EFA7-F90F-4B97-91F6-3598AD916C9B}"/>
    <cellStyle name="Comma 6 4 3 3 2 4 2 2" xfId="30219" xr:uid="{B3BE7A30-9489-4823-A825-BE4189F24466}"/>
    <cellStyle name="Comma 6 4 3 3 2 4 2 2 2" xfId="60459" xr:uid="{F335C0E4-08CF-4ECD-B770-362C90357577}"/>
    <cellStyle name="Comma 6 4 3 3 2 4 2 3" xfId="45339" xr:uid="{94DC1D45-4ABA-467C-93C6-B4861B0FF4A6}"/>
    <cellStyle name="Comma 6 4 3 3 2 4 3" xfId="21147" xr:uid="{1D3633B5-58DD-496C-AB02-41332C0E0540}"/>
    <cellStyle name="Comma 6 4 3 3 2 4 3 2" xfId="51387" xr:uid="{DEE77020-3F81-4E37-A65B-5F0F23AB03DE}"/>
    <cellStyle name="Comma 6 4 3 3 2 4 4" xfId="36267" xr:uid="{72D50756-C0A5-4D83-B0D0-E6E3CE62D837}"/>
    <cellStyle name="Comma 6 4 3 3 2 5" xfId="7539" xr:uid="{B26E3BAE-5F8E-4AF9-8607-052710C2565F}"/>
    <cellStyle name="Comma 6 4 3 3 2 5 2" xfId="22659" xr:uid="{34B27A43-C188-433D-A5B4-A7DC735E2FFE}"/>
    <cellStyle name="Comma 6 4 3 3 2 5 2 2" xfId="52899" xr:uid="{14A1728B-6DD5-469D-802A-533D38ECA720}"/>
    <cellStyle name="Comma 6 4 3 3 2 5 3" xfId="37779" xr:uid="{95BFC484-929A-466D-A56B-EF721EDC0D81}"/>
    <cellStyle name="Comma 6 4 3 3 2 6" xfId="9051" xr:uid="{9DCBED8E-EDEE-425D-8159-FA0812C60F3A}"/>
    <cellStyle name="Comma 6 4 3 3 2 6 2" xfId="24171" xr:uid="{E2D7F393-707E-43AF-A885-84E28F47209E}"/>
    <cellStyle name="Comma 6 4 3 3 2 6 2 2" xfId="54411" xr:uid="{8F8A5068-67F1-4A4E-B258-D79BD22AB3D0}"/>
    <cellStyle name="Comma 6 4 3 3 2 6 3" xfId="39291" xr:uid="{A4A57A94-64D9-418D-9B8A-E740A0CA6A05}"/>
    <cellStyle name="Comma 6 4 3 3 2 7" xfId="10563" xr:uid="{5A16E9EA-CE07-4220-A33E-A530E0EBCCBD}"/>
    <cellStyle name="Comma 6 4 3 3 2 7 2" xfId="25683" xr:uid="{9C370B75-11B7-48C4-B97D-5C4E28DDA84A}"/>
    <cellStyle name="Comma 6 4 3 3 2 7 2 2" xfId="55923" xr:uid="{667FAF29-0B2B-462C-9DAC-A3370BC8BD6A}"/>
    <cellStyle name="Comma 6 4 3 3 2 7 3" xfId="40803" xr:uid="{18153DE6-4DDB-4484-8CB6-14B21A7CABE2}"/>
    <cellStyle name="Comma 6 4 3 3 2 8" xfId="16611" xr:uid="{CBC78687-9B92-4E84-B764-B1F41A83BE80}"/>
    <cellStyle name="Comma 6 4 3 3 2 8 2" xfId="46851" xr:uid="{6FAE9F77-F297-4898-9B21-F8E466C71BAF}"/>
    <cellStyle name="Comma 6 4 3 3 2 9" xfId="31731" xr:uid="{5EEA4A58-525E-4C79-A616-DE444EDE8D42}"/>
    <cellStyle name="Comma 6 4 3 3 3" xfId="2247" xr:uid="{1B0FBB9D-E5EB-4FF4-9387-8D23BE734214}"/>
    <cellStyle name="Comma 6 4 3 3 3 2" xfId="11319" xr:uid="{F84A149B-A102-421F-9F6F-5FE303F80088}"/>
    <cellStyle name="Comma 6 4 3 3 3 2 2" xfId="26439" xr:uid="{810092AE-BBB3-4E8E-84DE-A19191909534}"/>
    <cellStyle name="Comma 6 4 3 3 3 2 2 2" xfId="56679" xr:uid="{90EC0D1B-A3EA-41D5-9DB1-A0B2B99023DA}"/>
    <cellStyle name="Comma 6 4 3 3 3 2 3" xfId="41559" xr:uid="{929C5D7C-5449-41BC-8CCE-5AA3EE9BF54E}"/>
    <cellStyle name="Comma 6 4 3 3 3 3" xfId="17367" xr:uid="{817879DA-0E32-4C42-B2E7-90BEE43EF4E1}"/>
    <cellStyle name="Comma 6 4 3 3 3 3 2" xfId="47607" xr:uid="{2B1D4EEA-9B19-4E72-9329-DB01C957EDE3}"/>
    <cellStyle name="Comma 6 4 3 3 3 4" xfId="32487" xr:uid="{9085E629-1F9C-4A36-9B3F-524A27F2D2F4}"/>
    <cellStyle name="Comma 6 4 3 3 4" xfId="3759" xr:uid="{332D3FE1-616A-41FE-9A33-A4052CCFF46F}"/>
    <cellStyle name="Comma 6 4 3 3 4 2" xfId="12831" xr:uid="{606CBA3E-2CA4-42FD-82C8-F6886A9BE316}"/>
    <cellStyle name="Comma 6 4 3 3 4 2 2" xfId="27951" xr:uid="{6CABEBF6-ED86-41F2-A815-92C0E3554DB9}"/>
    <cellStyle name="Comma 6 4 3 3 4 2 2 2" xfId="58191" xr:uid="{406516B4-8FDF-4624-8176-27BDA3D6DB4E}"/>
    <cellStyle name="Comma 6 4 3 3 4 2 3" xfId="43071" xr:uid="{EF33F173-44A5-4455-9931-21A26890E4FA}"/>
    <cellStyle name="Comma 6 4 3 3 4 3" xfId="18879" xr:uid="{2681511B-7464-48D6-9A51-4F5A6F1E4167}"/>
    <cellStyle name="Comma 6 4 3 3 4 3 2" xfId="49119" xr:uid="{2F399700-69E0-466E-A037-B21BC428BCD2}"/>
    <cellStyle name="Comma 6 4 3 3 4 4" xfId="33999" xr:uid="{F0BE5BA0-9D4A-446E-8581-A5DBC0140752}"/>
    <cellStyle name="Comma 6 4 3 3 5" xfId="5271" xr:uid="{FB597491-3152-4872-B449-78A898DC9BF5}"/>
    <cellStyle name="Comma 6 4 3 3 5 2" xfId="14343" xr:uid="{C7108BF7-7094-4C05-95B4-2AE2126E83AC}"/>
    <cellStyle name="Comma 6 4 3 3 5 2 2" xfId="29463" xr:uid="{558BA6D6-196F-4781-AB65-B73CF999B045}"/>
    <cellStyle name="Comma 6 4 3 3 5 2 2 2" xfId="59703" xr:uid="{C80EAD91-29F8-4C10-93B9-C9BD6BFF1952}"/>
    <cellStyle name="Comma 6 4 3 3 5 2 3" xfId="44583" xr:uid="{03FBC997-A3EE-4A9D-BEBE-2268F490BD40}"/>
    <cellStyle name="Comma 6 4 3 3 5 3" xfId="20391" xr:uid="{88288AAD-D476-4EAB-A776-E7F33F1A2629}"/>
    <cellStyle name="Comma 6 4 3 3 5 3 2" xfId="50631" xr:uid="{2CD5F26A-EE99-4C86-8791-A47A7F0CCD6B}"/>
    <cellStyle name="Comma 6 4 3 3 5 4" xfId="35511" xr:uid="{C8C148C1-F968-48C7-A8B2-3D4AB768BF0C}"/>
    <cellStyle name="Comma 6 4 3 3 6" xfId="6783" xr:uid="{445039D3-75F2-433E-86F4-5D8B21AEE192}"/>
    <cellStyle name="Comma 6 4 3 3 6 2" xfId="21903" xr:uid="{55D0753B-86AE-443D-87EE-4948F1DC71CB}"/>
    <cellStyle name="Comma 6 4 3 3 6 2 2" xfId="52143" xr:uid="{9D301C17-BE59-4A80-B8FE-6E8195CC1D22}"/>
    <cellStyle name="Comma 6 4 3 3 6 3" xfId="37023" xr:uid="{9032AC0A-AFA2-4931-A77E-E0130A611169}"/>
    <cellStyle name="Comma 6 4 3 3 7" xfId="8295" xr:uid="{7389EA12-99BC-4CC6-BA17-005E9ABBB9E3}"/>
    <cellStyle name="Comma 6 4 3 3 7 2" xfId="23415" xr:uid="{7CD02236-0866-434A-8D77-023BED2066DE}"/>
    <cellStyle name="Comma 6 4 3 3 7 2 2" xfId="53655" xr:uid="{D0DAFE24-F1F3-4107-93FE-E9107E0E692E}"/>
    <cellStyle name="Comma 6 4 3 3 7 3" xfId="38535" xr:uid="{BB5AE68E-2D33-43BE-B633-13045CA850D5}"/>
    <cellStyle name="Comma 6 4 3 3 8" xfId="9807" xr:uid="{48095352-845F-4866-8D6A-9478270C6C51}"/>
    <cellStyle name="Comma 6 4 3 3 8 2" xfId="24927" xr:uid="{263DCCF0-B9E3-488D-B670-CF171D75DC33}"/>
    <cellStyle name="Comma 6 4 3 3 8 2 2" xfId="55167" xr:uid="{66F82984-DCB7-433A-988D-584CF0C63FCE}"/>
    <cellStyle name="Comma 6 4 3 3 8 3" xfId="40047" xr:uid="{CC7A3CBF-069E-4C15-A4FF-3FE31845566A}"/>
    <cellStyle name="Comma 6 4 3 3 9" xfId="15855" xr:uid="{C66F8998-89A8-4D49-82E7-E7E9DF47AF6F}"/>
    <cellStyle name="Comma 6 4 3 3 9 2" xfId="46095" xr:uid="{566455CE-0539-4FE0-AB19-E91C6D077DD4}"/>
    <cellStyle name="Comma 6 4 3 4" xfId="987" xr:uid="{E2520D42-CB54-4FC2-8132-6B7785D37F98}"/>
    <cellStyle name="Comma 6 4 3 4 2" xfId="2499" xr:uid="{481B230B-FCFD-4138-A615-B4C3E05F8DF2}"/>
    <cellStyle name="Comma 6 4 3 4 2 2" xfId="11571" xr:uid="{DB5BD86F-10FE-44D8-B050-6EF2352BB72D}"/>
    <cellStyle name="Comma 6 4 3 4 2 2 2" xfId="26691" xr:uid="{B9E39058-8A33-45B7-B29F-5C46FB6994B7}"/>
    <cellStyle name="Comma 6 4 3 4 2 2 2 2" xfId="56931" xr:uid="{A29A8AFF-D010-42D5-B394-88752763FB0F}"/>
    <cellStyle name="Comma 6 4 3 4 2 2 3" xfId="41811" xr:uid="{C3F73ED2-82E9-47CC-AB0E-2FBD939DF462}"/>
    <cellStyle name="Comma 6 4 3 4 2 3" xfId="17619" xr:uid="{2693312D-F0DC-4040-8A19-973324F1850B}"/>
    <cellStyle name="Comma 6 4 3 4 2 3 2" xfId="47859" xr:uid="{14CCD68C-33DB-4BB0-AEE8-574C012D8A1A}"/>
    <cellStyle name="Comma 6 4 3 4 2 4" xfId="32739" xr:uid="{A4F7BB4C-EEA5-48FF-8209-DAADE707D674}"/>
    <cellStyle name="Comma 6 4 3 4 3" xfId="4011" xr:uid="{85918846-2A8B-431A-B0EE-0B8053BED557}"/>
    <cellStyle name="Comma 6 4 3 4 3 2" xfId="13083" xr:uid="{C682F690-7384-4CAC-A358-D98B2ADAFD0B}"/>
    <cellStyle name="Comma 6 4 3 4 3 2 2" xfId="28203" xr:uid="{B749ECA7-A9CC-44F5-B863-7E25C9EEBD96}"/>
    <cellStyle name="Comma 6 4 3 4 3 2 2 2" xfId="58443" xr:uid="{8F10B3F7-F25F-42EA-A45A-89E373430ED9}"/>
    <cellStyle name="Comma 6 4 3 4 3 2 3" xfId="43323" xr:uid="{C6EA5566-CA69-480D-9D41-9FB4F0098BB1}"/>
    <cellStyle name="Comma 6 4 3 4 3 3" xfId="19131" xr:uid="{DBCDE80C-9308-4C44-B444-5E8C448226F7}"/>
    <cellStyle name="Comma 6 4 3 4 3 3 2" xfId="49371" xr:uid="{17C4C916-88AB-49E1-B3FC-8BA824DB0470}"/>
    <cellStyle name="Comma 6 4 3 4 3 4" xfId="34251" xr:uid="{3F6DF5BC-8593-4DC3-9884-FE524F1EDBBA}"/>
    <cellStyle name="Comma 6 4 3 4 4" xfId="5523" xr:uid="{DD3ADDED-2EE1-458A-BC7F-530ED038078E}"/>
    <cellStyle name="Comma 6 4 3 4 4 2" xfId="14595" xr:uid="{464A6F13-886E-4A84-8FDD-6FB661FE7E0E}"/>
    <cellStyle name="Comma 6 4 3 4 4 2 2" xfId="29715" xr:uid="{66981505-BFAF-4FEA-8DE2-D9CF7ECEE635}"/>
    <cellStyle name="Comma 6 4 3 4 4 2 2 2" xfId="59955" xr:uid="{4F5D2D56-05FA-4C24-9E81-2539F5F9946A}"/>
    <cellStyle name="Comma 6 4 3 4 4 2 3" xfId="44835" xr:uid="{8B823C6F-6C31-4BF1-977F-7C15CE97D44F}"/>
    <cellStyle name="Comma 6 4 3 4 4 3" xfId="20643" xr:uid="{CF0E3A38-8D83-414C-8EB0-5C432D15B620}"/>
    <cellStyle name="Comma 6 4 3 4 4 3 2" xfId="50883" xr:uid="{603E0213-5891-4A18-84B0-B32224EF0C7B}"/>
    <cellStyle name="Comma 6 4 3 4 4 4" xfId="35763" xr:uid="{F852A7E3-86F6-4C72-8692-0CBBA3F20805}"/>
    <cellStyle name="Comma 6 4 3 4 5" xfId="7035" xr:uid="{3E6DCE6C-A89D-4F43-9E97-CDF52C9DB113}"/>
    <cellStyle name="Comma 6 4 3 4 5 2" xfId="22155" xr:uid="{8CBDE7B4-D966-4576-B7EE-72D68391FFC4}"/>
    <cellStyle name="Comma 6 4 3 4 5 2 2" xfId="52395" xr:uid="{A07DB654-6852-4B03-8AED-5A4AC8CBF9C4}"/>
    <cellStyle name="Comma 6 4 3 4 5 3" xfId="37275" xr:uid="{77C5F90C-4DB1-4C77-8481-9962A82A6FB6}"/>
    <cellStyle name="Comma 6 4 3 4 6" xfId="8547" xr:uid="{035F5929-8811-4CD2-8C19-DBA5AE967671}"/>
    <cellStyle name="Comma 6 4 3 4 6 2" xfId="23667" xr:uid="{DA746DC5-4D91-4140-B7A9-32ED157018CC}"/>
    <cellStyle name="Comma 6 4 3 4 6 2 2" xfId="53907" xr:uid="{746CDEBC-1B0B-4A1A-B333-12F709AE8FB0}"/>
    <cellStyle name="Comma 6 4 3 4 6 3" xfId="38787" xr:uid="{86A6A6E1-82AA-431A-830A-A6906EE51ECB}"/>
    <cellStyle name="Comma 6 4 3 4 7" xfId="10059" xr:uid="{39F6E7E3-49BD-4A46-9D96-844F453A80D8}"/>
    <cellStyle name="Comma 6 4 3 4 7 2" xfId="25179" xr:uid="{B14F69CC-ECC9-46EA-A68F-C2127FA10022}"/>
    <cellStyle name="Comma 6 4 3 4 7 2 2" xfId="55419" xr:uid="{C172C02B-1096-4EF5-B97A-152788244AAA}"/>
    <cellStyle name="Comma 6 4 3 4 7 3" xfId="40299" xr:uid="{0FDCD689-317E-4E1D-80CD-8E1E689B5344}"/>
    <cellStyle name="Comma 6 4 3 4 8" xfId="16107" xr:uid="{565B68D1-7B51-4EE8-B84C-1D18CBF15B65}"/>
    <cellStyle name="Comma 6 4 3 4 8 2" xfId="46347" xr:uid="{5952C684-BA80-4277-AB82-88F837410C20}"/>
    <cellStyle name="Comma 6 4 3 4 9" xfId="31227" xr:uid="{206A3A8F-5317-47C8-A519-FA5E80A447E6}"/>
    <cellStyle name="Comma 6 4 3 5" xfId="1743" xr:uid="{07195B15-DB28-432E-B13C-8B0C05DCCCB9}"/>
    <cellStyle name="Comma 6 4 3 5 2" xfId="10815" xr:uid="{1208E5B7-7C0A-4512-BE4B-D44024F56AE3}"/>
    <cellStyle name="Comma 6 4 3 5 2 2" xfId="25935" xr:uid="{B8FC3AAD-C4FD-499F-9900-371850B5E7F6}"/>
    <cellStyle name="Comma 6 4 3 5 2 2 2" xfId="56175" xr:uid="{58133C2C-83DE-4171-9B71-F195C813B7DF}"/>
    <cellStyle name="Comma 6 4 3 5 2 3" xfId="41055" xr:uid="{5C3EB699-1A8B-4BE4-92B7-DC3153E19D09}"/>
    <cellStyle name="Comma 6 4 3 5 3" xfId="16863" xr:uid="{750471CB-0ED3-44C2-93EA-6ED0DAE37F34}"/>
    <cellStyle name="Comma 6 4 3 5 3 2" xfId="47103" xr:uid="{0AEF3C36-4BF4-4A4F-B844-D92A08565245}"/>
    <cellStyle name="Comma 6 4 3 5 4" xfId="31983" xr:uid="{A682641B-4793-4ACE-BAE4-E151EE115E2B}"/>
    <cellStyle name="Comma 6 4 3 6" xfId="3255" xr:uid="{BFED1520-E515-4763-AA06-888266A3888E}"/>
    <cellStyle name="Comma 6 4 3 6 2" xfId="12327" xr:uid="{4570AF4D-01D4-49DD-847E-72EC32E088F6}"/>
    <cellStyle name="Comma 6 4 3 6 2 2" xfId="27447" xr:uid="{6E035887-F14B-4178-ADED-F2555F1309B4}"/>
    <cellStyle name="Comma 6 4 3 6 2 2 2" xfId="57687" xr:uid="{E67E32AE-D829-4202-A012-27E4DCB84166}"/>
    <cellStyle name="Comma 6 4 3 6 2 3" xfId="42567" xr:uid="{B6F32C6E-70EA-42F2-B067-501C08F09465}"/>
    <cellStyle name="Comma 6 4 3 6 3" xfId="18375" xr:uid="{DC7365DD-7E0A-488B-B9FC-0493C4B518F9}"/>
    <cellStyle name="Comma 6 4 3 6 3 2" xfId="48615" xr:uid="{FFB049C2-663B-46AA-8EAB-B5D1126F4BDA}"/>
    <cellStyle name="Comma 6 4 3 6 4" xfId="33495" xr:uid="{9A056478-423A-4C28-B646-9B00C21DB8DB}"/>
    <cellStyle name="Comma 6 4 3 7" xfId="4767" xr:uid="{3A7CBB7B-DB90-4190-BF31-3DB10A3B299A}"/>
    <cellStyle name="Comma 6 4 3 7 2" xfId="13839" xr:uid="{4B97BEF0-9A34-4186-82E5-C31BB8D79D07}"/>
    <cellStyle name="Comma 6 4 3 7 2 2" xfId="28959" xr:uid="{DDC058EA-F0C9-442A-8092-745194C1FB1D}"/>
    <cellStyle name="Comma 6 4 3 7 2 2 2" xfId="59199" xr:uid="{ACB29174-A00C-4037-9365-A4FAFF7ECCD8}"/>
    <cellStyle name="Comma 6 4 3 7 2 3" xfId="44079" xr:uid="{1BF96D17-801F-495B-BFEC-7F65EE0F0904}"/>
    <cellStyle name="Comma 6 4 3 7 3" xfId="19887" xr:uid="{231A8D5D-BB5F-4C3D-A152-7F0EBDC515BA}"/>
    <cellStyle name="Comma 6 4 3 7 3 2" xfId="50127" xr:uid="{90A55A1C-E9D5-4BC3-8022-16E69586A770}"/>
    <cellStyle name="Comma 6 4 3 7 4" xfId="35007" xr:uid="{50119B4A-8A89-42D5-9382-B205F62B00CB}"/>
    <cellStyle name="Comma 6 4 3 8" xfId="6279" xr:uid="{2FB80D9F-E09C-45EC-A148-C879AA1181FB}"/>
    <cellStyle name="Comma 6 4 3 8 2" xfId="21399" xr:uid="{E87BE802-C9B9-4738-8E22-5DA20F3B0921}"/>
    <cellStyle name="Comma 6 4 3 8 2 2" xfId="51639" xr:uid="{4119DE1F-B397-4DD7-B6F8-6D1B381B8111}"/>
    <cellStyle name="Comma 6 4 3 8 3" xfId="36519" xr:uid="{8ACFBFEF-A18E-49C0-BF8B-C1200E4F88CF}"/>
    <cellStyle name="Comma 6 4 3 9" xfId="7791" xr:uid="{8881AE5D-999C-4441-AA21-1BEF2246A3B9}"/>
    <cellStyle name="Comma 6 4 3 9 2" xfId="22911" xr:uid="{E723B4E4-E2C7-465C-88D8-61055BF1CD34}"/>
    <cellStyle name="Comma 6 4 3 9 2 2" xfId="53151" xr:uid="{7350C226-96DC-41BE-AABB-7B94DC409D83}"/>
    <cellStyle name="Comma 6 4 3 9 3" xfId="38031" xr:uid="{FD53AB8A-C27D-48F7-8509-268D833E8FE0}"/>
    <cellStyle name="Comma 6 4 4" xfId="315" xr:uid="{EB886363-EB8E-455F-AEA9-B9CB6587442E}"/>
    <cellStyle name="Comma 6 4 4 10" xfId="30555" xr:uid="{728834F9-47C2-48AB-BB26-0E71B2712AD8}"/>
    <cellStyle name="Comma 6 4 4 2" xfId="1071" xr:uid="{5F705428-639E-4B40-9EBB-E300DFAB4A05}"/>
    <cellStyle name="Comma 6 4 4 2 2" xfId="2583" xr:uid="{A3CAA6C9-6B58-4FBA-AFD4-8D489E12E702}"/>
    <cellStyle name="Comma 6 4 4 2 2 2" xfId="11655" xr:uid="{E1FB2E54-EC88-4347-B4B0-EA56FD174EC6}"/>
    <cellStyle name="Comma 6 4 4 2 2 2 2" xfId="26775" xr:uid="{1F4454EF-A11F-4F85-BDF3-30B4C65CA054}"/>
    <cellStyle name="Comma 6 4 4 2 2 2 2 2" xfId="57015" xr:uid="{B4E5B7D3-CB31-4ABF-8C6E-F227E0218145}"/>
    <cellStyle name="Comma 6 4 4 2 2 2 3" xfId="41895" xr:uid="{B3CBCA0A-6C48-4639-BC5B-91C21BFBC072}"/>
    <cellStyle name="Comma 6 4 4 2 2 3" xfId="17703" xr:uid="{293258EA-F09E-4113-B2C1-19946B96DA25}"/>
    <cellStyle name="Comma 6 4 4 2 2 3 2" xfId="47943" xr:uid="{BB5D581D-FFAC-4503-864F-7ED3B780B315}"/>
    <cellStyle name="Comma 6 4 4 2 2 4" xfId="32823" xr:uid="{D3F6AB43-58A4-4D70-9B3C-7130EC600D69}"/>
    <cellStyle name="Comma 6 4 4 2 3" xfId="4095" xr:uid="{FEB1F928-B420-421F-A1DD-50DCC207AFD5}"/>
    <cellStyle name="Comma 6 4 4 2 3 2" xfId="13167" xr:uid="{88367AD8-20DA-459D-9267-76B3AB567C03}"/>
    <cellStyle name="Comma 6 4 4 2 3 2 2" xfId="28287" xr:uid="{DC7A5A79-32B5-4DDB-9675-C9FE1F35C9C6}"/>
    <cellStyle name="Comma 6 4 4 2 3 2 2 2" xfId="58527" xr:uid="{D9E08FAD-4FCC-4FA2-BD21-4B83A32A71DE}"/>
    <cellStyle name="Comma 6 4 4 2 3 2 3" xfId="43407" xr:uid="{EF5F8020-CE28-4D1D-9D74-ADCDE7676D89}"/>
    <cellStyle name="Comma 6 4 4 2 3 3" xfId="19215" xr:uid="{E56F8D16-4899-4ACF-B020-D018D0BC767A}"/>
    <cellStyle name="Comma 6 4 4 2 3 3 2" xfId="49455" xr:uid="{7257B253-3C7C-4B95-82A1-B29739910657}"/>
    <cellStyle name="Comma 6 4 4 2 3 4" xfId="34335" xr:uid="{3B931370-97D0-4CE0-B6A8-28960A6778B3}"/>
    <cellStyle name="Comma 6 4 4 2 4" xfId="5607" xr:uid="{C36C5793-1B21-4348-88C6-6AA4C791A5D5}"/>
    <cellStyle name="Comma 6 4 4 2 4 2" xfId="14679" xr:uid="{9D9B460E-C90B-451C-A2F7-85B096842C49}"/>
    <cellStyle name="Comma 6 4 4 2 4 2 2" xfId="29799" xr:uid="{600D7452-6F71-4E6E-AFB3-049233B2505B}"/>
    <cellStyle name="Comma 6 4 4 2 4 2 2 2" xfId="60039" xr:uid="{04627F11-FF9F-498F-ACAC-685753DFCAF8}"/>
    <cellStyle name="Comma 6 4 4 2 4 2 3" xfId="44919" xr:uid="{1C02AC04-DBC5-4454-B8AE-3E121E394F67}"/>
    <cellStyle name="Comma 6 4 4 2 4 3" xfId="20727" xr:uid="{82DD31CE-FCCE-4C03-823A-099EE2B6365B}"/>
    <cellStyle name="Comma 6 4 4 2 4 3 2" xfId="50967" xr:uid="{8C62697F-8AA1-4EE6-8A15-C5C4DF065064}"/>
    <cellStyle name="Comma 6 4 4 2 4 4" xfId="35847" xr:uid="{9A603870-356C-4B84-9D5E-6B1CB4196C68}"/>
    <cellStyle name="Comma 6 4 4 2 5" xfId="7119" xr:uid="{3F7307B1-7241-4724-8CD9-6B79759A01F8}"/>
    <cellStyle name="Comma 6 4 4 2 5 2" xfId="22239" xr:uid="{58CC1DC1-28F8-4AA9-AAD4-622A2A48822D}"/>
    <cellStyle name="Comma 6 4 4 2 5 2 2" xfId="52479" xr:uid="{42670FD9-19FD-4137-97E5-D2C3DC854321}"/>
    <cellStyle name="Comma 6 4 4 2 5 3" xfId="37359" xr:uid="{2B2EAE73-CF9E-4538-986F-36259470046C}"/>
    <cellStyle name="Comma 6 4 4 2 6" xfId="8631" xr:uid="{E4A45C9F-BA3E-458C-A738-99D405E3A3AB}"/>
    <cellStyle name="Comma 6 4 4 2 6 2" xfId="23751" xr:uid="{029FBB65-0251-4A0B-80A4-5CB6B9F86FA4}"/>
    <cellStyle name="Comma 6 4 4 2 6 2 2" xfId="53991" xr:uid="{FCA76F4E-63FA-4A66-BC53-9F564DE9F9A3}"/>
    <cellStyle name="Comma 6 4 4 2 6 3" xfId="38871" xr:uid="{92198C9F-26D2-4FE4-BCE2-32EB60EC9518}"/>
    <cellStyle name="Comma 6 4 4 2 7" xfId="10143" xr:uid="{6E1CEFC6-AC0B-461F-BD06-455C5428D7EB}"/>
    <cellStyle name="Comma 6 4 4 2 7 2" xfId="25263" xr:uid="{18F6CF09-063F-4A3A-A542-B328EC8B4B8B}"/>
    <cellStyle name="Comma 6 4 4 2 7 2 2" xfId="55503" xr:uid="{89F01863-752D-4A48-BD5A-1C45A3BE65D0}"/>
    <cellStyle name="Comma 6 4 4 2 7 3" xfId="40383" xr:uid="{ECEBF0AD-234C-4DAB-BC52-2B0A6DB239A1}"/>
    <cellStyle name="Comma 6 4 4 2 8" xfId="16191" xr:uid="{81AD8EF0-7F09-46D7-9234-C1E563198E15}"/>
    <cellStyle name="Comma 6 4 4 2 8 2" xfId="46431" xr:uid="{BD9E8274-0724-48F5-BA05-5A402561F0B6}"/>
    <cellStyle name="Comma 6 4 4 2 9" xfId="31311" xr:uid="{E86C68D2-5E11-467A-AB83-A612411CB0DB}"/>
    <cellStyle name="Comma 6 4 4 3" xfId="1827" xr:uid="{19C97FE6-8DC9-44D0-8844-5F994C25C0F9}"/>
    <cellStyle name="Comma 6 4 4 3 2" xfId="10899" xr:uid="{78CED057-6003-4042-AB8A-BF6C489D985E}"/>
    <cellStyle name="Comma 6 4 4 3 2 2" xfId="26019" xr:uid="{95A80B73-FCA6-4606-90BF-D09DF3060AB9}"/>
    <cellStyle name="Comma 6 4 4 3 2 2 2" xfId="56259" xr:uid="{FA2E6E60-0098-4C3C-A17C-65A7ADF317B4}"/>
    <cellStyle name="Comma 6 4 4 3 2 3" xfId="41139" xr:uid="{9AA57B12-6B7E-4A04-B39D-A850CECFC942}"/>
    <cellStyle name="Comma 6 4 4 3 3" xfId="16947" xr:uid="{931AAA9C-96D1-4FF4-9F5C-4C26820BB232}"/>
    <cellStyle name="Comma 6 4 4 3 3 2" xfId="47187" xr:uid="{2203C877-5E08-4232-B055-FE706311EAC9}"/>
    <cellStyle name="Comma 6 4 4 3 4" xfId="32067" xr:uid="{D818DA8D-C967-4879-9558-6AB398517AC3}"/>
    <cellStyle name="Comma 6 4 4 4" xfId="3339" xr:uid="{33F0AAFF-5965-4BAF-AEDA-A15E051A1CA1}"/>
    <cellStyle name="Comma 6 4 4 4 2" xfId="12411" xr:uid="{FD220313-98D3-4E4E-B016-4FFE1E92392A}"/>
    <cellStyle name="Comma 6 4 4 4 2 2" xfId="27531" xr:uid="{40759642-9477-4937-9B4F-0B7B61F06D3F}"/>
    <cellStyle name="Comma 6 4 4 4 2 2 2" xfId="57771" xr:uid="{0851D0AA-D32E-4786-A6F7-B4F464D794DB}"/>
    <cellStyle name="Comma 6 4 4 4 2 3" xfId="42651" xr:uid="{099E62CC-8586-41B2-9C03-4CAFD0D8079F}"/>
    <cellStyle name="Comma 6 4 4 4 3" xfId="18459" xr:uid="{79758DDD-24B7-4F7A-8EE5-263CC4D670E3}"/>
    <cellStyle name="Comma 6 4 4 4 3 2" xfId="48699" xr:uid="{3704CB8F-1C7A-47E5-AD36-4364D454F857}"/>
    <cellStyle name="Comma 6 4 4 4 4" xfId="33579" xr:uid="{9B4EC0BC-62A7-4CB9-AB10-66B614BD9778}"/>
    <cellStyle name="Comma 6 4 4 5" xfId="4851" xr:uid="{6B15669C-51B4-4D4F-A65B-1DB906B296D9}"/>
    <cellStyle name="Comma 6 4 4 5 2" xfId="13923" xr:uid="{BB9420FD-2F28-4137-BC76-F292103901F7}"/>
    <cellStyle name="Comma 6 4 4 5 2 2" xfId="29043" xr:uid="{DEC75AB5-A523-49BC-A6AC-3755C7C05650}"/>
    <cellStyle name="Comma 6 4 4 5 2 2 2" xfId="59283" xr:uid="{348DD1C7-33E1-4B3C-BF57-58442D9A0DF4}"/>
    <cellStyle name="Comma 6 4 4 5 2 3" xfId="44163" xr:uid="{7227915E-3F21-4C61-9A5B-07581B9985E5}"/>
    <cellStyle name="Comma 6 4 4 5 3" xfId="19971" xr:uid="{5D1FC632-480E-4BAA-9F5C-DE9B1CBC5DD0}"/>
    <cellStyle name="Comma 6 4 4 5 3 2" xfId="50211" xr:uid="{3717D0EC-D9FC-4A0B-AE2E-AC031EC97312}"/>
    <cellStyle name="Comma 6 4 4 5 4" xfId="35091" xr:uid="{EE4294D8-E085-4D21-866B-A558D0CB9FE2}"/>
    <cellStyle name="Comma 6 4 4 6" xfId="6363" xr:uid="{A3DE2025-282E-4B24-9EC3-EC5D8185FF64}"/>
    <cellStyle name="Comma 6 4 4 6 2" xfId="21483" xr:uid="{B1B107E0-BFA7-4DE5-A258-24888D6AD11D}"/>
    <cellStyle name="Comma 6 4 4 6 2 2" xfId="51723" xr:uid="{D66B2C4A-DA06-4830-843D-3F50CEA26D48}"/>
    <cellStyle name="Comma 6 4 4 6 3" xfId="36603" xr:uid="{BFC26B70-CBDF-4A01-9466-6B8BA744CD53}"/>
    <cellStyle name="Comma 6 4 4 7" xfId="7875" xr:uid="{1FD8A3F5-9DD7-4C0E-A89D-6910C5E42392}"/>
    <cellStyle name="Comma 6 4 4 7 2" xfId="22995" xr:uid="{43B3D832-963B-4548-8D72-17B8671B5ED6}"/>
    <cellStyle name="Comma 6 4 4 7 2 2" xfId="53235" xr:uid="{6F5A32C3-75D3-45F9-AC94-6BD213654A57}"/>
    <cellStyle name="Comma 6 4 4 7 3" xfId="38115" xr:uid="{91528595-B97C-4193-9230-A08BB6883268}"/>
    <cellStyle name="Comma 6 4 4 8" xfId="9387" xr:uid="{9D77CC66-E766-4191-B38F-E3BF5E0A8012}"/>
    <cellStyle name="Comma 6 4 4 8 2" xfId="24507" xr:uid="{52CEB2EC-79AC-43D9-8497-66DAEC709D42}"/>
    <cellStyle name="Comma 6 4 4 8 2 2" xfId="54747" xr:uid="{C3150A78-6DF8-4889-B842-269A91FD3C03}"/>
    <cellStyle name="Comma 6 4 4 8 3" xfId="39627" xr:uid="{8B37B303-6049-4004-AE85-8197F1F969BF}"/>
    <cellStyle name="Comma 6 4 4 9" xfId="15435" xr:uid="{DBFF0938-EF15-469D-9733-D7FE694AE489}"/>
    <cellStyle name="Comma 6 4 4 9 2" xfId="45675" xr:uid="{ADB2FF3B-7112-472A-A43F-4607FE3229C8}"/>
    <cellStyle name="Comma 6 4 5" xfId="567" xr:uid="{6F944DC8-474E-48C6-AF92-026AA93CDD43}"/>
    <cellStyle name="Comma 6 4 5 10" xfId="30807" xr:uid="{302657EC-C257-4BFF-BF4C-123E5E16DEAA}"/>
    <cellStyle name="Comma 6 4 5 2" xfId="1323" xr:uid="{0691A537-ED36-4E32-9AF9-6CB90D75E6F2}"/>
    <cellStyle name="Comma 6 4 5 2 2" xfId="2835" xr:uid="{89894193-5A25-4877-8FD9-0E463BF5D44B}"/>
    <cellStyle name="Comma 6 4 5 2 2 2" xfId="11907" xr:uid="{926B395C-81D9-47DB-A089-593EC22DAC85}"/>
    <cellStyle name="Comma 6 4 5 2 2 2 2" xfId="27027" xr:uid="{3E75A79E-7A93-4CA5-AF0D-9C72E56505E4}"/>
    <cellStyle name="Comma 6 4 5 2 2 2 2 2" xfId="57267" xr:uid="{9510BC62-5F85-4E55-8870-31C84CD607F2}"/>
    <cellStyle name="Comma 6 4 5 2 2 2 3" xfId="42147" xr:uid="{C19020B9-8C2C-4420-B9B8-E569230DFCDD}"/>
    <cellStyle name="Comma 6 4 5 2 2 3" xfId="17955" xr:uid="{9D6E8654-C296-476B-ABA8-8E45FED2CD16}"/>
    <cellStyle name="Comma 6 4 5 2 2 3 2" xfId="48195" xr:uid="{8ECFE284-BE6E-46E2-9D40-53812743BD82}"/>
    <cellStyle name="Comma 6 4 5 2 2 4" xfId="33075" xr:uid="{0753AF12-A39A-409A-BC22-DEFB1EAD4C29}"/>
    <cellStyle name="Comma 6 4 5 2 3" xfId="4347" xr:uid="{35C1E4D4-0453-409E-B0DE-63AE280BA566}"/>
    <cellStyle name="Comma 6 4 5 2 3 2" xfId="13419" xr:uid="{35665647-5972-4088-A293-F0CE3870D65D}"/>
    <cellStyle name="Comma 6 4 5 2 3 2 2" xfId="28539" xr:uid="{DC57A833-3A03-44BC-BD2A-B53D9182F91F}"/>
    <cellStyle name="Comma 6 4 5 2 3 2 2 2" xfId="58779" xr:uid="{150AA108-6513-48A1-85A9-DC2642F18BBD}"/>
    <cellStyle name="Comma 6 4 5 2 3 2 3" xfId="43659" xr:uid="{F1C19B8E-9052-44B5-90F9-235C8DA13FEE}"/>
    <cellStyle name="Comma 6 4 5 2 3 3" xfId="19467" xr:uid="{09E0316D-D830-4481-A852-74EE04FFFCB3}"/>
    <cellStyle name="Comma 6 4 5 2 3 3 2" xfId="49707" xr:uid="{7F2D8C6F-B3A9-4AAA-907C-99AE446E01FB}"/>
    <cellStyle name="Comma 6 4 5 2 3 4" xfId="34587" xr:uid="{E78E5E8D-B2B4-42E7-B8AB-879EC19EA512}"/>
    <cellStyle name="Comma 6 4 5 2 4" xfId="5859" xr:uid="{8A44EB5B-7E94-4D79-998B-CC68877D0447}"/>
    <cellStyle name="Comma 6 4 5 2 4 2" xfId="14931" xr:uid="{511EC3B2-D555-4C27-B1DF-716A4A90E071}"/>
    <cellStyle name="Comma 6 4 5 2 4 2 2" xfId="30051" xr:uid="{747DDBBF-AD6F-4153-ADF6-713EE9932D8F}"/>
    <cellStyle name="Comma 6 4 5 2 4 2 2 2" xfId="60291" xr:uid="{FAEC4305-456A-4586-AEF1-6E1072CC26DC}"/>
    <cellStyle name="Comma 6 4 5 2 4 2 3" xfId="45171" xr:uid="{9C2691EA-AA75-48AD-906E-A065E77C1150}"/>
    <cellStyle name="Comma 6 4 5 2 4 3" xfId="20979" xr:uid="{C2BDDA6A-5442-4720-8C2A-A2E7DE64C6DD}"/>
    <cellStyle name="Comma 6 4 5 2 4 3 2" xfId="51219" xr:uid="{6ED4897B-7640-4CD6-8197-E6E00FC82F89}"/>
    <cellStyle name="Comma 6 4 5 2 4 4" xfId="36099" xr:uid="{70CB1490-AC62-4F14-AA07-ADA658371116}"/>
    <cellStyle name="Comma 6 4 5 2 5" xfId="7371" xr:uid="{A0B80152-B45A-48A9-9991-FC48E5B160EC}"/>
    <cellStyle name="Comma 6 4 5 2 5 2" xfId="22491" xr:uid="{4BBC3F81-8A29-4038-AD77-AA594F236E09}"/>
    <cellStyle name="Comma 6 4 5 2 5 2 2" xfId="52731" xr:uid="{3944719A-8124-453B-B20A-E7B62FBFC934}"/>
    <cellStyle name="Comma 6 4 5 2 5 3" xfId="37611" xr:uid="{DCCCA2E2-0287-47D0-93DE-E615F5F9BB9E}"/>
    <cellStyle name="Comma 6 4 5 2 6" xfId="8883" xr:uid="{731F3025-3025-46E5-A138-8623E0525BA3}"/>
    <cellStyle name="Comma 6 4 5 2 6 2" xfId="24003" xr:uid="{F327137E-F147-4FE4-B679-61D7EE870C66}"/>
    <cellStyle name="Comma 6 4 5 2 6 2 2" xfId="54243" xr:uid="{CE80061C-4225-4C4F-B152-5F11F07609BB}"/>
    <cellStyle name="Comma 6 4 5 2 6 3" xfId="39123" xr:uid="{988C9CE6-3FAE-4775-850C-8A4648E67518}"/>
    <cellStyle name="Comma 6 4 5 2 7" xfId="10395" xr:uid="{8F9CEFB6-2897-4780-A33B-8F16E9BDB527}"/>
    <cellStyle name="Comma 6 4 5 2 7 2" xfId="25515" xr:uid="{9D3BA631-B50D-41AC-A0AA-1A585BE8327A}"/>
    <cellStyle name="Comma 6 4 5 2 7 2 2" xfId="55755" xr:uid="{66FD2338-4B58-4AD9-B83F-EEA7120A26F1}"/>
    <cellStyle name="Comma 6 4 5 2 7 3" xfId="40635" xr:uid="{9102974A-CE1A-4895-8AB8-C6F589415DA7}"/>
    <cellStyle name="Comma 6 4 5 2 8" xfId="16443" xr:uid="{4E4ADA05-997F-4D31-9029-70A6094A73C7}"/>
    <cellStyle name="Comma 6 4 5 2 8 2" xfId="46683" xr:uid="{F6BEA30D-3091-4E64-91A8-3C0A48F4C74F}"/>
    <cellStyle name="Comma 6 4 5 2 9" xfId="31563" xr:uid="{6AAD900F-8B0C-4C3E-A241-30CF13C0E767}"/>
    <cellStyle name="Comma 6 4 5 3" xfId="2079" xr:uid="{6A1F5424-E8D3-4662-995C-793829D4D1F1}"/>
    <cellStyle name="Comma 6 4 5 3 2" xfId="11151" xr:uid="{1A638746-BEB5-46A7-8F5E-E34D4C205C6E}"/>
    <cellStyle name="Comma 6 4 5 3 2 2" xfId="26271" xr:uid="{9A61A834-08EE-4ADC-9D60-5A13C36AEECF}"/>
    <cellStyle name="Comma 6 4 5 3 2 2 2" xfId="56511" xr:uid="{91D6F5F0-9948-4213-8D1F-00655BDCA76E}"/>
    <cellStyle name="Comma 6 4 5 3 2 3" xfId="41391" xr:uid="{0C4708EE-8729-42C3-8485-4561F49FA195}"/>
    <cellStyle name="Comma 6 4 5 3 3" xfId="17199" xr:uid="{60F5C101-64A6-4947-9234-1962417A873B}"/>
    <cellStyle name="Comma 6 4 5 3 3 2" xfId="47439" xr:uid="{B3A3CD34-AA1B-42D7-B319-118A3DEE83AF}"/>
    <cellStyle name="Comma 6 4 5 3 4" xfId="32319" xr:uid="{35542995-1E42-48A3-A200-8A8B0280A1F2}"/>
    <cellStyle name="Comma 6 4 5 4" xfId="3591" xr:uid="{3A4889F7-3AEB-49D9-95BC-ADA56701F147}"/>
    <cellStyle name="Comma 6 4 5 4 2" xfId="12663" xr:uid="{E281BB4E-F3EA-488A-8DBE-6F440EBB8142}"/>
    <cellStyle name="Comma 6 4 5 4 2 2" xfId="27783" xr:uid="{4B7531B1-A8AA-43D5-9509-99CCD1712427}"/>
    <cellStyle name="Comma 6 4 5 4 2 2 2" xfId="58023" xr:uid="{A928B783-656B-4D0B-BB49-BEFD2154F8AF}"/>
    <cellStyle name="Comma 6 4 5 4 2 3" xfId="42903" xr:uid="{463B1A2C-7669-42C7-8454-75AD2567DEFA}"/>
    <cellStyle name="Comma 6 4 5 4 3" xfId="18711" xr:uid="{03BDC15B-FEA0-4B94-8771-F9AE3549088E}"/>
    <cellStyle name="Comma 6 4 5 4 3 2" xfId="48951" xr:uid="{41A16FA2-D350-4FD6-B740-30DDA65D712B}"/>
    <cellStyle name="Comma 6 4 5 4 4" xfId="33831" xr:uid="{B57CB5F9-7F25-4080-82FC-D2256F2581CA}"/>
    <cellStyle name="Comma 6 4 5 5" xfId="5103" xr:uid="{E6EF6735-63F3-4678-B0A9-8744B0AD5BB2}"/>
    <cellStyle name="Comma 6 4 5 5 2" xfId="14175" xr:uid="{5F308918-CC79-433E-8559-FF4EC901063D}"/>
    <cellStyle name="Comma 6 4 5 5 2 2" xfId="29295" xr:uid="{3419BC52-BD21-44B5-9410-DC292CC3DB2C}"/>
    <cellStyle name="Comma 6 4 5 5 2 2 2" xfId="59535" xr:uid="{D305147E-E6EE-4304-B092-22F976ED0180}"/>
    <cellStyle name="Comma 6 4 5 5 2 3" xfId="44415" xr:uid="{D7F340FD-CD7D-4421-96F5-55B06201473F}"/>
    <cellStyle name="Comma 6 4 5 5 3" xfId="20223" xr:uid="{23E2842D-B339-4E7B-8A6D-B673BBC53A8D}"/>
    <cellStyle name="Comma 6 4 5 5 3 2" xfId="50463" xr:uid="{4AD9795B-8FBD-490D-8419-4A06BAD0A681}"/>
    <cellStyle name="Comma 6 4 5 5 4" xfId="35343" xr:uid="{AF679B98-03C2-4438-BBCB-CD4FC2A98795}"/>
    <cellStyle name="Comma 6 4 5 6" xfId="6615" xr:uid="{0CBE88F6-8057-43BF-A8DF-29E9B2327213}"/>
    <cellStyle name="Comma 6 4 5 6 2" xfId="21735" xr:uid="{A2765EDF-AF8D-46AB-8EF8-03BE46333F02}"/>
    <cellStyle name="Comma 6 4 5 6 2 2" xfId="51975" xr:uid="{895BB56B-BC73-4BBF-AC80-E58677EA8F8D}"/>
    <cellStyle name="Comma 6 4 5 6 3" xfId="36855" xr:uid="{78209D1C-60BD-48DF-9A24-E9D83A89434F}"/>
    <cellStyle name="Comma 6 4 5 7" xfId="8127" xr:uid="{BD0323C8-1A1E-40C0-A5F6-FC4A0B40A5BA}"/>
    <cellStyle name="Comma 6 4 5 7 2" xfId="23247" xr:uid="{55E44526-E189-46AF-BC7B-B765D08E2251}"/>
    <cellStyle name="Comma 6 4 5 7 2 2" xfId="53487" xr:uid="{F7323D36-FFD7-428F-A5D4-DAF83E3707FA}"/>
    <cellStyle name="Comma 6 4 5 7 3" xfId="38367" xr:uid="{C1426A2E-BA8E-4107-89D1-1F29FDB689AE}"/>
    <cellStyle name="Comma 6 4 5 8" xfId="9639" xr:uid="{F461633B-F40C-41E1-AB12-E006C08D64E9}"/>
    <cellStyle name="Comma 6 4 5 8 2" xfId="24759" xr:uid="{8DA70CD7-D205-4655-997C-94516F2939A2}"/>
    <cellStyle name="Comma 6 4 5 8 2 2" xfId="54999" xr:uid="{2DDD08D7-BAB5-4E11-A997-14B7A94FD770}"/>
    <cellStyle name="Comma 6 4 5 8 3" xfId="39879" xr:uid="{ABFED3DB-1F01-4F96-B198-163FE8F99F52}"/>
    <cellStyle name="Comma 6 4 5 9" xfId="15687" xr:uid="{0BF583C3-3449-4923-AD3E-958D918E933B}"/>
    <cellStyle name="Comma 6 4 5 9 2" xfId="45927" xr:uid="{EBB8DEB8-3114-469F-A821-ACF810DA0E4C}"/>
    <cellStyle name="Comma 6 4 6" xfId="819" xr:uid="{2417019A-1E7A-404D-956B-E79DAD0F73F9}"/>
    <cellStyle name="Comma 6 4 6 2" xfId="2331" xr:uid="{BE6E3FEA-2030-4645-B0F5-AC058CFB4960}"/>
    <cellStyle name="Comma 6 4 6 2 2" xfId="11403" xr:uid="{EDF5EBDE-E133-4130-844D-2F4E26FFFA04}"/>
    <cellStyle name="Comma 6 4 6 2 2 2" xfId="26523" xr:uid="{175534DB-76C7-4EEE-9A0E-64AD40C9DB72}"/>
    <cellStyle name="Comma 6 4 6 2 2 2 2" xfId="56763" xr:uid="{52DEAD23-9D0A-4B13-9FDD-4EA1484DA288}"/>
    <cellStyle name="Comma 6 4 6 2 2 3" xfId="41643" xr:uid="{0CA2A628-06DE-40AB-96CD-92E717D8CC0D}"/>
    <cellStyle name="Comma 6 4 6 2 3" xfId="17451" xr:uid="{74FC1A27-7DD9-471A-A58E-85B466B02274}"/>
    <cellStyle name="Comma 6 4 6 2 3 2" xfId="47691" xr:uid="{D01F53FB-81F1-4B93-9999-8B7A48E9866D}"/>
    <cellStyle name="Comma 6 4 6 2 4" xfId="32571" xr:uid="{28AF4736-3D09-4486-825C-3A01ABB5CC4E}"/>
    <cellStyle name="Comma 6 4 6 3" xfId="3843" xr:uid="{CFA544E9-0CC7-47E6-B996-88C66C4A7F0F}"/>
    <cellStyle name="Comma 6 4 6 3 2" xfId="12915" xr:uid="{5DB3FD9A-4678-4189-BDB3-D53F9CD39C81}"/>
    <cellStyle name="Comma 6 4 6 3 2 2" xfId="28035" xr:uid="{ED11A8F6-9BAF-4430-84E4-E7EDD6BEAF82}"/>
    <cellStyle name="Comma 6 4 6 3 2 2 2" xfId="58275" xr:uid="{35B74545-EB40-4310-A395-0B6D7FADD089}"/>
    <cellStyle name="Comma 6 4 6 3 2 3" xfId="43155" xr:uid="{065EC2C4-87C6-4C59-995C-1C420AF55385}"/>
    <cellStyle name="Comma 6 4 6 3 3" xfId="18963" xr:uid="{D150F982-3880-4F9B-A078-D0B757A6ABAF}"/>
    <cellStyle name="Comma 6 4 6 3 3 2" xfId="49203" xr:uid="{9CDED399-8536-4797-AD0D-E64F7A735DC2}"/>
    <cellStyle name="Comma 6 4 6 3 4" xfId="34083" xr:uid="{CAD5098E-D9BC-474D-B804-78566CD7218D}"/>
    <cellStyle name="Comma 6 4 6 4" xfId="5355" xr:uid="{77E7D4CF-569E-47FA-B9A0-4FD6CFA0158A}"/>
    <cellStyle name="Comma 6 4 6 4 2" xfId="14427" xr:uid="{4F52E1C4-5B66-4CF4-956A-3F40255F8B7C}"/>
    <cellStyle name="Comma 6 4 6 4 2 2" xfId="29547" xr:uid="{EABD5C89-5529-44EF-9F39-47755FDD79ED}"/>
    <cellStyle name="Comma 6 4 6 4 2 2 2" xfId="59787" xr:uid="{D19CE5B3-26C2-48D9-B7F3-B8CE5DBBCDE9}"/>
    <cellStyle name="Comma 6 4 6 4 2 3" xfId="44667" xr:uid="{69F19B6F-CDC1-410B-B8C0-E56BCD5C0E7D}"/>
    <cellStyle name="Comma 6 4 6 4 3" xfId="20475" xr:uid="{FE3A460C-FB1B-434F-86DB-A3CA9CBA8352}"/>
    <cellStyle name="Comma 6 4 6 4 3 2" xfId="50715" xr:uid="{2F6C7CAB-F86B-4159-9F8D-93735E38357D}"/>
    <cellStyle name="Comma 6 4 6 4 4" xfId="35595" xr:uid="{3730C988-378E-4041-A18B-02B998CA7D4C}"/>
    <cellStyle name="Comma 6 4 6 5" xfId="6867" xr:uid="{825C1FCD-54E9-4B9B-BB53-D95F789CC8E8}"/>
    <cellStyle name="Comma 6 4 6 5 2" xfId="21987" xr:uid="{4C5EB0D8-E6D8-4AAD-A0B7-80379D203E34}"/>
    <cellStyle name="Comma 6 4 6 5 2 2" xfId="52227" xr:uid="{28739999-524F-49CF-B5A2-6005FFAD6645}"/>
    <cellStyle name="Comma 6 4 6 5 3" xfId="37107" xr:uid="{5401C02A-57E1-499C-8902-304DEAD50FD4}"/>
    <cellStyle name="Comma 6 4 6 6" xfId="8379" xr:uid="{BAC8B21A-4084-4167-A348-0EE453783797}"/>
    <cellStyle name="Comma 6 4 6 6 2" xfId="23499" xr:uid="{D2EB959F-FA40-4EA9-8BDE-30F0FEC20C9E}"/>
    <cellStyle name="Comma 6 4 6 6 2 2" xfId="53739" xr:uid="{E5DBBA4C-4B9D-4436-8E7B-2E95B1F1D02C}"/>
    <cellStyle name="Comma 6 4 6 6 3" xfId="38619" xr:uid="{E83FB444-3A65-4E2E-9CA7-276315BF55E0}"/>
    <cellStyle name="Comma 6 4 6 7" xfId="9891" xr:uid="{BF2A7B69-C964-4D12-B3B7-2F3BD2A75874}"/>
    <cellStyle name="Comma 6 4 6 7 2" xfId="25011" xr:uid="{885C5BCB-95E9-4EF9-824A-44133008B000}"/>
    <cellStyle name="Comma 6 4 6 7 2 2" xfId="55251" xr:uid="{AFA098D1-2C71-46C3-A240-A2DCC291D1CC}"/>
    <cellStyle name="Comma 6 4 6 7 3" xfId="40131" xr:uid="{20F020D4-E935-4BC2-9B2E-3849CEA900C6}"/>
    <cellStyle name="Comma 6 4 6 8" xfId="15939" xr:uid="{FAB04555-307B-48F4-B90A-13920475CEE1}"/>
    <cellStyle name="Comma 6 4 6 8 2" xfId="46179" xr:uid="{267CD873-7431-4182-95B3-558D6DB8947E}"/>
    <cellStyle name="Comma 6 4 6 9" xfId="31059" xr:uid="{91D1F88B-88EE-4FD2-B4D4-3F31278E8A72}"/>
    <cellStyle name="Comma 6 4 7" xfId="1575" xr:uid="{6B93EB2C-30AE-4966-B7A8-23B24F4DAA37}"/>
    <cellStyle name="Comma 6 4 7 2" xfId="10647" xr:uid="{CD5A3177-D358-43C8-8D44-D3607D0BB2DD}"/>
    <cellStyle name="Comma 6 4 7 2 2" xfId="25767" xr:uid="{50EC4CCA-712D-4C50-B20C-D06ACCF540A5}"/>
    <cellStyle name="Comma 6 4 7 2 2 2" xfId="56007" xr:uid="{21E94346-AE5A-4B62-868F-B0D9B360CF25}"/>
    <cellStyle name="Comma 6 4 7 2 3" xfId="40887" xr:uid="{3199C643-1866-46CD-B8EE-43D5A2E47C95}"/>
    <cellStyle name="Comma 6 4 7 3" xfId="16695" xr:uid="{9627E556-2EF6-4270-97A1-8CF99DFC7E05}"/>
    <cellStyle name="Comma 6 4 7 3 2" xfId="46935" xr:uid="{DD988E93-8F5B-4EC0-9ECF-9FB8A5BCF70F}"/>
    <cellStyle name="Comma 6 4 7 4" xfId="31815" xr:uid="{B12EFA4F-727D-460E-8D42-3EB697AC53BD}"/>
    <cellStyle name="Comma 6 4 8" xfId="3087" xr:uid="{016140B8-6D2F-4F5F-89EC-F59CE9498CCD}"/>
    <cellStyle name="Comma 6 4 8 2" xfId="12159" xr:uid="{02637D7B-AA9C-4292-9734-C4710D94F2A7}"/>
    <cellStyle name="Comma 6 4 8 2 2" xfId="27279" xr:uid="{91F06384-7727-4F4B-A519-9CE4F7C6C35E}"/>
    <cellStyle name="Comma 6 4 8 2 2 2" xfId="57519" xr:uid="{C2D2CB37-AA4C-4DD6-9079-F55C3A76EC2C}"/>
    <cellStyle name="Comma 6 4 8 2 3" xfId="42399" xr:uid="{62539B77-0FE5-4A4C-ABB6-A911DCE6DB0F}"/>
    <cellStyle name="Comma 6 4 8 3" xfId="18207" xr:uid="{0D24C327-C45E-4E1F-BA4C-F0B777C6F816}"/>
    <cellStyle name="Comma 6 4 8 3 2" xfId="48447" xr:uid="{5481791F-B5CA-418A-8E8C-7357636D31ED}"/>
    <cellStyle name="Comma 6 4 8 4" xfId="33327" xr:uid="{51FD8FB2-E5C0-4DA6-BFFA-7C99C68A1CFF}"/>
    <cellStyle name="Comma 6 4 9" xfId="4599" xr:uid="{5659EAF2-DCA1-43AE-8954-680A9D1B3D03}"/>
    <cellStyle name="Comma 6 4 9 2" xfId="13671" xr:uid="{92A68D1B-4EA7-4477-B75C-1B1038B0363C}"/>
    <cellStyle name="Comma 6 4 9 2 2" xfId="28791" xr:uid="{A8877D4A-D253-475E-8323-51D8BE844553}"/>
    <cellStyle name="Comma 6 4 9 2 2 2" xfId="59031" xr:uid="{27A9D876-87DB-4A4F-B316-617DD8502BDA}"/>
    <cellStyle name="Comma 6 4 9 2 3" xfId="43911" xr:uid="{7A656BFE-AB2F-479C-ABAD-6CB16C0B06AA}"/>
    <cellStyle name="Comma 6 4 9 3" xfId="19719" xr:uid="{3FC78064-CD44-46E5-B4DC-11869A66C47E}"/>
    <cellStyle name="Comma 6 4 9 3 2" xfId="49959" xr:uid="{4764F1CB-88A5-482F-9E8A-5322FA41CBC0}"/>
    <cellStyle name="Comma 6 4 9 4" xfId="34839" xr:uid="{6B79A888-5001-42BD-8754-816E93C74764}"/>
    <cellStyle name="Comma 6 5" xfId="105" xr:uid="{D80AEE6B-1A9B-43A7-BB19-0C3F9066A50A}"/>
    <cellStyle name="Comma 6 5 10" xfId="9177" xr:uid="{F65624AB-8EE0-43B7-B967-54D380465196}"/>
    <cellStyle name="Comma 6 5 10 2" xfId="24297" xr:uid="{3CCC851B-297C-473E-BB66-97978572F60E}"/>
    <cellStyle name="Comma 6 5 10 2 2" xfId="54537" xr:uid="{DB19ECC7-90B1-42F4-B6BA-A21095867182}"/>
    <cellStyle name="Comma 6 5 10 3" xfId="39417" xr:uid="{889A3706-06E5-4A13-875D-3D0091D8605B}"/>
    <cellStyle name="Comma 6 5 11" xfId="15225" xr:uid="{F86E4ACA-4EF0-4076-8D49-043895711D35}"/>
    <cellStyle name="Comma 6 5 11 2" xfId="45465" xr:uid="{012CC94D-9612-4A0F-8C59-AE6C87A1271B}"/>
    <cellStyle name="Comma 6 5 12" xfId="30345" xr:uid="{E7E56C60-C202-4B39-B503-71D05BDED4A0}"/>
    <cellStyle name="Comma 6 5 2" xfId="357" xr:uid="{617B3FD2-9381-44AF-B749-44EB911F9559}"/>
    <cellStyle name="Comma 6 5 2 10" xfId="30597" xr:uid="{A07F8659-A5F6-48BB-96D0-F793CED30158}"/>
    <cellStyle name="Comma 6 5 2 2" xfId="1113" xr:uid="{B1A91BB4-CCD5-4D7A-9E38-76F977DCAE73}"/>
    <cellStyle name="Comma 6 5 2 2 2" xfId="2625" xr:uid="{0A6843B4-C333-460D-9B98-5827F3175D25}"/>
    <cellStyle name="Comma 6 5 2 2 2 2" xfId="11697" xr:uid="{180E412C-4941-4C51-83FA-71F43D3AA339}"/>
    <cellStyle name="Comma 6 5 2 2 2 2 2" xfId="26817" xr:uid="{85D8E6B0-1384-42A0-B318-DA89D43B8008}"/>
    <cellStyle name="Comma 6 5 2 2 2 2 2 2" xfId="57057" xr:uid="{02EC2094-1A9D-4DD2-B18B-79573DF3EFE6}"/>
    <cellStyle name="Comma 6 5 2 2 2 2 3" xfId="41937" xr:uid="{E380E62B-BEA5-4629-9F39-D57E8E150B67}"/>
    <cellStyle name="Comma 6 5 2 2 2 3" xfId="17745" xr:uid="{A3D589FB-24FB-4968-8246-F141FF7D0540}"/>
    <cellStyle name="Comma 6 5 2 2 2 3 2" xfId="47985" xr:uid="{731A4A3D-4693-48C9-8BB5-93FB5A596E66}"/>
    <cellStyle name="Comma 6 5 2 2 2 4" xfId="32865" xr:uid="{729A0932-1E84-4F40-A4D5-A01C1E86206F}"/>
    <cellStyle name="Comma 6 5 2 2 3" xfId="4137" xr:uid="{F0FF0255-930A-45A4-AE0E-B674C5828F89}"/>
    <cellStyle name="Comma 6 5 2 2 3 2" xfId="13209" xr:uid="{15072784-250F-47F4-B895-2AB66D9537EA}"/>
    <cellStyle name="Comma 6 5 2 2 3 2 2" xfId="28329" xr:uid="{794EA988-10E4-40AC-8ECF-69E12AE2853C}"/>
    <cellStyle name="Comma 6 5 2 2 3 2 2 2" xfId="58569" xr:uid="{97228963-A3AF-4BD1-A72F-090B7E0D0344}"/>
    <cellStyle name="Comma 6 5 2 2 3 2 3" xfId="43449" xr:uid="{A776765B-2443-480E-92C4-8533FFD8C7C5}"/>
    <cellStyle name="Comma 6 5 2 2 3 3" xfId="19257" xr:uid="{0DC2164F-1859-439F-8519-13138B0903CC}"/>
    <cellStyle name="Comma 6 5 2 2 3 3 2" xfId="49497" xr:uid="{67D80DFD-7176-4B2C-89B9-4AD00E9B9245}"/>
    <cellStyle name="Comma 6 5 2 2 3 4" xfId="34377" xr:uid="{F853CDFE-580E-4D33-951A-C664CA2A8ABF}"/>
    <cellStyle name="Comma 6 5 2 2 4" xfId="5649" xr:uid="{075830D5-6A63-4D2C-A04C-6DB7FE4DC820}"/>
    <cellStyle name="Comma 6 5 2 2 4 2" xfId="14721" xr:uid="{6C1741BF-3A9D-4BDC-9B9B-EEA2D248EB15}"/>
    <cellStyle name="Comma 6 5 2 2 4 2 2" xfId="29841" xr:uid="{E505EFB2-1D66-499A-99D0-6590945BA42E}"/>
    <cellStyle name="Comma 6 5 2 2 4 2 2 2" xfId="60081" xr:uid="{D8E060F6-218F-435F-9156-B741C382419B}"/>
    <cellStyle name="Comma 6 5 2 2 4 2 3" xfId="44961" xr:uid="{2F073549-6DAF-40D4-8651-CE8F4544B0BF}"/>
    <cellStyle name="Comma 6 5 2 2 4 3" xfId="20769" xr:uid="{0A5778C7-07F0-44DB-AB82-870F81ADED91}"/>
    <cellStyle name="Comma 6 5 2 2 4 3 2" xfId="51009" xr:uid="{13945781-E213-40AA-B081-BEED17C22C40}"/>
    <cellStyle name="Comma 6 5 2 2 4 4" xfId="35889" xr:uid="{0AFFE8DB-5DF2-49D4-9A0F-0B85D089B099}"/>
    <cellStyle name="Comma 6 5 2 2 5" xfId="7161" xr:uid="{B33AD20F-6B9C-4AE5-9314-B7677ABCA121}"/>
    <cellStyle name="Comma 6 5 2 2 5 2" xfId="22281" xr:uid="{116F53E1-0F82-4123-8666-CCF1B7C80DE0}"/>
    <cellStyle name="Comma 6 5 2 2 5 2 2" xfId="52521" xr:uid="{B8037CB9-890C-4C7A-BFE6-72B1A0F32060}"/>
    <cellStyle name="Comma 6 5 2 2 5 3" xfId="37401" xr:uid="{1EF7A389-99AC-497F-8136-779BF77E3E19}"/>
    <cellStyle name="Comma 6 5 2 2 6" xfId="8673" xr:uid="{1169389E-5071-4174-9522-E36AE1089F94}"/>
    <cellStyle name="Comma 6 5 2 2 6 2" xfId="23793" xr:uid="{31E5BA55-578B-416A-80EA-54634C1CCEC5}"/>
    <cellStyle name="Comma 6 5 2 2 6 2 2" xfId="54033" xr:uid="{E73C0BDE-530A-4730-A479-57CDDAD13B94}"/>
    <cellStyle name="Comma 6 5 2 2 6 3" xfId="38913" xr:uid="{3E3E8AC5-7D30-4ECF-B8CB-11254B013F9E}"/>
    <cellStyle name="Comma 6 5 2 2 7" xfId="10185" xr:uid="{CB445481-960E-4825-BE65-D8AACB47798E}"/>
    <cellStyle name="Comma 6 5 2 2 7 2" xfId="25305" xr:uid="{54B0C49C-B780-421D-AF30-7B1C894583A5}"/>
    <cellStyle name="Comma 6 5 2 2 7 2 2" xfId="55545" xr:uid="{6616299C-9F84-4D0F-A99D-4D2ACBA28333}"/>
    <cellStyle name="Comma 6 5 2 2 7 3" xfId="40425" xr:uid="{995107B4-58BD-4254-BFEC-B15671B631FF}"/>
    <cellStyle name="Comma 6 5 2 2 8" xfId="16233" xr:uid="{C907F4C5-0106-4EEF-99C7-E8BD8DFCF3CE}"/>
    <cellStyle name="Comma 6 5 2 2 8 2" xfId="46473" xr:uid="{97E2FE54-12F5-4502-9EA5-E00D660C69CD}"/>
    <cellStyle name="Comma 6 5 2 2 9" xfId="31353" xr:uid="{F95D0E98-BFE5-4B65-B27C-77F269274F5B}"/>
    <cellStyle name="Comma 6 5 2 3" xfId="1869" xr:uid="{C5F83519-A676-4DAC-9468-0BB590BD2484}"/>
    <cellStyle name="Comma 6 5 2 3 2" xfId="10941" xr:uid="{8F5BD71F-486D-4D08-85FD-12D1E00EEE08}"/>
    <cellStyle name="Comma 6 5 2 3 2 2" xfId="26061" xr:uid="{4DC7B515-DBA7-4ABF-9225-925AA97A834B}"/>
    <cellStyle name="Comma 6 5 2 3 2 2 2" xfId="56301" xr:uid="{C1E1E0D5-F6B9-42B8-BCBF-3D168AFB0AA6}"/>
    <cellStyle name="Comma 6 5 2 3 2 3" xfId="41181" xr:uid="{E368A873-B372-4671-9A14-6A69AD9547F4}"/>
    <cellStyle name="Comma 6 5 2 3 3" xfId="16989" xr:uid="{C79D7614-35D1-4F17-8648-7794B7A5F690}"/>
    <cellStyle name="Comma 6 5 2 3 3 2" xfId="47229" xr:uid="{7EB2F27C-FD13-408D-9B29-7CA233D19B9F}"/>
    <cellStyle name="Comma 6 5 2 3 4" xfId="32109" xr:uid="{634F7741-F616-4084-A13E-F8DD00EF5BD2}"/>
    <cellStyle name="Comma 6 5 2 4" xfId="3381" xr:uid="{E5F21325-ED1D-4649-AD62-068B94572B14}"/>
    <cellStyle name="Comma 6 5 2 4 2" xfId="12453" xr:uid="{EF832F3D-AE1D-45CC-8BB4-76A774718042}"/>
    <cellStyle name="Comma 6 5 2 4 2 2" xfId="27573" xr:uid="{8AD0FDE9-0711-43E8-8113-8ABEDEC3CCE3}"/>
    <cellStyle name="Comma 6 5 2 4 2 2 2" xfId="57813" xr:uid="{BA803F3A-C563-4927-AC55-E53456ECEBA4}"/>
    <cellStyle name="Comma 6 5 2 4 2 3" xfId="42693" xr:uid="{06B2AB01-B500-43DD-97CD-2CEF260DD320}"/>
    <cellStyle name="Comma 6 5 2 4 3" xfId="18501" xr:uid="{5D4ABD9F-1D87-479B-892E-05998CCB2326}"/>
    <cellStyle name="Comma 6 5 2 4 3 2" xfId="48741" xr:uid="{BDE8976A-42ED-49E1-8D9D-8759B27371CE}"/>
    <cellStyle name="Comma 6 5 2 4 4" xfId="33621" xr:uid="{6CB6B5EB-3A5D-4272-B073-3B0AF4281E38}"/>
    <cellStyle name="Comma 6 5 2 5" xfId="4893" xr:uid="{EB3E5473-B327-42BB-86F8-F65772426B6D}"/>
    <cellStyle name="Comma 6 5 2 5 2" xfId="13965" xr:uid="{8F9B314C-5770-4D49-93C4-73DC8EB26337}"/>
    <cellStyle name="Comma 6 5 2 5 2 2" xfId="29085" xr:uid="{C9FD8DEF-FD98-40D4-BAE4-524C5DA2B9EF}"/>
    <cellStyle name="Comma 6 5 2 5 2 2 2" xfId="59325" xr:uid="{59AFCF5E-3A85-46D5-B4D1-5DD19E227A4E}"/>
    <cellStyle name="Comma 6 5 2 5 2 3" xfId="44205" xr:uid="{7C53C775-2AE1-4114-A6EE-265371FF78C0}"/>
    <cellStyle name="Comma 6 5 2 5 3" xfId="20013" xr:uid="{A7A87D6A-BD7E-47C3-95F2-58578F69880A}"/>
    <cellStyle name="Comma 6 5 2 5 3 2" xfId="50253" xr:uid="{5FF61F50-F76F-4DCA-BA7D-85C571965BEA}"/>
    <cellStyle name="Comma 6 5 2 5 4" xfId="35133" xr:uid="{AEBB8E2D-399A-4482-82BE-5586DD575C08}"/>
    <cellStyle name="Comma 6 5 2 6" xfId="6405" xr:uid="{AA486DBD-2B35-4371-9CC2-DD59A117226E}"/>
    <cellStyle name="Comma 6 5 2 6 2" xfId="21525" xr:uid="{F78EC2C1-4CCF-420F-BDD5-8C65AB2FF895}"/>
    <cellStyle name="Comma 6 5 2 6 2 2" xfId="51765" xr:uid="{FB8AAB52-3C30-4BEE-8C5C-01AE28CD5D0B}"/>
    <cellStyle name="Comma 6 5 2 6 3" xfId="36645" xr:uid="{59BF5DB2-EB9E-4A39-8693-9246C5850D3C}"/>
    <cellStyle name="Comma 6 5 2 7" xfId="7917" xr:uid="{D3AF7228-2191-4A10-9531-340B41C64E30}"/>
    <cellStyle name="Comma 6 5 2 7 2" xfId="23037" xr:uid="{1D44DFDB-54BE-4731-BC9E-A476C0918328}"/>
    <cellStyle name="Comma 6 5 2 7 2 2" xfId="53277" xr:uid="{3709C730-D402-44F4-9B86-5782AE26CB40}"/>
    <cellStyle name="Comma 6 5 2 7 3" xfId="38157" xr:uid="{2595489F-E963-4D08-9D77-61A141877443}"/>
    <cellStyle name="Comma 6 5 2 8" xfId="9429" xr:uid="{32200B52-5148-43FB-AAE0-F1C007ED4411}"/>
    <cellStyle name="Comma 6 5 2 8 2" xfId="24549" xr:uid="{405A097C-F409-4021-8EB0-200B1AD61240}"/>
    <cellStyle name="Comma 6 5 2 8 2 2" xfId="54789" xr:uid="{9B83DB0D-DFF5-443E-97FE-7D3DAAEF2DCE}"/>
    <cellStyle name="Comma 6 5 2 8 3" xfId="39669" xr:uid="{2E91FE3A-FF69-4867-8029-02A90A9C8786}"/>
    <cellStyle name="Comma 6 5 2 9" xfId="15477" xr:uid="{36C349E1-F344-45DF-9DBC-D769EDD3D9FF}"/>
    <cellStyle name="Comma 6 5 2 9 2" xfId="45717" xr:uid="{352C1A90-A636-45E2-B129-F5209B1C0360}"/>
    <cellStyle name="Comma 6 5 3" xfId="609" xr:uid="{8D088176-AD3F-4822-B599-6F41FC1E5B8A}"/>
    <cellStyle name="Comma 6 5 3 10" xfId="30849" xr:uid="{CD9F462F-F759-4F0A-AB91-E1BE05BD2713}"/>
    <cellStyle name="Comma 6 5 3 2" xfId="1365" xr:uid="{31222B42-8E7E-4781-B080-669CEB91C374}"/>
    <cellStyle name="Comma 6 5 3 2 2" xfId="2877" xr:uid="{C10E1CE9-95E9-4DD9-9A19-B29BD869F2B9}"/>
    <cellStyle name="Comma 6 5 3 2 2 2" xfId="11949" xr:uid="{3BC6BFB5-5587-4117-846C-CE80489F75AA}"/>
    <cellStyle name="Comma 6 5 3 2 2 2 2" xfId="27069" xr:uid="{98EC30CE-F0D3-433A-AFE9-38F4A01C6FC7}"/>
    <cellStyle name="Comma 6 5 3 2 2 2 2 2" xfId="57309" xr:uid="{5204F0DA-6F86-4CF0-94FD-181099CE16E6}"/>
    <cellStyle name="Comma 6 5 3 2 2 2 3" xfId="42189" xr:uid="{6747B022-67E4-40B0-B00D-75DEA8EC37EC}"/>
    <cellStyle name="Comma 6 5 3 2 2 3" xfId="17997" xr:uid="{C46EB8D0-3DC4-47B4-8AAF-1C6A8E0ECDFE}"/>
    <cellStyle name="Comma 6 5 3 2 2 3 2" xfId="48237" xr:uid="{FF0181C5-9770-4819-BCBB-73CF22C7AC94}"/>
    <cellStyle name="Comma 6 5 3 2 2 4" xfId="33117" xr:uid="{D69CABE9-6D06-4659-93DF-49421A719BB2}"/>
    <cellStyle name="Comma 6 5 3 2 3" xfId="4389" xr:uid="{F0689AB5-2B89-4043-AA1B-CCFA98C852BB}"/>
    <cellStyle name="Comma 6 5 3 2 3 2" xfId="13461" xr:uid="{B848AB60-1D57-408E-8253-6275BF61171B}"/>
    <cellStyle name="Comma 6 5 3 2 3 2 2" xfId="28581" xr:uid="{BA34C6C4-FB2D-4260-B347-4F75A00C8CAB}"/>
    <cellStyle name="Comma 6 5 3 2 3 2 2 2" xfId="58821" xr:uid="{51007DA5-0683-4692-B271-84DDB73EBA19}"/>
    <cellStyle name="Comma 6 5 3 2 3 2 3" xfId="43701" xr:uid="{D5CCD854-DAE6-4FF3-844D-62F18C1718ED}"/>
    <cellStyle name="Comma 6 5 3 2 3 3" xfId="19509" xr:uid="{59FA45EC-3DCA-4010-A32B-865C0BB5AEC0}"/>
    <cellStyle name="Comma 6 5 3 2 3 3 2" xfId="49749" xr:uid="{427ADA48-333C-4F26-992C-9E96DC45020F}"/>
    <cellStyle name="Comma 6 5 3 2 3 4" xfId="34629" xr:uid="{97AE2000-5BB2-4C28-8AA0-E493072068C6}"/>
    <cellStyle name="Comma 6 5 3 2 4" xfId="5901" xr:uid="{E63F2EE4-2ABB-4CEB-850B-0FC3656A5E0D}"/>
    <cellStyle name="Comma 6 5 3 2 4 2" xfId="14973" xr:uid="{FFE36A24-4F82-4450-A893-89410F7B6B93}"/>
    <cellStyle name="Comma 6 5 3 2 4 2 2" xfId="30093" xr:uid="{4DB8D28B-0D80-43FA-BEA4-EFEE34668EFB}"/>
    <cellStyle name="Comma 6 5 3 2 4 2 2 2" xfId="60333" xr:uid="{83A33915-57CF-45B4-8A48-04DE70A57281}"/>
    <cellStyle name="Comma 6 5 3 2 4 2 3" xfId="45213" xr:uid="{4F3499CF-3A20-43D1-B7AB-58ADFC890ABD}"/>
    <cellStyle name="Comma 6 5 3 2 4 3" xfId="21021" xr:uid="{7D154CBC-610D-448A-9B4E-C33F58F8BC98}"/>
    <cellStyle name="Comma 6 5 3 2 4 3 2" xfId="51261" xr:uid="{E078F0DC-E41D-4DD7-BFAE-9A3A70AE6173}"/>
    <cellStyle name="Comma 6 5 3 2 4 4" xfId="36141" xr:uid="{94F45DEC-CC41-4063-8901-8CEE0160CF4E}"/>
    <cellStyle name="Comma 6 5 3 2 5" xfId="7413" xr:uid="{49BF638A-F534-41DE-A66A-F3809E8CA773}"/>
    <cellStyle name="Comma 6 5 3 2 5 2" xfId="22533" xr:uid="{BBFB0BFC-F4F9-403E-B086-52E6D51D60E2}"/>
    <cellStyle name="Comma 6 5 3 2 5 2 2" xfId="52773" xr:uid="{895582E6-EC7B-4158-B048-E3958580EA6D}"/>
    <cellStyle name="Comma 6 5 3 2 5 3" xfId="37653" xr:uid="{BF3A11B9-A0BD-4FB5-B5C8-8AD86292C859}"/>
    <cellStyle name="Comma 6 5 3 2 6" xfId="8925" xr:uid="{179B3C38-7281-4769-B195-1EBA66DAD3CD}"/>
    <cellStyle name="Comma 6 5 3 2 6 2" xfId="24045" xr:uid="{062E488E-EAB9-4004-AC07-D24DFF279EC5}"/>
    <cellStyle name="Comma 6 5 3 2 6 2 2" xfId="54285" xr:uid="{EF16B49C-7F6F-4913-998C-65F0CD0BFACB}"/>
    <cellStyle name="Comma 6 5 3 2 6 3" xfId="39165" xr:uid="{B64582EE-996C-4920-B85E-9CEB19B200CB}"/>
    <cellStyle name="Comma 6 5 3 2 7" xfId="10437" xr:uid="{851852F9-1671-4B28-B782-3748468ADBDE}"/>
    <cellStyle name="Comma 6 5 3 2 7 2" xfId="25557" xr:uid="{7AC81973-8FEF-424A-9267-288B41BD5FDE}"/>
    <cellStyle name="Comma 6 5 3 2 7 2 2" xfId="55797" xr:uid="{8DEBD543-D8B2-4309-B79C-4A3E28C317EE}"/>
    <cellStyle name="Comma 6 5 3 2 7 3" xfId="40677" xr:uid="{C0EA1BCA-5960-474C-937C-4BFD68E41406}"/>
    <cellStyle name="Comma 6 5 3 2 8" xfId="16485" xr:uid="{4D6C4BC3-3B51-4882-8851-48E081C95939}"/>
    <cellStyle name="Comma 6 5 3 2 8 2" xfId="46725" xr:uid="{7DBE0999-1164-4193-A9B2-D99AF345B796}"/>
    <cellStyle name="Comma 6 5 3 2 9" xfId="31605" xr:uid="{244ECADC-F224-4D0C-9C13-C8F1A9372AD7}"/>
    <cellStyle name="Comma 6 5 3 3" xfId="2121" xr:uid="{43C636F2-C279-4C94-B56F-877EC47F96E3}"/>
    <cellStyle name="Comma 6 5 3 3 2" xfId="11193" xr:uid="{6A878E1D-6AB3-4A36-9F40-51AA6B364F68}"/>
    <cellStyle name="Comma 6 5 3 3 2 2" xfId="26313" xr:uid="{69FDE25E-211C-477F-A4CF-C7C0D309C991}"/>
    <cellStyle name="Comma 6 5 3 3 2 2 2" xfId="56553" xr:uid="{7B300007-25AD-42F2-91CE-E684FFD6F9ED}"/>
    <cellStyle name="Comma 6 5 3 3 2 3" xfId="41433" xr:uid="{6C51F6E9-AD2A-4AD2-B3A8-3CD6E809D1F4}"/>
    <cellStyle name="Comma 6 5 3 3 3" xfId="17241" xr:uid="{C40FCCB9-268B-4A1A-BF0E-5FE16E333501}"/>
    <cellStyle name="Comma 6 5 3 3 3 2" xfId="47481" xr:uid="{4288251B-A6A8-4655-AEE6-90C60AE600DA}"/>
    <cellStyle name="Comma 6 5 3 3 4" xfId="32361" xr:uid="{F90EB067-DC54-4408-B8CE-26D39CE44122}"/>
    <cellStyle name="Comma 6 5 3 4" xfId="3633" xr:uid="{4BD9C03D-9AEA-4623-ABB5-2FBC647BBAA0}"/>
    <cellStyle name="Comma 6 5 3 4 2" xfId="12705" xr:uid="{279071E0-555D-4B27-9416-30A56A7D762C}"/>
    <cellStyle name="Comma 6 5 3 4 2 2" xfId="27825" xr:uid="{5BB42B1D-F7D3-407C-B6E7-048239B4A9B2}"/>
    <cellStyle name="Comma 6 5 3 4 2 2 2" xfId="58065" xr:uid="{3B3916DC-CF57-4C0C-8644-F8B20ECD6308}"/>
    <cellStyle name="Comma 6 5 3 4 2 3" xfId="42945" xr:uid="{25B243DD-405D-44F2-A0D2-886B5B9ED73E}"/>
    <cellStyle name="Comma 6 5 3 4 3" xfId="18753" xr:uid="{F6018D40-6304-4451-8DB6-B45F0288DB48}"/>
    <cellStyle name="Comma 6 5 3 4 3 2" xfId="48993" xr:uid="{77460D8D-693B-41D6-8112-07CE35AA85EE}"/>
    <cellStyle name="Comma 6 5 3 4 4" xfId="33873" xr:uid="{ED6B2C47-88AF-4E2B-AD4A-424B59786DF7}"/>
    <cellStyle name="Comma 6 5 3 5" xfId="5145" xr:uid="{18B7FC6C-EA8E-4D55-B136-0C0819220A21}"/>
    <cellStyle name="Comma 6 5 3 5 2" xfId="14217" xr:uid="{71C05BDC-77FC-4C4C-8498-B9F7584E3E2D}"/>
    <cellStyle name="Comma 6 5 3 5 2 2" xfId="29337" xr:uid="{DC504153-E7D4-4515-8A02-78BC59838821}"/>
    <cellStyle name="Comma 6 5 3 5 2 2 2" xfId="59577" xr:uid="{F3375AE8-8D5C-4CFE-978F-C8D8CD09F9D2}"/>
    <cellStyle name="Comma 6 5 3 5 2 3" xfId="44457" xr:uid="{1598A253-6F1E-4580-A353-E754895F7F6B}"/>
    <cellStyle name="Comma 6 5 3 5 3" xfId="20265" xr:uid="{A3552D61-F6A0-4745-97F2-D4089B790CBE}"/>
    <cellStyle name="Comma 6 5 3 5 3 2" xfId="50505" xr:uid="{5901AEF6-0F00-4155-8AEC-AF0BCE68CCDC}"/>
    <cellStyle name="Comma 6 5 3 5 4" xfId="35385" xr:uid="{06A597DC-0630-4A44-BB42-66DAC16D97BB}"/>
    <cellStyle name="Comma 6 5 3 6" xfId="6657" xr:uid="{45E46BFD-0B9A-4DFB-B452-2F8E5291258C}"/>
    <cellStyle name="Comma 6 5 3 6 2" xfId="21777" xr:uid="{8ECFE0C7-B343-4249-AAB2-16648186AE87}"/>
    <cellStyle name="Comma 6 5 3 6 2 2" xfId="52017" xr:uid="{62B21763-C2F7-4E23-8BD7-5DBF5923198F}"/>
    <cellStyle name="Comma 6 5 3 6 3" xfId="36897" xr:uid="{72340BED-C3AB-4F81-8A95-F49AFB2806C6}"/>
    <cellStyle name="Comma 6 5 3 7" xfId="8169" xr:uid="{7830287C-4EA9-410D-8267-7E0E9E24BF3F}"/>
    <cellStyle name="Comma 6 5 3 7 2" xfId="23289" xr:uid="{45CF1ED6-ED2B-48A2-A257-0AD0DD1005C2}"/>
    <cellStyle name="Comma 6 5 3 7 2 2" xfId="53529" xr:uid="{E185E67A-9B6E-4A28-A3AE-F9130BD20683}"/>
    <cellStyle name="Comma 6 5 3 7 3" xfId="38409" xr:uid="{7F164CF4-3CB6-492C-AC91-D77B81B9BDAD}"/>
    <cellStyle name="Comma 6 5 3 8" xfId="9681" xr:uid="{2140BFEB-7297-4774-A80E-015B696AB0CB}"/>
    <cellStyle name="Comma 6 5 3 8 2" xfId="24801" xr:uid="{136D2EE0-B0DF-4831-B2A5-0E9BD24DF6E2}"/>
    <cellStyle name="Comma 6 5 3 8 2 2" xfId="55041" xr:uid="{ECF0FF3C-A1D8-42EC-BC7F-C0F545A702BE}"/>
    <cellStyle name="Comma 6 5 3 8 3" xfId="39921" xr:uid="{21639A5D-91ED-479B-A014-67683991A966}"/>
    <cellStyle name="Comma 6 5 3 9" xfId="15729" xr:uid="{0FFA2E6D-FFFF-4561-A8FC-F8B7620D8BEB}"/>
    <cellStyle name="Comma 6 5 3 9 2" xfId="45969" xr:uid="{F60045C9-A460-4F98-BBF3-2F13B80A735B}"/>
    <cellStyle name="Comma 6 5 4" xfId="861" xr:uid="{4BECD8B8-F77A-4EE9-9CD6-253F58E19C40}"/>
    <cellStyle name="Comma 6 5 4 2" xfId="2373" xr:uid="{36B02F7E-1924-4CF2-B478-7239A7BCDFF8}"/>
    <cellStyle name="Comma 6 5 4 2 2" xfId="11445" xr:uid="{6EC9ED29-D51E-4EB9-9862-CBD6B9527EFD}"/>
    <cellStyle name="Comma 6 5 4 2 2 2" xfId="26565" xr:uid="{D8E1A7FB-28EE-4288-942E-B2DAAEACA8A3}"/>
    <cellStyle name="Comma 6 5 4 2 2 2 2" xfId="56805" xr:uid="{022B7B4A-4363-441B-B087-407F6EE9A659}"/>
    <cellStyle name="Comma 6 5 4 2 2 3" xfId="41685" xr:uid="{1458EF6F-7CE3-4239-AB85-5BDE985C1049}"/>
    <cellStyle name="Comma 6 5 4 2 3" xfId="17493" xr:uid="{AADC6F90-97DE-4918-9116-87C183A0B398}"/>
    <cellStyle name="Comma 6 5 4 2 3 2" xfId="47733" xr:uid="{4D726713-628B-4953-B007-52D09F357E1C}"/>
    <cellStyle name="Comma 6 5 4 2 4" xfId="32613" xr:uid="{38BB93BE-5577-4D2F-9018-3EA71D14DB09}"/>
    <cellStyle name="Comma 6 5 4 3" xfId="3885" xr:uid="{72E3C71E-D08A-46E7-9546-9267CCBF7BCA}"/>
    <cellStyle name="Comma 6 5 4 3 2" xfId="12957" xr:uid="{3661C704-7445-4632-A896-3A2E613A0C1E}"/>
    <cellStyle name="Comma 6 5 4 3 2 2" xfId="28077" xr:uid="{6D3841D3-5221-4292-A6A3-AAD78528011E}"/>
    <cellStyle name="Comma 6 5 4 3 2 2 2" xfId="58317" xr:uid="{4653A52B-D923-4581-9024-14C10CA662CB}"/>
    <cellStyle name="Comma 6 5 4 3 2 3" xfId="43197" xr:uid="{0BB00891-8CC8-4E2F-A9CC-5602FEC209F1}"/>
    <cellStyle name="Comma 6 5 4 3 3" xfId="19005" xr:uid="{D12608C1-8C9A-4C9C-8096-76DA57C70CDE}"/>
    <cellStyle name="Comma 6 5 4 3 3 2" xfId="49245" xr:uid="{81D76117-10DB-4E96-A2A7-C47999152E78}"/>
    <cellStyle name="Comma 6 5 4 3 4" xfId="34125" xr:uid="{C0502AC2-2F9B-4A1D-B6A0-9827939B62D0}"/>
    <cellStyle name="Comma 6 5 4 4" xfId="5397" xr:uid="{918BC41C-9C38-419F-AB54-058085BA96DE}"/>
    <cellStyle name="Comma 6 5 4 4 2" xfId="14469" xr:uid="{4D0A4C1E-0AC1-4AD3-B0DD-36DC1744F60D}"/>
    <cellStyle name="Comma 6 5 4 4 2 2" xfId="29589" xr:uid="{1091E132-90A6-4477-B9DA-3726B1CB6497}"/>
    <cellStyle name="Comma 6 5 4 4 2 2 2" xfId="59829" xr:uid="{730B469C-F4BD-43AB-9728-8E625BCE50AB}"/>
    <cellStyle name="Comma 6 5 4 4 2 3" xfId="44709" xr:uid="{35EDAD66-C2B9-4237-AE0A-B18B55121FF2}"/>
    <cellStyle name="Comma 6 5 4 4 3" xfId="20517" xr:uid="{B035F335-369C-455A-96D6-906CD89D2395}"/>
    <cellStyle name="Comma 6 5 4 4 3 2" xfId="50757" xr:uid="{540393A7-9CFA-4540-B105-456ABE4FCCF7}"/>
    <cellStyle name="Comma 6 5 4 4 4" xfId="35637" xr:uid="{12B4FA7C-5BC6-4E17-AFE4-411D23433B43}"/>
    <cellStyle name="Comma 6 5 4 5" xfId="6909" xr:uid="{969BF53B-5841-473B-9F63-D05C1608D083}"/>
    <cellStyle name="Comma 6 5 4 5 2" xfId="22029" xr:uid="{ED649516-DEDF-468F-906B-1F4FAEE0A4A1}"/>
    <cellStyle name="Comma 6 5 4 5 2 2" xfId="52269" xr:uid="{1BFB4671-C45B-44AA-BE93-08D418D39B9C}"/>
    <cellStyle name="Comma 6 5 4 5 3" xfId="37149" xr:uid="{196080E6-03BA-459E-9B07-13AE8CEF6B7A}"/>
    <cellStyle name="Comma 6 5 4 6" xfId="8421" xr:uid="{18F1BC83-A477-4ECA-9DCD-8D71485C0775}"/>
    <cellStyle name="Comma 6 5 4 6 2" xfId="23541" xr:uid="{CBB551E8-5945-43AC-BDB0-63CE57577F53}"/>
    <cellStyle name="Comma 6 5 4 6 2 2" xfId="53781" xr:uid="{E267D52D-2EA3-4F3E-B082-0D28F9D6A515}"/>
    <cellStyle name="Comma 6 5 4 6 3" xfId="38661" xr:uid="{96A3F101-7D2F-4D43-A2B8-FE29C1A6BECE}"/>
    <cellStyle name="Comma 6 5 4 7" xfId="9933" xr:uid="{4F3F3395-306A-42E7-8F4C-7E6BA0A18B6F}"/>
    <cellStyle name="Comma 6 5 4 7 2" xfId="25053" xr:uid="{C1562B1C-2B29-47D3-8F08-C5995B5CAD17}"/>
    <cellStyle name="Comma 6 5 4 7 2 2" xfId="55293" xr:uid="{1652D54A-E0CC-4768-A2EF-BC0180A2C193}"/>
    <cellStyle name="Comma 6 5 4 7 3" xfId="40173" xr:uid="{D2F899C3-7FC8-4505-BEF0-F490EE0187E4}"/>
    <cellStyle name="Comma 6 5 4 8" xfId="15981" xr:uid="{15DB96D0-06BA-44E6-919F-A44BFD4D0386}"/>
    <cellStyle name="Comma 6 5 4 8 2" xfId="46221" xr:uid="{521E8F60-552C-49CD-92F5-5680D7645219}"/>
    <cellStyle name="Comma 6 5 4 9" xfId="31101" xr:uid="{36018FA1-FEAB-4853-879B-2C1BD42BCF8B}"/>
    <cellStyle name="Comma 6 5 5" xfId="1617" xr:uid="{3937C64F-CCAE-437D-9168-C557E2F0384A}"/>
    <cellStyle name="Comma 6 5 5 2" xfId="10689" xr:uid="{D3BA75D6-1848-45D0-B15A-72EBF755878B}"/>
    <cellStyle name="Comma 6 5 5 2 2" xfId="25809" xr:uid="{B45F02D3-85B3-4C44-9770-2172F4A839F3}"/>
    <cellStyle name="Comma 6 5 5 2 2 2" xfId="56049" xr:uid="{EEF79632-CEBE-4FA6-852D-303DCCC99834}"/>
    <cellStyle name="Comma 6 5 5 2 3" xfId="40929" xr:uid="{BFF12E85-D3C1-4B67-9584-C4EBA53E61F8}"/>
    <cellStyle name="Comma 6 5 5 3" xfId="16737" xr:uid="{D6306745-A252-45D4-8895-B5858753EB84}"/>
    <cellStyle name="Comma 6 5 5 3 2" xfId="46977" xr:uid="{6A8336E5-026F-4993-A9D4-861E66B6A807}"/>
    <cellStyle name="Comma 6 5 5 4" xfId="31857" xr:uid="{0833B309-7444-420B-8269-8DE3B965243A}"/>
    <cellStyle name="Comma 6 5 6" xfId="3129" xr:uid="{545712E9-FC51-4AD1-B076-175A54D61E78}"/>
    <cellStyle name="Comma 6 5 6 2" xfId="12201" xr:uid="{B47DFAC9-C63D-4BB7-9858-08C8B3F3209F}"/>
    <cellStyle name="Comma 6 5 6 2 2" xfId="27321" xr:uid="{9E31DA62-4021-4CF5-AF00-934F2FE71CE0}"/>
    <cellStyle name="Comma 6 5 6 2 2 2" xfId="57561" xr:uid="{05CD0929-B350-4536-A40D-862DE11A0C5B}"/>
    <cellStyle name="Comma 6 5 6 2 3" xfId="42441" xr:uid="{B6742C24-458E-4817-983B-4F0BBE8BE1C6}"/>
    <cellStyle name="Comma 6 5 6 3" xfId="18249" xr:uid="{32A7F811-6E59-4BB0-BA46-6F130533FC45}"/>
    <cellStyle name="Comma 6 5 6 3 2" xfId="48489" xr:uid="{2283E67F-4EF9-45DC-90C9-378570CE840E}"/>
    <cellStyle name="Comma 6 5 6 4" xfId="33369" xr:uid="{105EB89A-9511-4E64-B952-C3AC52CDCCEA}"/>
    <cellStyle name="Comma 6 5 7" xfId="4641" xr:uid="{57E3774B-9282-440F-B119-7A70FDC5C184}"/>
    <cellStyle name="Comma 6 5 7 2" xfId="13713" xr:uid="{DDA3D0D1-801B-42C4-9FA6-6E790214E5BB}"/>
    <cellStyle name="Comma 6 5 7 2 2" xfId="28833" xr:uid="{7360B346-C995-4EFF-A35C-597986E3E11E}"/>
    <cellStyle name="Comma 6 5 7 2 2 2" xfId="59073" xr:uid="{1CA643BA-89AD-4F4F-A14A-986342E25A84}"/>
    <cellStyle name="Comma 6 5 7 2 3" xfId="43953" xr:uid="{57B91EC5-D0A6-41E3-9641-C70D87AF88F7}"/>
    <cellStyle name="Comma 6 5 7 3" xfId="19761" xr:uid="{4D352589-2C6A-4F44-BFD7-C7872DE970C0}"/>
    <cellStyle name="Comma 6 5 7 3 2" xfId="50001" xr:uid="{E07EC64C-EC67-420F-BED5-4A0A9F837B96}"/>
    <cellStyle name="Comma 6 5 7 4" xfId="34881" xr:uid="{ACDA0BFC-BE3C-48A3-85F5-EEC13D1192BE}"/>
    <cellStyle name="Comma 6 5 8" xfId="6153" xr:uid="{0ECDEAC9-1369-474B-8204-5183E0ADFEDB}"/>
    <cellStyle name="Comma 6 5 8 2" xfId="21273" xr:uid="{BA02A17C-B544-4CC0-B742-C6CF3D06EAD5}"/>
    <cellStyle name="Comma 6 5 8 2 2" xfId="51513" xr:uid="{583420B5-06B5-4F35-A913-D87FD05245F7}"/>
    <cellStyle name="Comma 6 5 8 3" xfId="36393" xr:uid="{0E4A941B-F153-4C4E-AA25-4EAFAD3490A9}"/>
    <cellStyle name="Comma 6 5 9" xfId="7665" xr:uid="{33135256-CCA9-4369-8024-4F332D22B50D}"/>
    <cellStyle name="Comma 6 5 9 2" xfId="22785" xr:uid="{13A1536B-2960-462F-8F28-3CF4AC5221AE}"/>
    <cellStyle name="Comma 6 5 9 2 2" xfId="53025" xr:uid="{1D8EF637-7749-48C6-AC24-96D981C5B121}"/>
    <cellStyle name="Comma 6 5 9 3" xfId="37905" xr:uid="{23A4C194-EF4B-466E-BEC5-94F5960112F0}"/>
    <cellStyle name="Comma 6 6" xfId="189" xr:uid="{29CE4FB7-5A21-4F60-B572-F489F43D76CA}"/>
    <cellStyle name="Comma 6 6 10" xfId="9261" xr:uid="{4AA69ADF-7A1A-4F21-880F-F8E3E59EAF3C}"/>
    <cellStyle name="Comma 6 6 10 2" xfId="24381" xr:uid="{46C22C72-67B6-4AB7-B6BC-45D18CCBE4CF}"/>
    <cellStyle name="Comma 6 6 10 2 2" xfId="54621" xr:uid="{421C0823-BE13-48DF-929F-FDA1114EA623}"/>
    <cellStyle name="Comma 6 6 10 3" xfId="39501" xr:uid="{E3BB822D-CBE7-4C53-9185-F43E292102FC}"/>
    <cellStyle name="Comma 6 6 11" xfId="15309" xr:uid="{4DEB5EEE-CF12-4942-8B9B-23497D9552EC}"/>
    <cellStyle name="Comma 6 6 11 2" xfId="45549" xr:uid="{E68F2BC4-5EBA-4C77-8B13-3A858373AABF}"/>
    <cellStyle name="Comma 6 6 12" xfId="30429" xr:uid="{D397DF66-E3C1-4F82-8991-5AE83D56AD29}"/>
    <cellStyle name="Comma 6 6 2" xfId="441" xr:uid="{EFE47A44-D7E6-4621-81F0-C070CEED3DED}"/>
    <cellStyle name="Comma 6 6 2 10" xfId="30681" xr:uid="{7CF0BF98-BC62-4996-B972-C44B4D19A551}"/>
    <cellStyle name="Comma 6 6 2 2" xfId="1197" xr:uid="{CFAD55C0-D60C-4404-B589-AB449E38A1A5}"/>
    <cellStyle name="Comma 6 6 2 2 2" xfId="2709" xr:uid="{BD815A13-6AE0-4A78-BA8B-6A297AE46C58}"/>
    <cellStyle name="Comma 6 6 2 2 2 2" xfId="11781" xr:uid="{973068E2-34D6-42AD-9D89-16BCD307A825}"/>
    <cellStyle name="Comma 6 6 2 2 2 2 2" xfId="26901" xr:uid="{5D82905A-4F6E-474C-940B-B5A659673D02}"/>
    <cellStyle name="Comma 6 6 2 2 2 2 2 2" xfId="57141" xr:uid="{1959CA38-C6E5-499C-8E48-12F8F827BA08}"/>
    <cellStyle name="Comma 6 6 2 2 2 2 3" xfId="42021" xr:uid="{E95F3A88-B9E0-4034-A5E8-56DD9F592BA5}"/>
    <cellStyle name="Comma 6 6 2 2 2 3" xfId="17829" xr:uid="{F869C57C-CD8F-4F42-97F9-6E0F7BDE9526}"/>
    <cellStyle name="Comma 6 6 2 2 2 3 2" xfId="48069" xr:uid="{162ACD88-766E-4BCA-9B8A-C9A1D72F2272}"/>
    <cellStyle name="Comma 6 6 2 2 2 4" xfId="32949" xr:uid="{31D06BD2-3BF4-4AFA-B0D9-3C558269B2B1}"/>
    <cellStyle name="Comma 6 6 2 2 3" xfId="4221" xr:uid="{22BF3EBE-F76E-46B2-ABBB-E38B7F893102}"/>
    <cellStyle name="Comma 6 6 2 2 3 2" xfId="13293" xr:uid="{B82DE8CB-0D61-4E7D-9A27-E69C8EE39952}"/>
    <cellStyle name="Comma 6 6 2 2 3 2 2" xfId="28413" xr:uid="{E894ED75-8EDA-44C2-B467-298349F7D010}"/>
    <cellStyle name="Comma 6 6 2 2 3 2 2 2" xfId="58653" xr:uid="{14D1C886-88E8-4CFE-93C1-56593565DF52}"/>
    <cellStyle name="Comma 6 6 2 2 3 2 3" xfId="43533" xr:uid="{4056D9F9-EBFD-4716-9E9D-763CB51A66DD}"/>
    <cellStyle name="Comma 6 6 2 2 3 3" xfId="19341" xr:uid="{3B760C81-52C1-470A-92E8-0624AE9E1173}"/>
    <cellStyle name="Comma 6 6 2 2 3 3 2" xfId="49581" xr:uid="{4B2B9058-5BE0-42E2-A42D-26223626B241}"/>
    <cellStyle name="Comma 6 6 2 2 3 4" xfId="34461" xr:uid="{EADC50F2-AEB7-4FAD-86C8-BFFD6D36AE6A}"/>
    <cellStyle name="Comma 6 6 2 2 4" xfId="5733" xr:uid="{613278FD-24BD-4F63-BFCB-BC0C0515E0A3}"/>
    <cellStyle name="Comma 6 6 2 2 4 2" xfId="14805" xr:uid="{C3096D82-9F16-4753-A34A-6BC96422FB67}"/>
    <cellStyle name="Comma 6 6 2 2 4 2 2" xfId="29925" xr:uid="{B9CA9277-1F79-461A-8FE4-C79B8D263FE2}"/>
    <cellStyle name="Comma 6 6 2 2 4 2 2 2" xfId="60165" xr:uid="{25BEBEEA-5664-47F4-B5FC-D16E86A94201}"/>
    <cellStyle name="Comma 6 6 2 2 4 2 3" xfId="45045" xr:uid="{FD9A9689-8392-4E87-B9F1-89824DC5664F}"/>
    <cellStyle name="Comma 6 6 2 2 4 3" xfId="20853" xr:uid="{F1994B9F-653C-4ECB-95F9-C47A31717A1A}"/>
    <cellStyle name="Comma 6 6 2 2 4 3 2" xfId="51093" xr:uid="{CB47B793-4AAF-4E4D-9AA3-3975518C1CB1}"/>
    <cellStyle name="Comma 6 6 2 2 4 4" xfId="35973" xr:uid="{76650AF8-43D7-4284-8090-F1749C9DF088}"/>
    <cellStyle name="Comma 6 6 2 2 5" xfId="7245" xr:uid="{080F7940-72D5-48C8-8076-F1DAB904A88B}"/>
    <cellStyle name="Comma 6 6 2 2 5 2" xfId="22365" xr:uid="{F3BD7A57-046F-4F1E-A65A-3C6EC63F3597}"/>
    <cellStyle name="Comma 6 6 2 2 5 2 2" xfId="52605" xr:uid="{50EBD985-F0B2-422D-B8B9-A1693CE95B77}"/>
    <cellStyle name="Comma 6 6 2 2 5 3" xfId="37485" xr:uid="{08D82D83-AC5A-4916-B52A-C6B949719C4E}"/>
    <cellStyle name="Comma 6 6 2 2 6" xfId="8757" xr:uid="{BCBA8745-A48E-4AD4-AFDB-DF702106B473}"/>
    <cellStyle name="Comma 6 6 2 2 6 2" xfId="23877" xr:uid="{EC61E0B6-43F5-4231-802A-D6229B539915}"/>
    <cellStyle name="Comma 6 6 2 2 6 2 2" xfId="54117" xr:uid="{161C0E22-E517-4D93-BF62-2CB42590A109}"/>
    <cellStyle name="Comma 6 6 2 2 6 3" xfId="38997" xr:uid="{4678D156-84CC-4188-9DCD-02D406C49600}"/>
    <cellStyle name="Comma 6 6 2 2 7" xfId="10269" xr:uid="{826492F3-1AC0-4E6A-914E-716CC5B361FD}"/>
    <cellStyle name="Comma 6 6 2 2 7 2" xfId="25389" xr:uid="{A8927B6F-90B6-4A14-B93D-2FCB34106138}"/>
    <cellStyle name="Comma 6 6 2 2 7 2 2" xfId="55629" xr:uid="{5E19735F-B710-44CF-B1AD-3210B7A1E6CA}"/>
    <cellStyle name="Comma 6 6 2 2 7 3" xfId="40509" xr:uid="{9B3C1B36-B365-4D2D-A669-0AC0339E5736}"/>
    <cellStyle name="Comma 6 6 2 2 8" xfId="16317" xr:uid="{BF7F73CA-E12F-41AB-95FF-27247A1AB12A}"/>
    <cellStyle name="Comma 6 6 2 2 8 2" xfId="46557" xr:uid="{4C89EF13-EF43-44F2-B19B-ED6D86249B37}"/>
    <cellStyle name="Comma 6 6 2 2 9" xfId="31437" xr:uid="{34104087-6132-4423-A77F-715A9A2C5380}"/>
    <cellStyle name="Comma 6 6 2 3" xfId="1953" xr:uid="{700D50DF-1178-4AB2-AC06-B004ADB1CA3A}"/>
    <cellStyle name="Comma 6 6 2 3 2" xfId="11025" xr:uid="{8E3509A4-1004-48A7-B084-BD6365EA4FEC}"/>
    <cellStyle name="Comma 6 6 2 3 2 2" xfId="26145" xr:uid="{2BF98383-EF43-42CD-835D-134AA57A66F5}"/>
    <cellStyle name="Comma 6 6 2 3 2 2 2" xfId="56385" xr:uid="{61E49EB0-3346-41CE-9169-3CDEAD1DD39F}"/>
    <cellStyle name="Comma 6 6 2 3 2 3" xfId="41265" xr:uid="{AAE4D262-98AC-455B-B4A4-4B9F2C8E8AC3}"/>
    <cellStyle name="Comma 6 6 2 3 3" xfId="17073" xr:uid="{6FCE1343-47B0-4C14-8D7A-3CBBFBF5ED31}"/>
    <cellStyle name="Comma 6 6 2 3 3 2" xfId="47313" xr:uid="{4A63DDBD-B2BC-483A-996C-B983FBD23C53}"/>
    <cellStyle name="Comma 6 6 2 3 4" xfId="32193" xr:uid="{C2350A42-B1A1-46A4-9172-9D5DD6B39316}"/>
    <cellStyle name="Comma 6 6 2 4" xfId="3465" xr:uid="{E91C9905-A019-4F26-BEE9-1938665A5215}"/>
    <cellStyle name="Comma 6 6 2 4 2" xfId="12537" xr:uid="{2E68F68C-98A4-46E7-9C0F-BD21501A8203}"/>
    <cellStyle name="Comma 6 6 2 4 2 2" xfId="27657" xr:uid="{7E8012C1-4708-4DEF-A307-F4D7CF8C38F6}"/>
    <cellStyle name="Comma 6 6 2 4 2 2 2" xfId="57897" xr:uid="{BD89B70B-D419-4089-9F9B-FC26E3288F96}"/>
    <cellStyle name="Comma 6 6 2 4 2 3" xfId="42777" xr:uid="{8496B50D-3E2B-480C-B9E3-57BACF8D31CC}"/>
    <cellStyle name="Comma 6 6 2 4 3" xfId="18585" xr:uid="{37522B59-5717-4DE0-A1B1-0B250FD781DF}"/>
    <cellStyle name="Comma 6 6 2 4 3 2" xfId="48825" xr:uid="{28FFB058-367E-4689-B99A-19FC061AFF78}"/>
    <cellStyle name="Comma 6 6 2 4 4" xfId="33705" xr:uid="{581A9786-341B-4249-910E-2E5E679E76FA}"/>
    <cellStyle name="Comma 6 6 2 5" xfId="4977" xr:uid="{3F195A04-DC11-41C7-B971-75A7C4596C90}"/>
    <cellStyle name="Comma 6 6 2 5 2" xfId="14049" xr:uid="{98403D79-6E46-4972-AA56-81811B89F822}"/>
    <cellStyle name="Comma 6 6 2 5 2 2" xfId="29169" xr:uid="{FFD08FE8-0555-46B0-B725-9F16289BA6F9}"/>
    <cellStyle name="Comma 6 6 2 5 2 2 2" xfId="59409" xr:uid="{5712BF69-22B3-4FF2-8885-7AFE2CBB0B1E}"/>
    <cellStyle name="Comma 6 6 2 5 2 3" xfId="44289" xr:uid="{C2B95594-2958-4EAB-BC7B-BB30E61DE606}"/>
    <cellStyle name="Comma 6 6 2 5 3" xfId="20097" xr:uid="{91309851-31B8-4716-A424-113606AE13BB}"/>
    <cellStyle name="Comma 6 6 2 5 3 2" xfId="50337" xr:uid="{BAB45FFF-36C0-43BC-91E2-D5492A0A7FAC}"/>
    <cellStyle name="Comma 6 6 2 5 4" xfId="35217" xr:uid="{1726BA73-F787-424D-8399-989D0C2569A9}"/>
    <cellStyle name="Comma 6 6 2 6" xfId="6489" xr:uid="{E8EB0665-B245-48C8-880F-BB5BBD5AF61E}"/>
    <cellStyle name="Comma 6 6 2 6 2" xfId="21609" xr:uid="{1C567B36-751F-4939-B433-694100B524B7}"/>
    <cellStyle name="Comma 6 6 2 6 2 2" xfId="51849" xr:uid="{ACA0DA30-72B1-4288-B437-4BC87E271B2B}"/>
    <cellStyle name="Comma 6 6 2 6 3" xfId="36729" xr:uid="{86D77C49-5D42-4C6E-AD1B-9A6637E1A831}"/>
    <cellStyle name="Comma 6 6 2 7" xfId="8001" xr:uid="{B4A36DE5-3ED3-4488-98BB-9D19F553D4E6}"/>
    <cellStyle name="Comma 6 6 2 7 2" xfId="23121" xr:uid="{8D66995F-E050-4EE3-8618-0D6FF7FA38F1}"/>
    <cellStyle name="Comma 6 6 2 7 2 2" xfId="53361" xr:uid="{B8524F36-B90E-4110-9745-BC4DB6104685}"/>
    <cellStyle name="Comma 6 6 2 7 3" xfId="38241" xr:uid="{1EE8EB99-FD73-4D7D-B2AA-73E9F4A427F9}"/>
    <cellStyle name="Comma 6 6 2 8" xfId="9513" xr:uid="{C03DE99C-6140-44A6-AAD2-0707C145B1B4}"/>
    <cellStyle name="Comma 6 6 2 8 2" xfId="24633" xr:uid="{5939452A-D3E7-4435-A1F9-047286EC5C97}"/>
    <cellStyle name="Comma 6 6 2 8 2 2" xfId="54873" xr:uid="{1D75AF40-2532-4D6C-850D-201DB7BCF985}"/>
    <cellStyle name="Comma 6 6 2 8 3" xfId="39753" xr:uid="{A51B8ACA-90E3-46ED-A09E-988DE51F2E61}"/>
    <cellStyle name="Comma 6 6 2 9" xfId="15561" xr:uid="{3DBBFB9A-878E-4E5E-9746-20BFB21CD534}"/>
    <cellStyle name="Comma 6 6 2 9 2" xfId="45801" xr:uid="{55FB0B82-7007-4464-9539-CA846A86D4DA}"/>
    <cellStyle name="Comma 6 6 3" xfId="693" xr:uid="{FBAA87FF-C73E-4032-8F4D-1C0A1DF4ED4B}"/>
    <cellStyle name="Comma 6 6 3 10" xfId="30933" xr:uid="{5BAD219C-EF56-48EE-9A67-A17DDBF14FAF}"/>
    <cellStyle name="Comma 6 6 3 2" xfId="1449" xr:uid="{11F74BF3-10A5-41B0-BFA1-41485F3C709D}"/>
    <cellStyle name="Comma 6 6 3 2 2" xfId="2961" xr:uid="{C8114F3A-55D1-4D61-A763-F9FA8F2C7A4E}"/>
    <cellStyle name="Comma 6 6 3 2 2 2" xfId="12033" xr:uid="{D9626E8F-9D38-49F0-9987-35B2D418CD2D}"/>
    <cellStyle name="Comma 6 6 3 2 2 2 2" xfId="27153" xr:uid="{F2D46D74-8C3D-4F26-A49D-12FCBED15832}"/>
    <cellStyle name="Comma 6 6 3 2 2 2 2 2" xfId="57393" xr:uid="{8B4A650E-3454-4F04-8EDD-7258DA6F901C}"/>
    <cellStyle name="Comma 6 6 3 2 2 2 3" xfId="42273" xr:uid="{FE82835C-1ACE-4C55-A72E-C03697645152}"/>
    <cellStyle name="Comma 6 6 3 2 2 3" xfId="18081" xr:uid="{BEF3ED16-960E-4832-8C0C-CC89DB308480}"/>
    <cellStyle name="Comma 6 6 3 2 2 3 2" xfId="48321" xr:uid="{5334097C-A2B5-4434-982D-442E667A2050}"/>
    <cellStyle name="Comma 6 6 3 2 2 4" xfId="33201" xr:uid="{725A4298-4303-4CAF-A9FF-C0279C9E3EE0}"/>
    <cellStyle name="Comma 6 6 3 2 3" xfId="4473" xr:uid="{80D0F8E8-8D2E-4C6C-A0CD-F309F82C259E}"/>
    <cellStyle name="Comma 6 6 3 2 3 2" xfId="13545" xr:uid="{DFFACE86-EA0E-40DF-A5DB-68FBF16995F9}"/>
    <cellStyle name="Comma 6 6 3 2 3 2 2" xfId="28665" xr:uid="{BF9BC446-7560-47BB-B5F3-8AF39EF34CBE}"/>
    <cellStyle name="Comma 6 6 3 2 3 2 2 2" xfId="58905" xr:uid="{271AC77D-39EE-4232-968C-59ED48C27713}"/>
    <cellStyle name="Comma 6 6 3 2 3 2 3" xfId="43785" xr:uid="{1D73506F-09BA-4D72-A620-E0F3E3099030}"/>
    <cellStyle name="Comma 6 6 3 2 3 3" xfId="19593" xr:uid="{18CDAB79-AF27-4D99-AD36-CB2444A405F9}"/>
    <cellStyle name="Comma 6 6 3 2 3 3 2" xfId="49833" xr:uid="{5265F635-82DC-49A6-9D7E-3C9D90ECF8AE}"/>
    <cellStyle name="Comma 6 6 3 2 3 4" xfId="34713" xr:uid="{DC74739A-0E7E-4703-8664-49FE52534CF9}"/>
    <cellStyle name="Comma 6 6 3 2 4" xfId="5985" xr:uid="{8E5666E0-7FD2-465F-A99B-A2F2BE49355F}"/>
    <cellStyle name="Comma 6 6 3 2 4 2" xfId="15057" xr:uid="{C164BD04-ADF3-41BE-82FB-878ECAE6841B}"/>
    <cellStyle name="Comma 6 6 3 2 4 2 2" xfId="30177" xr:uid="{D6623424-36DD-4AC2-BC0D-885435AE6B2D}"/>
    <cellStyle name="Comma 6 6 3 2 4 2 2 2" xfId="60417" xr:uid="{46E6CB80-44D2-4BFF-93B8-B466B425B0BB}"/>
    <cellStyle name="Comma 6 6 3 2 4 2 3" xfId="45297" xr:uid="{859DA69D-111C-4EE8-8146-A8B7DF15B5FD}"/>
    <cellStyle name="Comma 6 6 3 2 4 3" xfId="21105" xr:uid="{DAA6CEFC-BACD-45CF-BA51-B372F99FCC28}"/>
    <cellStyle name="Comma 6 6 3 2 4 3 2" xfId="51345" xr:uid="{96B0926C-5031-47B1-90E4-1414FE1F59BC}"/>
    <cellStyle name="Comma 6 6 3 2 4 4" xfId="36225" xr:uid="{68A12372-A7F4-4772-AA45-5F0781E35583}"/>
    <cellStyle name="Comma 6 6 3 2 5" xfId="7497" xr:uid="{BDFD8250-DA68-4EF3-960E-DB02126EC7C7}"/>
    <cellStyle name="Comma 6 6 3 2 5 2" xfId="22617" xr:uid="{1A3FEEB5-D809-4B18-B241-1761CF15BC2F}"/>
    <cellStyle name="Comma 6 6 3 2 5 2 2" xfId="52857" xr:uid="{D30AE07A-56E3-4C1F-A5FC-F70484B3D090}"/>
    <cellStyle name="Comma 6 6 3 2 5 3" xfId="37737" xr:uid="{B81396AF-C363-404C-A390-2F645FCC95A4}"/>
    <cellStyle name="Comma 6 6 3 2 6" xfId="9009" xr:uid="{AE7BDCE9-510A-46FA-A378-04805D15CF39}"/>
    <cellStyle name="Comma 6 6 3 2 6 2" xfId="24129" xr:uid="{EA78B279-197A-43E1-AB48-D5A3180D601D}"/>
    <cellStyle name="Comma 6 6 3 2 6 2 2" xfId="54369" xr:uid="{D388A29B-FA85-4372-9D5D-F43EA8124997}"/>
    <cellStyle name="Comma 6 6 3 2 6 3" xfId="39249" xr:uid="{A903D2EF-FD27-47C5-A295-717E06CA4053}"/>
    <cellStyle name="Comma 6 6 3 2 7" xfId="10521" xr:uid="{E013372C-52B0-4387-A131-E1A140526220}"/>
    <cellStyle name="Comma 6 6 3 2 7 2" xfId="25641" xr:uid="{F6DD7276-5211-4F2D-8C4F-8438F55CA9F4}"/>
    <cellStyle name="Comma 6 6 3 2 7 2 2" xfId="55881" xr:uid="{8930F764-2A95-4FDD-897F-44FE1C301C68}"/>
    <cellStyle name="Comma 6 6 3 2 7 3" xfId="40761" xr:uid="{602B3054-C345-460D-B5C4-920C6EB90B25}"/>
    <cellStyle name="Comma 6 6 3 2 8" xfId="16569" xr:uid="{0A8FB047-D7CF-4B29-A318-83733B3F79B4}"/>
    <cellStyle name="Comma 6 6 3 2 8 2" xfId="46809" xr:uid="{693C2891-F379-4F7E-BE1F-0C600E0BBACB}"/>
    <cellStyle name="Comma 6 6 3 2 9" xfId="31689" xr:uid="{CD61D5EA-8B8E-4E6B-A25A-57E2FE62062F}"/>
    <cellStyle name="Comma 6 6 3 3" xfId="2205" xr:uid="{E1E8B286-BBFC-4BD5-A03D-7B503B0C9B7C}"/>
    <cellStyle name="Comma 6 6 3 3 2" xfId="11277" xr:uid="{F1EE3700-9F4A-4E5F-8FFD-103DC2DE3CE6}"/>
    <cellStyle name="Comma 6 6 3 3 2 2" xfId="26397" xr:uid="{518A8F12-56B8-4D9A-8F02-238553BE3B26}"/>
    <cellStyle name="Comma 6 6 3 3 2 2 2" xfId="56637" xr:uid="{156297CA-8F89-4583-8DA5-C83D4649CE2F}"/>
    <cellStyle name="Comma 6 6 3 3 2 3" xfId="41517" xr:uid="{80596181-5526-4222-9BF6-7A8B012596B1}"/>
    <cellStyle name="Comma 6 6 3 3 3" xfId="17325" xr:uid="{7493E6C7-AC05-4661-BCEC-FBBB94951EB3}"/>
    <cellStyle name="Comma 6 6 3 3 3 2" xfId="47565" xr:uid="{7DD76B1B-EEB3-45B6-9474-37C17E987CD8}"/>
    <cellStyle name="Comma 6 6 3 3 4" xfId="32445" xr:uid="{A3D31884-0D9D-4DC2-AE49-FD59E8F42F28}"/>
    <cellStyle name="Comma 6 6 3 4" xfId="3717" xr:uid="{4F39E48E-7B2C-42BD-B69A-66EE8DB9192B}"/>
    <cellStyle name="Comma 6 6 3 4 2" xfId="12789" xr:uid="{F8A9C315-B23D-46C8-8CBF-749223B39DA1}"/>
    <cellStyle name="Comma 6 6 3 4 2 2" xfId="27909" xr:uid="{06AFC299-CC34-4D89-B480-04F25F852A1F}"/>
    <cellStyle name="Comma 6 6 3 4 2 2 2" xfId="58149" xr:uid="{F5EC0DFB-D252-46A1-9CDC-5F783EBF239F}"/>
    <cellStyle name="Comma 6 6 3 4 2 3" xfId="43029" xr:uid="{CAE3F5C5-8084-4B8B-BE72-2E0068C8583E}"/>
    <cellStyle name="Comma 6 6 3 4 3" xfId="18837" xr:uid="{923C8D7A-864C-4A6F-97CE-CA74496EA128}"/>
    <cellStyle name="Comma 6 6 3 4 3 2" xfId="49077" xr:uid="{F2408663-1737-4E09-B404-80268BBC7DDF}"/>
    <cellStyle name="Comma 6 6 3 4 4" xfId="33957" xr:uid="{32ED22D2-EE82-4C8D-A234-A5A25E193E6F}"/>
    <cellStyle name="Comma 6 6 3 5" xfId="5229" xr:uid="{D443D9EA-4438-4CE5-A8DA-93A6D05936DF}"/>
    <cellStyle name="Comma 6 6 3 5 2" xfId="14301" xr:uid="{F28DD072-148E-4FC3-8DD4-D0AA9390BC5B}"/>
    <cellStyle name="Comma 6 6 3 5 2 2" xfId="29421" xr:uid="{A2597FF6-1F55-4F6F-AE52-0EE6A5D8555C}"/>
    <cellStyle name="Comma 6 6 3 5 2 2 2" xfId="59661" xr:uid="{0CF9AD89-336C-4444-B11F-DE77B2923EDA}"/>
    <cellStyle name="Comma 6 6 3 5 2 3" xfId="44541" xr:uid="{9EDD15F9-9190-42D4-B405-7BCCCFBB2AC7}"/>
    <cellStyle name="Comma 6 6 3 5 3" xfId="20349" xr:uid="{22AAA309-5A6E-4629-80C8-52871467D7B5}"/>
    <cellStyle name="Comma 6 6 3 5 3 2" xfId="50589" xr:uid="{D93B6443-31C1-4A94-BE49-378D74797BEA}"/>
    <cellStyle name="Comma 6 6 3 5 4" xfId="35469" xr:uid="{E1F5F585-3701-48DA-9052-79653A8F4D6C}"/>
    <cellStyle name="Comma 6 6 3 6" xfId="6741" xr:uid="{2050B889-135D-4A67-9640-5356D8B29E73}"/>
    <cellStyle name="Comma 6 6 3 6 2" xfId="21861" xr:uid="{306328BD-FC43-4216-B169-601FAC1CD0EA}"/>
    <cellStyle name="Comma 6 6 3 6 2 2" xfId="52101" xr:uid="{31AFBE33-E4F5-4A38-9640-5BE88CD593CC}"/>
    <cellStyle name="Comma 6 6 3 6 3" xfId="36981" xr:uid="{4E93532F-5047-4A16-9C3B-B0AECDA331C6}"/>
    <cellStyle name="Comma 6 6 3 7" xfId="8253" xr:uid="{789EFBEA-F327-4636-AA70-D08D43D86B11}"/>
    <cellStyle name="Comma 6 6 3 7 2" xfId="23373" xr:uid="{3C2B46CC-36E3-4CCC-981D-82C03660C935}"/>
    <cellStyle name="Comma 6 6 3 7 2 2" xfId="53613" xr:uid="{E5663F4E-ABC8-4957-9174-817C055F4ECA}"/>
    <cellStyle name="Comma 6 6 3 7 3" xfId="38493" xr:uid="{80098981-C9D1-429F-BD53-09C4E76C75A1}"/>
    <cellStyle name="Comma 6 6 3 8" xfId="9765" xr:uid="{CCDE5B30-3C65-46C5-9F35-425B2F01942A}"/>
    <cellStyle name="Comma 6 6 3 8 2" xfId="24885" xr:uid="{1255400C-1518-4C95-9EF0-7B4A1A41FC39}"/>
    <cellStyle name="Comma 6 6 3 8 2 2" xfId="55125" xr:uid="{92CDD0A8-687E-418E-A514-05DEDCCD3EF0}"/>
    <cellStyle name="Comma 6 6 3 8 3" xfId="40005" xr:uid="{AA87BF4C-98F1-4983-B7BE-E5DF821BDC0E}"/>
    <cellStyle name="Comma 6 6 3 9" xfId="15813" xr:uid="{1404A746-B1BF-412F-A73C-53559F1A2D43}"/>
    <cellStyle name="Comma 6 6 3 9 2" xfId="46053" xr:uid="{D4C92213-7BC9-438F-9923-6AFBF408EAF3}"/>
    <cellStyle name="Comma 6 6 4" xfId="945" xr:uid="{2472EE34-DDC8-4726-A87C-C1CC373AADF2}"/>
    <cellStyle name="Comma 6 6 4 2" xfId="2457" xr:uid="{2B963BC2-9201-4F41-B619-3F43C111C53B}"/>
    <cellStyle name="Comma 6 6 4 2 2" xfId="11529" xr:uid="{336E43BF-F245-4575-8AB2-E0A81F1B7DF9}"/>
    <cellStyle name="Comma 6 6 4 2 2 2" xfId="26649" xr:uid="{E5010E8B-AF62-4F7B-82C1-6F7FB5F10DFB}"/>
    <cellStyle name="Comma 6 6 4 2 2 2 2" xfId="56889" xr:uid="{6C43699D-6720-460D-A08D-B8FAE38DCE3A}"/>
    <cellStyle name="Comma 6 6 4 2 2 3" xfId="41769" xr:uid="{463CEBDD-B0B7-4AFA-8D00-1BD31A758F7B}"/>
    <cellStyle name="Comma 6 6 4 2 3" xfId="17577" xr:uid="{D8643803-7E89-4A62-BE76-655308FBAEE7}"/>
    <cellStyle name="Comma 6 6 4 2 3 2" xfId="47817" xr:uid="{F856EC45-A499-4D2D-BF8D-CD6DE4AEE8DF}"/>
    <cellStyle name="Comma 6 6 4 2 4" xfId="32697" xr:uid="{BAAA36DB-5CBF-4BED-BB0F-8C871C522395}"/>
    <cellStyle name="Comma 6 6 4 3" xfId="3969" xr:uid="{D45C63CF-F7E5-4648-AAA1-7E0BB46DCE74}"/>
    <cellStyle name="Comma 6 6 4 3 2" xfId="13041" xr:uid="{885BFA1D-180E-492F-BDBE-25D8D1ACB680}"/>
    <cellStyle name="Comma 6 6 4 3 2 2" xfId="28161" xr:uid="{1F49C99D-9A29-45C8-A42D-B7F91080CCAD}"/>
    <cellStyle name="Comma 6 6 4 3 2 2 2" xfId="58401" xr:uid="{0AF7C402-3E6B-49FE-8789-F4E0F49E6535}"/>
    <cellStyle name="Comma 6 6 4 3 2 3" xfId="43281" xr:uid="{D917FCCC-BA85-40FD-B3F0-F46F2487F07D}"/>
    <cellStyle name="Comma 6 6 4 3 3" xfId="19089" xr:uid="{705A4D69-9D32-4064-8A31-AB23FDFBCF13}"/>
    <cellStyle name="Comma 6 6 4 3 3 2" xfId="49329" xr:uid="{36DFD11F-9BA6-48F0-9E35-905CD048EFF3}"/>
    <cellStyle name="Comma 6 6 4 3 4" xfId="34209" xr:uid="{CCD88214-7E25-43B5-BA94-1C990404776B}"/>
    <cellStyle name="Comma 6 6 4 4" xfId="5481" xr:uid="{8AED5513-9761-479E-9B62-C56BFBEACE3D}"/>
    <cellStyle name="Comma 6 6 4 4 2" xfId="14553" xr:uid="{1F6A4569-8D3A-4F0F-8BB3-D7070F118982}"/>
    <cellStyle name="Comma 6 6 4 4 2 2" xfId="29673" xr:uid="{C7C52BF4-BC21-4E4A-BBD7-E33681A494A7}"/>
    <cellStyle name="Comma 6 6 4 4 2 2 2" xfId="59913" xr:uid="{49DA4330-28D8-484F-8960-A66EC6C00B81}"/>
    <cellStyle name="Comma 6 6 4 4 2 3" xfId="44793" xr:uid="{CBAF296B-FB64-43E1-A4D7-5F0FB484F8E7}"/>
    <cellStyle name="Comma 6 6 4 4 3" xfId="20601" xr:uid="{718E4F7F-6FFD-4660-9019-C0C47A0E40CF}"/>
    <cellStyle name="Comma 6 6 4 4 3 2" xfId="50841" xr:uid="{F0F336D4-EE40-4E99-B0C5-E07E2AB82B47}"/>
    <cellStyle name="Comma 6 6 4 4 4" xfId="35721" xr:uid="{81E03185-E992-4B66-B988-C310AE1FE275}"/>
    <cellStyle name="Comma 6 6 4 5" xfId="6993" xr:uid="{A45E0983-C736-458B-A371-10FC87E42EB8}"/>
    <cellStyle name="Comma 6 6 4 5 2" xfId="22113" xr:uid="{1D9FB998-99BB-4A32-9873-7FFCDE304187}"/>
    <cellStyle name="Comma 6 6 4 5 2 2" xfId="52353" xr:uid="{4D90FED2-3909-4394-841C-37651EFF5108}"/>
    <cellStyle name="Comma 6 6 4 5 3" xfId="37233" xr:uid="{72B72357-FE31-43A3-AF94-6D27803C8B36}"/>
    <cellStyle name="Comma 6 6 4 6" xfId="8505" xr:uid="{B87CAD36-BFF2-46B8-8520-17D534D8AB19}"/>
    <cellStyle name="Comma 6 6 4 6 2" xfId="23625" xr:uid="{51F89518-C256-42AC-99BD-E15F331EB31D}"/>
    <cellStyle name="Comma 6 6 4 6 2 2" xfId="53865" xr:uid="{A1C629A6-8A10-42F1-B40F-A604E3933031}"/>
    <cellStyle name="Comma 6 6 4 6 3" xfId="38745" xr:uid="{3F7E2E7A-9613-482D-87A0-8A331E65E7A2}"/>
    <cellStyle name="Comma 6 6 4 7" xfId="10017" xr:uid="{DD9E7E95-C56D-4764-A3A2-1C8479556BF3}"/>
    <cellStyle name="Comma 6 6 4 7 2" xfId="25137" xr:uid="{460BD87B-AF99-4BDE-A5C5-34376EBED431}"/>
    <cellStyle name="Comma 6 6 4 7 2 2" xfId="55377" xr:uid="{CEA0E7FF-1AAC-4FF1-B95B-7416862DBED7}"/>
    <cellStyle name="Comma 6 6 4 7 3" xfId="40257" xr:uid="{E3ED572B-1AB5-4136-AAF6-A0B2BFD5D233}"/>
    <cellStyle name="Comma 6 6 4 8" xfId="16065" xr:uid="{0344AC5E-B94D-4A54-ADBB-9DA5D4217DA3}"/>
    <cellStyle name="Comma 6 6 4 8 2" xfId="46305" xr:uid="{BB93D88B-0764-474C-8AA2-AB75AF718D65}"/>
    <cellStyle name="Comma 6 6 4 9" xfId="31185" xr:uid="{9C07AA57-1A67-453C-86AB-53A9684DE285}"/>
    <cellStyle name="Comma 6 6 5" xfId="1701" xr:uid="{A4B3FA60-D1DB-4BAF-9392-22E660AA7878}"/>
    <cellStyle name="Comma 6 6 5 2" xfId="10773" xr:uid="{D0731C8A-4407-47C9-AF15-6BD0E55E9BAE}"/>
    <cellStyle name="Comma 6 6 5 2 2" xfId="25893" xr:uid="{2133832B-4DC2-4B66-A477-589B0D56E0B3}"/>
    <cellStyle name="Comma 6 6 5 2 2 2" xfId="56133" xr:uid="{F0D80AC2-8714-4B09-83CB-32A604B98339}"/>
    <cellStyle name="Comma 6 6 5 2 3" xfId="41013" xr:uid="{80B56F90-4428-493D-980C-2017C7815D90}"/>
    <cellStyle name="Comma 6 6 5 3" xfId="16821" xr:uid="{DEC0251D-29FD-4B1A-B58E-CCE84ABB2A12}"/>
    <cellStyle name="Comma 6 6 5 3 2" xfId="47061" xr:uid="{9E31BEBD-A887-46ED-AA09-90193093125C}"/>
    <cellStyle name="Comma 6 6 5 4" xfId="31941" xr:uid="{59B6493B-A78D-4132-919B-365B9922C1A2}"/>
    <cellStyle name="Comma 6 6 6" xfId="3213" xr:uid="{B995CD1B-31DD-4524-BAB1-AE5DE211A89D}"/>
    <cellStyle name="Comma 6 6 6 2" xfId="12285" xr:uid="{79788C85-C8B5-43F5-8086-9965A10878DA}"/>
    <cellStyle name="Comma 6 6 6 2 2" xfId="27405" xr:uid="{6EF606F1-7B43-4AC5-9764-6E89CD7E20D0}"/>
    <cellStyle name="Comma 6 6 6 2 2 2" xfId="57645" xr:uid="{553D8E01-EB11-471D-A296-63EBD6658854}"/>
    <cellStyle name="Comma 6 6 6 2 3" xfId="42525" xr:uid="{B4E0A244-94A5-4F55-9A17-C4216FD08C9F}"/>
    <cellStyle name="Comma 6 6 6 3" xfId="18333" xr:uid="{83A18C4D-E64C-40F7-A075-D2568039DFB5}"/>
    <cellStyle name="Comma 6 6 6 3 2" xfId="48573" xr:uid="{EC723930-FDFB-4594-9E0C-806ECA9DEFA0}"/>
    <cellStyle name="Comma 6 6 6 4" xfId="33453" xr:uid="{05EE1BD5-5BB7-4BF4-8370-9A73CD27AD0E}"/>
    <cellStyle name="Comma 6 6 7" xfId="4725" xr:uid="{13974CD9-1FB6-4F71-9D1E-AAB2349B739C}"/>
    <cellStyle name="Comma 6 6 7 2" xfId="13797" xr:uid="{A336B917-CE7B-42BF-A6E8-FA832D5029A1}"/>
    <cellStyle name="Comma 6 6 7 2 2" xfId="28917" xr:uid="{06896524-1FC0-471E-8C4C-100983C2A127}"/>
    <cellStyle name="Comma 6 6 7 2 2 2" xfId="59157" xr:uid="{888F1ACA-3F77-48F7-B844-ACF04E1068CF}"/>
    <cellStyle name="Comma 6 6 7 2 3" xfId="44037" xr:uid="{9EBEDBAB-7FA6-438E-8509-31C960004105}"/>
    <cellStyle name="Comma 6 6 7 3" xfId="19845" xr:uid="{6289C3D7-0ACE-4BAC-BB2A-A73EB3695516}"/>
    <cellStyle name="Comma 6 6 7 3 2" xfId="50085" xr:uid="{80D964D2-7B7C-40EA-A936-7260D0F96996}"/>
    <cellStyle name="Comma 6 6 7 4" xfId="34965" xr:uid="{69764954-4A69-4209-AD4F-6687564E491F}"/>
    <cellStyle name="Comma 6 6 8" xfId="6237" xr:uid="{C33028E4-273F-43C0-AB12-75A824780AB0}"/>
    <cellStyle name="Comma 6 6 8 2" xfId="21357" xr:uid="{F3A77E9A-111E-46B5-BAA2-E7304E8FF9A7}"/>
    <cellStyle name="Comma 6 6 8 2 2" xfId="51597" xr:uid="{181E5CCA-4532-447A-B284-11B0752CD154}"/>
    <cellStyle name="Comma 6 6 8 3" xfId="36477" xr:uid="{1473FC88-E1DE-4C8B-9FDA-ECCAAB096D14}"/>
    <cellStyle name="Comma 6 6 9" xfId="7749" xr:uid="{C71388CA-B12F-49ED-ACD3-71FD7C16ABC6}"/>
    <cellStyle name="Comma 6 6 9 2" xfId="22869" xr:uid="{505DC327-F96A-484F-9029-60307D9E4DE0}"/>
    <cellStyle name="Comma 6 6 9 2 2" xfId="53109" xr:uid="{289B12C7-C4D2-48BF-B981-D580C09757C2}"/>
    <cellStyle name="Comma 6 6 9 3" xfId="37989" xr:uid="{236B71B1-9722-435C-B0F4-F6BE2A230227}"/>
    <cellStyle name="Comma 6 7" xfId="273" xr:uid="{A469646B-7393-4E69-A2EA-06448BEDC7B6}"/>
    <cellStyle name="Comma 6 7 10" xfId="30513" xr:uid="{758353B0-B513-4AE2-9BC8-8B985D6EEAFA}"/>
    <cellStyle name="Comma 6 7 2" xfId="1029" xr:uid="{E1DF1CA1-EF50-4647-8CCE-E084BF607222}"/>
    <cellStyle name="Comma 6 7 2 2" xfId="2541" xr:uid="{7E21B0AF-C9CA-48B6-AE83-909138A4221E}"/>
    <cellStyle name="Comma 6 7 2 2 2" xfId="11613" xr:uid="{166F651E-2178-445D-91C4-BEA221108C97}"/>
    <cellStyle name="Comma 6 7 2 2 2 2" xfId="26733" xr:uid="{5ABB94C9-15EA-4FBC-AA59-3B7FF422118B}"/>
    <cellStyle name="Comma 6 7 2 2 2 2 2" xfId="56973" xr:uid="{A1303D7D-5CD3-45CC-BFE4-F9F3FBF90CA0}"/>
    <cellStyle name="Comma 6 7 2 2 2 3" xfId="41853" xr:uid="{981AC8E8-2A29-411C-837F-94807B27442A}"/>
    <cellStyle name="Comma 6 7 2 2 3" xfId="17661" xr:uid="{E92174B3-689C-4B44-B982-CE204A748935}"/>
    <cellStyle name="Comma 6 7 2 2 3 2" xfId="47901" xr:uid="{0FEBF241-6703-4FCA-BF16-30DACA825EF1}"/>
    <cellStyle name="Comma 6 7 2 2 4" xfId="32781" xr:uid="{DAFE822A-6EA2-4195-899B-ADC03A26CAFD}"/>
    <cellStyle name="Comma 6 7 2 3" xfId="4053" xr:uid="{E1DA04E9-1E22-4213-A16F-33768B15D221}"/>
    <cellStyle name="Comma 6 7 2 3 2" xfId="13125" xr:uid="{A7F0C8CF-E8DC-4254-8A0C-ADB6F8AD69A8}"/>
    <cellStyle name="Comma 6 7 2 3 2 2" xfId="28245" xr:uid="{30515CF2-C9CA-4C3D-8052-09C451FD61DD}"/>
    <cellStyle name="Comma 6 7 2 3 2 2 2" xfId="58485" xr:uid="{168296F0-DF09-42E5-962A-6F038788F972}"/>
    <cellStyle name="Comma 6 7 2 3 2 3" xfId="43365" xr:uid="{B53D5773-4432-4C1B-AFE1-FE5C43E67E02}"/>
    <cellStyle name="Comma 6 7 2 3 3" xfId="19173" xr:uid="{2C9F632A-0658-433B-A7EF-D7D6A79C2518}"/>
    <cellStyle name="Comma 6 7 2 3 3 2" xfId="49413" xr:uid="{042833D5-0697-4DE3-9870-1C5C6CDEA6E7}"/>
    <cellStyle name="Comma 6 7 2 3 4" xfId="34293" xr:uid="{9F87D6D3-1EF0-41D3-9606-399EA3A2FFBB}"/>
    <cellStyle name="Comma 6 7 2 4" xfId="5565" xr:uid="{938E1C08-BA01-426E-A805-52B1C4A720AA}"/>
    <cellStyle name="Comma 6 7 2 4 2" xfId="14637" xr:uid="{06A6E114-EA84-4FE4-8F2C-AD7FDACAB3D4}"/>
    <cellStyle name="Comma 6 7 2 4 2 2" xfId="29757" xr:uid="{9CBCCFFB-174E-4471-B068-C9AF368FBC80}"/>
    <cellStyle name="Comma 6 7 2 4 2 2 2" xfId="59997" xr:uid="{5BFDC610-CE58-4E1B-BA08-32FB6D6D7C66}"/>
    <cellStyle name="Comma 6 7 2 4 2 3" xfId="44877" xr:uid="{E87C65C3-D509-4CDF-B50B-AEFE63AA9DE0}"/>
    <cellStyle name="Comma 6 7 2 4 3" xfId="20685" xr:uid="{0063F270-1E76-484A-87B2-87B0E18A5432}"/>
    <cellStyle name="Comma 6 7 2 4 3 2" xfId="50925" xr:uid="{0BDC52DF-BFD8-4BAD-81D7-3CF94AC13E09}"/>
    <cellStyle name="Comma 6 7 2 4 4" xfId="35805" xr:uid="{4E8C4C48-13E6-4D10-AC48-A2AE6204A2D7}"/>
    <cellStyle name="Comma 6 7 2 5" xfId="7077" xr:uid="{7CB242EF-BF89-4040-802C-A845D67BF6E5}"/>
    <cellStyle name="Comma 6 7 2 5 2" xfId="22197" xr:uid="{270F1592-DFA2-417B-88BB-B947D86D7650}"/>
    <cellStyle name="Comma 6 7 2 5 2 2" xfId="52437" xr:uid="{9D03541D-654F-4FBF-862B-D851CA1D3CA5}"/>
    <cellStyle name="Comma 6 7 2 5 3" xfId="37317" xr:uid="{513A4D36-E5B5-48B4-BE67-FB4DBDB8BFDB}"/>
    <cellStyle name="Comma 6 7 2 6" xfId="8589" xr:uid="{B50EC056-93EE-4171-8870-DABCFF84FC41}"/>
    <cellStyle name="Comma 6 7 2 6 2" xfId="23709" xr:uid="{D5B0CF50-2032-483B-ADDF-B9B700D0FB95}"/>
    <cellStyle name="Comma 6 7 2 6 2 2" xfId="53949" xr:uid="{63FB1074-0FA1-4FC1-BA57-B5F763AFAFCB}"/>
    <cellStyle name="Comma 6 7 2 6 3" xfId="38829" xr:uid="{57ECFB39-41C6-48B5-B455-04001EDA274F}"/>
    <cellStyle name="Comma 6 7 2 7" xfId="10101" xr:uid="{57ADF6C0-9AF3-488A-9AD5-2B46B408E01B}"/>
    <cellStyle name="Comma 6 7 2 7 2" xfId="25221" xr:uid="{84349542-6AA4-4656-8AE5-D06CBD8289C2}"/>
    <cellStyle name="Comma 6 7 2 7 2 2" xfId="55461" xr:uid="{5EC2A139-CC34-484D-905C-ED30FCE15857}"/>
    <cellStyle name="Comma 6 7 2 7 3" xfId="40341" xr:uid="{C8EA19FB-B977-442D-A317-96A3EAAFE233}"/>
    <cellStyle name="Comma 6 7 2 8" xfId="16149" xr:uid="{29456287-E1AC-4598-9D9A-E7C998873F99}"/>
    <cellStyle name="Comma 6 7 2 8 2" xfId="46389" xr:uid="{2023CC91-869B-4FB7-9A39-9FF954DA7B7D}"/>
    <cellStyle name="Comma 6 7 2 9" xfId="31269" xr:uid="{F974AAC0-54FC-43CB-8097-C9970EE7746F}"/>
    <cellStyle name="Comma 6 7 3" xfId="1785" xr:uid="{2BB690D5-D37E-44C2-B727-1775A387DAA5}"/>
    <cellStyle name="Comma 6 7 3 2" xfId="10857" xr:uid="{ABD3A513-FF08-4C56-947B-B5E4EAABC7F0}"/>
    <cellStyle name="Comma 6 7 3 2 2" xfId="25977" xr:uid="{8A280AD4-36E4-4130-BCAC-C6ACC7AC080B}"/>
    <cellStyle name="Comma 6 7 3 2 2 2" xfId="56217" xr:uid="{2AE75020-A0E0-4AF4-BC00-CCE6E8D349A1}"/>
    <cellStyle name="Comma 6 7 3 2 3" xfId="41097" xr:uid="{800F0360-AAB8-46AB-BAD5-171C665A84FB}"/>
    <cellStyle name="Comma 6 7 3 3" xfId="16905" xr:uid="{20EE01BA-C21E-44A1-AA2A-302F52164A42}"/>
    <cellStyle name="Comma 6 7 3 3 2" xfId="47145" xr:uid="{3BF36E87-9D5B-40DA-ADAC-84D21F2BAB08}"/>
    <cellStyle name="Comma 6 7 3 4" xfId="32025" xr:uid="{55807FFB-6DCE-4225-BBC7-B29CE364A78B}"/>
    <cellStyle name="Comma 6 7 4" xfId="3297" xr:uid="{DD74BE7A-C663-48FF-8E4D-342AD3E81020}"/>
    <cellStyle name="Comma 6 7 4 2" xfId="12369" xr:uid="{6C5FE69F-B647-4F33-9C98-76CAE3FD63F3}"/>
    <cellStyle name="Comma 6 7 4 2 2" xfId="27489" xr:uid="{463AE00D-C5BF-4F69-B049-1DC7F368DC42}"/>
    <cellStyle name="Comma 6 7 4 2 2 2" xfId="57729" xr:uid="{50ACF982-F2C2-49DC-A66A-BE3E64FD3AA8}"/>
    <cellStyle name="Comma 6 7 4 2 3" xfId="42609" xr:uid="{D37627CF-1831-4D3A-9ABE-A3ED540A0A5A}"/>
    <cellStyle name="Comma 6 7 4 3" xfId="18417" xr:uid="{8110BFBD-CC32-47A7-8846-23EF55FBBC28}"/>
    <cellStyle name="Comma 6 7 4 3 2" xfId="48657" xr:uid="{A057C5DB-C824-4138-A4C9-2C2160076EDC}"/>
    <cellStyle name="Comma 6 7 4 4" xfId="33537" xr:uid="{6E0730CD-91C9-4267-BFB1-82E37A734B19}"/>
    <cellStyle name="Comma 6 7 5" xfId="4809" xr:uid="{C57144E2-BE45-41F6-8FC5-525FFA8A3614}"/>
    <cellStyle name="Comma 6 7 5 2" xfId="13881" xr:uid="{EBC27162-466F-4F0B-B3FD-B403C7983D43}"/>
    <cellStyle name="Comma 6 7 5 2 2" xfId="29001" xr:uid="{54607534-FB5B-48DB-8CBF-8462C6583856}"/>
    <cellStyle name="Comma 6 7 5 2 2 2" xfId="59241" xr:uid="{6E360F45-DB24-4FB4-9ECB-9E31A5B4C192}"/>
    <cellStyle name="Comma 6 7 5 2 3" xfId="44121" xr:uid="{89340566-B20B-4740-8B40-C0156E14EF68}"/>
    <cellStyle name="Comma 6 7 5 3" xfId="19929" xr:uid="{A49EEF8D-CE9A-423F-BC55-FE775E40777A}"/>
    <cellStyle name="Comma 6 7 5 3 2" xfId="50169" xr:uid="{6CD2D346-FD86-46F1-A014-DA10D49D7336}"/>
    <cellStyle name="Comma 6 7 5 4" xfId="35049" xr:uid="{C7A9D8A3-319B-455C-85D5-7701F8F0DFB0}"/>
    <cellStyle name="Comma 6 7 6" xfId="6321" xr:uid="{31C21BDC-3031-48E1-8E7E-6BEC4FB78493}"/>
    <cellStyle name="Comma 6 7 6 2" xfId="21441" xr:uid="{0DAD7BC0-0A67-439A-859E-FA9A09A9D18F}"/>
    <cellStyle name="Comma 6 7 6 2 2" xfId="51681" xr:uid="{B2782223-356F-4069-94C2-2F871DC656A1}"/>
    <cellStyle name="Comma 6 7 6 3" xfId="36561" xr:uid="{9E01522F-E5C0-4AE6-B95F-C1DC156C1EC4}"/>
    <cellStyle name="Comma 6 7 7" xfId="7833" xr:uid="{26E406F4-053F-4D64-A282-0B995F072A2F}"/>
    <cellStyle name="Comma 6 7 7 2" xfId="22953" xr:uid="{11D8F4FC-0A60-40D6-B6E9-F7733D9D139C}"/>
    <cellStyle name="Comma 6 7 7 2 2" xfId="53193" xr:uid="{1D43ABC8-4B9E-477E-A2D1-7B6AA1E6F8C6}"/>
    <cellStyle name="Comma 6 7 7 3" xfId="38073" xr:uid="{21E114C6-6642-48E5-93D2-3CD754E208D5}"/>
    <cellStyle name="Comma 6 7 8" xfId="9345" xr:uid="{6081B234-6498-45C4-9499-A3816E720B5E}"/>
    <cellStyle name="Comma 6 7 8 2" xfId="24465" xr:uid="{6E3B7DA0-4EA4-4E27-AF02-8C6E4CE6EBD1}"/>
    <cellStyle name="Comma 6 7 8 2 2" xfId="54705" xr:uid="{8B99D456-295C-459B-9FAE-53BF1C1840F7}"/>
    <cellStyle name="Comma 6 7 8 3" xfId="39585" xr:uid="{8BE9766E-D278-4314-A0F9-E86633908C62}"/>
    <cellStyle name="Comma 6 7 9" xfId="15393" xr:uid="{4172845B-644E-4A39-9C6C-19350B08B4B0}"/>
    <cellStyle name="Comma 6 7 9 2" xfId="45633" xr:uid="{74E64EE9-56B3-4674-AF94-99339416980D}"/>
    <cellStyle name="Comma 6 8" xfId="525" xr:uid="{1D6FC840-D716-4DB4-BAFA-DCFE097478B3}"/>
    <cellStyle name="Comma 6 8 10" xfId="30765" xr:uid="{FA8BCFCA-FE2B-49D2-BB8B-B0E28421A178}"/>
    <cellStyle name="Comma 6 8 2" xfId="1281" xr:uid="{B8564480-4AD9-4684-8C9F-9B14D96A4D0C}"/>
    <cellStyle name="Comma 6 8 2 2" xfId="2793" xr:uid="{3627079E-E128-49F0-A521-F73CB55CAC75}"/>
    <cellStyle name="Comma 6 8 2 2 2" xfId="11865" xr:uid="{BE14F1BA-BD27-4AB7-9244-75D8D536615B}"/>
    <cellStyle name="Comma 6 8 2 2 2 2" xfId="26985" xr:uid="{5EF12432-E349-43AA-A989-5E39406BACE4}"/>
    <cellStyle name="Comma 6 8 2 2 2 2 2" xfId="57225" xr:uid="{5625BE27-3328-484E-B709-F8F10E4D78D6}"/>
    <cellStyle name="Comma 6 8 2 2 2 3" xfId="42105" xr:uid="{10DB3E52-98C3-4C89-99C5-5759536F789C}"/>
    <cellStyle name="Comma 6 8 2 2 3" xfId="17913" xr:uid="{FACCBCF3-CAB8-4DF2-8484-F10D5F472D30}"/>
    <cellStyle name="Comma 6 8 2 2 3 2" xfId="48153" xr:uid="{99742934-A3FE-4764-AFEB-00BCD7C13794}"/>
    <cellStyle name="Comma 6 8 2 2 4" xfId="33033" xr:uid="{13DE5277-6EB7-40E8-B3EB-82E767A622BF}"/>
    <cellStyle name="Comma 6 8 2 3" xfId="4305" xr:uid="{58D61F97-24F0-4CBC-A896-6E2758A9DE37}"/>
    <cellStyle name="Comma 6 8 2 3 2" xfId="13377" xr:uid="{E61B0F31-1114-4852-8A79-CE7B8795D49B}"/>
    <cellStyle name="Comma 6 8 2 3 2 2" xfId="28497" xr:uid="{F88EB452-2F86-45A1-AB46-DD355145BF3C}"/>
    <cellStyle name="Comma 6 8 2 3 2 2 2" xfId="58737" xr:uid="{D27DE54F-11BA-4E26-A3FC-043CD3453018}"/>
    <cellStyle name="Comma 6 8 2 3 2 3" xfId="43617" xr:uid="{A727D57D-0C1E-463F-81DD-6FC1E50AE726}"/>
    <cellStyle name="Comma 6 8 2 3 3" xfId="19425" xr:uid="{D2A31EDE-4AD7-41EA-9C42-360A5DC4CCCC}"/>
    <cellStyle name="Comma 6 8 2 3 3 2" xfId="49665" xr:uid="{836AAE9E-D6B1-41C3-8DEB-67B93CCFE018}"/>
    <cellStyle name="Comma 6 8 2 3 4" xfId="34545" xr:uid="{CF2CEDCC-769B-4C41-B9A5-EA90D9503B84}"/>
    <cellStyle name="Comma 6 8 2 4" xfId="5817" xr:uid="{5A16F9E1-6D31-414B-A390-6C4F9200BAD0}"/>
    <cellStyle name="Comma 6 8 2 4 2" xfId="14889" xr:uid="{59A33BA0-465E-493E-890C-8C09931D02F1}"/>
    <cellStyle name="Comma 6 8 2 4 2 2" xfId="30009" xr:uid="{C19DAA92-7FFA-448E-9898-C39607DAADBE}"/>
    <cellStyle name="Comma 6 8 2 4 2 2 2" xfId="60249" xr:uid="{51A749CA-0CB0-4D01-9DA0-C109A1E1AAAE}"/>
    <cellStyle name="Comma 6 8 2 4 2 3" xfId="45129" xr:uid="{981500D5-CACA-4BBE-AC47-9DDE4DF64665}"/>
    <cellStyle name="Comma 6 8 2 4 3" xfId="20937" xr:uid="{F2C1E34C-80BC-42B5-91D4-8ABB831C5602}"/>
    <cellStyle name="Comma 6 8 2 4 3 2" xfId="51177" xr:uid="{B8E1A982-6901-49DA-BEA1-20E479090CA1}"/>
    <cellStyle name="Comma 6 8 2 4 4" xfId="36057" xr:uid="{0092D711-DF6E-48D4-9A18-992B7954C4DB}"/>
    <cellStyle name="Comma 6 8 2 5" xfId="7329" xr:uid="{7AA2D6D5-13B0-4C5F-AC49-DC2964C575BA}"/>
    <cellStyle name="Comma 6 8 2 5 2" xfId="22449" xr:uid="{DF180DDA-4ED1-410D-9E06-C08C4E547D47}"/>
    <cellStyle name="Comma 6 8 2 5 2 2" xfId="52689" xr:uid="{5EBB0DA4-12C1-4485-BD18-61F1CE0DD43D}"/>
    <cellStyle name="Comma 6 8 2 5 3" xfId="37569" xr:uid="{00602805-33D0-424A-BBD7-74A0D51A053B}"/>
    <cellStyle name="Comma 6 8 2 6" xfId="8841" xr:uid="{F691AFE2-CAC6-4E1F-9D50-E968343C0CC8}"/>
    <cellStyle name="Comma 6 8 2 6 2" xfId="23961" xr:uid="{541F2457-06C4-4AA0-9AE8-84CD3DE9FBC0}"/>
    <cellStyle name="Comma 6 8 2 6 2 2" xfId="54201" xr:uid="{0A53CBDA-7A9F-4216-B70C-87C8DCB37730}"/>
    <cellStyle name="Comma 6 8 2 6 3" xfId="39081" xr:uid="{C8F5FDDE-DA89-49D8-8F85-47CB1018E47D}"/>
    <cellStyle name="Comma 6 8 2 7" xfId="10353" xr:uid="{2CF81E08-AF58-4EA5-88B0-38CD372A111A}"/>
    <cellStyle name="Comma 6 8 2 7 2" xfId="25473" xr:uid="{C98D774A-68F7-4668-AE2D-03A8FF7C0263}"/>
    <cellStyle name="Comma 6 8 2 7 2 2" xfId="55713" xr:uid="{087BD3C3-DF7D-470B-8C3E-05E85E47C7D0}"/>
    <cellStyle name="Comma 6 8 2 7 3" xfId="40593" xr:uid="{B5505862-FD48-4AA1-A49C-BC9C30C14B61}"/>
    <cellStyle name="Comma 6 8 2 8" xfId="16401" xr:uid="{8C414882-7F77-40A3-9D2A-75CE2E9E8096}"/>
    <cellStyle name="Comma 6 8 2 8 2" xfId="46641" xr:uid="{96CDF0FC-6F42-4D4A-ABCB-ABE12386327E}"/>
    <cellStyle name="Comma 6 8 2 9" xfId="31521" xr:uid="{21F6135D-E3D3-474D-96FC-07B3378361ED}"/>
    <cellStyle name="Comma 6 8 3" xfId="2037" xr:uid="{013642A3-8D5C-46E6-A25B-78DA26CB3079}"/>
    <cellStyle name="Comma 6 8 3 2" xfId="11109" xr:uid="{77DEDDCC-B32B-4F3C-9ACD-06F0355E15C3}"/>
    <cellStyle name="Comma 6 8 3 2 2" xfId="26229" xr:uid="{E4F8E28D-D8D6-43DD-804D-CC857244FC03}"/>
    <cellStyle name="Comma 6 8 3 2 2 2" xfId="56469" xr:uid="{85161CC9-4322-4831-88C8-0174DFAB73A4}"/>
    <cellStyle name="Comma 6 8 3 2 3" xfId="41349" xr:uid="{6C4E9DC1-1E1A-4ABF-A5AD-5D1179AEAB64}"/>
    <cellStyle name="Comma 6 8 3 3" xfId="17157" xr:uid="{175FA0B1-7DB2-480D-B14C-01A85EEB4942}"/>
    <cellStyle name="Comma 6 8 3 3 2" xfId="47397" xr:uid="{19405BAE-AC2C-4981-87C1-252B42FC7653}"/>
    <cellStyle name="Comma 6 8 3 4" xfId="32277" xr:uid="{530427E9-2C80-4E71-B78D-1151676DA550}"/>
    <cellStyle name="Comma 6 8 4" xfId="3549" xr:uid="{624BDE91-2E1D-4421-B8B6-4EECE061AF58}"/>
    <cellStyle name="Comma 6 8 4 2" xfId="12621" xr:uid="{08CA5C9E-E2AD-4A55-94F3-D6759CCE112E}"/>
    <cellStyle name="Comma 6 8 4 2 2" xfId="27741" xr:uid="{FE1D1C63-BCDB-424C-BEB1-9E49DEE73516}"/>
    <cellStyle name="Comma 6 8 4 2 2 2" xfId="57981" xr:uid="{D4C8A8F7-3BF8-444B-9DE6-4ABD1338B3AB}"/>
    <cellStyle name="Comma 6 8 4 2 3" xfId="42861" xr:uid="{C0914CC4-5457-4EB8-BDE0-112B9659F490}"/>
    <cellStyle name="Comma 6 8 4 3" xfId="18669" xr:uid="{5D87D224-F360-4285-85D3-30ED7CDA3635}"/>
    <cellStyle name="Comma 6 8 4 3 2" xfId="48909" xr:uid="{405B905C-2CC9-4A3C-8F0A-A996F0537E86}"/>
    <cellStyle name="Comma 6 8 4 4" xfId="33789" xr:uid="{6ADB053F-2B30-4D6C-B357-461842F1DEE0}"/>
    <cellStyle name="Comma 6 8 5" xfId="5061" xr:uid="{368F4552-54FE-4E71-88B4-8C35E822EBC4}"/>
    <cellStyle name="Comma 6 8 5 2" xfId="14133" xr:uid="{A6E3731C-896A-40D8-AFB9-EEE3799FDAF7}"/>
    <cellStyle name="Comma 6 8 5 2 2" xfId="29253" xr:uid="{D8980948-1E34-4D89-98E0-C56B48FA5DB8}"/>
    <cellStyle name="Comma 6 8 5 2 2 2" xfId="59493" xr:uid="{A3E57C91-B01F-4AFB-82C5-95523B4602B3}"/>
    <cellStyle name="Comma 6 8 5 2 3" xfId="44373" xr:uid="{0B55B979-5D59-448A-A5D3-4BD9BA64F7CE}"/>
    <cellStyle name="Comma 6 8 5 3" xfId="20181" xr:uid="{A60E4067-DB09-459C-AD71-4F1CF6503E2C}"/>
    <cellStyle name="Comma 6 8 5 3 2" xfId="50421" xr:uid="{D2B0AA64-DA3B-411E-B247-D3FAC0BD4C23}"/>
    <cellStyle name="Comma 6 8 5 4" xfId="35301" xr:uid="{FE33A98D-92AE-4FAA-9BE7-CD66FBF5103F}"/>
    <cellStyle name="Comma 6 8 6" xfId="6573" xr:uid="{794A2865-03F6-4B66-A8C5-F4F4BD8A5AC7}"/>
    <cellStyle name="Comma 6 8 6 2" xfId="21693" xr:uid="{FCF9BCBD-8B93-4259-ABB2-F5F97E13F180}"/>
    <cellStyle name="Comma 6 8 6 2 2" xfId="51933" xr:uid="{122BC748-6722-4FD5-ADBB-F334B02C12B9}"/>
    <cellStyle name="Comma 6 8 6 3" xfId="36813" xr:uid="{57F4F813-8BD6-4FBB-8A42-23CDF48FC4DC}"/>
    <cellStyle name="Comma 6 8 7" xfId="8085" xr:uid="{EE7026FC-681C-46EA-B77E-6C5697921912}"/>
    <cellStyle name="Comma 6 8 7 2" xfId="23205" xr:uid="{02580D59-BF0F-446A-9E3F-EE29D7C4A3A1}"/>
    <cellStyle name="Comma 6 8 7 2 2" xfId="53445" xr:uid="{140529A2-47BF-4B69-A5D1-6ADDD6E925E2}"/>
    <cellStyle name="Comma 6 8 7 3" xfId="38325" xr:uid="{90525D53-030E-4B9F-AC2F-33143370FCEE}"/>
    <cellStyle name="Comma 6 8 8" xfId="9597" xr:uid="{1C4F0DC2-5DA3-4E26-A1C7-1786EFD64F68}"/>
    <cellStyle name="Comma 6 8 8 2" xfId="24717" xr:uid="{AD6DA916-2031-413B-9C54-F0513F2077B7}"/>
    <cellStyle name="Comma 6 8 8 2 2" xfId="54957" xr:uid="{50D0B55A-287F-440D-A229-CAE9569B8782}"/>
    <cellStyle name="Comma 6 8 8 3" xfId="39837" xr:uid="{2129E09F-6ACA-4EE9-B47A-6C4DD689FA10}"/>
    <cellStyle name="Comma 6 8 9" xfId="15645" xr:uid="{A2328B97-692D-4068-B1B2-ABBEC32BA21E}"/>
    <cellStyle name="Comma 6 8 9 2" xfId="45885" xr:uid="{B988A0ED-4250-4862-86BE-23E0EC2C0704}"/>
    <cellStyle name="Comma 6 9" xfId="777" xr:uid="{020616C3-56D9-491E-AB3C-B670C1C121DD}"/>
    <cellStyle name="Comma 6 9 2" xfId="2289" xr:uid="{66533ADC-A3BB-412C-BD76-75DE617ABD24}"/>
    <cellStyle name="Comma 6 9 2 2" xfId="11361" xr:uid="{82DF568B-90C2-402B-A102-2F7BF53BA2D3}"/>
    <cellStyle name="Comma 6 9 2 2 2" xfId="26481" xr:uid="{8ADF3FE1-284E-4FBB-A78E-9F68CAFFD165}"/>
    <cellStyle name="Comma 6 9 2 2 2 2" xfId="56721" xr:uid="{6EEE152E-AE8F-4D77-AAED-5412EDD5E753}"/>
    <cellStyle name="Comma 6 9 2 2 3" xfId="41601" xr:uid="{6590BE9B-0821-43BC-AC4C-5B4C52A0114C}"/>
    <cellStyle name="Comma 6 9 2 3" xfId="17409" xr:uid="{90ABC30B-979E-4111-AE9B-115BAE8D2D84}"/>
    <cellStyle name="Comma 6 9 2 3 2" xfId="47649" xr:uid="{06A0965F-1E22-4560-ACDC-F3CAE82DF03A}"/>
    <cellStyle name="Comma 6 9 2 4" xfId="32529" xr:uid="{3024BBE1-02E0-4F4B-AC6C-0EE9BA1A91B7}"/>
    <cellStyle name="Comma 6 9 3" xfId="3801" xr:uid="{45CEA5E7-0D70-480E-AEB8-E93881B58FAD}"/>
    <cellStyle name="Comma 6 9 3 2" xfId="12873" xr:uid="{020F8383-1D31-4FD8-8458-4858F7FDE1C7}"/>
    <cellStyle name="Comma 6 9 3 2 2" xfId="27993" xr:uid="{C7134931-11F3-4AFF-A057-60711B31254C}"/>
    <cellStyle name="Comma 6 9 3 2 2 2" xfId="58233" xr:uid="{1FA8401D-07A9-4D82-A0D5-996CCAE7F21A}"/>
    <cellStyle name="Comma 6 9 3 2 3" xfId="43113" xr:uid="{1BC715FE-02A0-4A21-8E35-CA8B9EC8B6FA}"/>
    <cellStyle name="Comma 6 9 3 3" xfId="18921" xr:uid="{EA4F0E22-77E9-42A6-BEF6-4551EF515002}"/>
    <cellStyle name="Comma 6 9 3 3 2" xfId="49161" xr:uid="{D815E101-CA75-4E17-B7AC-070C12BD90C2}"/>
    <cellStyle name="Comma 6 9 3 4" xfId="34041" xr:uid="{2F8CB9E7-FD41-401C-9AEB-4A23258889D3}"/>
    <cellStyle name="Comma 6 9 4" xfId="5313" xr:uid="{6884BCA1-5E52-4A0B-87E0-5EFFC082A22A}"/>
    <cellStyle name="Comma 6 9 4 2" xfId="14385" xr:uid="{BAFBA4A2-A120-444C-A869-5DF5B31DF4CD}"/>
    <cellStyle name="Comma 6 9 4 2 2" xfId="29505" xr:uid="{E4637E73-3E48-49A4-B0C9-C6C3C8BD8DEA}"/>
    <cellStyle name="Comma 6 9 4 2 2 2" xfId="59745" xr:uid="{B92D67EB-82E4-4A1C-A33D-A60F80871801}"/>
    <cellStyle name="Comma 6 9 4 2 3" xfId="44625" xr:uid="{D61BD58D-30A8-4888-B926-6497B4281F07}"/>
    <cellStyle name="Comma 6 9 4 3" xfId="20433" xr:uid="{FC8CCCFC-26B8-40B9-9446-DFB322D840E2}"/>
    <cellStyle name="Comma 6 9 4 3 2" xfId="50673" xr:uid="{5D6F84AD-E7A3-496A-A858-F1A4BDCBA4E9}"/>
    <cellStyle name="Comma 6 9 4 4" xfId="35553" xr:uid="{1AE884BF-346E-4644-960F-F1B91EE023C7}"/>
    <cellStyle name="Comma 6 9 5" xfId="6825" xr:uid="{96A9522C-3CAC-42FE-8D77-7545C225BACD}"/>
    <cellStyle name="Comma 6 9 5 2" xfId="21945" xr:uid="{BB57524E-17F3-4F29-9ED6-4460F871FB89}"/>
    <cellStyle name="Comma 6 9 5 2 2" xfId="52185" xr:uid="{8DC39ECF-F3D4-4CAC-9B7C-49775763C32A}"/>
    <cellStyle name="Comma 6 9 5 3" xfId="37065" xr:uid="{F742A2D0-606F-4A36-B519-44E6D48DC08D}"/>
    <cellStyle name="Comma 6 9 6" xfId="8337" xr:uid="{26467508-92E5-45AB-AA89-C5DDDFC2C0C5}"/>
    <cellStyle name="Comma 6 9 6 2" xfId="23457" xr:uid="{DAAC1AEB-58B8-4700-B546-1A8FA4A9F92D}"/>
    <cellStyle name="Comma 6 9 6 2 2" xfId="53697" xr:uid="{122908A1-9909-4201-B9D3-7580228E27AF}"/>
    <cellStyle name="Comma 6 9 6 3" xfId="38577" xr:uid="{5242A9F5-F47D-4933-8BE7-8CD3844B453C}"/>
    <cellStyle name="Comma 6 9 7" xfId="9849" xr:uid="{D4CF0E64-B3BC-4A1A-9F4E-431A78CE4DD0}"/>
    <cellStyle name="Comma 6 9 7 2" xfId="24969" xr:uid="{E09B03DC-58A7-47CC-833F-19B8C0FBA2B4}"/>
    <cellStyle name="Comma 6 9 7 2 2" xfId="55209" xr:uid="{7D0AF896-5703-437A-A77A-A05470A14CC9}"/>
    <cellStyle name="Comma 6 9 7 3" xfId="40089" xr:uid="{783CDCB4-FA8E-466F-91DF-D43FDC2A4D57}"/>
    <cellStyle name="Comma 6 9 8" xfId="15897" xr:uid="{11D3B1DC-D149-429F-A025-FDF346998AAA}"/>
    <cellStyle name="Comma 6 9 8 2" xfId="46137" xr:uid="{9B088471-BF82-463B-A395-335089534B3D}"/>
    <cellStyle name="Comma 6 9 9" xfId="31017" xr:uid="{9A73F6D2-0652-43E0-BEAC-259BFF69DE06}"/>
    <cellStyle name="Comma 7" xfId="22" xr:uid="{A9F1772B-7180-447E-BCBE-911C8A050AF2}"/>
    <cellStyle name="Comma 7 10" xfId="1534" xr:uid="{AF2BCBB8-6436-4642-8C9E-2D67B05D2C94}"/>
    <cellStyle name="Comma 7 10 2" xfId="10606" xr:uid="{93675EAF-12C0-4F50-8CF7-D0972817C452}"/>
    <cellStyle name="Comma 7 10 2 2" xfId="25726" xr:uid="{2B8215FC-9274-4154-8258-9428D2EE3F10}"/>
    <cellStyle name="Comma 7 10 2 2 2" xfId="55966" xr:uid="{FD087DC1-D82C-4654-90E5-FE1B1AD1A555}"/>
    <cellStyle name="Comma 7 10 2 3" xfId="40846" xr:uid="{02061C52-3DB5-4720-9799-5DDE69C5CF0A}"/>
    <cellStyle name="Comma 7 10 3" xfId="16654" xr:uid="{94EFB253-9274-408C-91AA-D81ECCF8C29A}"/>
    <cellStyle name="Comma 7 10 3 2" xfId="46894" xr:uid="{A4DBECC3-8438-40B3-A068-ED21B82DCB7E}"/>
    <cellStyle name="Comma 7 10 4" xfId="31774" xr:uid="{2E381644-EA8E-44E5-B7B8-79CF3BC936FE}"/>
    <cellStyle name="Comma 7 11" xfId="3046" xr:uid="{10BD635E-83A3-489E-B957-3F5A8C42093A}"/>
    <cellStyle name="Comma 7 11 2" xfId="12118" xr:uid="{B1FCE164-3C01-4719-99A2-112A5D9C9E76}"/>
    <cellStyle name="Comma 7 11 2 2" xfId="27238" xr:uid="{D33D9730-4DA1-44DB-998F-2D6A3A026682}"/>
    <cellStyle name="Comma 7 11 2 2 2" xfId="57478" xr:uid="{D725493C-1D0B-4281-BEE5-7E253D6710EB}"/>
    <cellStyle name="Comma 7 11 2 3" xfId="42358" xr:uid="{6D7A7066-53CE-4459-830D-6A569B9C7467}"/>
    <cellStyle name="Comma 7 11 3" xfId="18166" xr:uid="{29A323CD-F580-45E7-AA29-D233422CE4B8}"/>
    <cellStyle name="Comma 7 11 3 2" xfId="48406" xr:uid="{D1F70B75-B204-404E-9762-93E9CE7AB74D}"/>
    <cellStyle name="Comma 7 11 4" xfId="33286" xr:uid="{116342D7-0D7F-4171-85A7-31CE0DBEAA23}"/>
    <cellStyle name="Comma 7 12" xfId="4558" xr:uid="{CE3F9A93-1A30-4EE5-99A2-2FB167537D50}"/>
    <cellStyle name="Comma 7 12 2" xfId="13630" xr:uid="{330CF6F1-E255-4DB0-99FC-05172C22B3A0}"/>
    <cellStyle name="Comma 7 12 2 2" xfId="28750" xr:uid="{D31119BB-2DF4-49DD-9599-836077D8F9DB}"/>
    <cellStyle name="Comma 7 12 2 2 2" xfId="58990" xr:uid="{7038A9CB-2E04-48FC-B8D4-6057E2BC238B}"/>
    <cellStyle name="Comma 7 12 2 3" xfId="43870" xr:uid="{95A454FC-1F1B-4BEA-ABEF-D79E44AEA5BE}"/>
    <cellStyle name="Comma 7 12 3" xfId="19678" xr:uid="{9F86510C-695C-4683-BB38-DBF075DBA7BC}"/>
    <cellStyle name="Comma 7 12 3 2" xfId="49918" xr:uid="{31DF7976-AFDE-42E6-8EB4-ADD74EE09461}"/>
    <cellStyle name="Comma 7 12 4" xfId="34798" xr:uid="{8EBD348D-DFC2-4D6B-B49A-38D74D131D70}"/>
    <cellStyle name="Comma 7 13" xfId="6070" xr:uid="{72B3AFBB-0A31-4276-9ED2-CADEA16540B3}"/>
    <cellStyle name="Comma 7 13 2" xfId="21190" xr:uid="{DD11C76F-AB69-4007-9B5C-68C95D57E65D}"/>
    <cellStyle name="Comma 7 13 2 2" xfId="51430" xr:uid="{FA873DE0-00A4-4299-A937-60E5E1B1ACC2}"/>
    <cellStyle name="Comma 7 13 3" xfId="36310" xr:uid="{5D5BE144-02FC-4C1C-A430-0DAE20811AE4}"/>
    <cellStyle name="Comma 7 14" xfId="7582" xr:uid="{FEF24A75-5633-4BB6-8647-D9DFFA4BC8B6}"/>
    <cellStyle name="Comma 7 14 2" xfId="22702" xr:uid="{1B6BB2C4-B4D7-4F69-9436-7A3F9AD56D28}"/>
    <cellStyle name="Comma 7 14 2 2" xfId="52942" xr:uid="{BD42181F-31A9-40D7-A9F6-9F1179E4B3F2}"/>
    <cellStyle name="Comma 7 14 3" xfId="37822" xr:uid="{4F9B206E-D599-49B2-A0A1-28A3DE8CACB5}"/>
    <cellStyle name="Comma 7 15" xfId="9094" xr:uid="{57B7D311-C0A7-47DA-813B-9CA059FDEBBE}"/>
    <cellStyle name="Comma 7 15 2" xfId="24214" xr:uid="{644341F5-F4BD-4B96-AFC4-63B84360187A}"/>
    <cellStyle name="Comma 7 15 2 2" xfId="54454" xr:uid="{693947F8-7279-4FFA-9794-CFAB74F77B21}"/>
    <cellStyle name="Comma 7 15 3" xfId="39334" xr:uid="{B609E2E6-E692-47B1-B9FA-ED9F9FA60258}"/>
    <cellStyle name="Comma 7 16" xfId="15142" xr:uid="{9D3C7B00-7392-4C43-B9D3-E2B3B83E2F41}"/>
    <cellStyle name="Comma 7 16 2" xfId="45382" xr:uid="{F8704DF1-FEC7-4552-8A35-56E5CDDA1672}"/>
    <cellStyle name="Comma 7 17" xfId="30262" xr:uid="{D953D316-87DF-4917-8E1C-C988CBDA9956}"/>
    <cellStyle name="Comma 7 2" xfId="36" xr:uid="{C1504C4C-3459-4AB6-8ACE-CE2EC53F88D5}"/>
    <cellStyle name="Comma 7 2 10" xfId="4572" xr:uid="{945F9581-B3E0-43D7-A76C-BEDF38DABEBB}"/>
    <cellStyle name="Comma 7 2 10 2" xfId="13644" xr:uid="{5EC7F996-3A5F-40E1-B37C-BB29F0321F2B}"/>
    <cellStyle name="Comma 7 2 10 2 2" xfId="28764" xr:uid="{8A3131EA-774B-4930-84C0-CCAD6638D0DD}"/>
    <cellStyle name="Comma 7 2 10 2 2 2" xfId="59004" xr:uid="{C294C1D1-2055-479D-9667-9F3BD703D991}"/>
    <cellStyle name="Comma 7 2 10 2 3" xfId="43884" xr:uid="{B0958A09-144D-46FD-864B-858C58629AE0}"/>
    <cellStyle name="Comma 7 2 10 3" xfId="19692" xr:uid="{2AAB2DEA-90E4-49B8-8A0C-2B5F7205D0DE}"/>
    <cellStyle name="Comma 7 2 10 3 2" xfId="49932" xr:uid="{A88C8129-D902-479D-9F49-34CAC02287BE}"/>
    <cellStyle name="Comma 7 2 10 4" xfId="34812" xr:uid="{F20749C9-FB78-4E89-A4A4-407E8926EC11}"/>
    <cellStyle name="Comma 7 2 11" xfId="6084" xr:uid="{2FD18749-5275-4B02-A545-DB8789ABD3DD}"/>
    <cellStyle name="Comma 7 2 11 2" xfId="21204" xr:uid="{F26AA289-F324-4651-BC5D-E6A8DB5730B8}"/>
    <cellStyle name="Comma 7 2 11 2 2" xfId="51444" xr:uid="{2D729E06-3AF8-4862-B92B-544E9D954814}"/>
    <cellStyle name="Comma 7 2 11 3" xfId="36324" xr:uid="{D4F241C4-9E99-4C2B-8E47-11F55BC61EC3}"/>
    <cellStyle name="Comma 7 2 12" xfId="7596" xr:uid="{9F042DD6-86B3-4A41-8909-8E45DCDEFB8B}"/>
    <cellStyle name="Comma 7 2 12 2" xfId="22716" xr:uid="{427674F3-9140-41A4-9B47-2B951F9A8A91}"/>
    <cellStyle name="Comma 7 2 12 2 2" xfId="52956" xr:uid="{A7E97179-FA0A-48F6-ABA0-20089417E784}"/>
    <cellStyle name="Comma 7 2 12 3" xfId="37836" xr:uid="{D6EB201C-0EC8-43B2-9E70-43068E651275}"/>
    <cellStyle name="Comma 7 2 13" xfId="9108" xr:uid="{72E00CB8-0C50-478C-ABFC-83F4B2AF125E}"/>
    <cellStyle name="Comma 7 2 13 2" xfId="24228" xr:uid="{98D5751E-58D9-4D1E-AFAE-3303F6EBC4AD}"/>
    <cellStyle name="Comma 7 2 13 2 2" xfId="54468" xr:uid="{A0BB1CD1-A85F-411C-8A55-FCF7ECF96C96}"/>
    <cellStyle name="Comma 7 2 13 3" xfId="39348" xr:uid="{09D3E6F7-8F60-4E1F-9F54-B1BFBCDAD48F}"/>
    <cellStyle name="Comma 7 2 14" xfId="15156" xr:uid="{8E7BFD69-C18F-4680-8456-6652D08AB61B}"/>
    <cellStyle name="Comma 7 2 14 2" xfId="45396" xr:uid="{C9A58975-26A2-45C5-8C4A-76312CB78E0F}"/>
    <cellStyle name="Comma 7 2 15" xfId="30276" xr:uid="{6D37577A-D211-4B7C-96BE-8BADB7FBA1DB}"/>
    <cellStyle name="Comma 7 2 2" xfId="78" xr:uid="{BF038BF6-A4DF-47F2-8D15-966DC56D8E19}"/>
    <cellStyle name="Comma 7 2 2 10" xfId="6126" xr:uid="{D032D175-6913-4999-A45D-36C4F4F800C9}"/>
    <cellStyle name="Comma 7 2 2 10 2" xfId="21246" xr:uid="{387609E1-9FA2-42E8-BBC8-DB1174594A53}"/>
    <cellStyle name="Comma 7 2 2 10 2 2" xfId="51486" xr:uid="{97D418C3-0AAF-4EF6-92F3-9B9DCEAF3BC8}"/>
    <cellStyle name="Comma 7 2 2 10 3" xfId="36366" xr:uid="{AC611D8A-E2E3-465C-82A7-3184CF47F634}"/>
    <cellStyle name="Comma 7 2 2 11" xfId="7638" xr:uid="{2872D9D0-190F-4A64-AAC8-05AFC2A7B84C}"/>
    <cellStyle name="Comma 7 2 2 11 2" xfId="22758" xr:uid="{96D7AEF8-3BD5-4D9A-9495-311E388B80AF}"/>
    <cellStyle name="Comma 7 2 2 11 2 2" xfId="52998" xr:uid="{3D184B93-A2A4-40F0-9B89-91950DF8414D}"/>
    <cellStyle name="Comma 7 2 2 11 3" xfId="37878" xr:uid="{82263B0C-91C8-42F0-9EFD-4269D4584B26}"/>
    <cellStyle name="Comma 7 2 2 12" xfId="9150" xr:uid="{4AAAD878-99E4-4F62-BB67-CA24E28DFF16}"/>
    <cellStyle name="Comma 7 2 2 12 2" xfId="24270" xr:uid="{EB21F0EF-AAB8-463C-BE21-D692E1B4DA12}"/>
    <cellStyle name="Comma 7 2 2 12 2 2" xfId="54510" xr:uid="{9D639DF5-0D0D-4461-830E-23677A052A27}"/>
    <cellStyle name="Comma 7 2 2 12 3" xfId="39390" xr:uid="{E64B1FE8-F2FD-4A9F-9616-307D45813664}"/>
    <cellStyle name="Comma 7 2 2 13" xfId="15198" xr:uid="{41CF9F0B-1B89-4DC6-8D8C-A300E52AD285}"/>
    <cellStyle name="Comma 7 2 2 13 2" xfId="45438" xr:uid="{353C6A28-8EB8-4D95-9C94-CB0594734400}"/>
    <cellStyle name="Comma 7 2 2 14" xfId="30318" xr:uid="{4AE41F7D-4047-46EC-898A-59481B0073CC}"/>
    <cellStyle name="Comma 7 2 2 2" xfId="162" xr:uid="{BD19A051-8278-4AA8-977C-6F7B23F5669B}"/>
    <cellStyle name="Comma 7 2 2 2 10" xfId="9234" xr:uid="{1A79F4C4-C476-48A9-857D-462958862D87}"/>
    <cellStyle name="Comma 7 2 2 2 10 2" xfId="24354" xr:uid="{FEBF6EE2-098F-417B-A1CC-C9D45EBE7AE5}"/>
    <cellStyle name="Comma 7 2 2 2 10 2 2" xfId="54594" xr:uid="{BFC7438D-5363-4B17-955C-E95ED4D2AB51}"/>
    <cellStyle name="Comma 7 2 2 2 10 3" xfId="39474" xr:uid="{BF4C434A-EDB2-45D8-84A8-46567DC02D6A}"/>
    <cellStyle name="Comma 7 2 2 2 11" xfId="15282" xr:uid="{20BD6E3C-EF7E-45ED-93E0-639608034F35}"/>
    <cellStyle name="Comma 7 2 2 2 11 2" xfId="45522" xr:uid="{E34CB5F3-70B3-4044-9B0E-9A019802CF2B}"/>
    <cellStyle name="Comma 7 2 2 2 12" xfId="30402" xr:uid="{DE4BA8C2-25CA-4EE6-BCFB-579E31C1E112}"/>
    <cellStyle name="Comma 7 2 2 2 2" xfId="414" xr:uid="{31371FA5-0E26-4B02-8DA5-5BB11B219928}"/>
    <cellStyle name="Comma 7 2 2 2 2 10" xfId="30654" xr:uid="{12728795-7BEC-46D7-A5FC-2A6291DF82DD}"/>
    <cellStyle name="Comma 7 2 2 2 2 2" xfId="1170" xr:uid="{AADB89F1-7595-4050-9274-0841E961CC10}"/>
    <cellStyle name="Comma 7 2 2 2 2 2 2" xfId="2682" xr:uid="{0501AC48-82BB-4FFF-9656-D6E62B608CC7}"/>
    <cellStyle name="Comma 7 2 2 2 2 2 2 2" xfId="11754" xr:uid="{BBC14600-6BD6-47AD-AB1C-5233BD099E44}"/>
    <cellStyle name="Comma 7 2 2 2 2 2 2 2 2" xfId="26874" xr:uid="{C9666FCB-F973-47D7-AA62-6413A987FF5E}"/>
    <cellStyle name="Comma 7 2 2 2 2 2 2 2 2 2" xfId="57114" xr:uid="{36E03F69-F2CA-4C49-81DB-43D52F8872D6}"/>
    <cellStyle name="Comma 7 2 2 2 2 2 2 2 3" xfId="41994" xr:uid="{AC9CAC62-EE84-4916-8EB4-3AE0B10A46F7}"/>
    <cellStyle name="Comma 7 2 2 2 2 2 2 3" xfId="17802" xr:uid="{66C6EEFB-9034-4753-B477-01D3BC64134A}"/>
    <cellStyle name="Comma 7 2 2 2 2 2 2 3 2" xfId="48042" xr:uid="{AEB9B38F-C7FF-4288-B52D-756E0BF6F343}"/>
    <cellStyle name="Comma 7 2 2 2 2 2 2 4" xfId="32922" xr:uid="{F629F951-D613-4EA2-AFF7-9AAAF670A5C9}"/>
    <cellStyle name="Comma 7 2 2 2 2 2 3" xfId="4194" xr:uid="{84FF5E7A-A4C1-453F-AB21-DDCE7AEEAC7A}"/>
    <cellStyle name="Comma 7 2 2 2 2 2 3 2" xfId="13266" xr:uid="{3711813F-8032-4B49-833C-FA41C5FA2821}"/>
    <cellStyle name="Comma 7 2 2 2 2 2 3 2 2" xfId="28386" xr:uid="{A2365572-C040-418B-ABDB-15BC71BCDC3F}"/>
    <cellStyle name="Comma 7 2 2 2 2 2 3 2 2 2" xfId="58626" xr:uid="{233D50F4-B785-4C65-8542-B7416895D267}"/>
    <cellStyle name="Comma 7 2 2 2 2 2 3 2 3" xfId="43506" xr:uid="{35979744-7B04-4BA7-AA08-5EB0251B35AC}"/>
    <cellStyle name="Comma 7 2 2 2 2 2 3 3" xfId="19314" xr:uid="{F1D935B0-B4D7-4101-8500-EB84C0BB3095}"/>
    <cellStyle name="Comma 7 2 2 2 2 2 3 3 2" xfId="49554" xr:uid="{21BB5E0B-F2AA-4600-87F7-2C33610B2277}"/>
    <cellStyle name="Comma 7 2 2 2 2 2 3 4" xfId="34434" xr:uid="{16D883A2-FEA7-4040-A0C0-B9B2E305CFA1}"/>
    <cellStyle name="Comma 7 2 2 2 2 2 4" xfId="5706" xr:uid="{86C626FC-308E-4969-A010-1A58EC0E4081}"/>
    <cellStyle name="Comma 7 2 2 2 2 2 4 2" xfId="14778" xr:uid="{A26571FA-AD9A-4D9A-A332-3F8FAEC9B389}"/>
    <cellStyle name="Comma 7 2 2 2 2 2 4 2 2" xfId="29898" xr:uid="{CEC306EE-090F-4721-93B1-4848E800B7FE}"/>
    <cellStyle name="Comma 7 2 2 2 2 2 4 2 2 2" xfId="60138" xr:uid="{18607DA0-9E42-4200-883D-B75E43C2598D}"/>
    <cellStyle name="Comma 7 2 2 2 2 2 4 2 3" xfId="45018" xr:uid="{4A0235AD-9218-4023-B0DD-EC5145B9DD86}"/>
    <cellStyle name="Comma 7 2 2 2 2 2 4 3" xfId="20826" xr:uid="{CD2075D6-5897-441A-A4E5-A18B01713C06}"/>
    <cellStyle name="Comma 7 2 2 2 2 2 4 3 2" xfId="51066" xr:uid="{083FB807-B9E7-4F4A-9791-02863995ABA9}"/>
    <cellStyle name="Comma 7 2 2 2 2 2 4 4" xfId="35946" xr:uid="{1DD70911-B018-4F4D-B98C-7DDB4A2695AC}"/>
    <cellStyle name="Comma 7 2 2 2 2 2 5" xfId="7218" xr:uid="{2F4C919F-1FEA-4774-BC9E-96598AF9A271}"/>
    <cellStyle name="Comma 7 2 2 2 2 2 5 2" xfId="22338" xr:uid="{8CE7082C-ED4C-4DC6-BD30-BFC143004A30}"/>
    <cellStyle name="Comma 7 2 2 2 2 2 5 2 2" xfId="52578" xr:uid="{9E3E0E3B-B982-4002-B251-5382BC2DC4FF}"/>
    <cellStyle name="Comma 7 2 2 2 2 2 5 3" xfId="37458" xr:uid="{342442A5-7E17-4970-98DF-F84FD434C1AE}"/>
    <cellStyle name="Comma 7 2 2 2 2 2 6" xfId="8730" xr:uid="{A99BA48B-C3AE-40A1-8341-C3E85A6F6909}"/>
    <cellStyle name="Comma 7 2 2 2 2 2 6 2" xfId="23850" xr:uid="{32AFC5FC-0C81-4CF5-8BE8-662769347C09}"/>
    <cellStyle name="Comma 7 2 2 2 2 2 6 2 2" xfId="54090" xr:uid="{6A768759-DBC8-4B26-A0B4-288467578CE0}"/>
    <cellStyle name="Comma 7 2 2 2 2 2 6 3" xfId="38970" xr:uid="{8DF8C72C-590B-4859-891A-611B98437F4B}"/>
    <cellStyle name="Comma 7 2 2 2 2 2 7" xfId="10242" xr:uid="{1D1DFE26-B6B2-48CE-B767-4B00777D245F}"/>
    <cellStyle name="Comma 7 2 2 2 2 2 7 2" xfId="25362" xr:uid="{0692A11A-5DF5-4ED8-AEC8-39B0832060AE}"/>
    <cellStyle name="Comma 7 2 2 2 2 2 7 2 2" xfId="55602" xr:uid="{9876C650-2D78-45B2-A5AD-31B56808CE63}"/>
    <cellStyle name="Comma 7 2 2 2 2 2 7 3" xfId="40482" xr:uid="{E978FC6D-CFD8-4ED0-BB99-EF8B44703302}"/>
    <cellStyle name="Comma 7 2 2 2 2 2 8" xfId="16290" xr:uid="{7D1121F8-36FF-44EC-834D-B1FD1A9B6F63}"/>
    <cellStyle name="Comma 7 2 2 2 2 2 8 2" xfId="46530" xr:uid="{EA8259B8-409D-4EEE-975A-A67C5A597422}"/>
    <cellStyle name="Comma 7 2 2 2 2 2 9" xfId="31410" xr:uid="{DABA36E8-05EB-4D1B-91D8-4F044B63E79F}"/>
    <cellStyle name="Comma 7 2 2 2 2 3" xfId="1926" xr:uid="{B82C21D5-8DE8-40B9-9E08-3F11A04578FB}"/>
    <cellStyle name="Comma 7 2 2 2 2 3 2" xfId="10998" xr:uid="{992564EB-DDB6-434D-8CAA-AA0E7105A7B3}"/>
    <cellStyle name="Comma 7 2 2 2 2 3 2 2" xfId="26118" xr:uid="{93FCB796-3C51-4C97-B2BD-88B903CA487D}"/>
    <cellStyle name="Comma 7 2 2 2 2 3 2 2 2" xfId="56358" xr:uid="{26109915-FC4C-4225-8EBB-AB87B993237C}"/>
    <cellStyle name="Comma 7 2 2 2 2 3 2 3" xfId="41238" xr:uid="{C4289559-C2EE-48B8-B8E3-6598786E15E6}"/>
    <cellStyle name="Comma 7 2 2 2 2 3 3" xfId="17046" xr:uid="{35E4473E-6644-4646-93CD-D1F06BAD5E4F}"/>
    <cellStyle name="Comma 7 2 2 2 2 3 3 2" xfId="47286" xr:uid="{5EC33019-0457-48BA-B618-D317AA522390}"/>
    <cellStyle name="Comma 7 2 2 2 2 3 4" xfId="32166" xr:uid="{A2E3A150-F9C4-4E0E-9D9A-E023E9463B6C}"/>
    <cellStyle name="Comma 7 2 2 2 2 4" xfId="3438" xr:uid="{7B4EB7F6-A8AA-4901-B102-03EE7913D2F9}"/>
    <cellStyle name="Comma 7 2 2 2 2 4 2" xfId="12510" xr:uid="{10F938FD-495A-485A-AA9F-B9AAB0526636}"/>
    <cellStyle name="Comma 7 2 2 2 2 4 2 2" xfId="27630" xr:uid="{E4272917-336E-4BF0-A466-4453681F38F9}"/>
    <cellStyle name="Comma 7 2 2 2 2 4 2 2 2" xfId="57870" xr:uid="{274BD2D1-FB50-48F7-B25F-69AABCD68647}"/>
    <cellStyle name="Comma 7 2 2 2 2 4 2 3" xfId="42750" xr:uid="{18C536B5-9404-4B26-9B46-B7F77A37AE17}"/>
    <cellStyle name="Comma 7 2 2 2 2 4 3" xfId="18558" xr:uid="{4EE733AC-3738-4A53-922D-0C4DB686AF16}"/>
    <cellStyle name="Comma 7 2 2 2 2 4 3 2" xfId="48798" xr:uid="{5CAB16D0-31E4-45B1-8A8F-A7B2360DB393}"/>
    <cellStyle name="Comma 7 2 2 2 2 4 4" xfId="33678" xr:uid="{2538A730-7FC6-45FA-8C23-AF2D5D7F9A25}"/>
    <cellStyle name="Comma 7 2 2 2 2 5" xfId="4950" xr:uid="{46E177FB-08DB-4743-9363-71E76FC09D23}"/>
    <cellStyle name="Comma 7 2 2 2 2 5 2" xfId="14022" xr:uid="{ACC44ED9-4A92-4947-8958-1A6F952145DA}"/>
    <cellStyle name="Comma 7 2 2 2 2 5 2 2" xfId="29142" xr:uid="{4876F7AC-431E-4B9E-AC5C-C1661372F238}"/>
    <cellStyle name="Comma 7 2 2 2 2 5 2 2 2" xfId="59382" xr:uid="{7E5C000A-161B-4882-8AB9-2923C3BB416A}"/>
    <cellStyle name="Comma 7 2 2 2 2 5 2 3" xfId="44262" xr:uid="{D01BB37F-5429-4458-9B28-E84867ED5015}"/>
    <cellStyle name="Comma 7 2 2 2 2 5 3" xfId="20070" xr:uid="{44EB357E-0DFE-4D55-84F3-1617EB3934E0}"/>
    <cellStyle name="Comma 7 2 2 2 2 5 3 2" xfId="50310" xr:uid="{75E07CF3-E2E0-47B8-A2C6-F78C93FEAD99}"/>
    <cellStyle name="Comma 7 2 2 2 2 5 4" xfId="35190" xr:uid="{21DB770B-3272-40A7-A14D-C239C83D51F6}"/>
    <cellStyle name="Comma 7 2 2 2 2 6" xfId="6462" xr:uid="{1680D28A-1E66-482A-9D9E-665887F32FFD}"/>
    <cellStyle name="Comma 7 2 2 2 2 6 2" xfId="21582" xr:uid="{027C5CE1-261B-43AE-AB41-69EA7C7D776F}"/>
    <cellStyle name="Comma 7 2 2 2 2 6 2 2" xfId="51822" xr:uid="{2C81299E-5DB1-4B8E-97A6-C5764C8A49D7}"/>
    <cellStyle name="Comma 7 2 2 2 2 6 3" xfId="36702" xr:uid="{BFDF5510-C7E5-4C36-AC62-71001FE0EDFD}"/>
    <cellStyle name="Comma 7 2 2 2 2 7" xfId="7974" xr:uid="{08B8D64B-ECAC-4372-98CB-22A1900383C5}"/>
    <cellStyle name="Comma 7 2 2 2 2 7 2" xfId="23094" xr:uid="{7BAC7E39-F07D-4707-B3E7-821D0BDD667F}"/>
    <cellStyle name="Comma 7 2 2 2 2 7 2 2" xfId="53334" xr:uid="{1743B959-60D1-48BA-8AB9-BDDE5EA40550}"/>
    <cellStyle name="Comma 7 2 2 2 2 7 3" xfId="38214" xr:uid="{C05E814C-8D92-41E4-8241-381BF24BEF43}"/>
    <cellStyle name="Comma 7 2 2 2 2 8" xfId="9486" xr:uid="{76525D50-5DF1-4B60-91AE-EACBA107E80A}"/>
    <cellStyle name="Comma 7 2 2 2 2 8 2" xfId="24606" xr:uid="{91A9B6CD-AE99-4AA0-938C-A76925AD0ECB}"/>
    <cellStyle name="Comma 7 2 2 2 2 8 2 2" xfId="54846" xr:uid="{01285BD1-900F-4747-B5AF-366B291DC428}"/>
    <cellStyle name="Comma 7 2 2 2 2 8 3" xfId="39726" xr:uid="{64538899-9FD0-426A-AD25-C0ACB4FF1695}"/>
    <cellStyle name="Comma 7 2 2 2 2 9" xfId="15534" xr:uid="{28E05A6B-F2B7-4D56-8763-65BCC815A3A3}"/>
    <cellStyle name="Comma 7 2 2 2 2 9 2" xfId="45774" xr:uid="{A4634342-6EFD-4B7A-A931-C9A686C9B99C}"/>
    <cellStyle name="Comma 7 2 2 2 3" xfId="666" xr:uid="{797CD9A4-274D-4676-AA78-2C9A5C5BFDB4}"/>
    <cellStyle name="Comma 7 2 2 2 3 10" xfId="30906" xr:uid="{6B763A85-0FC8-4527-9CEB-0F247F230962}"/>
    <cellStyle name="Comma 7 2 2 2 3 2" xfId="1422" xr:uid="{A7F75425-E8FE-4FF8-BFC6-D8C1E49605F9}"/>
    <cellStyle name="Comma 7 2 2 2 3 2 2" xfId="2934" xr:uid="{FB1B8841-BBB1-41F1-88C1-6D654A616732}"/>
    <cellStyle name="Comma 7 2 2 2 3 2 2 2" xfId="12006" xr:uid="{8DA04FB4-3A44-419D-B174-5D5E2AF3F272}"/>
    <cellStyle name="Comma 7 2 2 2 3 2 2 2 2" xfId="27126" xr:uid="{392187B5-1EDE-431B-B418-16B68D0FDCF8}"/>
    <cellStyle name="Comma 7 2 2 2 3 2 2 2 2 2" xfId="57366" xr:uid="{4D51ED8A-85DF-458A-B499-18BDC831170B}"/>
    <cellStyle name="Comma 7 2 2 2 3 2 2 2 3" xfId="42246" xr:uid="{F8F2DBD6-E558-4417-98EA-ECFACDB7088C}"/>
    <cellStyle name="Comma 7 2 2 2 3 2 2 3" xfId="18054" xr:uid="{41B48E7A-9B1F-477E-82B3-5CB2739F9568}"/>
    <cellStyle name="Comma 7 2 2 2 3 2 2 3 2" xfId="48294" xr:uid="{C112EFBA-05C6-4F09-8FF1-B21DC04EDD46}"/>
    <cellStyle name="Comma 7 2 2 2 3 2 2 4" xfId="33174" xr:uid="{740E2433-D280-4258-9554-65D54C6C6EFC}"/>
    <cellStyle name="Comma 7 2 2 2 3 2 3" xfId="4446" xr:uid="{B3E49264-9F4F-485A-8426-86DD0B0E13ED}"/>
    <cellStyle name="Comma 7 2 2 2 3 2 3 2" xfId="13518" xr:uid="{20349879-B593-4CCE-9C94-95D271274FDA}"/>
    <cellStyle name="Comma 7 2 2 2 3 2 3 2 2" xfId="28638" xr:uid="{FEBE5D3B-1ECE-4957-B003-10EF029152FF}"/>
    <cellStyle name="Comma 7 2 2 2 3 2 3 2 2 2" xfId="58878" xr:uid="{E706585D-5A1A-45C5-AB81-E987A4B0AED6}"/>
    <cellStyle name="Comma 7 2 2 2 3 2 3 2 3" xfId="43758" xr:uid="{0C602E70-DA05-463D-9541-4869130126C7}"/>
    <cellStyle name="Comma 7 2 2 2 3 2 3 3" xfId="19566" xr:uid="{506FE321-9BAC-4A68-A6B4-74A6EFB81719}"/>
    <cellStyle name="Comma 7 2 2 2 3 2 3 3 2" xfId="49806" xr:uid="{9304F975-EF63-4886-96ED-4F2BCBCB26D4}"/>
    <cellStyle name="Comma 7 2 2 2 3 2 3 4" xfId="34686" xr:uid="{C12F31DD-EAF4-44FF-9D31-3263660D3CE1}"/>
    <cellStyle name="Comma 7 2 2 2 3 2 4" xfId="5958" xr:uid="{8211C0DB-6EBC-4CFD-8B27-B60ED24B3765}"/>
    <cellStyle name="Comma 7 2 2 2 3 2 4 2" xfId="15030" xr:uid="{3E3CB78E-54AB-4DEC-A371-F6D0C073CF00}"/>
    <cellStyle name="Comma 7 2 2 2 3 2 4 2 2" xfId="30150" xr:uid="{F3E5720A-5C39-43D8-AA3E-C5BAF941029A}"/>
    <cellStyle name="Comma 7 2 2 2 3 2 4 2 2 2" xfId="60390" xr:uid="{B926A1B1-CF1E-4C88-B639-BC4D8970EC75}"/>
    <cellStyle name="Comma 7 2 2 2 3 2 4 2 3" xfId="45270" xr:uid="{A2B81F1B-6C51-4E20-BE8B-8DA166AEFD0F}"/>
    <cellStyle name="Comma 7 2 2 2 3 2 4 3" xfId="21078" xr:uid="{64752171-7FE7-4549-8AC8-71A410F59D40}"/>
    <cellStyle name="Comma 7 2 2 2 3 2 4 3 2" xfId="51318" xr:uid="{BE266D47-5CCA-4F10-BDF8-92C5BD940DE5}"/>
    <cellStyle name="Comma 7 2 2 2 3 2 4 4" xfId="36198" xr:uid="{C629E446-25A7-430D-A0EF-A7C4E7A82747}"/>
    <cellStyle name="Comma 7 2 2 2 3 2 5" xfId="7470" xr:uid="{50B22F5D-DA45-4B1C-B88B-71B00FC880F9}"/>
    <cellStyle name="Comma 7 2 2 2 3 2 5 2" xfId="22590" xr:uid="{17F62E5B-9BFE-431A-974F-7675C7833DA6}"/>
    <cellStyle name="Comma 7 2 2 2 3 2 5 2 2" xfId="52830" xr:uid="{BAE62418-7044-4B3D-8705-BE06A86B7BAF}"/>
    <cellStyle name="Comma 7 2 2 2 3 2 5 3" xfId="37710" xr:uid="{BC5EB6B6-6DFF-411E-AB5E-BFD5B00251E7}"/>
    <cellStyle name="Comma 7 2 2 2 3 2 6" xfId="8982" xr:uid="{F89A75A1-106F-428B-A41B-C3D4F31D34F2}"/>
    <cellStyle name="Comma 7 2 2 2 3 2 6 2" xfId="24102" xr:uid="{2249693F-E796-40E6-91DB-F831069E074C}"/>
    <cellStyle name="Comma 7 2 2 2 3 2 6 2 2" xfId="54342" xr:uid="{4121F409-89C2-4957-B48C-858EFCD43EF7}"/>
    <cellStyle name="Comma 7 2 2 2 3 2 6 3" xfId="39222" xr:uid="{9FF1B0A1-1B0E-46F2-826D-87D2D98B1DA8}"/>
    <cellStyle name="Comma 7 2 2 2 3 2 7" xfId="10494" xr:uid="{3892767B-A959-40A9-8576-73D2E17C1647}"/>
    <cellStyle name="Comma 7 2 2 2 3 2 7 2" xfId="25614" xr:uid="{E8B0F23E-36C2-4C27-9490-05FDDA69D10E}"/>
    <cellStyle name="Comma 7 2 2 2 3 2 7 2 2" xfId="55854" xr:uid="{E95ACAF8-240D-48ED-A373-4CCD7B11A091}"/>
    <cellStyle name="Comma 7 2 2 2 3 2 7 3" xfId="40734" xr:uid="{A02525F8-4D09-4C18-ABF6-4108BA2A1C49}"/>
    <cellStyle name="Comma 7 2 2 2 3 2 8" xfId="16542" xr:uid="{14C810FB-49E2-4305-9B41-62EA21386BF4}"/>
    <cellStyle name="Comma 7 2 2 2 3 2 8 2" xfId="46782" xr:uid="{681B1E7E-4F9F-4326-8CCC-0960313C587C}"/>
    <cellStyle name="Comma 7 2 2 2 3 2 9" xfId="31662" xr:uid="{35F6320D-E3D1-4C81-91E7-07B61AA08768}"/>
    <cellStyle name="Comma 7 2 2 2 3 3" xfId="2178" xr:uid="{6B54E89A-69B4-42DB-8349-FCF6CE870998}"/>
    <cellStyle name="Comma 7 2 2 2 3 3 2" xfId="11250" xr:uid="{0054E0AF-3F7A-4631-B724-B5F27E5AA700}"/>
    <cellStyle name="Comma 7 2 2 2 3 3 2 2" xfId="26370" xr:uid="{73DAD7BE-0A6B-4EC3-ACFC-1F011840B48A}"/>
    <cellStyle name="Comma 7 2 2 2 3 3 2 2 2" xfId="56610" xr:uid="{B3A6FBE5-61CC-4786-8419-30E92E19B927}"/>
    <cellStyle name="Comma 7 2 2 2 3 3 2 3" xfId="41490" xr:uid="{7963549B-5C46-457D-8FB4-58885EB8DAD4}"/>
    <cellStyle name="Comma 7 2 2 2 3 3 3" xfId="17298" xr:uid="{3970FA0F-D188-441C-B545-5A4417D871BA}"/>
    <cellStyle name="Comma 7 2 2 2 3 3 3 2" xfId="47538" xr:uid="{7178F8E5-3EC4-43A6-8CF0-39FD1968B962}"/>
    <cellStyle name="Comma 7 2 2 2 3 3 4" xfId="32418" xr:uid="{D86D8AD1-E89C-4430-AF6B-997BE59667F5}"/>
    <cellStyle name="Comma 7 2 2 2 3 4" xfId="3690" xr:uid="{631BDB46-A231-408A-AF43-E8CEDB4E7A6A}"/>
    <cellStyle name="Comma 7 2 2 2 3 4 2" xfId="12762" xr:uid="{5247C05B-FEEF-4019-99C3-C70A5E82B262}"/>
    <cellStyle name="Comma 7 2 2 2 3 4 2 2" xfId="27882" xr:uid="{49D18644-7CA5-4272-B234-DB3805BA2180}"/>
    <cellStyle name="Comma 7 2 2 2 3 4 2 2 2" xfId="58122" xr:uid="{779F4B31-FB9B-4D04-BA78-8BBFEDC5A7E8}"/>
    <cellStyle name="Comma 7 2 2 2 3 4 2 3" xfId="43002" xr:uid="{5E1DC14A-05CA-4F93-ADE7-4AB935EBBEFF}"/>
    <cellStyle name="Comma 7 2 2 2 3 4 3" xfId="18810" xr:uid="{B668D35F-B4D7-4002-BD23-9925E5D39A38}"/>
    <cellStyle name="Comma 7 2 2 2 3 4 3 2" xfId="49050" xr:uid="{E9179BB8-2B02-4F74-8DEA-DE13787E4946}"/>
    <cellStyle name="Comma 7 2 2 2 3 4 4" xfId="33930" xr:uid="{50551D13-D432-40E1-8EF3-D71DCBBCF8EB}"/>
    <cellStyle name="Comma 7 2 2 2 3 5" xfId="5202" xr:uid="{4BB2A807-D7C3-4484-A55A-5A56AA1EC397}"/>
    <cellStyle name="Comma 7 2 2 2 3 5 2" xfId="14274" xr:uid="{2AD0A0BC-BD31-4A79-896C-73E9EF1669E0}"/>
    <cellStyle name="Comma 7 2 2 2 3 5 2 2" xfId="29394" xr:uid="{A829E58A-B972-4C5C-BF57-555B94B380B2}"/>
    <cellStyle name="Comma 7 2 2 2 3 5 2 2 2" xfId="59634" xr:uid="{C3C2174C-6CC4-4484-AB9C-CEDC08530784}"/>
    <cellStyle name="Comma 7 2 2 2 3 5 2 3" xfId="44514" xr:uid="{514E1134-6A22-4DD4-988B-CD270F65A3B6}"/>
    <cellStyle name="Comma 7 2 2 2 3 5 3" xfId="20322" xr:uid="{DFE6381E-F85C-4544-BA5E-86FE69C99626}"/>
    <cellStyle name="Comma 7 2 2 2 3 5 3 2" xfId="50562" xr:uid="{93032A34-4E7F-4834-90F5-944C180EFB34}"/>
    <cellStyle name="Comma 7 2 2 2 3 5 4" xfId="35442" xr:uid="{87B446F2-02BE-4BDD-AB1F-07CD9B8D19FE}"/>
    <cellStyle name="Comma 7 2 2 2 3 6" xfId="6714" xr:uid="{B0475639-324F-4A81-878B-70AA0CBF8AF7}"/>
    <cellStyle name="Comma 7 2 2 2 3 6 2" xfId="21834" xr:uid="{17E8467F-E2D9-4242-BA84-F8840F02EA45}"/>
    <cellStyle name="Comma 7 2 2 2 3 6 2 2" xfId="52074" xr:uid="{BFC0AC66-F4B6-4CCF-9F90-DFCE15AA9F1C}"/>
    <cellStyle name="Comma 7 2 2 2 3 6 3" xfId="36954" xr:uid="{08F8028E-F3B5-4FF0-9B9A-10D4C71A16FF}"/>
    <cellStyle name="Comma 7 2 2 2 3 7" xfId="8226" xr:uid="{1E527CFF-03C0-4A84-93F5-4CF55FB0C508}"/>
    <cellStyle name="Comma 7 2 2 2 3 7 2" xfId="23346" xr:uid="{3F955763-0E86-4F40-B240-8CEE7EB9D7D0}"/>
    <cellStyle name="Comma 7 2 2 2 3 7 2 2" xfId="53586" xr:uid="{4F3343AB-7716-40BA-8F92-065FFE02F67C}"/>
    <cellStyle name="Comma 7 2 2 2 3 7 3" xfId="38466" xr:uid="{FA5EBB14-FAC5-41E4-8B2E-562CAF3B40E5}"/>
    <cellStyle name="Comma 7 2 2 2 3 8" xfId="9738" xr:uid="{62DFC6CD-B814-45A5-BB20-28ECBBF3AF6D}"/>
    <cellStyle name="Comma 7 2 2 2 3 8 2" xfId="24858" xr:uid="{FBE71D49-48EA-4380-8E5F-DA28A1393D41}"/>
    <cellStyle name="Comma 7 2 2 2 3 8 2 2" xfId="55098" xr:uid="{02D77341-C420-4917-B382-0C846D40CCE1}"/>
    <cellStyle name="Comma 7 2 2 2 3 8 3" xfId="39978" xr:uid="{F0663224-4185-4676-9C1D-F83222263051}"/>
    <cellStyle name="Comma 7 2 2 2 3 9" xfId="15786" xr:uid="{D688017F-6A2A-4D65-AE6C-37F5439EAB7A}"/>
    <cellStyle name="Comma 7 2 2 2 3 9 2" xfId="46026" xr:uid="{5EE5B1AA-9CCB-4FBE-9894-26C18148C1A5}"/>
    <cellStyle name="Comma 7 2 2 2 4" xfId="918" xr:uid="{99320690-7C99-4EFF-98F6-414EAA9DB9BD}"/>
    <cellStyle name="Comma 7 2 2 2 4 2" xfId="2430" xr:uid="{1D9B2D71-7AE9-4AEB-87E0-A15D6C044C36}"/>
    <cellStyle name="Comma 7 2 2 2 4 2 2" xfId="11502" xr:uid="{447160B0-FD25-4D24-B807-2F36A5C62A65}"/>
    <cellStyle name="Comma 7 2 2 2 4 2 2 2" xfId="26622" xr:uid="{499D4247-4445-4ED8-9C42-50FECD5DA49A}"/>
    <cellStyle name="Comma 7 2 2 2 4 2 2 2 2" xfId="56862" xr:uid="{3C20526D-F0BB-41CD-B649-FA1F5EB45074}"/>
    <cellStyle name="Comma 7 2 2 2 4 2 2 3" xfId="41742" xr:uid="{749355FA-EA5F-40E8-B3F2-416A5A67CA4C}"/>
    <cellStyle name="Comma 7 2 2 2 4 2 3" xfId="17550" xr:uid="{9C528C5F-3F8F-4EB0-8FA0-4CADDBAD31F6}"/>
    <cellStyle name="Comma 7 2 2 2 4 2 3 2" xfId="47790" xr:uid="{3F4192C4-ED0D-4D96-9A18-086F96313221}"/>
    <cellStyle name="Comma 7 2 2 2 4 2 4" xfId="32670" xr:uid="{7BA801CB-2D7F-4648-8C5A-8369FE1740E5}"/>
    <cellStyle name="Comma 7 2 2 2 4 3" xfId="3942" xr:uid="{EAFBD827-2D85-4896-82AE-4A747D6476B0}"/>
    <cellStyle name="Comma 7 2 2 2 4 3 2" xfId="13014" xr:uid="{508C4509-24E4-417C-A3BD-D6F8461E7E1D}"/>
    <cellStyle name="Comma 7 2 2 2 4 3 2 2" xfId="28134" xr:uid="{55483526-89F1-4222-9157-D071D54F0FCB}"/>
    <cellStyle name="Comma 7 2 2 2 4 3 2 2 2" xfId="58374" xr:uid="{5EA6F8AC-CBAD-40DD-9BB4-72961FF9BB55}"/>
    <cellStyle name="Comma 7 2 2 2 4 3 2 3" xfId="43254" xr:uid="{DE13A9B8-A5B0-4355-BD55-AE77B8078B65}"/>
    <cellStyle name="Comma 7 2 2 2 4 3 3" xfId="19062" xr:uid="{3BDC0ED1-2DB7-41C3-9C6D-499C8DD6B5F1}"/>
    <cellStyle name="Comma 7 2 2 2 4 3 3 2" xfId="49302" xr:uid="{6DB5F3BE-3F50-4CFB-93C3-82566957881E}"/>
    <cellStyle name="Comma 7 2 2 2 4 3 4" xfId="34182" xr:uid="{B99D6A4F-01ED-4660-9419-F0165387F4D9}"/>
    <cellStyle name="Comma 7 2 2 2 4 4" xfId="5454" xr:uid="{656DE198-3738-4412-8318-F930B30F86C5}"/>
    <cellStyle name="Comma 7 2 2 2 4 4 2" xfId="14526" xr:uid="{6818BA85-51EE-4222-A13A-93CC29A08283}"/>
    <cellStyle name="Comma 7 2 2 2 4 4 2 2" xfId="29646" xr:uid="{4C8CEC58-EA8A-4769-BE8E-8D3CC42E4353}"/>
    <cellStyle name="Comma 7 2 2 2 4 4 2 2 2" xfId="59886" xr:uid="{0A934CE6-61C4-4B52-BBCE-D65D0667C01A}"/>
    <cellStyle name="Comma 7 2 2 2 4 4 2 3" xfId="44766" xr:uid="{0946E057-A9D1-445A-96D6-1FC8ED3568B7}"/>
    <cellStyle name="Comma 7 2 2 2 4 4 3" xfId="20574" xr:uid="{36944037-5EE1-4124-8AE4-532A9533157D}"/>
    <cellStyle name="Comma 7 2 2 2 4 4 3 2" xfId="50814" xr:uid="{E5954A1A-423A-4298-834E-AD6DCEB0169B}"/>
    <cellStyle name="Comma 7 2 2 2 4 4 4" xfId="35694" xr:uid="{FCFFFD79-BDF2-4547-B0BB-6D5953134395}"/>
    <cellStyle name="Comma 7 2 2 2 4 5" xfId="6966" xr:uid="{3F87AACE-10DA-4D57-AA2E-731DAD6EFB2B}"/>
    <cellStyle name="Comma 7 2 2 2 4 5 2" xfId="22086" xr:uid="{5B8F09D6-9F7A-43C5-AC50-B3EA935DAF47}"/>
    <cellStyle name="Comma 7 2 2 2 4 5 2 2" xfId="52326" xr:uid="{E0F2EF4C-93CD-4CEB-84E4-8C0FE625F3B1}"/>
    <cellStyle name="Comma 7 2 2 2 4 5 3" xfId="37206" xr:uid="{A2C5D219-FB5B-4F6D-ADE4-B380A6765AC1}"/>
    <cellStyle name="Comma 7 2 2 2 4 6" xfId="8478" xr:uid="{E6724E5C-0EF9-4ACD-AEC0-C9544284011C}"/>
    <cellStyle name="Comma 7 2 2 2 4 6 2" xfId="23598" xr:uid="{16EAC308-C9E9-4B68-9BFD-1745473DBDA6}"/>
    <cellStyle name="Comma 7 2 2 2 4 6 2 2" xfId="53838" xr:uid="{505BDA7D-9BCD-4727-885D-C868DDE5B2A6}"/>
    <cellStyle name="Comma 7 2 2 2 4 6 3" xfId="38718" xr:uid="{E4EA41F1-BF72-45F0-AB83-14888D0B7A7F}"/>
    <cellStyle name="Comma 7 2 2 2 4 7" xfId="9990" xr:uid="{14D5F9BA-D4B9-481B-8713-24DF5FD44C38}"/>
    <cellStyle name="Comma 7 2 2 2 4 7 2" xfId="25110" xr:uid="{386E6E9D-0B5B-431D-B0A5-315EAFCAA2A2}"/>
    <cellStyle name="Comma 7 2 2 2 4 7 2 2" xfId="55350" xr:uid="{06C8F19C-6814-4F80-A670-763B9D4B83DC}"/>
    <cellStyle name="Comma 7 2 2 2 4 7 3" xfId="40230" xr:uid="{08FC1FE1-F3D6-4DF7-A7CB-C7DE07C09763}"/>
    <cellStyle name="Comma 7 2 2 2 4 8" xfId="16038" xr:uid="{B640DA22-5B39-4C3D-9991-B0FE69125667}"/>
    <cellStyle name="Comma 7 2 2 2 4 8 2" xfId="46278" xr:uid="{5B80D2D2-E7D2-4BC3-A0AA-4C54FDA5D387}"/>
    <cellStyle name="Comma 7 2 2 2 4 9" xfId="31158" xr:uid="{E9B79E38-2FF6-443F-BE22-AA3E0873B4BF}"/>
    <cellStyle name="Comma 7 2 2 2 5" xfId="1674" xr:uid="{4969525C-E1F6-4532-A945-82381C412E85}"/>
    <cellStyle name="Comma 7 2 2 2 5 2" xfId="10746" xr:uid="{3970EB2B-EF05-4C3A-A120-35AF5380FA0D}"/>
    <cellStyle name="Comma 7 2 2 2 5 2 2" xfId="25866" xr:uid="{6C5A526F-114B-4655-88EB-4547F07D1ED4}"/>
    <cellStyle name="Comma 7 2 2 2 5 2 2 2" xfId="56106" xr:uid="{2B9C5108-E5EE-4896-9CDB-AD5BF4107085}"/>
    <cellStyle name="Comma 7 2 2 2 5 2 3" xfId="40986" xr:uid="{089D0286-E3AF-4ECD-AD72-07FF0344A254}"/>
    <cellStyle name="Comma 7 2 2 2 5 3" xfId="16794" xr:uid="{436D4386-1365-4E81-8934-D38A7CB2A7FF}"/>
    <cellStyle name="Comma 7 2 2 2 5 3 2" xfId="47034" xr:uid="{F6271914-380F-4DF5-BC16-1781766592A8}"/>
    <cellStyle name="Comma 7 2 2 2 5 4" xfId="31914" xr:uid="{4ACA37E0-7098-49CC-885A-56DADA340E7A}"/>
    <cellStyle name="Comma 7 2 2 2 6" xfId="3186" xr:uid="{8BB407BD-1B0C-4DC3-A28B-368C8695BED6}"/>
    <cellStyle name="Comma 7 2 2 2 6 2" xfId="12258" xr:uid="{0DDE1BC0-7A08-4773-8AC2-92602088464E}"/>
    <cellStyle name="Comma 7 2 2 2 6 2 2" xfId="27378" xr:uid="{2D98CB20-8CFB-4EBC-BDD8-DE8FDAD461B1}"/>
    <cellStyle name="Comma 7 2 2 2 6 2 2 2" xfId="57618" xr:uid="{980EFB74-CB3D-4A90-B912-8476918AD41E}"/>
    <cellStyle name="Comma 7 2 2 2 6 2 3" xfId="42498" xr:uid="{EE7C2108-ABEA-4824-AD84-1FE15781A02C}"/>
    <cellStyle name="Comma 7 2 2 2 6 3" xfId="18306" xr:uid="{243306AB-3BC9-4E54-8200-C14A0CBA9271}"/>
    <cellStyle name="Comma 7 2 2 2 6 3 2" xfId="48546" xr:uid="{BC35BDA8-DDCB-46E6-9174-2BA2CB41ABEF}"/>
    <cellStyle name="Comma 7 2 2 2 6 4" xfId="33426" xr:uid="{8B87D1BE-5ED9-4562-B0FE-8064BDB476E7}"/>
    <cellStyle name="Comma 7 2 2 2 7" xfId="4698" xr:uid="{ADA39E35-8A36-4D25-9887-4C81E3E44942}"/>
    <cellStyle name="Comma 7 2 2 2 7 2" xfId="13770" xr:uid="{8875E226-F55A-4B54-B44E-E7020F2BD063}"/>
    <cellStyle name="Comma 7 2 2 2 7 2 2" xfId="28890" xr:uid="{F44E6F6E-4A02-4B48-AF0E-F3B53F2A5CEA}"/>
    <cellStyle name="Comma 7 2 2 2 7 2 2 2" xfId="59130" xr:uid="{BC91475C-A448-47F0-A77A-1FD7A51A6009}"/>
    <cellStyle name="Comma 7 2 2 2 7 2 3" xfId="44010" xr:uid="{1C8378B9-4435-43D3-8E30-8115141AB303}"/>
    <cellStyle name="Comma 7 2 2 2 7 3" xfId="19818" xr:uid="{F7E56761-6D42-4006-915E-4B4F34C25447}"/>
    <cellStyle name="Comma 7 2 2 2 7 3 2" xfId="50058" xr:uid="{55C116E2-C48A-49C3-B819-5533D90C1E25}"/>
    <cellStyle name="Comma 7 2 2 2 7 4" xfId="34938" xr:uid="{13910370-6E2B-4D1C-9E38-3694341D31FA}"/>
    <cellStyle name="Comma 7 2 2 2 8" xfId="6210" xr:uid="{191B2E15-7FAA-4846-8389-BFAE6D8AB8D9}"/>
    <cellStyle name="Comma 7 2 2 2 8 2" xfId="21330" xr:uid="{81332119-76BC-478A-BAFB-87764692DCE9}"/>
    <cellStyle name="Comma 7 2 2 2 8 2 2" xfId="51570" xr:uid="{965A424D-E1BB-42F0-A9D4-71DFFACFD32D}"/>
    <cellStyle name="Comma 7 2 2 2 8 3" xfId="36450" xr:uid="{1FB64D7E-9375-43CF-878A-71662BF09426}"/>
    <cellStyle name="Comma 7 2 2 2 9" xfId="7722" xr:uid="{EB1A43D0-9ED9-4BF1-AB27-857F9B1DAD02}"/>
    <cellStyle name="Comma 7 2 2 2 9 2" xfId="22842" xr:uid="{CD387B0B-4426-42E9-A4D7-43D59583C0F0}"/>
    <cellStyle name="Comma 7 2 2 2 9 2 2" xfId="53082" xr:uid="{173E38E1-B9A4-4B36-BA31-F72BEE090059}"/>
    <cellStyle name="Comma 7 2 2 2 9 3" xfId="37962" xr:uid="{9A4A2DAA-9C9E-4933-AB9E-83FAFFFD5D43}"/>
    <cellStyle name="Comma 7 2 2 3" xfId="246" xr:uid="{5F9051B4-9766-41A9-A926-F500B3560875}"/>
    <cellStyle name="Comma 7 2 2 3 10" xfId="9318" xr:uid="{76CE9D0B-884A-4F39-91EC-BF28A29EB41B}"/>
    <cellStyle name="Comma 7 2 2 3 10 2" xfId="24438" xr:uid="{EB6CBBF8-FA2E-4B96-A875-BE0F03C78D8D}"/>
    <cellStyle name="Comma 7 2 2 3 10 2 2" xfId="54678" xr:uid="{E657172F-E236-4D88-9076-2F0B62AD41DE}"/>
    <cellStyle name="Comma 7 2 2 3 10 3" xfId="39558" xr:uid="{308D6B28-83E7-499B-BA75-6142156E9D2C}"/>
    <cellStyle name="Comma 7 2 2 3 11" xfId="15366" xr:uid="{7AC4F66A-4D63-43E7-870C-9A8522BDFB95}"/>
    <cellStyle name="Comma 7 2 2 3 11 2" xfId="45606" xr:uid="{0AD57500-E531-4A72-AED0-3998342D4773}"/>
    <cellStyle name="Comma 7 2 2 3 12" xfId="30486" xr:uid="{F0B2C175-5B5A-4EF8-B636-67421933B191}"/>
    <cellStyle name="Comma 7 2 2 3 2" xfId="498" xr:uid="{39980179-AC80-453D-B2C7-624093A70137}"/>
    <cellStyle name="Comma 7 2 2 3 2 10" xfId="30738" xr:uid="{7A34135C-5DB2-4A6F-A4CC-578CD43B3661}"/>
    <cellStyle name="Comma 7 2 2 3 2 2" xfId="1254" xr:uid="{024AB3BD-81B6-4CEB-B848-4FA1D0AE030F}"/>
    <cellStyle name="Comma 7 2 2 3 2 2 2" xfId="2766" xr:uid="{AEAF6091-07E5-442D-9E02-0EC89D77FC6B}"/>
    <cellStyle name="Comma 7 2 2 3 2 2 2 2" xfId="11838" xr:uid="{144CC144-68DD-4B9D-9E00-230AA2ABA6A9}"/>
    <cellStyle name="Comma 7 2 2 3 2 2 2 2 2" xfId="26958" xr:uid="{1E1A1601-42EA-49F8-AE3F-3C2A963AE517}"/>
    <cellStyle name="Comma 7 2 2 3 2 2 2 2 2 2" xfId="57198" xr:uid="{F4363EBC-A480-4253-AFEE-49746A1A5981}"/>
    <cellStyle name="Comma 7 2 2 3 2 2 2 2 3" xfId="42078" xr:uid="{A0F9F400-E90B-403D-AE1A-705A5215BA19}"/>
    <cellStyle name="Comma 7 2 2 3 2 2 2 3" xfId="17886" xr:uid="{9FAE69D5-3C52-4EEE-B005-67B38A5DC1A2}"/>
    <cellStyle name="Comma 7 2 2 3 2 2 2 3 2" xfId="48126" xr:uid="{142585F9-E6EB-4020-A48C-F4F96785CB0C}"/>
    <cellStyle name="Comma 7 2 2 3 2 2 2 4" xfId="33006" xr:uid="{A71C5C58-623C-491C-A80E-4085B245EBE9}"/>
    <cellStyle name="Comma 7 2 2 3 2 2 3" xfId="4278" xr:uid="{84F1C954-2AFB-4E10-A59F-FB3F2055E3DE}"/>
    <cellStyle name="Comma 7 2 2 3 2 2 3 2" xfId="13350" xr:uid="{93E19EC1-2774-4CBA-B40B-9A7C4F85AA8F}"/>
    <cellStyle name="Comma 7 2 2 3 2 2 3 2 2" xfId="28470" xr:uid="{4712D8E4-FC18-45F9-B532-0FD4DED82EA4}"/>
    <cellStyle name="Comma 7 2 2 3 2 2 3 2 2 2" xfId="58710" xr:uid="{49B9CCD3-EDFB-416C-A79B-CFFFA8123A18}"/>
    <cellStyle name="Comma 7 2 2 3 2 2 3 2 3" xfId="43590" xr:uid="{7FE55DCC-3D3C-46D7-A49B-AFD036006189}"/>
    <cellStyle name="Comma 7 2 2 3 2 2 3 3" xfId="19398" xr:uid="{563B0086-162A-4194-93D6-D2A00E4ACDF8}"/>
    <cellStyle name="Comma 7 2 2 3 2 2 3 3 2" xfId="49638" xr:uid="{C677D6B2-6300-4A45-91FB-ED0F65ED2E9C}"/>
    <cellStyle name="Comma 7 2 2 3 2 2 3 4" xfId="34518" xr:uid="{E89A3796-5624-46C1-A0BF-219FA061BF11}"/>
    <cellStyle name="Comma 7 2 2 3 2 2 4" xfId="5790" xr:uid="{4159B61B-6673-4955-B0BD-593D20FFA037}"/>
    <cellStyle name="Comma 7 2 2 3 2 2 4 2" xfId="14862" xr:uid="{42BB4518-F0A4-4E93-919B-D7D0A7452ED0}"/>
    <cellStyle name="Comma 7 2 2 3 2 2 4 2 2" xfId="29982" xr:uid="{BD46F014-7C35-43AC-8E9F-79707AA0E3B1}"/>
    <cellStyle name="Comma 7 2 2 3 2 2 4 2 2 2" xfId="60222" xr:uid="{02A52C61-F36E-457B-B4AB-15D4E69F96E5}"/>
    <cellStyle name="Comma 7 2 2 3 2 2 4 2 3" xfId="45102" xr:uid="{E79B281A-2ED6-4782-8A4A-6711799C70A1}"/>
    <cellStyle name="Comma 7 2 2 3 2 2 4 3" xfId="20910" xr:uid="{C81A3E4F-E774-4476-9BEE-19B0D9F63B1E}"/>
    <cellStyle name="Comma 7 2 2 3 2 2 4 3 2" xfId="51150" xr:uid="{8B0A1B32-7DDF-4166-8A4C-E1C27A1825F4}"/>
    <cellStyle name="Comma 7 2 2 3 2 2 4 4" xfId="36030" xr:uid="{C450F277-BD87-4AFA-9487-9E7D6C25C6C8}"/>
    <cellStyle name="Comma 7 2 2 3 2 2 5" xfId="7302" xr:uid="{1ACCA583-B616-46EC-B5E8-337550982D1E}"/>
    <cellStyle name="Comma 7 2 2 3 2 2 5 2" xfId="22422" xr:uid="{1E62FDA3-EBBD-4A1B-87F1-F816759E1E5D}"/>
    <cellStyle name="Comma 7 2 2 3 2 2 5 2 2" xfId="52662" xr:uid="{4AFF9C36-C5D8-4690-8BFC-AAA02D3BA7D9}"/>
    <cellStyle name="Comma 7 2 2 3 2 2 5 3" xfId="37542" xr:uid="{0373FB6F-6389-4529-BDAA-AFA22559E2D3}"/>
    <cellStyle name="Comma 7 2 2 3 2 2 6" xfId="8814" xr:uid="{1BD9034D-1548-4E4B-A9B9-0B6423E45159}"/>
    <cellStyle name="Comma 7 2 2 3 2 2 6 2" xfId="23934" xr:uid="{57C7DECB-2261-41E6-9E13-9B881645B601}"/>
    <cellStyle name="Comma 7 2 2 3 2 2 6 2 2" xfId="54174" xr:uid="{557E5FED-5DF6-4735-AFAD-A059A4D987C9}"/>
    <cellStyle name="Comma 7 2 2 3 2 2 6 3" xfId="39054" xr:uid="{D53003AE-66E4-4E94-89E4-C44A42402EFE}"/>
    <cellStyle name="Comma 7 2 2 3 2 2 7" xfId="10326" xr:uid="{E543238F-7567-4C17-86C1-24F61D35A417}"/>
    <cellStyle name="Comma 7 2 2 3 2 2 7 2" xfId="25446" xr:uid="{22A128A2-8D8C-4B72-B142-AF939920504E}"/>
    <cellStyle name="Comma 7 2 2 3 2 2 7 2 2" xfId="55686" xr:uid="{E54D515E-8645-4BD4-8AB0-57140044D86A}"/>
    <cellStyle name="Comma 7 2 2 3 2 2 7 3" xfId="40566" xr:uid="{74082CC8-8B68-45C2-98F0-B314B7059871}"/>
    <cellStyle name="Comma 7 2 2 3 2 2 8" xfId="16374" xr:uid="{FADC5FBE-7011-4469-805A-92EAE1707CDF}"/>
    <cellStyle name="Comma 7 2 2 3 2 2 8 2" xfId="46614" xr:uid="{2CA1780F-31F0-4D9E-905B-02908054A9FD}"/>
    <cellStyle name="Comma 7 2 2 3 2 2 9" xfId="31494" xr:uid="{672A8A84-28B5-4EF2-A3C1-F470E2DA58BA}"/>
    <cellStyle name="Comma 7 2 2 3 2 3" xfId="2010" xr:uid="{F982FDE7-E32B-4BA7-84FB-0BDC1D941735}"/>
    <cellStyle name="Comma 7 2 2 3 2 3 2" xfId="11082" xr:uid="{00448AA6-33C4-4BED-80EC-BF682AADE27E}"/>
    <cellStyle name="Comma 7 2 2 3 2 3 2 2" xfId="26202" xr:uid="{FE1D2EEB-EE1F-4793-901B-7EC2DAE721E1}"/>
    <cellStyle name="Comma 7 2 2 3 2 3 2 2 2" xfId="56442" xr:uid="{CBDDB96E-176A-4E05-B8A7-8E38ADC5FD16}"/>
    <cellStyle name="Comma 7 2 2 3 2 3 2 3" xfId="41322" xr:uid="{FD79E05B-E9E0-4CDF-B1D7-774AE0479FA7}"/>
    <cellStyle name="Comma 7 2 2 3 2 3 3" xfId="17130" xr:uid="{44F45836-7068-4452-99B4-799DC6E0586D}"/>
    <cellStyle name="Comma 7 2 2 3 2 3 3 2" xfId="47370" xr:uid="{7F49ED9B-4906-4BBB-ACB1-34A868ADBD18}"/>
    <cellStyle name="Comma 7 2 2 3 2 3 4" xfId="32250" xr:uid="{72C3A539-66B9-449B-BCA3-D5FD41048EDF}"/>
    <cellStyle name="Comma 7 2 2 3 2 4" xfId="3522" xr:uid="{5E3A59C6-AA24-4688-9796-137CD47D4495}"/>
    <cellStyle name="Comma 7 2 2 3 2 4 2" xfId="12594" xr:uid="{3D2C8C90-748B-4045-9650-C445BD0A1CE0}"/>
    <cellStyle name="Comma 7 2 2 3 2 4 2 2" xfId="27714" xr:uid="{05EED84C-571A-40FF-8B7F-42479CEC018E}"/>
    <cellStyle name="Comma 7 2 2 3 2 4 2 2 2" xfId="57954" xr:uid="{BA3F5E4A-A38D-44D3-A40D-53E923AB16F3}"/>
    <cellStyle name="Comma 7 2 2 3 2 4 2 3" xfId="42834" xr:uid="{14EEFB34-671C-455A-AA56-786D3C165EB8}"/>
    <cellStyle name="Comma 7 2 2 3 2 4 3" xfId="18642" xr:uid="{49852FDF-6F51-4BAC-863E-2D86B32CE35F}"/>
    <cellStyle name="Comma 7 2 2 3 2 4 3 2" xfId="48882" xr:uid="{9F9737A5-5539-4368-9D01-622985ECECDD}"/>
    <cellStyle name="Comma 7 2 2 3 2 4 4" xfId="33762" xr:uid="{4D13FDA9-CFD9-4D1E-AAD3-EF79671877A6}"/>
    <cellStyle name="Comma 7 2 2 3 2 5" xfId="5034" xr:uid="{E7799716-F0CA-4E9E-B8BD-E458FAE8B4C3}"/>
    <cellStyle name="Comma 7 2 2 3 2 5 2" xfId="14106" xr:uid="{E1935AC7-D302-4D29-BC5E-2643CE5C0DD5}"/>
    <cellStyle name="Comma 7 2 2 3 2 5 2 2" xfId="29226" xr:uid="{901525DE-79E2-4AE4-BD0B-9085ED05823A}"/>
    <cellStyle name="Comma 7 2 2 3 2 5 2 2 2" xfId="59466" xr:uid="{20C82B40-8CAE-4B10-B12C-AA6B7FA03111}"/>
    <cellStyle name="Comma 7 2 2 3 2 5 2 3" xfId="44346" xr:uid="{46A68D56-BF1E-40EF-82E8-DC04AEAA8F80}"/>
    <cellStyle name="Comma 7 2 2 3 2 5 3" xfId="20154" xr:uid="{226C6422-53F6-464F-B3BD-F063F0025A5D}"/>
    <cellStyle name="Comma 7 2 2 3 2 5 3 2" xfId="50394" xr:uid="{C9341ECF-13FC-44A6-A793-610F2CA8912E}"/>
    <cellStyle name="Comma 7 2 2 3 2 5 4" xfId="35274" xr:uid="{63313B7A-DF21-4915-BCF8-49690FCCECA3}"/>
    <cellStyle name="Comma 7 2 2 3 2 6" xfId="6546" xr:uid="{2AC67A01-FF48-4AD2-9298-C6405D4FB3A1}"/>
    <cellStyle name="Comma 7 2 2 3 2 6 2" xfId="21666" xr:uid="{28B2E55C-92C4-4189-B485-2B92B4F54132}"/>
    <cellStyle name="Comma 7 2 2 3 2 6 2 2" xfId="51906" xr:uid="{E8BC4EF1-2D16-4D2A-8669-055DF7C24131}"/>
    <cellStyle name="Comma 7 2 2 3 2 6 3" xfId="36786" xr:uid="{05C4B64D-3F33-4AB7-8ECB-FA4ED824EBCD}"/>
    <cellStyle name="Comma 7 2 2 3 2 7" xfId="8058" xr:uid="{4B0F123B-2A08-46E9-B586-948AA66DD352}"/>
    <cellStyle name="Comma 7 2 2 3 2 7 2" xfId="23178" xr:uid="{9FA9E864-3492-410F-B1FE-43A8B9EBA996}"/>
    <cellStyle name="Comma 7 2 2 3 2 7 2 2" xfId="53418" xr:uid="{FFAAE8EA-0186-4AA1-91E4-66048D2BCE3E}"/>
    <cellStyle name="Comma 7 2 2 3 2 7 3" xfId="38298" xr:uid="{8EC03DBA-4D39-4847-A22C-3F9F8D32F170}"/>
    <cellStyle name="Comma 7 2 2 3 2 8" xfId="9570" xr:uid="{EF43F8EB-00D4-40E1-BC04-9544880FCA70}"/>
    <cellStyle name="Comma 7 2 2 3 2 8 2" xfId="24690" xr:uid="{8B15F8F3-AFC2-4003-80BB-858244BCB3BA}"/>
    <cellStyle name="Comma 7 2 2 3 2 8 2 2" xfId="54930" xr:uid="{23EB4886-1135-4469-9FC8-A107C87A3E48}"/>
    <cellStyle name="Comma 7 2 2 3 2 8 3" xfId="39810" xr:uid="{C7E77B81-6208-42E5-8B84-2770CF15F6D5}"/>
    <cellStyle name="Comma 7 2 2 3 2 9" xfId="15618" xr:uid="{A631A8B4-BFA2-4AB2-B77C-8D480A0965AE}"/>
    <cellStyle name="Comma 7 2 2 3 2 9 2" xfId="45858" xr:uid="{7D0F7C31-9176-428B-AFB8-66987AEC7D3E}"/>
    <cellStyle name="Comma 7 2 2 3 3" xfId="750" xr:uid="{BADE7E7D-4154-475C-B83A-5C8FB379C3A9}"/>
    <cellStyle name="Comma 7 2 2 3 3 10" xfId="30990" xr:uid="{9B03544B-FD82-40A7-B204-B6C1DC628958}"/>
    <cellStyle name="Comma 7 2 2 3 3 2" xfId="1506" xr:uid="{B2ABD38C-1682-433F-9F72-20EBD46EC03B}"/>
    <cellStyle name="Comma 7 2 2 3 3 2 2" xfId="3018" xr:uid="{DDF109F5-85A9-4FD8-8919-74E6B4630CD1}"/>
    <cellStyle name="Comma 7 2 2 3 3 2 2 2" xfId="12090" xr:uid="{3BBF4B43-0A12-41FC-AF6E-7E49624DC9EB}"/>
    <cellStyle name="Comma 7 2 2 3 3 2 2 2 2" xfId="27210" xr:uid="{620E9D3E-D48E-4BA3-851C-82FC0192CF94}"/>
    <cellStyle name="Comma 7 2 2 3 3 2 2 2 2 2" xfId="57450" xr:uid="{8F27ED8F-C062-4FC5-AC6E-70CF4022E02C}"/>
    <cellStyle name="Comma 7 2 2 3 3 2 2 2 3" xfId="42330" xr:uid="{43E79741-352E-404B-9543-E5DB9B15B30A}"/>
    <cellStyle name="Comma 7 2 2 3 3 2 2 3" xfId="18138" xr:uid="{3B6ED5C9-A3CA-43A0-8EEC-7DCB4435214F}"/>
    <cellStyle name="Comma 7 2 2 3 3 2 2 3 2" xfId="48378" xr:uid="{E94ABE2C-6579-4880-AB71-A4A77E85B6C5}"/>
    <cellStyle name="Comma 7 2 2 3 3 2 2 4" xfId="33258" xr:uid="{CCBAD7F3-1AD6-4849-A005-40D206509165}"/>
    <cellStyle name="Comma 7 2 2 3 3 2 3" xfId="4530" xr:uid="{287EFC49-6931-4A19-8EEC-706A7E82D7F8}"/>
    <cellStyle name="Comma 7 2 2 3 3 2 3 2" xfId="13602" xr:uid="{392E8372-43AE-4403-8CBF-33DA9FE1B1CA}"/>
    <cellStyle name="Comma 7 2 2 3 3 2 3 2 2" xfId="28722" xr:uid="{94DF59DD-A376-40EB-A7F0-2B005499E055}"/>
    <cellStyle name="Comma 7 2 2 3 3 2 3 2 2 2" xfId="58962" xr:uid="{5B495A90-8081-47AC-B509-970F940318C4}"/>
    <cellStyle name="Comma 7 2 2 3 3 2 3 2 3" xfId="43842" xr:uid="{8450A771-65BB-401B-9510-58A59D0BE4A9}"/>
    <cellStyle name="Comma 7 2 2 3 3 2 3 3" xfId="19650" xr:uid="{B04CD660-72D8-44D4-B5FC-20B1197C34BB}"/>
    <cellStyle name="Comma 7 2 2 3 3 2 3 3 2" xfId="49890" xr:uid="{674EC926-3353-415B-ABED-19250A99550B}"/>
    <cellStyle name="Comma 7 2 2 3 3 2 3 4" xfId="34770" xr:uid="{94BF066C-DA07-4A40-B4A0-0D7118F51D2C}"/>
    <cellStyle name="Comma 7 2 2 3 3 2 4" xfId="6042" xr:uid="{8D2C7E31-78D3-4068-88DB-9F6AB4BD4E57}"/>
    <cellStyle name="Comma 7 2 2 3 3 2 4 2" xfId="15114" xr:uid="{E620B668-85FD-4CA3-BDE3-53E80AA9CDAC}"/>
    <cellStyle name="Comma 7 2 2 3 3 2 4 2 2" xfId="30234" xr:uid="{58AF0228-B0DF-4D42-87EA-11CB38B3BB17}"/>
    <cellStyle name="Comma 7 2 2 3 3 2 4 2 2 2" xfId="60474" xr:uid="{F624E060-DED1-4B46-BCB6-71EAB55E4256}"/>
    <cellStyle name="Comma 7 2 2 3 3 2 4 2 3" xfId="45354" xr:uid="{40D5A7FC-482D-4D14-B6FF-0BCE9EC04809}"/>
    <cellStyle name="Comma 7 2 2 3 3 2 4 3" xfId="21162" xr:uid="{5C8990A5-9D54-4407-BBC7-EEA9E8D6E8E6}"/>
    <cellStyle name="Comma 7 2 2 3 3 2 4 3 2" xfId="51402" xr:uid="{55E6D2B8-BF3F-44E7-94B4-0F0BDB7E6C7E}"/>
    <cellStyle name="Comma 7 2 2 3 3 2 4 4" xfId="36282" xr:uid="{3815C56F-AA97-41A4-8FBD-2B92D269F2E8}"/>
    <cellStyle name="Comma 7 2 2 3 3 2 5" xfId="7554" xr:uid="{7734476C-6766-4D65-82C2-F43C43E03659}"/>
    <cellStyle name="Comma 7 2 2 3 3 2 5 2" xfId="22674" xr:uid="{1FF32AD3-C919-42F3-80EF-97B6EC23F89D}"/>
    <cellStyle name="Comma 7 2 2 3 3 2 5 2 2" xfId="52914" xr:uid="{FE1992DE-E24F-4103-8430-57D25A159E55}"/>
    <cellStyle name="Comma 7 2 2 3 3 2 5 3" xfId="37794" xr:uid="{70C9722E-1868-45F8-82EA-2092EC3456DF}"/>
    <cellStyle name="Comma 7 2 2 3 3 2 6" xfId="9066" xr:uid="{19BB2604-CB66-483D-AA98-7BC0AEB8DFA5}"/>
    <cellStyle name="Comma 7 2 2 3 3 2 6 2" xfId="24186" xr:uid="{C4E6A8C9-C0F3-4C34-BE4B-E229DDCB9FFB}"/>
    <cellStyle name="Comma 7 2 2 3 3 2 6 2 2" xfId="54426" xr:uid="{53BFA3F5-406B-41D7-99F6-39D505383F0E}"/>
    <cellStyle name="Comma 7 2 2 3 3 2 6 3" xfId="39306" xr:uid="{0A1A0131-7F22-4CB1-80CC-62C7687CB34C}"/>
    <cellStyle name="Comma 7 2 2 3 3 2 7" xfId="10578" xr:uid="{7325B936-7D01-4BE4-B836-3D66AFFFCD46}"/>
    <cellStyle name="Comma 7 2 2 3 3 2 7 2" xfId="25698" xr:uid="{64130C88-BBA1-4444-A82F-BB477273480E}"/>
    <cellStyle name="Comma 7 2 2 3 3 2 7 2 2" xfId="55938" xr:uid="{2005BB59-9EFA-45FF-A388-632EC4E03EA1}"/>
    <cellStyle name="Comma 7 2 2 3 3 2 7 3" xfId="40818" xr:uid="{36E93B4E-7732-42D5-BAE9-2FD58374FCF3}"/>
    <cellStyle name="Comma 7 2 2 3 3 2 8" xfId="16626" xr:uid="{8AA4ADA1-9BF9-4007-90FB-9DA878EF2603}"/>
    <cellStyle name="Comma 7 2 2 3 3 2 8 2" xfId="46866" xr:uid="{AE8875AB-1B7C-49C5-AE3A-D00995D71CFF}"/>
    <cellStyle name="Comma 7 2 2 3 3 2 9" xfId="31746" xr:uid="{69CEA70E-9197-4A0E-902D-6F1EBBC62054}"/>
    <cellStyle name="Comma 7 2 2 3 3 3" xfId="2262" xr:uid="{D8411254-70E4-48CC-9953-4C93590807A6}"/>
    <cellStyle name="Comma 7 2 2 3 3 3 2" xfId="11334" xr:uid="{32E0C04B-02AB-4513-B900-E65030E3A6BB}"/>
    <cellStyle name="Comma 7 2 2 3 3 3 2 2" xfId="26454" xr:uid="{368385EE-31EA-4209-8723-9F4D68B13B66}"/>
    <cellStyle name="Comma 7 2 2 3 3 3 2 2 2" xfId="56694" xr:uid="{4258B1BB-C554-4F02-900D-EF1B79044D16}"/>
    <cellStyle name="Comma 7 2 2 3 3 3 2 3" xfId="41574" xr:uid="{384DC553-D09A-4F46-AA3D-7E73793000AD}"/>
    <cellStyle name="Comma 7 2 2 3 3 3 3" xfId="17382" xr:uid="{C9BB6B6B-6D46-4B21-BDF8-7262FBFD2BEC}"/>
    <cellStyle name="Comma 7 2 2 3 3 3 3 2" xfId="47622" xr:uid="{13C35E05-E377-4B80-8BCC-14BF6D1A9281}"/>
    <cellStyle name="Comma 7 2 2 3 3 3 4" xfId="32502" xr:uid="{92B923F0-904D-420A-938A-328F3B1CFFF1}"/>
    <cellStyle name="Comma 7 2 2 3 3 4" xfId="3774" xr:uid="{91DC1628-6C94-46A5-BF37-4B24863D4AAD}"/>
    <cellStyle name="Comma 7 2 2 3 3 4 2" xfId="12846" xr:uid="{9A76FCE7-B7F0-426D-95B6-C7CA81D42818}"/>
    <cellStyle name="Comma 7 2 2 3 3 4 2 2" xfId="27966" xr:uid="{1A1E618B-0CA1-498A-955E-CA1CEFE7FBBF}"/>
    <cellStyle name="Comma 7 2 2 3 3 4 2 2 2" xfId="58206" xr:uid="{A7F19B9D-00DA-4B84-A937-50F99F339589}"/>
    <cellStyle name="Comma 7 2 2 3 3 4 2 3" xfId="43086" xr:uid="{EE61166F-DD22-4FC8-BD03-A62F36DC6D06}"/>
    <cellStyle name="Comma 7 2 2 3 3 4 3" xfId="18894" xr:uid="{B95DBC48-64C3-47CD-BCF8-A1C6EF4464CF}"/>
    <cellStyle name="Comma 7 2 2 3 3 4 3 2" xfId="49134" xr:uid="{92FC4A3C-DB71-4EE8-8582-6765A82D6082}"/>
    <cellStyle name="Comma 7 2 2 3 3 4 4" xfId="34014" xr:uid="{26FB1E29-70D0-4A46-9B0A-D81D2AE7AD2D}"/>
    <cellStyle name="Comma 7 2 2 3 3 5" xfId="5286" xr:uid="{976F7225-3CC0-44F3-B166-BA9B873699FA}"/>
    <cellStyle name="Comma 7 2 2 3 3 5 2" xfId="14358" xr:uid="{64B6E333-FDDC-4FF6-99F5-B5982FAE70C7}"/>
    <cellStyle name="Comma 7 2 2 3 3 5 2 2" xfId="29478" xr:uid="{A29518E2-3C98-4929-8C2A-A2C839F074FA}"/>
    <cellStyle name="Comma 7 2 2 3 3 5 2 2 2" xfId="59718" xr:uid="{74421A9A-5F25-489E-B1A6-0E54E7BE7E34}"/>
    <cellStyle name="Comma 7 2 2 3 3 5 2 3" xfId="44598" xr:uid="{40F04ADD-A08F-4C81-9E32-0038CFE2369F}"/>
    <cellStyle name="Comma 7 2 2 3 3 5 3" xfId="20406" xr:uid="{769CE005-FB67-411C-A401-45C205D15062}"/>
    <cellStyle name="Comma 7 2 2 3 3 5 3 2" xfId="50646" xr:uid="{88A9B5EF-0361-476C-99B7-39FD7D261B14}"/>
    <cellStyle name="Comma 7 2 2 3 3 5 4" xfId="35526" xr:uid="{9D943928-BFBA-40AE-877E-C0996BA66F3C}"/>
    <cellStyle name="Comma 7 2 2 3 3 6" xfId="6798" xr:uid="{76373F0F-B2A6-422E-808D-AA8AB4B804F7}"/>
    <cellStyle name="Comma 7 2 2 3 3 6 2" xfId="21918" xr:uid="{6BCAAAE5-C2C8-438A-A59E-F0B13F9B2F8C}"/>
    <cellStyle name="Comma 7 2 2 3 3 6 2 2" xfId="52158" xr:uid="{32544762-AD67-41E7-B2CC-130526258044}"/>
    <cellStyle name="Comma 7 2 2 3 3 6 3" xfId="37038" xr:uid="{BA0BD3A5-A5D5-4F0F-93B8-D499C8A37F33}"/>
    <cellStyle name="Comma 7 2 2 3 3 7" xfId="8310" xr:uid="{D14728EB-78F3-4E0D-A893-8D64A9E00BC4}"/>
    <cellStyle name="Comma 7 2 2 3 3 7 2" xfId="23430" xr:uid="{C1709A6E-B0C3-4F2F-9B7C-07708625C833}"/>
    <cellStyle name="Comma 7 2 2 3 3 7 2 2" xfId="53670" xr:uid="{F00907E1-340F-455F-AE1F-12E53562AF3E}"/>
    <cellStyle name="Comma 7 2 2 3 3 7 3" xfId="38550" xr:uid="{7FE842E9-FA04-4FCB-80C2-75BB5AF485A2}"/>
    <cellStyle name="Comma 7 2 2 3 3 8" xfId="9822" xr:uid="{68FB2DD5-B1E1-45A1-982C-22F0FFFFE775}"/>
    <cellStyle name="Comma 7 2 2 3 3 8 2" xfId="24942" xr:uid="{F45904E6-4ED0-48B9-86E6-7A482A91F2D3}"/>
    <cellStyle name="Comma 7 2 2 3 3 8 2 2" xfId="55182" xr:uid="{E6449527-E6C2-4F75-8AB0-228F6E4B4041}"/>
    <cellStyle name="Comma 7 2 2 3 3 8 3" xfId="40062" xr:uid="{F97DD9FD-BE74-4BC0-AB03-EE72D39DE6E9}"/>
    <cellStyle name="Comma 7 2 2 3 3 9" xfId="15870" xr:uid="{845F2D64-3883-4C1B-A4F8-7886F3E5A932}"/>
    <cellStyle name="Comma 7 2 2 3 3 9 2" xfId="46110" xr:uid="{6D68338A-58B2-43C3-B7D5-7C3DD96A9CE6}"/>
    <cellStyle name="Comma 7 2 2 3 4" xfId="1002" xr:uid="{15753FC5-2D01-4E2F-8091-1E7991ABF4A7}"/>
    <cellStyle name="Comma 7 2 2 3 4 2" xfId="2514" xr:uid="{FA7B146E-BD2E-4E81-B10B-0F2003DE116B}"/>
    <cellStyle name="Comma 7 2 2 3 4 2 2" xfId="11586" xr:uid="{8DD993C7-6976-4026-A8D3-577DD84C8100}"/>
    <cellStyle name="Comma 7 2 2 3 4 2 2 2" xfId="26706" xr:uid="{9357F8D0-4D95-4B59-882A-2BC66D2F419B}"/>
    <cellStyle name="Comma 7 2 2 3 4 2 2 2 2" xfId="56946" xr:uid="{948B773C-BC95-4669-9702-3A810D7B7F3F}"/>
    <cellStyle name="Comma 7 2 2 3 4 2 2 3" xfId="41826" xr:uid="{F0F1C918-0A0E-45BC-A219-AF80BD68D4E0}"/>
    <cellStyle name="Comma 7 2 2 3 4 2 3" xfId="17634" xr:uid="{3D3142C3-AC6B-4CDA-BA97-E01CEE6E92BF}"/>
    <cellStyle name="Comma 7 2 2 3 4 2 3 2" xfId="47874" xr:uid="{3FA01493-335D-4FD9-9610-8FAF9874F416}"/>
    <cellStyle name="Comma 7 2 2 3 4 2 4" xfId="32754" xr:uid="{7294A88C-FFEF-470D-82A4-8C47E3ECC2BD}"/>
    <cellStyle name="Comma 7 2 2 3 4 3" xfId="4026" xr:uid="{A3FAD070-4BD6-4B37-B9F2-EDBB8A9E76FB}"/>
    <cellStyle name="Comma 7 2 2 3 4 3 2" xfId="13098" xr:uid="{94EB7D34-AC27-4C8B-9ECB-8D47F433C8F9}"/>
    <cellStyle name="Comma 7 2 2 3 4 3 2 2" xfId="28218" xr:uid="{BB2D09B8-E612-4DA8-AE48-95966DD7F809}"/>
    <cellStyle name="Comma 7 2 2 3 4 3 2 2 2" xfId="58458" xr:uid="{EEF3AAA1-4729-4317-8480-B5C28666B0B2}"/>
    <cellStyle name="Comma 7 2 2 3 4 3 2 3" xfId="43338" xr:uid="{3D9441ED-11DE-40E6-9C62-0297C46B6AB8}"/>
    <cellStyle name="Comma 7 2 2 3 4 3 3" xfId="19146" xr:uid="{034947BA-7F2E-4BF6-87C2-DC1B84CB786C}"/>
    <cellStyle name="Comma 7 2 2 3 4 3 3 2" xfId="49386" xr:uid="{67AFB051-4FBB-481A-AA78-E4C689C36506}"/>
    <cellStyle name="Comma 7 2 2 3 4 3 4" xfId="34266" xr:uid="{B057E1C6-FD0A-4AB4-B721-3D3F0C64D01E}"/>
    <cellStyle name="Comma 7 2 2 3 4 4" xfId="5538" xr:uid="{9E18381F-4E28-4114-B783-1196B4160E59}"/>
    <cellStyle name="Comma 7 2 2 3 4 4 2" xfId="14610" xr:uid="{5926C20C-13EE-48B5-A7EA-23133C58A5BD}"/>
    <cellStyle name="Comma 7 2 2 3 4 4 2 2" xfId="29730" xr:uid="{CC8EDD7B-1BBB-40EC-8E2F-A14BE1FFE5BA}"/>
    <cellStyle name="Comma 7 2 2 3 4 4 2 2 2" xfId="59970" xr:uid="{BDA87455-CDA8-4119-A49B-D01999D6D264}"/>
    <cellStyle name="Comma 7 2 2 3 4 4 2 3" xfId="44850" xr:uid="{1C393589-E2D5-48FB-B9CB-F41306384408}"/>
    <cellStyle name="Comma 7 2 2 3 4 4 3" xfId="20658" xr:uid="{1FBEDC0A-35BF-4910-BA21-F78FB286F20B}"/>
    <cellStyle name="Comma 7 2 2 3 4 4 3 2" xfId="50898" xr:uid="{4429C60D-1D6B-4E37-8ABE-E30B70748F8F}"/>
    <cellStyle name="Comma 7 2 2 3 4 4 4" xfId="35778" xr:uid="{87734EA2-F1BA-4A41-9F7A-DD3E8E2A3AC3}"/>
    <cellStyle name="Comma 7 2 2 3 4 5" xfId="7050" xr:uid="{97619AB6-FFB6-4F2A-8CE1-C33BA4D5BCF9}"/>
    <cellStyle name="Comma 7 2 2 3 4 5 2" xfId="22170" xr:uid="{9C19E8CF-4534-4D39-9660-CCBAD75F191A}"/>
    <cellStyle name="Comma 7 2 2 3 4 5 2 2" xfId="52410" xr:uid="{D0BC4AD4-B555-4E57-8979-AA619CB00F8F}"/>
    <cellStyle name="Comma 7 2 2 3 4 5 3" xfId="37290" xr:uid="{52CD714B-DEF5-4AD9-AE79-332A0E335104}"/>
    <cellStyle name="Comma 7 2 2 3 4 6" xfId="8562" xr:uid="{91C6C1AA-8E8C-45A6-8F27-CF4C30D449F6}"/>
    <cellStyle name="Comma 7 2 2 3 4 6 2" xfId="23682" xr:uid="{2B509E14-46A3-42FA-84FA-68297755B1C9}"/>
    <cellStyle name="Comma 7 2 2 3 4 6 2 2" xfId="53922" xr:uid="{2E9EA6AE-D534-4089-A968-9AD1F3D4E78C}"/>
    <cellStyle name="Comma 7 2 2 3 4 6 3" xfId="38802" xr:uid="{B6164783-3471-4EE7-B763-EF1552774016}"/>
    <cellStyle name="Comma 7 2 2 3 4 7" xfId="10074" xr:uid="{AAF47042-9441-479E-99A5-72F96C03BEB6}"/>
    <cellStyle name="Comma 7 2 2 3 4 7 2" xfId="25194" xr:uid="{481C73CF-EBED-4965-9A5E-B889EA60B7DB}"/>
    <cellStyle name="Comma 7 2 2 3 4 7 2 2" xfId="55434" xr:uid="{D2CCB380-42E1-4A0F-B215-D4D8E04DE50E}"/>
    <cellStyle name="Comma 7 2 2 3 4 7 3" xfId="40314" xr:uid="{FB140CC1-35EA-412F-84F9-82CB24A168E9}"/>
    <cellStyle name="Comma 7 2 2 3 4 8" xfId="16122" xr:uid="{2C9C8A70-A4F8-4B2A-A11D-E3B48BCA6422}"/>
    <cellStyle name="Comma 7 2 2 3 4 8 2" xfId="46362" xr:uid="{ED20F47B-762A-411B-B5EC-93F05053A0D6}"/>
    <cellStyle name="Comma 7 2 2 3 4 9" xfId="31242" xr:uid="{1319CF15-7B11-4094-8F77-22DBB17D3CD7}"/>
    <cellStyle name="Comma 7 2 2 3 5" xfId="1758" xr:uid="{7E677985-2BC7-4EE2-A849-45F60278FE03}"/>
    <cellStyle name="Comma 7 2 2 3 5 2" xfId="10830" xr:uid="{4610BAE9-4C6F-47D3-8AEE-F751F0DA82E1}"/>
    <cellStyle name="Comma 7 2 2 3 5 2 2" xfId="25950" xr:uid="{FE21BE86-91AA-450A-83BA-88470284930D}"/>
    <cellStyle name="Comma 7 2 2 3 5 2 2 2" xfId="56190" xr:uid="{58DEF538-EB3D-47E7-B2A8-4BC5595CD1BA}"/>
    <cellStyle name="Comma 7 2 2 3 5 2 3" xfId="41070" xr:uid="{6F30BF77-67CE-4F1C-AEEC-AFA070D71CC0}"/>
    <cellStyle name="Comma 7 2 2 3 5 3" xfId="16878" xr:uid="{A00E2711-989D-49E2-8D07-365ADB6D1568}"/>
    <cellStyle name="Comma 7 2 2 3 5 3 2" xfId="47118" xr:uid="{CE4A1B8B-8F5C-4C34-997A-EA5F272CE1DE}"/>
    <cellStyle name="Comma 7 2 2 3 5 4" xfId="31998" xr:uid="{959B1AFF-455B-416D-AAF1-0277173FA2ED}"/>
    <cellStyle name="Comma 7 2 2 3 6" xfId="3270" xr:uid="{90623CF6-5EED-4B06-8E8C-13E4BFD38E91}"/>
    <cellStyle name="Comma 7 2 2 3 6 2" xfId="12342" xr:uid="{90C01710-8149-4242-B0B6-99A205D3367E}"/>
    <cellStyle name="Comma 7 2 2 3 6 2 2" xfId="27462" xr:uid="{D3524936-4D2E-4E13-9045-94695AF9D39D}"/>
    <cellStyle name="Comma 7 2 2 3 6 2 2 2" xfId="57702" xr:uid="{F4B95000-94A2-40F2-9193-D27FA689AB3C}"/>
    <cellStyle name="Comma 7 2 2 3 6 2 3" xfId="42582" xr:uid="{5049221A-9AC5-42B5-AA31-14EC692B362F}"/>
    <cellStyle name="Comma 7 2 2 3 6 3" xfId="18390" xr:uid="{0E0106BB-25B0-4B92-9A81-0E2349599883}"/>
    <cellStyle name="Comma 7 2 2 3 6 3 2" xfId="48630" xr:uid="{27358A4F-71DF-46E2-ACEB-EA90293FD510}"/>
    <cellStyle name="Comma 7 2 2 3 6 4" xfId="33510" xr:uid="{8FF65B60-150A-4279-A16E-882FC311A751}"/>
    <cellStyle name="Comma 7 2 2 3 7" xfId="4782" xr:uid="{7307E63A-45B7-4F0B-A194-4AAE9DB4D7D8}"/>
    <cellStyle name="Comma 7 2 2 3 7 2" xfId="13854" xr:uid="{8DDD66FE-3524-467E-9919-4354041F6E64}"/>
    <cellStyle name="Comma 7 2 2 3 7 2 2" xfId="28974" xr:uid="{4195E369-C6DC-4466-96E7-F33D16DDD71F}"/>
    <cellStyle name="Comma 7 2 2 3 7 2 2 2" xfId="59214" xr:uid="{0FCCB12E-69AB-4EFF-85A3-CB7976746679}"/>
    <cellStyle name="Comma 7 2 2 3 7 2 3" xfId="44094" xr:uid="{65F3AF9E-622F-4B96-8DA7-CB87E7114C00}"/>
    <cellStyle name="Comma 7 2 2 3 7 3" xfId="19902" xr:uid="{4870B176-39D3-40D1-B665-A79A8FE15DD6}"/>
    <cellStyle name="Comma 7 2 2 3 7 3 2" xfId="50142" xr:uid="{4286E6FE-BF9E-4939-B913-6D404548F7C7}"/>
    <cellStyle name="Comma 7 2 2 3 7 4" xfId="35022" xr:uid="{6C3A221B-7CAB-43B8-86AB-05E2096B8BCB}"/>
    <cellStyle name="Comma 7 2 2 3 8" xfId="6294" xr:uid="{BE9DE651-54AE-4BDF-9963-4E1E5FC00CAD}"/>
    <cellStyle name="Comma 7 2 2 3 8 2" xfId="21414" xr:uid="{EF3F29C2-79C0-4F67-ABCC-86322F991C3B}"/>
    <cellStyle name="Comma 7 2 2 3 8 2 2" xfId="51654" xr:uid="{1E16EC05-3AC5-497F-AC84-2CECD75A8155}"/>
    <cellStyle name="Comma 7 2 2 3 8 3" xfId="36534" xr:uid="{6C089364-AC30-4584-ACED-B952984A66DE}"/>
    <cellStyle name="Comma 7 2 2 3 9" xfId="7806" xr:uid="{2C99FCE9-6C32-4E23-8EA7-40D665FFC2CF}"/>
    <cellStyle name="Comma 7 2 2 3 9 2" xfId="22926" xr:uid="{2E8AFABA-7457-4807-A5A2-8159874EDD8F}"/>
    <cellStyle name="Comma 7 2 2 3 9 2 2" xfId="53166" xr:uid="{0EF560CA-D8C7-4C83-AF44-9628EBF5C6E9}"/>
    <cellStyle name="Comma 7 2 2 3 9 3" xfId="38046" xr:uid="{3060370D-6D8F-415B-9205-339DD458FC5F}"/>
    <cellStyle name="Comma 7 2 2 4" xfId="330" xr:uid="{020F87B7-4610-4BD3-B15A-74118C35ED38}"/>
    <cellStyle name="Comma 7 2 2 4 10" xfId="30570" xr:uid="{5EE6F02A-6E0C-470A-B14B-A650E60A7DD7}"/>
    <cellStyle name="Comma 7 2 2 4 2" xfId="1086" xr:uid="{BCE7FDD5-D3DD-45FC-B40F-1A2C506DF4AB}"/>
    <cellStyle name="Comma 7 2 2 4 2 2" xfId="2598" xr:uid="{7BF86ABB-4724-4475-AA0A-584FDC128A25}"/>
    <cellStyle name="Comma 7 2 2 4 2 2 2" xfId="11670" xr:uid="{B31B8B1F-DCA8-42EA-90D3-B684CE0CD9AE}"/>
    <cellStyle name="Comma 7 2 2 4 2 2 2 2" xfId="26790" xr:uid="{F997BC3E-26D4-4C18-8521-6BFB1A6B0DAC}"/>
    <cellStyle name="Comma 7 2 2 4 2 2 2 2 2" xfId="57030" xr:uid="{B019FB79-316E-47B0-BFA2-EC5A56D1788C}"/>
    <cellStyle name="Comma 7 2 2 4 2 2 2 3" xfId="41910" xr:uid="{B11B5BA8-C392-47AC-8B7E-F2B5370EDB79}"/>
    <cellStyle name="Comma 7 2 2 4 2 2 3" xfId="17718" xr:uid="{1DD77CFE-706A-4B3E-9B75-C27563232CE8}"/>
    <cellStyle name="Comma 7 2 2 4 2 2 3 2" xfId="47958" xr:uid="{525D590E-969E-40FB-962D-CF6988878A7D}"/>
    <cellStyle name="Comma 7 2 2 4 2 2 4" xfId="32838" xr:uid="{699163CC-202D-424A-B5AE-485AD042E373}"/>
    <cellStyle name="Comma 7 2 2 4 2 3" xfId="4110" xr:uid="{09018641-FB9D-4A41-80F0-39F545C79A52}"/>
    <cellStyle name="Comma 7 2 2 4 2 3 2" xfId="13182" xr:uid="{D55F1279-A486-4716-B35B-1D6D370B0135}"/>
    <cellStyle name="Comma 7 2 2 4 2 3 2 2" xfId="28302" xr:uid="{2551A0AF-B9F4-4D81-BDD7-7BBB801259F0}"/>
    <cellStyle name="Comma 7 2 2 4 2 3 2 2 2" xfId="58542" xr:uid="{CF1871DE-5719-42FF-B99F-487D1B4DD3A2}"/>
    <cellStyle name="Comma 7 2 2 4 2 3 2 3" xfId="43422" xr:uid="{A221464F-5B98-4C85-9AFE-1CDDD1D35035}"/>
    <cellStyle name="Comma 7 2 2 4 2 3 3" xfId="19230" xr:uid="{F0E564FA-8BC0-469B-A9F3-837E3EC02248}"/>
    <cellStyle name="Comma 7 2 2 4 2 3 3 2" xfId="49470" xr:uid="{296C7720-6436-410F-B7CC-5BE26E587756}"/>
    <cellStyle name="Comma 7 2 2 4 2 3 4" xfId="34350" xr:uid="{BC6B2A40-0CAE-4D21-A436-F4310C599373}"/>
    <cellStyle name="Comma 7 2 2 4 2 4" xfId="5622" xr:uid="{BFD96C9F-D3D9-4C23-9299-D422ADE672A8}"/>
    <cellStyle name="Comma 7 2 2 4 2 4 2" xfId="14694" xr:uid="{4463C28D-DB03-484C-9D31-5073A71FD7DD}"/>
    <cellStyle name="Comma 7 2 2 4 2 4 2 2" xfId="29814" xr:uid="{28358022-A383-424B-BCC6-F9529DC5204E}"/>
    <cellStyle name="Comma 7 2 2 4 2 4 2 2 2" xfId="60054" xr:uid="{316E4D0A-2D05-4263-84AB-6387948C299E}"/>
    <cellStyle name="Comma 7 2 2 4 2 4 2 3" xfId="44934" xr:uid="{3F3D11DE-02D0-4B86-95A3-A5567EA7D5C9}"/>
    <cellStyle name="Comma 7 2 2 4 2 4 3" xfId="20742" xr:uid="{BD3E010E-D863-4BC5-A5B5-65C5E6510181}"/>
    <cellStyle name="Comma 7 2 2 4 2 4 3 2" xfId="50982" xr:uid="{6707F3E1-40E8-4F7D-B0E9-26A8638B7723}"/>
    <cellStyle name="Comma 7 2 2 4 2 4 4" xfId="35862" xr:uid="{1B789FF4-9A0F-447E-A522-4FAE9A2FA199}"/>
    <cellStyle name="Comma 7 2 2 4 2 5" xfId="7134" xr:uid="{3D9A9B54-2F01-467F-A071-350CF74B7256}"/>
    <cellStyle name="Comma 7 2 2 4 2 5 2" xfId="22254" xr:uid="{8AC97D3A-9D1D-44C2-BE52-EF7952E95968}"/>
    <cellStyle name="Comma 7 2 2 4 2 5 2 2" xfId="52494" xr:uid="{E18F373C-3929-4B3E-81FA-057C12AC774A}"/>
    <cellStyle name="Comma 7 2 2 4 2 5 3" xfId="37374" xr:uid="{35033CC8-68E9-4B07-BDFD-D95D81C74637}"/>
    <cellStyle name="Comma 7 2 2 4 2 6" xfId="8646" xr:uid="{8D6DBCA8-FF1F-4616-A267-482D72D3D317}"/>
    <cellStyle name="Comma 7 2 2 4 2 6 2" xfId="23766" xr:uid="{A4680A58-522B-418B-9C2F-89CA1BFC2C0D}"/>
    <cellStyle name="Comma 7 2 2 4 2 6 2 2" xfId="54006" xr:uid="{3B75F43D-D87C-498E-9714-C0D0E9F7475D}"/>
    <cellStyle name="Comma 7 2 2 4 2 6 3" xfId="38886" xr:uid="{857EC8ED-10F2-4DF1-9D7A-2522AF75ACC4}"/>
    <cellStyle name="Comma 7 2 2 4 2 7" xfId="10158" xr:uid="{9BC504EA-363E-4CF7-AD67-5EF8E868F94B}"/>
    <cellStyle name="Comma 7 2 2 4 2 7 2" xfId="25278" xr:uid="{B14370F2-0EFE-4926-8A1A-A6650B0439FC}"/>
    <cellStyle name="Comma 7 2 2 4 2 7 2 2" xfId="55518" xr:uid="{53090117-4A89-4291-9DE7-B910B7FAE141}"/>
    <cellStyle name="Comma 7 2 2 4 2 7 3" xfId="40398" xr:uid="{BBC4F31C-85A4-4993-8F3C-A3FDCB6151B8}"/>
    <cellStyle name="Comma 7 2 2 4 2 8" xfId="16206" xr:uid="{83926556-331B-4D2C-8C96-CC6A8DF0703E}"/>
    <cellStyle name="Comma 7 2 2 4 2 8 2" xfId="46446" xr:uid="{FB922365-84DB-40C8-92B0-7739D95D883C}"/>
    <cellStyle name="Comma 7 2 2 4 2 9" xfId="31326" xr:uid="{0FE11541-60B3-4B7E-8F6C-7962DB81C31F}"/>
    <cellStyle name="Comma 7 2 2 4 3" xfId="1842" xr:uid="{B64CC561-6599-4D7E-A437-556535E07978}"/>
    <cellStyle name="Comma 7 2 2 4 3 2" xfId="10914" xr:uid="{484D46C7-8AFA-47FA-9268-B9E0D8B1C23E}"/>
    <cellStyle name="Comma 7 2 2 4 3 2 2" xfId="26034" xr:uid="{6836B52A-F919-4172-B50F-743CE05635A5}"/>
    <cellStyle name="Comma 7 2 2 4 3 2 2 2" xfId="56274" xr:uid="{B8993EDF-4230-4DDC-AA4B-49D3E7D653CF}"/>
    <cellStyle name="Comma 7 2 2 4 3 2 3" xfId="41154" xr:uid="{4DDEA806-CBBC-429B-9D95-5C16ED6E80AA}"/>
    <cellStyle name="Comma 7 2 2 4 3 3" xfId="16962" xr:uid="{3867E616-3FCE-4997-9C13-7030E99BB6DE}"/>
    <cellStyle name="Comma 7 2 2 4 3 3 2" xfId="47202" xr:uid="{36BB7DCA-D22B-465F-A149-D4E3ACCC87A8}"/>
    <cellStyle name="Comma 7 2 2 4 3 4" xfId="32082" xr:uid="{84B9C7CC-AA55-465E-822C-1E5FD3C062C6}"/>
    <cellStyle name="Comma 7 2 2 4 4" xfId="3354" xr:uid="{4837E226-D914-422E-9EBF-BF736519F914}"/>
    <cellStyle name="Comma 7 2 2 4 4 2" xfId="12426" xr:uid="{E6929240-ED7E-40E8-8EA2-91CA39AB0F18}"/>
    <cellStyle name="Comma 7 2 2 4 4 2 2" xfId="27546" xr:uid="{D61D9BA7-E0B9-46C6-B89D-F10322D736F1}"/>
    <cellStyle name="Comma 7 2 2 4 4 2 2 2" xfId="57786" xr:uid="{C2744B81-39B9-4300-9D44-60269D25BB49}"/>
    <cellStyle name="Comma 7 2 2 4 4 2 3" xfId="42666" xr:uid="{4F12ECD0-26C8-4A62-AA63-001FDFD776D5}"/>
    <cellStyle name="Comma 7 2 2 4 4 3" xfId="18474" xr:uid="{252B640A-8DF9-49C3-82F7-9E8AF06F3069}"/>
    <cellStyle name="Comma 7 2 2 4 4 3 2" xfId="48714" xr:uid="{0783799A-9633-460C-B432-CFB22C6E6A5A}"/>
    <cellStyle name="Comma 7 2 2 4 4 4" xfId="33594" xr:uid="{943867DB-51AA-4533-864B-083063D2A590}"/>
    <cellStyle name="Comma 7 2 2 4 5" xfId="4866" xr:uid="{FC185005-A9DB-4DBF-A19E-C4AE022382BB}"/>
    <cellStyle name="Comma 7 2 2 4 5 2" xfId="13938" xr:uid="{79AA4735-530D-435B-A1D1-A1E08E275013}"/>
    <cellStyle name="Comma 7 2 2 4 5 2 2" xfId="29058" xr:uid="{AA5425DB-B50A-44DE-BAC9-50EB7032A7A9}"/>
    <cellStyle name="Comma 7 2 2 4 5 2 2 2" xfId="59298" xr:uid="{29B9E7E3-C10D-4A49-8E15-7317BD478CC3}"/>
    <cellStyle name="Comma 7 2 2 4 5 2 3" xfId="44178" xr:uid="{60F4B195-93D8-4D96-A204-AA5DCE88DF7C}"/>
    <cellStyle name="Comma 7 2 2 4 5 3" xfId="19986" xr:uid="{53DF18D6-35E8-4188-9226-9F8F35942B55}"/>
    <cellStyle name="Comma 7 2 2 4 5 3 2" xfId="50226" xr:uid="{16DC3151-F618-46B2-ABAB-7F7AA2D347BB}"/>
    <cellStyle name="Comma 7 2 2 4 5 4" xfId="35106" xr:uid="{302A2450-7AC7-41F4-BBBD-65F92F9932C9}"/>
    <cellStyle name="Comma 7 2 2 4 6" xfId="6378" xr:uid="{4EDE0966-C997-4CFC-B960-DA773D6D29C7}"/>
    <cellStyle name="Comma 7 2 2 4 6 2" xfId="21498" xr:uid="{912C378C-6194-4990-807A-4FDF512146FD}"/>
    <cellStyle name="Comma 7 2 2 4 6 2 2" xfId="51738" xr:uid="{86D1D538-03D3-4E20-9200-C1E4E7634016}"/>
    <cellStyle name="Comma 7 2 2 4 6 3" xfId="36618" xr:uid="{0F500E3F-4485-4A85-B0E2-778CF042A19A}"/>
    <cellStyle name="Comma 7 2 2 4 7" xfId="7890" xr:uid="{9FB49C33-1C4C-4CC8-B6EA-2B31C5792817}"/>
    <cellStyle name="Comma 7 2 2 4 7 2" xfId="23010" xr:uid="{8788EB93-F09E-4912-AE9B-DA53E0B84322}"/>
    <cellStyle name="Comma 7 2 2 4 7 2 2" xfId="53250" xr:uid="{E05C6521-0212-4124-94AB-FAEACDCC32B4}"/>
    <cellStyle name="Comma 7 2 2 4 7 3" xfId="38130" xr:uid="{FD098501-AB6D-4F73-9B80-FB7969EDEA38}"/>
    <cellStyle name="Comma 7 2 2 4 8" xfId="9402" xr:uid="{2DCF7750-2357-4B1A-8B56-176B28FC657D}"/>
    <cellStyle name="Comma 7 2 2 4 8 2" xfId="24522" xr:uid="{5A72B6F7-783A-4BC9-8CF3-8313EB33DE05}"/>
    <cellStyle name="Comma 7 2 2 4 8 2 2" xfId="54762" xr:uid="{778A7A0B-7899-43B9-8E23-4550020DCB75}"/>
    <cellStyle name="Comma 7 2 2 4 8 3" xfId="39642" xr:uid="{4F153320-B958-4E83-B94D-8930DACBF253}"/>
    <cellStyle name="Comma 7 2 2 4 9" xfId="15450" xr:uid="{2ABC8660-EE17-4065-9E8F-E9C8F8351248}"/>
    <cellStyle name="Comma 7 2 2 4 9 2" xfId="45690" xr:uid="{FCFCD01C-3405-4A42-A955-7B5B99652DDB}"/>
    <cellStyle name="Comma 7 2 2 5" xfId="582" xr:uid="{824A71A0-F738-415F-BEA9-C09CE4C7231E}"/>
    <cellStyle name="Comma 7 2 2 5 10" xfId="30822" xr:uid="{7E5F9B0D-85FB-4059-866F-75A3B1550A4B}"/>
    <cellStyle name="Comma 7 2 2 5 2" xfId="1338" xr:uid="{40FF5F91-E15C-47A9-AE41-CE64386B1AFD}"/>
    <cellStyle name="Comma 7 2 2 5 2 2" xfId="2850" xr:uid="{43AAF061-5086-42E9-87B5-E125E74230FB}"/>
    <cellStyle name="Comma 7 2 2 5 2 2 2" xfId="11922" xr:uid="{C27C51D1-321F-47F1-B07C-0049E5647E96}"/>
    <cellStyle name="Comma 7 2 2 5 2 2 2 2" xfId="27042" xr:uid="{868F3328-05ED-4CF3-97C3-41792382A0E3}"/>
    <cellStyle name="Comma 7 2 2 5 2 2 2 2 2" xfId="57282" xr:uid="{70DF0043-E6D9-4CCF-A6EB-B6EE8C36F758}"/>
    <cellStyle name="Comma 7 2 2 5 2 2 2 3" xfId="42162" xr:uid="{3DA99A5A-DCDA-4186-8367-27DDD592BBDD}"/>
    <cellStyle name="Comma 7 2 2 5 2 2 3" xfId="17970" xr:uid="{9F3A70DD-B1AF-42A2-83CF-BCFDEFBBCD76}"/>
    <cellStyle name="Comma 7 2 2 5 2 2 3 2" xfId="48210" xr:uid="{A078CBC0-645C-4F16-9F5B-AE271A75D522}"/>
    <cellStyle name="Comma 7 2 2 5 2 2 4" xfId="33090" xr:uid="{5D439D70-23C5-4216-8F7D-F1F4B56450B4}"/>
    <cellStyle name="Comma 7 2 2 5 2 3" xfId="4362" xr:uid="{5321ADD3-1264-4EA5-826B-1BE3C5B0825C}"/>
    <cellStyle name="Comma 7 2 2 5 2 3 2" xfId="13434" xr:uid="{0BC879D7-EE9F-4FB2-A429-2E86294A9EE0}"/>
    <cellStyle name="Comma 7 2 2 5 2 3 2 2" xfId="28554" xr:uid="{2BF886FA-8F68-4C24-BCD7-CC7632908979}"/>
    <cellStyle name="Comma 7 2 2 5 2 3 2 2 2" xfId="58794" xr:uid="{C3A6DDF4-7CAF-4448-9ED6-D9607958A8DE}"/>
    <cellStyle name="Comma 7 2 2 5 2 3 2 3" xfId="43674" xr:uid="{7ABB889C-96B4-46B6-B5A1-B22E6FF3C753}"/>
    <cellStyle name="Comma 7 2 2 5 2 3 3" xfId="19482" xr:uid="{420BE3D8-FCE6-4234-A686-670D376E082C}"/>
    <cellStyle name="Comma 7 2 2 5 2 3 3 2" xfId="49722" xr:uid="{D56B4C1F-92FC-4149-883C-7954FA39543A}"/>
    <cellStyle name="Comma 7 2 2 5 2 3 4" xfId="34602" xr:uid="{29344850-9200-42A5-8E75-0AE2EB228519}"/>
    <cellStyle name="Comma 7 2 2 5 2 4" xfId="5874" xr:uid="{BE305111-9902-4CBE-ADCD-87A3B784427F}"/>
    <cellStyle name="Comma 7 2 2 5 2 4 2" xfId="14946" xr:uid="{539FF62C-AF1C-4C80-B51D-67043B52CE4C}"/>
    <cellStyle name="Comma 7 2 2 5 2 4 2 2" xfId="30066" xr:uid="{2C062F14-A9D3-4257-81DB-47DE4B79E677}"/>
    <cellStyle name="Comma 7 2 2 5 2 4 2 2 2" xfId="60306" xr:uid="{77BB03EC-6B9C-45F4-B1BD-6EBE4AB6209B}"/>
    <cellStyle name="Comma 7 2 2 5 2 4 2 3" xfId="45186" xr:uid="{A03B913C-6973-4399-9B22-2F6CCEB2553B}"/>
    <cellStyle name="Comma 7 2 2 5 2 4 3" xfId="20994" xr:uid="{53858032-E00A-49C4-AA54-0B3199DE643A}"/>
    <cellStyle name="Comma 7 2 2 5 2 4 3 2" xfId="51234" xr:uid="{07A1AEB0-3D70-44BF-A600-FE249DA24D17}"/>
    <cellStyle name="Comma 7 2 2 5 2 4 4" xfId="36114" xr:uid="{6553468D-C8B0-4635-8B55-C31D6C007BBA}"/>
    <cellStyle name="Comma 7 2 2 5 2 5" xfId="7386" xr:uid="{DF31BB24-97F4-4995-A1FA-BA1382D5500D}"/>
    <cellStyle name="Comma 7 2 2 5 2 5 2" xfId="22506" xr:uid="{1FF631CD-036F-42C1-910B-55B3A7B2997E}"/>
    <cellStyle name="Comma 7 2 2 5 2 5 2 2" xfId="52746" xr:uid="{9E990C3E-90BC-43FE-95C5-7F85ED22A7CA}"/>
    <cellStyle name="Comma 7 2 2 5 2 5 3" xfId="37626" xr:uid="{C717E576-C720-439E-9827-7B01CF3BB78F}"/>
    <cellStyle name="Comma 7 2 2 5 2 6" xfId="8898" xr:uid="{0F09D45E-C443-4786-B1FF-2B9357FDB7BB}"/>
    <cellStyle name="Comma 7 2 2 5 2 6 2" xfId="24018" xr:uid="{8ED9AB46-D4EE-4ECA-BA41-E39B97D7ED79}"/>
    <cellStyle name="Comma 7 2 2 5 2 6 2 2" xfId="54258" xr:uid="{B679DCF9-812B-43B2-B2A0-5674E686712B}"/>
    <cellStyle name="Comma 7 2 2 5 2 6 3" xfId="39138" xr:uid="{7B273A4D-6EEC-4DDF-A0CD-B4EB2DCDD6A1}"/>
    <cellStyle name="Comma 7 2 2 5 2 7" xfId="10410" xr:uid="{63B2CC02-C02B-436C-A189-ECC5DB3484B8}"/>
    <cellStyle name="Comma 7 2 2 5 2 7 2" xfId="25530" xr:uid="{7035CB27-0C13-46EF-BBBD-04C800CAE9E5}"/>
    <cellStyle name="Comma 7 2 2 5 2 7 2 2" xfId="55770" xr:uid="{9904376C-7D3A-4C03-8B08-9314E8618461}"/>
    <cellStyle name="Comma 7 2 2 5 2 7 3" xfId="40650" xr:uid="{C2848500-1175-4428-813C-FAB924E47F1F}"/>
    <cellStyle name="Comma 7 2 2 5 2 8" xfId="16458" xr:uid="{C3DE4459-711F-4492-A61A-936DC0961462}"/>
    <cellStyle name="Comma 7 2 2 5 2 8 2" xfId="46698" xr:uid="{5F9EA570-C7CA-4288-9A66-27B866BEE2E1}"/>
    <cellStyle name="Comma 7 2 2 5 2 9" xfId="31578" xr:uid="{2B3BFE3A-18A7-40C9-9407-E341FC8F9A39}"/>
    <cellStyle name="Comma 7 2 2 5 3" xfId="2094" xr:uid="{115E6D36-8FFB-48A9-88D2-5CDDB8216029}"/>
    <cellStyle name="Comma 7 2 2 5 3 2" xfId="11166" xr:uid="{12EEA173-5775-4560-9EC4-6E39B3340551}"/>
    <cellStyle name="Comma 7 2 2 5 3 2 2" xfId="26286" xr:uid="{901D9A90-F3AD-4E1F-ACE0-567072DE1970}"/>
    <cellStyle name="Comma 7 2 2 5 3 2 2 2" xfId="56526" xr:uid="{9568D0D0-4B6D-4035-80A5-81F0B852431D}"/>
    <cellStyle name="Comma 7 2 2 5 3 2 3" xfId="41406" xr:uid="{F99C21C1-B84B-420F-965B-566515530FC7}"/>
    <cellStyle name="Comma 7 2 2 5 3 3" xfId="17214" xr:uid="{CF28D088-C4EF-47FC-974B-83BE94C84D76}"/>
    <cellStyle name="Comma 7 2 2 5 3 3 2" xfId="47454" xr:uid="{A5480FEC-F2CA-4CFA-B93D-6B1E973C13C8}"/>
    <cellStyle name="Comma 7 2 2 5 3 4" xfId="32334" xr:uid="{535312DE-2F7A-4BDF-B483-C007F2788E89}"/>
    <cellStyle name="Comma 7 2 2 5 4" xfId="3606" xr:uid="{208D09B7-248B-4240-AF9A-9373453FA3BF}"/>
    <cellStyle name="Comma 7 2 2 5 4 2" xfId="12678" xr:uid="{3D23A205-8240-42A3-8B47-E9579FE7A800}"/>
    <cellStyle name="Comma 7 2 2 5 4 2 2" xfId="27798" xr:uid="{A0B4ABFD-994D-4C05-A62F-E3664AD02CCF}"/>
    <cellStyle name="Comma 7 2 2 5 4 2 2 2" xfId="58038" xr:uid="{16517A99-010C-4439-A080-B917E165FA0B}"/>
    <cellStyle name="Comma 7 2 2 5 4 2 3" xfId="42918" xr:uid="{8B572509-23CB-4ECD-BE4C-ACC02326C9D5}"/>
    <cellStyle name="Comma 7 2 2 5 4 3" xfId="18726" xr:uid="{03D44162-ED2E-431B-92A9-E1B87EA57B10}"/>
    <cellStyle name="Comma 7 2 2 5 4 3 2" xfId="48966" xr:uid="{095EFE16-E8F2-42CE-B63D-4919BD5C0BF9}"/>
    <cellStyle name="Comma 7 2 2 5 4 4" xfId="33846" xr:uid="{EDE48B41-2B6A-4CB6-B4F9-60DC64726C83}"/>
    <cellStyle name="Comma 7 2 2 5 5" xfId="5118" xr:uid="{6ECC1939-1FE2-43AE-B5D6-246DEFCEFDAA}"/>
    <cellStyle name="Comma 7 2 2 5 5 2" xfId="14190" xr:uid="{5C39CF10-9B74-41B9-AFCE-A068D7ED55B8}"/>
    <cellStyle name="Comma 7 2 2 5 5 2 2" xfId="29310" xr:uid="{13EE2E05-48D6-40DC-8C88-04F004934E04}"/>
    <cellStyle name="Comma 7 2 2 5 5 2 2 2" xfId="59550" xr:uid="{6132BF4B-746E-47E8-9128-3C57AF412C13}"/>
    <cellStyle name="Comma 7 2 2 5 5 2 3" xfId="44430" xr:uid="{A26A45AD-CED9-41E4-8B9D-1133AB6DB098}"/>
    <cellStyle name="Comma 7 2 2 5 5 3" xfId="20238" xr:uid="{23D5A715-7E69-48B9-BB12-FAE5A3074098}"/>
    <cellStyle name="Comma 7 2 2 5 5 3 2" xfId="50478" xr:uid="{7DC32377-AE62-4FAD-B78A-231EBB847A25}"/>
    <cellStyle name="Comma 7 2 2 5 5 4" xfId="35358" xr:uid="{2B3CEC96-D4B7-44BB-83DF-110B3511EA8B}"/>
    <cellStyle name="Comma 7 2 2 5 6" xfId="6630" xr:uid="{F97524ED-ADCD-4E92-B559-C2D50C569CF7}"/>
    <cellStyle name="Comma 7 2 2 5 6 2" xfId="21750" xr:uid="{982260AC-C001-4063-911E-1EF113C96EA5}"/>
    <cellStyle name="Comma 7 2 2 5 6 2 2" xfId="51990" xr:uid="{9C43508F-0FA8-48E4-932E-6CECD45759EA}"/>
    <cellStyle name="Comma 7 2 2 5 6 3" xfId="36870" xr:uid="{4A26D35B-239F-40FA-98A6-10F27C212A28}"/>
    <cellStyle name="Comma 7 2 2 5 7" xfId="8142" xr:uid="{BD9FC0CE-61DE-42AF-8827-8067CF77074E}"/>
    <cellStyle name="Comma 7 2 2 5 7 2" xfId="23262" xr:uid="{05B37A96-ACAE-4B5F-B71F-498EB878500E}"/>
    <cellStyle name="Comma 7 2 2 5 7 2 2" xfId="53502" xr:uid="{5551E405-1743-42E6-87C9-6A30C732C9B5}"/>
    <cellStyle name="Comma 7 2 2 5 7 3" xfId="38382" xr:uid="{9DBF4FB0-6606-4DB9-A368-BD3D10738206}"/>
    <cellStyle name="Comma 7 2 2 5 8" xfId="9654" xr:uid="{F7F1CC47-F9D6-497B-8398-7AC2B84137C8}"/>
    <cellStyle name="Comma 7 2 2 5 8 2" xfId="24774" xr:uid="{05B2A444-1941-4BC5-BEFC-174B965D21D0}"/>
    <cellStyle name="Comma 7 2 2 5 8 2 2" xfId="55014" xr:uid="{0010ED99-01A7-4D8F-85B1-58E63D8B0389}"/>
    <cellStyle name="Comma 7 2 2 5 8 3" xfId="39894" xr:uid="{514040AB-A3FD-4E9C-8010-D4672935251E}"/>
    <cellStyle name="Comma 7 2 2 5 9" xfId="15702" xr:uid="{3BE5D551-DA53-4641-AB93-2F23AF74E183}"/>
    <cellStyle name="Comma 7 2 2 5 9 2" xfId="45942" xr:uid="{0DADA29A-871A-4EF8-AAB4-413320002759}"/>
    <cellStyle name="Comma 7 2 2 6" xfId="834" xr:uid="{002F108A-30F6-4F52-AFCD-BF2BC7F06CAF}"/>
    <cellStyle name="Comma 7 2 2 6 2" xfId="2346" xr:uid="{D56528DD-B259-4DB3-81D7-6AAAD8F722C7}"/>
    <cellStyle name="Comma 7 2 2 6 2 2" xfId="11418" xr:uid="{FB8FB85D-5351-488B-9884-E8889B1C60A0}"/>
    <cellStyle name="Comma 7 2 2 6 2 2 2" xfId="26538" xr:uid="{A245FB55-F59A-4798-BB00-596855897C4F}"/>
    <cellStyle name="Comma 7 2 2 6 2 2 2 2" xfId="56778" xr:uid="{C89D2781-1B7C-4A22-9249-48F8FCD53AD0}"/>
    <cellStyle name="Comma 7 2 2 6 2 2 3" xfId="41658" xr:uid="{1B327606-EF57-4361-8BC9-A315AB9CE6A5}"/>
    <cellStyle name="Comma 7 2 2 6 2 3" xfId="17466" xr:uid="{4C940AB4-771F-45E3-A44A-2E94539D719D}"/>
    <cellStyle name="Comma 7 2 2 6 2 3 2" xfId="47706" xr:uid="{C2F062FA-33AE-43E8-8F60-08672311662D}"/>
    <cellStyle name="Comma 7 2 2 6 2 4" xfId="32586" xr:uid="{5CF03ED3-7B52-44E3-AE82-9699F92D7CAC}"/>
    <cellStyle name="Comma 7 2 2 6 3" xfId="3858" xr:uid="{7594DDEF-D30E-40FC-80C3-30A59B4CDA3E}"/>
    <cellStyle name="Comma 7 2 2 6 3 2" xfId="12930" xr:uid="{AC4FF720-CF4B-43D2-8160-A09F8C1CBC13}"/>
    <cellStyle name="Comma 7 2 2 6 3 2 2" xfId="28050" xr:uid="{FC9650AC-B7D2-4194-BDA0-022244A706D4}"/>
    <cellStyle name="Comma 7 2 2 6 3 2 2 2" xfId="58290" xr:uid="{BB47E3A6-0618-48F4-B20F-66104C68592F}"/>
    <cellStyle name="Comma 7 2 2 6 3 2 3" xfId="43170" xr:uid="{581AD31D-0AFC-49A7-AB05-DC4AB0E204EE}"/>
    <cellStyle name="Comma 7 2 2 6 3 3" xfId="18978" xr:uid="{BC4E6454-73EA-4ED5-B250-B404E688217C}"/>
    <cellStyle name="Comma 7 2 2 6 3 3 2" xfId="49218" xr:uid="{960242DB-FD76-4D23-B4A8-5CF17FB5AD3C}"/>
    <cellStyle name="Comma 7 2 2 6 3 4" xfId="34098" xr:uid="{30034FB0-7071-4289-81D9-38F9EF66CB21}"/>
    <cellStyle name="Comma 7 2 2 6 4" xfId="5370" xr:uid="{6207E077-575F-42DF-AB1F-E947360E0BF8}"/>
    <cellStyle name="Comma 7 2 2 6 4 2" xfId="14442" xr:uid="{D219DCCF-8712-48E9-ABEB-A6CDA173991C}"/>
    <cellStyle name="Comma 7 2 2 6 4 2 2" xfId="29562" xr:uid="{D47EE58A-9B82-4277-BDEA-3438DF66DB2D}"/>
    <cellStyle name="Comma 7 2 2 6 4 2 2 2" xfId="59802" xr:uid="{3D5026AA-699B-4E31-8167-6498087C6034}"/>
    <cellStyle name="Comma 7 2 2 6 4 2 3" xfId="44682" xr:uid="{7A5E2CA0-B10D-4B49-A42C-5C1F31702723}"/>
    <cellStyle name="Comma 7 2 2 6 4 3" xfId="20490" xr:uid="{ADB157BB-3003-4D46-8DD3-5543D84F6573}"/>
    <cellStyle name="Comma 7 2 2 6 4 3 2" xfId="50730" xr:uid="{FFC77B3B-0A30-4312-BD28-013B602C78DD}"/>
    <cellStyle name="Comma 7 2 2 6 4 4" xfId="35610" xr:uid="{581B29EF-E33F-4FF1-98DF-98334A9DF0CD}"/>
    <cellStyle name="Comma 7 2 2 6 5" xfId="6882" xr:uid="{0F9619FD-C63D-44E4-A81D-E0D1694B39FC}"/>
    <cellStyle name="Comma 7 2 2 6 5 2" xfId="22002" xr:uid="{E8ED1979-9F26-4518-BA87-E4C34E1996F7}"/>
    <cellStyle name="Comma 7 2 2 6 5 2 2" xfId="52242" xr:uid="{D12285F8-0957-4887-B246-72F9082A8E44}"/>
    <cellStyle name="Comma 7 2 2 6 5 3" xfId="37122" xr:uid="{417546E9-A537-4EAA-B2D1-6C9CF911BD07}"/>
    <cellStyle name="Comma 7 2 2 6 6" xfId="8394" xr:uid="{703C86BA-5B0F-42BF-95E1-08AF24DD580E}"/>
    <cellStyle name="Comma 7 2 2 6 6 2" xfId="23514" xr:uid="{EFBB747D-681F-41C6-A439-99ECAE54EACD}"/>
    <cellStyle name="Comma 7 2 2 6 6 2 2" xfId="53754" xr:uid="{A8463D26-911B-4402-8113-BC1637993C4A}"/>
    <cellStyle name="Comma 7 2 2 6 6 3" xfId="38634" xr:uid="{6DA7E0B3-B09D-46A3-875B-28AF8199A096}"/>
    <cellStyle name="Comma 7 2 2 6 7" xfId="9906" xr:uid="{10D8EB5E-117D-49D8-8D2A-1700BE6F4F06}"/>
    <cellStyle name="Comma 7 2 2 6 7 2" xfId="25026" xr:uid="{0602B7FD-C4BC-4DFF-B0BE-25ED804B1A55}"/>
    <cellStyle name="Comma 7 2 2 6 7 2 2" xfId="55266" xr:uid="{8FD43CB8-C30C-4C4E-9B1A-EFA4639DE066}"/>
    <cellStyle name="Comma 7 2 2 6 7 3" xfId="40146" xr:uid="{1E566411-6B78-4A59-AE37-A8799BEFCB09}"/>
    <cellStyle name="Comma 7 2 2 6 8" xfId="15954" xr:uid="{2FFC9D15-B3CE-437C-8B40-8BEB86768907}"/>
    <cellStyle name="Comma 7 2 2 6 8 2" xfId="46194" xr:uid="{B6B2DF74-74D8-4AC8-99B1-6E9A50B4883D}"/>
    <cellStyle name="Comma 7 2 2 6 9" xfId="31074" xr:uid="{1019AB83-B836-4012-9237-B4B9180A33D6}"/>
    <cellStyle name="Comma 7 2 2 7" xfId="1590" xr:uid="{69EC3D59-6A30-4288-92E4-935BE528B205}"/>
    <cellStyle name="Comma 7 2 2 7 2" xfId="10662" xr:uid="{91A840F1-21D0-43D9-947A-48EAA430C0EB}"/>
    <cellStyle name="Comma 7 2 2 7 2 2" xfId="25782" xr:uid="{67930F0F-E121-4707-A82C-2BE35391B280}"/>
    <cellStyle name="Comma 7 2 2 7 2 2 2" xfId="56022" xr:uid="{8CD4EE27-1C54-41FA-B3AB-F8DF2ADC8F88}"/>
    <cellStyle name="Comma 7 2 2 7 2 3" xfId="40902" xr:uid="{01A9DA29-C091-4182-8E0D-0E9372B8292D}"/>
    <cellStyle name="Comma 7 2 2 7 3" xfId="16710" xr:uid="{53180E95-D9F0-46FA-86C7-D436C2688754}"/>
    <cellStyle name="Comma 7 2 2 7 3 2" xfId="46950" xr:uid="{7932C047-B488-4C63-A9B4-33BFE2C4733A}"/>
    <cellStyle name="Comma 7 2 2 7 4" xfId="31830" xr:uid="{16C9DB71-0449-4AA5-8571-84A33CF378E6}"/>
    <cellStyle name="Comma 7 2 2 8" xfId="3102" xr:uid="{B6BAFCF9-0A95-4A29-857C-2321D68117FC}"/>
    <cellStyle name="Comma 7 2 2 8 2" xfId="12174" xr:uid="{EDB28F76-A85E-404D-8EDE-1DD93E9E8F30}"/>
    <cellStyle name="Comma 7 2 2 8 2 2" xfId="27294" xr:uid="{82862373-5B9A-493C-8217-BC3705E9E07D}"/>
    <cellStyle name="Comma 7 2 2 8 2 2 2" xfId="57534" xr:uid="{BD18B318-42D3-43C3-9122-7F6DA7F42F0C}"/>
    <cellStyle name="Comma 7 2 2 8 2 3" xfId="42414" xr:uid="{A4DECAB1-1148-4CC6-BA11-0B113DD2C752}"/>
    <cellStyle name="Comma 7 2 2 8 3" xfId="18222" xr:uid="{B2A6D76A-FFD9-4508-8584-3B3FD91E37DE}"/>
    <cellStyle name="Comma 7 2 2 8 3 2" xfId="48462" xr:uid="{8CBA7C73-18CF-4284-AC09-F3B8EC096839}"/>
    <cellStyle name="Comma 7 2 2 8 4" xfId="33342" xr:uid="{119D9BE9-8D94-4E80-BEB2-BAC75F2A578C}"/>
    <cellStyle name="Comma 7 2 2 9" xfId="4614" xr:uid="{F48B26CA-8696-48DE-8DE1-50E5F36847F6}"/>
    <cellStyle name="Comma 7 2 2 9 2" xfId="13686" xr:uid="{2420219C-8383-47CC-9E2B-1D2C88489A77}"/>
    <cellStyle name="Comma 7 2 2 9 2 2" xfId="28806" xr:uid="{29FA1F86-A83C-481A-9FBB-AE9B8A7EF1C2}"/>
    <cellStyle name="Comma 7 2 2 9 2 2 2" xfId="59046" xr:uid="{214E2448-B9D3-4CAB-8C27-74278251B349}"/>
    <cellStyle name="Comma 7 2 2 9 2 3" xfId="43926" xr:uid="{A568E6DC-3B9D-4E1D-AB5B-96638B0FE7B4}"/>
    <cellStyle name="Comma 7 2 2 9 3" xfId="19734" xr:uid="{4E0C4510-FB49-45D7-88C5-B39851A54FC0}"/>
    <cellStyle name="Comma 7 2 2 9 3 2" xfId="49974" xr:uid="{BDF8F00C-1165-44DD-BE16-302DC3F9A7D0}"/>
    <cellStyle name="Comma 7 2 2 9 4" xfId="34854" xr:uid="{EC907E83-2E16-43A4-A21E-3C2DF129B4D9}"/>
    <cellStyle name="Comma 7 2 3" xfId="120" xr:uid="{FD915E4F-AF9A-4B51-A7F4-FF7F8B3E8A64}"/>
    <cellStyle name="Comma 7 2 3 10" xfId="9192" xr:uid="{C1CA62C0-3822-4A1E-AD62-A8D7224BBF02}"/>
    <cellStyle name="Comma 7 2 3 10 2" xfId="24312" xr:uid="{911BC4D2-47F3-4F3E-B8D9-321E07CAC9E3}"/>
    <cellStyle name="Comma 7 2 3 10 2 2" xfId="54552" xr:uid="{24EBEF7C-F7FC-4D3B-A3E8-EDCBC0AE4029}"/>
    <cellStyle name="Comma 7 2 3 10 3" xfId="39432" xr:uid="{B7440316-B0CC-4860-8DC4-75AA0B008163}"/>
    <cellStyle name="Comma 7 2 3 11" xfId="15240" xr:uid="{9AA768BB-5317-4971-88F1-791FF4950BF3}"/>
    <cellStyle name="Comma 7 2 3 11 2" xfId="45480" xr:uid="{C811FC83-6721-45F6-8714-9BD0A1A137A6}"/>
    <cellStyle name="Comma 7 2 3 12" xfId="30360" xr:uid="{7EC46685-CBD4-47D6-9DD4-81A50CD10228}"/>
    <cellStyle name="Comma 7 2 3 2" xfId="372" xr:uid="{6CA7D452-356A-48BE-9B48-4D8AA9A83D22}"/>
    <cellStyle name="Comma 7 2 3 2 10" xfId="30612" xr:uid="{6DDB65E8-D2F6-477D-B0E7-3EDBE6DFAD78}"/>
    <cellStyle name="Comma 7 2 3 2 2" xfId="1128" xr:uid="{9AB4EC61-E278-45DC-87FB-8BE0DBC30270}"/>
    <cellStyle name="Comma 7 2 3 2 2 2" xfId="2640" xr:uid="{E003E016-927E-43D3-8BAF-F37645C28F17}"/>
    <cellStyle name="Comma 7 2 3 2 2 2 2" xfId="11712" xr:uid="{76C675A3-DD0A-4489-8645-22D1FE765678}"/>
    <cellStyle name="Comma 7 2 3 2 2 2 2 2" xfId="26832" xr:uid="{BA8633C5-0291-4881-AC06-D60EEF06B9EB}"/>
    <cellStyle name="Comma 7 2 3 2 2 2 2 2 2" xfId="57072" xr:uid="{06A321DE-2983-4858-AD7E-0C8EBB669917}"/>
    <cellStyle name="Comma 7 2 3 2 2 2 2 3" xfId="41952" xr:uid="{57F8CA75-07DC-44C1-B736-4ACAB59065A8}"/>
    <cellStyle name="Comma 7 2 3 2 2 2 3" xfId="17760" xr:uid="{72456A26-5CAF-450F-B48C-13B98F3FAF3B}"/>
    <cellStyle name="Comma 7 2 3 2 2 2 3 2" xfId="48000" xr:uid="{DC256BED-DA33-496C-AC90-709D96FD92E5}"/>
    <cellStyle name="Comma 7 2 3 2 2 2 4" xfId="32880" xr:uid="{4F29D4B2-AF45-4B92-8AFC-A6079331D652}"/>
    <cellStyle name="Comma 7 2 3 2 2 3" xfId="4152" xr:uid="{49FD8649-AFC8-4686-B556-6EF70087AD0E}"/>
    <cellStyle name="Comma 7 2 3 2 2 3 2" xfId="13224" xr:uid="{8E97AD53-2D3D-4DAB-9598-E5702901EC33}"/>
    <cellStyle name="Comma 7 2 3 2 2 3 2 2" xfId="28344" xr:uid="{6C1D405E-05A4-49A8-96D2-6D93EEAB7DBC}"/>
    <cellStyle name="Comma 7 2 3 2 2 3 2 2 2" xfId="58584" xr:uid="{EA0D9E0B-AB13-4BD2-B098-FD361307A4E2}"/>
    <cellStyle name="Comma 7 2 3 2 2 3 2 3" xfId="43464" xr:uid="{D5CE4F4D-7E21-40B1-8631-C219A5BCC4BE}"/>
    <cellStyle name="Comma 7 2 3 2 2 3 3" xfId="19272" xr:uid="{53B1819D-D116-4ADE-94B8-3FDE64213D97}"/>
    <cellStyle name="Comma 7 2 3 2 2 3 3 2" xfId="49512" xr:uid="{442547B9-9753-45E3-ADB3-46413455391F}"/>
    <cellStyle name="Comma 7 2 3 2 2 3 4" xfId="34392" xr:uid="{70F734F6-447F-4366-9992-557404E44029}"/>
    <cellStyle name="Comma 7 2 3 2 2 4" xfId="5664" xr:uid="{CDF9964B-A30D-4076-92AF-87E11F502AE2}"/>
    <cellStyle name="Comma 7 2 3 2 2 4 2" xfId="14736" xr:uid="{E5A001E3-0124-4D8B-AD34-729A5DCE92EB}"/>
    <cellStyle name="Comma 7 2 3 2 2 4 2 2" xfId="29856" xr:uid="{2492825C-E4EE-4324-A99B-6718CE7E98BE}"/>
    <cellStyle name="Comma 7 2 3 2 2 4 2 2 2" xfId="60096" xr:uid="{41C42389-DEF1-4F59-A2EE-38869D396909}"/>
    <cellStyle name="Comma 7 2 3 2 2 4 2 3" xfId="44976" xr:uid="{36471E8E-6883-4FA5-AD4A-3EEBB531237E}"/>
    <cellStyle name="Comma 7 2 3 2 2 4 3" xfId="20784" xr:uid="{ABAB1996-E270-4C3C-8FBF-A935765CA856}"/>
    <cellStyle name="Comma 7 2 3 2 2 4 3 2" xfId="51024" xr:uid="{0C829C2E-C8FE-4CDD-A3F9-CEFFC78CF3CD}"/>
    <cellStyle name="Comma 7 2 3 2 2 4 4" xfId="35904" xr:uid="{B63D4676-895C-461C-902A-91B77EC0365D}"/>
    <cellStyle name="Comma 7 2 3 2 2 5" xfId="7176" xr:uid="{1D1F6E2B-0862-4838-86D6-E498F1F97FAE}"/>
    <cellStyle name="Comma 7 2 3 2 2 5 2" xfId="22296" xr:uid="{F7A3B4FC-2C85-4F1B-B516-BE05D9302406}"/>
    <cellStyle name="Comma 7 2 3 2 2 5 2 2" xfId="52536" xr:uid="{C05D5097-CC7E-419E-B803-0556901D1EA3}"/>
    <cellStyle name="Comma 7 2 3 2 2 5 3" xfId="37416" xr:uid="{FB742C55-26BE-471B-A710-9AE1BE0E2AD0}"/>
    <cellStyle name="Comma 7 2 3 2 2 6" xfId="8688" xr:uid="{14EBD419-BF9A-421D-B277-F42CDE719ABB}"/>
    <cellStyle name="Comma 7 2 3 2 2 6 2" xfId="23808" xr:uid="{E7515E4C-14BE-42CC-AA27-1A42351C87C5}"/>
    <cellStyle name="Comma 7 2 3 2 2 6 2 2" xfId="54048" xr:uid="{AAFE69C8-C880-402F-8873-83C399E651C7}"/>
    <cellStyle name="Comma 7 2 3 2 2 6 3" xfId="38928" xr:uid="{03205A18-61F3-4D28-9A0E-F75DA1E30D8E}"/>
    <cellStyle name="Comma 7 2 3 2 2 7" xfId="10200" xr:uid="{8437C195-AA36-4E4E-8D72-3BD92AB628AF}"/>
    <cellStyle name="Comma 7 2 3 2 2 7 2" xfId="25320" xr:uid="{75EAACAD-1569-497F-A8BC-85B0F7E3A71B}"/>
    <cellStyle name="Comma 7 2 3 2 2 7 2 2" xfId="55560" xr:uid="{FCC8F7D6-18D8-4CB7-B9B2-9B5D5704F96E}"/>
    <cellStyle name="Comma 7 2 3 2 2 7 3" xfId="40440" xr:uid="{1E53BFF9-79F6-43B5-B6CA-95F19DDE297F}"/>
    <cellStyle name="Comma 7 2 3 2 2 8" xfId="16248" xr:uid="{02EF6E98-EC62-489A-A7A7-CCFE37131C0A}"/>
    <cellStyle name="Comma 7 2 3 2 2 8 2" xfId="46488" xr:uid="{598A08DB-73EC-4831-90B5-C7ACC4DBD3AD}"/>
    <cellStyle name="Comma 7 2 3 2 2 9" xfId="31368" xr:uid="{48F46409-D685-499A-B386-44A9BC2EA808}"/>
    <cellStyle name="Comma 7 2 3 2 3" xfId="1884" xr:uid="{3D3FA3D3-D609-41F4-99B2-CE1869F21092}"/>
    <cellStyle name="Comma 7 2 3 2 3 2" xfId="10956" xr:uid="{1B58E44D-B232-4FEC-B128-C3593647B8A7}"/>
    <cellStyle name="Comma 7 2 3 2 3 2 2" xfId="26076" xr:uid="{BE4AA35E-2AB5-4A6E-8CFA-343F3A401E96}"/>
    <cellStyle name="Comma 7 2 3 2 3 2 2 2" xfId="56316" xr:uid="{354B2794-B9FA-440C-BB4F-3351B7C4F3FA}"/>
    <cellStyle name="Comma 7 2 3 2 3 2 3" xfId="41196" xr:uid="{B1FC6656-58EE-468D-B29D-FBA4EAE7DB2D}"/>
    <cellStyle name="Comma 7 2 3 2 3 3" xfId="17004" xr:uid="{4005D7EB-362C-4491-9884-C81171760B35}"/>
    <cellStyle name="Comma 7 2 3 2 3 3 2" xfId="47244" xr:uid="{355C9407-630F-40D8-9620-E1C2623CABF3}"/>
    <cellStyle name="Comma 7 2 3 2 3 4" xfId="32124" xr:uid="{26935A87-E62D-4ADD-9F6D-34129C0FF22D}"/>
    <cellStyle name="Comma 7 2 3 2 4" xfId="3396" xr:uid="{7F108B8E-CFCD-4570-A708-0C6D02669391}"/>
    <cellStyle name="Comma 7 2 3 2 4 2" xfId="12468" xr:uid="{BEAAD3A7-CE11-4063-9A56-4C4526CDFDDD}"/>
    <cellStyle name="Comma 7 2 3 2 4 2 2" xfId="27588" xr:uid="{96D695B1-05F7-40BE-85F4-96DBA2B0DA1A}"/>
    <cellStyle name="Comma 7 2 3 2 4 2 2 2" xfId="57828" xr:uid="{6C0F1F26-3F99-4728-A055-3270342E02F6}"/>
    <cellStyle name="Comma 7 2 3 2 4 2 3" xfId="42708" xr:uid="{DCBEBC20-5CB5-4100-A347-21441D883E1B}"/>
    <cellStyle name="Comma 7 2 3 2 4 3" xfId="18516" xr:uid="{D7A8D70C-C17B-48BA-BDB9-CD686061402A}"/>
    <cellStyle name="Comma 7 2 3 2 4 3 2" xfId="48756" xr:uid="{D0434EFE-4AAA-45A6-A72D-BA9371FD98E8}"/>
    <cellStyle name="Comma 7 2 3 2 4 4" xfId="33636" xr:uid="{3182542D-4A73-4BBC-9646-1D4FD645698D}"/>
    <cellStyle name="Comma 7 2 3 2 5" xfId="4908" xr:uid="{AC1D0FA0-C90D-4A05-9E08-EFD1493E9AFE}"/>
    <cellStyle name="Comma 7 2 3 2 5 2" xfId="13980" xr:uid="{633D2315-AC4C-4955-A382-BCB17DC9F7F0}"/>
    <cellStyle name="Comma 7 2 3 2 5 2 2" xfId="29100" xr:uid="{E5C6A4BE-A18C-43A7-BC41-52DACC6B97DF}"/>
    <cellStyle name="Comma 7 2 3 2 5 2 2 2" xfId="59340" xr:uid="{7ADB81B3-C4D4-4686-AE32-DC9BF09FAF34}"/>
    <cellStyle name="Comma 7 2 3 2 5 2 3" xfId="44220" xr:uid="{A79DD684-15F9-4B36-9DFD-E86AA1E0A6C1}"/>
    <cellStyle name="Comma 7 2 3 2 5 3" xfId="20028" xr:uid="{D2D4801A-E0C9-4D12-BF25-049A6BEEDFD1}"/>
    <cellStyle name="Comma 7 2 3 2 5 3 2" xfId="50268" xr:uid="{198CE79C-4E3B-43D9-8F3D-791BA1F95F90}"/>
    <cellStyle name="Comma 7 2 3 2 5 4" xfId="35148" xr:uid="{B231EF99-3822-437B-AF08-68FC4011217F}"/>
    <cellStyle name="Comma 7 2 3 2 6" xfId="6420" xr:uid="{3ED07D91-AF3F-4C8A-AE14-0C28E767AAD8}"/>
    <cellStyle name="Comma 7 2 3 2 6 2" xfId="21540" xr:uid="{EC218716-44C7-44A6-9491-258997AEA942}"/>
    <cellStyle name="Comma 7 2 3 2 6 2 2" xfId="51780" xr:uid="{B893AD4E-1B91-488D-A21C-38C9D71CAA71}"/>
    <cellStyle name="Comma 7 2 3 2 6 3" xfId="36660" xr:uid="{205594BA-A045-457C-9686-F8DCE3D954F3}"/>
    <cellStyle name="Comma 7 2 3 2 7" xfId="7932" xr:uid="{1C7D1F05-C17B-4D99-A830-9DE130DE74AF}"/>
    <cellStyle name="Comma 7 2 3 2 7 2" xfId="23052" xr:uid="{527B4E41-B32B-40AF-8351-BECD99D13ADE}"/>
    <cellStyle name="Comma 7 2 3 2 7 2 2" xfId="53292" xr:uid="{9704FCD7-CAE0-4C3D-A5AB-4DB65E200B3B}"/>
    <cellStyle name="Comma 7 2 3 2 7 3" xfId="38172" xr:uid="{55623548-B022-4D91-9990-A4BFE93339A2}"/>
    <cellStyle name="Comma 7 2 3 2 8" xfId="9444" xr:uid="{4A194FB3-EE46-4A45-BE0E-53FEE6B80681}"/>
    <cellStyle name="Comma 7 2 3 2 8 2" xfId="24564" xr:uid="{1CD84C60-F6DC-4327-9449-4988DCBAFD72}"/>
    <cellStyle name="Comma 7 2 3 2 8 2 2" xfId="54804" xr:uid="{B1F386DF-0DC8-4D2B-B743-52D966FF0B5F}"/>
    <cellStyle name="Comma 7 2 3 2 8 3" xfId="39684" xr:uid="{4BFD3F13-F78B-4809-85CA-B6C43C8498D1}"/>
    <cellStyle name="Comma 7 2 3 2 9" xfId="15492" xr:uid="{4CE2D534-E128-439E-8560-93F4EEE58C64}"/>
    <cellStyle name="Comma 7 2 3 2 9 2" xfId="45732" xr:uid="{93E17BEF-132B-4F39-B35E-D97E5D4CEEAA}"/>
    <cellStyle name="Comma 7 2 3 3" xfId="624" xr:uid="{F5FC31CA-A98A-4E46-BB9E-B5DDF91E2AA6}"/>
    <cellStyle name="Comma 7 2 3 3 10" xfId="30864" xr:uid="{1AC1B59A-8EAF-4E61-B1B0-CBAB466115DD}"/>
    <cellStyle name="Comma 7 2 3 3 2" xfId="1380" xr:uid="{BCBB1C74-DBD6-4D25-8FFB-E2F242FDE704}"/>
    <cellStyle name="Comma 7 2 3 3 2 2" xfId="2892" xr:uid="{2D6F7452-FA48-4243-94BD-87675933F1AB}"/>
    <cellStyle name="Comma 7 2 3 3 2 2 2" xfId="11964" xr:uid="{035E7EEE-827B-49DF-89A5-D3E30EFAB389}"/>
    <cellStyle name="Comma 7 2 3 3 2 2 2 2" xfId="27084" xr:uid="{C180FB5C-F25C-4DD1-B2D6-2DD302D52668}"/>
    <cellStyle name="Comma 7 2 3 3 2 2 2 2 2" xfId="57324" xr:uid="{76ED32F9-45ED-4524-8979-7AD0F473F18D}"/>
    <cellStyle name="Comma 7 2 3 3 2 2 2 3" xfId="42204" xr:uid="{DF3C1FF0-49B0-4970-825F-41EEBB6C7C85}"/>
    <cellStyle name="Comma 7 2 3 3 2 2 3" xfId="18012" xr:uid="{1BAB20F6-6442-47F3-97E9-F4E22829DD24}"/>
    <cellStyle name="Comma 7 2 3 3 2 2 3 2" xfId="48252" xr:uid="{8576C89C-97A4-40FD-B0E7-BA01EC47B7D7}"/>
    <cellStyle name="Comma 7 2 3 3 2 2 4" xfId="33132" xr:uid="{3A298909-0C2D-4B59-9828-CBCBF7A7F179}"/>
    <cellStyle name="Comma 7 2 3 3 2 3" xfId="4404" xr:uid="{6ACC7F80-F4E0-47ED-9797-51BCF395D0E5}"/>
    <cellStyle name="Comma 7 2 3 3 2 3 2" xfId="13476" xr:uid="{D41B90CD-A10D-47AB-89AB-10105937D22A}"/>
    <cellStyle name="Comma 7 2 3 3 2 3 2 2" xfId="28596" xr:uid="{EB70881C-D60B-4F1A-8946-0B9303BC1231}"/>
    <cellStyle name="Comma 7 2 3 3 2 3 2 2 2" xfId="58836" xr:uid="{F9D0391B-89C0-417D-97C5-64EC10D75DA1}"/>
    <cellStyle name="Comma 7 2 3 3 2 3 2 3" xfId="43716" xr:uid="{3DA6E7BD-C1A6-4A20-AED5-EEE46704E6EA}"/>
    <cellStyle name="Comma 7 2 3 3 2 3 3" xfId="19524" xr:uid="{A9735147-829E-4611-9EFF-A63F2F04834B}"/>
    <cellStyle name="Comma 7 2 3 3 2 3 3 2" xfId="49764" xr:uid="{0B533459-EBFC-4FC0-B580-16F88AA5437D}"/>
    <cellStyle name="Comma 7 2 3 3 2 3 4" xfId="34644" xr:uid="{BB3AF580-EC17-4220-9CAC-A7E210484D6D}"/>
    <cellStyle name="Comma 7 2 3 3 2 4" xfId="5916" xr:uid="{3CD544F9-F496-4934-B6F6-FE6D0A6670BB}"/>
    <cellStyle name="Comma 7 2 3 3 2 4 2" xfId="14988" xr:uid="{C5E9B4D2-1883-4778-93A6-74B02D382C4C}"/>
    <cellStyle name="Comma 7 2 3 3 2 4 2 2" xfId="30108" xr:uid="{E7227126-A56C-4FDF-ACA9-35C2F56F468F}"/>
    <cellStyle name="Comma 7 2 3 3 2 4 2 2 2" xfId="60348" xr:uid="{D0706D9F-80B6-45FD-8EBE-FB2690A5C72E}"/>
    <cellStyle name="Comma 7 2 3 3 2 4 2 3" xfId="45228" xr:uid="{D2B496BD-B5BE-4DAC-8BC0-9FB3C321E495}"/>
    <cellStyle name="Comma 7 2 3 3 2 4 3" xfId="21036" xr:uid="{3E8814E4-7D2B-4F4F-9EC8-7401D683A602}"/>
    <cellStyle name="Comma 7 2 3 3 2 4 3 2" xfId="51276" xr:uid="{D7FF45BE-A950-49C9-ABAD-70C468FAE673}"/>
    <cellStyle name="Comma 7 2 3 3 2 4 4" xfId="36156" xr:uid="{3D0670CA-F684-4DA4-8729-3D1D53ED0F44}"/>
    <cellStyle name="Comma 7 2 3 3 2 5" xfId="7428" xr:uid="{F1EFD8B6-FEBA-45DF-8D84-3844033108D1}"/>
    <cellStyle name="Comma 7 2 3 3 2 5 2" xfId="22548" xr:uid="{FC8ECDE0-6C3C-486A-B8D4-041E4BFA2E8B}"/>
    <cellStyle name="Comma 7 2 3 3 2 5 2 2" xfId="52788" xr:uid="{5B6B7259-F7E4-4235-A663-29A9DE6DEB96}"/>
    <cellStyle name="Comma 7 2 3 3 2 5 3" xfId="37668" xr:uid="{26B94E14-268F-4C42-B5C6-CA8E8C066C8B}"/>
    <cellStyle name="Comma 7 2 3 3 2 6" xfId="8940" xr:uid="{F2FB48A6-4C98-4AD9-BE05-762A7DF9D7FE}"/>
    <cellStyle name="Comma 7 2 3 3 2 6 2" xfId="24060" xr:uid="{06897525-EF9A-4AA9-B979-CA181D22EB43}"/>
    <cellStyle name="Comma 7 2 3 3 2 6 2 2" xfId="54300" xr:uid="{FD98863F-DB67-46E3-8FB7-8799ACEE5035}"/>
    <cellStyle name="Comma 7 2 3 3 2 6 3" xfId="39180" xr:uid="{AC78C09A-F25D-4632-841B-7EC9D1F3F8FB}"/>
    <cellStyle name="Comma 7 2 3 3 2 7" xfId="10452" xr:uid="{B07E1014-85E7-4399-B511-92FF7E951F99}"/>
    <cellStyle name="Comma 7 2 3 3 2 7 2" xfId="25572" xr:uid="{DA312413-D368-4013-BD8D-3081DEA38E1F}"/>
    <cellStyle name="Comma 7 2 3 3 2 7 2 2" xfId="55812" xr:uid="{7808FA49-89C1-4256-B7F3-13764867ED36}"/>
    <cellStyle name="Comma 7 2 3 3 2 7 3" xfId="40692" xr:uid="{5249CE15-35EC-46EE-9DF1-304B968A49EA}"/>
    <cellStyle name="Comma 7 2 3 3 2 8" xfId="16500" xr:uid="{78FFEA2C-AED5-4A05-B742-B82EB824EA93}"/>
    <cellStyle name="Comma 7 2 3 3 2 8 2" xfId="46740" xr:uid="{C1E7CA38-93C7-4E5F-9AC2-FAAAC20D2855}"/>
    <cellStyle name="Comma 7 2 3 3 2 9" xfId="31620" xr:uid="{E12AFEA5-4EBC-4D4D-943C-C4FABE4131F2}"/>
    <cellStyle name="Comma 7 2 3 3 3" xfId="2136" xr:uid="{3E636942-1F6C-46DA-87ED-F62E484ABE2E}"/>
    <cellStyle name="Comma 7 2 3 3 3 2" xfId="11208" xr:uid="{E14AAF0F-04DB-46CE-BFFF-25CD840BBB37}"/>
    <cellStyle name="Comma 7 2 3 3 3 2 2" xfId="26328" xr:uid="{F7B4FC9D-1D24-4275-A859-FB628131906D}"/>
    <cellStyle name="Comma 7 2 3 3 3 2 2 2" xfId="56568" xr:uid="{9E0E55EA-34D4-4877-98E7-0235EC55695A}"/>
    <cellStyle name="Comma 7 2 3 3 3 2 3" xfId="41448" xr:uid="{C40504C6-C202-4028-91BA-70E822E863E8}"/>
    <cellStyle name="Comma 7 2 3 3 3 3" xfId="17256" xr:uid="{26408E6A-3F6B-4A82-844C-EDAA9DFD0F4B}"/>
    <cellStyle name="Comma 7 2 3 3 3 3 2" xfId="47496" xr:uid="{01A4EA82-9520-4FC9-AA00-0BE91041FC5D}"/>
    <cellStyle name="Comma 7 2 3 3 3 4" xfId="32376" xr:uid="{ED029C2E-DD70-47C2-BA75-E023FD814718}"/>
    <cellStyle name="Comma 7 2 3 3 4" xfId="3648" xr:uid="{AB8482C5-BB90-4B09-B3B6-940D339CA1EF}"/>
    <cellStyle name="Comma 7 2 3 3 4 2" xfId="12720" xr:uid="{0E152DDA-C0D0-4983-A07E-8327A73EF4C0}"/>
    <cellStyle name="Comma 7 2 3 3 4 2 2" xfId="27840" xr:uid="{4C78D791-CA65-4A97-92CC-E30B9DCDBE23}"/>
    <cellStyle name="Comma 7 2 3 3 4 2 2 2" xfId="58080" xr:uid="{6372AFC2-9D79-40A4-8315-C20F6D1E4946}"/>
    <cellStyle name="Comma 7 2 3 3 4 2 3" xfId="42960" xr:uid="{66C1A91F-C439-4BBF-B8FA-BFB048DCC613}"/>
    <cellStyle name="Comma 7 2 3 3 4 3" xfId="18768" xr:uid="{E9BEFE60-A3B3-466D-8789-D764FB2191E7}"/>
    <cellStyle name="Comma 7 2 3 3 4 3 2" xfId="49008" xr:uid="{6315BD2C-936A-4A4B-8AC7-30E2FBB328BB}"/>
    <cellStyle name="Comma 7 2 3 3 4 4" xfId="33888" xr:uid="{8AAF4AE2-4BC1-4821-8690-AE8085B6D36C}"/>
    <cellStyle name="Comma 7 2 3 3 5" xfId="5160" xr:uid="{C85C5186-D2F4-43A5-87A4-C7F016201D8F}"/>
    <cellStyle name="Comma 7 2 3 3 5 2" xfId="14232" xr:uid="{0003DB66-BA6D-4E80-B2F1-CE3C7462520C}"/>
    <cellStyle name="Comma 7 2 3 3 5 2 2" xfId="29352" xr:uid="{618C1B3E-3AC5-4D51-B6B4-98C1E9736CBE}"/>
    <cellStyle name="Comma 7 2 3 3 5 2 2 2" xfId="59592" xr:uid="{33FBCA78-F3B2-456C-93EB-2D72D33E3AAD}"/>
    <cellStyle name="Comma 7 2 3 3 5 2 3" xfId="44472" xr:uid="{F1CD6EC3-8B8C-457E-9526-F6977DB27B15}"/>
    <cellStyle name="Comma 7 2 3 3 5 3" xfId="20280" xr:uid="{E2E963C4-DCC2-4D95-BDAC-02119A3206CC}"/>
    <cellStyle name="Comma 7 2 3 3 5 3 2" xfId="50520" xr:uid="{4DAEE3AD-EB79-4DE8-877E-F93386B9EE57}"/>
    <cellStyle name="Comma 7 2 3 3 5 4" xfId="35400" xr:uid="{0E133B11-066E-4705-85C3-88826055F6BC}"/>
    <cellStyle name="Comma 7 2 3 3 6" xfId="6672" xr:uid="{79BD736A-58AC-4983-8B59-E3135111E2A3}"/>
    <cellStyle name="Comma 7 2 3 3 6 2" xfId="21792" xr:uid="{C34F237C-C66F-4727-BBA1-378A05ADE907}"/>
    <cellStyle name="Comma 7 2 3 3 6 2 2" xfId="52032" xr:uid="{2ED3A39D-3A0E-4ACC-8445-D72301C258E8}"/>
    <cellStyle name="Comma 7 2 3 3 6 3" xfId="36912" xr:uid="{9F17C44F-CF09-4DFE-9D00-B16954A78DD5}"/>
    <cellStyle name="Comma 7 2 3 3 7" xfId="8184" xr:uid="{CAF4B3C0-5827-4577-A8F9-A31EB1207B7B}"/>
    <cellStyle name="Comma 7 2 3 3 7 2" xfId="23304" xr:uid="{585D08AE-E543-40ED-B01B-81ACCA5EB2ED}"/>
    <cellStyle name="Comma 7 2 3 3 7 2 2" xfId="53544" xr:uid="{5FF741F4-4CEF-4FE5-8434-403070D4F500}"/>
    <cellStyle name="Comma 7 2 3 3 7 3" xfId="38424" xr:uid="{7A07BC07-396E-466F-8149-44820D82EDDF}"/>
    <cellStyle name="Comma 7 2 3 3 8" xfId="9696" xr:uid="{1D9324AA-0126-4C7E-9050-5CE8CE8EC141}"/>
    <cellStyle name="Comma 7 2 3 3 8 2" xfId="24816" xr:uid="{D854A919-AC10-4CDE-B887-147BAF86D318}"/>
    <cellStyle name="Comma 7 2 3 3 8 2 2" xfId="55056" xr:uid="{69F2BECB-519D-42EC-BAE6-99EE9754A003}"/>
    <cellStyle name="Comma 7 2 3 3 8 3" xfId="39936" xr:uid="{A929F855-F7C1-42BD-8D70-0886666A7424}"/>
    <cellStyle name="Comma 7 2 3 3 9" xfId="15744" xr:uid="{DDA1B497-8781-4C33-B86A-B41B9A78D222}"/>
    <cellStyle name="Comma 7 2 3 3 9 2" xfId="45984" xr:uid="{ACDA8EFC-CB4F-4C8B-BF3A-E0E6F1E3AF93}"/>
    <cellStyle name="Comma 7 2 3 4" xfId="876" xr:uid="{9183E3DF-46D0-4DBE-A2BD-FCC17DBF4B35}"/>
    <cellStyle name="Comma 7 2 3 4 2" xfId="2388" xr:uid="{FB991D73-10C0-4C39-9551-B980E407AC45}"/>
    <cellStyle name="Comma 7 2 3 4 2 2" xfId="11460" xr:uid="{D64F87E1-01D8-49FA-A575-6FFBAA1CA8D8}"/>
    <cellStyle name="Comma 7 2 3 4 2 2 2" xfId="26580" xr:uid="{5424DA1C-BA75-4B9D-ADA8-272A5DC0C963}"/>
    <cellStyle name="Comma 7 2 3 4 2 2 2 2" xfId="56820" xr:uid="{7F28158D-031D-4C92-9F7B-C2212B57A909}"/>
    <cellStyle name="Comma 7 2 3 4 2 2 3" xfId="41700" xr:uid="{756D0368-3934-4C6E-91C9-3B43FCF483B8}"/>
    <cellStyle name="Comma 7 2 3 4 2 3" xfId="17508" xr:uid="{E018BFDD-3C60-4CA8-8AE9-51AC4CD4D43A}"/>
    <cellStyle name="Comma 7 2 3 4 2 3 2" xfId="47748" xr:uid="{6C568874-3394-44AA-AB54-3ADE9EFF5933}"/>
    <cellStyle name="Comma 7 2 3 4 2 4" xfId="32628" xr:uid="{9BD78DEB-AA0A-4F6C-AB48-3624302940EB}"/>
    <cellStyle name="Comma 7 2 3 4 3" xfId="3900" xr:uid="{84B0B710-924C-484F-82E7-922881BC5F36}"/>
    <cellStyle name="Comma 7 2 3 4 3 2" xfId="12972" xr:uid="{BFD42DDD-B98C-4CA9-B022-53B7969D1AEF}"/>
    <cellStyle name="Comma 7 2 3 4 3 2 2" xfId="28092" xr:uid="{D69ADFAC-74A2-448B-9CFB-33BD0F49A77D}"/>
    <cellStyle name="Comma 7 2 3 4 3 2 2 2" xfId="58332" xr:uid="{6471DB94-47DE-41D8-AFE7-B7E646E47B97}"/>
    <cellStyle name="Comma 7 2 3 4 3 2 3" xfId="43212" xr:uid="{F4E4D826-FC27-4796-9869-F7200D075CB6}"/>
    <cellStyle name="Comma 7 2 3 4 3 3" xfId="19020" xr:uid="{D4EE0306-E01B-484E-8937-854FEACCC705}"/>
    <cellStyle name="Comma 7 2 3 4 3 3 2" xfId="49260" xr:uid="{A07882DA-19B8-4002-9B1D-EC42797C3CAB}"/>
    <cellStyle name="Comma 7 2 3 4 3 4" xfId="34140" xr:uid="{C8A47415-8F30-4607-A077-2326D0679520}"/>
    <cellStyle name="Comma 7 2 3 4 4" xfId="5412" xr:uid="{5051A1E9-4F5A-4549-BF90-10599DACCA2B}"/>
    <cellStyle name="Comma 7 2 3 4 4 2" xfId="14484" xr:uid="{8EA59605-AB89-43F8-A47F-5D2DA428CF70}"/>
    <cellStyle name="Comma 7 2 3 4 4 2 2" xfId="29604" xr:uid="{EC96DCD8-ED08-4F67-A1BF-4791ED0FFBFE}"/>
    <cellStyle name="Comma 7 2 3 4 4 2 2 2" xfId="59844" xr:uid="{F2F730E9-EF37-44A4-9CF2-C33D1C991E53}"/>
    <cellStyle name="Comma 7 2 3 4 4 2 3" xfId="44724" xr:uid="{AB34916D-69D0-4FD1-9A40-E8AA0A57C77D}"/>
    <cellStyle name="Comma 7 2 3 4 4 3" xfId="20532" xr:uid="{E579A9D8-E2C1-498D-B989-EAD5B9DD9295}"/>
    <cellStyle name="Comma 7 2 3 4 4 3 2" xfId="50772" xr:uid="{576268F6-2692-490B-8DB7-69E077ACBC86}"/>
    <cellStyle name="Comma 7 2 3 4 4 4" xfId="35652" xr:uid="{E80123B2-1ACB-42A1-9878-34A1162458DB}"/>
    <cellStyle name="Comma 7 2 3 4 5" xfId="6924" xr:uid="{BF6DA594-585F-42AA-8B80-7540E5EBCDDF}"/>
    <cellStyle name="Comma 7 2 3 4 5 2" xfId="22044" xr:uid="{2EA65204-67A9-423B-8513-64C1868C8546}"/>
    <cellStyle name="Comma 7 2 3 4 5 2 2" xfId="52284" xr:uid="{749FC4E9-F19F-49E3-97B2-363031F566F2}"/>
    <cellStyle name="Comma 7 2 3 4 5 3" xfId="37164" xr:uid="{97496BBF-23FC-4BB7-9A3F-B31BBF392838}"/>
    <cellStyle name="Comma 7 2 3 4 6" xfId="8436" xr:uid="{8918D66C-921A-4917-A73E-79985511703A}"/>
    <cellStyle name="Comma 7 2 3 4 6 2" xfId="23556" xr:uid="{4B126A7A-4C0D-4C95-8673-C6A7D26E63E2}"/>
    <cellStyle name="Comma 7 2 3 4 6 2 2" xfId="53796" xr:uid="{3CD9CFBA-0607-408C-A607-1C77BFECCA07}"/>
    <cellStyle name="Comma 7 2 3 4 6 3" xfId="38676" xr:uid="{0AD71BEA-D982-4CBD-B304-C353AFBB8875}"/>
    <cellStyle name="Comma 7 2 3 4 7" xfId="9948" xr:uid="{21D803AE-CCC9-4172-BA7E-7A5AA9DA1B3F}"/>
    <cellStyle name="Comma 7 2 3 4 7 2" xfId="25068" xr:uid="{6DB35B76-9033-46D9-B8D8-277C5267140F}"/>
    <cellStyle name="Comma 7 2 3 4 7 2 2" xfId="55308" xr:uid="{38C78386-7040-4100-9B69-27A5A870B50B}"/>
    <cellStyle name="Comma 7 2 3 4 7 3" xfId="40188" xr:uid="{A80B498F-C677-4F76-909C-B1B6FBD51DB5}"/>
    <cellStyle name="Comma 7 2 3 4 8" xfId="15996" xr:uid="{31DEEB65-648C-4CD0-B488-308D0EB3A46C}"/>
    <cellStyle name="Comma 7 2 3 4 8 2" xfId="46236" xr:uid="{78DF4386-BCA0-408D-8DF7-465AAC308B1B}"/>
    <cellStyle name="Comma 7 2 3 4 9" xfId="31116" xr:uid="{2254D74A-9D8B-452E-AC2B-FEE1D44157A6}"/>
    <cellStyle name="Comma 7 2 3 5" xfId="1632" xr:uid="{8ED73AAC-3776-4470-B274-79FCDA887814}"/>
    <cellStyle name="Comma 7 2 3 5 2" xfId="10704" xr:uid="{03EFB600-3DF6-4816-8940-FE975719313E}"/>
    <cellStyle name="Comma 7 2 3 5 2 2" xfId="25824" xr:uid="{D7F50603-5E2A-46CB-AF72-DF5FE31C4BBC}"/>
    <cellStyle name="Comma 7 2 3 5 2 2 2" xfId="56064" xr:uid="{5F5E45C2-90E7-4ED7-8CD7-0361421985B3}"/>
    <cellStyle name="Comma 7 2 3 5 2 3" xfId="40944" xr:uid="{87E0C05C-3290-4BDF-A11B-9E24B59B03FB}"/>
    <cellStyle name="Comma 7 2 3 5 3" xfId="16752" xr:uid="{69380C77-49FD-4C50-ADC9-5351BE3A682F}"/>
    <cellStyle name="Comma 7 2 3 5 3 2" xfId="46992" xr:uid="{4E2E3BFC-54C1-407E-B33C-C3914D677F55}"/>
    <cellStyle name="Comma 7 2 3 5 4" xfId="31872" xr:uid="{36E3EC08-A18B-4A44-BA40-CF867AF63465}"/>
    <cellStyle name="Comma 7 2 3 6" xfId="3144" xr:uid="{A2B0DBDE-2CCA-4ED1-8F97-CF38459FCFAA}"/>
    <cellStyle name="Comma 7 2 3 6 2" xfId="12216" xr:uid="{A42C5017-1D03-4AAB-8129-8E6B5BCA1B66}"/>
    <cellStyle name="Comma 7 2 3 6 2 2" xfId="27336" xr:uid="{954DFD95-3548-4083-8538-28782CE83E3B}"/>
    <cellStyle name="Comma 7 2 3 6 2 2 2" xfId="57576" xr:uid="{5926FC25-2133-48C6-BA51-1F2846C5A4D9}"/>
    <cellStyle name="Comma 7 2 3 6 2 3" xfId="42456" xr:uid="{7D4885CC-A2DA-4778-A0E2-C2BBC55B40B7}"/>
    <cellStyle name="Comma 7 2 3 6 3" xfId="18264" xr:uid="{6E106A12-9832-4BF3-883D-C17CCEF30E05}"/>
    <cellStyle name="Comma 7 2 3 6 3 2" xfId="48504" xr:uid="{4BCB2BF5-D8B3-4995-A347-5DCE2E3C341A}"/>
    <cellStyle name="Comma 7 2 3 6 4" xfId="33384" xr:uid="{92CF97CD-480A-49D0-826F-EA35650D804F}"/>
    <cellStyle name="Comma 7 2 3 7" xfId="4656" xr:uid="{BFA09000-4E36-4A97-8DDD-3CC8210E71AA}"/>
    <cellStyle name="Comma 7 2 3 7 2" xfId="13728" xr:uid="{9D823EB4-701C-4440-9F8C-AB8D8518EBEB}"/>
    <cellStyle name="Comma 7 2 3 7 2 2" xfId="28848" xr:uid="{7A3B2C72-7D65-46C9-A675-1C05411443E3}"/>
    <cellStyle name="Comma 7 2 3 7 2 2 2" xfId="59088" xr:uid="{0C176205-ADFA-42D1-8955-72839EE67C0C}"/>
    <cellStyle name="Comma 7 2 3 7 2 3" xfId="43968" xr:uid="{31617568-9BB7-4624-AEA1-BB489A95DB11}"/>
    <cellStyle name="Comma 7 2 3 7 3" xfId="19776" xr:uid="{4DA6EA72-5AEA-4977-9AA4-2C946524172A}"/>
    <cellStyle name="Comma 7 2 3 7 3 2" xfId="50016" xr:uid="{17FD5815-4824-4C8A-8463-AFE84980D739}"/>
    <cellStyle name="Comma 7 2 3 7 4" xfId="34896" xr:uid="{66954F0B-6F62-46E3-A12A-B64EB75264DE}"/>
    <cellStyle name="Comma 7 2 3 8" xfId="6168" xr:uid="{EF935D7D-4144-40BE-BBED-0CA04B8D4EE1}"/>
    <cellStyle name="Comma 7 2 3 8 2" xfId="21288" xr:uid="{1A0105C9-50A6-4123-8068-DDD2C4013847}"/>
    <cellStyle name="Comma 7 2 3 8 2 2" xfId="51528" xr:uid="{31068BB6-2FF7-4D9D-96B3-F4FEF9ECB29B}"/>
    <cellStyle name="Comma 7 2 3 8 3" xfId="36408" xr:uid="{7E541FB5-51F9-4FAE-A950-B2772CE9A555}"/>
    <cellStyle name="Comma 7 2 3 9" xfId="7680" xr:uid="{CE2D56E5-8106-46DE-B175-D5428ED0707D}"/>
    <cellStyle name="Comma 7 2 3 9 2" xfId="22800" xr:uid="{C06B6F1D-90F6-4A04-9997-F735BD830166}"/>
    <cellStyle name="Comma 7 2 3 9 2 2" xfId="53040" xr:uid="{B4CB94A9-1347-4722-BFC7-B2BE0F30F82E}"/>
    <cellStyle name="Comma 7 2 3 9 3" xfId="37920" xr:uid="{93A1ACAA-9CA8-45F2-83B2-50DDF75BE805}"/>
    <cellStyle name="Comma 7 2 4" xfId="204" xr:uid="{5D0F5ED3-3644-46E7-AE32-287E607F14DD}"/>
    <cellStyle name="Comma 7 2 4 10" xfId="9276" xr:uid="{D5E5C51E-486E-42F6-A5DB-7A96856F4CDE}"/>
    <cellStyle name="Comma 7 2 4 10 2" xfId="24396" xr:uid="{3976CBE6-2008-4FCE-98FA-5B0E64ADA527}"/>
    <cellStyle name="Comma 7 2 4 10 2 2" xfId="54636" xr:uid="{DE46E6BC-FC4D-48B1-B01A-C839299D4724}"/>
    <cellStyle name="Comma 7 2 4 10 3" xfId="39516" xr:uid="{AACDB41D-7338-4657-A113-9D4EE2E8456E}"/>
    <cellStyle name="Comma 7 2 4 11" xfId="15324" xr:uid="{A868FBE3-2400-49AD-B29F-071C5ECA4390}"/>
    <cellStyle name="Comma 7 2 4 11 2" xfId="45564" xr:uid="{1BAED4E4-D91C-48D3-AD97-22D5DDC2B414}"/>
    <cellStyle name="Comma 7 2 4 12" xfId="30444" xr:uid="{B5F996C1-A962-4289-A6E7-E4DF6224C87E}"/>
    <cellStyle name="Comma 7 2 4 2" xfId="456" xr:uid="{9F5299F6-F373-4A88-802A-A19421E16AFC}"/>
    <cellStyle name="Comma 7 2 4 2 10" xfId="30696" xr:uid="{BB1F6F58-42CD-4767-A0DF-1BA5F6BDD665}"/>
    <cellStyle name="Comma 7 2 4 2 2" xfId="1212" xr:uid="{D454398B-2924-4319-A02C-4322AEA03E60}"/>
    <cellStyle name="Comma 7 2 4 2 2 2" xfId="2724" xr:uid="{A7AC5E6F-08B5-44E8-883A-C71241DFD78D}"/>
    <cellStyle name="Comma 7 2 4 2 2 2 2" xfId="11796" xr:uid="{97026D0F-2888-4A2C-BB2B-809CE5C3D73D}"/>
    <cellStyle name="Comma 7 2 4 2 2 2 2 2" xfId="26916" xr:uid="{C1BDB897-E987-45C7-9F6A-3511798FFA47}"/>
    <cellStyle name="Comma 7 2 4 2 2 2 2 2 2" xfId="57156" xr:uid="{36278C5C-D04C-4D76-BEF5-23EE1C3FD78C}"/>
    <cellStyle name="Comma 7 2 4 2 2 2 2 3" xfId="42036" xr:uid="{F6910D14-EDC0-40ED-BDAC-1F653890A60B}"/>
    <cellStyle name="Comma 7 2 4 2 2 2 3" xfId="17844" xr:uid="{BB96305B-8405-40AE-B3FF-93FAE3C977B6}"/>
    <cellStyle name="Comma 7 2 4 2 2 2 3 2" xfId="48084" xr:uid="{8D142F4E-8E81-4733-92FA-313EEBEDD205}"/>
    <cellStyle name="Comma 7 2 4 2 2 2 4" xfId="32964" xr:uid="{014D470F-7047-4798-B3EE-7523A0B1EF87}"/>
    <cellStyle name="Comma 7 2 4 2 2 3" xfId="4236" xr:uid="{18758323-4F60-482C-ABF1-73A61FDACB29}"/>
    <cellStyle name="Comma 7 2 4 2 2 3 2" xfId="13308" xr:uid="{8386D4A7-E807-40AE-A2EA-F587FF5D03FC}"/>
    <cellStyle name="Comma 7 2 4 2 2 3 2 2" xfId="28428" xr:uid="{C44E93B6-AD4B-40E7-BBA4-DB42F49571DE}"/>
    <cellStyle name="Comma 7 2 4 2 2 3 2 2 2" xfId="58668" xr:uid="{01164398-89B3-4DBA-AF60-76BBD4DEA969}"/>
    <cellStyle name="Comma 7 2 4 2 2 3 2 3" xfId="43548" xr:uid="{8DF7E7F0-A288-4CCB-AC70-99643526A940}"/>
    <cellStyle name="Comma 7 2 4 2 2 3 3" xfId="19356" xr:uid="{DF4664C7-1399-4586-BC9E-4D7A3E0A0AD1}"/>
    <cellStyle name="Comma 7 2 4 2 2 3 3 2" xfId="49596" xr:uid="{5893E39E-BBBC-402D-BD5D-90103CB99091}"/>
    <cellStyle name="Comma 7 2 4 2 2 3 4" xfId="34476" xr:uid="{6C2EBF60-48CD-490D-8265-0CB6424A8D61}"/>
    <cellStyle name="Comma 7 2 4 2 2 4" xfId="5748" xr:uid="{389F3BE8-9515-4725-9258-4255A5FFC026}"/>
    <cellStyle name="Comma 7 2 4 2 2 4 2" xfId="14820" xr:uid="{82EF2B90-BDA8-4A02-9102-2F679DAC72EB}"/>
    <cellStyle name="Comma 7 2 4 2 2 4 2 2" xfId="29940" xr:uid="{FF68AA39-4D83-4CE8-923A-7A65DDC1CE6A}"/>
    <cellStyle name="Comma 7 2 4 2 2 4 2 2 2" xfId="60180" xr:uid="{FE760C46-AD60-4E85-8838-AFDC3D1C8903}"/>
    <cellStyle name="Comma 7 2 4 2 2 4 2 3" xfId="45060" xr:uid="{10ADCAF5-4B0A-457C-A883-8FF5476B16AA}"/>
    <cellStyle name="Comma 7 2 4 2 2 4 3" xfId="20868" xr:uid="{2F615EB8-E28F-4755-866D-28B16AC884BE}"/>
    <cellStyle name="Comma 7 2 4 2 2 4 3 2" xfId="51108" xr:uid="{1907382D-2BBC-49C6-A970-5CA4B7760A02}"/>
    <cellStyle name="Comma 7 2 4 2 2 4 4" xfId="35988" xr:uid="{996D5987-1E92-4F0F-861D-147FBE0453C0}"/>
    <cellStyle name="Comma 7 2 4 2 2 5" xfId="7260" xr:uid="{195DCE91-8B72-4F8E-A647-99CE35D0F06B}"/>
    <cellStyle name="Comma 7 2 4 2 2 5 2" xfId="22380" xr:uid="{8D9E88FB-79BD-43DF-9E6A-997EB6ECBE8B}"/>
    <cellStyle name="Comma 7 2 4 2 2 5 2 2" xfId="52620" xr:uid="{18985B3F-F8A9-4B91-99F4-0BF6406D38E8}"/>
    <cellStyle name="Comma 7 2 4 2 2 5 3" xfId="37500" xr:uid="{1DBE9CB0-E7FF-48D5-8A6D-3620598C6AF9}"/>
    <cellStyle name="Comma 7 2 4 2 2 6" xfId="8772" xr:uid="{8293D4BF-0E84-4A7A-B669-6C404B31B36C}"/>
    <cellStyle name="Comma 7 2 4 2 2 6 2" xfId="23892" xr:uid="{9B268923-CFD6-47C2-A19D-934437AC66F0}"/>
    <cellStyle name="Comma 7 2 4 2 2 6 2 2" xfId="54132" xr:uid="{C5CE72FB-81CF-4124-8EEC-5BC02DC303CB}"/>
    <cellStyle name="Comma 7 2 4 2 2 6 3" xfId="39012" xr:uid="{C915B9B3-A5A4-4873-B20F-4E8FCBC913C8}"/>
    <cellStyle name="Comma 7 2 4 2 2 7" xfId="10284" xr:uid="{0035F44D-F299-4AF5-90A5-8FCED8F2E783}"/>
    <cellStyle name="Comma 7 2 4 2 2 7 2" xfId="25404" xr:uid="{772C596E-114D-47C1-A9C4-5D1FAB4A0F6A}"/>
    <cellStyle name="Comma 7 2 4 2 2 7 2 2" xfId="55644" xr:uid="{9D608734-91FE-49EC-8AA9-58417FA2232C}"/>
    <cellStyle name="Comma 7 2 4 2 2 7 3" xfId="40524" xr:uid="{94ECEF62-B6FB-49C7-A604-EA309E193B33}"/>
    <cellStyle name="Comma 7 2 4 2 2 8" xfId="16332" xr:uid="{317AEA67-ED35-4FB6-9D4F-9C0A49FE8A54}"/>
    <cellStyle name="Comma 7 2 4 2 2 8 2" xfId="46572" xr:uid="{FEC47C51-01D9-4EAF-99DF-07E543CE7D13}"/>
    <cellStyle name="Comma 7 2 4 2 2 9" xfId="31452" xr:uid="{3C16968D-6669-479D-9169-1386D36B4FC0}"/>
    <cellStyle name="Comma 7 2 4 2 3" xfId="1968" xr:uid="{EAA69C3E-2797-43C3-AC42-804275E8D8C9}"/>
    <cellStyle name="Comma 7 2 4 2 3 2" xfId="11040" xr:uid="{6F3BABC1-FFD9-4BB9-B575-AD6FF66AF774}"/>
    <cellStyle name="Comma 7 2 4 2 3 2 2" xfId="26160" xr:uid="{58ED8D88-6365-4FB9-9E37-196E7E0D1DE8}"/>
    <cellStyle name="Comma 7 2 4 2 3 2 2 2" xfId="56400" xr:uid="{751A39A6-760A-47D3-99A6-9E148660381E}"/>
    <cellStyle name="Comma 7 2 4 2 3 2 3" xfId="41280" xr:uid="{63FF4314-0C97-4D09-83C5-8B3AA54E6D93}"/>
    <cellStyle name="Comma 7 2 4 2 3 3" xfId="17088" xr:uid="{8A2D83CF-6D1B-4E83-A6F3-119D311146AD}"/>
    <cellStyle name="Comma 7 2 4 2 3 3 2" xfId="47328" xr:uid="{1E4E3401-7A50-4149-8C76-B62BDF5EB098}"/>
    <cellStyle name="Comma 7 2 4 2 3 4" xfId="32208" xr:uid="{1AC01F72-0B4D-43DF-BCA0-999AC37381F5}"/>
    <cellStyle name="Comma 7 2 4 2 4" xfId="3480" xr:uid="{BD6E7FE4-10E0-418F-82E2-A803519F81E9}"/>
    <cellStyle name="Comma 7 2 4 2 4 2" xfId="12552" xr:uid="{DD4D2FEF-3632-43C1-B753-7A96112887F2}"/>
    <cellStyle name="Comma 7 2 4 2 4 2 2" xfId="27672" xr:uid="{307B6879-E1DA-4ACE-8DDC-3DE2BB0CB532}"/>
    <cellStyle name="Comma 7 2 4 2 4 2 2 2" xfId="57912" xr:uid="{5F226435-BA03-463F-96B4-34B7921F22EF}"/>
    <cellStyle name="Comma 7 2 4 2 4 2 3" xfId="42792" xr:uid="{592043F6-D236-4E10-B87A-C7CE4B47A7D8}"/>
    <cellStyle name="Comma 7 2 4 2 4 3" xfId="18600" xr:uid="{AE0EF264-9866-4A57-818E-9A05CCAC0F15}"/>
    <cellStyle name="Comma 7 2 4 2 4 3 2" xfId="48840" xr:uid="{33E5A761-CD74-415D-8D82-F0EDA4BFD0F4}"/>
    <cellStyle name="Comma 7 2 4 2 4 4" xfId="33720" xr:uid="{51466FB6-D3B1-45FE-881A-DB0CDF114C92}"/>
    <cellStyle name="Comma 7 2 4 2 5" xfId="4992" xr:uid="{066319EF-D07E-46B2-9B90-7158B41CBD5C}"/>
    <cellStyle name="Comma 7 2 4 2 5 2" xfId="14064" xr:uid="{CB3E800E-C99B-44E9-B35F-61CBBEB1964D}"/>
    <cellStyle name="Comma 7 2 4 2 5 2 2" xfId="29184" xr:uid="{B4F83985-EE8F-452D-B8EE-86E34FC16412}"/>
    <cellStyle name="Comma 7 2 4 2 5 2 2 2" xfId="59424" xr:uid="{69963340-2CCF-47FA-8A2C-DB66E393C3B0}"/>
    <cellStyle name="Comma 7 2 4 2 5 2 3" xfId="44304" xr:uid="{C45E6505-680E-4F14-928B-D25567B4756D}"/>
    <cellStyle name="Comma 7 2 4 2 5 3" xfId="20112" xr:uid="{440105E6-2523-4A0B-8DC7-7CE41E9EC051}"/>
    <cellStyle name="Comma 7 2 4 2 5 3 2" xfId="50352" xr:uid="{3DDBA374-8BB3-45ED-94A2-965EA2FFDD26}"/>
    <cellStyle name="Comma 7 2 4 2 5 4" xfId="35232" xr:uid="{800C927F-AC60-461F-9B20-670D366A7F56}"/>
    <cellStyle name="Comma 7 2 4 2 6" xfId="6504" xr:uid="{D6704FEE-8A8D-49B8-988F-012BF634A08B}"/>
    <cellStyle name="Comma 7 2 4 2 6 2" xfId="21624" xr:uid="{FE1B0913-498B-47DD-92DC-87DF84556106}"/>
    <cellStyle name="Comma 7 2 4 2 6 2 2" xfId="51864" xr:uid="{8F61E3FF-460A-40A8-B4EF-9149900C9A07}"/>
    <cellStyle name="Comma 7 2 4 2 6 3" xfId="36744" xr:uid="{4322EFAF-37D6-477F-B485-F704837A2AAB}"/>
    <cellStyle name="Comma 7 2 4 2 7" xfId="8016" xr:uid="{C6E266F3-74E8-4366-BA0D-709F2DDEFF64}"/>
    <cellStyle name="Comma 7 2 4 2 7 2" xfId="23136" xr:uid="{4D500F13-9AD6-49D6-A2FB-3E10FCD3ED9B}"/>
    <cellStyle name="Comma 7 2 4 2 7 2 2" xfId="53376" xr:uid="{9667FFFF-797A-4D4E-B1B0-32FD18C0525B}"/>
    <cellStyle name="Comma 7 2 4 2 7 3" xfId="38256" xr:uid="{1F6BFE5E-85A7-4ADE-AF78-C8B48084E42B}"/>
    <cellStyle name="Comma 7 2 4 2 8" xfId="9528" xr:uid="{89DEA8E4-3874-46D4-ACA6-06EB8C99B14D}"/>
    <cellStyle name="Comma 7 2 4 2 8 2" xfId="24648" xr:uid="{ABE90EA8-DB97-4D71-8FC2-186305B53F9A}"/>
    <cellStyle name="Comma 7 2 4 2 8 2 2" xfId="54888" xr:uid="{92E4329A-522A-441E-AFB2-3D9101FD36DC}"/>
    <cellStyle name="Comma 7 2 4 2 8 3" xfId="39768" xr:uid="{5780673E-E303-483E-BEAF-A6C58733FE35}"/>
    <cellStyle name="Comma 7 2 4 2 9" xfId="15576" xr:uid="{C5A9B4D1-FC55-4218-9D02-689194AFD9AC}"/>
    <cellStyle name="Comma 7 2 4 2 9 2" xfId="45816" xr:uid="{EBA658E6-366F-4638-981E-A2A7D3BACAD6}"/>
    <cellStyle name="Comma 7 2 4 3" xfId="708" xr:uid="{90FA0B58-2B34-4A1A-A674-C6D061A06A8A}"/>
    <cellStyle name="Comma 7 2 4 3 10" xfId="30948" xr:uid="{985BE988-7357-4811-A60F-7B7CFD3CCFB0}"/>
    <cellStyle name="Comma 7 2 4 3 2" xfId="1464" xr:uid="{51DC5908-0D92-4759-9C0F-E246B0EDDA62}"/>
    <cellStyle name="Comma 7 2 4 3 2 2" xfId="2976" xr:uid="{677C5888-5992-4E09-A3BF-6AD8A04C69B0}"/>
    <cellStyle name="Comma 7 2 4 3 2 2 2" xfId="12048" xr:uid="{150D4387-45C1-4C44-BFA1-4A569F552FD4}"/>
    <cellStyle name="Comma 7 2 4 3 2 2 2 2" xfId="27168" xr:uid="{B0E82815-02EA-4F99-991F-E325AA6DFC5E}"/>
    <cellStyle name="Comma 7 2 4 3 2 2 2 2 2" xfId="57408" xr:uid="{6293E440-5441-436B-953D-B04450A1874C}"/>
    <cellStyle name="Comma 7 2 4 3 2 2 2 3" xfId="42288" xr:uid="{ED33237D-1401-429A-AC0B-0FB1326989E1}"/>
    <cellStyle name="Comma 7 2 4 3 2 2 3" xfId="18096" xr:uid="{3BC4BB80-7837-4DED-A00D-C5F7BC032893}"/>
    <cellStyle name="Comma 7 2 4 3 2 2 3 2" xfId="48336" xr:uid="{F2D82B5B-4265-4097-B5B3-2E1832B60E6F}"/>
    <cellStyle name="Comma 7 2 4 3 2 2 4" xfId="33216" xr:uid="{C045EE3C-7AE0-4EA5-A09E-7F65F86F71A9}"/>
    <cellStyle name="Comma 7 2 4 3 2 3" xfId="4488" xr:uid="{ACB4BD71-47F6-4231-9251-0014C47D2C2A}"/>
    <cellStyle name="Comma 7 2 4 3 2 3 2" xfId="13560" xr:uid="{02588301-8F01-4AA4-8623-6E364FEAB0E1}"/>
    <cellStyle name="Comma 7 2 4 3 2 3 2 2" xfId="28680" xr:uid="{EA051DBD-FF8B-47E3-8BC5-BEFFC7DFD397}"/>
    <cellStyle name="Comma 7 2 4 3 2 3 2 2 2" xfId="58920" xr:uid="{8244CCAE-A51D-4401-9D9D-961DD7F1E682}"/>
    <cellStyle name="Comma 7 2 4 3 2 3 2 3" xfId="43800" xr:uid="{FC674094-16E2-4125-B09A-A62E8009396B}"/>
    <cellStyle name="Comma 7 2 4 3 2 3 3" xfId="19608" xr:uid="{D38290A5-C4F4-4F2F-A37C-24724DBB0272}"/>
    <cellStyle name="Comma 7 2 4 3 2 3 3 2" xfId="49848" xr:uid="{C891A28F-C9D4-4281-85E9-0FFCD2B6D1E8}"/>
    <cellStyle name="Comma 7 2 4 3 2 3 4" xfId="34728" xr:uid="{1662D5AF-009E-42D3-8C8B-2E4499ECA0B3}"/>
    <cellStyle name="Comma 7 2 4 3 2 4" xfId="6000" xr:uid="{6890B889-8A94-476D-B982-D7F9CB4DCA8D}"/>
    <cellStyle name="Comma 7 2 4 3 2 4 2" xfId="15072" xr:uid="{638E4A9B-DACE-4641-9C80-BFF44CBDB50C}"/>
    <cellStyle name="Comma 7 2 4 3 2 4 2 2" xfId="30192" xr:uid="{B3A91124-8765-4A01-BA74-FDC5BA301DC3}"/>
    <cellStyle name="Comma 7 2 4 3 2 4 2 2 2" xfId="60432" xr:uid="{83EE7418-1F7E-450C-B08D-04E457213837}"/>
    <cellStyle name="Comma 7 2 4 3 2 4 2 3" xfId="45312" xr:uid="{7199B27C-E2C8-4D39-94F1-D2E9C89B2791}"/>
    <cellStyle name="Comma 7 2 4 3 2 4 3" xfId="21120" xr:uid="{7FA38791-B349-4A6E-A50D-54AF9565C32C}"/>
    <cellStyle name="Comma 7 2 4 3 2 4 3 2" xfId="51360" xr:uid="{6B4BB6E4-394E-4856-B08B-2BF16DEDBDCF}"/>
    <cellStyle name="Comma 7 2 4 3 2 4 4" xfId="36240" xr:uid="{C3EA0C2E-E1F9-4034-B4D9-0344EB9FA65F}"/>
    <cellStyle name="Comma 7 2 4 3 2 5" xfId="7512" xr:uid="{70FDCE25-D673-4B5E-9CDE-9037D192778E}"/>
    <cellStyle name="Comma 7 2 4 3 2 5 2" xfId="22632" xr:uid="{3569E01F-D21A-414D-936E-8CCE743C4302}"/>
    <cellStyle name="Comma 7 2 4 3 2 5 2 2" xfId="52872" xr:uid="{166A880F-65DB-40BC-AAA8-F4C1F677B187}"/>
    <cellStyle name="Comma 7 2 4 3 2 5 3" xfId="37752" xr:uid="{36147C23-87E5-4948-BD78-40318F5867E2}"/>
    <cellStyle name="Comma 7 2 4 3 2 6" xfId="9024" xr:uid="{BD9122E8-7A0B-460F-8885-8A948C44E21A}"/>
    <cellStyle name="Comma 7 2 4 3 2 6 2" xfId="24144" xr:uid="{2F553F95-CBA9-487D-8202-76E1834D7020}"/>
    <cellStyle name="Comma 7 2 4 3 2 6 2 2" xfId="54384" xr:uid="{C640BC1F-382F-4EE1-9799-E68002FAA107}"/>
    <cellStyle name="Comma 7 2 4 3 2 6 3" xfId="39264" xr:uid="{69D900D3-7A3D-4EAE-AFA9-E4FF500A60C7}"/>
    <cellStyle name="Comma 7 2 4 3 2 7" xfId="10536" xr:uid="{3C691B64-4B8C-4C93-A4A2-0835A738B78E}"/>
    <cellStyle name="Comma 7 2 4 3 2 7 2" xfId="25656" xr:uid="{E1AAB2E3-A796-4C2D-93B1-7D31806B22B8}"/>
    <cellStyle name="Comma 7 2 4 3 2 7 2 2" xfId="55896" xr:uid="{F4D2F363-5F05-47B0-A909-F2F862EC0C0A}"/>
    <cellStyle name="Comma 7 2 4 3 2 7 3" xfId="40776" xr:uid="{2E697C40-0B2B-4938-A214-A375D9493FBA}"/>
    <cellStyle name="Comma 7 2 4 3 2 8" xfId="16584" xr:uid="{D91C8995-A21A-4921-A9B5-0865F34DAD5B}"/>
    <cellStyle name="Comma 7 2 4 3 2 8 2" xfId="46824" xr:uid="{33EFCDFA-356D-489F-85B0-912D72F49201}"/>
    <cellStyle name="Comma 7 2 4 3 2 9" xfId="31704" xr:uid="{E2E23B81-E71E-45B4-AD2B-316DE39E1AC5}"/>
    <cellStyle name="Comma 7 2 4 3 3" xfId="2220" xr:uid="{0950C244-0AF2-4BF2-A3D0-E66B8DA6B017}"/>
    <cellStyle name="Comma 7 2 4 3 3 2" xfId="11292" xr:uid="{265827FE-6076-43AC-A71F-6EEB7C72F0FC}"/>
    <cellStyle name="Comma 7 2 4 3 3 2 2" xfId="26412" xr:uid="{DEDE3FAE-1E05-4101-AA24-573D5F5F3E27}"/>
    <cellStyle name="Comma 7 2 4 3 3 2 2 2" xfId="56652" xr:uid="{3491CAF1-475C-4C61-B296-78A0186D5F3F}"/>
    <cellStyle name="Comma 7 2 4 3 3 2 3" xfId="41532" xr:uid="{1742448F-E9FD-4B90-AD6F-3646BD148807}"/>
    <cellStyle name="Comma 7 2 4 3 3 3" xfId="17340" xr:uid="{A2AED254-08C2-4FBA-8B6F-79DD3C98004F}"/>
    <cellStyle name="Comma 7 2 4 3 3 3 2" xfId="47580" xr:uid="{786AC43E-4819-4913-8350-6ECE9947D36A}"/>
    <cellStyle name="Comma 7 2 4 3 3 4" xfId="32460" xr:uid="{D7027B83-76D4-424D-8CB8-E5F98C2B80F6}"/>
    <cellStyle name="Comma 7 2 4 3 4" xfId="3732" xr:uid="{77E90B22-2DC8-417E-8C95-6D8A362C73BA}"/>
    <cellStyle name="Comma 7 2 4 3 4 2" xfId="12804" xr:uid="{8CCF3189-EE6F-44C2-AC01-7F9FD2F6C346}"/>
    <cellStyle name="Comma 7 2 4 3 4 2 2" xfId="27924" xr:uid="{4FF0E61B-5F60-4FD9-A41A-60CC922CBE10}"/>
    <cellStyle name="Comma 7 2 4 3 4 2 2 2" xfId="58164" xr:uid="{8C03B06B-BC10-4A90-B060-8A05E662B4B7}"/>
    <cellStyle name="Comma 7 2 4 3 4 2 3" xfId="43044" xr:uid="{FB7A3519-49CC-4592-AC7A-56092DFB5F41}"/>
    <cellStyle name="Comma 7 2 4 3 4 3" xfId="18852" xr:uid="{081330B8-87E1-475B-BC43-672FF5E4F61F}"/>
    <cellStyle name="Comma 7 2 4 3 4 3 2" xfId="49092" xr:uid="{817454A7-3DEB-465C-893E-0960B6D64BB6}"/>
    <cellStyle name="Comma 7 2 4 3 4 4" xfId="33972" xr:uid="{FDB3F18F-1F3E-4F9B-9A63-98CD6D941006}"/>
    <cellStyle name="Comma 7 2 4 3 5" xfId="5244" xr:uid="{37637517-C175-40D4-B442-C0455A00EBFE}"/>
    <cellStyle name="Comma 7 2 4 3 5 2" xfId="14316" xr:uid="{A0CD7DCE-B14E-4F37-B11C-524665A73AF9}"/>
    <cellStyle name="Comma 7 2 4 3 5 2 2" xfId="29436" xr:uid="{1D0C3BCD-7268-433A-BB9B-35CC11E50EB5}"/>
    <cellStyle name="Comma 7 2 4 3 5 2 2 2" xfId="59676" xr:uid="{05A73AD3-931F-4488-B7C6-E8717278F2A0}"/>
    <cellStyle name="Comma 7 2 4 3 5 2 3" xfId="44556" xr:uid="{F1840AA1-FC53-40CE-BE38-D6A086D12728}"/>
    <cellStyle name="Comma 7 2 4 3 5 3" xfId="20364" xr:uid="{733F97EE-76A3-4623-AA21-1A278D2F9FD5}"/>
    <cellStyle name="Comma 7 2 4 3 5 3 2" xfId="50604" xr:uid="{7A6D1BA6-A1C0-4CCC-B468-E55FD3A7E6AD}"/>
    <cellStyle name="Comma 7 2 4 3 5 4" xfId="35484" xr:uid="{56696F50-8F99-43A0-B404-C024B4399DF2}"/>
    <cellStyle name="Comma 7 2 4 3 6" xfId="6756" xr:uid="{52879E34-67C6-4499-A1F4-844C86A4F86E}"/>
    <cellStyle name="Comma 7 2 4 3 6 2" xfId="21876" xr:uid="{2B2D52F6-B857-4A8C-B8D8-65647A42715F}"/>
    <cellStyle name="Comma 7 2 4 3 6 2 2" xfId="52116" xr:uid="{B60D2BD9-AADA-4579-BDAD-FA5D5E899CD4}"/>
    <cellStyle name="Comma 7 2 4 3 6 3" xfId="36996" xr:uid="{FCBF820B-1191-4085-BDEC-AE1D13B5837F}"/>
    <cellStyle name="Comma 7 2 4 3 7" xfId="8268" xr:uid="{EB050449-8AF3-47D5-AD2E-BFFB16F291D1}"/>
    <cellStyle name="Comma 7 2 4 3 7 2" xfId="23388" xr:uid="{BD51D529-C309-41B4-B2A6-7B0787578524}"/>
    <cellStyle name="Comma 7 2 4 3 7 2 2" xfId="53628" xr:uid="{7B579811-DC77-4776-BCDB-A5C6768E7A2B}"/>
    <cellStyle name="Comma 7 2 4 3 7 3" xfId="38508" xr:uid="{EF9E1CBE-22AE-4B05-A602-DA1621029963}"/>
    <cellStyle name="Comma 7 2 4 3 8" xfId="9780" xr:uid="{E4A656A4-2EB7-448A-887D-0D68AC693196}"/>
    <cellStyle name="Comma 7 2 4 3 8 2" xfId="24900" xr:uid="{E7F9F13E-16B7-4549-9280-7FF15C1AC426}"/>
    <cellStyle name="Comma 7 2 4 3 8 2 2" xfId="55140" xr:uid="{E22F71C0-A56E-4F13-96B9-AE78A76C5182}"/>
    <cellStyle name="Comma 7 2 4 3 8 3" xfId="40020" xr:uid="{91426B5E-FCD3-4FF4-A9A9-A456436BC220}"/>
    <cellStyle name="Comma 7 2 4 3 9" xfId="15828" xr:uid="{805E728F-CD36-4EEB-8E5D-A9B5DF06B5EC}"/>
    <cellStyle name="Comma 7 2 4 3 9 2" xfId="46068" xr:uid="{355C79F1-EC3A-4622-A3EE-6FBF4A5A4559}"/>
    <cellStyle name="Comma 7 2 4 4" xfId="960" xr:uid="{0CD20EAE-613C-4B06-BD87-D0EDB6614C28}"/>
    <cellStyle name="Comma 7 2 4 4 2" xfId="2472" xr:uid="{6D75E641-0C49-4267-B03A-B8F932D04375}"/>
    <cellStyle name="Comma 7 2 4 4 2 2" xfId="11544" xr:uid="{7084750B-A9E5-4BE7-8B22-03C1902899D1}"/>
    <cellStyle name="Comma 7 2 4 4 2 2 2" xfId="26664" xr:uid="{D8FE0DF5-7E34-4CB0-A3EC-70E9A7FDA5AE}"/>
    <cellStyle name="Comma 7 2 4 4 2 2 2 2" xfId="56904" xr:uid="{59ED4557-BE01-41A9-AAEA-AEA22EE5B590}"/>
    <cellStyle name="Comma 7 2 4 4 2 2 3" xfId="41784" xr:uid="{29F91638-E62E-4A1B-B7FC-E2CCA59ECEFF}"/>
    <cellStyle name="Comma 7 2 4 4 2 3" xfId="17592" xr:uid="{CE04C69C-E688-43B6-BDCB-0790A8A7CB3A}"/>
    <cellStyle name="Comma 7 2 4 4 2 3 2" xfId="47832" xr:uid="{BD961BF0-A519-465C-A04D-35275976AE46}"/>
    <cellStyle name="Comma 7 2 4 4 2 4" xfId="32712" xr:uid="{3D1EDF42-722C-4208-9EB2-94BD82B65CE0}"/>
    <cellStyle name="Comma 7 2 4 4 3" xfId="3984" xr:uid="{3C809891-BF98-472A-B1B7-E39E3C252D2F}"/>
    <cellStyle name="Comma 7 2 4 4 3 2" xfId="13056" xr:uid="{9A07DC35-B4FE-4EE1-803D-73D7E0EAA0F7}"/>
    <cellStyle name="Comma 7 2 4 4 3 2 2" xfId="28176" xr:uid="{D06EECF7-5F46-4382-9921-74C34C92526D}"/>
    <cellStyle name="Comma 7 2 4 4 3 2 2 2" xfId="58416" xr:uid="{4645056D-4B76-4419-8EB8-69517262918A}"/>
    <cellStyle name="Comma 7 2 4 4 3 2 3" xfId="43296" xr:uid="{281FF242-107F-4AB3-8B15-057EF240CE2B}"/>
    <cellStyle name="Comma 7 2 4 4 3 3" xfId="19104" xr:uid="{7ECCA0B7-C5A4-44AD-B1EF-956087050449}"/>
    <cellStyle name="Comma 7 2 4 4 3 3 2" xfId="49344" xr:uid="{39BDD48A-6351-40DF-B123-9D0CF9503579}"/>
    <cellStyle name="Comma 7 2 4 4 3 4" xfId="34224" xr:uid="{76A07CAC-FBEF-4FC8-A304-8EC32BF12C4A}"/>
    <cellStyle name="Comma 7 2 4 4 4" xfId="5496" xr:uid="{1F205AC2-E964-49DA-8F1D-F945220D0018}"/>
    <cellStyle name="Comma 7 2 4 4 4 2" xfId="14568" xr:uid="{D5D0D682-F6FC-45D5-8B59-FEE8C4B153DE}"/>
    <cellStyle name="Comma 7 2 4 4 4 2 2" xfId="29688" xr:uid="{E420FA53-F593-4E80-8FB3-832634E26509}"/>
    <cellStyle name="Comma 7 2 4 4 4 2 2 2" xfId="59928" xr:uid="{A737E9DA-1E09-47BF-BC1A-CB031B867DB1}"/>
    <cellStyle name="Comma 7 2 4 4 4 2 3" xfId="44808" xr:uid="{F8DCBDD2-A7EF-4149-A980-2204F2A83965}"/>
    <cellStyle name="Comma 7 2 4 4 4 3" xfId="20616" xr:uid="{1360F567-61C1-41E3-A1DA-73B9377F0A4A}"/>
    <cellStyle name="Comma 7 2 4 4 4 3 2" xfId="50856" xr:uid="{08555261-54A7-4503-B1CB-F14374C0690B}"/>
    <cellStyle name="Comma 7 2 4 4 4 4" xfId="35736" xr:uid="{DE03D7A1-1008-48E9-9ED6-70CA8001E521}"/>
    <cellStyle name="Comma 7 2 4 4 5" xfId="7008" xr:uid="{2AC22E2F-7BC7-483D-8F48-91978B0A3FF3}"/>
    <cellStyle name="Comma 7 2 4 4 5 2" xfId="22128" xr:uid="{ED73FF5C-E11E-459A-A780-C5B3390EB1EB}"/>
    <cellStyle name="Comma 7 2 4 4 5 2 2" xfId="52368" xr:uid="{1BA2B03B-7BBD-4BEE-B899-269C4D7CE521}"/>
    <cellStyle name="Comma 7 2 4 4 5 3" xfId="37248" xr:uid="{02AA59BE-A974-4A4D-885E-F0688781380F}"/>
    <cellStyle name="Comma 7 2 4 4 6" xfId="8520" xr:uid="{2A994C53-8D3C-4521-9C64-3F1DF28BE21D}"/>
    <cellStyle name="Comma 7 2 4 4 6 2" xfId="23640" xr:uid="{5981B8AD-68B3-422C-956D-1BAB25D5DD8F}"/>
    <cellStyle name="Comma 7 2 4 4 6 2 2" xfId="53880" xr:uid="{5F017030-6414-42D9-8635-407853A931C1}"/>
    <cellStyle name="Comma 7 2 4 4 6 3" xfId="38760" xr:uid="{68D9E490-63E9-427B-AB55-604244716005}"/>
    <cellStyle name="Comma 7 2 4 4 7" xfId="10032" xr:uid="{A95D85ED-EDA6-44EB-B337-B3574DAFDB73}"/>
    <cellStyle name="Comma 7 2 4 4 7 2" xfId="25152" xr:uid="{85BD4A79-25A7-4D59-8D4C-2432B9E0F114}"/>
    <cellStyle name="Comma 7 2 4 4 7 2 2" xfId="55392" xr:uid="{AD3EF6E9-7A98-433A-B745-D56722F15BEE}"/>
    <cellStyle name="Comma 7 2 4 4 7 3" xfId="40272" xr:uid="{A7F58870-7F61-44E3-BF95-E760B4BEC313}"/>
    <cellStyle name="Comma 7 2 4 4 8" xfId="16080" xr:uid="{F29B11C2-E405-41A9-9750-A57D9D25F9DB}"/>
    <cellStyle name="Comma 7 2 4 4 8 2" xfId="46320" xr:uid="{858247ED-8E45-4294-B200-D8562EF880BB}"/>
    <cellStyle name="Comma 7 2 4 4 9" xfId="31200" xr:uid="{0086943E-4F9B-4B56-ADA9-9BDDFD0094F0}"/>
    <cellStyle name="Comma 7 2 4 5" xfId="1716" xr:uid="{CB5A0474-D22A-4FD0-A1F4-B1553A2BDDCF}"/>
    <cellStyle name="Comma 7 2 4 5 2" xfId="10788" xr:uid="{BA44E06A-4EA0-470D-8D6E-B17DAE5CF233}"/>
    <cellStyle name="Comma 7 2 4 5 2 2" xfId="25908" xr:uid="{AF051C9F-3F56-430F-AADC-0D755B947432}"/>
    <cellStyle name="Comma 7 2 4 5 2 2 2" xfId="56148" xr:uid="{77B0A7F5-D22F-4FE9-8D87-14A9CB00ABB9}"/>
    <cellStyle name="Comma 7 2 4 5 2 3" xfId="41028" xr:uid="{2F079A3D-7FAD-46D8-A83F-97C6E01B2DE6}"/>
    <cellStyle name="Comma 7 2 4 5 3" xfId="16836" xr:uid="{F628B348-6266-4C69-B311-9C1CC03430DD}"/>
    <cellStyle name="Comma 7 2 4 5 3 2" xfId="47076" xr:uid="{D327CE13-3861-41C3-B802-C068F0799D9C}"/>
    <cellStyle name="Comma 7 2 4 5 4" xfId="31956" xr:uid="{60BF2778-FCE3-4F5B-AC6D-465F87AAC7A8}"/>
    <cellStyle name="Comma 7 2 4 6" xfId="3228" xr:uid="{D56FA237-05F3-40AA-8914-12F7BC50DAF9}"/>
    <cellStyle name="Comma 7 2 4 6 2" xfId="12300" xr:uid="{9E058680-E74D-46EE-8754-6C5B304DA029}"/>
    <cellStyle name="Comma 7 2 4 6 2 2" xfId="27420" xr:uid="{AA08D72A-CF7E-4A49-8CC6-F2F2306955CA}"/>
    <cellStyle name="Comma 7 2 4 6 2 2 2" xfId="57660" xr:uid="{88D5AC99-962B-4D03-A467-D2BE64F2ADB1}"/>
    <cellStyle name="Comma 7 2 4 6 2 3" xfId="42540" xr:uid="{4AFFA5B7-BD92-45C3-B719-CB12BAC25E0D}"/>
    <cellStyle name="Comma 7 2 4 6 3" xfId="18348" xr:uid="{F062D017-4209-4261-9C68-1554F267FD7F}"/>
    <cellStyle name="Comma 7 2 4 6 3 2" xfId="48588" xr:uid="{98D9ABC0-733B-4BF1-87CD-7EA4FAB19538}"/>
    <cellStyle name="Comma 7 2 4 6 4" xfId="33468" xr:uid="{E763FDCA-7839-4349-AD22-B9177EE2E363}"/>
    <cellStyle name="Comma 7 2 4 7" xfId="4740" xr:uid="{11226CED-1988-46B1-8929-4F73276CA69F}"/>
    <cellStyle name="Comma 7 2 4 7 2" xfId="13812" xr:uid="{BAB4DA39-8BF6-4F84-827C-31F9366C74F7}"/>
    <cellStyle name="Comma 7 2 4 7 2 2" xfId="28932" xr:uid="{21B7ECD0-D49A-42EA-8C85-E88838B7F123}"/>
    <cellStyle name="Comma 7 2 4 7 2 2 2" xfId="59172" xr:uid="{40833305-DE74-4B64-B48A-ACECC474E06E}"/>
    <cellStyle name="Comma 7 2 4 7 2 3" xfId="44052" xr:uid="{CB0A8AD6-3D61-4FB2-865E-3DAE54EF3293}"/>
    <cellStyle name="Comma 7 2 4 7 3" xfId="19860" xr:uid="{D6F66629-F0EB-4844-80F2-F8D41AB5E1B7}"/>
    <cellStyle name="Comma 7 2 4 7 3 2" xfId="50100" xr:uid="{AFDFFC8F-3BDA-47E8-9840-F81DEE668829}"/>
    <cellStyle name="Comma 7 2 4 7 4" xfId="34980" xr:uid="{95AC89E8-BDC6-43E0-820F-6F7EA68BF8A9}"/>
    <cellStyle name="Comma 7 2 4 8" xfId="6252" xr:uid="{F6C0348A-0530-4673-A7EF-B8D4380D86C0}"/>
    <cellStyle name="Comma 7 2 4 8 2" xfId="21372" xr:uid="{0F8BE8FF-BC81-4C4B-8613-91DF3DFA40F7}"/>
    <cellStyle name="Comma 7 2 4 8 2 2" xfId="51612" xr:uid="{1571696E-F701-4B5D-BE3C-12EAFADA009E}"/>
    <cellStyle name="Comma 7 2 4 8 3" xfId="36492" xr:uid="{6760FE37-D4E2-4D22-BF0B-91BFAA247AAE}"/>
    <cellStyle name="Comma 7 2 4 9" xfId="7764" xr:uid="{84AF6929-AC6A-45F9-BD3E-071F48C6317A}"/>
    <cellStyle name="Comma 7 2 4 9 2" xfId="22884" xr:uid="{CD6255A7-D02A-4BC8-94B2-E47E88D12532}"/>
    <cellStyle name="Comma 7 2 4 9 2 2" xfId="53124" xr:uid="{26D6C70D-E7C7-4FE4-985A-9184EE7A2746}"/>
    <cellStyle name="Comma 7 2 4 9 3" xfId="38004" xr:uid="{66695E7F-30BC-4645-B62F-D77196946201}"/>
    <cellStyle name="Comma 7 2 5" xfId="288" xr:uid="{EC738514-3910-4079-B0EC-2F0586B91A67}"/>
    <cellStyle name="Comma 7 2 5 10" xfId="30528" xr:uid="{C56B2DE7-342E-4809-A426-84C3EC38C083}"/>
    <cellStyle name="Comma 7 2 5 2" xfId="1044" xr:uid="{52F90A84-578E-4C66-B2EC-6FACA66A365F}"/>
    <cellStyle name="Comma 7 2 5 2 2" xfId="2556" xr:uid="{3A9E0603-7844-4FFD-9335-43D765558700}"/>
    <cellStyle name="Comma 7 2 5 2 2 2" xfId="11628" xr:uid="{3C6CF7E2-4355-46F3-91F3-C7F60980FC30}"/>
    <cellStyle name="Comma 7 2 5 2 2 2 2" xfId="26748" xr:uid="{69B4F651-6D94-4175-9976-22D64A051F5B}"/>
    <cellStyle name="Comma 7 2 5 2 2 2 2 2" xfId="56988" xr:uid="{21F9F8AF-9614-4093-8CE5-EF422400E5C3}"/>
    <cellStyle name="Comma 7 2 5 2 2 2 3" xfId="41868" xr:uid="{8F8CE444-5DCA-424E-86E8-8E1CF631A9E5}"/>
    <cellStyle name="Comma 7 2 5 2 2 3" xfId="17676" xr:uid="{CF6E4ECD-386B-4C5B-B6AB-53EE19C9E387}"/>
    <cellStyle name="Comma 7 2 5 2 2 3 2" xfId="47916" xr:uid="{284BF8E9-622C-4032-B03E-05E6926126D5}"/>
    <cellStyle name="Comma 7 2 5 2 2 4" xfId="32796" xr:uid="{96F82C3D-4817-4A0F-9642-D7889372CE46}"/>
    <cellStyle name="Comma 7 2 5 2 3" xfId="4068" xr:uid="{E2ED58D9-DC82-4F00-9AE9-A4DF26526560}"/>
    <cellStyle name="Comma 7 2 5 2 3 2" xfId="13140" xr:uid="{B33F8E13-B5C1-48A5-89A6-31C91CC5A960}"/>
    <cellStyle name="Comma 7 2 5 2 3 2 2" xfId="28260" xr:uid="{6EE8D058-18AB-4225-B928-46F37471837E}"/>
    <cellStyle name="Comma 7 2 5 2 3 2 2 2" xfId="58500" xr:uid="{C16B259A-8D4C-4C0B-A804-8B4E0BD80332}"/>
    <cellStyle name="Comma 7 2 5 2 3 2 3" xfId="43380" xr:uid="{9C91DDB5-D80E-4EEF-9298-43D09C82C8BD}"/>
    <cellStyle name="Comma 7 2 5 2 3 3" xfId="19188" xr:uid="{7069E34A-D0E4-4D2C-8325-2A5554B87F4C}"/>
    <cellStyle name="Comma 7 2 5 2 3 3 2" xfId="49428" xr:uid="{092481D9-91C3-446D-A75E-FF5FAC17583D}"/>
    <cellStyle name="Comma 7 2 5 2 3 4" xfId="34308" xr:uid="{4FF21E33-60BC-4D80-841E-7A9824A47224}"/>
    <cellStyle name="Comma 7 2 5 2 4" xfId="5580" xr:uid="{15AC3AF1-75DB-4FC2-81C7-67576418871E}"/>
    <cellStyle name="Comma 7 2 5 2 4 2" xfId="14652" xr:uid="{E354CB03-5877-4A13-B90F-36DFD9F9AF66}"/>
    <cellStyle name="Comma 7 2 5 2 4 2 2" xfId="29772" xr:uid="{37CADB4C-757A-4F1A-AEE5-B1AB7CA52B37}"/>
    <cellStyle name="Comma 7 2 5 2 4 2 2 2" xfId="60012" xr:uid="{746E307C-522F-4543-9459-E3D71F52DE1A}"/>
    <cellStyle name="Comma 7 2 5 2 4 2 3" xfId="44892" xr:uid="{0FFE4360-470E-44FA-B016-A5DB802856D8}"/>
    <cellStyle name="Comma 7 2 5 2 4 3" xfId="20700" xr:uid="{9456CC65-CC6D-4B0A-9C15-41CE5D12ED7D}"/>
    <cellStyle name="Comma 7 2 5 2 4 3 2" xfId="50940" xr:uid="{9442A683-E22A-4B89-B99E-DF8068A2D85F}"/>
    <cellStyle name="Comma 7 2 5 2 4 4" xfId="35820" xr:uid="{5E369866-D589-4A83-A0DB-651AFF4BE628}"/>
    <cellStyle name="Comma 7 2 5 2 5" xfId="7092" xr:uid="{58CDF1F3-E508-48FD-AA70-1B16EAC2E759}"/>
    <cellStyle name="Comma 7 2 5 2 5 2" xfId="22212" xr:uid="{22B6D1FB-F98B-4A19-BCE1-B8FC38D4F523}"/>
    <cellStyle name="Comma 7 2 5 2 5 2 2" xfId="52452" xr:uid="{B92CF8D2-3136-4B2B-8BC9-001F64737FC3}"/>
    <cellStyle name="Comma 7 2 5 2 5 3" xfId="37332" xr:uid="{AFDC74E7-3542-4331-995A-716C110E537A}"/>
    <cellStyle name="Comma 7 2 5 2 6" xfId="8604" xr:uid="{066C3EF9-5880-4A49-940B-9EA9BF37169D}"/>
    <cellStyle name="Comma 7 2 5 2 6 2" xfId="23724" xr:uid="{DB51D103-B15F-4560-96D3-DE36FD246C5E}"/>
    <cellStyle name="Comma 7 2 5 2 6 2 2" xfId="53964" xr:uid="{11246269-14AE-4D48-800C-4B74FC4C6BB0}"/>
    <cellStyle name="Comma 7 2 5 2 6 3" xfId="38844" xr:uid="{DA0FBA9A-DD05-4871-A133-522D6F222F3E}"/>
    <cellStyle name="Comma 7 2 5 2 7" xfId="10116" xr:uid="{DF0AD490-4D6E-4031-9C84-ABCD947ED016}"/>
    <cellStyle name="Comma 7 2 5 2 7 2" xfId="25236" xr:uid="{5F43247E-B45F-4C65-9FB5-29DF94CBE9F4}"/>
    <cellStyle name="Comma 7 2 5 2 7 2 2" xfId="55476" xr:uid="{50E4F489-2294-471D-A6A7-5CE74A023E74}"/>
    <cellStyle name="Comma 7 2 5 2 7 3" xfId="40356" xr:uid="{4B569D48-BBF2-4C6C-8E1C-C951A3D37462}"/>
    <cellStyle name="Comma 7 2 5 2 8" xfId="16164" xr:uid="{486D5281-56FE-4679-A6AD-FC239E3567B6}"/>
    <cellStyle name="Comma 7 2 5 2 8 2" xfId="46404" xr:uid="{2763FFA7-DEBE-4F03-B763-CA2B6B654EA0}"/>
    <cellStyle name="Comma 7 2 5 2 9" xfId="31284" xr:uid="{F3D1BCE5-A229-4F46-B556-FB6308B2CBEB}"/>
    <cellStyle name="Comma 7 2 5 3" xfId="1800" xr:uid="{142604BD-B21D-4172-806A-E0A676741312}"/>
    <cellStyle name="Comma 7 2 5 3 2" xfId="10872" xr:uid="{EE1E4A2B-FD7F-4186-A0A8-6E95B4E21467}"/>
    <cellStyle name="Comma 7 2 5 3 2 2" xfId="25992" xr:uid="{27B3AFEC-3A05-480A-BB03-C0B59F0281A1}"/>
    <cellStyle name="Comma 7 2 5 3 2 2 2" xfId="56232" xr:uid="{2B33BB89-21AA-4FC7-B81A-A6F07CC12443}"/>
    <cellStyle name="Comma 7 2 5 3 2 3" xfId="41112" xr:uid="{AD614777-B853-4620-A3E5-FDFFBFEE1848}"/>
    <cellStyle name="Comma 7 2 5 3 3" xfId="16920" xr:uid="{01D2EC48-B407-459A-84EA-BA4B63D15937}"/>
    <cellStyle name="Comma 7 2 5 3 3 2" xfId="47160" xr:uid="{F997201E-7F92-4349-BD04-B158CDB76346}"/>
    <cellStyle name="Comma 7 2 5 3 4" xfId="32040" xr:uid="{53B9F1EF-E3CF-4E24-A798-C238A2289758}"/>
    <cellStyle name="Comma 7 2 5 4" xfId="3312" xr:uid="{E3BE2666-A48C-476C-B7AC-7EFAA7B6D1E0}"/>
    <cellStyle name="Comma 7 2 5 4 2" xfId="12384" xr:uid="{7BE3BD52-C10E-47BC-8B63-E06501B016EB}"/>
    <cellStyle name="Comma 7 2 5 4 2 2" xfId="27504" xr:uid="{229206B6-1871-40AE-AD86-F60EA20901BE}"/>
    <cellStyle name="Comma 7 2 5 4 2 2 2" xfId="57744" xr:uid="{7B74B705-2D3E-4DB8-BAB4-5D40AC8CCB9F}"/>
    <cellStyle name="Comma 7 2 5 4 2 3" xfId="42624" xr:uid="{3F62563A-000F-4E04-9E81-F18567A295ED}"/>
    <cellStyle name="Comma 7 2 5 4 3" xfId="18432" xr:uid="{03988E4E-0A05-49DC-BA75-207C46D08132}"/>
    <cellStyle name="Comma 7 2 5 4 3 2" xfId="48672" xr:uid="{0D6CCE97-BD58-4078-AD3C-0864EC562ECA}"/>
    <cellStyle name="Comma 7 2 5 4 4" xfId="33552" xr:uid="{1B4D1D4C-CBF6-46DA-A30E-603CBCAB7F43}"/>
    <cellStyle name="Comma 7 2 5 5" xfId="4824" xr:uid="{1BB6CA24-9046-4D56-BBC2-040F5B4C3D19}"/>
    <cellStyle name="Comma 7 2 5 5 2" xfId="13896" xr:uid="{479AE1FE-74B0-4472-A453-88399A1341F9}"/>
    <cellStyle name="Comma 7 2 5 5 2 2" xfId="29016" xr:uid="{208E15C5-1F8B-4839-A842-E38DABC0EFAD}"/>
    <cellStyle name="Comma 7 2 5 5 2 2 2" xfId="59256" xr:uid="{D08D0103-2FCB-456D-AE73-0DF8827036F1}"/>
    <cellStyle name="Comma 7 2 5 5 2 3" xfId="44136" xr:uid="{7F5923E8-9500-4FBD-9A6B-BF82D0BACA2C}"/>
    <cellStyle name="Comma 7 2 5 5 3" xfId="19944" xr:uid="{6FB98FCA-EB9C-4B43-8494-CCC0A90B0436}"/>
    <cellStyle name="Comma 7 2 5 5 3 2" xfId="50184" xr:uid="{9AC5FEBE-2B09-4F16-8495-EFFAE4A9932A}"/>
    <cellStyle name="Comma 7 2 5 5 4" xfId="35064" xr:uid="{FA9E5545-AF99-4993-A440-285AF160C91B}"/>
    <cellStyle name="Comma 7 2 5 6" xfId="6336" xr:uid="{BA5BDAA5-6591-43AE-9435-E6ADC551053D}"/>
    <cellStyle name="Comma 7 2 5 6 2" xfId="21456" xr:uid="{18B539F7-AE86-43B6-AA8C-71CE0464DF3F}"/>
    <cellStyle name="Comma 7 2 5 6 2 2" xfId="51696" xr:uid="{79C17C7F-66ED-46DD-A7BB-63CC137FBF7B}"/>
    <cellStyle name="Comma 7 2 5 6 3" xfId="36576" xr:uid="{5A1A46CF-837E-4847-AB48-5304A4462F86}"/>
    <cellStyle name="Comma 7 2 5 7" xfId="7848" xr:uid="{D01D8BE3-7835-4C0C-8001-F14D7F0843E1}"/>
    <cellStyle name="Comma 7 2 5 7 2" xfId="22968" xr:uid="{BB8A5B51-E967-438F-9FC6-9446F1CF8C33}"/>
    <cellStyle name="Comma 7 2 5 7 2 2" xfId="53208" xr:uid="{C9C5C037-DDF5-47C0-9F0C-458D13D56D0C}"/>
    <cellStyle name="Comma 7 2 5 7 3" xfId="38088" xr:uid="{E24C02B9-36BB-4103-941F-9B645295E0C3}"/>
    <cellStyle name="Comma 7 2 5 8" xfId="9360" xr:uid="{0230DC6E-D4AE-4561-97F5-51A9F9A5D34B}"/>
    <cellStyle name="Comma 7 2 5 8 2" xfId="24480" xr:uid="{CDAD66DE-3854-403C-ADDF-B9778227567A}"/>
    <cellStyle name="Comma 7 2 5 8 2 2" xfId="54720" xr:uid="{D9FDA074-A381-432F-A3FA-11F3A46F7E12}"/>
    <cellStyle name="Comma 7 2 5 8 3" xfId="39600" xr:uid="{676AEB02-685A-4BFC-95EA-5EA7F8A7FCFE}"/>
    <cellStyle name="Comma 7 2 5 9" xfId="15408" xr:uid="{F1B6CF8E-28A8-4245-A5EC-388726C34130}"/>
    <cellStyle name="Comma 7 2 5 9 2" xfId="45648" xr:uid="{85980C5F-4A4D-414A-BCB4-64A04D7B3DF6}"/>
    <cellStyle name="Comma 7 2 6" xfId="540" xr:uid="{CB56E60E-840D-4C9F-9EF5-0570047CF391}"/>
    <cellStyle name="Comma 7 2 6 10" xfId="30780" xr:uid="{C8FFA765-275C-434D-B13A-A97A9C820143}"/>
    <cellStyle name="Comma 7 2 6 2" xfId="1296" xr:uid="{B6DFE5DF-AA5F-4D7A-999E-26CA94EB3501}"/>
    <cellStyle name="Comma 7 2 6 2 2" xfId="2808" xr:uid="{27923D5F-E02D-43B4-9276-F3642C7341F0}"/>
    <cellStyle name="Comma 7 2 6 2 2 2" xfId="11880" xr:uid="{8425442A-4C4F-4F79-A9A0-BC8CC62C7767}"/>
    <cellStyle name="Comma 7 2 6 2 2 2 2" xfId="27000" xr:uid="{084F4920-02E0-40BC-9CFB-F743379DCEF3}"/>
    <cellStyle name="Comma 7 2 6 2 2 2 2 2" xfId="57240" xr:uid="{2100B6C9-AE06-49BE-82A8-E77B532F2216}"/>
    <cellStyle name="Comma 7 2 6 2 2 2 3" xfId="42120" xr:uid="{5AFF6D52-6099-4AA1-9814-F80EA8A3DDB3}"/>
    <cellStyle name="Comma 7 2 6 2 2 3" xfId="17928" xr:uid="{45E63DC3-C5C1-40BD-83A1-6E2BFE6DAF5A}"/>
    <cellStyle name="Comma 7 2 6 2 2 3 2" xfId="48168" xr:uid="{63189083-EFF8-443B-B451-911295FEE597}"/>
    <cellStyle name="Comma 7 2 6 2 2 4" xfId="33048" xr:uid="{BA33B6DE-9976-4960-9EE9-9AA0B0474F8D}"/>
    <cellStyle name="Comma 7 2 6 2 3" xfId="4320" xr:uid="{A5DC86E1-79D8-4994-BF92-34FFB634C5CE}"/>
    <cellStyle name="Comma 7 2 6 2 3 2" xfId="13392" xr:uid="{95F11998-4F02-4274-AA42-DF6A743C6D91}"/>
    <cellStyle name="Comma 7 2 6 2 3 2 2" xfId="28512" xr:uid="{6B73A681-AB56-4C4E-921B-ADC14E1C5353}"/>
    <cellStyle name="Comma 7 2 6 2 3 2 2 2" xfId="58752" xr:uid="{0EE398E3-E80C-446C-BD2B-D3765385269D}"/>
    <cellStyle name="Comma 7 2 6 2 3 2 3" xfId="43632" xr:uid="{7599BE61-DCDD-45A9-BCA1-C0D2D5C4C0E1}"/>
    <cellStyle name="Comma 7 2 6 2 3 3" xfId="19440" xr:uid="{C1D38728-D485-4E66-AC95-A65CC2D1F52C}"/>
    <cellStyle name="Comma 7 2 6 2 3 3 2" xfId="49680" xr:uid="{321D3DC0-6F03-481C-973B-7DBE4658A2CA}"/>
    <cellStyle name="Comma 7 2 6 2 3 4" xfId="34560" xr:uid="{375D2689-8693-4BB5-894C-DAF7EC663F80}"/>
    <cellStyle name="Comma 7 2 6 2 4" xfId="5832" xr:uid="{2CCF2D59-685D-471A-83C7-EEBFE16D16E0}"/>
    <cellStyle name="Comma 7 2 6 2 4 2" xfId="14904" xr:uid="{22E94385-27D4-4EA0-A859-EE040568D2CD}"/>
    <cellStyle name="Comma 7 2 6 2 4 2 2" xfId="30024" xr:uid="{9EEC0282-9FFB-4AC3-A2BA-EAB1E09284B0}"/>
    <cellStyle name="Comma 7 2 6 2 4 2 2 2" xfId="60264" xr:uid="{76765A41-FCF1-4BA3-BD65-BD6EA4E244E0}"/>
    <cellStyle name="Comma 7 2 6 2 4 2 3" xfId="45144" xr:uid="{E2BA5AA0-9654-45E3-BD65-390ED853672C}"/>
    <cellStyle name="Comma 7 2 6 2 4 3" xfId="20952" xr:uid="{FAA7EDBC-2C54-4531-972D-5164CD93B4E4}"/>
    <cellStyle name="Comma 7 2 6 2 4 3 2" xfId="51192" xr:uid="{01A45182-860A-49A7-9586-DB82293F3B6F}"/>
    <cellStyle name="Comma 7 2 6 2 4 4" xfId="36072" xr:uid="{D0429324-B5E4-4CA9-A8A4-9A1EDB8411EA}"/>
    <cellStyle name="Comma 7 2 6 2 5" xfId="7344" xr:uid="{0609EABB-0C46-499D-B733-97B90AFE3321}"/>
    <cellStyle name="Comma 7 2 6 2 5 2" xfId="22464" xr:uid="{892FE33B-6648-4E81-A88A-941B96DF7F48}"/>
    <cellStyle name="Comma 7 2 6 2 5 2 2" xfId="52704" xr:uid="{41FDBA62-8CA6-409F-A46D-2D2437A128C1}"/>
    <cellStyle name="Comma 7 2 6 2 5 3" xfId="37584" xr:uid="{A4AD35A4-40B6-4D14-B6A5-AC57A9612715}"/>
    <cellStyle name="Comma 7 2 6 2 6" xfId="8856" xr:uid="{53DA49DF-78BB-4353-B611-157102518A60}"/>
    <cellStyle name="Comma 7 2 6 2 6 2" xfId="23976" xr:uid="{715A76D4-5C96-4B54-89EC-727D9565EA50}"/>
    <cellStyle name="Comma 7 2 6 2 6 2 2" xfId="54216" xr:uid="{21E7D289-1305-411C-9A9B-DD0394B689E6}"/>
    <cellStyle name="Comma 7 2 6 2 6 3" xfId="39096" xr:uid="{90EDBAA6-ED0C-4FBA-AB09-123AE6B5F9C3}"/>
    <cellStyle name="Comma 7 2 6 2 7" xfId="10368" xr:uid="{A337F889-8AC2-4B9B-ADF1-10AAAA86AC4D}"/>
    <cellStyle name="Comma 7 2 6 2 7 2" xfId="25488" xr:uid="{E0CDA8A6-0EBD-460C-9F2A-E067F35EEBED}"/>
    <cellStyle name="Comma 7 2 6 2 7 2 2" xfId="55728" xr:uid="{E6E42A6E-F018-4FBA-BD3A-ED1B8C8E6E81}"/>
    <cellStyle name="Comma 7 2 6 2 7 3" xfId="40608" xr:uid="{7243F519-5569-40BE-B0E3-40D94A411E2B}"/>
    <cellStyle name="Comma 7 2 6 2 8" xfId="16416" xr:uid="{043E69F0-8EE8-46A2-8AEA-BEBC73B5265B}"/>
    <cellStyle name="Comma 7 2 6 2 8 2" xfId="46656" xr:uid="{165B5887-A06A-451C-ADA5-5A16F382964A}"/>
    <cellStyle name="Comma 7 2 6 2 9" xfId="31536" xr:uid="{59D1EEED-22F5-403E-81D2-07FF9A551C0A}"/>
    <cellStyle name="Comma 7 2 6 3" xfId="2052" xr:uid="{24785B07-A8E0-4F3C-ADDD-25CB6EBB8C78}"/>
    <cellStyle name="Comma 7 2 6 3 2" xfId="11124" xr:uid="{B3368188-228A-4055-B19F-B9C5A26F1AA0}"/>
    <cellStyle name="Comma 7 2 6 3 2 2" xfId="26244" xr:uid="{814E48E7-FA8C-4F5D-9AB3-354D1C0045F9}"/>
    <cellStyle name="Comma 7 2 6 3 2 2 2" xfId="56484" xr:uid="{2B032DCD-F8AC-4D67-961B-25230E10252F}"/>
    <cellStyle name="Comma 7 2 6 3 2 3" xfId="41364" xr:uid="{194003DB-EDEA-4CAB-A60F-66BC8F8D22BD}"/>
    <cellStyle name="Comma 7 2 6 3 3" xfId="17172" xr:uid="{CAD30D40-B191-4B9B-BBFE-76F9AF6656D5}"/>
    <cellStyle name="Comma 7 2 6 3 3 2" xfId="47412" xr:uid="{FD0AA3EE-A8FD-4B53-AE7A-2B4AD5EE0BDF}"/>
    <cellStyle name="Comma 7 2 6 3 4" xfId="32292" xr:uid="{E16CFE9F-73E7-4894-B296-2AAFD00CD852}"/>
    <cellStyle name="Comma 7 2 6 4" xfId="3564" xr:uid="{16CE070C-B11D-4A07-AE94-8CD57AA7E05E}"/>
    <cellStyle name="Comma 7 2 6 4 2" xfId="12636" xr:uid="{E5E0151F-B037-4EBF-B386-0674533AD8A0}"/>
    <cellStyle name="Comma 7 2 6 4 2 2" xfId="27756" xr:uid="{E638863C-ACF1-4AD3-BF8E-87892DEE0EAD}"/>
    <cellStyle name="Comma 7 2 6 4 2 2 2" xfId="57996" xr:uid="{20C19BC1-961B-4216-85F0-794B46EF554C}"/>
    <cellStyle name="Comma 7 2 6 4 2 3" xfId="42876" xr:uid="{B3CBFA08-80B9-4747-9C4A-BDEFA4D1F32C}"/>
    <cellStyle name="Comma 7 2 6 4 3" xfId="18684" xr:uid="{D8D726FC-1966-4252-AE0E-D9E1E7BC28B3}"/>
    <cellStyle name="Comma 7 2 6 4 3 2" xfId="48924" xr:uid="{F5569641-B561-4660-9F20-34E6DD0271B1}"/>
    <cellStyle name="Comma 7 2 6 4 4" xfId="33804" xr:uid="{9C13AF90-A718-4AFB-BC0C-1BEB99F77EB9}"/>
    <cellStyle name="Comma 7 2 6 5" xfId="5076" xr:uid="{08C18AF8-5F73-4EA3-817B-27A8979B1DD2}"/>
    <cellStyle name="Comma 7 2 6 5 2" xfId="14148" xr:uid="{C6FCD74C-53A8-4A53-846B-508E3F14CA91}"/>
    <cellStyle name="Comma 7 2 6 5 2 2" xfId="29268" xr:uid="{7FB4BF56-4810-48FA-A2BB-9E0BAEBC3851}"/>
    <cellStyle name="Comma 7 2 6 5 2 2 2" xfId="59508" xr:uid="{9E6DCE0F-0E15-44BD-AAD7-214D09FCCABD}"/>
    <cellStyle name="Comma 7 2 6 5 2 3" xfId="44388" xr:uid="{8E8C5531-499D-4E8A-ACCA-221D41239265}"/>
    <cellStyle name="Comma 7 2 6 5 3" xfId="20196" xr:uid="{0C1199AC-D0C6-4282-8825-9322E1EC2D96}"/>
    <cellStyle name="Comma 7 2 6 5 3 2" xfId="50436" xr:uid="{76E44C9B-98C0-4C93-9939-CFF499A950CF}"/>
    <cellStyle name="Comma 7 2 6 5 4" xfId="35316" xr:uid="{0D3870EF-CCBC-4D13-9FC7-C5903D03FB65}"/>
    <cellStyle name="Comma 7 2 6 6" xfId="6588" xr:uid="{8E6A05DB-71B3-42D8-88EE-58D238E7953C}"/>
    <cellStyle name="Comma 7 2 6 6 2" xfId="21708" xr:uid="{1A2DC756-4140-4319-A768-D61CE6BE750B}"/>
    <cellStyle name="Comma 7 2 6 6 2 2" xfId="51948" xr:uid="{0333A4A6-DA0F-4755-8978-5D2FB0C4EAA4}"/>
    <cellStyle name="Comma 7 2 6 6 3" xfId="36828" xr:uid="{3BE18229-3899-4572-A8B6-AF4A8570A675}"/>
    <cellStyle name="Comma 7 2 6 7" xfId="8100" xr:uid="{CEFD3FD1-45CD-4080-8F11-08AEEE764638}"/>
    <cellStyle name="Comma 7 2 6 7 2" xfId="23220" xr:uid="{BBA4A7EA-5366-4EB7-87AB-D927A65498A0}"/>
    <cellStyle name="Comma 7 2 6 7 2 2" xfId="53460" xr:uid="{2A224102-9E16-460A-82B4-2E193A861536}"/>
    <cellStyle name="Comma 7 2 6 7 3" xfId="38340" xr:uid="{7707F17B-7E6B-4AF8-9F41-B0DD6C77D51D}"/>
    <cellStyle name="Comma 7 2 6 8" xfId="9612" xr:uid="{E8497124-C365-4295-97CB-94C4D17A70F2}"/>
    <cellStyle name="Comma 7 2 6 8 2" xfId="24732" xr:uid="{BA1225C1-0D66-423B-B771-DD6FD85D713A}"/>
    <cellStyle name="Comma 7 2 6 8 2 2" xfId="54972" xr:uid="{65F241F7-C223-452E-8311-F25EBCDE0D4F}"/>
    <cellStyle name="Comma 7 2 6 8 3" xfId="39852" xr:uid="{66E08A3B-F252-4CCC-BC9F-7D94237D5922}"/>
    <cellStyle name="Comma 7 2 6 9" xfId="15660" xr:uid="{55D97E3B-764C-4FAB-8B3F-053FBB005730}"/>
    <cellStyle name="Comma 7 2 6 9 2" xfId="45900" xr:uid="{DF4DDD41-3C77-48EC-B74D-57039FD9456F}"/>
    <cellStyle name="Comma 7 2 7" xfId="792" xr:uid="{7BC0F596-CCDA-46CE-9822-F67A19953DEE}"/>
    <cellStyle name="Comma 7 2 7 2" xfId="2304" xr:uid="{24B9D5CD-682D-4E87-8AC6-C1A2899C576B}"/>
    <cellStyle name="Comma 7 2 7 2 2" xfId="11376" xr:uid="{A69DAC95-555A-4896-B2B6-FE12E89D6335}"/>
    <cellStyle name="Comma 7 2 7 2 2 2" xfId="26496" xr:uid="{4FC47CE2-D043-427C-8DDB-65B84F82E7C3}"/>
    <cellStyle name="Comma 7 2 7 2 2 2 2" xfId="56736" xr:uid="{F96CC338-1686-48C4-9895-A562E74E8693}"/>
    <cellStyle name="Comma 7 2 7 2 2 3" xfId="41616" xr:uid="{A4EC0FB3-1A79-4071-B5AC-936F7506F8B5}"/>
    <cellStyle name="Comma 7 2 7 2 3" xfId="17424" xr:uid="{BF21FE85-5523-473E-906B-3BCF6EDBDA60}"/>
    <cellStyle name="Comma 7 2 7 2 3 2" xfId="47664" xr:uid="{07C9BDB8-07D8-4714-9F68-3C48535900CC}"/>
    <cellStyle name="Comma 7 2 7 2 4" xfId="32544" xr:uid="{2C2E0F9D-6FCA-4D0F-9568-164B128DC098}"/>
    <cellStyle name="Comma 7 2 7 3" xfId="3816" xr:uid="{D8F77C86-AA4A-48C3-BEBD-D146D7F95BC6}"/>
    <cellStyle name="Comma 7 2 7 3 2" xfId="12888" xr:uid="{E38821F0-F14F-407E-93A9-A272B85E7C64}"/>
    <cellStyle name="Comma 7 2 7 3 2 2" xfId="28008" xr:uid="{201151EA-82EA-47B7-ADF0-5476E9EDA53A}"/>
    <cellStyle name="Comma 7 2 7 3 2 2 2" xfId="58248" xr:uid="{E757C4DB-CA43-4BC5-B579-C7B7AAB3084D}"/>
    <cellStyle name="Comma 7 2 7 3 2 3" xfId="43128" xr:uid="{917EB82D-5FF9-4902-894A-EABAECE1727A}"/>
    <cellStyle name="Comma 7 2 7 3 3" xfId="18936" xr:uid="{C9ADAD0A-0CE6-48C9-81F7-51034ED21189}"/>
    <cellStyle name="Comma 7 2 7 3 3 2" xfId="49176" xr:uid="{60755F97-B96D-4303-8AA2-1B86FE9181B5}"/>
    <cellStyle name="Comma 7 2 7 3 4" xfId="34056" xr:uid="{DFCE13D9-9457-49D9-94E5-D6BDD61FA86D}"/>
    <cellStyle name="Comma 7 2 7 4" xfId="5328" xr:uid="{09F8FAE2-6ED4-4886-AF4C-11B221D20324}"/>
    <cellStyle name="Comma 7 2 7 4 2" xfId="14400" xr:uid="{3AA76572-D53B-4D4B-9D8C-441321E721EE}"/>
    <cellStyle name="Comma 7 2 7 4 2 2" xfId="29520" xr:uid="{5E77D5BD-3CB0-4B90-9FD8-3650CED30B77}"/>
    <cellStyle name="Comma 7 2 7 4 2 2 2" xfId="59760" xr:uid="{40197C00-4628-4C77-BA22-7CB14B692D27}"/>
    <cellStyle name="Comma 7 2 7 4 2 3" xfId="44640" xr:uid="{463D92B5-D1D3-45A8-B510-230ADCF88AC6}"/>
    <cellStyle name="Comma 7 2 7 4 3" xfId="20448" xr:uid="{C03E0F2D-68D8-46AF-9011-F472F41C08A5}"/>
    <cellStyle name="Comma 7 2 7 4 3 2" xfId="50688" xr:uid="{B9F57AE2-9C26-47BA-ADC5-96CD876AB9AF}"/>
    <cellStyle name="Comma 7 2 7 4 4" xfId="35568" xr:uid="{3732F890-C6AE-4EA8-A814-25A2AD32AAAF}"/>
    <cellStyle name="Comma 7 2 7 5" xfId="6840" xr:uid="{BF9DE3A5-6895-4F78-B307-F905DBB9BA3F}"/>
    <cellStyle name="Comma 7 2 7 5 2" xfId="21960" xr:uid="{F271E562-02C7-4049-AF52-9EA768FA0F8B}"/>
    <cellStyle name="Comma 7 2 7 5 2 2" xfId="52200" xr:uid="{7B1BA9C0-095A-41B2-A635-D4AF3D94BF8F}"/>
    <cellStyle name="Comma 7 2 7 5 3" xfId="37080" xr:uid="{AE44390F-24BC-4A74-8351-F887C8EFCAAD}"/>
    <cellStyle name="Comma 7 2 7 6" xfId="8352" xr:uid="{26D143B1-5F2B-48D8-BAFD-CD09854C550C}"/>
    <cellStyle name="Comma 7 2 7 6 2" xfId="23472" xr:uid="{58361B1F-0586-4124-A09E-DAFE1A7F7BC4}"/>
    <cellStyle name="Comma 7 2 7 6 2 2" xfId="53712" xr:uid="{A1038154-A525-4DAA-98C5-0C9930C2FBC5}"/>
    <cellStyle name="Comma 7 2 7 6 3" xfId="38592" xr:uid="{306DCC1D-5971-42F8-9346-92045915BFD9}"/>
    <cellStyle name="Comma 7 2 7 7" xfId="9864" xr:uid="{899F3AA9-D12F-4ADA-B5B5-D2AE9A7674E1}"/>
    <cellStyle name="Comma 7 2 7 7 2" xfId="24984" xr:uid="{C0CEEB38-A4E6-4DEA-B002-2E27F88B3ED1}"/>
    <cellStyle name="Comma 7 2 7 7 2 2" xfId="55224" xr:uid="{CD59C331-7414-4A1C-9460-154567EA094E}"/>
    <cellStyle name="Comma 7 2 7 7 3" xfId="40104" xr:uid="{6ED95888-10F9-467A-8199-16D95D848F98}"/>
    <cellStyle name="Comma 7 2 7 8" xfId="15912" xr:uid="{BE97F1CF-849C-4E4C-898E-D651624E9CAE}"/>
    <cellStyle name="Comma 7 2 7 8 2" xfId="46152" xr:uid="{79C9A6D1-7F52-42E7-8D3C-C355F4826D08}"/>
    <cellStyle name="Comma 7 2 7 9" xfId="31032" xr:uid="{B2A32954-40BD-45C2-82DC-F8DA53DAE1D3}"/>
    <cellStyle name="Comma 7 2 8" xfId="1548" xr:uid="{224B38B1-84B7-4732-9EAF-E056B5899D86}"/>
    <cellStyle name="Comma 7 2 8 2" xfId="10620" xr:uid="{13DC8C0C-BD15-4EFA-9F32-C1FE4A9B81CC}"/>
    <cellStyle name="Comma 7 2 8 2 2" xfId="25740" xr:uid="{7B700D08-4F3A-4C97-8C57-EA575B202499}"/>
    <cellStyle name="Comma 7 2 8 2 2 2" xfId="55980" xr:uid="{2F458129-F1B2-429B-9D4B-FA2866B37937}"/>
    <cellStyle name="Comma 7 2 8 2 3" xfId="40860" xr:uid="{424D1FEE-0E8C-41B5-A1A1-D3D4D83E96AC}"/>
    <cellStyle name="Comma 7 2 8 3" xfId="16668" xr:uid="{ACFC8084-A650-477F-8B84-6EB87F9F0DBF}"/>
    <cellStyle name="Comma 7 2 8 3 2" xfId="46908" xr:uid="{0B5A8BF6-424B-418A-9163-82A3AF0586EB}"/>
    <cellStyle name="Comma 7 2 8 4" xfId="31788" xr:uid="{C847B1DB-1F52-4E8E-BCB0-B12C8485DEC4}"/>
    <cellStyle name="Comma 7 2 9" xfId="3060" xr:uid="{75D603EB-C266-4A07-BFEE-3129D8CE72F6}"/>
    <cellStyle name="Comma 7 2 9 2" xfId="12132" xr:uid="{358BB232-C58D-4C0C-88AC-9F188ACE0D8D}"/>
    <cellStyle name="Comma 7 2 9 2 2" xfId="27252" xr:uid="{017225B8-57C6-452C-A95A-8EBFA1D87FB1}"/>
    <cellStyle name="Comma 7 2 9 2 2 2" xfId="57492" xr:uid="{D9FF62DE-42D9-43F1-85CE-4F4A8AD5E746}"/>
    <cellStyle name="Comma 7 2 9 2 3" xfId="42372" xr:uid="{7C38AB92-5313-416F-9A98-AF3AE5A12CF2}"/>
    <cellStyle name="Comma 7 2 9 3" xfId="18180" xr:uid="{5162FB0D-4BE7-447F-BE0E-FC61EE6ED346}"/>
    <cellStyle name="Comma 7 2 9 3 2" xfId="48420" xr:uid="{7691E7CF-4D99-450B-9216-184D7A29B114}"/>
    <cellStyle name="Comma 7 2 9 4" xfId="33300" xr:uid="{2CBCF7BF-CBFB-4516-8870-C98F4562C6A3}"/>
    <cellStyle name="Comma 7 3" xfId="50" xr:uid="{6EDD222D-4A74-4CA7-A1E9-324DB86BE074}"/>
    <cellStyle name="Comma 7 3 10" xfId="4586" xr:uid="{F3E10A8C-2441-466C-A449-BA774279569A}"/>
    <cellStyle name="Comma 7 3 10 2" xfId="13658" xr:uid="{F10BB6C5-C10B-4BC0-B1BB-50D227D132E8}"/>
    <cellStyle name="Comma 7 3 10 2 2" xfId="28778" xr:uid="{DD544945-7F23-4EE1-AD18-BD6319C9CBA6}"/>
    <cellStyle name="Comma 7 3 10 2 2 2" xfId="59018" xr:uid="{9F57D4C5-DB81-4C11-88AC-A7B344B7A959}"/>
    <cellStyle name="Comma 7 3 10 2 3" xfId="43898" xr:uid="{F4CF192F-3FE2-4D9E-B781-59BA685976B7}"/>
    <cellStyle name="Comma 7 3 10 3" xfId="19706" xr:uid="{5F1235BD-5142-4030-81B4-D162A2844BF8}"/>
    <cellStyle name="Comma 7 3 10 3 2" xfId="49946" xr:uid="{F469224B-112F-47E5-AE56-979E0A68F941}"/>
    <cellStyle name="Comma 7 3 10 4" xfId="34826" xr:uid="{0E7626F7-1AF9-4F27-99E4-4DF97E4D2389}"/>
    <cellStyle name="Comma 7 3 11" xfId="6098" xr:uid="{A4413F5A-461C-4BDB-989A-4AF5EE46D4D6}"/>
    <cellStyle name="Comma 7 3 11 2" xfId="21218" xr:uid="{12FA341E-7C05-46BE-B20F-28317787EE4D}"/>
    <cellStyle name="Comma 7 3 11 2 2" xfId="51458" xr:uid="{598F7583-211A-41DB-937F-BAA8C87CA15D}"/>
    <cellStyle name="Comma 7 3 11 3" xfId="36338" xr:uid="{2B02D7B5-7133-42A1-880D-6444983BEE4B}"/>
    <cellStyle name="Comma 7 3 12" xfId="7610" xr:uid="{5909ED33-B5E1-4727-8BDF-8ED13D71458A}"/>
    <cellStyle name="Comma 7 3 12 2" xfId="22730" xr:uid="{F3D1070D-40F3-4934-BD12-56263009E248}"/>
    <cellStyle name="Comma 7 3 12 2 2" xfId="52970" xr:uid="{90BEE3BD-3B01-4D5B-BFDE-572ED05348A1}"/>
    <cellStyle name="Comma 7 3 12 3" xfId="37850" xr:uid="{2DCF8457-372D-4456-80EC-1EB006082BC6}"/>
    <cellStyle name="Comma 7 3 13" xfId="9122" xr:uid="{3DA3F0EC-D223-4644-AC0A-6F4720D10EC2}"/>
    <cellStyle name="Comma 7 3 13 2" xfId="24242" xr:uid="{C55AA178-C9C9-4880-9439-92B70C571103}"/>
    <cellStyle name="Comma 7 3 13 2 2" xfId="54482" xr:uid="{8012FC1A-B8C1-4643-A845-E854161CA33C}"/>
    <cellStyle name="Comma 7 3 13 3" xfId="39362" xr:uid="{4B55DDC9-B5B2-476B-B8E5-91A9E3503772}"/>
    <cellStyle name="Comma 7 3 14" xfId="15170" xr:uid="{25A6C6D6-FE01-4817-89D5-30EEE668C3B0}"/>
    <cellStyle name="Comma 7 3 14 2" xfId="45410" xr:uid="{57426522-752B-48B0-B310-031C132D813D}"/>
    <cellStyle name="Comma 7 3 15" xfId="30290" xr:uid="{889BE0C9-A5C8-49CB-97AE-4ACEF6D9F4DB}"/>
    <cellStyle name="Comma 7 3 2" xfId="92" xr:uid="{196A0283-D4F0-45EC-8FD9-B0661A263D57}"/>
    <cellStyle name="Comma 7 3 2 10" xfId="6140" xr:uid="{EF03F616-16CD-4BC0-BDDF-F8F3BD82FC3D}"/>
    <cellStyle name="Comma 7 3 2 10 2" xfId="21260" xr:uid="{8641F92D-8500-4377-8F90-59869F4D1A2B}"/>
    <cellStyle name="Comma 7 3 2 10 2 2" xfId="51500" xr:uid="{F12315B8-133D-4445-B3B1-8D6022FC2E47}"/>
    <cellStyle name="Comma 7 3 2 10 3" xfId="36380" xr:uid="{BD8F45DB-57B4-4D0E-89B0-533B532AC7CE}"/>
    <cellStyle name="Comma 7 3 2 11" xfId="7652" xr:uid="{7BE5F045-5F3C-41F3-B7F3-82008FFC693C}"/>
    <cellStyle name="Comma 7 3 2 11 2" xfId="22772" xr:uid="{AFA4B67C-AFA1-43C0-97C8-A1EE6E23CD50}"/>
    <cellStyle name="Comma 7 3 2 11 2 2" xfId="53012" xr:uid="{0FD74E52-1996-458F-8DD0-57248079AF23}"/>
    <cellStyle name="Comma 7 3 2 11 3" xfId="37892" xr:uid="{91B2065D-9C95-42DE-8C13-82265B7231A5}"/>
    <cellStyle name="Comma 7 3 2 12" xfId="9164" xr:uid="{EFE73DFB-3626-46A5-81F2-A22F6BBA71A3}"/>
    <cellStyle name="Comma 7 3 2 12 2" xfId="24284" xr:uid="{B053B52D-7540-4E76-BDA0-EF7155A228F4}"/>
    <cellStyle name="Comma 7 3 2 12 2 2" xfId="54524" xr:uid="{31096BCF-4782-43D6-9CCE-70AC59F22864}"/>
    <cellStyle name="Comma 7 3 2 12 3" xfId="39404" xr:uid="{F06B78E4-EE94-4390-9C4F-C703D9008838}"/>
    <cellStyle name="Comma 7 3 2 13" xfId="15212" xr:uid="{2FB821F0-BADB-453C-9E68-D106074163D0}"/>
    <cellStyle name="Comma 7 3 2 13 2" xfId="45452" xr:uid="{46C1ECFD-AB1D-47CB-9FC5-60D93A774D0C}"/>
    <cellStyle name="Comma 7 3 2 14" xfId="30332" xr:uid="{4497F536-D782-4D2C-AECA-46EE161FD495}"/>
    <cellStyle name="Comma 7 3 2 2" xfId="176" xr:uid="{9C7B5B3A-015B-40A2-8537-155431665A99}"/>
    <cellStyle name="Comma 7 3 2 2 10" xfId="9248" xr:uid="{D59217FF-A033-4164-87EF-433736CA7C40}"/>
    <cellStyle name="Comma 7 3 2 2 10 2" xfId="24368" xr:uid="{A695D683-0DEE-43CD-B915-B8812B69D567}"/>
    <cellStyle name="Comma 7 3 2 2 10 2 2" xfId="54608" xr:uid="{3503A437-B618-4BF8-8070-078654B84BAA}"/>
    <cellStyle name="Comma 7 3 2 2 10 3" xfId="39488" xr:uid="{6D8A4249-1BC4-461B-8C37-018DE806DA27}"/>
    <cellStyle name="Comma 7 3 2 2 11" xfId="15296" xr:uid="{7DF535F4-578D-4F61-9102-0E87CEC4E49D}"/>
    <cellStyle name="Comma 7 3 2 2 11 2" xfId="45536" xr:uid="{DA4BDBBC-0533-4E6B-B67E-E61296656157}"/>
    <cellStyle name="Comma 7 3 2 2 12" xfId="30416" xr:uid="{8806662A-8735-477E-A25A-22C44918A387}"/>
    <cellStyle name="Comma 7 3 2 2 2" xfId="428" xr:uid="{92EC7985-7C2A-42C9-B281-965D87942CB6}"/>
    <cellStyle name="Comma 7 3 2 2 2 10" xfId="30668" xr:uid="{1D4D07CA-D7DD-4166-99DA-1CD8EEF2D6EF}"/>
    <cellStyle name="Comma 7 3 2 2 2 2" xfId="1184" xr:uid="{231F22BC-0F8D-482C-A632-44E0649EF4C3}"/>
    <cellStyle name="Comma 7 3 2 2 2 2 2" xfId="2696" xr:uid="{4BDE0CC9-0D6A-4680-9C59-EDAD81CBF74A}"/>
    <cellStyle name="Comma 7 3 2 2 2 2 2 2" xfId="11768" xr:uid="{BD4EE048-2B91-437B-9A56-261565C22E81}"/>
    <cellStyle name="Comma 7 3 2 2 2 2 2 2 2" xfId="26888" xr:uid="{028B99D7-78F1-496B-91D8-8C94CB9423CC}"/>
    <cellStyle name="Comma 7 3 2 2 2 2 2 2 2 2" xfId="57128" xr:uid="{DB0976CB-6428-45E5-9909-3382A259A424}"/>
    <cellStyle name="Comma 7 3 2 2 2 2 2 2 3" xfId="42008" xr:uid="{74682AA7-441F-4C92-8FD9-775B1FD72BD5}"/>
    <cellStyle name="Comma 7 3 2 2 2 2 2 3" xfId="17816" xr:uid="{1B56ED1A-A014-48E7-BB4F-8745F0560DB5}"/>
    <cellStyle name="Comma 7 3 2 2 2 2 2 3 2" xfId="48056" xr:uid="{54160B56-7E98-4CBB-AFB6-753DC42502B1}"/>
    <cellStyle name="Comma 7 3 2 2 2 2 2 4" xfId="32936" xr:uid="{B8911D4D-C4C1-40A8-82AF-268B12E3B9D1}"/>
    <cellStyle name="Comma 7 3 2 2 2 2 3" xfId="4208" xr:uid="{D8ABD7E9-F02E-4521-A886-2B49BC309AB6}"/>
    <cellStyle name="Comma 7 3 2 2 2 2 3 2" xfId="13280" xr:uid="{8070C8E6-DB40-45D2-A007-B16DC690D652}"/>
    <cellStyle name="Comma 7 3 2 2 2 2 3 2 2" xfId="28400" xr:uid="{06398769-50E0-4777-AE98-4B4F8E39B41B}"/>
    <cellStyle name="Comma 7 3 2 2 2 2 3 2 2 2" xfId="58640" xr:uid="{1B69C785-8229-4A22-8D9E-CD6F1D89CE9B}"/>
    <cellStyle name="Comma 7 3 2 2 2 2 3 2 3" xfId="43520" xr:uid="{CAC1BC97-FEA1-4790-97D4-4AB6B1B3C007}"/>
    <cellStyle name="Comma 7 3 2 2 2 2 3 3" xfId="19328" xr:uid="{040CD42F-0813-4DC3-82E1-9E3AB2533D25}"/>
    <cellStyle name="Comma 7 3 2 2 2 2 3 3 2" xfId="49568" xr:uid="{BD78273A-E495-40FE-B9AF-5F9019F7CBC3}"/>
    <cellStyle name="Comma 7 3 2 2 2 2 3 4" xfId="34448" xr:uid="{44A98C8F-7A32-46D2-A5FE-767352BEAF76}"/>
    <cellStyle name="Comma 7 3 2 2 2 2 4" xfId="5720" xr:uid="{D99ECB1B-7FBC-41B4-AFBC-ED23CFE7C49E}"/>
    <cellStyle name="Comma 7 3 2 2 2 2 4 2" xfId="14792" xr:uid="{39D62A76-1722-427B-8BDC-2D4042C37569}"/>
    <cellStyle name="Comma 7 3 2 2 2 2 4 2 2" xfId="29912" xr:uid="{A52F49CC-CEF7-48D5-8C41-FA637CB81787}"/>
    <cellStyle name="Comma 7 3 2 2 2 2 4 2 2 2" xfId="60152" xr:uid="{067A3D3F-8693-4F02-9629-DE2CB5C93D97}"/>
    <cellStyle name="Comma 7 3 2 2 2 2 4 2 3" xfId="45032" xr:uid="{FA58118A-44B4-4EA3-9593-5E9DFA1D6EE1}"/>
    <cellStyle name="Comma 7 3 2 2 2 2 4 3" xfId="20840" xr:uid="{287BF2EF-4DDF-472A-A6BB-E13DAEC814FD}"/>
    <cellStyle name="Comma 7 3 2 2 2 2 4 3 2" xfId="51080" xr:uid="{0C31E9DF-73E2-4F25-81FC-1B771A4346BE}"/>
    <cellStyle name="Comma 7 3 2 2 2 2 4 4" xfId="35960" xr:uid="{418EAF20-D9F9-48F4-9167-E971E7E5F127}"/>
    <cellStyle name="Comma 7 3 2 2 2 2 5" xfId="7232" xr:uid="{9CFA7E5C-9D2C-49C5-9932-61E4A108F128}"/>
    <cellStyle name="Comma 7 3 2 2 2 2 5 2" xfId="22352" xr:uid="{44D21CEA-8665-47C6-A6D9-CC0DAA545939}"/>
    <cellStyle name="Comma 7 3 2 2 2 2 5 2 2" xfId="52592" xr:uid="{397A3D56-FD22-4A24-9FF4-D05BBD0876E5}"/>
    <cellStyle name="Comma 7 3 2 2 2 2 5 3" xfId="37472" xr:uid="{A3A6611B-8E53-4C44-A539-D6302B49DA23}"/>
    <cellStyle name="Comma 7 3 2 2 2 2 6" xfId="8744" xr:uid="{26F92D50-6E09-4E02-908A-BC7664EFC5A4}"/>
    <cellStyle name="Comma 7 3 2 2 2 2 6 2" xfId="23864" xr:uid="{602B11EA-96F9-4D73-B07E-05823C05C394}"/>
    <cellStyle name="Comma 7 3 2 2 2 2 6 2 2" xfId="54104" xr:uid="{BBFA2E91-D5B2-4E18-9063-6A2586573D22}"/>
    <cellStyle name="Comma 7 3 2 2 2 2 6 3" xfId="38984" xr:uid="{A2685DB3-7CC9-4ED0-9EB2-06F8A459EE5F}"/>
    <cellStyle name="Comma 7 3 2 2 2 2 7" xfId="10256" xr:uid="{4B68DDBC-1934-4178-9B78-EA300389F2B1}"/>
    <cellStyle name="Comma 7 3 2 2 2 2 7 2" xfId="25376" xr:uid="{F7583B57-AD67-49D7-A2BA-C43EC57218B1}"/>
    <cellStyle name="Comma 7 3 2 2 2 2 7 2 2" xfId="55616" xr:uid="{6BA21914-F388-4C1F-9DE0-1389DD0D5C5F}"/>
    <cellStyle name="Comma 7 3 2 2 2 2 7 3" xfId="40496" xr:uid="{88CBEEC3-088E-40F8-B2A7-653FFA5A185F}"/>
    <cellStyle name="Comma 7 3 2 2 2 2 8" xfId="16304" xr:uid="{7EE00CAC-7545-40D6-9783-0C64DBCA92A5}"/>
    <cellStyle name="Comma 7 3 2 2 2 2 8 2" xfId="46544" xr:uid="{0EDC7EF0-1175-4B8E-958F-A7A01F9455F4}"/>
    <cellStyle name="Comma 7 3 2 2 2 2 9" xfId="31424" xr:uid="{4186A504-2077-48E0-8237-DD8EF56D39F7}"/>
    <cellStyle name="Comma 7 3 2 2 2 3" xfId="1940" xr:uid="{F80F162C-BA1F-4A64-99F2-644F7CF4EBA5}"/>
    <cellStyle name="Comma 7 3 2 2 2 3 2" xfId="11012" xr:uid="{EAE416BF-C637-4D29-B6BA-AFF11A99B3F6}"/>
    <cellStyle name="Comma 7 3 2 2 2 3 2 2" xfId="26132" xr:uid="{1A219304-B2FC-41EA-A283-D02198CCC584}"/>
    <cellStyle name="Comma 7 3 2 2 2 3 2 2 2" xfId="56372" xr:uid="{228E92A0-E3D8-4D79-8880-14137A3CA771}"/>
    <cellStyle name="Comma 7 3 2 2 2 3 2 3" xfId="41252" xr:uid="{4CDC7D1A-FC83-4DDD-BEFB-31616209EB30}"/>
    <cellStyle name="Comma 7 3 2 2 2 3 3" xfId="17060" xr:uid="{F77845BD-550A-4DB6-99A7-E340576AA522}"/>
    <cellStyle name="Comma 7 3 2 2 2 3 3 2" xfId="47300" xr:uid="{EE14AC88-49B9-4868-B47B-97B616CACE9E}"/>
    <cellStyle name="Comma 7 3 2 2 2 3 4" xfId="32180" xr:uid="{62F25E0A-9095-4B09-9F2F-DF60753A226F}"/>
    <cellStyle name="Comma 7 3 2 2 2 4" xfId="3452" xr:uid="{A11633A4-F1BB-4148-BC18-0D60A2E08216}"/>
    <cellStyle name="Comma 7 3 2 2 2 4 2" xfId="12524" xr:uid="{9E3E2A8B-9607-48F4-9DAF-85F3F848ACDB}"/>
    <cellStyle name="Comma 7 3 2 2 2 4 2 2" xfId="27644" xr:uid="{7D66796A-36A4-4325-A26C-1BE3222C86E7}"/>
    <cellStyle name="Comma 7 3 2 2 2 4 2 2 2" xfId="57884" xr:uid="{A3C1FA62-DFE5-4357-9E6B-F7EE7FBA13A2}"/>
    <cellStyle name="Comma 7 3 2 2 2 4 2 3" xfId="42764" xr:uid="{53F2AD2D-A659-4744-ACB6-1AB4CBEBB0E7}"/>
    <cellStyle name="Comma 7 3 2 2 2 4 3" xfId="18572" xr:uid="{EEB4AF19-BAF6-420F-96CB-72536A985636}"/>
    <cellStyle name="Comma 7 3 2 2 2 4 3 2" xfId="48812" xr:uid="{60A6D424-AC6E-4201-9F1F-D97C793889F8}"/>
    <cellStyle name="Comma 7 3 2 2 2 4 4" xfId="33692" xr:uid="{57822E26-3A4A-47FF-9956-EAE8508DBCF9}"/>
    <cellStyle name="Comma 7 3 2 2 2 5" xfId="4964" xr:uid="{D286741D-C507-49C4-8FF8-EA4588F72A68}"/>
    <cellStyle name="Comma 7 3 2 2 2 5 2" xfId="14036" xr:uid="{631EFE3B-BBBE-4F32-8F1E-BE7260C793D4}"/>
    <cellStyle name="Comma 7 3 2 2 2 5 2 2" xfId="29156" xr:uid="{2CA5A1E4-C8DE-423F-9484-7409C7A00A05}"/>
    <cellStyle name="Comma 7 3 2 2 2 5 2 2 2" xfId="59396" xr:uid="{56C923F9-4027-4A8B-AD03-E7662DED30CD}"/>
    <cellStyle name="Comma 7 3 2 2 2 5 2 3" xfId="44276" xr:uid="{31D52270-168E-4227-AACF-7BEAA3E1103B}"/>
    <cellStyle name="Comma 7 3 2 2 2 5 3" xfId="20084" xr:uid="{BAE85C67-AA96-430D-97C1-0E26CD8B2D8F}"/>
    <cellStyle name="Comma 7 3 2 2 2 5 3 2" xfId="50324" xr:uid="{DF47DCEB-76D2-441C-A8DC-75FE7A288347}"/>
    <cellStyle name="Comma 7 3 2 2 2 5 4" xfId="35204" xr:uid="{AF378C7F-648F-499C-9537-9F9AFF2376A6}"/>
    <cellStyle name="Comma 7 3 2 2 2 6" xfId="6476" xr:uid="{531F70F5-D304-4CE1-B402-2AAE50E02FB9}"/>
    <cellStyle name="Comma 7 3 2 2 2 6 2" xfId="21596" xr:uid="{8F9CDF83-BC6E-4E61-866C-364EC9B20CC5}"/>
    <cellStyle name="Comma 7 3 2 2 2 6 2 2" xfId="51836" xr:uid="{B2E9950C-B913-47D6-A4B7-8E73AFCEDA15}"/>
    <cellStyle name="Comma 7 3 2 2 2 6 3" xfId="36716" xr:uid="{D7D18EC7-40D5-4F42-8944-400593FE7B5F}"/>
    <cellStyle name="Comma 7 3 2 2 2 7" xfId="7988" xr:uid="{0E24C6A5-11DF-4A5B-A9D6-0B8CDEFB13D8}"/>
    <cellStyle name="Comma 7 3 2 2 2 7 2" xfId="23108" xr:uid="{FA1ED2FA-6D3F-4026-BAD9-CD25EB1F6D8F}"/>
    <cellStyle name="Comma 7 3 2 2 2 7 2 2" xfId="53348" xr:uid="{3BDA6F6C-BECF-410D-BB6F-52CC2D98C946}"/>
    <cellStyle name="Comma 7 3 2 2 2 7 3" xfId="38228" xr:uid="{8B904C61-E687-4328-911B-F24741306787}"/>
    <cellStyle name="Comma 7 3 2 2 2 8" xfId="9500" xr:uid="{FED03B38-10EE-4917-B034-3B0BE3B6E76B}"/>
    <cellStyle name="Comma 7 3 2 2 2 8 2" xfId="24620" xr:uid="{43C52882-DF1A-4470-8983-F052E84CA9FB}"/>
    <cellStyle name="Comma 7 3 2 2 2 8 2 2" xfId="54860" xr:uid="{EB75472B-1CBC-4C13-9CCA-B5C058EE6268}"/>
    <cellStyle name="Comma 7 3 2 2 2 8 3" xfId="39740" xr:uid="{C147A51B-C388-44CB-AE8B-37A00797E39E}"/>
    <cellStyle name="Comma 7 3 2 2 2 9" xfId="15548" xr:uid="{0F4B3D5D-B369-494E-961C-C537A90AC25D}"/>
    <cellStyle name="Comma 7 3 2 2 2 9 2" xfId="45788" xr:uid="{CA60860B-2179-4EBF-8C11-AE0EBB04B5FF}"/>
    <cellStyle name="Comma 7 3 2 2 3" xfId="680" xr:uid="{33357748-A19E-4055-A740-605861E87C9A}"/>
    <cellStyle name="Comma 7 3 2 2 3 10" xfId="30920" xr:uid="{42226193-3A6F-41D5-8442-E7A5AC7C1350}"/>
    <cellStyle name="Comma 7 3 2 2 3 2" xfId="1436" xr:uid="{FF725E87-EC69-44F6-8BD5-4410ABE3713B}"/>
    <cellStyle name="Comma 7 3 2 2 3 2 2" xfId="2948" xr:uid="{23B17357-865A-4C23-A6D3-384EADCB1590}"/>
    <cellStyle name="Comma 7 3 2 2 3 2 2 2" xfId="12020" xr:uid="{70E6F049-1933-47CE-84CC-986EDF60EA88}"/>
    <cellStyle name="Comma 7 3 2 2 3 2 2 2 2" xfId="27140" xr:uid="{AABB20F2-2617-4AA6-AF73-ADC40BA04DF2}"/>
    <cellStyle name="Comma 7 3 2 2 3 2 2 2 2 2" xfId="57380" xr:uid="{B9EEA7A2-DF20-408A-8E38-FA6571D9E3D3}"/>
    <cellStyle name="Comma 7 3 2 2 3 2 2 2 3" xfId="42260" xr:uid="{DD9AEE8E-D61E-4B6D-9419-28394916D277}"/>
    <cellStyle name="Comma 7 3 2 2 3 2 2 3" xfId="18068" xr:uid="{0B76BC13-7AFE-44F0-AA1B-C8F1367ABA50}"/>
    <cellStyle name="Comma 7 3 2 2 3 2 2 3 2" xfId="48308" xr:uid="{04EC6EA4-C643-4933-829F-420413D68CB7}"/>
    <cellStyle name="Comma 7 3 2 2 3 2 2 4" xfId="33188" xr:uid="{56DB84D2-0371-4B75-8B9F-CA9012035EDA}"/>
    <cellStyle name="Comma 7 3 2 2 3 2 3" xfId="4460" xr:uid="{A988096E-AFF0-4037-A062-71587AE4849C}"/>
    <cellStyle name="Comma 7 3 2 2 3 2 3 2" xfId="13532" xr:uid="{64FA6855-5779-404D-B594-19D74FBFE440}"/>
    <cellStyle name="Comma 7 3 2 2 3 2 3 2 2" xfId="28652" xr:uid="{6E5BBBE7-21A8-467E-B384-09AD305D8CC5}"/>
    <cellStyle name="Comma 7 3 2 2 3 2 3 2 2 2" xfId="58892" xr:uid="{19E52C1E-327B-4784-A325-4868B6B665C7}"/>
    <cellStyle name="Comma 7 3 2 2 3 2 3 2 3" xfId="43772" xr:uid="{495B6490-F594-4029-BEB8-DCA2221964C5}"/>
    <cellStyle name="Comma 7 3 2 2 3 2 3 3" xfId="19580" xr:uid="{90F51FF7-1B5D-4C99-AE2E-6378A3460400}"/>
    <cellStyle name="Comma 7 3 2 2 3 2 3 3 2" xfId="49820" xr:uid="{DD43E5A9-541E-42A1-A7A0-4A144E2B3344}"/>
    <cellStyle name="Comma 7 3 2 2 3 2 3 4" xfId="34700" xr:uid="{0D36FD1A-7A70-49AA-A11A-CADEAC25C727}"/>
    <cellStyle name="Comma 7 3 2 2 3 2 4" xfId="5972" xr:uid="{5063E550-F232-46DC-9A7A-366125CCD90F}"/>
    <cellStyle name="Comma 7 3 2 2 3 2 4 2" xfId="15044" xr:uid="{4D92B469-E74C-4310-A7C8-42FCB822FA16}"/>
    <cellStyle name="Comma 7 3 2 2 3 2 4 2 2" xfId="30164" xr:uid="{AFE13A7E-0B28-44D6-BD68-1F943A257986}"/>
    <cellStyle name="Comma 7 3 2 2 3 2 4 2 2 2" xfId="60404" xr:uid="{B8A29DC0-654C-4027-9A04-4E9F60780DAF}"/>
    <cellStyle name="Comma 7 3 2 2 3 2 4 2 3" xfId="45284" xr:uid="{1AA16C11-FB7C-48A3-B815-FB4F6001DC17}"/>
    <cellStyle name="Comma 7 3 2 2 3 2 4 3" xfId="21092" xr:uid="{9550A1F5-2906-4374-AAE0-30C3D59EC114}"/>
    <cellStyle name="Comma 7 3 2 2 3 2 4 3 2" xfId="51332" xr:uid="{020E4DF8-E64C-460D-8680-3BDCFE4CF53B}"/>
    <cellStyle name="Comma 7 3 2 2 3 2 4 4" xfId="36212" xr:uid="{7E1334A7-371C-400C-8999-6562C400669C}"/>
    <cellStyle name="Comma 7 3 2 2 3 2 5" xfId="7484" xr:uid="{8E43716C-58B9-4FF5-98E5-6ED5A3238E60}"/>
    <cellStyle name="Comma 7 3 2 2 3 2 5 2" xfId="22604" xr:uid="{CBF6887D-1BAE-44C0-BDF4-DCCB34C1001D}"/>
    <cellStyle name="Comma 7 3 2 2 3 2 5 2 2" xfId="52844" xr:uid="{7C25BB4E-B264-4FD3-B062-4FEFAF7950FC}"/>
    <cellStyle name="Comma 7 3 2 2 3 2 5 3" xfId="37724" xr:uid="{EB1C70FC-8AA1-4E6B-A0B6-443BEC60119D}"/>
    <cellStyle name="Comma 7 3 2 2 3 2 6" xfId="8996" xr:uid="{B95994B6-364A-4BF7-9C74-ED34E73DE630}"/>
    <cellStyle name="Comma 7 3 2 2 3 2 6 2" xfId="24116" xr:uid="{2CF3B636-8C22-45E2-8F82-353C0317BEF4}"/>
    <cellStyle name="Comma 7 3 2 2 3 2 6 2 2" xfId="54356" xr:uid="{2CD8656D-D0CD-4100-9A84-C9589397DAA0}"/>
    <cellStyle name="Comma 7 3 2 2 3 2 6 3" xfId="39236" xr:uid="{3B43B369-F1D4-4F17-95E4-74FF90BAF30C}"/>
    <cellStyle name="Comma 7 3 2 2 3 2 7" xfId="10508" xr:uid="{42764395-49CF-4487-BDA1-6D9EC47ED760}"/>
    <cellStyle name="Comma 7 3 2 2 3 2 7 2" xfId="25628" xr:uid="{F722BBD5-258D-493C-8926-1ED7BB00B1C2}"/>
    <cellStyle name="Comma 7 3 2 2 3 2 7 2 2" xfId="55868" xr:uid="{83A56399-8B49-4CF8-AE41-A0AB5968B2DA}"/>
    <cellStyle name="Comma 7 3 2 2 3 2 7 3" xfId="40748" xr:uid="{7F67A032-1C84-41C3-9853-D78775110C0F}"/>
    <cellStyle name="Comma 7 3 2 2 3 2 8" xfId="16556" xr:uid="{384AF2F4-0A2F-424A-BABA-54EB877AEAAC}"/>
    <cellStyle name="Comma 7 3 2 2 3 2 8 2" xfId="46796" xr:uid="{03A5D37E-100B-4B02-8142-936694825B06}"/>
    <cellStyle name="Comma 7 3 2 2 3 2 9" xfId="31676" xr:uid="{1097D728-FE19-46FD-B8E9-BC4AC5844FF0}"/>
    <cellStyle name="Comma 7 3 2 2 3 3" xfId="2192" xr:uid="{4B58CBA1-95C7-4C5D-ADA7-D9007E3A86CD}"/>
    <cellStyle name="Comma 7 3 2 2 3 3 2" xfId="11264" xr:uid="{8C219769-3D45-459B-9C80-87A55054CB45}"/>
    <cellStyle name="Comma 7 3 2 2 3 3 2 2" xfId="26384" xr:uid="{88BCC671-226F-4A33-A0B3-E9FE6D94ACE4}"/>
    <cellStyle name="Comma 7 3 2 2 3 3 2 2 2" xfId="56624" xr:uid="{57443C1B-F957-421E-BF78-52228EE60E5F}"/>
    <cellStyle name="Comma 7 3 2 2 3 3 2 3" xfId="41504" xr:uid="{AE1F9BFE-FA9F-4985-9EFF-B9555151FEFB}"/>
    <cellStyle name="Comma 7 3 2 2 3 3 3" xfId="17312" xr:uid="{B6257E90-5D15-449B-B53C-131B6298126B}"/>
    <cellStyle name="Comma 7 3 2 2 3 3 3 2" xfId="47552" xr:uid="{4D3AD9D2-1805-4A29-8C25-346FD3366436}"/>
    <cellStyle name="Comma 7 3 2 2 3 3 4" xfId="32432" xr:uid="{A6995AD3-B34E-4BFC-B2B4-987B6538828E}"/>
    <cellStyle name="Comma 7 3 2 2 3 4" xfId="3704" xr:uid="{07BB27EB-C996-4E8F-8439-99C2639C20EC}"/>
    <cellStyle name="Comma 7 3 2 2 3 4 2" xfId="12776" xr:uid="{26D32959-C65D-4817-9A4D-50879AEF9217}"/>
    <cellStyle name="Comma 7 3 2 2 3 4 2 2" xfId="27896" xr:uid="{1D48FF6C-92D1-45E1-AF3F-E6F38B43284C}"/>
    <cellStyle name="Comma 7 3 2 2 3 4 2 2 2" xfId="58136" xr:uid="{BF5E04B2-E7E5-4E3E-9F53-A55CF7547731}"/>
    <cellStyle name="Comma 7 3 2 2 3 4 2 3" xfId="43016" xr:uid="{916E8A1E-E922-4399-9802-94FF2D94C9DE}"/>
    <cellStyle name="Comma 7 3 2 2 3 4 3" xfId="18824" xr:uid="{C980B683-2A75-42B5-AD71-66B308F9CD8B}"/>
    <cellStyle name="Comma 7 3 2 2 3 4 3 2" xfId="49064" xr:uid="{97EB1F50-FEF1-429F-972A-2C7113B74A66}"/>
    <cellStyle name="Comma 7 3 2 2 3 4 4" xfId="33944" xr:uid="{BABF100F-D197-492E-82C5-EC98C30FE28F}"/>
    <cellStyle name="Comma 7 3 2 2 3 5" xfId="5216" xr:uid="{508ECD7A-2FF2-4159-B38E-5789863E033B}"/>
    <cellStyle name="Comma 7 3 2 2 3 5 2" xfId="14288" xr:uid="{4F87FF85-AE63-4980-AA0E-5898DBF177E8}"/>
    <cellStyle name="Comma 7 3 2 2 3 5 2 2" xfId="29408" xr:uid="{C8643388-43BC-4B0D-8C38-92316F14FF3D}"/>
    <cellStyle name="Comma 7 3 2 2 3 5 2 2 2" xfId="59648" xr:uid="{95FCAA26-9EC0-476B-AD15-48E75A03548F}"/>
    <cellStyle name="Comma 7 3 2 2 3 5 2 3" xfId="44528" xr:uid="{24CBF441-88CB-408D-98AA-6A2BDCBB7A94}"/>
    <cellStyle name="Comma 7 3 2 2 3 5 3" xfId="20336" xr:uid="{1355C25E-0B72-42C8-845B-443CE165153A}"/>
    <cellStyle name="Comma 7 3 2 2 3 5 3 2" xfId="50576" xr:uid="{AAD16C48-EF60-465E-86C1-49ED8CBB17EC}"/>
    <cellStyle name="Comma 7 3 2 2 3 5 4" xfId="35456" xr:uid="{584BFFB8-2432-457D-BA4F-3579C7C173BA}"/>
    <cellStyle name="Comma 7 3 2 2 3 6" xfId="6728" xr:uid="{B4C82608-0728-483A-A1FA-2561D24CD59D}"/>
    <cellStyle name="Comma 7 3 2 2 3 6 2" xfId="21848" xr:uid="{5F460685-56ED-4E46-BFE1-7E721F7CA81E}"/>
    <cellStyle name="Comma 7 3 2 2 3 6 2 2" xfId="52088" xr:uid="{CEC44D6F-86A4-4309-9D65-6336646A9A24}"/>
    <cellStyle name="Comma 7 3 2 2 3 6 3" xfId="36968" xr:uid="{3503FAEA-7022-4628-97A2-BB1C260697A4}"/>
    <cellStyle name="Comma 7 3 2 2 3 7" xfId="8240" xr:uid="{58C62B1F-8DF0-48AC-80DD-3529CDDCD1B9}"/>
    <cellStyle name="Comma 7 3 2 2 3 7 2" xfId="23360" xr:uid="{E8126A20-628B-42B3-86EF-212BD8191561}"/>
    <cellStyle name="Comma 7 3 2 2 3 7 2 2" xfId="53600" xr:uid="{8F3C2957-5129-4B42-9E99-719148C797E5}"/>
    <cellStyle name="Comma 7 3 2 2 3 7 3" xfId="38480" xr:uid="{FCED846E-9F1C-4161-B458-027FF7512623}"/>
    <cellStyle name="Comma 7 3 2 2 3 8" xfId="9752" xr:uid="{A005646F-1C65-41CD-85B0-2A4B453CF14E}"/>
    <cellStyle name="Comma 7 3 2 2 3 8 2" xfId="24872" xr:uid="{7C8BDF0B-D56F-4AA9-9510-EF326DF7A329}"/>
    <cellStyle name="Comma 7 3 2 2 3 8 2 2" xfId="55112" xr:uid="{8F00A803-9E0C-400F-9762-262E246CD829}"/>
    <cellStyle name="Comma 7 3 2 2 3 8 3" xfId="39992" xr:uid="{5AA7AC2B-7076-49AB-A128-B2765D2E8FD7}"/>
    <cellStyle name="Comma 7 3 2 2 3 9" xfId="15800" xr:uid="{62CC8FC9-343F-4F93-8B9A-4C8FFA30F5BA}"/>
    <cellStyle name="Comma 7 3 2 2 3 9 2" xfId="46040" xr:uid="{07D88B04-5BFC-4DBF-88CC-4F379FA4AFFD}"/>
    <cellStyle name="Comma 7 3 2 2 4" xfId="932" xr:uid="{7C14B8CF-800F-4F9F-8E47-70D62BCF9913}"/>
    <cellStyle name="Comma 7 3 2 2 4 2" xfId="2444" xr:uid="{42DBA30A-001F-43AC-AF9D-85501D3C7807}"/>
    <cellStyle name="Comma 7 3 2 2 4 2 2" xfId="11516" xr:uid="{5DBD4EB5-64F5-4785-9BA9-212780BEFE2D}"/>
    <cellStyle name="Comma 7 3 2 2 4 2 2 2" xfId="26636" xr:uid="{6ECE25EF-895E-4ED4-92DE-55BF03376771}"/>
    <cellStyle name="Comma 7 3 2 2 4 2 2 2 2" xfId="56876" xr:uid="{7EA700EC-5319-4B3B-9672-7CE58FDF220B}"/>
    <cellStyle name="Comma 7 3 2 2 4 2 2 3" xfId="41756" xr:uid="{4CA5800D-5CAE-49FA-B054-4DE5EF806016}"/>
    <cellStyle name="Comma 7 3 2 2 4 2 3" xfId="17564" xr:uid="{F2BC0852-E0D4-4CF3-8FF2-DB5F9F104909}"/>
    <cellStyle name="Comma 7 3 2 2 4 2 3 2" xfId="47804" xr:uid="{A934CF9B-4598-4E62-A9CB-8AA522215481}"/>
    <cellStyle name="Comma 7 3 2 2 4 2 4" xfId="32684" xr:uid="{20CE20DD-2961-4A70-A493-E4642CE80AF3}"/>
    <cellStyle name="Comma 7 3 2 2 4 3" xfId="3956" xr:uid="{885704E0-D6D4-4FD4-ACB4-ADFA38EEE5EB}"/>
    <cellStyle name="Comma 7 3 2 2 4 3 2" xfId="13028" xr:uid="{94528B2B-E37F-4FE6-A5F7-29EAA60CE123}"/>
    <cellStyle name="Comma 7 3 2 2 4 3 2 2" xfId="28148" xr:uid="{A35587A1-59AB-4912-B53D-6B967B5C27EB}"/>
    <cellStyle name="Comma 7 3 2 2 4 3 2 2 2" xfId="58388" xr:uid="{F5E94680-07B3-4F61-88F6-FDD96BB55D60}"/>
    <cellStyle name="Comma 7 3 2 2 4 3 2 3" xfId="43268" xr:uid="{B2ED19C9-FAB4-49DA-8224-AF0410A21277}"/>
    <cellStyle name="Comma 7 3 2 2 4 3 3" xfId="19076" xr:uid="{C7F767FB-022A-45F6-B4B6-22AD04D5CDE1}"/>
    <cellStyle name="Comma 7 3 2 2 4 3 3 2" xfId="49316" xr:uid="{05DCE1F6-3E76-4D0A-A4D8-D248DA3C9B2C}"/>
    <cellStyle name="Comma 7 3 2 2 4 3 4" xfId="34196" xr:uid="{B12B0D57-AD9D-4A52-B821-9EB35B7E35DD}"/>
    <cellStyle name="Comma 7 3 2 2 4 4" xfId="5468" xr:uid="{68A60961-31C6-4040-83F0-E72416B62988}"/>
    <cellStyle name="Comma 7 3 2 2 4 4 2" xfId="14540" xr:uid="{1C5939AF-1F5B-427A-8D08-D3F7A6D50951}"/>
    <cellStyle name="Comma 7 3 2 2 4 4 2 2" xfId="29660" xr:uid="{5AEF1D50-9716-461E-9808-02F2DDB17D9D}"/>
    <cellStyle name="Comma 7 3 2 2 4 4 2 2 2" xfId="59900" xr:uid="{7B8C30D6-56E4-4591-A90D-E65FB7AF79C9}"/>
    <cellStyle name="Comma 7 3 2 2 4 4 2 3" xfId="44780" xr:uid="{E1FB51AF-86CC-4E88-83AF-F00D5275BFF5}"/>
    <cellStyle name="Comma 7 3 2 2 4 4 3" xfId="20588" xr:uid="{5FFDFF7F-0F31-4D6D-A1C6-F57DA09236C0}"/>
    <cellStyle name="Comma 7 3 2 2 4 4 3 2" xfId="50828" xr:uid="{F7535EF9-DACA-4260-B6B8-17D73A2A06E0}"/>
    <cellStyle name="Comma 7 3 2 2 4 4 4" xfId="35708" xr:uid="{BE12AFC5-6E71-46DC-9751-55001F7108B4}"/>
    <cellStyle name="Comma 7 3 2 2 4 5" xfId="6980" xr:uid="{38AE9BC4-62F1-4E83-ACCD-B81DCF482BC0}"/>
    <cellStyle name="Comma 7 3 2 2 4 5 2" xfId="22100" xr:uid="{5BAC52BE-4CF3-44D6-8CB8-D9067E1A37CB}"/>
    <cellStyle name="Comma 7 3 2 2 4 5 2 2" xfId="52340" xr:uid="{686F382C-F724-44B7-8579-E516404E165F}"/>
    <cellStyle name="Comma 7 3 2 2 4 5 3" xfId="37220" xr:uid="{8BB2806B-F5BC-474A-B3EE-0FBF142B89D2}"/>
    <cellStyle name="Comma 7 3 2 2 4 6" xfId="8492" xr:uid="{39D14214-6117-4136-B9F2-EFF89271C788}"/>
    <cellStyle name="Comma 7 3 2 2 4 6 2" xfId="23612" xr:uid="{483E8451-1A55-4967-A33A-146535529AF0}"/>
    <cellStyle name="Comma 7 3 2 2 4 6 2 2" xfId="53852" xr:uid="{7E4B1629-1CB3-45E2-B9B1-AC4AA8E0B7AD}"/>
    <cellStyle name="Comma 7 3 2 2 4 6 3" xfId="38732" xr:uid="{CF5E629E-DAEC-4DE5-9DB2-EA71AF0CD7AB}"/>
    <cellStyle name="Comma 7 3 2 2 4 7" xfId="10004" xr:uid="{CA74208C-E3D7-4EAB-A04E-1EF65DAC67D4}"/>
    <cellStyle name="Comma 7 3 2 2 4 7 2" xfId="25124" xr:uid="{C270DB95-694F-47AF-B80A-927041D4981B}"/>
    <cellStyle name="Comma 7 3 2 2 4 7 2 2" xfId="55364" xr:uid="{7AB6086B-AA68-4DF7-8A15-46394FF62ED5}"/>
    <cellStyle name="Comma 7 3 2 2 4 7 3" xfId="40244" xr:uid="{EE8AEFAA-B707-4444-8510-BF5AA3F49605}"/>
    <cellStyle name="Comma 7 3 2 2 4 8" xfId="16052" xr:uid="{1392800E-D9BC-4D3A-AD54-8AA3FFB4CDB3}"/>
    <cellStyle name="Comma 7 3 2 2 4 8 2" xfId="46292" xr:uid="{5D5061BB-3A8E-4FCC-AF1C-627A74AB4661}"/>
    <cellStyle name="Comma 7 3 2 2 4 9" xfId="31172" xr:uid="{96271CA6-32C9-4866-8776-AE317203145B}"/>
    <cellStyle name="Comma 7 3 2 2 5" xfId="1688" xr:uid="{25BD31A2-CE7C-4012-8A37-24C913AB462F}"/>
    <cellStyle name="Comma 7 3 2 2 5 2" xfId="10760" xr:uid="{3ECFC66F-99F4-44DB-9A0E-DF763389ECC6}"/>
    <cellStyle name="Comma 7 3 2 2 5 2 2" xfId="25880" xr:uid="{0E026C36-EB97-4A95-AF5F-8752CF016908}"/>
    <cellStyle name="Comma 7 3 2 2 5 2 2 2" xfId="56120" xr:uid="{4AADF5B3-884B-44C7-A352-5847F1A621DF}"/>
    <cellStyle name="Comma 7 3 2 2 5 2 3" xfId="41000" xr:uid="{D732D088-EBFC-4010-848C-D5EC1241E317}"/>
    <cellStyle name="Comma 7 3 2 2 5 3" xfId="16808" xr:uid="{F2839F13-2179-4128-A46C-DC9C4A2D1F82}"/>
    <cellStyle name="Comma 7 3 2 2 5 3 2" xfId="47048" xr:uid="{48EA78A6-922A-496B-BC36-877AE411334E}"/>
    <cellStyle name="Comma 7 3 2 2 5 4" xfId="31928" xr:uid="{AA751FC0-307D-4D26-9AC0-346A327448B3}"/>
    <cellStyle name="Comma 7 3 2 2 6" xfId="3200" xr:uid="{14FEE287-AC22-475A-8801-DC04C334D05B}"/>
    <cellStyle name="Comma 7 3 2 2 6 2" xfId="12272" xr:uid="{EA0B331A-514D-4C76-863A-E0F52BB6D373}"/>
    <cellStyle name="Comma 7 3 2 2 6 2 2" xfId="27392" xr:uid="{6EA59140-93E1-4B2A-AE41-924F35E056B7}"/>
    <cellStyle name="Comma 7 3 2 2 6 2 2 2" xfId="57632" xr:uid="{C7ADAEB5-6C6E-4311-95F3-CF305A958BED}"/>
    <cellStyle name="Comma 7 3 2 2 6 2 3" xfId="42512" xr:uid="{66876834-B21E-4CB0-9520-03580D549CC9}"/>
    <cellStyle name="Comma 7 3 2 2 6 3" xfId="18320" xr:uid="{CFD00369-2D0E-42C3-A6B5-FB13C78A1EE0}"/>
    <cellStyle name="Comma 7 3 2 2 6 3 2" xfId="48560" xr:uid="{29C13F4D-9F47-41A9-84A0-9C9114E6B3B8}"/>
    <cellStyle name="Comma 7 3 2 2 6 4" xfId="33440" xr:uid="{3FD50724-28E0-400C-A13C-B954E285C659}"/>
    <cellStyle name="Comma 7 3 2 2 7" xfId="4712" xr:uid="{9BA5343B-93AE-4EE9-8A16-365AB6D8EB9F}"/>
    <cellStyle name="Comma 7 3 2 2 7 2" xfId="13784" xr:uid="{4499A8EA-DF47-4B26-89FF-0EBD8494369B}"/>
    <cellStyle name="Comma 7 3 2 2 7 2 2" xfId="28904" xr:uid="{90CBDAC8-BF10-4CD2-AE06-FFD36E9A0277}"/>
    <cellStyle name="Comma 7 3 2 2 7 2 2 2" xfId="59144" xr:uid="{2300AE32-3BE5-4A75-BAAA-2D36B36E0FE1}"/>
    <cellStyle name="Comma 7 3 2 2 7 2 3" xfId="44024" xr:uid="{6AD204DC-A90B-42AD-9A9D-4D6D88373490}"/>
    <cellStyle name="Comma 7 3 2 2 7 3" xfId="19832" xr:uid="{A787CF44-E484-4050-ACDE-103F7A44E2CB}"/>
    <cellStyle name="Comma 7 3 2 2 7 3 2" xfId="50072" xr:uid="{F3B186F6-B8BE-4AC0-8822-F6B3239F661C}"/>
    <cellStyle name="Comma 7 3 2 2 7 4" xfId="34952" xr:uid="{538B97B4-74CB-41CC-BC8B-EECEDA5E3BAB}"/>
    <cellStyle name="Comma 7 3 2 2 8" xfId="6224" xr:uid="{4279D0B1-68E5-4CE4-9E5D-7BAA55FEECA9}"/>
    <cellStyle name="Comma 7 3 2 2 8 2" xfId="21344" xr:uid="{A3738253-A279-4ED0-A406-494181E8C774}"/>
    <cellStyle name="Comma 7 3 2 2 8 2 2" xfId="51584" xr:uid="{C77C04EF-E7D9-4DF8-9E36-41B799BD339E}"/>
    <cellStyle name="Comma 7 3 2 2 8 3" xfId="36464" xr:uid="{271446D9-4EF4-4946-966F-B786E0F2BAFC}"/>
    <cellStyle name="Comma 7 3 2 2 9" xfId="7736" xr:uid="{C8F9481B-66BA-4D41-9FBB-9E4F7C78E312}"/>
    <cellStyle name="Comma 7 3 2 2 9 2" xfId="22856" xr:uid="{DEDBCD9C-5BAD-4ECA-9BE7-6D8216DC97FA}"/>
    <cellStyle name="Comma 7 3 2 2 9 2 2" xfId="53096" xr:uid="{13EDE0FC-AD63-4822-8AAA-7780BCBF6350}"/>
    <cellStyle name="Comma 7 3 2 2 9 3" xfId="37976" xr:uid="{E4C34581-72D5-4383-BC7D-8382715761CF}"/>
    <cellStyle name="Comma 7 3 2 3" xfId="260" xr:uid="{4D506BF8-9712-4A8E-B317-BCB5201F456D}"/>
    <cellStyle name="Comma 7 3 2 3 10" xfId="9332" xr:uid="{09C81A5F-2FC9-4FA2-9CC7-6C616CEAD185}"/>
    <cellStyle name="Comma 7 3 2 3 10 2" xfId="24452" xr:uid="{4EC318B8-F561-4445-ACA1-23B1715BF354}"/>
    <cellStyle name="Comma 7 3 2 3 10 2 2" xfId="54692" xr:uid="{2701162D-1295-424D-8D52-3E7B105A7A0E}"/>
    <cellStyle name="Comma 7 3 2 3 10 3" xfId="39572" xr:uid="{3CA77E04-E50C-4506-89D9-BBD0B3FE42AB}"/>
    <cellStyle name="Comma 7 3 2 3 11" xfId="15380" xr:uid="{4F91CB82-AE5E-4DC3-9AF2-5CDA17268E4C}"/>
    <cellStyle name="Comma 7 3 2 3 11 2" xfId="45620" xr:uid="{6FA5DC8D-1DDA-440B-9AB1-E8877305BB88}"/>
    <cellStyle name="Comma 7 3 2 3 12" xfId="30500" xr:uid="{9BBDFC7F-DC46-4741-AB9B-F68AAFD0F3EA}"/>
    <cellStyle name="Comma 7 3 2 3 2" xfId="512" xr:uid="{1C09E2E0-1B03-4AD4-A7DE-944707416679}"/>
    <cellStyle name="Comma 7 3 2 3 2 10" xfId="30752" xr:uid="{9B40EECD-A978-4352-8700-1B4B5491B26B}"/>
    <cellStyle name="Comma 7 3 2 3 2 2" xfId="1268" xr:uid="{F2EC777E-2C4F-4460-80C9-83A8158B263A}"/>
    <cellStyle name="Comma 7 3 2 3 2 2 2" xfId="2780" xr:uid="{D39D3CE9-7662-4355-BBBE-080DC42E759B}"/>
    <cellStyle name="Comma 7 3 2 3 2 2 2 2" xfId="11852" xr:uid="{6D415AA9-6ED2-4FFF-9D2B-E813852B7E8B}"/>
    <cellStyle name="Comma 7 3 2 3 2 2 2 2 2" xfId="26972" xr:uid="{9B673E4E-328F-4479-A30A-41BB171F7BEB}"/>
    <cellStyle name="Comma 7 3 2 3 2 2 2 2 2 2" xfId="57212" xr:uid="{64C73FD2-3BB9-4C41-8E7B-4043A8C3C6ED}"/>
    <cellStyle name="Comma 7 3 2 3 2 2 2 2 3" xfId="42092" xr:uid="{927A12B3-E0AF-4B7E-9EB5-4BF1A588DF5B}"/>
    <cellStyle name="Comma 7 3 2 3 2 2 2 3" xfId="17900" xr:uid="{D53EB9EF-E6AC-4BE2-907F-EE3E44CDEE4C}"/>
    <cellStyle name="Comma 7 3 2 3 2 2 2 3 2" xfId="48140" xr:uid="{E4F492FD-7726-4C32-A371-BCECC946901B}"/>
    <cellStyle name="Comma 7 3 2 3 2 2 2 4" xfId="33020" xr:uid="{79677BCA-38EA-48F6-92F5-508322FDCB7D}"/>
    <cellStyle name="Comma 7 3 2 3 2 2 3" xfId="4292" xr:uid="{D11765AA-6B95-4F50-996A-0FA4FA444B1D}"/>
    <cellStyle name="Comma 7 3 2 3 2 2 3 2" xfId="13364" xr:uid="{B795897F-561B-4A02-AF20-FB91965C2DD5}"/>
    <cellStyle name="Comma 7 3 2 3 2 2 3 2 2" xfId="28484" xr:uid="{D91EBFF9-BC31-43FB-B50F-36CC6E549D86}"/>
    <cellStyle name="Comma 7 3 2 3 2 2 3 2 2 2" xfId="58724" xr:uid="{015E76CD-C530-4216-9426-9965979F1D8C}"/>
    <cellStyle name="Comma 7 3 2 3 2 2 3 2 3" xfId="43604" xr:uid="{D6137270-6B7D-4FB5-ACF6-A1B3A327478D}"/>
    <cellStyle name="Comma 7 3 2 3 2 2 3 3" xfId="19412" xr:uid="{95188F72-7B49-41ED-9F03-057BBEFBF87C}"/>
    <cellStyle name="Comma 7 3 2 3 2 2 3 3 2" xfId="49652" xr:uid="{ECB1106D-2F33-41B4-B649-186859B8FF96}"/>
    <cellStyle name="Comma 7 3 2 3 2 2 3 4" xfId="34532" xr:uid="{C9727AE0-76E4-4293-A989-7C82DB35E614}"/>
    <cellStyle name="Comma 7 3 2 3 2 2 4" xfId="5804" xr:uid="{54DC7768-A556-44EC-AB11-F34D436CCB54}"/>
    <cellStyle name="Comma 7 3 2 3 2 2 4 2" xfId="14876" xr:uid="{A865E405-0C94-4C53-9DE6-A07434B5E2AF}"/>
    <cellStyle name="Comma 7 3 2 3 2 2 4 2 2" xfId="29996" xr:uid="{0D4D5F4E-0DDC-4C55-8285-157FCBC8B88E}"/>
    <cellStyle name="Comma 7 3 2 3 2 2 4 2 2 2" xfId="60236" xr:uid="{016F3557-0E40-474C-88F4-9F5581F409A4}"/>
    <cellStyle name="Comma 7 3 2 3 2 2 4 2 3" xfId="45116" xr:uid="{DA0E53C1-8DC5-4E72-8F26-2179A63C304F}"/>
    <cellStyle name="Comma 7 3 2 3 2 2 4 3" xfId="20924" xr:uid="{F1ED2968-6B4D-498A-B189-150A909280DF}"/>
    <cellStyle name="Comma 7 3 2 3 2 2 4 3 2" xfId="51164" xr:uid="{CB54C743-074A-4E94-87B7-27466DBBDC3C}"/>
    <cellStyle name="Comma 7 3 2 3 2 2 4 4" xfId="36044" xr:uid="{1B80FC77-CFF9-4CC6-A820-A1DEC00749AD}"/>
    <cellStyle name="Comma 7 3 2 3 2 2 5" xfId="7316" xr:uid="{7D510572-DCB2-4BE0-AD8B-5B17C97F7E97}"/>
    <cellStyle name="Comma 7 3 2 3 2 2 5 2" xfId="22436" xr:uid="{EEE81D52-3049-469F-96C8-65A448F0C6A0}"/>
    <cellStyle name="Comma 7 3 2 3 2 2 5 2 2" xfId="52676" xr:uid="{ECAA93CE-DAC0-49AC-A489-B378F114C18D}"/>
    <cellStyle name="Comma 7 3 2 3 2 2 5 3" xfId="37556" xr:uid="{F6C43C81-A2A8-4504-81D7-B5CA552B5DAC}"/>
    <cellStyle name="Comma 7 3 2 3 2 2 6" xfId="8828" xr:uid="{BB109EF3-09E0-4307-BD44-BEB8D347FF4F}"/>
    <cellStyle name="Comma 7 3 2 3 2 2 6 2" xfId="23948" xr:uid="{DCCD89A0-CB8E-48F0-BDA2-4C40F6F07A5F}"/>
    <cellStyle name="Comma 7 3 2 3 2 2 6 2 2" xfId="54188" xr:uid="{56523D03-76DD-4DE5-9581-D88F78B549A8}"/>
    <cellStyle name="Comma 7 3 2 3 2 2 6 3" xfId="39068" xr:uid="{F6ACF024-BE61-402F-AB35-C19EC7ADB694}"/>
    <cellStyle name="Comma 7 3 2 3 2 2 7" xfId="10340" xr:uid="{6338CB2A-1327-4C9D-AE58-7385CA213F9D}"/>
    <cellStyle name="Comma 7 3 2 3 2 2 7 2" xfId="25460" xr:uid="{5AEA48AC-8197-4EE6-9B21-DB6A56CE8D02}"/>
    <cellStyle name="Comma 7 3 2 3 2 2 7 2 2" xfId="55700" xr:uid="{D7C8B205-FC6C-4D12-A364-774BB49AE385}"/>
    <cellStyle name="Comma 7 3 2 3 2 2 7 3" xfId="40580" xr:uid="{3610692B-3D1A-4968-B461-4691DD55A6BC}"/>
    <cellStyle name="Comma 7 3 2 3 2 2 8" xfId="16388" xr:uid="{8309BA8A-87C8-4F90-BDD5-D7679DFBEAD6}"/>
    <cellStyle name="Comma 7 3 2 3 2 2 8 2" xfId="46628" xr:uid="{99F3C2AB-41A9-4BDF-A8EB-F625619830F1}"/>
    <cellStyle name="Comma 7 3 2 3 2 2 9" xfId="31508" xr:uid="{4FBEB63C-7E85-4FBB-A773-D5EA28E6B3B0}"/>
    <cellStyle name="Comma 7 3 2 3 2 3" xfId="2024" xr:uid="{90764840-5A3E-4BC4-A11E-FB73458E6782}"/>
    <cellStyle name="Comma 7 3 2 3 2 3 2" xfId="11096" xr:uid="{2C1C79D8-D515-4226-BC09-110C1A320F24}"/>
    <cellStyle name="Comma 7 3 2 3 2 3 2 2" xfId="26216" xr:uid="{EB3B2E7E-AC99-4F59-8ABF-D87155C5BB29}"/>
    <cellStyle name="Comma 7 3 2 3 2 3 2 2 2" xfId="56456" xr:uid="{40CB7D3B-3D43-4F80-AB91-0EC97F5FDB95}"/>
    <cellStyle name="Comma 7 3 2 3 2 3 2 3" xfId="41336" xr:uid="{B76DD96E-0D88-495F-BC33-B4E2C8333AC3}"/>
    <cellStyle name="Comma 7 3 2 3 2 3 3" xfId="17144" xr:uid="{FB9428CF-3A9C-47D4-AD0F-379296398E73}"/>
    <cellStyle name="Comma 7 3 2 3 2 3 3 2" xfId="47384" xr:uid="{D4E59ECC-F1A2-4068-892F-709F3017AC7B}"/>
    <cellStyle name="Comma 7 3 2 3 2 3 4" xfId="32264" xr:uid="{732589E6-9F4F-4119-8D45-CCF61610C5F5}"/>
    <cellStyle name="Comma 7 3 2 3 2 4" xfId="3536" xr:uid="{A26A8397-204A-4DCC-AA3E-92F95C2B2849}"/>
    <cellStyle name="Comma 7 3 2 3 2 4 2" xfId="12608" xr:uid="{2FFFCDD1-F2CE-4F78-8F46-768D9E9D71EF}"/>
    <cellStyle name="Comma 7 3 2 3 2 4 2 2" xfId="27728" xr:uid="{F639084B-DAD6-465B-93F3-C1232311AF82}"/>
    <cellStyle name="Comma 7 3 2 3 2 4 2 2 2" xfId="57968" xr:uid="{54125A5C-B322-46F4-BB6B-BEA6CE99D279}"/>
    <cellStyle name="Comma 7 3 2 3 2 4 2 3" xfId="42848" xr:uid="{F123E834-46D3-478F-8930-71BD0A7A30F1}"/>
    <cellStyle name="Comma 7 3 2 3 2 4 3" xfId="18656" xr:uid="{E0C16C92-9A1D-4DDE-9A4E-CF66CA068C92}"/>
    <cellStyle name="Comma 7 3 2 3 2 4 3 2" xfId="48896" xr:uid="{878203F5-7CAD-4DC7-8D06-0ABCFFF108DA}"/>
    <cellStyle name="Comma 7 3 2 3 2 4 4" xfId="33776" xr:uid="{EAFC7833-68CB-4311-B5BF-0F2F0616D2BE}"/>
    <cellStyle name="Comma 7 3 2 3 2 5" xfId="5048" xr:uid="{52678606-31FA-489B-A622-B75B59742073}"/>
    <cellStyle name="Comma 7 3 2 3 2 5 2" xfId="14120" xr:uid="{4E7D3837-22B1-46FB-8E3C-CBAAA906BF10}"/>
    <cellStyle name="Comma 7 3 2 3 2 5 2 2" xfId="29240" xr:uid="{9701848B-C3B2-4945-9813-B06B2A0BA338}"/>
    <cellStyle name="Comma 7 3 2 3 2 5 2 2 2" xfId="59480" xr:uid="{E09132F5-AAC5-4BCB-A089-5A55E3F1BE1A}"/>
    <cellStyle name="Comma 7 3 2 3 2 5 2 3" xfId="44360" xr:uid="{FF9052E3-A163-402D-829E-98D465C07AFC}"/>
    <cellStyle name="Comma 7 3 2 3 2 5 3" xfId="20168" xr:uid="{02E64694-91E7-4F72-9A6E-E9D6E3C1553F}"/>
    <cellStyle name="Comma 7 3 2 3 2 5 3 2" xfId="50408" xr:uid="{68BF5098-14C9-454F-AF23-7E1172A8C319}"/>
    <cellStyle name="Comma 7 3 2 3 2 5 4" xfId="35288" xr:uid="{231248E7-A0BD-4A08-82FE-246ABB1DBC2A}"/>
    <cellStyle name="Comma 7 3 2 3 2 6" xfId="6560" xr:uid="{EEDC8942-CB46-4A47-939B-2B5032365FB1}"/>
    <cellStyle name="Comma 7 3 2 3 2 6 2" xfId="21680" xr:uid="{4489346A-02C2-402B-ACB9-9813EB8DE5A2}"/>
    <cellStyle name="Comma 7 3 2 3 2 6 2 2" xfId="51920" xr:uid="{445FC1EE-B41D-4626-9C6C-5000BBB6EE29}"/>
    <cellStyle name="Comma 7 3 2 3 2 6 3" xfId="36800" xr:uid="{B1C0CC9F-E86F-40F7-AE24-90BCAD5D8415}"/>
    <cellStyle name="Comma 7 3 2 3 2 7" xfId="8072" xr:uid="{14D628CE-077C-4F9A-A609-CBC6C075B8C8}"/>
    <cellStyle name="Comma 7 3 2 3 2 7 2" xfId="23192" xr:uid="{83C315EF-2A46-40BF-A122-65426641A067}"/>
    <cellStyle name="Comma 7 3 2 3 2 7 2 2" xfId="53432" xr:uid="{11C0BDF5-9197-472C-9BC2-BFC96B47C78B}"/>
    <cellStyle name="Comma 7 3 2 3 2 7 3" xfId="38312" xr:uid="{B4188922-0CF8-4319-9E91-6F9DE4F8B510}"/>
    <cellStyle name="Comma 7 3 2 3 2 8" xfId="9584" xr:uid="{28375A64-6FD6-4B39-84F6-DFD10CC37207}"/>
    <cellStyle name="Comma 7 3 2 3 2 8 2" xfId="24704" xr:uid="{30ED6C7E-0BFF-48CF-8883-003012AA06CF}"/>
    <cellStyle name="Comma 7 3 2 3 2 8 2 2" xfId="54944" xr:uid="{F71788EA-068A-4CC8-A468-AE7CD4C5776C}"/>
    <cellStyle name="Comma 7 3 2 3 2 8 3" xfId="39824" xr:uid="{E0E8C5A9-CD4B-4D08-87D0-0A0FB47696F8}"/>
    <cellStyle name="Comma 7 3 2 3 2 9" xfId="15632" xr:uid="{141E3B36-8625-43CD-8B6B-340E05639329}"/>
    <cellStyle name="Comma 7 3 2 3 2 9 2" xfId="45872" xr:uid="{A3E013B7-C7A0-4FA0-ABEB-0B8B760AD02C}"/>
    <cellStyle name="Comma 7 3 2 3 3" xfId="764" xr:uid="{BD50BF10-8A59-4435-B2A7-BF96577EAD83}"/>
    <cellStyle name="Comma 7 3 2 3 3 10" xfId="31004" xr:uid="{ECA148BC-06F6-4471-8970-4BCADE86BADA}"/>
    <cellStyle name="Comma 7 3 2 3 3 2" xfId="1520" xr:uid="{32DA7A3B-DFA1-4A84-8604-9DA538134931}"/>
    <cellStyle name="Comma 7 3 2 3 3 2 2" xfId="3032" xr:uid="{6B6128E4-12F3-4F84-B471-B1013742DA62}"/>
    <cellStyle name="Comma 7 3 2 3 3 2 2 2" xfId="12104" xr:uid="{D6712E45-668C-4DAF-8C47-28E62FA9BF5C}"/>
    <cellStyle name="Comma 7 3 2 3 3 2 2 2 2" xfId="27224" xr:uid="{86BE670F-9FC2-450A-A99E-166CB0327CE4}"/>
    <cellStyle name="Comma 7 3 2 3 3 2 2 2 2 2" xfId="57464" xr:uid="{E0EBC405-CB59-4C83-BC7F-8E52E31CC4B8}"/>
    <cellStyle name="Comma 7 3 2 3 3 2 2 2 3" xfId="42344" xr:uid="{EE4A98C2-DBE4-4960-8029-EEEB48CDCBBE}"/>
    <cellStyle name="Comma 7 3 2 3 3 2 2 3" xfId="18152" xr:uid="{ED45940F-0B42-4203-8027-5BFB05EA5862}"/>
    <cellStyle name="Comma 7 3 2 3 3 2 2 3 2" xfId="48392" xr:uid="{0411DE66-C312-41C7-957B-F3D0C1AF6926}"/>
    <cellStyle name="Comma 7 3 2 3 3 2 2 4" xfId="33272" xr:uid="{505CB1F5-8C96-4CCE-9807-180EAB9BFA7A}"/>
    <cellStyle name="Comma 7 3 2 3 3 2 3" xfId="4544" xr:uid="{7C819760-4C54-4438-BD68-20B0647E5DA7}"/>
    <cellStyle name="Comma 7 3 2 3 3 2 3 2" xfId="13616" xr:uid="{F46F0BF2-427D-4E33-ADEF-E9568184EDF5}"/>
    <cellStyle name="Comma 7 3 2 3 3 2 3 2 2" xfId="28736" xr:uid="{3B7CF29C-9712-41B5-BFA8-FE269C037F41}"/>
    <cellStyle name="Comma 7 3 2 3 3 2 3 2 2 2" xfId="58976" xr:uid="{B5B3C2CF-4ADA-43FE-895B-DCDADEFCAEBE}"/>
    <cellStyle name="Comma 7 3 2 3 3 2 3 2 3" xfId="43856" xr:uid="{2142F7B3-8DCD-465D-A13B-4FC069DDD64C}"/>
    <cellStyle name="Comma 7 3 2 3 3 2 3 3" xfId="19664" xr:uid="{1FDB8501-11E8-4FCF-A28E-C12CC5FFB241}"/>
    <cellStyle name="Comma 7 3 2 3 3 2 3 3 2" xfId="49904" xr:uid="{C302A74B-3FBE-45B5-A76F-B937D4DC753D}"/>
    <cellStyle name="Comma 7 3 2 3 3 2 3 4" xfId="34784" xr:uid="{26C57F07-4071-4692-8F21-81FC493BA680}"/>
    <cellStyle name="Comma 7 3 2 3 3 2 4" xfId="6056" xr:uid="{2BA5B447-EC77-4F48-9F7B-A8678EDD961D}"/>
    <cellStyle name="Comma 7 3 2 3 3 2 4 2" xfId="15128" xr:uid="{4332C660-566C-4B71-9854-82078AE797B6}"/>
    <cellStyle name="Comma 7 3 2 3 3 2 4 2 2" xfId="30248" xr:uid="{5318830E-2278-49E0-9DD6-01755BB4F9D3}"/>
    <cellStyle name="Comma 7 3 2 3 3 2 4 2 2 2" xfId="60488" xr:uid="{02303CCD-C993-4480-820E-316D20BFF216}"/>
    <cellStyle name="Comma 7 3 2 3 3 2 4 2 3" xfId="45368" xr:uid="{79D66709-A81D-4ECC-9C8A-76C1D6600439}"/>
    <cellStyle name="Comma 7 3 2 3 3 2 4 3" xfId="21176" xr:uid="{C649F842-B544-4EE8-8176-1EAED3C44BB9}"/>
    <cellStyle name="Comma 7 3 2 3 3 2 4 3 2" xfId="51416" xr:uid="{3F2B45E6-39F7-4642-BEC0-2EF8B78F1666}"/>
    <cellStyle name="Comma 7 3 2 3 3 2 4 4" xfId="36296" xr:uid="{A8FB2C59-05F7-426E-BD8B-E858C900A9E8}"/>
    <cellStyle name="Comma 7 3 2 3 3 2 5" xfId="7568" xr:uid="{D310BC4D-0AA1-4FC5-9BA2-744D92ADD63F}"/>
    <cellStyle name="Comma 7 3 2 3 3 2 5 2" xfId="22688" xr:uid="{2C2C084F-C735-4080-8DB6-B89FFB67FF58}"/>
    <cellStyle name="Comma 7 3 2 3 3 2 5 2 2" xfId="52928" xr:uid="{CF23AAAE-D9B7-42EB-8D5B-DCD46E0B045D}"/>
    <cellStyle name="Comma 7 3 2 3 3 2 5 3" xfId="37808" xr:uid="{8C7991EC-9747-4C97-936B-598F06E1EAD3}"/>
    <cellStyle name="Comma 7 3 2 3 3 2 6" xfId="9080" xr:uid="{89AC0BFE-B99C-4295-93C5-40958A0DBAC1}"/>
    <cellStyle name="Comma 7 3 2 3 3 2 6 2" xfId="24200" xr:uid="{D0D2EAAE-5360-47D6-922A-68C11DAB34BF}"/>
    <cellStyle name="Comma 7 3 2 3 3 2 6 2 2" xfId="54440" xr:uid="{0BE8C545-9FEE-4212-A8E1-C651968ABF57}"/>
    <cellStyle name="Comma 7 3 2 3 3 2 6 3" xfId="39320" xr:uid="{73FDA5FF-D38E-4B27-BD64-580A5DE4BD63}"/>
    <cellStyle name="Comma 7 3 2 3 3 2 7" xfId="10592" xr:uid="{0938A12D-DAB3-439D-93F2-48552EAB2601}"/>
    <cellStyle name="Comma 7 3 2 3 3 2 7 2" xfId="25712" xr:uid="{058242B1-C0BF-44ED-9106-C2293E232966}"/>
    <cellStyle name="Comma 7 3 2 3 3 2 7 2 2" xfId="55952" xr:uid="{4987C8BF-739F-4EF8-8A45-C187F879C6A4}"/>
    <cellStyle name="Comma 7 3 2 3 3 2 7 3" xfId="40832" xr:uid="{980D7330-38A7-4985-B314-1C4314BE6954}"/>
    <cellStyle name="Comma 7 3 2 3 3 2 8" xfId="16640" xr:uid="{3F0919A4-93B4-4C13-8A66-1CDCCDE37316}"/>
    <cellStyle name="Comma 7 3 2 3 3 2 8 2" xfId="46880" xr:uid="{71897CA1-FCA1-4121-96DA-5F7108942A71}"/>
    <cellStyle name="Comma 7 3 2 3 3 2 9" xfId="31760" xr:uid="{42E5BF7A-FE37-432A-BA45-31DB446FF27C}"/>
    <cellStyle name="Comma 7 3 2 3 3 3" xfId="2276" xr:uid="{AB13E50B-CEA7-4ABF-893A-43719DF65241}"/>
    <cellStyle name="Comma 7 3 2 3 3 3 2" xfId="11348" xr:uid="{22234399-3C73-4310-ABAB-4FCA5F3A5B13}"/>
    <cellStyle name="Comma 7 3 2 3 3 3 2 2" xfId="26468" xr:uid="{EE57A04C-CCA2-4C66-AD3A-7F3912306754}"/>
    <cellStyle name="Comma 7 3 2 3 3 3 2 2 2" xfId="56708" xr:uid="{C6F11C9C-0007-446F-BD71-806E2216D626}"/>
    <cellStyle name="Comma 7 3 2 3 3 3 2 3" xfId="41588" xr:uid="{1DB22B5A-DC92-4E3C-8018-62A0B9597B4B}"/>
    <cellStyle name="Comma 7 3 2 3 3 3 3" xfId="17396" xr:uid="{7EA0EBA9-2C4B-425D-B042-7533470D3646}"/>
    <cellStyle name="Comma 7 3 2 3 3 3 3 2" xfId="47636" xr:uid="{F0EA1E34-0332-4E93-BAB2-2EF566A1EB03}"/>
    <cellStyle name="Comma 7 3 2 3 3 3 4" xfId="32516" xr:uid="{5E86948E-C182-408F-9D44-9E2896C62861}"/>
    <cellStyle name="Comma 7 3 2 3 3 4" xfId="3788" xr:uid="{842742C7-2001-462B-BE89-AB15748EBEE1}"/>
    <cellStyle name="Comma 7 3 2 3 3 4 2" xfId="12860" xr:uid="{A5AE07EE-5C24-46DA-807C-2D5F0C161583}"/>
    <cellStyle name="Comma 7 3 2 3 3 4 2 2" xfId="27980" xr:uid="{C2C789C9-EF60-49B0-AB8C-70FA793443EC}"/>
    <cellStyle name="Comma 7 3 2 3 3 4 2 2 2" xfId="58220" xr:uid="{2FB13709-0A95-4A2E-A107-48980D082C0B}"/>
    <cellStyle name="Comma 7 3 2 3 3 4 2 3" xfId="43100" xr:uid="{7579B337-F83F-4095-9AA6-E2582617E45A}"/>
    <cellStyle name="Comma 7 3 2 3 3 4 3" xfId="18908" xr:uid="{E719EF4F-55CE-4AF0-B50E-7BCFCD3A4364}"/>
    <cellStyle name="Comma 7 3 2 3 3 4 3 2" xfId="49148" xr:uid="{D0886506-3CE2-4174-9438-32C5DCD0A6E4}"/>
    <cellStyle name="Comma 7 3 2 3 3 4 4" xfId="34028" xr:uid="{02A74263-40E9-418D-96AE-51BA2120D02E}"/>
    <cellStyle name="Comma 7 3 2 3 3 5" xfId="5300" xr:uid="{48CC8B3F-C9B3-4617-AF3A-63DF938738CA}"/>
    <cellStyle name="Comma 7 3 2 3 3 5 2" xfId="14372" xr:uid="{19B22956-C7D8-4C63-9BC1-FFA38EB702E3}"/>
    <cellStyle name="Comma 7 3 2 3 3 5 2 2" xfId="29492" xr:uid="{400E1C64-4CE2-486D-BBE7-E8B8A2313BCA}"/>
    <cellStyle name="Comma 7 3 2 3 3 5 2 2 2" xfId="59732" xr:uid="{C4868F66-5A32-44B7-B9B4-3396727AD550}"/>
    <cellStyle name="Comma 7 3 2 3 3 5 2 3" xfId="44612" xr:uid="{2B342630-69FA-46E7-B48E-816351232DF1}"/>
    <cellStyle name="Comma 7 3 2 3 3 5 3" xfId="20420" xr:uid="{5A5B2EEA-9759-4490-AFB3-78EF39476240}"/>
    <cellStyle name="Comma 7 3 2 3 3 5 3 2" xfId="50660" xr:uid="{E3F4FA52-BF29-46C5-B90D-5E3A18E2EC5C}"/>
    <cellStyle name="Comma 7 3 2 3 3 5 4" xfId="35540" xr:uid="{78D451E8-EF3A-47D2-820D-570925FE4BE4}"/>
    <cellStyle name="Comma 7 3 2 3 3 6" xfId="6812" xr:uid="{A2C4D52D-857E-4050-8732-7D8A0CE1CF86}"/>
    <cellStyle name="Comma 7 3 2 3 3 6 2" xfId="21932" xr:uid="{66CE5CBE-182F-4985-9DCC-8986AB810DBB}"/>
    <cellStyle name="Comma 7 3 2 3 3 6 2 2" xfId="52172" xr:uid="{3114FCFD-72B3-4699-A93D-DF0ACF59AAE5}"/>
    <cellStyle name="Comma 7 3 2 3 3 6 3" xfId="37052" xr:uid="{D5AD1406-B8C8-45A4-AB68-D1F0E0A331A5}"/>
    <cellStyle name="Comma 7 3 2 3 3 7" xfId="8324" xr:uid="{9984161F-71BB-4907-9C5B-6D1D011514E6}"/>
    <cellStyle name="Comma 7 3 2 3 3 7 2" xfId="23444" xr:uid="{161AAF77-47C3-40ED-9B58-5C4D34AC6E62}"/>
    <cellStyle name="Comma 7 3 2 3 3 7 2 2" xfId="53684" xr:uid="{B17F53EE-625B-4CCB-9914-4699BAE80B30}"/>
    <cellStyle name="Comma 7 3 2 3 3 7 3" xfId="38564" xr:uid="{0A267D0D-ED2E-483C-A815-71EDCAEB6DFB}"/>
    <cellStyle name="Comma 7 3 2 3 3 8" xfId="9836" xr:uid="{A4E77303-35F5-4BB1-94BA-2B12C280CC29}"/>
    <cellStyle name="Comma 7 3 2 3 3 8 2" xfId="24956" xr:uid="{C6577043-0DC2-408B-8355-C1E4FAF4DF5A}"/>
    <cellStyle name="Comma 7 3 2 3 3 8 2 2" xfId="55196" xr:uid="{009B1F8E-2E57-4FFF-89C8-CC766C2B08E8}"/>
    <cellStyle name="Comma 7 3 2 3 3 8 3" xfId="40076" xr:uid="{0F809552-3216-4FD2-95BB-0CD42691DBE4}"/>
    <cellStyle name="Comma 7 3 2 3 3 9" xfId="15884" xr:uid="{9BACCB93-2086-4861-A587-ABAA6A8ECE2A}"/>
    <cellStyle name="Comma 7 3 2 3 3 9 2" xfId="46124" xr:uid="{6E9F97CB-547D-4DC6-8523-BEA77F5DD92E}"/>
    <cellStyle name="Comma 7 3 2 3 4" xfId="1016" xr:uid="{F4F417DB-A880-4814-B4A5-82DCE2287FBC}"/>
    <cellStyle name="Comma 7 3 2 3 4 2" xfId="2528" xr:uid="{8AB3B341-584E-44A2-A2AF-8349C5726E97}"/>
    <cellStyle name="Comma 7 3 2 3 4 2 2" xfId="11600" xr:uid="{432AF2CD-548D-49E7-B0FD-EBF948A51C24}"/>
    <cellStyle name="Comma 7 3 2 3 4 2 2 2" xfId="26720" xr:uid="{2DB901E0-F911-456A-A0B4-C15EA50AB474}"/>
    <cellStyle name="Comma 7 3 2 3 4 2 2 2 2" xfId="56960" xr:uid="{F3ED8DE7-671E-49A7-A346-7A07822A59FB}"/>
    <cellStyle name="Comma 7 3 2 3 4 2 2 3" xfId="41840" xr:uid="{AD8F3B48-953C-419B-81DE-C6E2E0DA2793}"/>
    <cellStyle name="Comma 7 3 2 3 4 2 3" xfId="17648" xr:uid="{E70AE70C-0B39-46A1-BD5B-269CCBD4D3CC}"/>
    <cellStyle name="Comma 7 3 2 3 4 2 3 2" xfId="47888" xr:uid="{32846A41-4EF6-4246-A4E6-ADDD0B6EB834}"/>
    <cellStyle name="Comma 7 3 2 3 4 2 4" xfId="32768" xr:uid="{9868CEB0-5265-4450-9767-9740EFEFA07D}"/>
    <cellStyle name="Comma 7 3 2 3 4 3" xfId="4040" xr:uid="{314FB340-D1CE-41D3-BD42-0047AD69534A}"/>
    <cellStyle name="Comma 7 3 2 3 4 3 2" xfId="13112" xr:uid="{AEADCBE1-19AF-42D0-AC73-F99AC53345AD}"/>
    <cellStyle name="Comma 7 3 2 3 4 3 2 2" xfId="28232" xr:uid="{92519CC0-92C2-46C2-B723-09396AF22BA4}"/>
    <cellStyle name="Comma 7 3 2 3 4 3 2 2 2" xfId="58472" xr:uid="{1A5EAFB9-C4FB-42B4-AAF7-9DEFE931F85F}"/>
    <cellStyle name="Comma 7 3 2 3 4 3 2 3" xfId="43352" xr:uid="{DFB2BC59-EF73-48C8-9CE3-24ABDC12A39E}"/>
    <cellStyle name="Comma 7 3 2 3 4 3 3" xfId="19160" xr:uid="{D4FD3343-D7BA-450A-9647-C8ABB204C602}"/>
    <cellStyle name="Comma 7 3 2 3 4 3 3 2" xfId="49400" xr:uid="{C48A1553-5199-4144-930D-FCE87217AD3A}"/>
    <cellStyle name="Comma 7 3 2 3 4 3 4" xfId="34280" xr:uid="{8F95DD1C-43C9-43D3-B4F3-6E50E888671F}"/>
    <cellStyle name="Comma 7 3 2 3 4 4" xfId="5552" xr:uid="{77C945DA-63BD-4A11-ADA4-89C2D8306972}"/>
    <cellStyle name="Comma 7 3 2 3 4 4 2" xfId="14624" xr:uid="{4F5381EA-05AD-4D96-9F87-E20F5761782E}"/>
    <cellStyle name="Comma 7 3 2 3 4 4 2 2" xfId="29744" xr:uid="{4152E51F-96E1-435E-8C23-18303AA095DC}"/>
    <cellStyle name="Comma 7 3 2 3 4 4 2 2 2" xfId="59984" xr:uid="{82B8C493-C1CF-43A0-8DCD-7D282D87E8BD}"/>
    <cellStyle name="Comma 7 3 2 3 4 4 2 3" xfId="44864" xr:uid="{459D6A4C-3597-45C1-96EE-70E1C8290A48}"/>
    <cellStyle name="Comma 7 3 2 3 4 4 3" xfId="20672" xr:uid="{9CEDB078-F4B5-4CEE-88F9-D6EB49D7C397}"/>
    <cellStyle name="Comma 7 3 2 3 4 4 3 2" xfId="50912" xr:uid="{3426B798-A74E-4EEC-AA8E-6D37CA1F8CC6}"/>
    <cellStyle name="Comma 7 3 2 3 4 4 4" xfId="35792" xr:uid="{7D116F0E-D837-406E-9598-445E8F3A8031}"/>
    <cellStyle name="Comma 7 3 2 3 4 5" xfId="7064" xr:uid="{74F67B52-2EEE-439A-85F6-F063B21275E4}"/>
    <cellStyle name="Comma 7 3 2 3 4 5 2" xfId="22184" xr:uid="{35F99155-8E73-49F0-9222-63F47E7E9F1F}"/>
    <cellStyle name="Comma 7 3 2 3 4 5 2 2" xfId="52424" xr:uid="{96D30272-0AB3-4002-9B66-46232025783D}"/>
    <cellStyle name="Comma 7 3 2 3 4 5 3" xfId="37304" xr:uid="{C6A0C1AC-0C5E-4C86-AB17-3C9C863470A3}"/>
    <cellStyle name="Comma 7 3 2 3 4 6" xfId="8576" xr:uid="{A1C936E0-8AE8-4106-8304-50EEA962A1F4}"/>
    <cellStyle name="Comma 7 3 2 3 4 6 2" xfId="23696" xr:uid="{E965D196-96C9-4802-9D49-377C45A26F18}"/>
    <cellStyle name="Comma 7 3 2 3 4 6 2 2" xfId="53936" xr:uid="{FC7BB119-12FC-40A6-A50A-E5C0E499148F}"/>
    <cellStyle name="Comma 7 3 2 3 4 6 3" xfId="38816" xr:uid="{06722AF4-63B0-4FA3-A7E3-0032C6FC5A60}"/>
    <cellStyle name="Comma 7 3 2 3 4 7" xfId="10088" xr:uid="{E9E21189-2C8E-458B-A342-ED6EC3B7073F}"/>
    <cellStyle name="Comma 7 3 2 3 4 7 2" xfId="25208" xr:uid="{AF198786-7F74-4109-9E84-87D9B6589033}"/>
    <cellStyle name="Comma 7 3 2 3 4 7 2 2" xfId="55448" xr:uid="{EB5CE759-ADB4-42BD-8356-EF70C4A5D743}"/>
    <cellStyle name="Comma 7 3 2 3 4 7 3" xfId="40328" xr:uid="{286ADB38-CB6B-4BBB-91F7-8C7D9AD0A88F}"/>
    <cellStyle name="Comma 7 3 2 3 4 8" xfId="16136" xr:uid="{4AC06AF8-DE4A-471D-83A9-9C6C4BA3F984}"/>
    <cellStyle name="Comma 7 3 2 3 4 8 2" xfId="46376" xr:uid="{E6539D5B-5538-49C3-84A2-67331F63A8FE}"/>
    <cellStyle name="Comma 7 3 2 3 4 9" xfId="31256" xr:uid="{3A36FC58-C4BD-4825-82ED-42D48A036796}"/>
    <cellStyle name="Comma 7 3 2 3 5" xfId="1772" xr:uid="{0875B966-D918-4874-B93B-9AE753012015}"/>
    <cellStyle name="Comma 7 3 2 3 5 2" xfId="10844" xr:uid="{DC481FB3-4161-4804-AE7D-1E0A9B62ADD7}"/>
    <cellStyle name="Comma 7 3 2 3 5 2 2" xfId="25964" xr:uid="{0F5C23DE-669A-40FF-96B6-41628B2694DA}"/>
    <cellStyle name="Comma 7 3 2 3 5 2 2 2" xfId="56204" xr:uid="{83FF65D7-82B2-4810-8C13-E9415E6BCA78}"/>
    <cellStyle name="Comma 7 3 2 3 5 2 3" xfId="41084" xr:uid="{9CF888A2-5AE6-4DA9-90D0-08679818A91F}"/>
    <cellStyle name="Comma 7 3 2 3 5 3" xfId="16892" xr:uid="{F74EAFB6-BD70-4AE1-9FA3-ACCE09B528D0}"/>
    <cellStyle name="Comma 7 3 2 3 5 3 2" xfId="47132" xr:uid="{AB6C3005-74D7-4EC1-9468-028C8A58DD12}"/>
    <cellStyle name="Comma 7 3 2 3 5 4" xfId="32012" xr:uid="{912C64AA-D74C-466B-B452-E105270919B1}"/>
    <cellStyle name="Comma 7 3 2 3 6" xfId="3284" xr:uid="{223A8A06-CCBF-4898-A814-96533D8119A4}"/>
    <cellStyle name="Comma 7 3 2 3 6 2" xfId="12356" xr:uid="{F0EFAA71-8113-42A1-94A9-1D0207E4E27C}"/>
    <cellStyle name="Comma 7 3 2 3 6 2 2" xfId="27476" xr:uid="{772D2671-7A80-4A13-AB9A-0FE1BEC4E28F}"/>
    <cellStyle name="Comma 7 3 2 3 6 2 2 2" xfId="57716" xr:uid="{71229834-C1D6-4A4F-99D5-1C05C483D141}"/>
    <cellStyle name="Comma 7 3 2 3 6 2 3" xfId="42596" xr:uid="{2B2ADE6B-5B80-422D-989B-087C7D78255D}"/>
    <cellStyle name="Comma 7 3 2 3 6 3" xfId="18404" xr:uid="{6A8BF65B-0C58-4956-9C06-B263D625A3DD}"/>
    <cellStyle name="Comma 7 3 2 3 6 3 2" xfId="48644" xr:uid="{B9DC0FA7-0F69-4C45-8C49-E612F0BF006C}"/>
    <cellStyle name="Comma 7 3 2 3 6 4" xfId="33524" xr:uid="{169041F5-5296-46E9-B692-C00DB9ECC9DB}"/>
    <cellStyle name="Comma 7 3 2 3 7" xfId="4796" xr:uid="{1167C5A0-FD45-4DF7-A0E1-BEDAA657D26B}"/>
    <cellStyle name="Comma 7 3 2 3 7 2" xfId="13868" xr:uid="{B14CAF48-C5A2-40E6-A821-B90F8D4B8FE8}"/>
    <cellStyle name="Comma 7 3 2 3 7 2 2" xfId="28988" xr:uid="{AA80321B-98E4-4ED6-8A1C-D2F148933BB5}"/>
    <cellStyle name="Comma 7 3 2 3 7 2 2 2" xfId="59228" xr:uid="{8D5E27D9-9232-4836-826A-60981A1A3BD3}"/>
    <cellStyle name="Comma 7 3 2 3 7 2 3" xfId="44108" xr:uid="{522693C1-E4F1-4698-A071-20C6D36D63E0}"/>
    <cellStyle name="Comma 7 3 2 3 7 3" xfId="19916" xr:uid="{84747340-1D21-41B1-A361-7F813BA54E13}"/>
    <cellStyle name="Comma 7 3 2 3 7 3 2" xfId="50156" xr:uid="{5A9AE41B-B973-482C-B52B-47FABAECBE26}"/>
    <cellStyle name="Comma 7 3 2 3 7 4" xfId="35036" xr:uid="{762692F5-CBEE-442C-999F-31ACE2D5643E}"/>
    <cellStyle name="Comma 7 3 2 3 8" xfId="6308" xr:uid="{155117D8-79C8-4B07-BF91-BF2045F44DB6}"/>
    <cellStyle name="Comma 7 3 2 3 8 2" xfId="21428" xr:uid="{AFA265B2-8BC1-48BC-8155-D2E187805711}"/>
    <cellStyle name="Comma 7 3 2 3 8 2 2" xfId="51668" xr:uid="{C957E11D-71C8-4EFF-B5EC-E5CEC10AFD30}"/>
    <cellStyle name="Comma 7 3 2 3 8 3" xfId="36548" xr:uid="{066EE9F3-83B7-4A32-8A45-716A7A22AC6F}"/>
    <cellStyle name="Comma 7 3 2 3 9" xfId="7820" xr:uid="{94F50A76-9516-4093-812E-84F3A06FD57B}"/>
    <cellStyle name="Comma 7 3 2 3 9 2" xfId="22940" xr:uid="{E4AE5657-A178-416D-BAF5-2AB8EBB2CC26}"/>
    <cellStyle name="Comma 7 3 2 3 9 2 2" xfId="53180" xr:uid="{278AE455-0B5D-4000-9301-BB0A5CFB8DE2}"/>
    <cellStyle name="Comma 7 3 2 3 9 3" xfId="38060" xr:uid="{A8933CE8-E94C-4D9F-AC9F-E1A7D2CE96B4}"/>
    <cellStyle name="Comma 7 3 2 4" xfId="344" xr:uid="{495DBA5E-056F-468A-AD59-6F7C695B867E}"/>
    <cellStyle name="Comma 7 3 2 4 10" xfId="30584" xr:uid="{6C0F13CB-0693-407F-97C5-244E54B40F0F}"/>
    <cellStyle name="Comma 7 3 2 4 2" xfId="1100" xr:uid="{988DE0C9-CCE5-414A-BB0F-F52F2E377AA1}"/>
    <cellStyle name="Comma 7 3 2 4 2 2" xfId="2612" xr:uid="{F411F240-8383-44E1-A8E6-E646B03E3949}"/>
    <cellStyle name="Comma 7 3 2 4 2 2 2" xfId="11684" xr:uid="{803294E4-AC88-40CD-BE07-72CAB9B763A8}"/>
    <cellStyle name="Comma 7 3 2 4 2 2 2 2" xfId="26804" xr:uid="{10B410BC-6423-424C-AA0E-F8AAC0BDF458}"/>
    <cellStyle name="Comma 7 3 2 4 2 2 2 2 2" xfId="57044" xr:uid="{A3BF109C-2140-433B-B1D9-7E371B6B42CA}"/>
    <cellStyle name="Comma 7 3 2 4 2 2 2 3" xfId="41924" xr:uid="{F871325B-EDB2-45F8-AB54-20D8E4FBEFB4}"/>
    <cellStyle name="Comma 7 3 2 4 2 2 3" xfId="17732" xr:uid="{770A6809-99A5-41BB-B5BB-D66CAE193AAB}"/>
    <cellStyle name="Comma 7 3 2 4 2 2 3 2" xfId="47972" xr:uid="{ECC1AC7E-0C47-4F1B-85E5-56604159811F}"/>
    <cellStyle name="Comma 7 3 2 4 2 2 4" xfId="32852" xr:uid="{0A02D1A7-AFD8-4F7A-A16B-906DC9CDA9E7}"/>
    <cellStyle name="Comma 7 3 2 4 2 3" xfId="4124" xr:uid="{2E0229E9-3E12-4EB6-A078-C37B43D7B4CA}"/>
    <cellStyle name="Comma 7 3 2 4 2 3 2" xfId="13196" xr:uid="{0F4909F9-253C-4EED-BE66-7A47DC9C8F12}"/>
    <cellStyle name="Comma 7 3 2 4 2 3 2 2" xfId="28316" xr:uid="{61DDA341-8120-4F42-BD5F-391064DF3BFB}"/>
    <cellStyle name="Comma 7 3 2 4 2 3 2 2 2" xfId="58556" xr:uid="{EF5359C0-DC55-4353-8D1F-622DF0D96D7A}"/>
    <cellStyle name="Comma 7 3 2 4 2 3 2 3" xfId="43436" xr:uid="{4D648AA1-FB64-4550-B6A7-4E10E7604038}"/>
    <cellStyle name="Comma 7 3 2 4 2 3 3" xfId="19244" xr:uid="{3B3D775E-16F4-46BE-8B6C-49A3FC07EE9E}"/>
    <cellStyle name="Comma 7 3 2 4 2 3 3 2" xfId="49484" xr:uid="{2ADF3130-C9EA-45DD-8855-88CB032B1FE3}"/>
    <cellStyle name="Comma 7 3 2 4 2 3 4" xfId="34364" xr:uid="{F046704A-82DF-4BE3-848C-2DA57529A0A0}"/>
    <cellStyle name="Comma 7 3 2 4 2 4" xfId="5636" xr:uid="{1E93E04A-6C2F-4B5A-9168-F6EDCB8D2E1C}"/>
    <cellStyle name="Comma 7 3 2 4 2 4 2" xfId="14708" xr:uid="{69B5A057-44ED-4419-9FEC-20D3B5521F27}"/>
    <cellStyle name="Comma 7 3 2 4 2 4 2 2" xfId="29828" xr:uid="{6650FB8C-96B2-4721-8041-C1024EAB9B93}"/>
    <cellStyle name="Comma 7 3 2 4 2 4 2 2 2" xfId="60068" xr:uid="{9A23D1B9-4677-4E87-829B-1ADBF2809FC4}"/>
    <cellStyle name="Comma 7 3 2 4 2 4 2 3" xfId="44948" xr:uid="{2381E866-A69E-4D4A-A0BA-AD1778C12326}"/>
    <cellStyle name="Comma 7 3 2 4 2 4 3" xfId="20756" xr:uid="{8E08A215-FD3A-4260-B11F-5BA7EC00FE3C}"/>
    <cellStyle name="Comma 7 3 2 4 2 4 3 2" xfId="50996" xr:uid="{D23F89CA-0E65-45C1-8DE1-E2FA1E2185BE}"/>
    <cellStyle name="Comma 7 3 2 4 2 4 4" xfId="35876" xr:uid="{3BB22A4C-CA16-4013-8138-B1DADE7FFBEC}"/>
    <cellStyle name="Comma 7 3 2 4 2 5" xfId="7148" xr:uid="{A71AC4F6-34D4-4305-B69D-3AD1C6217A40}"/>
    <cellStyle name="Comma 7 3 2 4 2 5 2" xfId="22268" xr:uid="{657A05E4-8DEA-448A-8065-B2C5CFD60F03}"/>
    <cellStyle name="Comma 7 3 2 4 2 5 2 2" xfId="52508" xr:uid="{8753D4BB-A524-4D94-9B04-562705319920}"/>
    <cellStyle name="Comma 7 3 2 4 2 5 3" xfId="37388" xr:uid="{37A576AF-C030-4BB7-99FB-3D239297BB90}"/>
    <cellStyle name="Comma 7 3 2 4 2 6" xfId="8660" xr:uid="{68E2A8E6-C272-484D-9A18-CB105875EC3C}"/>
    <cellStyle name="Comma 7 3 2 4 2 6 2" xfId="23780" xr:uid="{B0C5C9C9-17AA-4B23-B947-3A44C0D8770A}"/>
    <cellStyle name="Comma 7 3 2 4 2 6 2 2" xfId="54020" xr:uid="{FD4389F6-66E6-465A-943F-E11E711C5BF5}"/>
    <cellStyle name="Comma 7 3 2 4 2 6 3" xfId="38900" xr:uid="{E61BA7FB-ADE1-440F-9B1F-B55CA3C0E7E3}"/>
    <cellStyle name="Comma 7 3 2 4 2 7" xfId="10172" xr:uid="{97C8A094-FEDE-42EF-8039-45D4EC0BA14D}"/>
    <cellStyle name="Comma 7 3 2 4 2 7 2" xfId="25292" xr:uid="{DC7134F2-AFE9-49F1-968D-070184234A58}"/>
    <cellStyle name="Comma 7 3 2 4 2 7 2 2" xfId="55532" xr:uid="{154B9FF3-9042-481E-878B-8E2DB33FCF6C}"/>
    <cellStyle name="Comma 7 3 2 4 2 7 3" xfId="40412" xr:uid="{F17145F5-BFEA-4969-9901-54ECAF08DF64}"/>
    <cellStyle name="Comma 7 3 2 4 2 8" xfId="16220" xr:uid="{42C08816-59AB-4A1E-A9D6-A4ECFD021FB3}"/>
    <cellStyle name="Comma 7 3 2 4 2 8 2" xfId="46460" xr:uid="{AEBCE385-9AB2-408B-ADFA-986D84F486DC}"/>
    <cellStyle name="Comma 7 3 2 4 2 9" xfId="31340" xr:uid="{AEA89A0E-89AA-4A35-BCBB-5B78ABC136E4}"/>
    <cellStyle name="Comma 7 3 2 4 3" xfId="1856" xr:uid="{A4FF5F81-034C-4F14-8154-838F041B3E97}"/>
    <cellStyle name="Comma 7 3 2 4 3 2" xfId="10928" xr:uid="{E5E4216B-D21B-4F0B-8755-498ECB69BC8B}"/>
    <cellStyle name="Comma 7 3 2 4 3 2 2" xfId="26048" xr:uid="{B3C82388-AF91-4122-B8F8-805F794CCD88}"/>
    <cellStyle name="Comma 7 3 2 4 3 2 2 2" xfId="56288" xr:uid="{5BE81FFA-E6A1-4DC4-A28B-8DC16D84CEB8}"/>
    <cellStyle name="Comma 7 3 2 4 3 2 3" xfId="41168" xr:uid="{FAFF2219-49C4-466E-99A9-958BC1774AA5}"/>
    <cellStyle name="Comma 7 3 2 4 3 3" xfId="16976" xr:uid="{6968914A-3192-47F0-ADFC-3C8B58691AC3}"/>
    <cellStyle name="Comma 7 3 2 4 3 3 2" xfId="47216" xr:uid="{00A9C604-6998-44FC-A359-4C189C9BB31A}"/>
    <cellStyle name="Comma 7 3 2 4 3 4" xfId="32096" xr:uid="{248D601F-A85E-43D6-8D3A-04968881FECF}"/>
    <cellStyle name="Comma 7 3 2 4 4" xfId="3368" xr:uid="{A50FF5AD-9B6C-4562-B9CE-4AAC630C1FEA}"/>
    <cellStyle name="Comma 7 3 2 4 4 2" xfId="12440" xr:uid="{90E3915F-3E6C-4441-B403-70ED0500709C}"/>
    <cellStyle name="Comma 7 3 2 4 4 2 2" xfId="27560" xr:uid="{8A55171B-1BD8-4B34-A4B4-2E00F760246B}"/>
    <cellStyle name="Comma 7 3 2 4 4 2 2 2" xfId="57800" xr:uid="{CFA33F26-EA92-4588-ADE0-9D47D01E3CD8}"/>
    <cellStyle name="Comma 7 3 2 4 4 2 3" xfId="42680" xr:uid="{706F824F-B951-45A3-AA86-4C9FE74FAFFA}"/>
    <cellStyle name="Comma 7 3 2 4 4 3" xfId="18488" xr:uid="{45079AC2-29BF-47C0-BE1E-34E16EB0BF04}"/>
    <cellStyle name="Comma 7 3 2 4 4 3 2" xfId="48728" xr:uid="{A502BBBB-3C37-42CD-B4D7-21E881DFFD22}"/>
    <cellStyle name="Comma 7 3 2 4 4 4" xfId="33608" xr:uid="{A889EE56-F133-41F5-B221-1D72BE234B4D}"/>
    <cellStyle name="Comma 7 3 2 4 5" xfId="4880" xr:uid="{C45D099E-F2FA-4547-89A2-7D6234988717}"/>
    <cellStyle name="Comma 7 3 2 4 5 2" xfId="13952" xr:uid="{71F6A5BF-BA97-43B9-8D94-31ED16963E75}"/>
    <cellStyle name="Comma 7 3 2 4 5 2 2" xfId="29072" xr:uid="{772DAABA-8E83-4D5D-A1B6-B5A40CC7E9EE}"/>
    <cellStyle name="Comma 7 3 2 4 5 2 2 2" xfId="59312" xr:uid="{631FCB88-8CA2-4715-88E3-2EF26000DFFF}"/>
    <cellStyle name="Comma 7 3 2 4 5 2 3" xfId="44192" xr:uid="{E19F88A9-04FB-4E73-A1AF-5376C5F7191A}"/>
    <cellStyle name="Comma 7 3 2 4 5 3" xfId="20000" xr:uid="{54A31068-D67A-49FC-B8BC-6151438AA4EE}"/>
    <cellStyle name="Comma 7 3 2 4 5 3 2" xfId="50240" xr:uid="{7248A4DC-C130-4519-80D3-3E6D2BFB4A78}"/>
    <cellStyle name="Comma 7 3 2 4 5 4" xfId="35120" xr:uid="{E9F4BDDB-02FF-4976-9ACF-1628FEAFD91F}"/>
    <cellStyle name="Comma 7 3 2 4 6" xfId="6392" xr:uid="{0096B1F9-BF02-420C-8046-B8A9F8E93D35}"/>
    <cellStyle name="Comma 7 3 2 4 6 2" xfId="21512" xr:uid="{2EAA9C04-BC0C-4435-B749-8241E259D26B}"/>
    <cellStyle name="Comma 7 3 2 4 6 2 2" xfId="51752" xr:uid="{50D0F014-20BF-4318-B822-73430D7B7A52}"/>
    <cellStyle name="Comma 7 3 2 4 6 3" xfId="36632" xr:uid="{08751DDC-C585-4880-81D0-AE955840B376}"/>
    <cellStyle name="Comma 7 3 2 4 7" xfId="7904" xr:uid="{6D263089-0FE5-4C69-A4E3-31AC22F541F4}"/>
    <cellStyle name="Comma 7 3 2 4 7 2" xfId="23024" xr:uid="{8CB5C367-3DF1-477F-AD49-DC27F8DB9579}"/>
    <cellStyle name="Comma 7 3 2 4 7 2 2" xfId="53264" xr:uid="{70D0E04B-D5E8-4670-8B5D-B0178E78085E}"/>
    <cellStyle name="Comma 7 3 2 4 7 3" xfId="38144" xr:uid="{3D889C6A-7A37-4929-AE97-D615735C0DD1}"/>
    <cellStyle name="Comma 7 3 2 4 8" xfId="9416" xr:uid="{D5598579-9056-4EB8-99D9-432838A7835B}"/>
    <cellStyle name="Comma 7 3 2 4 8 2" xfId="24536" xr:uid="{345E0D81-029F-4863-B222-EA5DAA685985}"/>
    <cellStyle name="Comma 7 3 2 4 8 2 2" xfId="54776" xr:uid="{C9C9516F-B1ED-47D2-ACF3-127AD70CBA53}"/>
    <cellStyle name="Comma 7 3 2 4 8 3" xfId="39656" xr:uid="{0A06767E-16C9-4169-809B-DE4AB914CD1C}"/>
    <cellStyle name="Comma 7 3 2 4 9" xfId="15464" xr:uid="{B60266CA-5B51-41A4-8C72-63896D6A4ADB}"/>
    <cellStyle name="Comma 7 3 2 4 9 2" xfId="45704" xr:uid="{95D30687-EB9C-40F8-9121-71BD89CC1D11}"/>
    <cellStyle name="Comma 7 3 2 5" xfId="596" xr:uid="{06759F84-644C-4D8F-B5B6-4939CE71A3FD}"/>
    <cellStyle name="Comma 7 3 2 5 10" xfId="30836" xr:uid="{D8E81D54-6E59-4D1B-8B49-36498B0F104B}"/>
    <cellStyle name="Comma 7 3 2 5 2" xfId="1352" xr:uid="{86F2ECEC-8076-4C4D-AB95-3719237F5CEF}"/>
    <cellStyle name="Comma 7 3 2 5 2 2" xfId="2864" xr:uid="{7C83F577-4DFE-40D3-928F-C599840E616E}"/>
    <cellStyle name="Comma 7 3 2 5 2 2 2" xfId="11936" xr:uid="{246B2DC4-225B-4CC6-BB33-BEB7E955D754}"/>
    <cellStyle name="Comma 7 3 2 5 2 2 2 2" xfId="27056" xr:uid="{CE274D0A-0089-4D6E-99FF-4D5EC10D3780}"/>
    <cellStyle name="Comma 7 3 2 5 2 2 2 2 2" xfId="57296" xr:uid="{4884FD35-92EC-482C-ADB8-C2A6CC1535B2}"/>
    <cellStyle name="Comma 7 3 2 5 2 2 2 3" xfId="42176" xr:uid="{41733E28-08BD-487B-9B40-829DF103F87B}"/>
    <cellStyle name="Comma 7 3 2 5 2 2 3" xfId="17984" xr:uid="{82CCE4AC-10F9-445A-90FB-CAF9090B64AC}"/>
    <cellStyle name="Comma 7 3 2 5 2 2 3 2" xfId="48224" xr:uid="{068B3DF1-F024-4439-BB60-1FF4FB348AA8}"/>
    <cellStyle name="Comma 7 3 2 5 2 2 4" xfId="33104" xr:uid="{CC923700-820A-4762-BE9B-A668F0D1B085}"/>
    <cellStyle name="Comma 7 3 2 5 2 3" xfId="4376" xr:uid="{47060884-2752-46F6-9643-2D317D4357C3}"/>
    <cellStyle name="Comma 7 3 2 5 2 3 2" xfId="13448" xr:uid="{E6361D85-3A84-4354-9E61-36B680F1FF10}"/>
    <cellStyle name="Comma 7 3 2 5 2 3 2 2" xfId="28568" xr:uid="{C663E097-7536-4610-9758-954BFEF32565}"/>
    <cellStyle name="Comma 7 3 2 5 2 3 2 2 2" xfId="58808" xr:uid="{A9C20FD0-9C5E-4E86-9A1C-D058CC67D2FD}"/>
    <cellStyle name="Comma 7 3 2 5 2 3 2 3" xfId="43688" xr:uid="{3ACE33CB-5C77-41C1-8121-65106C28B044}"/>
    <cellStyle name="Comma 7 3 2 5 2 3 3" xfId="19496" xr:uid="{D8F7E662-70B5-4374-BE65-9CCFB9B0AD67}"/>
    <cellStyle name="Comma 7 3 2 5 2 3 3 2" xfId="49736" xr:uid="{D634FC58-8800-4B53-97AA-E35133203C16}"/>
    <cellStyle name="Comma 7 3 2 5 2 3 4" xfId="34616" xr:uid="{4BA7087C-2479-49DB-AEBC-2BB671E47123}"/>
    <cellStyle name="Comma 7 3 2 5 2 4" xfId="5888" xr:uid="{1EBC2CA2-C006-4F58-8634-A483D92C780F}"/>
    <cellStyle name="Comma 7 3 2 5 2 4 2" xfId="14960" xr:uid="{0D2BC7B2-910C-44AA-A2D1-F44456671FEE}"/>
    <cellStyle name="Comma 7 3 2 5 2 4 2 2" xfId="30080" xr:uid="{2FE32FD4-41A4-4D51-B1D8-47F9CD670AB7}"/>
    <cellStyle name="Comma 7 3 2 5 2 4 2 2 2" xfId="60320" xr:uid="{E93BBCDE-9D39-4AEB-8FFD-A63A3437B1CF}"/>
    <cellStyle name="Comma 7 3 2 5 2 4 2 3" xfId="45200" xr:uid="{D8380CD0-132B-4191-9C11-E0443899E958}"/>
    <cellStyle name="Comma 7 3 2 5 2 4 3" xfId="21008" xr:uid="{FBB008F0-064A-4243-833A-4C9C4191AAC6}"/>
    <cellStyle name="Comma 7 3 2 5 2 4 3 2" xfId="51248" xr:uid="{36D0FB14-E249-4A44-BA76-940F5CA64695}"/>
    <cellStyle name="Comma 7 3 2 5 2 4 4" xfId="36128" xr:uid="{3B757653-94E9-4CBC-AE2E-81EC20A0C102}"/>
    <cellStyle name="Comma 7 3 2 5 2 5" xfId="7400" xr:uid="{E0F8105B-F0D4-4707-80A6-CFA2FB7BFE75}"/>
    <cellStyle name="Comma 7 3 2 5 2 5 2" xfId="22520" xr:uid="{A0525290-3DF4-4029-BD54-84B53709B2C5}"/>
    <cellStyle name="Comma 7 3 2 5 2 5 2 2" xfId="52760" xr:uid="{DFC49CEB-FE52-4177-AF99-EBE7DC140974}"/>
    <cellStyle name="Comma 7 3 2 5 2 5 3" xfId="37640" xr:uid="{6F41F7E3-1E1E-41DD-A92D-25C0496C8F6E}"/>
    <cellStyle name="Comma 7 3 2 5 2 6" xfId="8912" xr:uid="{03266C45-B318-4CDB-BEAD-FBF91DCE8B73}"/>
    <cellStyle name="Comma 7 3 2 5 2 6 2" xfId="24032" xr:uid="{A892BCE7-9577-4E96-98AD-EAC0B82C10DE}"/>
    <cellStyle name="Comma 7 3 2 5 2 6 2 2" xfId="54272" xr:uid="{DB9FA680-34C2-45A9-802F-6EE8F0DE4918}"/>
    <cellStyle name="Comma 7 3 2 5 2 6 3" xfId="39152" xr:uid="{18CA860F-AC6E-47DC-A668-CDEEFEE37113}"/>
    <cellStyle name="Comma 7 3 2 5 2 7" xfId="10424" xr:uid="{A03A36DC-EE35-4BC7-B765-969B53E64842}"/>
    <cellStyle name="Comma 7 3 2 5 2 7 2" xfId="25544" xr:uid="{FECD97C2-2342-4284-B9A2-6220FD5A5778}"/>
    <cellStyle name="Comma 7 3 2 5 2 7 2 2" xfId="55784" xr:uid="{DCD36743-9D6E-47F5-A512-752CC021A05F}"/>
    <cellStyle name="Comma 7 3 2 5 2 7 3" xfId="40664" xr:uid="{CE6E255E-BFDE-4692-8487-6477D7EDE851}"/>
    <cellStyle name="Comma 7 3 2 5 2 8" xfId="16472" xr:uid="{886D5BD0-7CDF-42B9-83FD-D7825AF7F034}"/>
    <cellStyle name="Comma 7 3 2 5 2 8 2" xfId="46712" xr:uid="{946E6C6E-A663-4282-BE6C-B5E1A623FC1A}"/>
    <cellStyle name="Comma 7 3 2 5 2 9" xfId="31592" xr:uid="{A637B777-8922-4600-810F-40AAC28170EB}"/>
    <cellStyle name="Comma 7 3 2 5 3" xfId="2108" xr:uid="{3AD6481C-D5E9-4BB5-B1CA-225465EDC0B0}"/>
    <cellStyle name="Comma 7 3 2 5 3 2" xfId="11180" xr:uid="{AAE9D6AB-A8F8-4C60-9BBE-ECA3FE4A0159}"/>
    <cellStyle name="Comma 7 3 2 5 3 2 2" xfId="26300" xr:uid="{7E14D767-6B47-4E49-A2E7-1FF67B8ED539}"/>
    <cellStyle name="Comma 7 3 2 5 3 2 2 2" xfId="56540" xr:uid="{7D289200-226A-4475-BA6A-438D1175EE39}"/>
    <cellStyle name="Comma 7 3 2 5 3 2 3" xfId="41420" xr:uid="{E9C784F3-991E-4354-AC4E-BF843920CC77}"/>
    <cellStyle name="Comma 7 3 2 5 3 3" xfId="17228" xr:uid="{BA8E4B37-B6D0-4BDA-A184-691E8E21CA05}"/>
    <cellStyle name="Comma 7 3 2 5 3 3 2" xfId="47468" xr:uid="{600E9669-D444-4D2F-AF5A-6AFEBF87CDB3}"/>
    <cellStyle name="Comma 7 3 2 5 3 4" xfId="32348" xr:uid="{094AE0D8-3FD5-4C24-832A-D4DF292DE687}"/>
    <cellStyle name="Comma 7 3 2 5 4" xfId="3620" xr:uid="{B35B8564-599F-4732-87E9-2237F12BAB73}"/>
    <cellStyle name="Comma 7 3 2 5 4 2" xfId="12692" xr:uid="{BDF424FB-5A9E-4874-AF09-EED8C4A51B55}"/>
    <cellStyle name="Comma 7 3 2 5 4 2 2" xfId="27812" xr:uid="{D2F490E3-5E46-4919-97CC-1A5DA1758C83}"/>
    <cellStyle name="Comma 7 3 2 5 4 2 2 2" xfId="58052" xr:uid="{7354B0BA-76D1-4E64-A213-FE3EDDAFCA15}"/>
    <cellStyle name="Comma 7 3 2 5 4 2 3" xfId="42932" xr:uid="{6CD5A2C1-40C8-4AB0-A863-89A96C134D95}"/>
    <cellStyle name="Comma 7 3 2 5 4 3" xfId="18740" xr:uid="{23BD059A-7CF3-4DEB-8360-2CB4720151D1}"/>
    <cellStyle name="Comma 7 3 2 5 4 3 2" xfId="48980" xr:uid="{34618BE9-722C-42B4-95FC-0BF9A3DF4B33}"/>
    <cellStyle name="Comma 7 3 2 5 4 4" xfId="33860" xr:uid="{E5118902-80AE-405A-8501-22A2C9B093DF}"/>
    <cellStyle name="Comma 7 3 2 5 5" xfId="5132" xr:uid="{0E2140A0-5042-4DB3-A451-9F7EEEBE87B2}"/>
    <cellStyle name="Comma 7 3 2 5 5 2" xfId="14204" xr:uid="{C7900AFF-A3DC-45C2-90B0-25D37DC7F00E}"/>
    <cellStyle name="Comma 7 3 2 5 5 2 2" xfId="29324" xr:uid="{A1A2C52F-5A74-4039-95E2-1D283931015C}"/>
    <cellStyle name="Comma 7 3 2 5 5 2 2 2" xfId="59564" xr:uid="{0F99DF83-E1CA-451F-9ACC-FE536099F3D3}"/>
    <cellStyle name="Comma 7 3 2 5 5 2 3" xfId="44444" xr:uid="{E77AB038-F53E-46DD-9FE9-8DFA93CEA30B}"/>
    <cellStyle name="Comma 7 3 2 5 5 3" xfId="20252" xr:uid="{F7081D68-BABA-4492-B9D7-889B596BC71D}"/>
    <cellStyle name="Comma 7 3 2 5 5 3 2" xfId="50492" xr:uid="{57C72F71-19C2-4C4C-B3D6-A0F9AACA607D}"/>
    <cellStyle name="Comma 7 3 2 5 5 4" xfId="35372" xr:uid="{F30A1916-7D81-48C8-AF1F-5F34FE5717D4}"/>
    <cellStyle name="Comma 7 3 2 5 6" xfId="6644" xr:uid="{C2102924-52E6-493B-B221-2015AF50A94F}"/>
    <cellStyle name="Comma 7 3 2 5 6 2" xfId="21764" xr:uid="{F4EF9B01-59A4-4FD0-AB1E-9851CB07870E}"/>
    <cellStyle name="Comma 7 3 2 5 6 2 2" xfId="52004" xr:uid="{4716DC6A-9F9A-41D6-B46B-EA39EF0530FA}"/>
    <cellStyle name="Comma 7 3 2 5 6 3" xfId="36884" xr:uid="{7DD9E789-9582-43E7-B1A5-C049AA0F7F67}"/>
    <cellStyle name="Comma 7 3 2 5 7" xfId="8156" xr:uid="{6CF666BA-E14B-4A00-ADE2-D6B9A4B28096}"/>
    <cellStyle name="Comma 7 3 2 5 7 2" xfId="23276" xr:uid="{8AB89874-1B9E-4916-8E25-F60331A616F0}"/>
    <cellStyle name="Comma 7 3 2 5 7 2 2" xfId="53516" xr:uid="{55352B7C-B48A-49C8-959B-DF531285C3BA}"/>
    <cellStyle name="Comma 7 3 2 5 7 3" xfId="38396" xr:uid="{40997202-AF07-4600-9703-8201340D516B}"/>
    <cellStyle name="Comma 7 3 2 5 8" xfId="9668" xr:uid="{34B1C0A8-84D1-4A83-8DD9-C4CCD1A8F594}"/>
    <cellStyle name="Comma 7 3 2 5 8 2" xfId="24788" xr:uid="{AEA94718-2BC5-41FD-9E8D-EAC4AD690C49}"/>
    <cellStyle name="Comma 7 3 2 5 8 2 2" xfId="55028" xr:uid="{C33E2D5A-C881-4510-AC9E-59EFF9D4328E}"/>
    <cellStyle name="Comma 7 3 2 5 8 3" xfId="39908" xr:uid="{F0CF5C4F-C5D6-467B-A35B-7C9567044CC0}"/>
    <cellStyle name="Comma 7 3 2 5 9" xfId="15716" xr:uid="{41D9FE07-A028-4045-9A38-6DA773FFA7CE}"/>
    <cellStyle name="Comma 7 3 2 5 9 2" xfId="45956" xr:uid="{E93BFB57-FC8A-4F0F-81D9-1F839AEAC2B6}"/>
    <cellStyle name="Comma 7 3 2 6" xfId="848" xr:uid="{F185AD3B-BCCB-4EF9-96A6-B01F73E5CF5A}"/>
    <cellStyle name="Comma 7 3 2 6 2" xfId="2360" xr:uid="{CCEA9C75-53B6-49A4-B9EF-105C048494BE}"/>
    <cellStyle name="Comma 7 3 2 6 2 2" xfId="11432" xr:uid="{CDB87854-86B0-488B-86EF-8FDAC78F51F0}"/>
    <cellStyle name="Comma 7 3 2 6 2 2 2" xfId="26552" xr:uid="{2CAACCAE-5DBC-4D85-8D26-D0A336DADB25}"/>
    <cellStyle name="Comma 7 3 2 6 2 2 2 2" xfId="56792" xr:uid="{F27707A7-4215-46B6-8DB1-EAB30F2C9C4D}"/>
    <cellStyle name="Comma 7 3 2 6 2 2 3" xfId="41672" xr:uid="{F2788EA4-DD0C-4D12-A5F1-8F9FD431C67D}"/>
    <cellStyle name="Comma 7 3 2 6 2 3" xfId="17480" xr:uid="{7075659E-7307-4C86-B9FA-631D95BD2EB0}"/>
    <cellStyle name="Comma 7 3 2 6 2 3 2" xfId="47720" xr:uid="{104625C5-698F-470A-A824-836826B97BCB}"/>
    <cellStyle name="Comma 7 3 2 6 2 4" xfId="32600" xr:uid="{6F5EB550-45F9-49B7-B625-B297B48B7D2D}"/>
    <cellStyle name="Comma 7 3 2 6 3" xfId="3872" xr:uid="{F0BFE7F0-1B39-4FA1-BBD8-C8C2F7FC4E5C}"/>
    <cellStyle name="Comma 7 3 2 6 3 2" xfId="12944" xr:uid="{ADA00ECE-AF40-4B7F-A161-FB0C10515E0A}"/>
    <cellStyle name="Comma 7 3 2 6 3 2 2" xfId="28064" xr:uid="{E2D686A3-DF75-4E4F-8DED-CF68C10C081A}"/>
    <cellStyle name="Comma 7 3 2 6 3 2 2 2" xfId="58304" xr:uid="{12F2A8F9-8250-4C31-83F7-B78EC896720C}"/>
    <cellStyle name="Comma 7 3 2 6 3 2 3" xfId="43184" xr:uid="{1A8A1276-4222-48A2-9E3D-ADC74D067558}"/>
    <cellStyle name="Comma 7 3 2 6 3 3" xfId="18992" xr:uid="{5692F777-5FEF-4B39-8C30-C5FBD350B7B3}"/>
    <cellStyle name="Comma 7 3 2 6 3 3 2" xfId="49232" xr:uid="{30A0DD06-0409-4D7B-BCF6-86CC6BBC5883}"/>
    <cellStyle name="Comma 7 3 2 6 3 4" xfId="34112" xr:uid="{84F43679-CA38-4FA0-B9BE-6DABD4EC1C8D}"/>
    <cellStyle name="Comma 7 3 2 6 4" xfId="5384" xr:uid="{C8B98928-D790-4BDE-808C-D26E5467AD98}"/>
    <cellStyle name="Comma 7 3 2 6 4 2" xfId="14456" xr:uid="{C2413DCB-C3EE-45B7-9D21-20EAEE6A12F4}"/>
    <cellStyle name="Comma 7 3 2 6 4 2 2" xfId="29576" xr:uid="{315C7E0C-6E69-4671-9A02-3357F3CA8817}"/>
    <cellStyle name="Comma 7 3 2 6 4 2 2 2" xfId="59816" xr:uid="{4FCF7E26-599C-487E-BB98-49A61B68EC62}"/>
    <cellStyle name="Comma 7 3 2 6 4 2 3" xfId="44696" xr:uid="{BD24CDB1-0327-49D2-9EF2-257715239BB7}"/>
    <cellStyle name="Comma 7 3 2 6 4 3" xfId="20504" xr:uid="{7A571B75-5B2F-4B08-9147-6CC209195172}"/>
    <cellStyle name="Comma 7 3 2 6 4 3 2" xfId="50744" xr:uid="{3249483E-FD76-4B90-9ECA-9DCF6E3A0EAF}"/>
    <cellStyle name="Comma 7 3 2 6 4 4" xfId="35624" xr:uid="{033DFCB1-379C-415C-8839-B367E3F852FA}"/>
    <cellStyle name="Comma 7 3 2 6 5" xfId="6896" xr:uid="{E73C4763-55B4-405B-9FB8-D64C0F265C89}"/>
    <cellStyle name="Comma 7 3 2 6 5 2" xfId="22016" xr:uid="{EB137A52-78B5-4757-B865-07CAFC326D10}"/>
    <cellStyle name="Comma 7 3 2 6 5 2 2" xfId="52256" xr:uid="{02FE4D01-E244-4421-B573-8ADD7347442A}"/>
    <cellStyle name="Comma 7 3 2 6 5 3" xfId="37136" xr:uid="{58E843D1-6D54-4598-B91B-7B16488097F6}"/>
    <cellStyle name="Comma 7 3 2 6 6" xfId="8408" xr:uid="{29289922-2D00-4822-883C-73925817E354}"/>
    <cellStyle name="Comma 7 3 2 6 6 2" xfId="23528" xr:uid="{17B63EF8-D069-4530-8503-E0AA87B93353}"/>
    <cellStyle name="Comma 7 3 2 6 6 2 2" xfId="53768" xr:uid="{566493EB-8508-4225-8446-5309AE9C259E}"/>
    <cellStyle name="Comma 7 3 2 6 6 3" xfId="38648" xr:uid="{2B32D048-3577-4DF7-9A1F-B573FE70F8F9}"/>
    <cellStyle name="Comma 7 3 2 6 7" xfId="9920" xr:uid="{AC719717-A6C0-47A2-899E-CA5D762856DA}"/>
    <cellStyle name="Comma 7 3 2 6 7 2" xfId="25040" xr:uid="{F88F7342-9340-4787-9F57-15B5D23FE854}"/>
    <cellStyle name="Comma 7 3 2 6 7 2 2" xfId="55280" xr:uid="{196006C7-7821-4A6E-A309-03CD2FFCEF37}"/>
    <cellStyle name="Comma 7 3 2 6 7 3" xfId="40160" xr:uid="{501FF063-0B5E-4951-ABB5-D8766BF4FCEF}"/>
    <cellStyle name="Comma 7 3 2 6 8" xfId="15968" xr:uid="{A8EA97B8-469A-496D-8B90-3D7A70A4A7F0}"/>
    <cellStyle name="Comma 7 3 2 6 8 2" xfId="46208" xr:uid="{B34930E5-5E3A-4F44-8ED9-C03F271934EF}"/>
    <cellStyle name="Comma 7 3 2 6 9" xfId="31088" xr:uid="{7D03BE62-6BE3-4886-A34A-80F1C4FDFC85}"/>
    <cellStyle name="Comma 7 3 2 7" xfId="1604" xr:uid="{FB764C4D-1CA6-433D-8F32-73EF11B17E59}"/>
    <cellStyle name="Comma 7 3 2 7 2" xfId="10676" xr:uid="{BFFA3C3D-748D-4A38-A5CD-F142BCA867C1}"/>
    <cellStyle name="Comma 7 3 2 7 2 2" xfId="25796" xr:uid="{8888D39C-17C8-4923-91EE-2D1C3C4F863F}"/>
    <cellStyle name="Comma 7 3 2 7 2 2 2" xfId="56036" xr:uid="{25D73851-0617-4820-80BC-FA47D5BCF4EB}"/>
    <cellStyle name="Comma 7 3 2 7 2 3" xfId="40916" xr:uid="{D6E3C1B0-CF91-484F-B023-6E806B8CD58A}"/>
    <cellStyle name="Comma 7 3 2 7 3" xfId="16724" xr:uid="{F13535ED-2459-48FC-864A-676FC46514F4}"/>
    <cellStyle name="Comma 7 3 2 7 3 2" xfId="46964" xr:uid="{26F2BF96-F4A9-456B-BA41-E534C47BA57C}"/>
    <cellStyle name="Comma 7 3 2 7 4" xfId="31844" xr:uid="{58EAF435-AA1C-40DB-AEAC-CFF1C63D7AF7}"/>
    <cellStyle name="Comma 7 3 2 8" xfId="3116" xr:uid="{F7901B54-D3F1-44F4-97B2-D9900545FBE2}"/>
    <cellStyle name="Comma 7 3 2 8 2" xfId="12188" xr:uid="{4C74DB20-1DBF-47FE-84F2-1641CC7BD4D4}"/>
    <cellStyle name="Comma 7 3 2 8 2 2" xfId="27308" xr:uid="{3341BEDC-41A3-46EB-BBEF-AB180C3E20ED}"/>
    <cellStyle name="Comma 7 3 2 8 2 2 2" xfId="57548" xr:uid="{15B57CAF-4FB1-4D29-9914-D7E2771EEEF0}"/>
    <cellStyle name="Comma 7 3 2 8 2 3" xfId="42428" xr:uid="{99581CE0-A368-4B63-ABA6-4A5798ECEEED}"/>
    <cellStyle name="Comma 7 3 2 8 3" xfId="18236" xr:uid="{1884FBC0-5657-40B5-A5B3-A2086B969600}"/>
    <cellStyle name="Comma 7 3 2 8 3 2" xfId="48476" xr:uid="{46F69AD0-8585-4D36-B83E-86C4BF72D068}"/>
    <cellStyle name="Comma 7 3 2 8 4" xfId="33356" xr:uid="{1F7C383C-CD4F-4862-8D7A-EA4BF85A0655}"/>
    <cellStyle name="Comma 7 3 2 9" xfId="4628" xr:uid="{50D1BF26-4FE7-4C9C-BC84-6B80857AD361}"/>
    <cellStyle name="Comma 7 3 2 9 2" xfId="13700" xr:uid="{F50DF50D-A66E-4708-B99C-D9AC4F33FFCA}"/>
    <cellStyle name="Comma 7 3 2 9 2 2" xfId="28820" xr:uid="{8E1A42D2-2716-4400-9854-DEE37F70EB9A}"/>
    <cellStyle name="Comma 7 3 2 9 2 2 2" xfId="59060" xr:uid="{1687F4A6-C3A8-45E4-8F7C-8F0144C1A75D}"/>
    <cellStyle name="Comma 7 3 2 9 2 3" xfId="43940" xr:uid="{7A70B62D-9446-4B71-A4D7-8F97A2B39C3C}"/>
    <cellStyle name="Comma 7 3 2 9 3" xfId="19748" xr:uid="{8B9E759E-5883-4E8B-B164-514BC93ECA33}"/>
    <cellStyle name="Comma 7 3 2 9 3 2" xfId="49988" xr:uid="{F24D0F96-242D-4E68-ADF1-48AA604EE58A}"/>
    <cellStyle name="Comma 7 3 2 9 4" xfId="34868" xr:uid="{190296B3-BF83-476A-8514-054D0E9598EE}"/>
    <cellStyle name="Comma 7 3 3" xfId="134" xr:uid="{53C6806B-32BF-4736-84AC-D3C15C63F531}"/>
    <cellStyle name="Comma 7 3 3 10" xfId="9206" xr:uid="{185D18E9-611A-4F16-9449-65B0D84E1053}"/>
    <cellStyle name="Comma 7 3 3 10 2" xfId="24326" xr:uid="{361C2938-56B5-4E00-81EC-91DDA091A138}"/>
    <cellStyle name="Comma 7 3 3 10 2 2" xfId="54566" xr:uid="{984E2344-11C8-419E-8F95-0F1FA760AB8F}"/>
    <cellStyle name="Comma 7 3 3 10 3" xfId="39446" xr:uid="{848549B6-5B3B-4AB3-975F-AD5A2D6E93B9}"/>
    <cellStyle name="Comma 7 3 3 11" xfId="15254" xr:uid="{35B6CBD9-1AD7-4031-81CD-085FEC2BCCB2}"/>
    <cellStyle name="Comma 7 3 3 11 2" xfId="45494" xr:uid="{FE9018DF-C830-4B0D-B320-9A07033D982C}"/>
    <cellStyle name="Comma 7 3 3 12" xfId="30374" xr:uid="{B46B9AEA-1FBD-4ED9-B59C-BA200AB6C99B}"/>
    <cellStyle name="Comma 7 3 3 2" xfId="386" xr:uid="{F9AB5BE8-53DF-4625-A599-7ADC51FBDBC0}"/>
    <cellStyle name="Comma 7 3 3 2 10" xfId="30626" xr:uid="{FDC07B0E-27E9-493B-BB91-A825D6ED308F}"/>
    <cellStyle name="Comma 7 3 3 2 2" xfId="1142" xr:uid="{D84E33DA-D970-4A03-BA51-0E2AE571DAF9}"/>
    <cellStyle name="Comma 7 3 3 2 2 2" xfId="2654" xr:uid="{47B5CF14-799B-4261-B86B-533ECC21BB9B}"/>
    <cellStyle name="Comma 7 3 3 2 2 2 2" xfId="11726" xr:uid="{A45DD788-B0EC-4579-996C-FB7B002D4614}"/>
    <cellStyle name="Comma 7 3 3 2 2 2 2 2" xfId="26846" xr:uid="{E5614243-3733-4CA4-8C28-E917EB3A7A4E}"/>
    <cellStyle name="Comma 7 3 3 2 2 2 2 2 2" xfId="57086" xr:uid="{A3EF9A1C-E442-4CDC-A4C2-11589A5E7DD3}"/>
    <cellStyle name="Comma 7 3 3 2 2 2 2 3" xfId="41966" xr:uid="{A8FCC2A2-3386-4547-B56D-F89331FD829E}"/>
    <cellStyle name="Comma 7 3 3 2 2 2 3" xfId="17774" xr:uid="{A06642B1-DA6F-404B-9A64-0D9CE026BF2A}"/>
    <cellStyle name="Comma 7 3 3 2 2 2 3 2" xfId="48014" xr:uid="{2F2F88EE-87F1-4EA7-8215-DBE1E9D984C7}"/>
    <cellStyle name="Comma 7 3 3 2 2 2 4" xfId="32894" xr:uid="{94BFABB9-14B1-4812-ABBA-A3E5960A5A9F}"/>
    <cellStyle name="Comma 7 3 3 2 2 3" xfId="4166" xr:uid="{59B9AB5F-D057-4989-94C9-165DF4EA2991}"/>
    <cellStyle name="Comma 7 3 3 2 2 3 2" xfId="13238" xr:uid="{84623ED8-1DE4-4907-9D27-F290D64E0A77}"/>
    <cellStyle name="Comma 7 3 3 2 2 3 2 2" xfId="28358" xr:uid="{07767F37-A96C-4C40-8328-DAD5CC0AF313}"/>
    <cellStyle name="Comma 7 3 3 2 2 3 2 2 2" xfId="58598" xr:uid="{82329992-AA3B-44D8-BB7F-3AF9BC213008}"/>
    <cellStyle name="Comma 7 3 3 2 2 3 2 3" xfId="43478" xr:uid="{FD5A3737-3375-4F9C-992C-6A5E452D924E}"/>
    <cellStyle name="Comma 7 3 3 2 2 3 3" xfId="19286" xr:uid="{58F7AF51-8015-4135-B1D8-D4B8E9E2358A}"/>
    <cellStyle name="Comma 7 3 3 2 2 3 3 2" xfId="49526" xr:uid="{616368F3-2DBE-4D28-974B-E50392E74821}"/>
    <cellStyle name="Comma 7 3 3 2 2 3 4" xfId="34406" xr:uid="{0F88F3AD-E3FC-4300-AD19-679EFDBA5F38}"/>
    <cellStyle name="Comma 7 3 3 2 2 4" xfId="5678" xr:uid="{E6BB7E32-E03C-4FCD-A5C6-8F57D017B796}"/>
    <cellStyle name="Comma 7 3 3 2 2 4 2" xfId="14750" xr:uid="{91281E01-417D-45D0-BE35-1896CA59DA23}"/>
    <cellStyle name="Comma 7 3 3 2 2 4 2 2" xfId="29870" xr:uid="{B4104566-7750-45EF-A300-66FFAE88D5F4}"/>
    <cellStyle name="Comma 7 3 3 2 2 4 2 2 2" xfId="60110" xr:uid="{3F40B5B1-9F4B-4C00-8AA8-2D55638F247A}"/>
    <cellStyle name="Comma 7 3 3 2 2 4 2 3" xfId="44990" xr:uid="{54454E6D-FD42-42EA-BA2F-3AC7058668B1}"/>
    <cellStyle name="Comma 7 3 3 2 2 4 3" xfId="20798" xr:uid="{157B60C4-78E1-4B0D-9C96-1FAF6BF4B8C6}"/>
    <cellStyle name="Comma 7 3 3 2 2 4 3 2" xfId="51038" xr:uid="{99ACF5E7-142D-4FAD-A97D-7BA49BC7DF33}"/>
    <cellStyle name="Comma 7 3 3 2 2 4 4" xfId="35918" xr:uid="{DA3F3927-3790-4CEA-BA88-6BB2CBB7BDDC}"/>
    <cellStyle name="Comma 7 3 3 2 2 5" xfId="7190" xr:uid="{3E62A6FA-23EB-4F32-9235-DF4EEA001937}"/>
    <cellStyle name="Comma 7 3 3 2 2 5 2" xfId="22310" xr:uid="{C4CCCF21-158F-4BCE-A459-74674FEE4CD1}"/>
    <cellStyle name="Comma 7 3 3 2 2 5 2 2" xfId="52550" xr:uid="{E72B908E-47BE-475A-AB3F-5C33EFE0EA89}"/>
    <cellStyle name="Comma 7 3 3 2 2 5 3" xfId="37430" xr:uid="{80C82AE6-A9EC-4C8B-A87A-18E0D496AF3E}"/>
    <cellStyle name="Comma 7 3 3 2 2 6" xfId="8702" xr:uid="{E814977A-1B83-4DDD-855E-960FC034E759}"/>
    <cellStyle name="Comma 7 3 3 2 2 6 2" xfId="23822" xr:uid="{E81A776F-EFD3-42C9-9BE1-EF4EA7875B09}"/>
    <cellStyle name="Comma 7 3 3 2 2 6 2 2" xfId="54062" xr:uid="{74CF8116-221D-45B1-B113-73BCC697F691}"/>
    <cellStyle name="Comma 7 3 3 2 2 6 3" xfId="38942" xr:uid="{659600FA-3C04-4D6C-823E-A3D519C91C65}"/>
    <cellStyle name="Comma 7 3 3 2 2 7" xfId="10214" xr:uid="{CF105890-9913-462B-B55E-F55AE9FC0BCA}"/>
    <cellStyle name="Comma 7 3 3 2 2 7 2" xfId="25334" xr:uid="{5B69A617-8BD1-4E53-AF41-ACF18371D21D}"/>
    <cellStyle name="Comma 7 3 3 2 2 7 2 2" xfId="55574" xr:uid="{739C30E4-B603-476E-ADBD-F14EF3DF0D0A}"/>
    <cellStyle name="Comma 7 3 3 2 2 7 3" xfId="40454" xr:uid="{EFE61A5A-9486-487D-8874-37D23CEF2362}"/>
    <cellStyle name="Comma 7 3 3 2 2 8" xfId="16262" xr:uid="{DA3F23E4-F646-4F73-B737-86E042D869FB}"/>
    <cellStyle name="Comma 7 3 3 2 2 8 2" xfId="46502" xr:uid="{DB4A74F1-A9DF-4C4A-B3A8-19F2E3A6AEC6}"/>
    <cellStyle name="Comma 7 3 3 2 2 9" xfId="31382" xr:uid="{2FBD8996-5650-4219-B209-F9003B61D67A}"/>
    <cellStyle name="Comma 7 3 3 2 3" xfId="1898" xr:uid="{6EB389DD-DE56-49D7-B2CC-F9CD9E99A8B1}"/>
    <cellStyle name="Comma 7 3 3 2 3 2" xfId="10970" xr:uid="{2EF62A66-2F29-4103-B50E-EB7186E9AC2F}"/>
    <cellStyle name="Comma 7 3 3 2 3 2 2" xfId="26090" xr:uid="{1F41CDEC-21D9-4FE4-87B3-5EF133A76109}"/>
    <cellStyle name="Comma 7 3 3 2 3 2 2 2" xfId="56330" xr:uid="{F608055F-B096-4FA0-AA9E-16D58D49AECE}"/>
    <cellStyle name="Comma 7 3 3 2 3 2 3" xfId="41210" xr:uid="{EAD969E9-A5B4-460E-BBA7-EBEAE23721C5}"/>
    <cellStyle name="Comma 7 3 3 2 3 3" xfId="17018" xr:uid="{AB2FC999-DA91-45A3-A81D-E90ECD329412}"/>
    <cellStyle name="Comma 7 3 3 2 3 3 2" xfId="47258" xr:uid="{1897A755-C596-4208-BB41-C30317E72CAB}"/>
    <cellStyle name="Comma 7 3 3 2 3 4" xfId="32138" xr:uid="{F62FFD03-64B2-4E4E-BA12-667C990F80B8}"/>
    <cellStyle name="Comma 7 3 3 2 4" xfId="3410" xr:uid="{35245FED-3439-46AB-8B37-86A58D224C41}"/>
    <cellStyle name="Comma 7 3 3 2 4 2" xfId="12482" xr:uid="{60E1AC5B-3A21-498A-96A6-7203D8ED64AC}"/>
    <cellStyle name="Comma 7 3 3 2 4 2 2" xfId="27602" xr:uid="{88496BB7-A7D3-4FF1-B0F7-2A6C36F76C7D}"/>
    <cellStyle name="Comma 7 3 3 2 4 2 2 2" xfId="57842" xr:uid="{5AD33B02-860E-445B-8E0D-39519B83D899}"/>
    <cellStyle name="Comma 7 3 3 2 4 2 3" xfId="42722" xr:uid="{5F6DC8EA-FECC-47A6-BA2C-5B0A107AC0DF}"/>
    <cellStyle name="Comma 7 3 3 2 4 3" xfId="18530" xr:uid="{3A5DA9F0-22AC-4446-9B95-1F1C45EA9212}"/>
    <cellStyle name="Comma 7 3 3 2 4 3 2" xfId="48770" xr:uid="{450BFF2F-2854-4A21-9416-C70D586AE868}"/>
    <cellStyle name="Comma 7 3 3 2 4 4" xfId="33650" xr:uid="{EA5E71C2-C2A9-4D7E-A4F8-BE248DAFBEF9}"/>
    <cellStyle name="Comma 7 3 3 2 5" xfId="4922" xr:uid="{F7719621-CDF6-493C-A20D-F1B5E9E329E4}"/>
    <cellStyle name="Comma 7 3 3 2 5 2" xfId="13994" xr:uid="{828E2E3C-45AC-487B-A149-D745025B49D6}"/>
    <cellStyle name="Comma 7 3 3 2 5 2 2" xfId="29114" xr:uid="{2AA9C9A3-F337-4B8B-B749-3EE470515E9C}"/>
    <cellStyle name="Comma 7 3 3 2 5 2 2 2" xfId="59354" xr:uid="{EF8725FE-D62D-438C-8FD9-26E822B5E766}"/>
    <cellStyle name="Comma 7 3 3 2 5 2 3" xfId="44234" xr:uid="{777A6229-C1B2-48F2-AABE-9E4F99243744}"/>
    <cellStyle name="Comma 7 3 3 2 5 3" xfId="20042" xr:uid="{2DE8B752-2231-4295-8FD6-37F7FC386ABA}"/>
    <cellStyle name="Comma 7 3 3 2 5 3 2" xfId="50282" xr:uid="{0EF435AB-4EE1-4374-8A5C-806FD20E24BF}"/>
    <cellStyle name="Comma 7 3 3 2 5 4" xfId="35162" xr:uid="{0E486C91-C8F4-4060-BECB-04C0EF52AE88}"/>
    <cellStyle name="Comma 7 3 3 2 6" xfId="6434" xr:uid="{999195B7-8DF7-488C-9803-0C7BBD28F446}"/>
    <cellStyle name="Comma 7 3 3 2 6 2" xfId="21554" xr:uid="{6493AD3D-4AFE-4608-B1F0-288F869D27C4}"/>
    <cellStyle name="Comma 7 3 3 2 6 2 2" xfId="51794" xr:uid="{63FA23E6-E69B-4BAB-B32D-550C01228E1D}"/>
    <cellStyle name="Comma 7 3 3 2 6 3" xfId="36674" xr:uid="{96B3CD9B-0F15-41A9-8B2B-8F50512D27F0}"/>
    <cellStyle name="Comma 7 3 3 2 7" xfId="7946" xr:uid="{BA8191EC-674B-4EEE-A0C4-65A67D562D6F}"/>
    <cellStyle name="Comma 7 3 3 2 7 2" xfId="23066" xr:uid="{29310461-05F0-4B6F-A969-6710DDAFDC93}"/>
    <cellStyle name="Comma 7 3 3 2 7 2 2" xfId="53306" xr:uid="{FE8F6879-773D-4D38-BF05-C0EC9AE813DA}"/>
    <cellStyle name="Comma 7 3 3 2 7 3" xfId="38186" xr:uid="{E68A3E57-24FC-4A65-9246-45199A5F9EBD}"/>
    <cellStyle name="Comma 7 3 3 2 8" xfId="9458" xr:uid="{9B40530D-C541-4E1B-84E7-9D4E5FA0DB25}"/>
    <cellStyle name="Comma 7 3 3 2 8 2" xfId="24578" xr:uid="{CE425757-7EEA-4C6A-AD2F-6F7B47D6BEDB}"/>
    <cellStyle name="Comma 7 3 3 2 8 2 2" xfId="54818" xr:uid="{663E9D47-FE28-40BE-B8B7-FC2A92926CFD}"/>
    <cellStyle name="Comma 7 3 3 2 8 3" xfId="39698" xr:uid="{5E26945F-AF91-42BF-831E-26309E388DAA}"/>
    <cellStyle name="Comma 7 3 3 2 9" xfId="15506" xr:uid="{BE17CFF4-4D7D-491E-A5B2-22EC2F92190D}"/>
    <cellStyle name="Comma 7 3 3 2 9 2" xfId="45746" xr:uid="{E2B6ADB9-5373-48D8-94B1-914956CBC4A9}"/>
    <cellStyle name="Comma 7 3 3 3" xfId="638" xr:uid="{B3E28F01-3946-4FFF-845C-894020574C40}"/>
    <cellStyle name="Comma 7 3 3 3 10" xfId="30878" xr:uid="{060F0767-76FB-4566-9F90-3FA70EB66BF2}"/>
    <cellStyle name="Comma 7 3 3 3 2" xfId="1394" xr:uid="{770B81C7-7CFF-431A-BBC5-C00C692B772B}"/>
    <cellStyle name="Comma 7 3 3 3 2 2" xfId="2906" xr:uid="{B6E92718-D71A-4469-981B-C7F25B508BD0}"/>
    <cellStyle name="Comma 7 3 3 3 2 2 2" xfId="11978" xr:uid="{A099A7F9-807B-4242-8605-681F9ABCF65D}"/>
    <cellStyle name="Comma 7 3 3 3 2 2 2 2" xfId="27098" xr:uid="{5656B965-C41B-4E74-B1B1-C6E68B111D4D}"/>
    <cellStyle name="Comma 7 3 3 3 2 2 2 2 2" xfId="57338" xr:uid="{8249EADF-3056-467C-9352-A80ACEB56522}"/>
    <cellStyle name="Comma 7 3 3 3 2 2 2 3" xfId="42218" xr:uid="{CDFA4725-B61E-4B77-B61A-113BCAB6F589}"/>
    <cellStyle name="Comma 7 3 3 3 2 2 3" xfId="18026" xr:uid="{87207F89-5618-4E10-898D-795EF66042B4}"/>
    <cellStyle name="Comma 7 3 3 3 2 2 3 2" xfId="48266" xr:uid="{CF633800-16E0-4803-A761-DCBD21BAE9E0}"/>
    <cellStyle name="Comma 7 3 3 3 2 2 4" xfId="33146" xr:uid="{CB20E6B0-87E9-4A74-8A14-1E5B07DA6655}"/>
    <cellStyle name="Comma 7 3 3 3 2 3" xfId="4418" xr:uid="{2339A5F4-396F-4367-A1FF-8231505F818E}"/>
    <cellStyle name="Comma 7 3 3 3 2 3 2" xfId="13490" xr:uid="{FDD38497-76EC-4BCD-B84F-7E33FABC703A}"/>
    <cellStyle name="Comma 7 3 3 3 2 3 2 2" xfId="28610" xr:uid="{4DCA4C04-1DC8-4C57-90AE-C43A0E843CB7}"/>
    <cellStyle name="Comma 7 3 3 3 2 3 2 2 2" xfId="58850" xr:uid="{82ACD164-27BC-46D7-A050-3916A9B1D3E0}"/>
    <cellStyle name="Comma 7 3 3 3 2 3 2 3" xfId="43730" xr:uid="{FE5ED8AF-3B22-4FDB-A9F8-F74B5850FB6E}"/>
    <cellStyle name="Comma 7 3 3 3 2 3 3" xfId="19538" xr:uid="{4896EDAE-2011-4BB7-8BB2-6C9D3F117C1F}"/>
    <cellStyle name="Comma 7 3 3 3 2 3 3 2" xfId="49778" xr:uid="{E89A063C-F1FB-40E2-8B8F-ED11C0807DEA}"/>
    <cellStyle name="Comma 7 3 3 3 2 3 4" xfId="34658" xr:uid="{9E1EF53C-75CC-4365-B7FE-F5063C6CBD6A}"/>
    <cellStyle name="Comma 7 3 3 3 2 4" xfId="5930" xr:uid="{A0AA9CDA-1F24-4E1C-836E-D12066ECEE60}"/>
    <cellStyle name="Comma 7 3 3 3 2 4 2" xfId="15002" xr:uid="{18961E50-246D-4C34-B2E4-FDB295D1E050}"/>
    <cellStyle name="Comma 7 3 3 3 2 4 2 2" xfId="30122" xr:uid="{A6A0CD39-3CF8-46B3-9F4C-FD270A12FD2B}"/>
    <cellStyle name="Comma 7 3 3 3 2 4 2 2 2" xfId="60362" xr:uid="{01C58017-1CAB-4C1A-9069-8A36B837B809}"/>
    <cellStyle name="Comma 7 3 3 3 2 4 2 3" xfId="45242" xr:uid="{498D821F-FAD5-45DA-8E80-0857958F9584}"/>
    <cellStyle name="Comma 7 3 3 3 2 4 3" xfId="21050" xr:uid="{47C9E2A1-8F42-43B9-AE0A-094361D14C53}"/>
    <cellStyle name="Comma 7 3 3 3 2 4 3 2" xfId="51290" xr:uid="{B5B8AAF1-E8B6-4733-99DD-4DA46B351D23}"/>
    <cellStyle name="Comma 7 3 3 3 2 4 4" xfId="36170" xr:uid="{998E16B4-3F8A-464C-B9AC-99EC136C5FDA}"/>
    <cellStyle name="Comma 7 3 3 3 2 5" xfId="7442" xr:uid="{91C1C208-D9C7-4773-ACF4-CA0FA09232BD}"/>
    <cellStyle name="Comma 7 3 3 3 2 5 2" xfId="22562" xr:uid="{C294CB27-898F-41CD-9A57-9F40C7E6D5B3}"/>
    <cellStyle name="Comma 7 3 3 3 2 5 2 2" xfId="52802" xr:uid="{B41958C1-1FB2-46A6-9D32-B0AD81BB5523}"/>
    <cellStyle name="Comma 7 3 3 3 2 5 3" xfId="37682" xr:uid="{4FE1229E-9944-4064-B6E9-DF3508B777AC}"/>
    <cellStyle name="Comma 7 3 3 3 2 6" xfId="8954" xr:uid="{93CE62CF-1546-4E9E-8E5F-92DC565EF032}"/>
    <cellStyle name="Comma 7 3 3 3 2 6 2" xfId="24074" xr:uid="{9DBCF250-6572-42D2-82C2-64F1FA957B63}"/>
    <cellStyle name="Comma 7 3 3 3 2 6 2 2" xfId="54314" xr:uid="{06B607B8-5789-43FA-9007-0B31444E3DBD}"/>
    <cellStyle name="Comma 7 3 3 3 2 6 3" xfId="39194" xr:uid="{CEB2F5A8-44C2-42C3-80F7-C366526145F0}"/>
    <cellStyle name="Comma 7 3 3 3 2 7" xfId="10466" xr:uid="{E2E4359D-219B-4DDF-9D8D-CE8FF3787AAB}"/>
    <cellStyle name="Comma 7 3 3 3 2 7 2" xfId="25586" xr:uid="{B4828400-9BE6-42E1-A759-D557AA65EF0C}"/>
    <cellStyle name="Comma 7 3 3 3 2 7 2 2" xfId="55826" xr:uid="{7276D546-EA88-4793-8431-CFBE0BD952B0}"/>
    <cellStyle name="Comma 7 3 3 3 2 7 3" xfId="40706" xr:uid="{2FB793A7-4D45-45B6-A465-2A64E06DB55F}"/>
    <cellStyle name="Comma 7 3 3 3 2 8" xfId="16514" xr:uid="{81248601-FEF5-4F4F-A8D3-595AE173624E}"/>
    <cellStyle name="Comma 7 3 3 3 2 8 2" xfId="46754" xr:uid="{CF7F9A78-7678-46BB-BBFD-549B34E94A2C}"/>
    <cellStyle name="Comma 7 3 3 3 2 9" xfId="31634" xr:uid="{72463905-121E-4563-BC50-0F0091C1D1B9}"/>
    <cellStyle name="Comma 7 3 3 3 3" xfId="2150" xr:uid="{0153BD51-D522-4BA0-9DCB-881688C049D7}"/>
    <cellStyle name="Comma 7 3 3 3 3 2" xfId="11222" xr:uid="{B9F7DD97-FDB6-4548-82EF-28920EEF570D}"/>
    <cellStyle name="Comma 7 3 3 3 3 2 2" xfId="26342" xr:uid="{EEC8A5F5-8337-4A23-9F38-7F198C82B833}"/>
    <cellStyle name="Comma 7 3 3 3 3 2 2 2" xfId="56582" xr:uid="{D810DF1D-6433-44F2-84C1-1775A9D2D036}"/>
    <cellStyle name="Comma 7 3 3 3 3 2 3" xfId="41462" xr:uid="{E2F90BAB-A50B-4899-87A0-8EA88A105215}"/>
    <cellStyle name="Comma 7 3 3 3 3 3" xfId="17270" xr:uid="{C5F00300-D841-4CA8-9990-D6F91B862DCE}"/>
    <cellStyle name="Comma 7 3 3 3 3 3 2" xfId="47510" xr:uid="{2FBF854F-A1E2-4F44-8A23-7361BDA9EB57}"/>
    <cellStyle name="Comma 7 3 3 3 3 4" xfId="32390" xr:uid="{AB9F7437-99EF-4786-BB22-095810F81993}"/>
    <cellStyle name="Comma 7 3 3 3 4" xfId="3662" xr:uid="{A39DEEB0-76B3-44B6-B48C-40577CB60457}"/>
    <cellStyle name="Comma 7 3 3 3 4 2" xfId="12734" xr:uid="{21A06E6F-CBB0-4606-A990-3BA6E820B94B}"/>
    <cellStyle name="Comma 7 3 3 3 4 2 2" xfId="27854" xr:uid="{8EA01521-DAE1-46E1-B6F4-BE02E326DC52}"/>
    <cellStyle name="Comma 7 3 3 3 4 2 2 2" xfId="58094" xr:uid="{D41040AA-6843-4E32-8E8F-C5637C27D732}"/>
    <cellStyle name="Comma 7 3 3 3 4 2 3" xfId="42974" xr:uid="{0A100AA5-5E03-4194-AA70-579F1AA7F140}"/>
    <cellStyle name="Comma 7 3 3 3 4 3" xfId="18782" xr:uid="{22FB01FD-E798-4409-A896-E3EA31EAC157}"/>
    <cellStyle name="Comma 7 3 3 3 4 3 2" xfId="49022" xr:uid="{6CD194DA-6594-4A8C-B10D-9BFBD93B61C6}"/>
    <cellStyle name="Comma 7 3 3 3 4 4" xfId="33902" xr:uid="{3E42A219-F069-4C22-B10A-1A157D4CA46A}"/>
    <cellStyle name="Comma 7 3 3 3 5" xfId="5174" xr:uid="{2D15BAA6-E776-43B8-9123-6DDDB3B52457}"/>
    <cellStyle name="Comma 7 3 3 3 5 2" xfId="14246" xr:uid="{3CF9ED37-52CC-4B45-B7EF-258F32855F18}"/>
    <cellStyle name="Comma 7 3 3 3 5 2 2" xfId="29366" xr:uid="{C01F7496-4B1A-490B-8BD4-E29FFD9AA676}"/>
    <cellStyle name="Comma 7 3 3 3 5 2 2 2" xfId="59606" xr:uid="{F32FF1A9-1FB7-43B7-9B42-1997CC871EAE}"/>
    <cellStyle name="Comma 7 3 3 3 5 2 3" xfId="44486" xr:uid="{9FD4909A-5DCD-484F-AB79-5114E4EA2DB3}"/>
    <cellStyle name="Comma 7 3 3 3 5 3" xfId="20294" xr:uid="{2B9AD193-C4F4-45B5-B1BE-8462FEC4B844}"/>
    <cellStyle name="Comma 7 3 3 3 5 3 2" xfId="50534" xr:uid="{9E7B6132-43C9-43B7-A976-7F62E1214A5B}"/>
    <cellStyle name="Comma 7 3 3 3 5 4" xfId="35414" xr:uid="{319EAF56-19EA-4E5A-80D5-37FECA08F93C}"/>
    <cellStyle name="Comma 7 3 3 3 6" xfId="6686" xr:uid="{D7D4B4A3-7E59-487C-8149-9B597885D113}"/>
    <cellStyle name="Comma 7 3 3 3 6 2" xfId="21806" xr:uid="{465C2B7B-8F0B-4E96-A212-7FB69493627B}"/>
    <cellStyle name="Comma 7 3 3 3 6 2 2" xfId="52046" xr:uid="{96B0158E-42EF-4BED-B2F6-A85852B640AE}"/>
    <cellStyle name="Comma 7 3 3 3 6 3" xfId="36926" xr:uid="{97A552D9-BC23-4B66-9984-5DFEA0E0F1FA}"/>
    <cellStyle name="Comma 7 3 3 3 7" xfId="8198" xr:uid="{2BE20F47-99A7-4DA4-98B5-E81CDD9175AE}"/>
    <cellStyle name="Comma 7 3 3 3 7 2" xfId="23318" xr:uid="{29C27148-5893-4CAD-AC6F-E6DD9FCBA6BB}"/>
    <cellStyle name="Comma 7 3 3 3 7 2 2" xfId="53558" xr:uid="{508D436B-6BDD-4FCA-8E7B-18729724FE71}"/>
    <cellStyle name="Comma 7 3 3 3 7 3" xfId="38438" xr:uid="{83EBBD03-2C08-490B-8E7A-1C220EB5715A}"/>
    <cellStyle name="Comma 7 3 3 3 8" xfId="9710" xr:uid="{A6408EBF-ABD7-46E4-800E-E21EDDB7EC4B}"/>
    <cellStyle name="Comma 7 3 3 3 8 2" xfId="24830" xr:uid="{4065D70F-82A7-4B95-ACB8-C5689CCD5D52}"/>
    <cellStyle name="Comma 7 3 3 3 8 2 2" xfId="55070" xr:uid="{9891393F-2095-4C7B-888F-EB85B6D8A3A9}"/>
    <cellStyle name="Comma 7 3 3 3 8 3" xfId="39950" xr:uid="{2A142504-E0CE-461C-8FFF-DC840C890335}"/>
    <cellStyle name="Comma 7 3 3 3 9" xfId="15758" xr:uid="{1422FE6C-4904-47E4-A4CF-EFEFBB38FF5D}"/>
    <cellStyle name="Comma 7 3 3 3 9 2" xfId="45998" xr:uid="{091F143E-FC49-4E9F-A1E6-09938E2E1872}"/>
    <cellStyle name="Comma 7 3 3 4" xfId="890" xr:uid="{F33B6CC1-E9C5-4057-84FA-197FE56E664C}"/>
    <cellStyle name="Comma 7 3 3 4 2" xfId="2402" xr:uid="{BFA69702-6051-461B-AC69-40A1E28A42F6}"/>
    <cellStyle name="Comma 7 3 3 4 2 2" xfId="11474" xr:uid="{0A0026BA-B176-4A17-B3F7-D6F1AEF6D206}"/>
    <cellStyle name="Comma 7 3 3 4 2 2 2" xfId="26594" xr:uid="{430C1655-B4DA-45B7-944D-D48ACF62C11C}"/>
    <cellStyle name="Comma 7 3 3 4 2 2 2 2" xfId="56834" xr:uid="{EFD91651-7D98-477D-BF6C-6F5C7ED7A4F3}"/>
    <cellStyle name="Comma 7 3 3 4 2 2 3" xfId="41714" xr:uid="{AC6DC292-BC4C-45C3-BFF3-CD1932D94B8E}"/>
    <cellStyle name="Comma 7 3 3 4 2 3" xfId="17522" xr:uid="{9F8F40BB-1FF1-42B8-AC37-4277FCFC9D56}"/>
    <cellStyle name="Comma 7 3 3 4 2 3 2" xfId="47762" xr:uid="{37790B15-CAC2-41D6-B713-AF66C2882FEB}"/>
    <cellStyle name="Comma 7 3 3 4 2 4" xfId="32642" xr:uid="{8B426E8C-6381-4B81-93A3-1CB945093DA8}"/>
    <cellStyle name="Comma 7 3 3 4 3" xfId="3914" xr:uid="{0DD5889A-3946-495D-9CA8-B81F1CA24924}"/>
    <cellStyle name="Comma 7 3 3 4 3 2" xfId="12986" xr:uid="{8D3760A3-369D-4EB5-8F1A-4550DEB25BCC}"/>
    <cellStyle name="Comma 7 3 3 4 3 2 2" xfId="28106" xr:uid="{5BA59EE2-B977-4CD0-A747-D506F78FFC48}"/>
    <cellStyle name="Comma 7 3 3 4 3 2 2 2" xfId="58346" xr:uid="{65E19E6C-908C-41E9-9A29-7FD0CC2A63F7}"/>
    <cellStyle name="Comma 7 3 3 4 3 2 3" xfId="43226" xr:uid="{116FDA56-E0DF-4ADB-9DC4-F37019BB7590}"/>
    <cellStyle name="Comma 7 3 3 4 3 3" xfId="19034" xr:uid="{A7C67616-4FDC-41C9-ADDF-90949CA6F200}"/>
    <cellStyle name="Comma 7 3 3 4 3 3 2" xfId="49274" xr:uid="{0E627A03-6476-4C7D-81C9-6AB3800DF1D5}"/>
    <cellStyle name="Comma 7 3 3 4 3 4" xfId="34154" xr:uid="{780D4589-23E5-45AC-AE3D-DD3E9BE2A481}"/>
    <cellStyle name="Comma 7 3 3 4 4" xfId="5426" xr:uid="{64A137FB-2472-4A54-92D5-DE7BC86B568C}"/>
    <cellStyle name="Comma 7 3 3 4 4 2" xfId="14498" xr:uid="{8F1B6FE2-CC94-4905-AB54-36FE1749558C}"/>
    <cellStyle name="Comma 7 3 3 4 4 2 2" xfId="29618" xr:uid="{20329B69-9439-4052-815F-CF31E2606AC8}"/>
    <cellStyle name="Comma 7 3 3 4 4 2 2 2" xfId="59858" xr:uid="{E06D0FCF-76A3-4BB7-9593-F72D76347216}"/>
    <cellStyle name="Comma 7 3 3 4 4 2 3" xfId="44738" xr:uid="{8CF89092-E75F-49D7-87C2-F3219CF8A567}"/>
    <cellStyle name="Comma 7 3 3 4 4 3" xfId="20546" xr:uid="{1B48EE5A-F7B6-446D-A797-CC628AE7F868}"/>
    <cellStyle name="Comma 7 3 3 4 4 3 2" xfId="50786" xr:uid="{EE249766-B052-4A11-81B6-3A1E84458264}"/>
    <cellStyle name="Comma 7 3 3 4 4 4" xfId="35666" xr:uid="{86C83499-A7FE-4991-BFA3-DEC90B02B2F0}"/>
    <cellStyle name="Comma 7 3 3 4 5" xfId="6938" xr:uid="{EA3ED633-1300-4843-A47C-069A0F1A7F10}"/>
    <cellStyle name="Comma 7 3 3 4 5 2" xfId="22058" xr:uid="{9987D388-2272-42D9-AD75-8C4B30275D7A}"/>
    <cellStyle name="Comma 7 3 3 4 5 2 2" xfId="52298" xr:uid="{B3B069FE-326E-4167-AE84-6D128E6216BD}"/>
    <cellStyle name="Comma 7 3 3 4 5 3" xfId="37178" xr:uid="{F72E43C0-7F82-4A1E-837A-B5C96CE5E510}"/>
    <cellStyle name="Comma 7 3 3 4 6" xfId="8450" xr:uid="{BA3E0947-A810-4F43-B670-39D6F17A3149}"/>
    <cellStyle name="Comma 7 3 3 4 6 2" xfId="23570" xr:uid="{A20C09AC-EB5E-48E9-A595-79DBFAD9B9A8}"/>
    <cellStyle name="Comma 7 3 3 4 6 2 2" xfId="53810" xr:uid="{F8D80FEB-6FD2-48E3-9BF4-11CB9C126E72}"/>
    <cellStyle name="Comma 7 3 3 4 6 3" xfId="38690" xr:uid="{5C4B9571-842F-485E-A2C1-E7FE90E1D4F0}"/>
    <cellStyle name="Comma 7 3 3 4 7" xfId="9962" xr:uid="{CDC8B3DB-34ED-4B7C-AA55-1ED88B2054E2}"/>
    <cellStyle name="Comma 7 3 3 4 7 2" xfId="25082" xr:uid="{C3CC0147-D13D-4AF2-898B-7738E9D30111}"/>
    <cellStyle name="Comma 7 3 3 4 7 2 2" xfId="55322" xr:uid="{6BF27A8E-1CAC-461A-8D58-39241A9F3CD4}"/>
    <cellStyle name="Comma 7 3 3 4 7 3" xfId="40202" xr:uid="{7A21B8B2-BD49-49C8-9CFA-850F0E3B456D}"/>
    <cellStyle name="Comma 7 3 3 4 8" xfId="16010" xr:uid="{A239F8E4-C7D8-446A-9DED-E14600A14B58}"/>
    <cellStyle name="Comma 7 3 3 4 8 2" xfId="46250" xr:uid="{5ED5C714-0AA9-4E4F-94E2-2F742530C410}"/>
    <cellStyle name="Comma 7 3 3 4 9" xfId="31130" xr:uid="{58DC3959-EEA2-45A4-9E48-FBF739B85B59}"/>
    <cellStyle name="Comma 7 3 3 5" xfId="1646" xr:uid="{2CA706D1-7C75-48F5-99D5-734CA2C50EA1}"/>
    <cellStyle name="Comma 7 3 3 5 2" xfId="10718" xr:uid="{8F643A6B-C98C-4287-A310-46DA8A28A5C7}"/>
    <cellStyle name="Comma 7 3 3 5 2 2" xfId="25838" xr:uid="{D3E071D9-A3CA-4F2E-ABCD-5A7FB3EA3341}"/>
    <cellStyle name="Comma 7 3 3 5 2 2 2" xfId="56078" xr:uid="{7642A7DB-DDDF-4018-AFA4-5107036DFD36}"/>
    <cellStyle name="Comma 7 3 3 5 2 3" xfId="40958" xr:uid="{3F7664EF-541A-4316-8973-36A73FE363E6}"/>
    <cellStyle name="Comma 7 3 3 5 3" xfId="16766" xr:uid="{C38758A7-63C8-47D4-961B-25A86BFA96DF}"/>
    <cellStyle name="Comma 7 3 3 5 3 2" xfId="47006" xr:uid="{66597F20-29AF-46F8-9E93-8D7463A7E086}"/>
    <cellStyle name="Comma 7 3 3 5 4" xfId="31886" xr:uid="{812742C7-AE41-44AE-96AD-38CD8737DB64}"/>
    <cellStyle name="Comma 7 3 3 6" xfId="3158" xr:uid="{61B27359-8FF4-416D-8C55-360F751E8CBD}"/>
    <cellStyle name="Comma 7 3 3 6 2" xfId="12230" xr:uid="{AE413251-5527-42D5-8520-D2103BF57F7D}"/>
    <cellStyle name="Comma 7 3 3 6 2 2" xfId="27350" xr:uid="{822CB7F1-C456-4D5C-BBD8-6B992C9A0A0E}"/>
    <cellStyle name="Comma 7 3 3 6 2 2 2" xfId="57590" xr:uid="{B1300B87-1614-4090-9CCA-6BDCD96C82F3}"/>
    <cellStyle name="Comma 7 3 3 6 2 3" xfId="42470" xr:uid="{E52441A6-CA27-498D-8155-698F4A8596D0}"/>
    <cellStyle name="Comma 7 3 3 6 3" xfId="18278" xr:uid="{0F54CCB4-B2AC-4914-B8D8-FA9464C9F953}"/>
    <cellStyle name="Comma 7 3 3 6 3 2" xfId="48518" xr:uid="{309293B2-6AB2-4750-A748-966948D45A78}"/>
    <cellStyle name="Comma 7 3 3 6 4" xfId="33398" xr:uid="{E3BBE4F8-ABF7-4DEB-AEFE-528294D78262}"/>
    <cellStyle name="Comma 7 3 3 7" xfId="4670" xr:uid="{D02AC7A2-2E28-4B7F-B583-23D46999A298}"/>
    <cellStyle name="Comma 7 3 3 7 2" xfId="13742" xr:uid="{68EEB6B3-76F5-4716-A661-6BAE67B665A7}"/>
    <cellStyle name="Comma 7 3 3 7 2 2" xfId="28862" xr:uid="{C291672B-0D87-4BB1-88B2-AB55A38DFBB2}"/>
    <cellStyle name="Comma 7 3 3 7 2 2 2" xfId="59102" xr:uid="{C3A4E32D-1F1A-4040-9C1A-D3AD89CA7A27}"/>
    <cellStyle name="Comma 7 3 3 7 2 3" xfId="43982" xr:uid="{E414751A-D84F-4945-BD21-28369044CCE4}"/>
    <cellStyle name="Comma 7 3 3 7 3" xfId="19790" xr:uid="{1AFE3794-B169-46B6-8B52-29DC6A3DDEAE}"/>
    <cellStyle name="Comma 7 3 3 7 3 2" xfId="50030" xr:uid="{086CCB97-E4F8-48CA-9AD0-0BB3BB92C24D}"/>
    <cellStyle name="Comma 7 3 3 7 4" xfId="34910" xr:uid="{C642C485-4DDA-48B1-89A7-DDC957E804C8}"/>
    <cellStyle name="Comma 7 3 3 8" xfId="6182" xr:uid="{2CF9FDE8-860C-44D0-A02C-B5A910506EC5}"/>
    <cellStyle name="Comma 7 3 3 8 2" xfId="21302" xr:uid="{15EC5755-33AD-477D-8B27-7742A5EB1845}"/>
    <cellStyle name="Comma 7 3 3 8 2 2" xfId="51542" xr:uid="{4AE85449-FBE8-433D-B74D-1849FD833596}"/>
    <cellStyle name="Comma 7 3 3 8 3" xfId="36422" xr:uid="{06BA1DCB-D5DC-43B4-A37B-304A87C5D2F3}"/>
    <cellStyle name="Comma 7 3 3 9" xfId="7694" xr:uid="{885379FD-74AF-44CE-B7CD-F0AB2CD8CEB3}"/>
    <cellStyle name="Comma 7 3 3 9 2" xfId="22814" xr:uid="{26EC9741-3E05-4B67-8028-BB5730F46F9C}"/>
    <cellStyle name="Comma 7 3 3 9 2 2" xfId="53054" xr:uid="{FFCE9F53-54E5-494D-8351-03D72EF27D98}"/>
    <cellStyle name="Comma 7 3 3 9 3" xfId="37934" xr:uid="{D62BCDA1-BFBC-49FB-9671-7F585F0F0F72}"/>
    <cellStyle name="Comma 7 3 4" xfId="218" xr:uid="{47A32BE3-D23D-43BC-8ECC-1A7257646212}"/>
    <cellStyle name="Comma 7 3 4 10" xfId="9290" xr:uid="{326349B1-F116-4D6E-86D3-6565B8F20B16}"/>
    <cellStyle name="Comma 7 3 4 10 2" xfId="24410" xr:uid="{124CD647-83E1-402B-A644-1F9FCEE1E871}"/>
    <cellStyle name="Comma 7 3 4 10 2 2" xfId="54650" xr:uid="{6AAAE401-87AA-429B-B1DE-7D756ED6622D}"/>
    <cellStyle name="Comma 7 3 4 10 3" xfId="39530" xr:uid="{07BA33F8-BF22-4981-B82E-CC0BF57B7B9C}"/>
    <cellStyle name="Comma 7 3 4 11" xfId="15338" xr:uid="{1EDA1CFF-A0E2-4DA5-A4C5-AD295FA111C4}"/>
    <cellStyle name="Comma 7 3 4 11 2" xfId="45578" xr:uid="{B0375662-6A6C-4EA1-9980-2D1E27A52A54}"/>
    <cellStyle name="Comma 7 3 4 12" xfId="30458" xr:uid="{59622EA1-D15A-4112-99F3-0A393FF3A04E}"/>
    <cellStyle name="Comma 7 3 4 2" xfId="470" xr:uid="{94885B91-898F-4FE9-9DEE-AE9D24B02116}"/>
    <cellStyle name="Comma 7 3 4 2 10" xfId="30710" xr:uid="{CEF17A09-AA36-4328-886F-0FE4718A8DA1}"/>
    <cellStyle name="Comma 7 3 4 2 2" xfId="1226" xr:uid="{FA83F71C-C3A0-4013-85CD-981D05CF6AFA}"/>
    <cellStyle name="Comma 7 3 4 2 2 2" xfId="2738" xr:uid="{27457BFA-9BA3-4803-BEC2-2B5958951AA9}"/>
    <cellStyle name="Comma 7 3 4 2 2 2 2" xfId="11810" xr:uid="{2B8FEDB1-330D-439F-B515-640D44A95C2F}"/>
    <cellStyle name="Comma 7 3 4 2 2 2 2 2" xfId="26930" xr:uid="{2AA6BD1D-5F67-487A-A099-1D323890E885}"/>
    <cellStyle name="Comma 7 3 4 2 2 2 2 2 2" xfId="57170" xr:uid="{6DB2AFB0-F484-455C-A5EC-C5D9CF754D9A}"/>
    <cellStyle name="Comma 7 3 4 2 2 2 2 3" xfId="42050" xr:uid="{C3AD43F1-16D8-47A9-8460-0AD2BFF148EE}"/>
    <cellStyle name="Comma 7 3 4 2 2 2 3" xfId="17858" xr:uid="{C0CD8665-719F-4250-ACFC-5AC716807413}"/>
    <cellStyle name="Comma 7 3 4 2 2 2 3 2" xfId="48098" xr:uid="{3D9F2CF4-B08B-4243-8C3C-29E57DEB864E}"/>
    <cellStyle name="Comma 7 3 4 2 2 2 4" xfId="32978" xr:uid="{ED5B5967-9E9D-4825-B813-6B56FCB9FDED}"/>
    <cellStyle name="Comma 7 3 4 2 2 3" xfId="4250" xr:uid="{9B26B8BF-5EF7-4C12-92B3-C2E79493539D}"/>
    <cellStyle name="Comma 7 3 4 2 2 3 2" xfId="13322" xr:uid="{E1CCB35C-CF42-4F12-9C09-CB7AFED47E73}"/>
    <cellStyle name="Comma 7 3 4 2 2 3 2 2" xfId="28442" xr:uid="{79709EF8-A917-48B4-8BD9-BDC0F47C7674}"/>
    <cellStyle name="Comma 7 3 4 2 2 3 2 2 2" xfId="58682" xr:uid="{03B4BFE6-3609-4AB6-8E6C-889BF7669C63}"/>
    <cellStyle name="Comma 7 3 4 2 2 3 2 3" xfId="43562" xr:uid="{9FAD4D22-B44A-487A-90EE-BE84C46C4900}"/>
    <cellStyle name="Comma 7 3 4 2 2 3 3" xfId="19370" xr:uid="{23448C03-2EBB-4394-AC82-51CDAEB5F894}"/>
    <cellStyle name="Comma 7 3 4 2 2 3 3 2" xfId="49610" xr:uid="{36DFEDC5-39B7-4075-A843-69F2A28B1007}"/>
    <cellStyle name="Comma 7 3 4 2 2 3 4" xfId="34490" xr:uid="{E4757254-4184-4763-A8C9-81783F27857F}"/>
    <cellStyle name="Comma 7 3 4 2 2 4" xfId="5762" xr:uid="{0BC70A23-94B2-4F7D-A961-993DE60668A8}"/>
    <cellStyle name="Comma 7 3 4 2 2 4 2" xfId="14834" xr:uid="{06DF3DCD-5715-4DC9-A8FA-5434414B4633}"/>
    <cellStyle name="Comma 7 3 4 2 2 4 2 2" xfId="29954" xr:uid="{13405F77-3B56-47FB-9CD5-1583DE6A7E64}"/>
    <cellStyle name="Comma 7 3 4 2 2 4 2 2 2" xfId="60194" xr:uid="{4E140D5D-4071-4284-9D41-E628B41FE590}"/>
    <cellStyle name="Comma 7 3 4 2 2 4 2 3" xfId="45074" xr:uid="{6F058F97-6DD7-4135-9AAD-4D370F081843}"/>
    <cellStyle name="Comma 7 3 4 2 2 4 3" xfId="20882" xr:uid="{AC57E428-B32B-488D-8E29-35BC40606D6F}"/>
    <cellStyle name="Comma 7 3 4 2 2 4 3 2" xfId="51122" xr:uid="{52730E1A-8660-45D6-8795-3CD5B8902729}"/>
    <cellStyle name="Comma 7 3 4 2 2 4 4" xfId="36002" xr:uid="{F1432055-61C6-4E60-9174-7194A6D87C0A}"/>
    <cellStyle name="Comma 7 3 4 2 2 5" xfId="7274" xr:uid="{F30F4DD5-AF54-4532-95A7-9BE729428762}"/>
    <cellStyle name="Comma 7 3 4 2 2 5 2" xfId="22394" xr:uid="{BAD8CCAB-5FC7-435F-B92A-3EADD9175836}"/>
    <cellStyle name="Comma 7 3 4 2 2 5 2 2" xfId="52634" xr:uid="{090C1FC1-6AD6-4FF5-A36C-1695B98A0D72}"/>
    <cellStyle name="Comma 7 3 4 2 2 5 3" xfId="37514" xr:uid="{9D51DAF4-D3F3-4338-B150-D2DA16B8DD94}"/>
    <cellStyle name="Comma 7 3 4 2 2 6" xfId="8786" xr:uid="{C586CACE-E58F-483A-ABC4-AA959D1118C2}"/>
    <cellStyle name="Comma 7 3 4 2 2 6 2" xfId="23906" xr:uid="{669F72C4-EDA2-4645-8B31-C44EF4DBD11C}"/>
    <cellStyle name="Comma 7 3 4 2 2 6 2 2" xfId="54146" xr:uid="{EB8D0CD1-3A7D-4BAA-B421-616A68B5198E}"/>
    <cellStyle name="Comma 7 3 4 2 2 6 3" xfId="39026" xr:uid="{FC747DFF-8274-48C2-AF5C-FBF2E0B66938}"/>
    <cellStyle name="Comma 7 3 4 2 2 7" xfId="10298" xr:uid="{324CA742-66AC-457F-91C6-86883F855794}"/>
    <cellStyle name="Comma 7 3 4 2 2 7 2" xfId="25418" xr:uid="{CFE05859-287F-4799-8F7A-62D86ADD7628}"/>
    <cellStyle name="Comma 7 3 4 2 2 7 2 2" xfId="55658" xr:uid="{80072C5C-0901-4F05-ADF3-E03310CC6D88}"/>
    <cellStyle name="Comma 7 3 4 2 2 7 3" xfId="40538" xr:uid="{7686AB1F-92D6-4300-81A4-571C3228DF31}"/>
    <cellStyle name="Comma 7 3 4 2 2 8" xfId="16346" xr:uid="{F16159D7-7F44-4F85-AB63-A3FC44381FCA}"/>
    <cellStyle name="Comma 7 3 4 2 2 8 2" xfId="46586" xr:uid="{FFCB294E-E140-4332-8A3E-A2F2368EED5D}"/>
    <cellStyle name="Comma 7 3 4 2 2 9" xfId="31466" xr:uid="{2635A5C3-9A34-4083-9979-93BCFD7FD6A7}"/>
    <cellStyle name="Comma 7 3 4 2 3" xfId="1982" xr:uid="{13FAAEC4-C029-4540-A127-B3DF97FEDD2B}"/>
    <cellStyle name="Comma 7 3 4 2 3 2" xfId="11054" xr:uid="{E6C86CA4-04ED-4384-BD4F-2E270C0104DA}"/>
    <cellStyle name="Comma 7 3 4 2 3 2 2" xfId="26174" xr:uid="{56E88309-30B3-4950-B881-7613C65CAE3C}"/>
    <cellStyle name="Comma 7 3 4 2 3 2 2 2" xfId="56414" xr:uid="{239A89AF-5979-4F5F-8BBD-DCB1F915DCEF}"/>
    <cellStyle name="Comma 7 3 4 2 3 2 3" xfId="41294" xr:uid="{7A46D34C-4532-4098-8FBC-9903D0C1369F}"/>
    <cellStyle name="Comma 7 3 4 2 3 3" xfId="17102" xr:uid="{93E96AC3-0207-4691-8DE6-F07C3F589535}"/>
    <cellStyle name="Comma 7 3 4 2 3 3 2" xfId="47342" xr:uid="{E9B9D073-5030-4EEC-8897-228CC58AA98D}"/>
    <cellStyle name="Comma 7 3 4 2 3 4" xfId="32222" xr:uid="{50D404FE-CB6E-4BDD-A565-1D193670756F}"/>
    <cellStyle name="Comma 7 3 4 2 4" xfId="3494" xr:uid="{2E9AF07C-02E2-489F-A149-F9FF7FD7565B}"/>
    <cellStyle name="Comma 7 3 4 2 4 2" xfId="12566" xr:uid="{4B062902-79EC-4398-AD5A-0D1F9C40B29A}"/>
    <cellStyle name="Comma 7 3 4 2 4 2 2" xfId="27686" xr:uid="{F02F73B6-D201-4A68-B43C-24FD430BC210}"/>
    <cellStyle name="Comma 7 3 4 2 4 2 2 2" xfId="57926" xr:uid="{0574E9F8-94EC-4F95-8289-CF15AE3D7B7C}"/>
    <cellStyle name="Comma 7 3 4 2 4 2 3" xfId="42806" xr:uid="{5A2D7B87-37D6-43C7-A902-3A480DED14A0}"/>
    <cellStyle name="Comma 7 3 4 2 4 3" xfId="18614" xr:uid="{A4F56B1E-539B-4223-B9EE-381A547354A5}"/>
    <cellStyle name="Comma 7 3 4 2 4 3 2" xfId="48854" xr:uid="{5E521618-40D4-4BF0-9C28-2FDEFB6BF14C}"/>
    <cellStyle name="Comma 7 3 4 2 4 4" xfId="33734" xr:uid="{39EA1299-881E-4E4C-9208-F532E07DE6FE}"/>
    <cellStyle name="Comma 7 3 4 2 5" xfId="5006" xr:uid="{69076A8E-0A17-44C0-87A8-024B5F1CC63B}"/>
    <cellStyle name="Comma 7 3 4 2 5 2" xfId="14078" xr:uid="{704940C6-71C9-4A38-A655-5C37511145CF}"/>
    <cellStyle name="Comma 7 3 4 2 5 2 2" xfId="29198" xr:uid="{AC6FFDFF-FC7F-4D8A-B344-7B0A1D022645}"/>
    <cellStyle name="Comma 7 3 4 2 5 2 2 2" xfId="59438" xr:uid="{28CC4511-8CBA-48E8-9404-BF31159755E1}"/>
    <cellStyle name="Comma 7 3 4 2 5 2 3" xfId="44318" xr:uid="{800E6A96-2912-4B7B-980A-E3A76491A660}"/>
    <cellStyle name="Comma 7 3 4 2 5 3" xfId="20126" xr:uid="{9D04D488-809C-4BF3-BBC9-D1681E43D779}"/>
    <cellStyle name="Comma 7 3 4 2 5 3 2" xfId="50366" xr:uid="{27034C09-21DF-4C89-8794-7245D094C391}"/>
    <cellStyle name="Comma 7 3 4 2 5 4" xfId="35246" xr:uid="{952F984E-6E29-4670-A082-D8E80031DE99}"/>
    <cellStyle name="Comma 7 3 4 2 6" xfId="6518" xr:uid="{83D7BC16-BA50-4D54-8BE3-E6885F8F9E1A}"/>
    <cellStyle name="Comma 7 3 4 2 6 2" xfId="21638" xr:uid="{ABF8508C-2F13-48DF-B492-4D05666D6123}"/>
    <cellStyle name="Comma 7 3 4 2 6 2 2" xfId="51878" xr:uid="{4D252DBA-EF2B-492D-864B-A879F5226E2A}"/>
    <cellStyle name="Comma 7 3 4 2 6 3" xfId="36758" xr:uid="{F6207AB6-70E0-41EA-B77D-E00773A05746}"/>
    <cellStyle name="Comma 7 3 4 2 7" xfId="8030" xr:uid="{E42B0F85-476E-4A29-A8B1-3F4B0855ED84}"/>
    <cellStyle name="Comma 7 3 4 2 7 2" xfId="23150" xr:uid="{AA9C36B9-2738-411F-9148-6D270FC1F01B}"/>
    <cellStyle name="Comma 7 3 4 2 7 2 2" xfId="53390" xr:uid="{4F9D9F69-6E5A-49E1-A778-99263E1447BF}"/>
    <cellStyle name="Comma 7 3 4 2 7 3" xfId="38270" xr:uid="{04268805-40DF-40A5-8CC3-EBB8C50E2C48}"/>
    <cellStyle name="Comma 7 3 4 2 8" xfId="9542" xr:uid="{4FEB8417-0EB9-4586-B8DF-BBC287F35FB4}"/>
    <cellStyle name="Comma 7 3 4 2 8 2" xfId="24662" xr:uid="{686648B8-D6A5-447D-810E-0C65D74EFF51}"/>
    <cellStyle name="Comma 7 3 4 2 8 2 2" xfId="54902" xr:uid="{BB43795B-BE97-42D1-90D3-BF42003C1EE8}"/>
    <cellStyle name="Comma 7 3 4 2 8 3" xfId="39782" xr:uid="{0571A189-8683-45C3-A4E0-D871556A2C2F}"/>
    <cellStyle name="Comma 7 3 4 2 9" xfId="15590" xr:uid="{B3C616BB-68CE-4C1C-84A9-496CE70797BC}"/>
    <cellStyle name="Comma 7 3 4 2 9 2" xfId="45830" xr:uid="{622A3FCA-CCA2-4E19-884D-808F2845A043}"/>
    <cellStyle name="Comma 7 3 4 3" xfId="722" xr:uid="{657D1888-BB6E-4046-A12D-EBF03A7E2104}"/>
    <cellStyle name="Comma 7 3 4 3 10" xfId="30962" xr:uid="{BC663F9B-BB33-47B6-A0CD-995702A0F819}"/>
    <cellStyle name="Comma 7 3 4 3 2" xfId="1478" xr:uid="{E8124B58-458F-4584-AE37-FE53FEDA6608}"/>
    <cellStyle name="Comma 7 3 4 3 2 2" xfId="2990" xr:uid="{783E2603-E594-408D-98F6-A53D4130A103}"/>
    <cellStyle name="Comma 7 3 4 3 2 2 2" xfId="12062" xr:uid="{22C8EC3E-9AD4-4061-A718-F404F4EB2137}"/>
    <cellStyle name="Comma 7 3 4 3 2 2 2 2" xfId="27182" xr:uid="{C88D0B52-0275-4BBB-B4BD-01F884BFC13F}"/>
    <cellStyle name="Comma 7 3 4 3 2 2 2 2 2" xfId="57422" xr:uid="{018A9360-9699-4298-BC39-6CB38BC23324}"/>
    <cellStyle name="Comma 7 3 4 3 2 2 2 3" xfId="42302" xr:uid="{E5825084-B009-4A31-8E3D-AC333CAE581C}"/>
    <cellStyle name="Comma 7 3 4 3 2 2 3" xfId="18110" xr:uid="{1D9E5F73-FCA2-4E50-BCAB-9D14C3C86004}"/>
    <cellStyle name="Comma 7 3 4 3 2 2 3 2" xfId="48350" xr:uid="{618C9702-0274-41E0-BD6C-00273CA4D636}"/>
    <cellStyle name="Comma 7 3 4 3 2 2 4" xfId="33230" xr:uid="{BFEF239C-076B-4958-8480-84C23683320F}"/>
    <cellStyle name="Comma 7 3 4 3 2 3" xfId="4502" xr:uid="{7D25ADAD-FA97-4D28-98B7-ACA97DAFC88A}"/>
    <cellStyle name="Comma 7 3 4 3 2 3 2" xfId="13574" xr:uid="{8773394A-75FA-4A35-A8D1-5D139ECB3F33}"/>
    <cellStyle name="Comma 7 3 4 3 2 3 2 2" xfId="28694" xr:uid="{5CC45BBC-83B9-4EE6-B3E1-404AE8E66CCF}"/>
    <cellStyle name="Comma 7 3 4 3 2 3 2 2 2" xfId="58934" xr:uid="{CE0CBFD4-AAD9-45E1-A769-0005EC3482F1}"/>
    <cellStyle name="Comma 7 3 4 3 2 3 2 3" xfId="43814" xr:uid="{BAAE504B-F15D-49A0-83DA-476F8F15B42D}"/>
    <cellStyle name="Comma 7 3 4 3 2 3 3" xfId="19622" xr:uid="{80D890BD-A0BE-44CB-9CE0-276A564B056D}"/>
    <cellStyle name="Comma 7 3 4 3 2 3 3 2" xfId="49862" xr:uid="{CEA72CE8-C8EE-49C2-A63D-2A0271B357C6}"/>
    <cellStyle name="Comma 7 3 4 3 2 3 4" xfId="34742" xr:uid="{C6690BF6-3ABF-4FAF-BC41-F7918C121320}"/>
    <cellStyle name="Comma 7 3 4 3 2 4" xfId="6014" xr:uid="{F716E252-5F17-48F8-BAD4-45DF7F7333D1}"/>
    <cellStyle name="Comma 7 3 4 3 2 4 2" xfId="15086" xr:uid="{FCBBB1B6-2F5B-4E14-8E55-83E31FEDADCF}"/>
    <cellStyle name="Comma 7 3 4 3 2 4 2 2" xfId="30206" xr:uid="{DE299665-64BD-48C4-A1FE-412D9AA19E2D}"/>
    <cellStyle name="Comma 7 3 4 3 2 4 2 2 2" xfId="60446" xr:uid="{C57B6A96-70B1-4EE6-BF7F-610BB961CE34}"/>
    <cellStyle name="Comma 7 3 4 3 2 4 2 3" xfId="45326" xr:uid="{55579CDD-70E7-4536-A82B-C62D9AA98BCB}"/>
    <cellStyle name="Comma 7 3 4 3 2 4 3" xfId="21134" xr:uid="{0E94E481-0920-44ED-ADED-0294A2DF36F5}"/>
    <cellStyle name="Comma 7 3 4 3 2 4 3 2" xfId="51374" xr:uid="{B90793EF-355F-4A19-9E7A-D339BB9E2058}"/>
    <cellStyle name="Comma 7 3 4 3 2 4 4" xfId="36254" xr:uid="{932C2631-118F-4ED9-9EA1-8FBD77B11F05}"/>
    <cellStyle name="Comma 7 3 4 3 2 5" xfId="7526" xr:uid="{E575DFE0-030E-41EB-AB97-61527815E18E}"/>
    <cellStyle name="Comma 7 3 4 3 2 5 2" xfId="22646" xr:uid="{60E54FBF-1A60-48FA-A2B8-30E72EC4BE13}"/>
    <cellStyle name="Comma 7 3 4 3 2 5 2 2" xfId="52886" xr:uid="{9DBFED56-A332-4735-9ADB-013DE072FE44}"/>
    <cellStyle name="Comma 7 3 4 3 2 5 3" xfId="37766" xr:uid="{5478AE12-7D38-475C-B1D1-EF7CDFBBBFAE}"/>
    <cellStyle name="Comma 7 3 4 3 2 6" xfId="9038" xr:uid="{DEB985E3-4DE5-4777-A497-EF4D3644556D}"/>
    <cellStyle name="Comma 7 3 4 3 2 6 2" xfId="24158" xr:uid="{A0AC1B58-7436-43F2-8E21-35DEC4BB2ED8}"/>
    <cellStyle name="Comma 7 3 4 3 2 6 2 2" xfId="54398" xr:uid="{20F887C4-63BF-4E47-AF44-7EADE6AF8EB6}"/>
    <cellStyle name="Comma 7 3 4 3 2 6 3" xfId="39278" xr:uid="{02C251C4-270A-49BC-953A-6EDBACEDFF56}"/>
    <cellStyle name="Comma 7 3 4 3 2 7" xfId="10550" xr:uid="{24A2F1AF-4AB8-4510-B2CD-0D3B220B7852}"/>
    <cellStyle name="Comma 7 3 4 3 2 7 2" xfId="25670" xr:uid="{6C892DBC-BEE6-4343-9D3E-D40025C41388}"/>
    <cellStyle name="Comma 7 3 4 3 2 7 2 2" xfId="55910" xr:uid="{F3653D86-045B-439D-A5CE-200F7BC6A1A0}"/>
    <cellStyle name="Comma 7 3 4 3 2 7 3" xfId="40790" xr:uid="{997360DE-F551-4573-A022-CB2FEBB64476}"/>
    <cellStyle name="Comma 7 3 4 3 2 8" xfId="16598" xr:uid="{632DC71F-49DF-4400-B957-C68F686ACCF7}"/>
    <cellStyle name="Comma 7 3 4 3 2 8 2" xfId="46838" xr:uid="{F716ABE8-AF06-4B52-AD58-F5FA7E598BE0}"/>
    <cellStyle name="Comma 7 3 4 3 2 9" xfId="31718" xr:uid="{FD1438B2-5BC0-4689-A634-707E0CE661BA}"/>
    <cellStyle name="Comma 7 3 4 3 3" xfId="2234" xr:uid="{C1D0C61D-9A73-4DB5-93F5-81A0EB5752A1}"/>
    <cellStyle name="Comma 7 3 4 3 3 2" xfId="11306" xr:uid="{35A2219C-D754-4999-B68F-39055AE8036B}"/>
    <cellStyle name="Comma 7 3 4 3 3 2 2" xfId="26426" xr:uid="{083EEA85-D7A9-40BE-9883-427C60DAA921}"/>
    <cellStyle name="Comma 7 3 4 3 3 2 2 2" xfId="56666" xr:uid="{ECA032B6-3F7C-4862-BB00-1F7C51AD9CCA}"/>
    <cellStyle name="Comma 7 3 4 3 3 2 3" xfId="41546" xr:uid="{475F0A4E-3A79-4E25-BF1D-F8A9636E1B66}"/>
    <cellStyle name="Comma 7 3 4 3 3 3" xfId="17354" xr:uid="{12CAC01D-0EE1-4C2E-A150-40EE4D6D7896}"/>
    <cellStyle name="Comma 7 3 4 3 3 3 2" xfId="47594" xr:uid="{DE672371-327B-4F98-9DD7-BCF7F32CB6B6}"/>
    <cellStyle name="Comma 7 3 4 3 3 4" xfId="32474" xr:uid="{B1CD0A5A-67FF-4380-A11E-F686065E5C21}"/>
    <cellStyle name="Comma 7 3 4 3 4" xfId="3746" xr:uid="{AB718351-B1DC-4A87-A1B1-D96A83FEBF6C}"/>
    <cellStyle name="Comma 7 3 4 3 4 2" xfId="12818" xr:uid="{B0BC0D0F-9917-42FD-B382-7B888418C8E2}"/>
    <cellStyle name="Comma 7 3 4 3 4 2 2" xfId="27938" xr:uid="{D08F38FC-3508-45E5-83C1-A5D2CCA47940}"/>
    <cellStyle name="Comma 7 3 4 3 4 2 2 2" xfId="58178" xr:uid="{7A4FE340-CBC3-40AD-9682-9D1FE075853B}"/>
    <cellStyle name="Comma 7 3 4 3 4 2 3" xfId="43058" xr:uid="{59BF92DE-EC77-4C81-A44F-CD47BC005BCC}"/>
    <cellStyle name="Comma 7 3 4 3 4 3" xfId="18866" xr:uid="{EFB9970E-5184-4C53-81C5-9D43DDC782EB}"/>
    <cellStyle name="Comma 7 3 4 3 4 3 2" xfId="49106" xr:uid="{B0ACC5FD-002A-42D5-84E4-1B545B68D770}"/>
    <cellStyle name="Comma 7 3 4 3 4 4" xfId="33986" xr:uid="{E9BB95ED-1747-43E4-9B76-AE33B0C86C36}"/>
    <cellStyle name="Comma 7 3 4 3 5" xfId="5258" xr:uid="{CBCBB7BA-AED6-4C4D-9839-88FDE5660F78}"/>
    <cellStyle name="Comma 7 3 4 3 5 2" xfId="14330" xr:uid="{BDD72028-E8E7-4518-816E-AAD409900A6F}"/>
    <cellStyle name="Comma 7 3 4 3 5 2 2" xfId="29450" xr:uid="{659801C4-9E87-4497-8F1F-723A57F9915A}"/>
    <cellStyle name="Comma 7 3 4 3 5 2 2 2" xfId="59690" xr:uid="{12E48C97-7EAC-4EC7-A4E7-A50678C324EA}"/>
    <cellStyle name="Comma 7 3 4 3 5 2 3" xfId="44570" xr:uid="{48F7C2D0-EB5E-4BF2-A42A-DA06BE7A7678}"/>
    <cellStyle name="Comma 7 3 4 3 5 3" xfId="20378" xr:uid="{3E29FA38-F7B7-49E5-BA65-89D4A56898F6}"/>
    <cellStyle name="Comma 7 3 4 3 5 3 2" xfId="50618" xr:uid="{62ED2AD7-0D0C-41C3-8052-7D7BD5831DD6}"/>
    <cellStyle name="Comma 7 3 4 3 5 4" xfId="35498" xr:uid="{909EFE55-C3B0-403E-B5CB-84C0064488E4}"/>
    <cellStyle name="Comma 7 3 4 3 6" xfId="6770" xr:uid="{2C7FA030-19C3-4337-8CAA-BD3297EEC646}"/>
    <cellStyle name="Comma 7 3 4 3 6 2" xfId="21890" xr:uid="{7F297B50-3F9D-49B2-99F1-3C6AD0F414C0}"/>
    <cellStyle name="Comma 7 3 4 3 6 2 2" xfId="52130" xr:uid="{EC2490D5-A27D-4774-AEF9-708B75FA6469}"/>
    <cellStyle name="Comma 7 3 4 3 6 3" xfId="37010" xr:uid="{B80984E7-8972-4CA8-9C30-18E83A7FC307}"/>
    <cellStyle name="Comma 7 3 4 3 7" xfId="8282" xr:uid="{B8881524-CFFB-4FA7-B94C-C0213DC87F22}"/>
    <cellStyle name="Comma 7 3 4 3 7 2" xfId="23402" xr:uid="{61B0186C-6E62-425D-B247-F98ED4787095}"/>
    <cellStyle name="Comma 7 3 4 3 7 2 2" xfId="53642" xr:uid="{048CC2BE-1449-4FAC-A280-41A538BD34C8}"/>
    <cellStyle name="Comma 7 3 4 3 7 3" xfId="38522" xr:uid="{3762B9A7-14AD-491C-8D87-EC64606ECA88}"/>
    <cellStyle name="Comma 7 3 4 3 8" xfId="9794" xr:uid="{89A732F9-954C-41D3-A6F4-D3893361FA9B}"/>
    <cellStyle name="Comma 7 3 4 3 8 2" xfId="24914" xr:uid="{BDAE7FA0-5BEB-45C0-B48B-35B5F30C688D}"/>
    <cellStyle name="Comma 7 3 4 3 8 2 2" xfId="55154" xr:uid="{CC4E7E10-1EE2-40B4-8FDD-76FCF4445AAD}"/>
    <cellStyle name="Comma 7 3 4 3 8 3" xfId="40034" xr:uid="{5F7B165C-F21B-4802-ADD6-0CFA116923B1}"/>
    <cellStyle name="Comma 7 3 4 3 9" xfId="15842" xr:uid="{F57262E6-33C8-4A6E-BAD4-65BC6E9EC17D}"/>
    <cellStyle name="Comma 7 3 4 3 9 2" xfId="46082" xr:uid="{E34BF9F4-EFAE-43E8-A7AA-7C95635DA91C}"/>
    <cellStyle name="Comma 7 3 4 4" xfId="974" xr:uid="{E1E54861-D13D-4973-A7C1-1DA65065BE66}"/>
    <cellStyle name="Comma 7 3 4 4 2" xfId="2486" xr:uid="{C933BE99-9377-4036-9F1D-66EC22799BC4}"/>
    <cellStyle name="Comma 7 3 4 4 2 2" xfId="11558" xr:uid="{230BDCCA-26B4-495A-A2F4-43171EE6AE2E}"/>
    <cellStyle name="Comma 7 3 4 4 2 2 2" xfId="26678" xr:uid="{496B10A8-025A-4DF0-8640-2D2FD35EE4DD}"/>
    <cellStyle name="Comma 7 3 4 4 2 2 2 2" xfId="56918" xr:uid="{3FC2DF82-0C0F-4393-9008-7C1B1B466042}"/>
    <cellStyle name="Comma 7 3 4 4 2 2 3" xfId="41798" xr:uid="{EB818B35-0737-400D-BFDE-F11C280301BE}"/>
    <cellStyle name="Comma 7 3 4 4 2 3" xfId="17606" xr:uid="{1208D6E6-E068-4B87-AC99-03B04C14AD87}"/>
    <cellStyle name="Comma 7 3 4 4 2 3 2" xfId="47846" xr:uid="{FA170C54-0C4F-4B9A-BB60-2443BE1264E6}"/>
    <cellStyle name="Comma 7 3 4 4 2 4" xfId="32726" xr:uid="{40DEDE6F-0751-4E19-8A5E-6EC66CF976C9}"/>
    <cellStyle name="Comma 7 3 4 4 3" xfId="3998" xr:uid="{922FAD8D-C4A5-40EF-9702-3466DFB59315}"/>
    <cellStyle name="Comma 7 3 4 4 3 2" xfId="13070" xr:uid="{87B65DDD-41CE-4966-8E4B-165DB5C2559C}"/>
    <cellStyle name="Comma 7 3 4 4 3 2 2" xfId="28190" xr:uid="{1D18A558-B2FB-4D5F-8A26-2BB8F21C859C}"/>
    <cellStyle name="Comma 7 3 4 4 3 2 2 2" xfId="58430" xr:uid="{76DA15AB-6DFA-473B-8480-8EA5002355F7}"/>
    <cellStyle name="Comma 7 3 4 4 3 2 3" xfId="43310" xr:uid="{2E78F4B6-8A0B-48FA-9562-80B4942FE9C5}"/>
    <cellStyle name="Comma 7 3 4 4 3 3" xfId="19118" xr:uid="{A70F26CC-65A6-4AAB-B241-1CAE04B377FB}"/>
    <cellStyle name="Comma 7 3 4 4 3 3 2" xfId="49358" xr:uid="{8525925F-0C0B-4D50-BF8F-038C5C3B8DE3}"/>
    <cellStyle name="Comma 7 3 4 4 3 4" xfId="34238" xr:uid="{229B8C69-2DCE-43E6-972E-FD3D2287F9AA}"/>
    <cellStyle name="Comma 7 3 4 4 4" xfId="5510" xr:uid="{EEF09C52-A964-4C1D-85F2-7AE87EA8CB10}"/>
    <cellStyle name="Comma 7 3 4 4 4 2" xfId="14582" xr:uid="{0039EEA2-F0C1-4680-94D7-D2D57FEEC690}"/>
    <cellStyle name="Comma 7 3 4 4 4 2 2" xfId="29702" xr:uid="{4B29DBDA-5F54-4AF8-A241-4276691434EC}"/>
    <cellStyle name="Comma 7 3 4 4 4 2 2 2" xfId="59942" xr:uid="{02B87E8A-09BD-4663-9872-5EEC08DD736E}"/>
    <cellStyle name="Comma 7 3 4 4 4 2 3" xfId="44822" xr:uid="{0CB95652-AFC0-4044-90E9-A376A6E05304}"/>
    <cellStyle name="Comma 7 3 4 4 4 3" xfId="20630" xr:uid="{075CDD5B-E81F-4F27-AB8E-68D2EBC22F44}"/>
    <cellStyle name="Comma 7 3 4 4 4 3 2" xfId="50870" xr:uid="{8D0979FB-D0B3-4CBC-B6D5-0E3C8CC155E1}"/>
    <cellStyle name="Comma 7 3 4 4 4 4" xfId="35750" xr:uid="{AA744BD0-CABC-4E79-A475-C1B7FA386527}"/>
    <cellStyle name="Comma 7 3 4 4 5" xfId="7022" xr:uid="{97D05EB1-BFA0-4E36-9AE2-8965E00E4FD5}"/>
    <cellStyle name="Comma 7 3 4 4 5 2" xfId="22142" xr:uid="{C1D85EDB-F8AB-4589-B6FB-CAFF00827F1C}"/>
    <cellStyle name="Comma 7 3 4 4 5 2 2" xfId="52382" xr:uid="{75197264-74BE-418A-8B6D-4416C6E052F3}"/>
    <cellStyle name="Comma 7 3 4 4 5 3" xfId="37262" xr:uid="{B0224434-5C60-47D8-84F6-DFEA6F98EF23}"/>
    <cellStyle name="Comma 7 3 4 4 6" xfId="8534" xr:uid="{64648B5E-B0DC-4680-9D9B-EAE8E970E373}"/>
    <cellStyle name="Comma 7 3 4 4 6 2" xfId="23654" xr:uid="{ED2A99FD-23AC-4FE0-9055-596D86DBA205}"/>
    <cellStyle name="Comma 7 3 4 4 6 2 2" xfId="53894" xr:uid="{243BFBA9-6D7C-4EC8-BCE2-7929A85EE838}"/>
    <cellStyle name="Comma 7 3 4 4 6 3" xfId="38774" xr:uid="{A6D697C2-F847-4910-98D2-7C47EBB824FE}"/>
    <cellStyle name="Comma 7 3 4 4 7" xfId="10046" xr:uid="{A247495F-1DC9-48FA-B0E7-B049522E21D6}"/>
    <cellStyle name="Comma 7 3 4 4 7 2" xfId="25166" xr:uid="{2A32E6A1-4CAC-4C72-AA23-2A33F6041D5B}"/>
    <cellStyle name="Comma 7 3 4 4 7 2 2" xfId="55406" xr:uid="{FCBC78DF-1F7C-439A-8C40-0E03F67D9647}"/>
    <cellStyle name="Comma 7 3 4 4 7 3" xfId="40286" xr:uid="{F9D75FE2-C1A8-4558-9973-C75C6712F9D6}"/>
    <cellStyle name="Comma 7 3 4 4 8" xfId="16094" xr:uid="{B1FBEF9D-91C5-41D7-8BE2-EBB48AB916C1}"/>
    <cellStyle name="Comma 7 3 4 4 8 2" xfId="46334" xr:uid="{02A6D814-99C8-41C8-AACC-6D13F1C3B960}"/>
    <cellStyle name="Comma 7 3 4 4 9" xfId="31214" xr:uid="{A2942480-CDB0-4EE7-B7E7-3631FE8B1768}"/>
    <cellStyle name="Comma 7 3 4 5" xfId="1730" xr:uid="{FC1C9954-DCDF-414E-91CE-ED403196C08B}"/>
    <cellStyle name="Comma 7 3 4 5 2" xfId="10802" xr:uid="{E24BF459-8EF8-41A2-A597-821398D6158E}"/>
    <cellStyle name="Comma 7 3 4 5 2 2" xfId="25922" xr:uid="{90AD8E79-8B5A-43D2-806B-6F1EF8A6408B}"/>
    <cellStyle name="Comma 7 3 4 5 2 2 2" xfId="56162" xr:uid="{0CA26B26-4E21-4B2E-9536-1FD9F48330F0}"/>
    <cellStyle name="Comma 7 3 4 5 2 3" xfId="41042" xr:uid="{F17F9DB5-1D01-43C7-B581-090E5CDE3F5F}"/>
    <cellStyle name="Comma 7 3 4 5 3" xfId="16850" xr:uid="{5CA1C779-3B46-4F56-8E6F-11DA8FE7E28E}"/>
    <cellStyle name="Comma 7 3 4 5 3 2" xfId="47090" xr:uid="{92353154-3285-4AB2-A3DB-81B47FE4F9DD}"/>
    <cellStyle name="Comma 7 3 4 5 4" xfId="31970" xr:uid="{FD85E6C4-8B1E-4BEF-A981-07624FB9946C}"/>
    <cellStyle name="Comma 7 3 4 6" xfId="3242" xr:uid="{B5CE9E6F-0248-4D3A-B5DA-05FBFE8E0206}"/>
    <cellStyle name="Comma 7 3 4 6 2" xfId="12314" xr:uid="{511957DA-7B20-4FD8-881C-4023A609E5E1}"/>
    <cellStyle name="Comma 7 3 4 6 2 2" xfId="27434" xr:uid="{8F3322C5-0034-4654-B160-53A8FDEE97C9}"/>
    <cellStyle name="Comma 7 3 4 6 2 2 2" xfId="57674" xr:uid="{A0893792-3972-4812-A2FF-E0784576C4D0}"/>
    <cellStyle name="Comma 7 3 4 6 2 3" xfId="42554" xr:uid="{086CE8DE-1CF4-49A5-A570-BF91B8254F99}"/>
    <cellStyle name="Comma 7 3 4 6 3" xfId="18362" xr:uid="{169DD396-B22C-4AB8-A1DA-8B632DCC3D8D}"/>
    <cellStyle name="Comma 7 3 4 6 3 2" xfId="48602" xr:uid="{3F7D5726-ED91-4CC9-87CD-970389C332B4}"/>
    <cellStyle name="Comma 7 3 4 6 4" xfId="33482" xr:uid="{8190D92E-E177-4CF1-B797-48FC64F5D1A2}"/>
    <cellStyle name="Comma 7 3 4 7" xfId="4754" xr:uid="{FA8BFD2D-9499-4B3B-AD57-479F35367069}"/>
    <cellStyle name="Comma 7 3 4 7 2" xfId="13826" xr:uid="{3E45CD27-D751-440E-A56B-D24451673DEC}"/>
    <cellStyle name="Comma 7 3 4 7 2 2" xfId="28946" xr:uid="{A9D97ECA-3C53-4540-A25C-17A2E98B937A}"/>
    <cellStyle name="Comma 7 3 4 7 2 2 2" xfId="59186" xr:uid="{5EBC686F-500A-4722-98DD-C502CA1EF2AB}"/>
    <cellStyle name="Comma 7 3 4 7 2 3" xfId="44066" xr:uid="{028D5F5F-E763-4AC9-9CB8-F731DDCBA8F8}"/>
    <cellStyle name="Comma 7 3 4 7 3" xfId="19874" xr:uid="{EC936890-0041-4645-A41C-5E56B6F5D1E5}"/>
    <cellStyle name="Comma 7 3 4 7 3 2" xfId="50114" xr:uid="{465D4FA4-D852-402C-9F21-FBAEAE551709}"/>
    <cellStyle name="Comma 7 3 4 7 4" xfId="34994" xr:uid="{26E7C260-50AE-4BBF-9AE7-E6D127FEFDFB}"/>
    <cellStyle name="Comma 7 3 4 8" xfId="6266" xr:uid="{43A45DCA-771D-4EF9-B90C-347E1F701186}"/>
    <cellStyle name="Comma 7 3 4 8 2" xfId="21386" xr:uid="{3868A726-65BD-4F7B-991D-9F7DA2D3D37C}"/>
    <cellStyle name="Comma 7 3 4 8 2 2" xfId="51626" xr:uid="{195492FC-6FD3-4789-89F7-E474DEE53AFD}"/>
    <cellStyle name="Comma 7 3 4 8 3" xfId="36506" xr:uid="{378F039A-6445-40C7-A85F-5111C05924E5}"/>
    <cellStyle name="Comma 7 3 4 9" xfId="7778" xr:uid="{928C835E-DF09-4318-9066-5FBCCDDDB300}"/>
    <cellStyle name="Comma 7 3 4 9 2" xfId="22898" xr:uid="{02D3E448-E0AB-42A3-9561-0027511B689A}"/>
    <cellStyle name="Comma 7 3 4 9 2 2" xfId="53138" xr:uid="{4EA5D236-83A6-4919-BF51-F3FCAE1C3C77}"/>
    <cellStyle name="Comma 7 3 4 9 3" xfId="38018" xr:uid="{F0FA4528-4785-4B78-B33B-0BA4B8466795}"/>
    <cellStyle name="Comma 7 3 5" xfId="302" xr:uid="{13B6AB16-0A11-431A-AB98-E524847A3BEA}"/>
    <cellStyle name="Comma 7 3 5 10" xfId="30542" xr:uid="{B0F1D6B1-B11E-438A-9BBC-AB93E35C4BF6}"/>
    <cellStyle name="Comma 7 3 5 2" xfId="1058" xr:uid="{7591C8C3-9A2E-495F-8F28-8391658C847F}"/>
    <cellStyle name="Comma 7 3 5 2 2" xfId="2570" xr:uid="{B0CC0FDC-887C-4436-B395-0AB8A0DB7974}"/>
    <cellStyle name="Comma 7 3 5 2 2 2" xfId="11642" xr:uid="{329D3EA9-8CCE-4FEF-BF4D-A95679B09865}"/>
    <cellStyle name="Comma 7 3 5 2 2 2 2" xfId="26762" xr:uid="{01A7B818-C075-41B9-96FF-D8E347A0D27E}"/>
    <cellStyle name="Comma 7 3 5 2 2 2 2 2" xfId="57002" xr:uid="{62B844A0-B8B9-4DCA-9D1D-375875F97217}"/>
    <cellStyle name="Comma 7 3 5 2 2 2 3" xfId="41882" xr:uid="{DF54A181-C0C0-4D21-8668-6E988B33E8AA}"/>
    <cellStyle name="Comma 7 3 5 2 2 3" xfId="17690" xr:uid="{ADCEE2E8-8FDC-4E0A-943C-1A25CD9C512D}"/>
    <cellStyle name="Comma 7 3 5 2 2 3 2" xfId="47930" xr:uid="{5470D8DF-41FD-441D-8AF7-2B3ADDB844A4}"/>
    <cellStyle name="Comma 7 3 5 2 2 4" xfId="32810" xr:uid="{3A6BB29A-982B-4E77-9B25-1BC547AEC028}"/>
    <cellStyle name="Comma 7 3 5 2 3" xfId="4082" xr:uid="{15FA296B-3F4C-45B0-B5C0-822EFFCBBE43}"/>
    <cellStyle name="Comma 7 3 5 2 3 2" xfId="13154" xr:uid="{1AFB8BC8-499F-4F7E-A905-BCC6D66A0002}"/>
    <cellStyle name="Comma 7 3 5 2 3 2 2" xfId="28274" xr:uid="{6735ECC3-E168-460D-BCA5-C6C0FA6BCA67}"/>
    <cellStyle name="Comma 7 3 5 2 3 2 2 2" xfId="58514" xr:uid="{11D78805-FAB5-44D7-A238-42D6E1590F0D}"/>
    <cellStyle name="Comma 7 3 5 2 3 2 3" xfId="43394" xr:uid="{89A690A9-67AE-4B5C-B1BF-3B6D2A8CA79D}"/>
    <cellStyle name="Comma 7 3 5 2 3 3" xfId="19202" xr:uid="{86E8A7A2-3682-4274-A02D-6EE960ECA06F}"/>
    <cellStyle name="Comma 7 3 5 2 3 3 2" xfId="49442" xr:uid="{F3FD180C-78B8-43C7-BD27-3917991CEF16}"/>
    <cellStyle name="Comma 7 3 5 2 3 4" xfId="34322" xr:uid="{F312F668-6285-4D2F-9BC2-C28C4750ABB7}"/>
    <cellStyle name="Comma 7 3 5 2 4" xfId="5594" xr:uid="{5FBD3533-6E3E-4CF2-803D-03E53595A794}"/>
    <cellStyle name="Comma 7 3 5 2 4 2" xfId="14666" xr:uid="{E73706B7-7040-45CC-B8CD-2A50F3CAE1BE}"/>
    <cellStyle name="Comma 7 3 5 2 4 2 2" xfId="29786" xr:uid="{E80AA812-AE9A-415A-B943-D59E0B3F6443}"/>
    <cellStyle name="Comma 7 3 5 2 4 2 2 2" xfId="60026" xr:uid="{0E889E34-791D-45C0-A1A8-8DC687CC292C}"/>
    <cellStyle name="Comma 7 3 5 2 4 2 3" xfId="44906" xr:uid="{F41EB8A7-5D0B-4AB4-B1D3-36FA5E0A4606}"/>
    <cellStyle name="Comma 7 3 5 2 4 3" xfId="20714" xr:uid="{BF3A971A-486C-4701-9810-8DBE97397914}"/>
    <cellStyle name="Comma 7 3 5 2 4 3 2" xfId="50954" xr:uid="{8CA8D8F0-8503-4035-9BC0-0CCC76EC1C35}"/>
    <cellStyle name="Comma 7 3 5 2 4 4" xfId="35834" xr:uid="{E9A35B22-E51B-47D8-A386-8152AF1D10CF}"/>
    <cellStyle name="Comma 7 3 5 2 5" xfId="7106" xr:uid="{2BB13F27-5E05-4604-A416-B3ABD3F8168C}"/>
    <cellStyle name="Comma 7 3 5 2 5 2" xfId="22226" xr:uid="{FE3C8C60-D17A-466C-B235-5FF64B4CF72C}"/>
    <cellStyle name="Comma 7 3 5 2 5 2 2" xfId="52466" xr:uid="{F498D7E3-DBE7-4780-8E1E-394827C3A84B}"/>
    <cellStyle name="Comma 7 3 5 2 5 3" xfId="37346" xr:uid="{E6F17070-4666-49F3-81A5-259F82F87D5B}"/>
    <cellStyle name="Comma 7 3 5 2 6" xfId="8618" xr:uid="{046B5B7D-D75B-43F7-BB6D-700F56556F80}"/>
    <cellStyle name="Comma 7 3 5 2 6 2" xfId="23738" xr:uid="{C45E8814-35BB-4DB4-84BA-186E4E8D650B}"/>
    <cellStyle name="Comma 7 3 5 2 6 2 2" xfId="53978" xr:uid="{68432A4E-6D5C-4C36-B38B-365F4226395D}"/>
    <cellStyle name="Comma 7 3 5 2 6 3" xfId="38858" xr:uid="{CE62FAC2-F7D2-452F-9D58-C762AEE9CB9E}"/>
    <cellStyle name="Comma 7 3 5 2 7" xfId="10130" xr:uid="{E44D8D33-97A5-4B19-8649-969BF21C3D73}"/>
    <cellStyle name="Comma 7 3 5 2 7 2" xfId="25250" xr:uid="{E46ED3D5-26E4-433B-8851-34A30C21C98C}"/>
    <cellStyle name="Comma 7 3 5 2 7 2 2" xfId="55490" xr:uid="{3EF68080-7D6A-418C-8D94-386C28614D17}"/>
    <cellStyle name="Comma 7 3 5 2 7 3" xfId="40370" xr:uid="{1101EA4A-2EE8-4723-BD8A-FBBB19C2A264}"/>
    <cellStyle name="Comma 7 3 5 2 8" xfId="16178" xr:uid="{30F4154A-75B6-4EFD-878E-61EB8316FE8E}"/>
    <cellStyle name="Comma 7 3 5 2 8 2" xfId="46418" xr:uid="{E7AED7E5-4E4A-47DA-A176-EEB152731962}"/>
    <cellStyle name="Comma 7 3 5 2 9" xfId="31298" xr:uid="{04AEFEBA-E075-4426-B47C-9D3F381CAE1F}"/>
    <cellStyle name="Comma 7 3 5 3" xfId="1814" xr:uid="{5EA06A26-8672-4E40-9948-82FB7F379A2D}"/>
    <cellStyle name="Comma 7 3 5 3 2" xfId="10886" xr:uid="{E329D6A6-7DC3-4715-8E2E-AD0B89CCA61B}"/>
    <cellStyle name="Comma 7 3 5 3 2 2" xfId="26006" xr:uid="{2BE1063B-E541-4FA3-A4C3-3994CFD9227D}"/>
    <cellStyle name="Comma 7 3 5 3 2 2 2" xfId="56246" xr:uid="{475FB3ED-C2D3-486B-84A3-E3990E2228C0}"/>
    <cellStyle name="Comma 7 3 5 3 2 3" xfId="41126" xr:uid="{E14BE240-3638-433B-84D7-8096B6DC03A0}"/>
    <cellStyle name="Comma 7 3 5 3 3" xfId="16934" xr:uid="{1CE747BD-F181-40FC-9F93-A5B1B34A5701}"/>
    <cellStyle name="Comma 7 3 5 3 3 2" xfId="47174" xr:uid="{245188CB-40E4-4FC1-9B9C-0998C148FFA9}"/>
    <cellStyle name="Comma 7 3 5 3 4" xfId="32054" xr:uid="{FA8DCD58-2588-4532-B958-C35EFB9B36AC}"/>
    <cellStyle name="Comma 7 3 5 4" xfId="3326" xr:uid="{1BE9F33E-7A07-4F3F-9316-6047E032438D}"/>
    <cellStyle name="Comma 7 3 5 4 2" xfId="12398" xr:uid="{20C52B66-0006-4CCC-B6E4-C2B8083A5168}"/>
    <cellStyle name="Comma 7 3 5 4 2 2" xfId="27518" xr:uid="{BC8A931D-4A7E-46E9-A006-DF73EBBA3E03}"/>
    <cellStyle name="Comma 7 3 5 4 2 2 2" xfId="57758" xr:uid="{4A56A719-8A8A-413D-9A48-7FC2D29ABF9C}"/>
    <cellStyle name="Comma 7 3 5 4 2 3" xfId="42638" xr:uid="{D34281EE-AE12-4589-919B-07A6B985EA2A}"/>
    <cellStyle name="Comma 7 3 5 4 3" xfId="18446" xr:uid="{7761257F-C3F5-4FC3-8ED3-816229689ED6}"/>
    <cellStyle name="Comma 7 3 5 4 3 2" xfId="48686" xr:uid="{A5022D86-89E6-407C-9CA7-298732CD1B32}"/>
    <cellStyle name="Comma 7 3 5 4 4" xfId="33566" xr:uid="{F49C88B4-DF0F-4D33-8F1B-4F82D117C51C}"/>
    <cellStyle name="Comma 7 3 5 5" xfId="4838" xr:uid="{4B3AF459-A820-4EEE-804D-8231BA60766D}"/>
    <cellStyle name="Comma 7 3 5 5 2" xfId="13910" xr:uid="{BC24117C-C5AD-4E16-BAD3-40458D43F87D}"/>
    <cellStyle name="Comma 7 3 5 5 2 2" xfId="29030" xr:uid="{0562F4E0-7FA9-4CE7-A2A9-EC02A232CB67}"/>
    <cellStyle name="Comma 7 3 5 5 2 2 2" xfId="59270" xr:uid="{39A93558-9BDB-4999-8BA5-5A5B168D9D8C}"/>
    <cellStyle name="Comma 7 3 5 5 2 3" xfId="44150" xr:uid="{B4C1BAB8-04CE-4E13-BF93-FC55A1BA4E74}"/>
    <cellStyle name="Comma 7 3 5 5 3" xfId="19958" xr:uid="{8404ACCD-8526-4BE6-A942-CA33D5DE1B81}"/>
    <cellStyle name="Comma 7 3 5 5 3 2" xfId="50198" xr:uid="{37D62BB7-B3F3-49EC-B51D-BEE689072CB6}"/>
    <cellStyle name="Comma 7 3 5 5 4" xfId="35078" xr:uid="{EACCD113-B9AD-448A-9B65-33E9139A943C}"/>
    <cellStyle name="Comma 7 3 5 6" xfId="6350" xr:uid="{4B4ACBAC-7775-4F1B-8740-BA5F1CB70992}"/>
    <cellStyle name="Comma 7 3 5 6 2" xfId="21470" xr:uid="{A6F0761F-C8FF-4F7A-BC32-5D60B47B36FC}"/>
    <cellStyle name="Comma 7 3 5 6 2 2" xfId="51710" xr:uid="{0803CAF2-A2F1-4ADD-ADC5-3C76285DBF15}"/>
    <cellStyle name="Comma 7 3 5 6 3" xfId="36590" xr:uid="{6ED21457-73DE-47D8-8203-9997482BD195}"/>
    <cellStyle name="Comma 7 3 5 7" xfId="7862" xr:uid="{D70477FE-5786-4EB5-AD57-DF08224144EA}"/>
    <cellStyle name="Comma 7 3 5 7 2" xfId="22982" xr:uid="{9077EA23-D92C-46FE-B31C-5EFCCC188AC5}"/>
    <cellStyle name="Comma 7 3 5 7 2 2" xfId="53222" xr:uid="{8D8DA046-6D66-41E5-814A-BA8D1BBA3DAD}"/>
    <cellStyle name="Comma 7 3 5 7 3" xfId="38102" xr:uid="{7EED5516-99A6-49B1-A9A3-75822647A7E2}"/>
    <cellStyle name="Comma 7 3 5 8" xfId="9374" xr:uid="{BF943567-1B4E-466B-9433-FB5C5D882E7F}"/>
    <cellStyle name="Comma 7 3 5 8 2" xfId="24494" xr:uid="{AC6188C8-B5B8-4B6B-B8B6-9DD740F537A8}"/>
    <cellStyle name="Comma 7 3 5 8 2 2" xfId="54734" xr:uid="{B6732E77-1058-43DC-97C1-ED76BCB29B23}"/>
    <cellStyle name="Comma 7 3 5 8 3" xfId="39614" xr:uid="{81CE3407-B2C2-47EC-A682-93C1373EB33C}"/>
    <cellStyle name="Comma 7 3 5 9" xfId="15422" xr:uid="{802466CB-1AE0-4DB4-BE02-A51AC20E8078}"/>
    <cellStyle name="Comma 7 3 5 9 2" xfId="45662" xr:uid="{35350CE2-2067-4CC4-9898-A134EB9ECD83}"/>
    <cellStyle name="Comma 7 3 6" xfId="554" xr:uid="{7160DD81-9F31-48FE-A78E-736F38837AFB}"/>
    <cellStyle name="Comma 7 3 6 10" xfId="30794" xr:uid="{EFE958C3-0F6E-4A74-9D28-DB63B056189D}"/>
    <cellStyle name="Comma 7 3 6 2" xfId="1310" xr:uid="{EDAD7D6A-58F9-4774-9CD1-CCBE3634CDD7}"/>
    <cellStyle name="Comma 7 3 6 2 2" xfId="2822" xr:uid="{3B419A93-E2D0-418B-B6A6-6821D7D9438D}"/>
    <cellStyle name="Comma 7 3 6 2 2 2" xfId="11894" xr:uid="{D39DF9EF-3D03-409A-B302-016C39D95DDC}"/>
    <cellStyle name="Comma 7 3 6 2 2 2 2" xfId="27014" xr:uid="{22952556-E697-4C67-80CF-5EA18DC203A6}"/>
    <cellStyle name="Comma 7 3 6 2 2 2 2 2" xfId="57254" xr:uid="{FDD97CC0-AE10-470B-944C-C600DDA6240B}"/>
    <cellStyle name="Comma 7 3 6 2 2 2 3" xfId="42134" xr:uid="{BD234820-3243-40EE-A72D-C4DA1365FD9D}"/>
    <cellStyle name="Comma 7 3 6 2 2 3" xfId="17942" xr:uid="{F45273CD-3F1D-4243-B795-FC93C6AA4856}"/>
    <cellStyle name="Comma 7 3 6 2 2 3 2" xfId="48182" xr:uid="{B4CFDE55-9C6C-4CBC-8325-2763D12429A1}"/>
    <cellStyle name="Comma 7 3 6 2 2 4" xfId="33062" xr:uid="{8526F18D-D47A-421A-80DF-9EEB5EFBAA28}"/>
    <cellStyle name="Comma 7 3 6 2 3" xfId="4334" xr:uid="{330BB29B-3F24-43CD-8F70-1C70CA1D0364}"/>
    <cellStyle name="Comma 7 3 6 2 3 2" xfId="13406" xr:uid="{EFE0D155-804E-49BA-9673-B6DB8EA17410}"/>
    <cellStyle name="Comma 7 3 6 2 3 2 2" xfId="28526" xr:uid="{59C82427-4196-467A-8993-5A63FEFF0B48}"/>
    <cellStyle name="Comma 7 3 6 2 3 2 2 2" xfId="58766" xr:uid="{3765AA73-04EC-41EC-BE31-64DEC929D439}"/>
    <cellStyle name="Comma 7 3 6 2 3 2 3" xfId="43646" xr:uid="{CC33CF06-6621-4F7C-B7F7-C2B068CCAB19}"/>
    <cellStyle name="Comma 7 3 6 2 3 3" xfId="19454" xr:uid="{08FEFCC0-CFE8-4CF2-8BC4-FAAC57703933}"/>
    <cellStyle name="Comma 7 3 6 2 3 3 2" xfId="49694" xr:uid="{5C2CC2D7-FE2F-47B4-9FC0-1D05C71B1D45}"/>
    <cellStyle name="Comma 7 3 6 2 3 4" xfId="34574" xr:uid="{EA0707E4-ED0A-4A6E-9BA8-9C3454EDA5F3}"/>
    <cellStyle name="Comma 7 3 6 2 4" xfId="5846" xr:uid="{1D55D1D5-34C6-4654-99C2-9567B9EC3D9A}"/>
    <cellStyle name="Comma 7 3 6 2 4 2" xfId="14918" xr:uid="{C553D650-8C9B-4711-84F9-041A42DEBB54}"/>
    <cellStyle name="Comma 7 3 6 2 4 2 2" xfId="30038" xr:uid="{87D6B69B-1F77-4E6B-9194-6CB42D3825CF}"/>
    <cellStyle name="Comma 7 3 6 2 4 2 2 2" xfId="60278" xr:uid="{02654C5B-78A8-40AE-8A30-C169D945ADD6}"/>
    <cellStyle name="Comma 7 3 6 2 4 2 3" xfId="45158" xr:uid="{5F19E97A-CEA3-4133-A20C-7C066E93EA63}"/>
    <cellStyle name="Comma 7 3 6 2 4 3" xfId="20966" xr:uid="{97D2CF5B-BBFE-48D5-A699-A58CCE0A3F67}"/>
    <cellStyle name="Comma 7 3 6 2 4 3 2" xfId="51206" xr:uid="{5A4E8BFF-99E8-4C54-81F2-2E1D56652030}"/>
    <cellStyle name="Comma 7 3 6 2 4 4" xfId="36086" xr:uid="{81B36BDB-D56F-44ED-AE40-E0CF511644BE}"/>
    <cellStyle name="Comma 7 3 6 2 5" xfId="7358" xr:uid="{0EAD12AA-C8A5-4B1A-BD90-742CCAEB98DA}"/>
    <cellStyle name="Comma 7 3 6 2 5 2" xfId="22478" xr:uid="{78513F92-7EAE-4240-B4C9-CAF8B383AE34}"/>
    <cellStyle name="Comma 7 3 6 2 5 2 2" xfId="52718" xr:uid="{414B7898-9EE8-4CD2-B197-BE3EA7179A46}"/>
    <cellStyle name="Comma 7 3 6 2 5 3" xfId="37598" xr:uid="{DDC4B5AC-9C7E-4A6D-9754-CE1BEF22ACB0}"/>
    <cellStyle name="Comma 7 3 6 2 6" xfId="8870" xr:uid="{7D60BD79-C0C7-43AE-A945-C263FEEBE6D1}"/>
    <cellStyle name="Comma 7 3 6 2 6 2" xfId="23990" xr:uid="{4772DE8F-C319-40CD-B40A-B8535E3E64B0}"/>
    <cellStyle name="Comma 7 3 6 2 6 2 2" xfId="54230" xr:uid="{F16EA16F-D44B-48CF-A62C-B5C4A2818FDA}"/>
    <cellStyle name="Comma 7 3 6 2 6 3" xfId="39110" xr:uid="{7A22B318-939E-4106-AFA9-BEF06194D08B}"/>
    <cellStyle name="Comma 7 3 6 2 7" xfId="10382" xr:uid="{7E324026-1DC1-4228-9404-E2D6C0F47B60}"/>
    <cellStyle name="Comma 7 3 6 2 7 2" xfId="25502" xr:uid="{AE240B2F-A4A6-4961-8B37-0AFF5E4BECD9}"/>
    <cellStyle name="Comma 7 3 6 2 7 2 2" xfId="55742" xr:uid="{E6B8B1CA-F19E-46CA-8180-BF327617BDA3}"/>
    <cellStyle name="Comma 7 3 6 2 7 3" xfId="40622" xr:uid="{C76A9B2C-DE4A-4335-B7DA-2AEC2889415C}"/>
    <cellStyle name="Comma 7 3 6 2 8" xfId="16430" xr:uid="{1D726BFA-E6BE-443F-9A13-7621A1A1CED3}"/>
    <cellStyle name="Comma 7 3 6 2 8 2" xfId="46670" xr:uid="{FCA7BF50-8811-48ED-BB42-AB3FB967B11E}"/>
    <cellStyle name="Comma 7 3 6 2 9" xfId="31550" xr:uid="{762CA9A5-3F21-4D98-B9B2-65EC2C406247}"/>
    <cellStyle name="Comma 7 3 6 3" xfId="2066" xr:uid="{0094320C-B5BF-4AD3-8A67-51F0BD8A1CAA}"/>
    <cellStyle name="Comma 7 3 6 3 2" xfId="11138" xr:uid="{83DB3031-76FE-42DA-B12F-B8E6A9484B78}"/>
    <cellStyle name="Comma 7 3 6 3 2 2" xfId="26258" xr:uid="{E0CE4D5E-0541-479A-B2FB-D850A0ED810A}"/>
    <cellStyle name="Comma 7 3 6 3 2 2 2" xfId="56498" xr:uid="{0C361697-8A81-4B10-89E0-4CABE059B4DE}"/>
    <cellStyle name="Comma 7 3 6 3 2 3" xfId="41378" xr:uid="{A23921FF-554B-498C-870A-081F560EAAFF}"/>
    <cellStyle name="Comma 7 3 6 3 3" xfId="17186" xr:uid="{F4D76ACA-ECA1-4AC0-AFB4-FE1CCE5C37B6}"/>
    <cellStyle name="Comma 7 3 6 3 3 2" xfId="47426" xr:uid="{B03225A0-5456-423F-B652-3AC78BCA4C39}"/>
    <cellStyle name="Comma 7 3 6 3 4" xfId="32306" xr:uid="{30B8E785-5DEF-4F54-B3F2-00503B9F8975}"/>
    <cellStyle name="Comma 7 3 6 4" xfId="3578" xr:uid="{ECD2966F-07B5-4C89-B77B-F87095335C1A}"/>
    <cellStyle name="Comma 7 3 6 4 2" xfId="12650" xr:uid="{4D6AD3B0-E33D-46CB-98B4-F963228EF687}"/>
    <cellStyle name="Comma 7 3 6 4 2 2" xfId="27770" xr:uid="{A39233FC-3D5C-46EA-9C0F-44165B2F10DB}"/>
    <cellStyle name="Comma 7 3 6 4 2 2 2" xfId="58010" xr:uid="{CC9C42F7-B2EB-4B11-8157-924BDA3CDA3C}"/>
    <cellStyle name="Comma 7 3 6 4 2 3" xfId="42890" xr:uid="{50225F2C-59E1-4555-BDF1-48D19D149E48}"/>
    <cellStyle name="Comma 7 3 6 4 3" xfId="18698" xr:uid="{B1256C41-D937-4F98-BA7B-EBCE35BDE785}"/>
    <cellStyle name="Comma 7 3 6 4 3 2" xfId="48938" xr:uid="{FC665FB2-0A73-4383-968F-27BD03A1FF27}"/>
    <cellStyle name="Comma 7 3 6 4 4" xfId="33818" xr:uid="{1CC49235-69FC-41DC-A79B-550A426453A0}"/>
    <cellStyle name="Comma 7 3 6 5" xfId="5090" xr:uid="{E9919C5C-2BD5-445B-8931-BB84CA69BDAF}"/>
    <cellStyle name="Comma 7 3 6 5 2" xfId="14162" xr:uid="{774641DB-16F7-49A8-B789-7FC65BA5EE46}"/>
    <cellStyle name="Comma 7 3 6 5 2 2" xfId="29282" xr:uid="{E42C6081-2A01-4F72-A79E-DF1E5823B8FE}"/>
    <cellStyle name="Comma 7 3 6 5 2 2 2" xfId="59522" xr:uid="{933F86AD-0EC8-4F76-AEFF-515724B45775}"/>
    <cellStyle name="Comma 7 3 6 5 2 3" xfId="44402" xr:uid="{C0476D50-C188-4C5E-B473-26A4ACC43EFE}"/>
    <cellStyle name="Comma 7 3 6 5 3" xfId="20210" xr:uid="{E34E499A-4218-49F5-B972-4785E2C48304}"/>
    <cellStyle name="Comma 7 3 6 5 3 2" xfId="50450" xr:uid="{1C938FE4-408E-4246-976F-354495DA5FBE}"/>
    <cellStyle name="Comma 7 3 6 5 4" xfId="35330" xr:uid="{7BFE2ECF-BBA5-4242-856E-5A3C58EC898A}"/>
    <cellStyle name="Comma 7 3 6 6" xfId="6602" xr:uid="{2BD3A312-F7BC-469C-960C-BFE96E2ABECC}"/>
    <cellStyle name="Comma 7 3 6 6 2" xfId="21722" xr:uid="{9E987281-DA51-4D4C-9456-56C8556FB9A3}"/>
    <cellStyle name="Comma 7 3 6 6 2 2" xfId="51962" xr:uid="{B16C3B09-91E7-4AAC-A34E-4E6022743498}"/>
    <cellStyle name="Comma 7 3 6 6 3" xfId="36842" xr:uid="{F5FAA9FD-84E2-46BE-B40A-A3F070A0A259}"/>
    <cellStyle name="Comma 7 3 6 7" xfId="8114" xr:uid="{B02BC70D-D66E-4DE7-9CA1-5BCDECC0139B}"/>
    <cellStyle name="Comma 7 3 6 7 2" xfId="23234" xr:uid="{33F5CC92-C017-43A5-BFA7-3118605AF76A}"/>
    <cellStyle name="Comma 7 3 6 7 2 2" xfId="53474" xr:uid="{70022DBE-3261-477A-9FF2-A66F99E4ECAD}"/>
    <cellStyle name="Comma 7 3 6 7 3" xfId="38354" xr:uid="{95C9880F-F2F1-436E-82C4-D20897260679}"/>
    <cellStyle name="Comma 7 3 6 8" xfId="9626" xr:uid="{B1874AE7-DB4B-4BDE-BA24-5DCADCAA6F41}"/>
    <cellStyle name="Comma 7 3 6 8 2" xfId="24746" xr:uid="{DFF2A0F0-2055-4218-8806-3D4B08C956BE}"/>
    <cellStyle name="Comma 7 3 6 8 2 2" xfId="54986" xr:uid="{A37378EE-B327-4E6B-B151-D63C45DE2A57}"/>
    <cellStyle name="Comma 7 3 6 8 3" xfId="39866" xr:uid="{7180FC57-234D-429A-B980-788874D55C35}"/>
    <cellStyle name="Comma 7 3 6 9" xfId="15674" xr:uid="{B5E26130-5C55-4C89-8655-D0652BB3994C}"/>
    <cellStyle name="Comma 7 3 6 9 2" xfId="45914" xr:uid="{9769957D-3904-41EB-BD4C-E1A20EB39A31}"/>
    <cellStyle name="Comma 7 3 7" xfId="806" xr:uid="{9E2EB117-5730-4B4F-95AD-5C5F5597D18E}"/>
    <cellStyle name="Comma 7 3 7 2" xfId="2318" xr:uid="{E8E9D64F-78E3-4EB9-86F5-082E5F4C8135}"/>
    <cellStyle name="Comma 7 3 7 2 2" xfId="11390" xr:uid="{75385F63-0899-4861-97A1-4DDC7F463CB3}"/>
    <cellStyle name="Comma 7 3 7 2 2 2" xfId="26510" xr:uid="{3880E788-2335-4F2B-8D8C-D46A7CA4602B}"/>
    <cellStyle name="Comma 7 3 7 2 2 2 2" xfId="56750" xr:uid="{DC5C9DC3-A7C0-4283-A778-4EC3968F6809}"/>
    <cellStyle name="Comma 7 3 7 2 2 3" xfId="41630" xr:uid="{346D42CC-08F0-4FE6-844D-6ECC0DCD5338}"/>
    <cellStyle name="Comma 7 3 7 2 3" xfId="17438" xr:uid="{DAB230BE-0C70-46DB-B486-D3BB8664A4B7}"/>
    <cellStyle name="Comma 7 3 7 2 3 2" xfId="47678" xr:uid="{7C163F74-8362-4006-8C49-5A76278D05F0}"/>
    <cellStyle name="Comma 7 3 7 2 4" xfId="32558" xr:uid="{F4AE1514-83C6-43D4-B343-B68D8F1D5615}"/>
    <cellStyle name="Comma 7 3 7 3" xfId="3830" xr:uid="{02D9888E-829F-41CA-8027-1398A9E13907}"/>
    <cellStyle name="Comma 7 3 7 3 2" xfId="12902" xr:uid="{5F2E0CB1-6EA7-4554-9E00-A6D8284222AB}"/>
    <cellStyle name="Comma 7 3 7 3 2 2" xfId="28022" xr:uid="{564901FF-B7CA-4733-9BFC-0C336D97DC7B}"/>
    <cellStyle name="Comma 7 3 7 3 2 2 2" xfId="58262" xr:uid="{9CAADBE3-E246-4A0F-A8E9-F81EF93B9792}"/>
    <cellStyle name="Comma 7 3 7 3 2 3" xfId="43142" xr:uid="{3246B11A-BCC9-4873-AD90-786F6A74253E}"/>
    <cellStyle name="Comma 7 3 7 3 3" xfId="18950" xr:uid="{1BEEE983-92A9-40FF-BA4E-CC36FDAB4F41}"/>
    <cellStyle name="Comma 7 3 7 3 3 2" xfId="49190" xr:uid="{ECDC3EE2-A4FC-4A9A-8FD3-F2B010D83C6C}"/>
    <cellStyle name="Comma 7 3 7 3 4" xfId="34070" xr:uid="{827739C5-3B78-4A17-83B7-ABC67F566AD8}"/>
    <cellStyle name="Comma 7 3 7 4" xfId="5342" xr:uid="{637D4587-F03E-4CC3-8F73-10380C59D826}"/>
    <cellStyle name="Comma 7 3 7 4 2" xfId="14414" xr:uid="{FEEC0962-2584-4D12-8D41-534E250F3401}"/>
    <cellStyle name="Comma 7 3 7 4 2 2" xfId="29534" xr:uid="{6166EC9F-8519-4DB4-A0A1-9B33264B5723}"/>
    <cellStyle name="Comma 7 3 7 4 2 2 2" xfId="59774" xr:uid="{728EA65E-35C0-4515-92AA-18C142F2D236}"/>
    <cellStyle name="Comma 7 3 7 4 2 3" xfId="44654" xr:uid="{81C4E673-991E-486D-9FC0-B97C95AC68CD}"/>
    <cellStyle name="Comma 7 3 7 4 3" xfId="20462" xr:uid="{A0B79030-AF81-48AC-B223-A7161FFD0D3F}"/>
    <cellStyle name="Comma 7 3 7 4 3 2" xfId="50702" xr:uid="{801494A0-0CE2-49AC-BD1A-3DF87C0BAE9B}"/>
    <cellStyle name="Comma 7 3 7 4 4" xfId="35582" xr:uid="{07DCE815-D3F1-430D-B815-A0B286A38949}"/>
    <cellStyle name="Comma 7 3 7 5" xfId="6854" xr:uid="{CA3CEEAA-23C3-4C3C-9199-5B461292A650}"/>
    <cellStyle name="Comma 7 3 7 5 2" xfId="21974" xr:uid="{CBD8B13D-FECD-4CF8-A736-C5E02378D52B}"/>
    <cellStyle name="Comma 7 3 7 5 2 2" xfId="52214" xr:uid="{0F4D8034-70C7-4993-BEBB-516AB9EE5700}"/>
    <cellStyle name="Comma 7 3 7 5 3" xfId="37094" xr:uid="{1780FC3D-A9C6-4C6C-8129-77D81CA1F4C7}"/>
    <cellStyle name="Comma 7 3 7 6" xfId="8366" xr:uid="{7CC9EDC2-0E92-4DE8-9DC3-8040ED4636AE}"/>
    <cellStyle name="Comma 7 3 7 6 2" xfId="23486" xr:uid="{AA3FC7F7-B73B-4A1B-9AE0-E07357DEC3DD}"/>
    <cellStyle name="Comma 7 3 7 6 2 2" xfId="53726" xr:uid="{E6BF65BB-DF7D-4971-85DE-6DEE407BC468}"/>
    <cellStyle name="Comma 7 3 7 6 3" xfId="38606" xr:uid="{00B65D0F-FA0F-4015-84AF-4655DB10C895}"/>
    <cellStyle name="Comma 7 3 7 7" xfId="9878" xr:uid="{6DA36131-E46C-457A-98C0-4F687E8F73C1}"/>
    <cellStyle name="Comma 7 3 7 7 2" xfId="24998" xr:uid="{DFB8A9F3-8924-46CC-8AEF-85F04C12E81D}"/>
    <cellStyle name="Comma 7 3 7 7 2 2" xfId="55238" xr:uid="{3E83D8F6-8863-41BD-8BA9-EDA4EF8FCC76}"/>
    <cellStyle name="Comma 7 3 7 7 3" xfId="40118" xr:uid="{A86E7EB7-52C5-432B-8CF5-20DCAE131237}"/>
    <cellStyle name="Comma 7 3 7 8" xfId="15926" xr:uid="{066FC0E0-6554-463A-902D-338B0EAAD0E6}"/>
    <cellStyle name="Comma 7 3 7 8 2" xfId="46166" xr:uid="{67FBE361-0341-4AA9-83E7-AEFB6478BF11}"/>
    <cellStyle name="Comma 7 3 7 9" xfId="31046" xr:uid="{ACF140D9-5AD0-4054-B011-90CA0EEF096A}"/>
    <cellStyle name="Comma 7 3 8" xfId="1562" xr:uid="{B8947352-D606-4875-B48F-6531015D00E1}"/>
    <cellStyle name="Comma 7 3 8 2" xfId="10634" xr:uid="{0CA98B5E-0673-47D9-A03C-1B3D20A71D9B}"/>
    <cellStyle name="Comma 7 3 8 2 2" xfId="25754" xr:uid="{FE2C177D-8089-486A-975C-29231C76F266}"/>
    <cellStyle name="Comma 7 3 8 2 2 2" xfId="55994" xr:uid="{666E1B53-208C-4F06-B0F8-046996CBC9E7}"/>
    <cellStyle name="Comma 7 3 8 2 3" xfId="40874" xr:uid="{8FDC8404-6337-4E51-8E27-EFEE146398BC}"/>
    <cellStyle name="Comma 7 3 8 3" xfId="16682" xr:uid="{2A48CD03-582D-46F3-BE41-01F51C997F86}"/>
    <cellStyle name="Comma 7 3 8 3 2" xfId="46922" xr:uid="{8D7C72AB-5CD9-4CFE-99FD-FF49E7A8A28C}"/>
    <cellStyle name="Comma 7 3 8 4" xfId="31802" xr:uid="{7A28EEE8-7E53-4197-9E31-394376E87DAC}"/>
    <cellStyle name="Comma 7 3 9" xfId="3074" xr:uid="{79EA4C66-8ED2-4D35-946B-660CEBA3DDDC}"/>
    <cellStyle name="Comma 7 3 9 2" xfId="12146" xr:uid="{9B15AA33-F97E-4D08-992C-2394195F6481}"/>
    <cellStyle name="Comma 7 3 9 2 2" xfId="27266" xr:uid="{B8F91643-2C1D-403F-84C9-110AC4F5DD65}"/>
    <cellStyle name="Comma 7 3 9 2 2 2" xfId="57506" xr:uid="{DA6FD468-765E-49E7-90AB-A07EAC8218A5}"/>
    <cellStyle name="Comma 7 3 9 2 3" xfId="42386" xr:uid="{49D8E91C-2E7B-4316-858C-753F59D9EB32}"/>
    <cellStyle name="Comma 7 3 9 3" xfId="18194" xr:uid="{BC6346B3-B2EE-4061-9729-63CECDAE5DAA}"/>
    <cellStyle name="Comma 7 3 9 3 2" xfId="48434" xr:uid="{B9C0BB84-4D8F-4B7B-B7ED-5403B1C58279}"/>
    <cellStyle name="Comma 7 3 9 4" xfId="33314" xr:uid="{E8B12A88-3D57-417B-B54A-9A090C52152D}"/>
    <cellStyle name="Comma 7 4" xfId="64" xr:uid="{2B9575F7-E8B7-4D81-864E-74DE55E1F216}"/>
    <cellStyle name="Comma 7 4 10" xfId="6112" xr:uid="{E3B44410-41E4-4894-B91D-EE615CE8E9D1}"/>
    <cellStyle name="Comma 7 4 10 2" xfId="21232" xr:uid="{06E95926-5CFF-408B-9FB6-017D347923D7}"/>
    <cellStyle name="Comma 7 4 10 2 2" xfId="51472" xr:uid="{8E78860E-CFDE-4053-B9DB-A47948CF984D}"/>
    <cellStyle name="Comma 7 4 10 3" xfId="36352" xr:uid="{9FCFEE77-D9DC-4302-861A-52E06D9C4785}"/>
    <cellStyle name="Comma 7 4 11" xfId="7624" xr:uid="{2AD0FAE2-6B1E-4FB7-BF42-54053A149E51}"/>
    <cellStyle name="Comma 7 4 11 2" xfId="22744" xr:uid="{25D572B6-96D8-460B-8FE5-A180439DE857}"/>
    <cellStyle name="Comma 7 4 11 2 2" xfId="52984" xr:uid="{1FF51B12-0D36-4790-B5FD-CEBDB6B4428B}"/>
    <cellStyle name="Comma 7 4 11 3" xfId="37864" xr:uid="{C4ADEC9A-9A3C-47A3-A668-63789372DD92}"/>
    <cellStyle name="Comma 7 4 12" xfId="9136" xr:uid="{A7A1E14C-E73F-45AB-9A80-0286A16B560D}"/>
    <cellStyle name="Comma 7 4 12 2" xfId="24256" xr:uid="{92689C94-CE2F-4BB6-B8D2-FECE6CF5F2C1}"/>
    <cellStyle name="Comma 7 4 12 2 2" xfId="54496" xr:uid="{9F35CACA-1C15-42D9-AECB-728A8D9BBAED}"/>
    <cellStyle name="Comma 7 4 12 3" xfId="39376" xr:uid="{0A382BD1-6E8E-4459-99E6-4BF6D21B7C32}"/>
    <cellStyle name="Comma 7 4 13" xfId="15184" xr:uid="{3ADC040B-C17F-44A3-B22B-1AD5AB4A080D}"/>
    <cellStyle name="Comma 7 4 13 2" xfId="45424" xr:uid="{AF5229F7-24EC-4384-8F6E-7CCEC3E949D8}"/>
    <cellStyle name="Comma 7 4 14" xfId="30304" xr:uid="{1183D369-197F-410C-8661-4ACB0A3C5DB8}"/>
    <cellStyle name="Comma 7 4 2" xfId="148" xr:uid="{20F2F463-C7D7-40E8-A1BF-ECDCCC560706}"/>
    <cellStyle name="Comma 7 4 2 10" xfId="9220" xr:uid="{56A6F53E-30C2-40BA-90B2-55EF9436A66B}"/>
    <cellStyle name="Comma 7 4 2 10 2" xfId="24340" xr:uid="{D4FE8C26-8306-4FF6-B576-16FEEA1830D1}"/>
    <cellStyle name="Comma 7 4 2 10 2 2" xfId="54580" xr:uid="{58BB9B08-520F-4159-98F9-7960364F5B1C}"/>
    <cellStyle name="Comma 7 4 2 10 3" xfId="39460" xr:uid="{D5207C42-57AE-42E7-BC96-1B9BD4DE83E1}"/>
    <cellStyle name="Comma 7 4 2 11" xfId="15268" xr:uid="{1B80C668-19E1-4C94-B340-AED7C0613970}"/>
    <cellStyle name="Comma 7 4 2 11 2" xfId="45508" xr:uid="{761B6474-1A2D-4B4D-B86F-8FEDB86184F6}"/>
    <cellStyle name="Comma 7 4 2 12" xfId="30388" xr:uid="{A8DC9869-8319-49B7-BF4F-FACAA2EE3327}"/>
    <cellStyle name="Comma 7 4 2 2" xfId="400" xr:uid="{3A27708F-5B61-45F0-8CDD-68E8E3B39D29}"/>
    <cellStyle name="Comma 7 4 2 2 10" xfId="30640" xr:uid="{58DEAF49-59C6-4E07-BF17-A76E482A7E13}"/>
    <cellStyle name="Comma 7 4 2 2 2" xfId="1156" xr:uid="{22CCF5FA-0048-4A99-9709-1254A37E275A}"/>
    <cellStyle name="Comma 7 4 2 2 2 2" xfId="2668" xr:uid="{27B8ECB6-54BE-4190-BEF5-C2996FC80515}"/>
    <cellStyle name="Comma 7 4 2 2 2 2 2" xfId="11740" xr:uid="{30C4B03C-83E0-480C-A2A3-204130D1F8C4}"/>
    <cellStyle name="Comma 7 4 2 2 2 2 2 2" xfId="26860" xr:uid="{52795042-3A2A-4411-8E9B-DFE981235D9A}"/>
    <cellStyle name="Comma 7 4 2 2 2 2 2 2 2" xfId="57100" xr:uid="{07602920-F51D-440B-AD98-42EA8D656916}"/>
    <cellStyle name="Comma 7 4 2 2 2 2 2 3" xfId="41980" xr:uid="{DF2500E1-360F-44E0-9CBC-00D251476B2E}"/>
    <cellStyle name="Comma 7 4 2 2 2 2 3" xfId="17788" xr:uid="{2C182CE0-8144-411B-B3D9-3CBE7C1E6454}"/>
    <cellStyle name="Comma 7 4 2 2 2 2 3 2" xfId="48028" xr:uid="{2D69845C-F16C-4167-8DEC-3539EF81F7B2}"/>
    <cellStyle name="Comma 7 4 2 2 2 2 4" xfId="32908" xr:uid="{4B89D8DD-74E9-4F9C-B617-395552716682}"/>
    <cellStyle name="Comma 7 4 2 2 2 3" xfId="4180" xr:uid="{B6EB4436-4569-435D-A93B-CF66B126BAC0}"/>
    <cellStyle name="Comma 7 4 2 2 2 3 2" xfId="13252" xr:uid="{41477A20-5EC0-4190-B2CE-6DB691029634}"/>
    <cellStyle name="Comma 7 4 2 2 2 3 2 2" xfId="28372" xr:uid="{323DC0FC-410D-45C1-B7E4-D2BF6E62A0E5}"/>
    <cellStyle name="Comma 7 4 2 2 2 3 2 2 2" xfId="58612" xr:uid="{1E556CB5-F0E3-4E36-BE8B-CC3694F97FDA}"/>
    <cellStyle name="Comma 7 4 2 2 2 3 2 3" xfId="43492" xr:uid="{1CDABE26-464D-4906-87EA-537AB04A43E3}"/>
    <cellStyle name="Comma 7 4 2 2 2 3 3" xfId="19300" xr:uid="{CC391881-4330-4BF6-865B-5DDEC8286335}"/>
    <cellStyle name="Comma 7 4 2 2 2 3 3 2" xfId="49540" xr:uid="{60CA83E5-3C7E-4F45-A100-02DBE3660CE0}"/>
    <cellStyle name="Comma 7 4 2 2 2 3 4" xfId="34420" xr:uid="{FC87512A-BEC3-4976-B2A5-3B016BA032A2}"/>
    <cellStyle name="Comma 7 4 2 2 2 4" xfId="5692" xr:uid="{6D4194C0-8F76-4A71-84DB-1FF3F045A3DA}"/>
    <cellStyle name="Comma 7 4 2 2 2 4 2" xfId="14764" xr:uid="{DF2AB812-8E7B-49D8-A1FE-D596E0A7E1A5}"/>
    <cellStyle name="Comma 7 4 2 2 2 4 2 2" xfId="29884" xr:uid="{9CAEFA74-F211-4850-93F9-79FB52A7D7E1}"/>
    <cellStyle name="Comma 7 4 2 2 2 4 2 2 2" xfId="60124" xr:uid="{4F182FB9-42FB-47B9-881F-31C7F6CB26A3}"/>
    <cellStyle name="Comma 7 4 2 2 2 4 2 3" xfId="45004" xr:uid="{B99F63C9-CF8F-486C-9D75-C23EDEA7FB05}"/>
    <cellStyle name="Comma 7 4 2 2 2 4 3" xfId="20812" xr:uid="{6C0100F1-224D-4897-8598-BEDAC0E19827}"/>
    <cellStyle name="Comma 7 4 2 2 2 4 3 2" xfId="51052" xr:uid="{630E8300-782D-473C-BF24-F555FBF55C86}"/>
    <cellStyle name="Comma 7 4 2 2 2 4 4" xfId="35932" xr:uid="{8330A2AF-2AF3-423C-82EE-50C99CFA3D06}"/>
    <cellStyle name="Comma 7 4 2 2 2 5" xfId="7204" xr:uid="{F253437C-066A-4CE1-887E-D443DE0CC985}"/>
    <cellStyle name="Comma 7 4 2 2 2 5 2" xfId="22324" xr:uid="{842FC261-5D1A-4BEE-97F9-B997D160189D}"/>
    <cellStyle name="Comma 7 4 2 2 2 5 2 2" xfId="52564" xr:uid="{AE9B6FAC-35C5-4482-83E6-6F2E555B67FC}"/>
    <cellStyle name="Comma 7 4 2 2 2 5 3" xfId="37444" xr:uid="{28EB86D6-B9FD-47E7-AEDB-A578E603A2CD}"/>
    <cellStyle name="Comma 7 4 2 2 2 6" xfId="8716" xr:uid="{0A61CB3B-E08F-444D-8C0F-0B95EDC4966E}"/>
    <cellStyle name="Comma 7 4 2 2 2 6 2" xfId="23836" xr:uid="{C7A5C7F6-E0C6-47DE-A65D-D5975156FAE2}"/>
    <cellStyle name="Comma 7 4 2 2 2 6 2 2" xfId="54076" xr:uid="{B04BC119-E9CE-4830-8D3F-761BEB9F8C7C}"/>
    <cellStyle name="Comma 7 4 2 2 2 6 3" xfId="38956" xr:uid="{53E58ABC-56A6-464F-9D62-7483102C174A}"/>
    <cellStyle name="Comma 7 4 2 2 2 7" xfId="10228" xr:uid="{52DBEA16-DEF3-4001-B4F9-DC273BBB767D}"/>
    <cellStyle name="Comma 7 4 2 2 2 7 2" xfId="25348" xr:uid="{8587835F-9C54-41DE-B991-31EFF7F97F9C}"/>
    <cellStyle name="Comma 7 4 2 2 2 7 2 2" xfId="55588" xr:uid="{C31FBED6-677F-4586-8E9D-09B528521321}"/>
    <cellStyle name="Comma 7 4 2 2 2 7 3" xfId="40468" xr:uid="{7E609A40-A8C9-4059-8CA8-8A9BB6B6812B}"/>
    <cellStyle name="Comma 7 4 2 2 2 8" xfId="16276" xr:uid="{ED53E20F-F5A6-4B49-ADA2-048E34E243E0}"/>
    <cellStyle name="Comma 7 4 2 2 2 8 2" xfId="46516" xr:uid="{7D5672C9-C8E8-4E68-96F6-321FF113860C}"/>
    <cellStyle name="Comma 7 4 2 2 2 9" xfId="31396" xr:uid="{EAC1A4A4-650C-45BB-9002-35F873163A48}"/>
    <cellStyle name="Comma 7 4 2 2 3" xfId="1912" xr:uid="{EB5DE9E2-5BE5-46EC-8ADF-C641EB64CAEE}"/>
    <cellStyle name="Comma 7 4 2 2 3 2" xfId="10984" xr:uid="{1D362A3C-D2FF-48B9-B0B9-937D8B409821}"/>
    <cellStyle name="Comma 7 4 2 2 3 2 2" xfId="26104" xr:uid="{3CE52D96-A290-41C8-AC47-B7676A2E2F47}"/>
    <cellStyle name="Comma 7 4 2 2 3 2 2 2" xfId="56344" xr:uid="{A2FF055A-0075-43CC-9C94-795BF8600AE3}"/>
    <cellStyle name="Comma 7 4 2 2 3 2 3" xfId="41224" xr:uid="{0B867586-3936-4EA9-9722-4A6E3EB0C91E}"/>
    <cellStyle name="Comma 7 4 2 2 3 3" xfId="17032" xr:uid="{00940C0A-5554-44F4-BD17-393DD3661731}"/>
    <cellStyle name="Comma 7 4 2 2 3 3 2" xfId="47272" xr:uid="{68C06A2B-AB1A-4A70-855C-F70E81548193}"/>
    <cellStyle name="Comma 7 4 2 2 3 4" xfId="32152" xr:uid="{72087E60-242E-40D5-A696-CF3909804083}"/>
    <cellStyle name="Comma 7 4 2 2 4" xfId="3424" xr:uid="{E545D96C-4BB2-4977-AA7D-2F4E37AC0A25}"/>
    <cellStyle name="Comma 7 4 2 2 4 2" xfId="12496" xr:uid="{7CAF973E-A96A-4776-848C-91C51AB12AB0}"/>
    <cellStyle name="Comma 7 4 2 2 4 2 2" xfId="27616" xr:uid="{91DAD6C4-E5F8-40C9-A696-EF2AB9F68ACF}"/>
    <cellStyle name="Comma 7 4 2 2 4 2 2 2" xfId="57856" xr:uid="{8CF5DF29-8F3C-42D1-8D4C-184C3FBC41F9}"/>
    <cellStyle name="Comma 7 4 2 2 4 2 3" xfId="42736" xr:uid="{66EE5C2E-1600-47EA-A6B1-8F9E43CF336F}"/>
    <cellStyle name="Comma 7 4 2 2 4 3" xfId="18544" xr:uid="{91AE263D-D071-4F8E-BB5D-FDBE876F53F6}"/>
    <cellStyle name="Comma 7 4 2 2 4 3 2" xfId="48784" xr:uid="{FBC8DBE7-69B8-4833-9FFE-7A08EDFFD7CF}"/>
    <cellStyle name="Comma 7 4 2 2 4 4" xfId="33664" xr:uid="{122FC2B4-869A-41DB-B946-EDE296846F49}"/>
    <cellStyle name="Comma 7 4 2 2 5" xfId="4936" xr:uid="{5365319B-7729-45F1-A934-F929E86809E6}"/>
    <cellStyle name="Comma 7 4 2 2 5 2" xfId="14008" xr:uid="{7BCFAD02-227C-4DB2-895B-0C52640ABF53}"/>
    <cellStyle name="Comma 7 4 2 2 5 2 2" xfId="29128" xr:uid="{3EF85279-A7CA-41D8-8471-8983535DE578}"/>
    <cellStyle name="Comma 7 4 2 2 5 2 2 2" xfId="59368" xr:uid="{CF132A86-8822-4750-B030-F49B6ADA0BE8}"/>
    <cellStyle name="Comma 7 4 2 2 5 2 3" xfId="44248" xr:uid="{894CF986-C622-4223-8CE5-7F99C2D870AA}"/>
    <cellStyle name="Comma 7 4 2 2 5 3" xfId="20056" xr:uid="{5B9A32B3-2EE0-4DBC-8C8D-577C41470C60}"/>
    <cellStyle name="Comma 7 4 2 2 5 3 2" xfId="50296" xr:uid="{46D7B65D-835B-4684-A448-450D5715A753}"/>
    <cellStyle name="Comma 7 4 2 2 5 4" xfId="35176" xr:uid="{EAFCAC1E-192F-4446-B1B0-4826D2ED4473}"/>
    <cellStyle name="Comma 7 4 2 2 6" xfId="6448" xr:uid="{2643DCD1-9D39-45D1-AACD-E19008FB0FBA}"/>
    <cellStyle name="Comma 7 4 2 2 6 2" xfId="21568" xr:uid="{CC376C93-2385-4AED-BA10-1319CD02C73D}"/>
    <cellStyle name="Comma 7 4 2 2 6 2 2" xfId="51808" xr:uid="{E20F68E9-C042-4A0F-B0A4-D96B2B535002}"/>
    <cellStyle name="Comma 7 4 2 2 6 3" xfId="36688" xr:uid="{9515C455-74A4-4874-A933-02E81B28D020}"/>
    <cellStyle name="Comma 7 4 2 2 7" xfId="7960" xr:uid="{A35AA270-5074-42AD-904D-CC6E3C0B33DD}"/>
    <cellStyle name="Comma 7 4 2 2 7 2" xfId="23080" xr:uid="{C4D5442C-3F4D-4391-A4D2-6D88469FE5F4}"/>
    <cellStyle name="Comma 7 4 2 2 7 2 2" xfId="53320" xr:uid="{6E4335A0-0AB1-4034-988E-FF2114ED16A3}"/>
    <cellStyle name="Comma 7 4 2 2 7 3" xfId="38200" xr:uid="{41FBD6A7-84D5-4608-BE41-B034824851AD}"/>
    <cellStyle name="Comma 7 4 2 2 8" xfId="9472" xr:uid="{D85E8950-A9BF-41DB-9A59-90FC5EA64827}"/>
    <cellStyle name="Comma 7 4 2 2 8 2" xfId="24592" xr:uid="{2AE7DD23-C5AC-4B5D-9B02-93CF88E6AE69}"/>
    <cellStyle name="Comma 7 4 2 2 8 2 2" xfId="54832" xr:uid="{79104EE0-7768-4ACA-80BE-0096B94DFB96}"/>
    <cellStyle name="Comma 7 4 2 2 8 3" xfId="39712" xr:uid="{95214F15-D31E-4312-9B7C-5978AD217C60}"/>
    <cellStyle name="Comma 7 4 2 2 9" xfId="15520" xr:uid="{5BAEA5E5-D82F-4357-AB6A-ADEC75BD5E77}"/>
    <cellStyle name="Comma 7 4 2 2 9 2" xfId="45760" xr:uid="{3E73E9A0-44A6-475B-9295-7AA34B145F0D}"/>
    <cellStyle name="Comma 7 4 2 3" xfId="652" xr:uid="{58F13ED2-08F0-4EC3-9693-1D7159F7AE7C}"/>
    <cellStyle name="Comma 7 4 2 3 10" xfId="30892" xr:uid="{3F447889-EB8D-4CDD-8841-30E107624FD3}"/>
    <cellStyle name="Comma 7 4 2 3 2" xfId="1408" xr:uid="{5D082951-CEE6-48EF-8652-A67EDDAD6060}"/>
    <cellStyle name="Comma 7 4 2 3 2 2" xfId="2920" xr:uid="{F6AAA6C9-4CD5-431D-A574-35E30144528F}"/>
    <cellStyle name="Comma 7 4 2 3 2 2 2" xfId="11992" xr:uid="{FAC8CDB3-58B0-43C0-ABA0-D40E4DB1F09D}"/>
    <cellStyle name="Comma 7 4 2 3 2 2 2 2" xfId="27112" xr:uid="{254091A3-C81E-4372-985F-578E39BB7A17}"/>
    <cellStyle name="Comma 7 4 2 3 2 2 2 2 2" xfId="57352" xr:uid="{5180AD80-AEE6-4B42-9795-81CFB37462B8}"/>
    <cellStyle name="Comma 7 4 2 3 2 2 2 3" xfId="42232" xr:uid="{8E5A5F40-557A-4265-B87C-B91B1C83D4AB}"/>
    <cellStyle name="Comma 7 4 2 3 2 2 3" xfId="18040" xr:uid="{CF23A0A5-12A3-4CBA-9C12-1AA986E2FB00}"/>
    <cellStyle name="Comma 7 4 2 3 2 2 3 2" xfId="48280" xr:uid="{2DA651AD-5709-4DA4-8982-475B909B33A3}"/>
    <cellStyle name="Comma 7 4 2 3 2 2 4" xfId="33160" xr:uid="{7A639164-E1C9-401F-8CCC-7C4C0D65D24E}"/>
    <cellStyle name="Comma 7 4 2 3 2 3" xfId="4432" xr:uid="{5FAC846C-4F8C-4C39-8957-894873FD46CB}"/>
    <cellStyle name="Comma 7 4 2 3 2 3 2" xfId="13504" xr:uid="{2B840B34-AC21-42ED-BCF9-67A90CDCF35A}"/>
    <cellStyle name="Comma 7 4 2 3 2 3 2 2" xfId="28624" xr:uid="{1F4647B8-AF0B-4171-A98C-5E27843A1EDE}"/>
    <cellStyle name="Comma 7 4 2 3 2 3 2 2 2" xfId="58864" xr:uid="{66E54FE5-AC4E-4733-A183-DA1F94E0378A}"/>
    <cellStyle name="Comma 7 4 2 3 2 3 2 3" xfId="43744" xr:uid="{FEC9374E-E4DC-4D1E-863A-5BEFA3FA2FC3}"/>
    <cellStyle name="Comma 7 4 2 3 2 3 3" xfId="19552" xr:uid="{F02A75AF-5EC9-4679-8FD0-3EDB66133A2D}"/>
    <cellStyle name="Comma 7 4 2 3 2 3 3 2" xfId="49792" xr:uid="{E05DD734-2311-43AD-81B7-44A7B92462EC}"/>
    <cellStyle name="Comma 7 4 2 3 2 3 4" xfId="34672" xr:uid="{01FC2163-A97D-413E-A3F1-EE545B4A1AF8}"/>
    <cellStyle name="Comma 7 4 2 3 2 4" xfId="5944" xr:uid="{138A4D44-B16B-4675-9554-12C5EC1E2D06}"/>
    <cellStyle name="Comma 7 4 2 3 2 4 2" xfId="15016" xr:uid="{EC57816F-DD3A-4654-A4A1-B18AB927C7CD}"/>
    <cellStyle name="Comma 7 4 2 3 2 4 2 2" xfId="30136" xr:uid="{3C8372FE-70EE-4574-B38D-77CC0F741A20}"/>
    <cellStyle name="Comma 7 4 2 3 2 4 2 2 2" xfId="60376" xr:uid="{7AA01493-08B7-4B32-B0F3-FAAB5F8850F5}"/>
    <cellStyle name="Comma 7 4 2 3 2 4 2 3" xfId="45256" xr:uid="{013943A4-FA1C-4806-9716-573650CA36EB}"/>
    <cellStyle name="Comma 7 4 2 3 2 4 3" xfId="21064" xr:uid="{B182ADC5-6266-4F44-8526-FA3B27B5A7A3}"/>
    <cellStyle name="Comma 7 4 2 3 2 4 3 2" xfId="51304" xr:uid="{AD147DD3-AE23-43BE-884C-ED693964DDD1}"/>
    <cellStyle name="Comma 7 4 2 3 2 4 4" xfId="36184" xr:uid="{EA3F9A06-F840-4B84-BACF-3AEA6BA4A406}"/>
    <cellStyle name="Comma 7 4 2 3 2 5" xfId="7456" xr:uid="{B07AA1C5-69B1-44A7-892A-7337EEB95505}"/>
    <cellStyle name="Comma 7 4 2 3 2 5 2" xfId="22576" xr:uid="{5DE15998-3CE9-45C7-A30F-84AAE56E40BF}"/>
    <cellStyle name="Comma 7 4 2 3 2 5 2 2" xfId="52816" xr:uid="{DCECEADA-6395-48C3-992B-532FFFEE0EF8}"/>
    <cellStyle name="Comma 7 4 2 3 2 5 3" xfId="37696" xr:uid="{C2FE8E6F-A2A4-4DB6-BA21-BDF522997A98}"/>
    <cellStyle name="Comma 7 4 2 3 2 6" xfId="8968" xr:uid="{FB1DED89-BD69-409F-84F4-219A0EC1E8CB}"/>
    <cellStyle name="Comma 7 4 2 3 2 6 2" xfId="24088" xr:uid="{AFE1EBEE-27CC-44E4-AAAA-1BDD42BF570E}"/>
    <cellStyle name="Comma 7 4 2 3 2 6 2 2" xfId="54328" xr:uid="{5F945275-C31F-4240-9CC3-9A8C082D37A4}"/>
    <cellStyle name="Comma 7 4 2 3 2 6 3" xfId="39208" xr:uid="{2E48C53E-4B37-4BE2-B1EA-FE99CE0A5496}"/>
    <cellStyle name="Comma 7 4 2 3 2 7" xfId="10480" xr:uid="{C7C05365-7121-499E-90AF-9DBAAC8D8D46}"/>
    <cellStyle name="Comma 7 4 2 3 2 7 2" xfId="25600" xr:uid="{F55CCEE1-453E-4E98-9065-A1865E9D956F}"/>
    <cellStyle name="Comma 7 4 2 3 2 7 2 2" xfId="55840" xr:uid="{40BBEEC5-2234-4545-9DEC-0D937F9CA518}"/>
    <cellStyle name="Comma 7 4 2 3 2 7 3" xfId="40720" xr:uid="{5B802100-19B0-4561-B7D7-A2DB7F58623D}"/>
    <cellStyle name="Comma 7 4 2 3 2 8" xfId="16528" xr:uid="{00D86B71-ED82-4374-8525-A55CF8659117}"/>
    <cellStyle name="Comma 7 4 2 3 2 8 2" xfId="46768" xr:uid="{1A4B3022-BAF0-402B-93EA-9223E301A118}"/>
    <cellStyle name="Comma 7 4 2 3 2 9" xfId="31648" xr:uid="{64DC83D7-8F6F-4221-9398-63DF5CA5DFCF}"/>
    <cellStyle name="Comma 7 4 2 3 3" xfId="2164" xr:uid="{6DB6CC05-F147-4EAA-AF97-BA6BA3F7D55E}"/>
    <cellStyle name="Comma 7 4 2 3 3 2" xfId="11236" xr:uid="{B6A83DC7-EAE2-47B2-85FC-7BD9BD885F4E}"/>
    <cellStyle name="Comma 7 4 2 3 3 2 2" xfId="26356" xr:uid="{06C54447-1CCF-4584-ABA3-9E5E6CB52FBB}"/>
    <cellStyle name="Comma 7 4 2 3 3 2 2 2" xfId="56596" xr:uid="{7FB1DBF1-8258-4B55-9C1A-5053AF0C7797}"/>
    <cellStyle name="Comma 7 4 2 3 3 2 3" xfId="41476" xr:uid="{6F972F49-203B-4A8C-B612-C83147FA3B1A}"/>
    <cellStyle name="Comma 7 4 2 3 3 3" xfId="17284" xr:uid="{34A39404-2112-4564-91F1-C34654DE4530}"/>
    <cellStyle name="Comma 7 4 2 3 3 3 2" xfId="47524" xr:uid="{56C62E28-AB43-4C41-ACF6-1F976C317A28}"/>
    <cellStyle name="Comma 7 4 2 3 3 4" xfId="32404" xr:uid="{B8E06603-E362-4537-AA6A-1E8B1E54F65F}"/>
    <cellStyle name="Comma 7 4 2 3 4" xfId="3676" xr:uid="{9E761E42-01D6-463F-8C79-09BDB002EABB}"/>
    <cellStyle name="Comma 7 4 2 3 4 2" xfId="12748" xr:uid="{7AAE5D37-04B1-47DC-87EF-7F73C6C170E6}"/>
    <cellStyle name="Comma 7 4 2 3 4 2 2" xfId="27868" xr:uid="{82CF526C-2403-41E9-B2C5-62FD33A7BED7}"/>
    <cellStyle name="Comma 7 4 2 3 4 2 2 2" xfId="58108" xr:uid="{4C71ACE8-0590-4916-B352-C644CD574245}"/>
    <cellStyle name="Comma 7 4 2 3 4 2 3" xfId="42988" xr:uid="{A172E81E-1D24-4810-89D5-E4E0CC687DA9}"/>
    <cellStyle name="Comma 7 4 2 3 4 3" xfId="18796" xr:uid="{7068F1F4-B0DC-4A47-8584-C06547F1C77A}"/>
    <cellStyle name="Comma 7 4 2 3 4 3 2" xfId="49036" xr:uid="{4606C7F9-6AA3-46B2-A821-8AB1FA7364F3}"/>
    <cellStyle name="Comma 7 4 2 3 4 4" xfId="33916" xr:uid="{11F3B367-B6DF-4035-9D4B-49E33167C32B}"/>
    <cellStyle name="Comma 7 4 2 3 5" xfId="5188" xr:uid="{7358EF33-09EC-484B-836C-12CFDC835E3E}"/>
    <cellStyle name="Comma 7 4 2 3 5 2" xfId="14260" xr:uid="{9D175FD4-A790-4E4D-98A9-8094559254F8}"/>
    <cellStyle name="Comma 7 4 2 3 5 2 2" xfId="29380" xr:uid="{3A0F8874-5D6C-4253-82F6-197263AFD621}"/>
    <cellStyle name="Comma 7 4 2 3 5 2 2 2" xfId="59620" xr:uid="{8A98D765-F814-465A-994E-E2FB06935E02}"/>
    <cellStyle name="Comma 7 4 2 3 5 2 3" xfId="44500" xr:uid="{027211DC-E002-4961-A44C-D01E4F2CEE1B}"/>
    <cellStyle name="Comma 7 4 2 3 5 3" xfId="20308" xr:uid="{FB2F936C-7A0A-4333-AFFA-BC146F04E3D2}"/>
    <cellStyle name="Comma 7 4 2 3 5 3 2" xfId="50548" xr:uid="{D7F2C77A-67C6-46A6-A859-A0B82D88E1E5}"/>
    <cellStyle name="Comma 7 4 2 3 5 4" xfId="35428" xr:uid="{CBA0F0A8-F16B-450D-9F4F-E8CCE1320864}"/>
    <cellStyle name="Comma 7 4 2 3 6" xfId="6700" xr:uid="{754E3291-58A2-4156-8C3B-F77A9DE5E74B}"/>
    <cellStyle name="Comma 7 4 2 3 6 2" xfId="21820" xr:uid="{24FB4C31-1228-46D4-856D-FB1B8387260F}"/>
    <cellStyle name="Comma 7 4 2 3 6 2 2" xfId="52060" xr:uid="{9E4E7995-A888-48F2-BE02-5A9236A78DEB}"/>
    <cellStyle name="Comma 7 4 2 3 6 3" xfId="36940" xr:uid="{16681A6A-592F-4C6E-A22A-90AB854E3CD1}"/>
    <cellStyle name="Comma 7 4 2 3 7" xfId="8212" xr:uid="{70B1B586-AB13-4CEC-A374-DFDF0C64727A}"/>
    <cellStyle name="Comma 7 4 2 3 7 2" xfId="23332" xr:uid="{F1D25733-F55C-4599-968D-22486E83F3CF}"/>
    <cellStyle name="Comma 7 4 2 3 7 2 2" xfId="53572" xr:uid="{CAE6A1B3-1B42-4CD6-A057-032584388064}"/>
    <cellStyle name="Comma 7 4 2 3 7 3" xfId="38452" xr:uid="{107311A3-1B7A-4E9C-8BD8-419F9A5912A8}"/>
    <cellStyle name="Comma 7 4 2 3 8" xfId="9724" xr:uid="{9C846306-79E2-44CE-8261-B8BC694639DD}"/>
    <cellStyle name="Comma 7 4 2 3 8 2" xfId="24844" xr:uid="{6BF91F48-AA1D-4AEA-8D29-8B66F4371152}"/>
    <cellStyle name="Comma 7 4 2 3 8 2 2" xfId="55084" xr:uid="{A493DC46-17B7-4BBF-8017-393358F4332A}"/>
    <cellStyle name="Comma 7 4 2 3 8 3" xfId="39964" xr:uid="{063A2868-548D-4644-98E4-C2727F132961}"/>
    <cellStyle name="Comma 7 4 2 3 9" xfId="15772" xr:uid="{440C9B11-49EB-418C-AB4B-1A5E553A6D76}"/>
    <cellStyle name="Comma 7 4 2 3 9 2" xfId="46012" xr:uid="{02330AF4-4FCB-4F47-B38E-80E9691FE840}"/>
    <cellStyle name="Comma 7 4 2 4" xfId="904" xr:uid="{6744EC60-7DA1-40D0-B35D-93397A49A9D8}"/>
    <cellStyle name="Comma 7 4 2 4 2" xfId="2416" xr:uid="{BECB3BEE-B553-4FCA-8C82-1B45F4F6C76F}"/>
    <cellStyle name="Comma 7 4 2 4 2 2" xfId="11488" xr:uid="{CDFF12C7-F3FA-4EE9-AF4D-81F9C061D8F5}"/>
    <cellStyle name="Comma 7 4 2 4 2 2 2" xfId="26608" xr:uid="{C9D78FFB-2E10-45DB-BFCE-937F984637CF}"/>
    <cellStyle name="Comma 7 4 2 4 2 2 2 2" xfId="56848" xr:uid="{DE8ED6F0-1683-436A-B775-B3995EA2DE57}"/>
    <cellStyle name="Comma 7 4 2 4 2 2 3" xfId="41728" xr:uid="{75EE0573-007A-4E5D-AAE8-000C3CB63B8F}"/>
    <cellStyle name="Comma 7 4 2 4 2 3" xfId="17536" xr:uid="{7986EC17-876B-4F05-8439-DA29843640E8}"/>
    <cellStyle name="Comma 7 4 2 4 2 3 2" xfId="47776" xr:uid="{C241303C-6363-41D0-89DE-B0EA1BCDA307}"/>
    <cellStyle name="Comma 7 4 2 4 2 4" xfId="32656" xr:uid="{3FA41F27-0EAB-411A-B3A3-AA1497EADEA0}"/>
    <cellStyle name="Comma 7 4 2 4 3" xfId="3928" xr:uid="{304A2F16-7DA0-449B-8A15-97A38A257365}"/>
    <cellStyle name="Comma 7 4 2 4 3 2" xfId="13000" xr:uid="{B8EC9A4E-D526-4D54-9981-DAA06FBDF547}"/>
    <cellStyle name="Comma 7 4 2 4 3 2 2" xfId="28120" xr:uid="{58FACEF6-460D-4B1D-9DF5-842BB8873EC8}"/>
    <cellStyle name="Comma 7 4 2 4 3 2 2 2" xfId="58360" xr:uid="{7F73C618-161F-49DE-AAB7-814A8CC9B28D}"/>
    <cellStyle name="Comma 7 4 2 4 3 2 3" xfId="43240" xr:uid="{8E3028CA-18EE-42F4-8AA1-1D7AD96D047F}"/>
    <cellStyle name="Comma 7 4 2 4 3 3" xfId="19048" xr:uid="{BCF76FD5-BEB7-481B-875B-BDCD2F24D0FC}"/>
    <cellStyle name="Comma 7 4 2 4 3 3 2" xfId="49288" xr:uid="{567ACBB5-BF09-458C-8741-491D4E6579C0}"/>
    <cellStyle name="Comma 7 4 2 4 3 4" xfId="34168" xr:uid="{7FD7208E-C5B4-4073-90E9-567F162EE9E5}"/>
    <cellStyle name="Comma 7 4 2 4 4" xfId="5440" xr:uid="{A5D2BA86-F026-4B35-BCA9-1715233F5598}"/>
    <cellStyle name="Comma 7 4 2 4 4 2" xfId="14512" xr:uid="{86552666-A08C-40DC-84D7-89BD8352092F}"/>
    <cellStyle name="Comma 7 4 2 4 4 2 2" xfId="29632" xr:uid="{93613A5D-29D4-4D74-93CF-6B720ED5B3E1}"/>
    <cellStyle name="Comma 7 4 2 4 4 2 2 2" xfId="59872" xr:uid="{39B0E3E7-5091-40B8-88BE-D9D263461CAD}"/>
    <cellStyle name="Comma 7 4 2 4 4 2 3" xfId="44752" xr:uid="{1CAAC39A-7F89-4A9A-B7B6-D2C9060A09C3}"/>
    <cellStyle name="Comma 7 4 2 4 4 3" xfId="20560" xr:uid="{C226846F-06A8-4A1A-98C6-BCE5BFCC7803}"/>
    <cellStyle name="Comma 7 4 2 4 4 3 2" xfId="50800" xr:uid="{EF64DDEC-B718-4A02-B108-47A628544098}"/>
    <cellStyle name="Comma 7 4 2 4 4 4" xfId="35680" xr:uid="{FEB0DF0C-6103-404D-9814-BDBD911255D5}"/>
    <cellStyle name="Comma 7 4 2 4 5" xfId="6952" xr:uid="{E6B87D76-C790-4032-9C80-D1FBBDE56A4B}"/>
    <cellStyle name="Comma 7 4 2 4 5 2" xfId="22072" xr:uid="{30D5B6A3-2216-428E-88FF-EEA07CB9077A}"/>
    <cellStyle name="Comma 7 4 2 4 5 2 2" xfId="52312" xr:uid="{EB6E36D9-9E4C-44FA-A38E-FE9675C34D03}"/>
    <cellStyle name="Comma 7 4 2 4 5 3" xfId="37192" xr:uid="{45424DA1-FCB6-4B5E-8923-F78D65743357}"/>
    <cellStyle name="Comma 7 4 2 4 6" xfId="8464" xr:uid="{79288DFF-2971-45CB-BA3A-44842D36F7A1}"/>
    <cellStyle name="Comma 7 4 2 4 6 2" xfId="23584" xr:uid="{17787289-6013-4083-8E41-5D1D331BDB86}"/>
    <cellStyle name="Comma 7 4 2 4 6 2 2" xfId="53824" xr:uid="{95195D22-9BFE-47DC-A8AE-1E17BB593D9B}"/>
    <cellStyle name="Comma 7 4 2 4 6 3" xfId="38704" xr:uid="{C2AC66C8-953D-4098-BD03-899F5293C721}"/>
    <cellStyle name="Comma 7 4 2 4 7" xfId="9976" xr:uid="{B6E789AD-A075-4D59-802A-424E99B4450F}"/>
    <cellStyle name="Comma 7 4 2 4 7 2" xfId="25096" xr:uid="{4CB7214E-99DB-4233-8062-C0DF43EDE3C2}"/>
    <cellStyle name="Comma 7 4 2 4 7 2 2" xfId="55336" xr:uid="{EAFD9258-6FFA-41A0-AF5E-8D4EAF53D941}"/>
    <cellStyle name="Comma 7 4 2 4 7 3" xfId="40216" xr:uid="{5C930645-052C-4E9A-9DC9-656B045C037B}"/>
    <cellStyle name="Comma 7 4 2 4 8" xfId="16024" xr:uid="{DEFB8DA8-72CA-4987-9F9D-0C61EB88975A}"/>
    <cellStyle name="Comma 7 4 2 4 8 2" xfId="46264" xr:uid="{E3C87884-0AE5-4AFD-98C4-FB0B8F4AF8AC}"/>
    <cellStyle name="Comma 7 4 2 4 9" xfId="31144" xr:uid="{7EA32D95-133D-457B-B96A-06BF10285C79}"/>
    <cellStyle name="Comma 7 4 2 5" xfId="1660" xr:uid="{FBA82039-7168-471F-AB9F-97FE3D46901A}"/>
    <cellStyle name="Comma 7 4 2 5 2" xfId="10732" xr:uid="{2F9030D6-3E6E-4ADE-A36C-DCE0DDF96B1C}"/>
    <cellStyle name="Comma 7 4 2 5 2 2" xfId="25852" xr:uid="{A7F6AB65-F8DE-40B5-9561-86C8F8F91362}"/>
    <cellStyle name="Comma 7 4 2 5 2 2 2" xfId="56092" xr:uid="{37E33EDF-723D-4EBD-9C1C-B80E9449222C}"/>
    <cellStyle name="Comma 7 4 2 5 2 3" xfId="40972" xr:uid="{D2372C5E-4D35-4075-9E2E-72A6FF7FF9FE}"/>
    <cellStyle name="Comma 7 4 2 5 3" xfId="16780" xr:uid="{8C4283F7-6B7E-46D6-8B47-EE392658E7D6}"/>
    <cellStyle name="Comma 7 4 2 5 3 2" xfId="47020" xr:uid="{F9CDD793-E9FE-4209-A2B0-51D8B591F200}"/>
    <cellStyle name="Comma 7 4 2 5 4" xfId="31900" xr:uid="{7FE1A668-C688-4F79-A748-AFBCFEFB60C2}"/>
    <cellStyle name="Comma 7 4 2 6" xfId="3172" xr:uid="{B94C95A3-A4E9-4340-8389-BC06145FB20F}"/>
    <cellStyle name="Comma 7 4 2 6 2" xfId="12244" xr:uid="{4763F902-275C-4BAC-A5C0-AB83BBC923DF}"/>
    <cellStyle name="Comma 7 4 2 6 2 2" xfId="27364" xr:uid="{9EBB327B-9DDC-4954-BB82-3E8A4F10F74C}"/>
    <cellStyle name="Comma 7 4 2 6 2 2 2" xfId="57604" xr:uid="{C6C1B2BB-6B82-4D89-8D66-E0C537C419C7}"/>
    <cellStyle name="Comma 7 4 2 6 2 3" xfId="42484" xr:uid="{C2BC622E-FA4B-4712-94B6-85AD6EC9141A}"/>
    <cellStyle name="Comma 7 4 2 6 3" xfId="18292" xr:uid="{1EB33F0E-44B9-48BA-B08F-C10A7AFD303F}"/>
    <cellStyle name="Comma 7 4 2 6 3 2" xfId="48532" xr:uid="{884ECB36-4BAE-491F-A281-E3645B0141DF}"/>
    <cellStyle name="Comma 7 4 2 6 4" xfId="33412" xr:uid="{6DA10BA4-96F9-46C0-B9CD-BC0B3087353B}"/>
    <cellStyle name="Comma 7 4 2 7" xfId="4684" xr:uid="{D8961500-4CB6-49A6-8335-FCF40640EA44}"/>
    <cellStyle name="Comma 7 4 2 7 2" xfId="13756" xr:uid="{D25542EE-67CF-4622-9E4A-274D508016A3}"/>
    <cellStyle name="Comma 7 4 2 7 2 2" xfId="28876" xr:uid="{5C799FC6-627B-4CF9-A1D8-E6EBA1EF0E24}"/>
    <cellStyle name="Comma 7 4 2 7 2 2 2" xfId="59116" xr:uid="{D8ABE6AC-5161-428C-B716-51F92BB49885}"/>
    <cellStyle name="Comma 7 4 2 7 2 3" xfId="43996" xr:uid="{B82622DB-8235-488F-BE3C-296A5282B157}"/>
    <cellStyle name="Comma 7 4 2 7 3" xfId="19804" xr:uid="{E4125C7E-435D-4DF4-B166-D199D1D1B08C}"/>
    <cellStyle name="Comma 7 4 2 7 3 2" xfId="50044" xr:uid="{A4C2D008-243E-4B65-92A3-010EBD1630B8}"/>
    <cellStyle name="Comma 7 4 2 7 4" xfId="34924" xr:uid="{8136AD2B-0793-4CA5-BEE9-1D092ADB8190}"/>
    <cellStyle name="Comma 7 4 2 8" xfId="6196" xr:uid="{1CFFFBD1-7261-43C5-B171-F28E82CA78B4}"/>
    <cellStyle name="Comma 7 4 2 8 2" xfId="21316" xr:uid="{C3631EF9-5277-4AD0-8C48-DDB2421F183C}"/>
    <cellStyle name="Comma 7 4 2 8 2 2" xfId="51556" xr:uid="{F3D96407-22BA-4883-A494-C9E9D9C7CAA2}"/>
    <cellStyle name="Comma 7 4 2 8 3" xfId="36436" xr:uid="{C58FF8CD-3053-45DD-B18C-52A21E40F6B6}"/>
    <cellStyle name="Comma 7 4 2 9" xfId="7708" xr:uid="{A933637F-69F1-4425-8852-70C58CDFEB0F}"/>
    <cellStyle name="Comma 7 4 2 9 2" xfId="22828" xr:uid="{C99F79F3-5034-464E-8FE9-DF3022DBF763}"/>
    <cellStyle name="Comma 7 4 2 9 2 2" xfId="53068" xr:uid="{888755CE-EB9D-446B-B200-F07C39D233F9}"/>
    <cellStyle name="Comma 7 4 2 9 3" xfId="37948" xr:uid="{64C3CE84-F57A-4906-B2F4-2CED17513983}"/>
    <cellStyle name="Comma 7 4 3" xfId="232" xr:uid="{3682020B-122A-46B3-9A0A-9399182FBB55}"/>
    <cellStyle name="Comma 7 4 3 10" xfId="9304" xr:uid="{C29B28AD-F56A-4CCC-80E3-1C8DD50F9ADC}"/>
    <cellStyle name="Comma 7 4 3 10 2" xfId="24424" xr:uid="{09CEE3A2-D9A4-4726-8E96-2FC8F4125E0A}"/>
    <cellStyle name="Comma 7 4 3 10 2 2" xfId="54664" xr:uid="{CCE24C71-45DC-4696-BC17-79A86C33902A}"/>
    <cellStyle name="Comma 7 4 3 10 3" xfId="39544" xr:uid="{53632F87-DE98-404A-8D84-A447A0D92DB2}"/>
    <cellStyle name="Comma 7 4 3 11" xfId="15352" xr:uid="{D91A4C6B-EEE9-47EF-82D2-B07DDC407B7E}"/>
    <cellStyle name="Comma 7 4 3 11 2" xfId="45592" xr:uid="{12DFDACC-7DF9-4E06-B8E8-EF0E7D905989}"/>
    <cellStyle name="Comma 7 4 3 12" xfId="30472" xr:uid="{5FA8508A-386E-425B-AA5A-BC8255F23216}"/>
    <cellStyle name="Comma 7 4 3 2" xfId="484" xr:uid="{F0602ED1-7E8F-4B0B-8F4E-B6079DAFC2F0}"/>
    <cellStyle name="Comma 7 4 3 2 10" xfId="30724" xr:uid="{BA3F31AA-A1DE-404A-9FBD-CCB4F2748F73}"/>
    <cellStyle name="Comma 7 4 3 2 2" xfId="1240" xr:uid="{91261B74-D537-4E0D-96AE-6713A0A466C2}"/>
    <cellStyle name="Comma 7 4 3 2 2 2" xfId="2752" xr:uid="{139CE253-78E4-49A8-B7F8-9B7451C7649C}"/>
    <cellStyle name="Comma 7 4 3 2 2 2 2" xfId="11824" xr:uid="{32D08B23-0CE7-49FE-93A9-DE935035CBEC}"/>
    <cellStyle name="Comma 7 4 3 2 2 2 2 2" xfId="26944" xr:uid="{DE121556-9292-4992-9B21-88DF612CD930}"/>
    <cellStyle name="Comma 7 4 3 2 2 2 2 2 2" xfId="57184" xr:uid="{AA695FAE-7D52-45D8-89A6-F6F797F14CAC}"/>
    <cellStyle name="Comma 7 4 3 2 2 2 2 3" xfId="42064" xr:uid="{5EC70806-89AE-4294-BD64-9709A972EB9A}"/>
    <cellStyle name="Comma 7 4 3 2 2 2 3" xfId="17872" xr:uid="{F54274E5-2990-4762-8A34-0A7255114463}"/>
    <cellStyle name="Comma 7 4 3 2 2 2 3 2" xfId="48112" xr:uid="{CD418CB1-C2F5-4F9E-8708-A710348F5879}"/>
    <cellStyle name="Comma 7 4 3 2 2 2 4" xfId="32992" xr:uid="{F5901976-2CBA-41E8-9FB1-A8B1146B10DA}"/>
    <cellStyle name="Comma 7 4 3 2 2 3" xfId="4264" xr:uid="{B7950299-D0C2-4E4D-B719-9E3758A6CBDF}"/>
    <cellStyle name="Comma 7 4 3 2 2 3 2" xfId="13336" xr:uid="{1FFD2383-7815-43EE-8454-7BF396061630}"/>
    <cellStyle name="Comma 7 4 3 2 2 3 2 2" xfId="28456" xr:uid="{9CBABE3A-01C3-4CE7-9FB7-454410EDAABD}"/>
    <cellStyle name="Comma 7 4 3 2 2 3 2 2 2" xfId="58696" xr:uid="{B80ED77D-C020-4DDA-BBF0-477597D945CD}"/>
    <cellStyle name="Comma 7 4 3 2 2 3 2 3" xfId="43576" xr:uid="{150C5D05-32E9-452D-9689-3973E0028A3B}"/>
    <cellStyle name="Comma 7 4 3 2 2 3 3" xfId="19384" xr:uid="{9AF39B96-A381-4F32-8796-27227B5FC7A2}"/>
    <cellStyle name="Comma 7 4 3 2 2 3 3 2" xfId="49624" xr:uid="{C104D254-615E-4EA6-A9FC-169F74CBC72B}"/>
    <cellStyle name="Comma 7 4 3 2 2 3 4" xfId="34504" xr:uid="{8DBB04D4-9703-4C96-A302-8265A86CCD92}"/>
    <cellStyle name="Comma 7 4 3 2 2 4" xfId="5776" xr:uid="{3034C0E1-CF04-45EC-AB4D-9C268293DF7B}"/>
    <cellStyle name="Comma 7 4 3 2 2 4 2" xfId="14848" xr:uid="{F8D2CC23-DBC8-4FA9-A4C4-0022EAD148D9}"/>
    <cellStyle name="Comma 7 4 3 2 2 4 2 2" xfId="29968" xr:uid="{0D314269-8781-462E-A94B-45C8DD6E583C}"/>
    <cellStyle name="Comma 7 4 3 2 2 4 2 2 2" xfId="60208" xr:uid="{F232CEA4-796A-477C-8FCF-563EA5BD8B83}"/>
    <cellStyle name="Comma 7 4 3 2 2 4 2 3" xfId="45088" xr:uid="{F8427CB3-4C57-40E0-89DC-6CD025996F63}"/>
    <cellStyle name="Comma 7 4 3 2 2 4 3" xfId="20896" xr:uid="{EAF718D8-7DCD-4398-A6EF-2FD851C7B487}"/>
    <cellStyle name="Comma 7 4 3 2 2 4 3 2" xfId="51136" xr:uid="{15268858-9818-43E5-B8C0-6FE3D27932F7}"/>
    <cellStyle name="Comma 7 4 3 2 2 4 4" xfId="36016" xr:uid="{A461D284-69A6-43DA-9A96-6B14F8510659}"/>
    <cellStyle name="Comma 7 4 3 2 2 5" xfId="7288" xr:uid="{743A0AA8-0481-437F-8F0C-5DD17183B956}"/>
    <cellStyle name="Comma 7 4 3 2 2 5 2" xfId="22408" xr:uid="{576C27DE-45DA-4778-86A5-9D0E06FE3DCB}"/>
    <cellStyle name="Comma 7 4 3 2 2 5 2 2" xfId="52648" xr:uid="{2869F598-EA23-4D4F-89D4-DB8C211E2368}"/>
    <cellStyle name="Comma 7 4 3 2 2 5 3" xfId="37528" xr:uid="{2FAADE37-875A-40CF-BCC3-94814E7218AA}"/>
    <cellStyle name="Comma 7 4 3 2 2 6" xfId="8800" xr:uid="{7A294BD1-58FC-41A3-A143-F5DE6AC10C3F}"/>
    <cellStyle name="Comma 7 4 3 2 2 6 2" xfId="23920" xr:uid="{625B08FD-3C51-42EE-AB2A-EA79BFF2532D}"/>
    <cellStyle name="Comma 7 4 3 2 2 6 2 2" xfId="54160" xr:uid="{1F995A2D-6A8F-4E12-A2DC-90600BE755C6}"/>
    <cellStyle name="Comma 7 4 3 2 2 6 3" xfId="39040" xr:uid="{78AA409F-8796-434A-9672-9131DF95D0BF}"/>
    <cellStyle name="Comma 7 4 3 2 2 7" xfId="10312" xr:uid="{6E9779D9-AFCC-47E3-B53A-B5A751839296}"/>
    <cellStyle name="Comma 7 4 3 2 2 7 2" xfId="25432" xr:uid="{843D7149-1096-480E-802F-9690C9FBF74A}"/>
    <cellStyle name="Comma 7 4 3 2 2 7 2 2" xfId="55672" xr:uid="{B68E8EFB-3FF3-4662-BE71-CE4D22E8E6D7}"/>
    <cellStyle name="Comma 7 4 3 2 2 7 3" xfId="40552" xr:uid="{8BB5FB16-6106-48BE-B79B-62C5E86FC130}"/>
    <cellStyle name="Comma 7 4 3 2 2 8" xfId="16360" xr:uid="{CCF5034B-3C7C-4212-9912-D75FE836F438}"/>
    <cellStyle name="Comma 7 4 3 2 2 8 2" xfId="46600" xr:uid="{C6AA931A-9404-42BB-BA3F-21AB8A7E4CA1}"/>
    <cellStyle name="Comma 7 4 3 2 2 9" xfId="31480" xr:uid="{A3EB7F6C-0CC6-4166-85A9-3D2DB867A91E}"/>
    <cellStyle name="Comma 7 4 3 2 3" xfId="1996" xr:uid="{1C50603C-3E77-4FC8-A9F8-BE4385AD606B}"/>
    <cellStyle name="Comma 7 4 3 2 3 2" xfId="11068" xr:uid="{60283502-6855-4DB8-BF15-9F67D0BB6F39}"/>
    <cellStyle name="Comma 7 4 3 2 3 2 2" xfId="26188" xr:uid="{0B471440-602D-4E98-995D-DE67E51DC020}"/>
    <cellStyle name="Comma 7 4 3 2 3 2 2 2" xfId="56428" xr:uid="{EDC31D04-4423-4A4A-899E-971F585ECA47}"/>
    <cellStyle name="Comma 7 4 3 2 3 2 3" xfId="41308" xr:uid="{F257A592-3151-4721-9C80-39232F021B36}"/>
    <cellStyle name="Comma 7 4 3 2 3 3" xfId="17116" xr:uid="{71F4FFD8-CF05-44B6-A62B-7C964C30E688}"/>
    <cellStyle name="Comma 7 4 3 2 3 3 2" xfId="47356" xr:uid="{325357C7-9390-4840-A073-17F1329034F4}"/>
    <cellStyle name="Comma 7 4 3 2 3 4" xfId="32236" xr:uid="{B05800BD-0BA8-4B23-B4AA-26C770D70DAA}"/>
    <cellStyle name="Comma 7 4 3 2 4" xfId="3508" xr:uid="{AC2F5E84-0173-4C28-9406-822082BE34AD}"/>
    <cellStyle name="Comma 7 4 3 2 4 2" xfId="12580" xr:uid="{D77D7092-444F-4603-B386-AE3964D0BA27}"/>
    <cellStyle name="Comma 7 4 3 2 4 2 2" xfId="27700" xr:uid="{C1EE2B40-CB57-43C3-BAA2-30675930ADDF}"/>
    <cellStyle name="Comma 7 4 3 2 4 2 2 2" xfId="57940" xr:uid="{783AB1E6-72C7-4949-AF6F-70501F54BD74}"/>
    <cellStyle name="Comma 7 4 3 2 4 2 3" xfId="42820" xr:uid="{1D59CEB5-1DCA-425D-A548-623AC4B2FE3B}"/>
    <cellStyle name="Comma 7 4 3 2 4 3" xfId="18628" xr:uid="{43D1294A-1ED5-41D1-BADB-47254257C75F}"/>
    <cellStyle name="Comma 7 4 3 2 4 3 2" xfId="48868" xr:uid="{935886E5-462A-48FA-9E81-47EE2CC5109C}"/>
    <cellStyle name="Comma 7 4 3 2 4 4" xfId="33748" xr:uid="{04D68EFC-0828-4C0D-BF4B-61C1C40D9416}"/>
    <cellStyle name="Comma 7 4 3 2 5" xfId="5020" xr:uid="{0629E474-171C-4243-9E02-BF7243F610D1}"/>
    <cellStyle name="Comma 7 4 3 2 5 2" xfId="14092" xr:uid="{F3424C2E-3FE2-4313-870E-C13AD660298B}"/>
    <cellStyle name="Comma 7 4 3 2 5 2 2" xfId="29212" xr:uid="{2CBA6EDF-EA43-42BD-9044-988F90E37C16}"/>
    <cellStyle name="Comma 7 4 3 2 5 2 2 2" xfId="59452" xr:uid="{752588AB-9BBE-4796-9CE1-6AA10710A384}"/>
    <cellStyle name="Comma 7 4 3 2 5 2 3" xfId="44332" xr:uid="{BF41EA7D-37FD-45AD-B743-96B9338420E0}"/>
    <cellStyle name="Comma 7 4 3 2 5 3" xfId="20140" xr:uid="{F90DFD25-5122-46AA-9AEF-880690C98E16}"/>
    <cellStyle name="Comma 7 4 3 2 5 3 2" xfId="50380" xr:uid="{AE989654-9AC2-4BD6-B055-4777C7F21F0F}"/>
    <cellStyle name="Comma 7 4 3 2 5 4" xfId="35260" xr:uid="{4A935DA3-2B29-4E69-8CDD-FCBAC878ECB6}"/>
    <cellStyle name="Comma 7 4 3 2 6" xfId="6532" xr:uid="{8CC768F8-C93D-4471-832E-62B738A5BA1C}"/>
    <cellStyle name="Comma 7 4 3 2 6 2" xfId="21652" xr:uid="{F32D10EE-6506-44EF-A4F2-72B36BBA08F7}"/>
    <cellStyle name="Comma 7 4 3 2 6 2 2" xfId="51892" xr:uid="{BB38AAD8-FC11-4BF1-A6FC-5FACAFF02C04}"/>
    <cellStyle name="Comma 7 4 3 2 6 3" xfId="36772" xr:uid="{24C0E046-D656-4B4C-A1C1-D7672FC22011}"/>
    <cellStyle name="Comma 7 4 3 2 7" xfId="8044" xr:uid="{60103BB6-AED1-4245-89C1-92C251A1360D}"/>
    <cellStyle name="Comma 7 4 3 2 7 2" xfId="23164" xr:uid="{BC2494C2-9EC8-4FDE-8874-BEDEEE0F00E0}"/>
    <cellStyle name="Comma 7 4 3 2 7 2 2" xfId="53404" xr:uid="{D096F69D-F671-4883-9262-0050426261EE}"/>
    <cellStyle name="Comma 7 4 3 2 7 3" xfId="38284" xr:uid="{1CD9FA96-AD28-4BCF-B761-0C11106990F4}"/>
    <cellStyle name="Comma 7 4 3 2 8" xfId="9556" xr:uid="{F234D57F-DBB0-4577-AF5C-35100C72FC60}"/>
    <cellStyle name="Comma 7 4 3 2 8 2" xfId="24676" xr:uid="{D409F004-E7F0-4299-A6AB-9B6B6BB93739}"/>
    <cellStyle name="Comma 7 4 3 2 8 2 2" xfId="54916" xr:uid="{F4E931B4-3127-478B-BAB0-B94511CF4D89}"/>
    <cellStyle name="Comma 7 4 3 2 8 3" xfId="39796" xr:uid="{6A91ED34-ED3E-4870-BADF-A03885D343E3}"/>
    <cellStyle name="Comma 7 4 3 2 9" xfId="15604" xr:uid="{1562DEB4-10D8-4735-BB27-CEEDB5E039AD}"/>
    <cellStyle name="Comma 7 4 3 2 9 2" xfId="45844" xr:uid="{71195186-1210-435B-B2CC-540825D2B224}"/>
    <cellStyle name="Comma 7 4 3 3" xfId="736" xr:uid="{51EF8D55-5611-44E5-8DBB-CF14F358F063}"/>
    <cellStyle name="Comma 7 4 3 3 10" xfId="30976" xr:uid="{610F3608-A58E-407B-A812-C14C2E3791C6}"/>
    <cellStyle name="Comma 7 4 3 3 2" xfId="1492" xr:uid="{114C0DFA-0BDD-4326-A5EF-EF9EF72C3E3F}"/>
    <cellStyle name="Comma 7 4 3 3 2 2" xfId="3004" xr:uid="{EB16D439-1164-4F23-BB89-8B65204B6750}"/>
    <cellStyle name="Comma 7 4 3 3 2 2 2" xfId="12076" xr:uid="{9482B446-ABC6-4760-AFB4-42B7A7AEAC56}"/>
    <cellStyle name="Comma 7 4 3 3 2 2 2 2" xfId="27196" xr:uid="{694EEF86-2B28-4FEC-A1F3-AAE68B1F2227}"/>
    <cellStyle name="Comma 7 4 3 3 2 2 2 2 2" xfId="57436" xr:uid="{14710AB4-0045-414F-85EC-F4C4D410411D}"/>
    <cellStyle name="Comma 7 4 3 3 2 2 2 3" xfId="42316" xr:uid="{5C4545B1-30F4-4991-BA00-311FA09ED4D0}"/>
    <cellStyle name="Comma 7 4 3 3 2 2 3" xfId="18124" xr:uid="{4B07CC28-E96F-4CB7-B337-51CBD7B5456E}"/>
    <cellStyle name="Comma 7 4 3 3 2 2 3 2" xfId="48364" xr:uid="{8874D7DB-456A-45B6-9DE0-18F07ECBFF68}"/>
    <cellStyle name="Comma 7 4 3 3 2 2 4" xfId="33244" xr:uid="{FB9EBE54-DA04-4AAC-B419-1E6157016667}"/>
    <cellStyle name="Comma 7 4 3 3 2 3" xfId="4516" xr:uid="{21C861C8-67CB-413C-AF56-FA176782B5DF}"/>
    <cellStyle name="Comma 7 4 3 3 2 3 2" xfId="13588" xr:uid="{F9295FCF-D3A9-4B7E-807F-BFF46CC1D3D5}"/>
    <cellStyle name="Comma 7 4 3 3 2 3 2 2" xfId="28708" xr:uid="{2D60254A-2F09-4991-B2F9-F31A85E9C3A7}"/>
    <cellStyle name="Comma 7 4 3 3 2 3 2 2 2" xfId="58948" xr:uid="{7D72C5E1-D367-44F2-97DB-AA863253B85C}"/>
    <cellStyle name="Comma 7 4 3 3 2 3 2 3" xfId="43828" xr:uid="{9B0CA79C-E313-4245-90EA-4915E8C9092F}"/>
    <cellStyle name="Comma 7 4 3 3 2 3 3" xfId="19636" xr:uid="{FC945C99-5044-46E3-AD0A-4FE9A59A885D}"/>
    <cellStyle name="Comma 7 4 3 3 2 3 3 2" xfId="49876" xr:uid="{91BA8E68-AB89-4C51-AD1D-DE4FAE3221B5}"/>
    <cellStyle name="Comma 7 4 3 3 2 3 4" xfId="34756" xr:uid="{4A446175-24DC-4994-8E98-D27F95F215B7}"/>
    <cellStyle name="Comma 7 4 3 3 2 4" xfId="6028" xr:uid="{25B0CC88-81D8-46C1-8FA0-D17F85C55BB8}"/>
    <cellStyle name="Comma 7 4 3 3 2 4 2" xfId="15100" xr:uid="{F0FFB1BF-12B3-4739-AC17-FF6E441E157B}"/>
    <cellStyle name="Comma 7 4 3 3 2 4 2 2" xfId="30220" xr:uid="{FCCDB85A-6803-4E4E-B45C-14759A9A8B1F}"/>
    <cellStyle name="Comma 7 4 3 3 2 4 2 2 2" xfId="60460" xr:uid="{BBED0EF7-797E-4AEE-9924-0B4C4C5DD020}"/>
    <cellStyle name="Comma 7 4 3 3 2 4 2 3" xfId="45340" xr:uid="{326D118C-D250-4266-9321-39E7954BD6F3}"/>
    <cellStyle name="Comma 7 4 3 3 2 4 3" xfId="21148" xr:uid="{4B817371-833E-492C-9C44-AAD266052DFE}"/>
    <cellStyle name="Comma 7 4 3 3 2 4 3 2" xfId="51388" xr:uid="{E55EF568-A4E5-40EB-AC93-0E578EC1D82E}"/>
    <cellStyle name="Comma 7 4 3 3 2 4 4" xfId="36268" xr:uid="{08B03C52-C014-489A-A6E1-CACB1E16D6EE}"/>
    <cellStyle name="Comma 7 4 3 3 2 5" xfId="7540" xr:uid="{5DA06350-04B3-4304-90CA-D99B2009EA0F}"/>
    <cellStyle name="Comma 7 4 3 3 2 5 2" xfId="22660" xr:uid="{BAE01631-0ECD-45E5-B471-EB8B4582E3D7}"/>
    <cellStyle name="Comma 7 4 3 3 2 5 2 2" xfId="52900" xr:uid="{C701E6F0-D7B6-4267-859D-A721AD9D3756}"/>
    <cellStyle name="Comma 7 4 3 3 2 5 3" xfId="37780" xr:uid="{CC3D6F43-3D34-4589-966D-A59B363CABDB}"/>
    <cellStyle name="Comma 7 4 3 3 2 6" xfId="9052" xr:uid="{9BDFFE7C-6E43-4623-8C6D-17C93626AA9C}"/>
    <cellStyle name="Comma 7 4 3 3 2 6 2" xfId="24172" xr:uid="{25173CE8-1027-4276-AB35-B10E9D63BE99}"/>
    <cellStyle name="Comma 7 4 3 3 2 6 2 2" xfId="54412" xr:uid="{7504B3F8-F45A-48E1-A425-A45038E74548}"/>
    <cellStyle name="Comma 7 4 3 3 2 6 3" xfId="39292" xr:uid="{DDA83E0E-8DA0-4185-82FD-34CAB39B7165}"/>
    <cellStyle name="Comma 7 4 3 3 2 7" xfId="10564" xr:uid="{3295BE62-7567-4A13-BA9E-89121C8755D3}"/>
    <cellStyle name="Comma 7 4 3 3 2 7 2" xfId="25684" xr:uid="{047E80B2-9B70-40EE-B476-9A51A8440C72}"/>
    <cellStyle name="Comma 7 4 3 3 2 7 2 2" xfId="55924" xr:uid="{284F91EE-B4AB-49B8-9587-11BC9AF71172}"/>
    <cellStyle name="Comma 7 4 3 3 2 7 3" xfId="40804" xr:uid="{CECBB139-681C-4FDA-AE46-8FDC88EF50E2}"/>
    <cellStyle name="Comma 7 4 3 3 2 8" xfId="16612" xr:uid="{4997B42C-4D09-4EC4-BD50-891CB3B51BEB}"/>
    <cellStyle name="Comma 7 4 3 3 2 8 2" xfId="46852" xr:uid="{74486657-58CC-45FD-A27D-BC3DDCDE7BC2}"/>
    <cellStyle name="Comma 7 4 3 3 2 9" xfId="31732" xr:uid="{886E39D0-D546-4A3B-84F6-70DABC81EA84}"/>
    <cellStyle name="Comma 7 4 3 3 3" xfId="2248" xr:uid="{8DB05A8D-9A96-408F-BC5C-7BB011E4A737}"/>
    <cellStyle name="Comma 7 4 3 3 3 2" xfId="11320" xr:uid="{5322536A-B697-46D3-AE52-9A688B3F07D2}"/>
    <cellStyle name="Comma 7 4 3 3 3 2 2" xfId="26440" xr:uid="{1092941C-6B5A-4890-86AE-B1735D650DF3}"/>
    <cellStyle name="Comma 7 4 3 3 3 2 2 2" xfId="56680" xr:uid="{C3B8FD71-D2B0-46E3-996E-ED195D3B2A2E}"/>
    <cellStyle name="Comma 7 4 3 3 3 2 3" xfId="41560" xr:uid="{A667484A-AEB4-421C-B8EF-FBA84226E04C}"/>
    <cellStyle name="Comma 7 4 3 3 3 3" xfId="17368" xr:uid="{BBA9F4C8-DFC3-49B8-BB24-A5DB6A308917}"/>
    <cellStyle name="Comma 7 4 3 3 3 3 2" xfId="47608" xr:uid="{4806F2C5-E80F-4EDA-808E-0902BEFA9E16}"/>
    <cellStyle name="Comma 7 4 3 3 3 4" xfId="32488" xr:uid="{404EB428-EC7F-4214-9D25-AF158DF21D96}"/>
    <cellStyle name="Comma 7 4 3 3 4" xfId="3760" xr:uid="{54F76C1B-B42D-44A0-A77A-22D3FCD48637}"/>
    <cellStyle name="Comma 7 4 3 3 4 2" xfId="12832" xr:uid="{F7A25EFB-784D-4BD1-97D6-6808F7E254E7}"/>
    <cellStyle name="Comma 7 4 3 3 4 2 2" xfId="27952" xr:uid="{00AA42B8-3305-43CF-85C5-5CA37B1A1F13}"/>
    <cellStyle name="Comma 7 4 3 3 4 2 2 2" xfId="58192" xr:uid="{9845F08F-F2E5-4082-8C18-E6EEB17CDE91}"/>
    <cellStyle name="Comma 7 4 3 3 4 2 3" xfId="43072" xr:uid="{30A62B2E-B2A7-4F04-BCDC-FDCC5C10E139}"/>
    <cellStyle name="Comma 7 4 3 3 4 3" xfId="18880" xr:uid="{BA767247-88B7-4B05-B575-5A10D3791612}"/>
    <cellStyle name="Comma 7 4 3 3 4 3 2" xfId="49120" xr:uid="{42504FDF-213B-40C6-9612-7F7C7C4AC27D}"/>
    <cellStyle name="Comma 7 4 3 3 4 4" xfId="34000" xr:uid="{3BF4A3F5-0358-4D6A-ABC5-44D8A342079F}"/>
    <cellStyle name="Comma 7 4 3 3 5" xfId="5272" xr:uid="{41BDAF2A-426F-44DC-B95A-FBA197B1B141}"/>
    <cellStyle name="Comma 7 4 3 3 5 2" xfId="14344" xr:uid="{2FF60CBD-7E91-41CE-B5B0-B4F1BF12543F}"/>
    <cellStyle name="Comma 7 4 3 3 5 2 2" xfId="29464" xr:uid="{CC75F341-06D3-4A6A-827C-F4F1319609FA}"/>
    <cellStyle name="Comma 7 4 3 3 5 2 2 2" xfId="59704" xr:uid="{A88AD1CC-C13E-44AC-A471-DF1D676AE6FD}"/>
    <cellStyle name="Comma 7 4 3 3 5 2 3" xfId="44584" xr:uid="{F4141186-73D7-4863-9206-BDE452FAC1B5}"/>
    <cellStyle name="Comma 7 4 3 3 5 3" xfId="20392" xr:uid="{D49F2EB5-8F85-4ECC-91C5-8347BFCB561D}"/>
    <cellStyle name="Comma 7 4 3 3 5 3 2" xfId="50632" xr:uid="{B64023F1-7739-4A57-966C-69B669C6C4F4}"/>
    <cellStyle name="Comma 7 4 3 3 5 4" xfId="35512" xr:uid="{49E5AE72-F607-4035-8113-A8ECDEDB9CAD}"/>
    <cellStyle name="Comma 7 4 3 3 6" xfId="6784" xr:uid="{20CCEA36-B425-4EB2-955C-0DE182C0A1CA}"/>
    <cellStyle name="Comma 7 4 3 3 6 2" xfId="21904" xr:uid="{5F3E94FB-B494-49D1-9340-E0C515A385E3}"/>
    <cellStyle name="Comma 7 4 3 3 6 2 2" xfId="52144" xr:uid="{697ED7A3-3E5E-41F6-ADFB-14A80075BCFA}"/>
    <cellStyle name="Comma 7 4 3 3 6 3" xfId="37024" xr:uid="{51C4969F-51B2-495F-9544-5C4C723A1C22}"/>
    <cellStyle name="Comma 7 4 3 3 7" xfId="8296" xr:uid="{F1BA2657-E7F0-44DF-BA20-539E44676461}"/>
    <cellStyle name="Comma 7 4 3 3 7 2" xfId="23416" xr:uid="{14CD999D-D1CC-4A67-865A-351E5770FFC0}"/>
    <cellStyle name="Comma 7 4 3 3 7 2 2" xfId="53656" xr:uid="{43B0E500-DA0B-4326-BDD1-946030A7797E}"/>
    <cellStyle name="Comma 7 4 3 3 7 3" xfId="38536" xr:uid="{5645A09C-57B3-4CAA-8B8C-7BC9BF6F11E8}"/>
    <cellStyle name="Comma 7 4 3 3 8" xfId="9808" xr:uid="{6CD0ABD0-787F-4AAF-9186-3EF25E031FBB}"/>
    <cellStyle name="Comma 7 4 3 3 8 2" xfId="24928" xr:uid="{4C983B51-7F22-44A7-A3C3-EB4E15DDFA30}"/>
    <cellStyle name="Comma 7 4 3 3 8 2 2" xfId="55168" xr:uid="{A570586D-D318-416D-B397-8262A830E91D}"/>
    <cellStyle name="Comma 7 4 3 3 8 3" xfId="40048" xr:uid="{CCC69E37-3641-47BE-9A41-D5E08E48EB87}"/>
    <cellStyle name="Comma 7 4 3 3 9" xfId="15856" xr:uid="{58116BCA-49A7-491A-9D6E-3853657D0E11}"/>
    <cellStyle name="Comma 7 4 3 3 9 2" xfId="46096" xr:uid="{3B9276A4-373E-487B-9AFB-F8A0533E970A}"/>
    <cellStyle name="Comma 7 4 3 4" xfId="988" xr:uid="{4226B316-E8AA-4ED5-A4D9-2395E840B24C}"/>
    <cellStyle name="Comma 7 4 3 4 2" xfId="2500" xr:uid="{A4F97FF5-43AA-46B8-9D96-83864D86AF5F}"/>
    <cellStyle name="Comma 7 4 3 4 2 2" xfId="11572" xr:uid="{27A4E01D-4BC7-4B64-ADDF-1E0338BD3FA4}"/>
    <cellStyle name="Comma 7 4 3 4 2 2 2" xfId="26692" xr:uid="{29C9706D-7322-4873-9524-8CC6F8FCA85F}"/>
    <cellStyle name="Comma 7 4 3 4 2 2 2 2" xfId="56932" xr:uid="{48D5922A-1449-4029-BC47-765F83FA23B0}"/>
    <cellStyle name="Comma 7 4 3 4 2 2 3" xfId="41812" xr:uid="{F5ECE849-95BC-4878-B1F4-A658BB415BF6}"/>
    <cellStyle name="Comma 7 4 3 4 2 3" xfId="17620" xr:uid="{FF426D0A-0DD5-4D02-8890-E56BCEC12BD3}"/>
    <cellStyle name="Comma 7 4 3 4 2 3 2" xfId="47860" xr:uid="{7C0F835A-EE95-4FF7-A2F5-58787E198518}"/>
    <cellStyle name="Comma 7 4 3 4 2 4" xfId="32740" xr:uid="{F77A5E96-0E42-4F49-BC74-CFFDA8CCFF26}"/>
    <cellStyle name="Comma 7 4 3 4 3" xfId="4012" xr:uid="{5E89EAF8-209F-4023-9930-B17B4CC536C5}"/>
    <cellStyle name="Comma 7 4 3 4 3 2" xfId="13084" xr:uid="{205B36DA-37A4-4E0F-913C-8D376B5944BF}"/>
    <cellStyle name="Comma 7 4 3 4 3 2 2" xfId="28204" xr:uid="{9D8396D7-0346-4D59-9119-43B5CCBA6BC7}"/>
    <cellStyle name="Comma 7 4 3 4 3 2 2 2" xfId="58444" xr:uid="{A4AF87C0-E8B2-4ED2-8C85-F39F5B3E3502}"/>
    <cellStyle name="Comma 7 4 3 4 3 2 3" xfId="43324" xr:uid="{3A144D02-986C-458B-B0D6-CDA3961C059B}"/>
    <cellStyle name="Comma 7 4 3 4 3 3" xfId="19132" xr:uid="{39B899DC-F4EA-4A5B-B198-B7CD37D2704D}"/>
    <cellStyle name="Comma 7 4 3 4 3 3 2" xfId="49372" xr:uid="{D3EDEDA8-DCA5-4CC6-88F1-4D7D82B17E3E}"/>
    <cellStyle name="Comma 7 4 3 4 3 4" xfId="34252" xr:uid="{DBF545E5-DD62-44C7-885D-7D164B42E96E}"/>
    <cellStyle name="Comma 7 4 3 4 4" xfId="5524" xr:uid="{F90C74A6-AC3F-499A-BD3C-2047532C4358}"/>
    <cellStyle name="Comma 7 4 3 4 4 2" xfId="14596" xr:uid="{9C80A971-8C19-4BDB-B2F9-F67E6DAF3C98}"/>
    <cellStyle name="Comma 7 4 3 4 4 2 2" xfId="29716" xr:uid="{75A69134-6742-4FB0-B1A7-ED4E93D58D2A}"/>
    <cellStyle name="Comma 7 4 3 4 4 2 2 2" xfId="59956" xr:uid="{FC783A59-4D42-4916-BC15-4AED710BD379}"/>
    <cellStyle name="Comma 7 4 3 4 4 2 3" xfId="44836" xr:uid="{C514618B-2194-4751-B1E7-BA31F3B3F58F}"/>
    <cellStyle name="Comma 7 4 3 4 4 3" xfId="20644" xr:uid="{AF66AFA2-7D89-4F18-846E-F4F3EA3D1ED5}"/>
    <cellStyle name="Comma 7 4 3 4 4 3 2" xfId="50884" xr:uid="{2FBFB8C8-6F49-4357-B3FD-59BBA7A04EF9}"/>
    <cellStyle name="Comma 7 4 3 4 4 4" xfId="35764" xr:uid="{99D221B1-DA5A-498F-AFFA-7199825D8678}"/>
    <cellStyle name="Comma 7 4 3 4 5" xfId="7036" xr:uid="{2EFCE50B-F9AE-459B-8107-40436FC2771E}"/>
    <cellStyle name="Comma 7 4 3 4 5 2" xfId="22156" xr:uid="{9476679A-E6DA-4861-A4BF-5D13F4086EEA}"/>
    <cellStyle name="Comma 7 4 3 4 5 2 2" xfId="52396" xr:uid="{40AFBFAF-35A3-4269-9C0C-FBDDDFCF8F3F}"/>
    <cellStyle name="Comma 7 4 3 4 5 3" xfId="37276" xr:uid="{CB0D1953-7EE7-4958-8488-DF3A2B30EB6D}"/>
    <cellStyle name="Comma 7 4 3 4 6" xfId="8548" xr:uid="{F95F1231-451F-43F8-BECD-14D5CA7AE1EE}"/>
    <cellStyle name="Comma 7 4 3 4 6 2" xfId="23668" xr:uid="{BAE60BF2-DA3A-467C-99FF-BAA0A0D2EB7E}"/>
    <cellStyle name="Comma 7 4 3 4 6 2 2" xfId="53908" xr:uid="{1A0F9700-93D1-4AD5-AD42-E072D380EDA2}"/>
    <cellStyle name="Comma 7 4 3 4 6 3" xfId="38788" xr:uid="{B1EECEB6-B7A0-43C5-A8FB-237C77081363}"/>
    <cellStyle name="Comma 7 4 3 4 7" xfId="10060" xr:uid="{1B88BE27-12FD-484F-B239-C276D2AEA6E4}"/>
    <cellStyle name="Comma 7 4 3 4 7 2" xfId="25180" xr:uid="{716C4B79-FCC2-4162-B899-E7540124AE33}"/>
    <cellStyle name="Comma 7 4 3 4 7 2 2" xfId="55420" xr:uid="{349008CC-A179-4083-A78A-7A206F59E803}"/>
    <cellStyle name="Comma 7 4 3 4 7 3" xfId="40300" xr:uid="{3A4A21DD-AA7C-4123-B68C-E578F1CD20D6}"/>
    <cellStyle name="Comma 7 4 3 4 8" xfId="16108" xr:uid="{F4392111-47C4-4F8D-BAD6-C6A1DCE231B1}"/>
    <cellStyle name="Comma 7 4 3 4 8 2" xfId="46348" xr:uid="{073B371A-3E23-4B72-B934-28DBFF52BF71}"/>
    <cellStyle name="Comma 7 4 3 4 9" xfId="31228" xr:uid="{416B1151-FF88-4BFC-A421-4D66D33B86D8}"/>
    <cellStyle name="Comma 7 4 3 5" xfId="1744" xr:uid="{D4326C9A-46FA-4933-BBDC-D204FE70E0AB}"/>
    <cellStyle name="Comma 7 4 3 5 2" xfId="10816" xr:uid="{CE054DBC-908D-47AE-932B-F7BF998CF9F9}"/>
    <cellStyle name="Comma 7 4 3 5 2 2" xfId="25936" xr:uid="{CFC34E33-0090-480B-B3C9-2DF02095798F}"/>
    <cellStyle name="Comma 7 4 3 5 2 2 2" xfId="56176" xr:uid="{3FF7FB88-2AFA-454E-88E3-83D840DD1798}"/>
    <cellStyle name="Comma 7 4 3 5 2 3" xfId="41056" xr:uid="{8222D573-1585-4D91-92F5-820E2BE05ED6}"/>
    <cellStyle name="Comma 7 4 3 5 3" xfId="16864" xr:uid="{4243D641-21EC-40CC-AF9C-B645C3F04988}"/>
    <cellStyle name="Comma 7 4 3 5 3 2" xfId="47104" xr:uid="{D74445A5-AF51-447C-BD5B-D875E0A9A5BD}"/>
    <cellStyle name="Comma 7 4 3 5 4" xfId="31984" xr:uid="{06CF305E-E997-4747-9597-C9D8E775B7B4}"/>
    <cellStyle name="Comma 7 4 3 6" xfId="3256" xr:uid="{AE462338-2C13-4815-A718-D94AA871D482}"/>
    <cellStyle name="Comma 7 4 3 6 2" xfId="12328" xr:uid="{68FE7716-9774-405E-BC28-A600FCEE8994}"/>
    <cellStyle name="Comma 7 4 3 6 2 2" xfId="27448" xr:uid="{40275656-E394-4BDB-B558-420EB267E8E8}"/>
    <cellStyle name="Comma 7 4 3 6 2 2 2" xfId="57688" xr:uid="{D4676D44-5F78-44C8-A07A-1B08BFC051A3}"/>
    <cellStyle name="Comma 7 4 3 6 2 3" xfId="42568" xr:uid="{FC4A0CA9-D5A8-48CD-BEF3-405549C3F18E}"/>
    <cellStyle name="Comma 7 4 3 6 3" xfId="18376" xr:uid="{E927A095-EE96-42EE-8C8E-B63D06EE29FC}"/>
    <cellStyle name="Comma 7 4 3 6 3 2" xfId="48616" xr:uid="{FC43AFD7-D5A6-4958-9AE0-A937004DE028}"/>
    <cellStyle name="Comma 7 4 3 6 4" xfId="33496" xr:uid="{0CF16A96-3967-4BAA-9514-A95B32D0B280}"/>
    <cellStyle name="Comma 7 4 3 7" xfId="4768" xr:uid="{2505791B-1DE7-450E-B49D-0B35BF890503}"/>
    <cellStyle name="Comma 7 4 3 7 2" xfId="13840" xr:uid="{F6E2F05B-ACB2-4B79-9ED9-DF6BEA208EBA}"/>
    <cellStyle name="Comma 7 4 3 7 2 2" xfId="28960" xr:uid="{988FE718-68F1-4FBC-9011-45A4E5257D0F}"/>
    <cellStyle name="Comma 7 4 3 7 2 2 2" xfId="59200" xr:uid="{0FE29F65-FF9A-4B3A-A480-85CAC286D1D6}"/>
    <cellStyle name="Comma 7 4 3 7 2 3" xfId="44080" xr:uid="{CDA134E5-15F1-44FF-8576-0F21920A3081}"/>
    <cellStyle name="Comma 7 4 3 7 3" xfId="19888" xr:uid="{18A7892D-5A40-4D16-93AD-36ED775D3C1A}"/>
    <cellStyle name="Comma 7 4 3 7 3 2" xfId="50128" xr:uid="{3FB44876-6C8E-4AB4-A7A2-6E01DEC2C691}"/>
    <cellStyle name="Comma 7 4 3 7 4" xfId="35008" xr:uid="{21C059FF-7229-4A9F-98F2-9C12A64BC910}"/>
    <cellStyle name="Comma 7 4 3 8" xfId="6280" xr:uid="{FFB56839-0E76-468C-AE33-85BECFB73467}"/>
    <cellStyle name="Comma 7 4 3 8 2" xfId="21400" xr:uid="{7D1A275B-DDF9-4E4A-9E3E-7FC0CD2B832F}"/>
    <cellStyle name="Comma 7 4 3 8 2 2" xfId="51640" xr:uid="{11834DFD-B6CC-4E57-86E7-80D2ACE12DF4}"/>
    <cellStyle name="Comma 7 4 3 8 3" xfId="36520" xr:uid="{0ED6F1BF-8F11-4B3A-80DE-356ECD9BBE16}"/>
    <cellStyle name="Comma 7 4 3 9" xfId="7792" xr:uid="{AFA99700-B286-4898-911C-079C40308D56}"/>
    <cellStyle name="Comma 7 4 3 9 2" xfId="22912" xr:uid="{9F909047-E0B4-4847-B620-1DF5A8B818C4}"/>
    <cellStyle name="Comma 7 4 3 9 2 2" xfId="53152" xr:uid="{E9611D5F-98D5-4B32-A9DE-D8E19381C3FB}"/>
    <cellStyle name="Comma 7 4 3 9 3" xfId="38032" xr:uid="{FB60D1C4-82E5-4FA4-B21F-0CFCB6DF4658}"/>
    <cellStyle name="Comma 7 4 4" xfId="316" xr:uid="{BE12EED5-6F63-48A6-A9C6-55E2CFE295B2}"/>
    <cellStyle name="Comma 7 4 4 10" xfId="30556" xr:uid="{141A983C-4F21-4A94-8D82-6F675DC49773}"/>
    <cellStyle name="Comma 7 4 4 2" xfId="1072" xr:uid="{4C80B52C-7D65-48B9-B438-6B12ACCF5099}"/>
    <cellStyle name="Comma 7 4 4 2 2" xfId="2584" xr:uid="{37C1B7EB-16B8-40EB-8D6E-99071773741B}"/>
    <cellStyle name="Comma 7 4 4 2 2 2" xfId="11656" xr:uid="{1E29A901-2959-47B7-8062-E8FB8383ADED}"/>
    <cellStyle name="Comma 7 4 4 2 2 2 2" xfId="26776" xr:uid="{716CEB9B-0BD5-4837-BED6-19A2A20E1D90}"/>
    <cellStyle name="Comma 7 4 4 2 2 2 2 2" xfId="57016" xr:uid="{546EE6BA-0323-448D-955F-1E3F15C66676}"/>
    <cellStyle name="Comma 7 4 4 2 2 2 3" xfId="41896" xr:uid="{AFC484F3-8BE4-4AA1-9657-B55407271532}"/>
    <cellStyle name="Comma 7 4 4 2 2 3" xfId="17704" xr:uid="{DB2D7A00-6821-417F-A280-BFEB9CAA01F9}"/>
    <cellStyle name="Comma 7 4 4 2 2 3 2" xfId="47944" xr:uid="{6B63A40D-B6E7-4BAF-9476-6E4F28F0897D}"/>
    <cellStyle name="Comma 7 4 4 2 2 4" xfId="32824" xr:uid="{AB18A470-68EC-44F9-9A61-79C9712ACE57}"/>
    <cellStyle name="Comma 7 4 4 2 3" xfId="4096" xr:uid="{2B42E43F-5FAA-4EBE-A697-665F2337040F}"/>
    <cellStyle name="Comma 7 4 4 2 3 2" xfId="13168" xr:uid="{9C2B1567-BCA7-4471-9B3B-8E18A1E06335}"/>
    <cellStyle name="Comma 7 4 4 2 3 2 2" xfId="28288" xr:uid="{E6EAD986-4D3B-46C0-855A-4D6E64EF1711}"/>
    <cellStyle name="Comma 7 4 4 2 3 2 2 2" xfId="58528" xr:uid="{32C99F82-ABEB-40E5-B2B6-18985BBE817F}"/>
    <cellStyle name="Comma 7 4 4 2 3 2 3" xfId="43408" xr:uid="{9BE5D931-2FA9-4209-940D-C79C05CEEBB2}"/>
    <cellStyle name="Comma 7 4 4 2 3 3" xfId="19216" xr:uid="{D5471E36-1B47-45C1-98EA-C762F1DB0196}"/>
    <cellStyle name="Comma 7 4 4 2 3 3 2" xfId="49456" xr:uid="{4A139B4D-07DA-43A9-A36F-F409E9CCD055}"/>
    <cellStyle name="Comma 7 4 4 2 3 4" xfId="34336" xr:uid="{EDA6F222-757E-4E3C-9098-9CE5AEB65771}"/>
    <cellStyle name="Comma 7 4 4 2 4" xfId="5608" xr:uid="{BA3EBCC4-D862-4E0A-8019-23BE8F9BCB16}"/>
    <cellStyle name="Comma 7 4 4 2 4 2" xfId="14680" xr:uid="{186699A7-8CED-448E-995D-F8F1F8C3A23A}"/>
    <cellStyle name="Comma 7 4 4 2 4 2 2" xfId="29800" xr:uid="{9CB2C597-B95B-40D0-A3DB-577B710ADA37}"/>
    <cellStyle name="Comma 7 4 4 2 4 2 2 2" xfId="60040" xr:uid="{4E8B0803-4D6E-4E9B-8723-42C857B0A232}"/>
    <cellStyle name="Comma 7 4 4 2 4 2 3" xfId="44920" xr:uid="{ACE4AA36-A881-4637-ACB4-492CE85A152F}"/>
    <cellStyle name="Comma 7 4 4 2 4 3" xfId="20728" xr:uid="{2711A654-7EE4-4BC9-B6FD-A558C8BFC78F}"/>
    <cellStyle name="Comma 7 4 4 2 4 3 2" xfId="50968" xr:uid="{F4B412A0-FA07-49DE-8DD0-FD18DC44F6F9}"/>
    <cellStyle name="Comma 7 4 4 2 4 4" xfId="35848" xr:uid="{4290542A-4F7E-4ADC-B1BD-AA5C1FCAC5D5}"/>
    <cellStyle name="Comma 7 4 4 2 5" xfId="7120" xr:uid="{178EA50D-501A-4B19-A5E9-309BF9B3F805}"/>
    <cellStyle name="Comma 7 4 4 2 5 2" xfId="22240" xr:uid="{0E0B83DC-D3A0-4D18-ABE6-FB63071B2CA4}"/>
    <cellStyle name="Comma 7 4 4 2 5 2 2" xfId="52480" xr:uid="{74175E30-0DAA-4E77-97E5-689CCC9E237E}"/>
    <cellStyle name="Comma 7 4 4 2 5 3" xfId="37360" xr:uid="{B89CFA04-2E7C-435B-83F7-38D25A834FD3}"/>
    <cellStyle name="Comma 7 4 4 2 6" xfId="8632" xr:uid="{05CC5B14-4C55-4B33-B895-03F69B6C3DAA}"/>
    <cellStyle name="Comma 7 4 4 2 6 2" xfId="23752" xr:uid="{5735ED37-7410-4612-8F96-A76AF5767D95}"/>
    <cellStyle name="Comma 7 4 4 2 6 2 2" xfId="53992" xr:uid="{38611728-86BE-482E-B30D-6BE6F2C26B56}"/>
    <cellStyle name="Comma 7 4 4 2 6 3" xfId="38872" xr:uid="{A6EA9CEF-F5A7-40D9-A15D-6E1232965277}"/>
    <cellStyle name="Comma 7 4 4 2 7" xfId="10144" xr:uid="{0FECAE00-4B12-452C-8BCE-8F26AE083EB4}"/>
    <cellStyle name="Comma 7 4 4 2 7 2" xfId="25264" xr:uid="{56C96396-519F-4EB1-BE7B-EA0BA7D6D79C}"/>
    <cellStyle name="Comma 7 4 4 2 7 2 2" xfId="55504" xr:uid="{A636F502-A619-45B9-A6E5-ED32B6A6A4EC}"/>
    <cellStyle name="Comma 7 4 4 2 7 3" xfId="40384" xr:uid="{EC311C58-A283-4BB8-B027-2951FF963747}"/>
    <cellStyle name="Comma 7 4 4 2 8" xfId="16192" xr:uid="{07835914-AC6D-4985-B7BC-1CE2874A4585}"/>
    <cellStyle name="Comma 7 4 4 2 8 2" xfId="46432" xr:uid="{F8EE5E44-1CB2-4829-AC64-83D157F9930D}"/>
    <cellStyle name="Comma 7 4 4 2 9" xfId="31312" xr:uid="{6DFAC23C-1C1E-4930-9754-A640DC841242}"/>
    <cellStyle name="Comma 7 4 4 3" xfId="1828" xr:uid="{A70B5290-9A6D-4336-A621-CA2F8C5DA20A}"/>
    <cellStyle name="Comma 7 4 4 3 2" xfId="10900" xr:uid="{65BA43CD-C66F-4C71-B6A3-8FDEF259C97F}"/>
    <cellStyle name="Comma 7 4 4 3 2 2" xfId="26020" xr:uid="{D5146876-57B2-41E5-86E1-077A837EFC4C}"/>
    <cellStyle name="Comma 7 4 4 3 2 2 2" xfId="56260" xr:uid="{D2628F27-B793-499D-8D50-D3219E8397D7}"/>
    <cellStyle name="Comma 7 4 4 3 2 3" xfId="41140" xr:uid="{2EB32B6F-EA7F-4B1F-8FE8-AB732EA7EBD4}"/>
    <cellStyle name="Comma 7 4 4 3 3" xfId="16948" xr:uid="{3B372A5F-27DD-4419-8D9F-29058C55F8DC}"/>
    <cellStyle name="Comma 7 4 4 3 3 2" xfId="47188" xr:uid="{3DBE9B15-BCF6-4C7D-B7AB-DCF54440AEC1}"/>
    <cellStyle name="Comma 7 4 4 3 4" xfId="32068" xr:uid="{014A8B52-51E4-49EF-90A3-E5451CE2F5A3}"/>
    <cellStyle name="Comma 7 4 4 4" xfId="3340" xr:uid="{82066A19-60A2-48C0-B2AC-E437C3912837}"/>
    <cellStyle name="Comma 7 4 4 4 2" xfId="12412" xr:uid="{6AAE2367-FE7F-4000-87D0-9DD58180F5CD}"/>
    <cellStyle name="Comma 7 4 4 4 2 2" xfId="27532" xr:uid="{478E5070-DB11-4A64-80C9-ED2897B09713}"/>
    <cellStyle name="Comma 7 4 4 4 2 2 2" xfId="57772" xr:uid="{B7EA607D-7820-4BA0-A5F5-32A3CF64A2E0}"/>
    <cellStyle name="Comma 7 4 4 4 2 3" xfId="42652" xr:uid="{E08917BB-1C69-44B2-9ED6-C49DC2D34795}"/>
    <cellStyle name="Comma 7 4 4 4 3" xfId="18460" xr:uid="{92C74401-5260-40DD-BB05-E980D771D6A2}"/>
    <cellStyle name="Comma 7 4 4 4 3 2" xfId="48700" xr:uid="{92C9455A-3518-4269-A995-8448D4B4B627}"/>
    <cellStyle name="Comma 7 4 4 4 4" xfId="33580" xr:uid="{E876BA30-DF69-4342-AE33-966A724CC118}"/>
    <cellStyle name="Comma 7 4 4 5" xfId="4852" xr:uid="{2C9A798D-E566-4F0D-A813-BF463B02F37A}"/>
    <cellStyle name="Comma 7 4 4 5 2" xfId="13924" xr:uid="{408F51C1-8360-4993-95EA-776FE3573C32}"/>
    <cellStyle name="Comma 7 4 4 5 2 2" xfId="29044" xr:uid="{286EA28D-0596-4672-847E-AB1E7E471049}"/>
    <cellStyle name="Comma 7 4 4 5 2 2 2" xfId="59284" xr:uid="{60FFBCB7-B43B-4455-8251-41FF3A73142A}"/>
    <cellStyle name="Comma 7 4 4 5 2 3" xfId="44164" xr:uid="{132A9D17-DE45-49A8-929E-3AA31BCF5B60}"/>
    <cellStyle name="Comma 7 4 4 5 3" xfId="19972" xr:uid="{F1C4FEC8-DB47-40A9-A245-34374002491C}"/>
    <cellStyle name="Comma 7 4 4 5 3 2" xfId="50212" xr:uid="{B74F389E-699C-43B9-8F86-36DEDB1FE4EC}"/>
    <cellStyle name="Comma 7 4 4 5 4" xfId="35092" xr:uid="{146C4524-6629-4AA9-AB55-9365FFB0E61D}"/>
    <cellStyle name="Comma 7 4 4 6" xfId="6364" xr:uid="{63C1939F-D662-4CB5-9C8E-ECCBDAD7FE0F}"/>
    <cellStyle name="Comma 7 4 4 6 2" xfId="21484" xr:uid="{AF09EFF7-1165-4EF1-8AA8-E57C1E59BD2F}"/>
    <cellStyle name="Comma 7 4 4 6 2 2" xfId="51724" xr:uid="{E97D1CAA-051E-4969-8526-AAAF4D986BBE}"/>
    <cellStyle name="Comma 7 4 4 6 3" xfId="36604" xr:uid="{AF42E1B9-A30F-408F-89E9-F294BE673629}"/>
    <cellStyle name="Comma 7 4 4 7" xfId="7876" xr:uid="{C531784C-8933-4E1B-BD1E-F8EE2D45910F}"/>
    <cellStyle name="Comma 7 4 4 7 2" xfId="22996" xr:uid="{90AB56E5-EDD9-4DB3-B80E-43D9333F90A8}"/>
    <cellStyle name="Comma 7 4 4 7 2 2" xfId="53236" xr:uid="{2D9CE2BB-546C-4E73-A9B8-6EF69D77421F}"/>
    <cellStyle name="Comma 7 4 4 7 3" xfId="38116" xr:uid="{0F2A4D05-BB71-499C-B91B-4649340FC7A7}"/>
    <cellStyle name="Comma 7 4 4 8" xfId="9388" xr:uid="{9882824A-0BC7-41D9-923F-CEEFCBE069F7}"/>
    <cellStyle name="Comma 7 4 4 8 2" xfId="24508" xr:uid="{F563B4A0-5F9D-46D8-B67F-BE6DF3C38D3E}"/>
    <cellStyle name="Comma 7 4 4 8 2 2" xfId="54748" xr:uid="{EEFBDD83-6054-49A8-B3D8-08E9F1FBA140}"/>
    <cellStyle name="Comma 7 4 4 8 3" xfId="39628" xr:uid="{B70DA01B-2B9E-4F1D-A55C-61F956A9678E}"/>
    <cellStyle name="Comma 7 4 4 9" xfId="15436" xr:uid="{CBF125C0-DE97-44D2-9DBD-8BEACB399D96}"/>
    <cellStyle name="Comma 7 4 4 9 2" xfId="45676" xr:uid="{72BF67FB-E2AE-49F1-8BCB-D3133BE316D2}"/>
    <cellStyle name="Comma 7 4 5" xfId="568" xr:uid="{8C6961FE-5AC5-491B-8DBB-594E682FC9AC}"/>
    <cellStyle name="Comma 7 4 5 10" xfId="30808" xr:uid="{5ECACBD9-53C5-406D-AF37-6E23CC6E3352}"/>
    <cellStyle name="Comma 7 4 5 2" xfId="1324" xr:uid="{5115EC04-6876-4ED3-8ECA-29CE9C542F19}"/>
    <cellStyle name="Comma 7 4 5 2 2" xfId="2836" xr:uid="{5A616344-8BA2-42DA-84C9-9876A61ADFBD}"/>
    <cellStyle name="Comma 7 4 5 2 2 2" xfId="11908" xr:uid="{CE286478-9896-49E3-B63A-7DE51DCD59B1}"/>
    <cellStyle name="Comma 7 4 5 2 2 2 2" xfId="27028" xr:uid="{6CEF4831-D339-4F82-AF71-B3184C116415}"/>
    <cellStyle name="Comma 7 4 5 2 2 2 2 2" xfId="57268" xr:uid="{FD0CA53C-438B-4CB1-AC14-165411BC57B9}"/>
    <cellStyle name="Comma 7 4 5 2 2 2 3" xfId="42148" xr:uid="{0A489EAF-B6E0-4E1C-876F-31B0CEFDFCF2}"/>
    <cellStyle name="Comma 7 4 5 2 2 3" xfId="17956" xr:uid="{C197AB0B-7307-4C07-B2FA-C7B5A751B4BA}"/>
    <cellStyle name="Comma 7 4 5 2 2 3 2" xfId="48196" xr:uid="{B0BAE340-3A3F-49A4-A5EE-38486FACCF33}"/>
    <cellStyle name="Comma 7 4 5 2 2 4" xfId="33076" xr:uid="{C425DE6A-0D07-4F1C-B14D-9AF7895A1AD4}"/>
    <cellStyle name="Comma 7 4 5 2 3" xfId="4348" xr:uid="{46241EA2-0750-497A-B3B0-5E68206DEE5F}"/>
    <cellStyle name="Comma 7 4 5 2 3 2" xfId="13420" xr:uid="{76670571-2086-43D7-B371-1A0F0B92AF29}"/>
    <cellStyle name="Comma 7 4 5 2 3 2 2" xfId="28540" xr:uid="{07319FFA-4911-4AAA-BABC-57E5C4373CBD}"/>
    <cellStyle name="Comma 7 4 5 2 3 2 2 2" xfId="58780" xr:uid="{D974350A-F33E-45AB-A296-15087E29E985}"/>
    <cellStyle name="Comma 7 4 5 2 3 2 3" xfId="43660" xr:uid="{015125F8-08AB-4918-B31D-1DFBB992EEBE}"/>
    <cellStyle name="Comma 7 4 5 2 3 3" xfId="19468" xr:uid="{B50849B9-860E-4610-9643-50A173225EA7}"/>
    <cellStyle name="Comma 7 4 5 2 3 3 2" xfId="49708" xr:uid="{D49D6476-7981-4044-8449-6A2C48B52B07}"/>
    <cellStyle name="Comma 7 4 5 2 3 4" xfId="34588" xr:uid="{FE3D6545-1269-44A7-8BC8-65C8DE38711E}"/>
    <cellStyle name="Comma 7 4 5 2 4" xfId="5860" xr:uid="{4DCF5914-4B94-4A8E-AE04-EAE704BB3504}"/>
    <cellStyle name="Comma 7 4 5 2 4 2" xfId="14932" xr:uid="{C798912A-2E77-4666-AA65-65BC279BF090}"/>
    <cellStyle name="Comma 7 4 5 2 4 2 2" xfId="30052" xr:uid="{2D2E7FD4-08E2-4C57-A39D-5906E52408F5}"/>
    <cellStyle name="Comma 7 4 5 2 4 2 2 2" xfId="60292" xr:uid="{69511D6E-B35E-4D32-93E2-D43D5E0A4588}"/>
    <cellStyle name="Comma 7 4 5 2 4 2 3" xfId="45172" xr:uid="{FFA2C042-937B-42A1-A6BA-9464EE73FE23}"/>
    <cellStyle name="Comma 7 4 5 2 4 3" xfId="20980" xr:uid="{419F7E08-4EF4-4EEC-9EC1-7B093E52D3F3}"/>
    <cellStyle name="Comma 7 4 5 2 4 3 2" xfId="51220" xr:uid="{C9C8187A-B869-48D3-89F0-DCA9E896609E}"/>
    <cellStyle name="Comma 7 4 5 2 4 4" xfId="36100" xr:uid="{DAC64AA0-17AD-4DF2-BB40-C836E0FCDD3D}"/>
    <cellStyle name="Comma 7 4 5 2 5" xfId="7372" xr:uid="{2D71CB24-DD75-4396-851E-497FBCA754D3}"/>
    <cellStyle name="Comma 7 4 5 2 5 2" xfId="22492" xr:uid="{808B10EE-9015-4CF5-B37E-BFF51C61E807}"/>
    <cellStyle name="Comma 7 4 5 2 5 2 2" xfId="52732" xr:uid="{EFA93C7B-EA09-40C1-9A47-540AA9443635}"/>
    <cellStyle name="Comma 7 4 5 2 5 3" xfId="37612" xr:uid="{734F8E62-466C-43F4-B9F9-0C6F2F2B2775}"/>
    <cellStyle name="Comma 7 4 5 2 6" xfId="8884" xr:uid="{4888A5A9-03CE-41C9-B87B-FD362FAB0178}"/>
    <cellStyle name="Comma 7 4 5 2 6 2" xfId="24004" xr:uid="{BFF6110E-38AF-401D-9047-035CAAEE5C6E}"/>
    <cellStyle name="Comma 7 4 5 2 6 2 2" xfId="54244" xr:uid="{3CCD6193-9F97-4B09-9A93-8367FCCB81F9}"/>
    <cellStyle name="Comma 7 4 5 2 6 3" xfId="39124" xr:uid="{53E71F7D-26A6-4DFD-9CB6-E7BF138CFBC5}"/>
    <cellStyle name="Comma 7 4 5 2 7" xfId="10396" xr:uid="{1E46830B-E97F-45EE-AEBF-9F27BADA4624}"/>
    <cellStyle name="Comma 7 4 5 2 7 2" xfId="25516" xr:uid="{964290CD-6E82-43C2-B37A-9009FEBE0F2B}"/>
    <cellStyle name="Comma 7 4 5 2 7 2 2" xfId="55756" xr:uid="{37B10788-AE15-46C8-8940-B807CDAA6DFB}"/>
    <cellStyle name="Comma 7 4 5 2 7 3" xfId="40636" xr:uid="{FA234EB8-4941-48AE-9305-CA60384EA3AA}"/>
    <cellStyle name="Comma 7 4 5 2 8" xfId="16444" xr:uid="{2DFBE2F8-714C-498D-BC04-244C2BD2CA7D}"/>
    <cellStyle name="Comma 7 4 5 2 8 2" xfId="46684" xr:uid="{0DFF65A1-E59A-4942-A155-C5B69BA2A79B}"/>
    <cellStyle name="Comma 7 4 5 2 9" xfId="31564" xr:uid="{D47A475B-E505-45F0-8143-9226275CC483}"/>
    <cellStyle name="Comma 7 4 5 3" xfId="2080" xr:uid="{9A7D7B33-E183-413D-8B61-41FF2DE5CC3B}"/>
    <cellStyle name="Comma 7 4 5 3 2" xfId="11152" xr:uid="{3C44BEDC-D215-4B8D-9704-48A5F618C146}"/>
    <cellStyle name="Comma 7 4 5 3 2 2" xfId="26272" xr:uid="{B35BE82D-4C89-4AA2-A6CE-448AE607A4BB}"/>
    <cellStyle name="Comma 7 4 5 3 2 2 2" xfId="56512" xr:uid="{795189EA-D681-43A0-8A81-07393A3E4062}"/>
    <cellStyle name="Comma 7 4 5 3 2 3" xfId="41392" xr:uid="{9A0FF5AC-53E0-4C71-82BC-C40AB18ABE3D}"/>
    <cellStyle name="Comma 7 4 5 3 3" xfId="17200" xr:uid="{697DF58C-C126-4A86-97B9-1AAEAD66D25D}"/>
    <cellStyle name="Comma 7 4 5 3 3 2" xfId="47440" xr:uid="{09312F97-2573-4204-8300-4AE795618ACE}"/>
    <cellStyle name="Comma 7 4 5 3 4" xfId="32320" xr:uid="{5A301F92-9D29-475C-BCC9-990567670CF5}"/>
    <cellStyle name="Comma 7 4 5 4" xfId="3592" xr:uid="{6C8EF963-B412-4B0D-955D-021F0E031648}"/>
    <cellStyle name="Comma 7 4 5 4 2" xfId="12664" xr:uid="{8715FE25-C952-4EFD-B720-0DA4E80D3424}"/>
    <cellStyle name="Comma 7 4 5 4 2 2" xfId="27784" xr:uid="{7AB7953F-1CA8-4BBB-B858-56FDEDA7F290}"/>
    <cellStyle name="Comma 7 4 5 4 2 2 2" xfId="58024" xr:uid="{DBF73354-7577-4F6F-84B5-AEDA3F1CC653}"/>
    <cellStyle name="Comma 7 4 5 4 2 3" xfId="42904" xr:uid="{DA69BF17-F546-4BA7-A090-8E8738B1BFE1}"/>
    <cellStyle name="Comma 7 4 5 4 3" xfId="18712" xr:uid="{3047C5D5-8602-44DE-A3A5-98532A846167}"/>
    <cellStyle name="Comma 7 4 5 4 3 2" xfId="48952" xr:uid="{74726077-220E-4D1A-ADDC-E081C5C73F79}"/>
    <cellStyle name="Comma 7 4 5 4 4" xfId="33832" xr:uid="{242F7B02-F49F-45FA-81CB-480D43F6D626}"/>
    <cellStyle name="Comma 7 4 5 5" xfId="5104" xr:uid="{B7B4496D-C98A-4020-A333-854B2134DD52}"/>
    <cellStyle name="Comma 7 4 5 5 2" xfId="14176" xr:uid="{ADC6299D-B917-4EAD-9E84-E42F2BB0707E}"/>
    <cellStyle name="Comma 7 4 5 5 2 2" xfId="29296" xr:uid="{7BB39810-9E83-4A4B-A6D7-B39A07218790}"/>
    <cellStyle name="Comma 7 4 5 5 2 2 2" xfId="59536" xr:uid="{166C87ED-24FC-49FE-BC86-5FA6E6E5F08E}"/>
    <cellStyle name="Comma 7 4 5 5 2 3" xfId="44416" xr:uid="{C93E8A63-3365-4CFA-93FE-7D68A38DDB45}"/>
    <cellStyle name="Comma 7 4 5 5 3" xfId="20224" xr:uid="{811E5D9E-591B-4A58-967F-1F00A40C668F}"/>
    <cellStyle name="Comma 7 4 5 5 3 2" xfId="50464" xr:uid="{9A1CC3D6-0660-4E7C-8387-6744D12E35A3}"/>
    <cellStyle name="Comma 7 4 5 5 4" xfId="35344" xr:uid="{F5D775D7-102B-4D4B-BAEE-7AF060107EEA}"/>
    <cellStyle name="Comma 7 4 5 6" xfId="6616" xr:uid="{71E3C47A-DA12-40C8-BD8D-21CE8B17722F}"/>
    <cellStyle name="Comma 7 4 5 6 2" xfId="21736" xr:uid="{27810558-A3DE-4AEF-AF96-9E5DEA695323}"/>
    <cellStyle name="Comma 7 4 5 6 2 2" xfId="51976" xr:uid="{B139365A-D7A9-4870-B8D0-4EEA4D01A0CE}"/>
    <cellStyle name="Comma 7 4 5 6 3" xfId="36856" xr:uid="{5F1D565C-8A47-43B3-A77E-46BD81F3C1CE}"/>
    <cellStyle name="Comma 7 4 5 7" xfId="8128" xr:uid="{09C550EA-8A4C-4213-9931-59D218CCC8E7}"/>
    <cellStyle name="Comma 7 4 5 7 2" xfId="23248" xr:uid="{1E46CFE5-32D2-4C68-AB2D-095BAEE64B56}"/>
    <cellStyle name="Comma 7 4 5 7 2 2" xfId="53488" xr:uid="{3236870F-F622-4515-B657-386E8264F1B6}"/>
    <cellStyle name="Comma 7 4 5 7 3" xfId="38368" xr:uid="{96AE240E-291C-4B64-8CE9-345F22A0BDF6}"/>
    <cellStyle name="Comma 7 4 5 8" xfId="9640" xr:uid="{E11EA600-3D75-46EA-BB7B-37FD2FFC2287}"/>
    <cellStyle name="Comma 7 4 5 8 2" xfId="24760" xr:uid="{15C93392-7A2A-4E6B-9452-77105E4C8242}"/>
    <cellStyle name="Comma 7 4 5 8 2 2" xfId="55000" xr:uid="{F383D7F2-34A6-4291-9F68-170CE7D83BF9}"/>
    <cellStyle name="Comma 7 4 5 8 3" xfId="39880" xr:uid="{D0357FA2-2A81-40C2-BE78-FFA03B630FDD}"/>
    <cellStyle name="Comma 7 4 5 9" xfId="15688" xr:uid="{2DEFFEF2-261C-4A73-9826-698B4008F99A}"/>
    <cellStyle name="Comma 7 4 5 9 2" xfId="45928" xr:uid="{B713981A-FAC6-448F-A23A-1BD184FB9049}"/>
    <cellStyle name="Comma 7 4 6" xfId="820" xr:uid="{E3B0FA4B-8A38-4A23-8DB6-258CC3D605CD}"/>
    <cellStyle name="Comma 7 4 6 2" xfId="2332" xr:uid="{7F4FF103-318E-4C45-8CA5-B5F0E986EBD5}"/>
    <cellStyle name="Comma 7 4 6 2 2" xfId="11404" xr:uid="{AE5BB4B6-EB7E-4DE9-A768-1414E5C7108F}"/>
    <cellStyle name="Comma 7 4 6 2 2 2" xfId="26524" xr:uid="{BD96A72E-0D17-4A68-8B1E-684A1AC19B39}"/>
    <cellStyle name="Comma 7 4 6 2 2 2 2" xfId="56764" xr:uid="{E7305A12-E415-42C0-A6E4-46033A503159}"/>
    <cellStyle name="Comma 7 4 6 2 2 3" xfId="41644" xr:uid="{C598A895-8FDD-4B5A-A978-F7119C31F940}"/>
    <cellStyle name="Comma 7 4 6 2 3" xfId="17452" xr:uid="{60E48F60-DE18-4998-B54A-BAE91FFE3566}"/>
    <cellStyle name="Comma 7 4 6 2 3 2" xfId="47692" xr:uid="{EB862970-F2C0-4564-AE5B-30BC1A925309}"/>
    <cellStyle name="Comma 7 4 6 2 4" xfId="32572" xr:uid="{4E2A0980-2ADC-41A3-B4E9-F5F4B3F1E9D3}"/>
    <cellStyle name="Comma 7 4 6 3" xfId="3844" xr:uid="{4D9884FE-1CFC-4C7D-83D1-A9B25026CC15}"/>
    <cellStyle name="Comma 7 4 6 3 2" xfId="12916" xr:uid="{7E4FDBDE-AE3D-4E1F-9FB3-5D201B62D445}"/>
    <cellStyle name="Comma 7 4 6 3 2 2" xfId="28036" xr:uid="{6A6A236D-120C-4E1D-BF39-E72EC63611E8}"/>
    <cellStyle name="Comma 7 4 6 3 2 2 2" xfId="58276" xr:uid="{1959C606-2034-4C7B-B0C7-1D5E1703BDFA}"/>
    <cellStyle name="Comma 7 4 6 3 2 3" xfId="43156" xr:uid="{61A1D664-C66C-4BAC-AFA5-CFDCF371F3CB}"/>
    <cellStyle name="Comma 7 4 6 3 3" xfId="18964" xr:uid="{A733EFE9-E8AD-4189-9BE1-F4098F862BA5}"/>
    <cellStyle name="Comma 7 4 6 3 3 2" xfId="49204" xr:uid="{7A23F83F-D730-4360-A300-3A4ACA7CDB21}"/>
    <cellStyle name="Comma 7 4 6 3 4" xfId="34084" xr:uid="{6FF3DC65-19F4-42B0-B6A6-EEB8C5243AD4}"/>
    <cellStyle name="Comma 7 4 6 4" xfId="5356" xr:uid="{D85F37F3-CD79-4862-B011-CC33E1C7C58C}"/>
    <cellStyle name="Comma 7 4 6 4 2" xfId="14428" xr:uid="{ADAF0949-4F86-4B47-8B80-CFE3B47D5CA1}"/>
    <cellStyle name="Comma 7 4 6 4 2 2" xfId="29548" xr:uid="{2E3BAA4C-46AB-4D4A-9BAD-4E2A00BE53FC}"/>
    <cellStyle name="Comma 7 4 6 4 2 2 2" xfId="59788" xr:uid="{02A79AB2-37CF-4FDE-ABCF-998570C0DDB2}"/>
    <cellStyle name="Comma 7 4 6 4 2 3" xfId="44668" xr:uid="{87562726-1E8D-4116-9037-9FD404507125}"/>
    <cellStyle name="Comma 7 4 6 4 3" xfId="20476" xr:uid="{75280C2E-BDB0-4BEE-8312-07337B8D64FD}"/>
    <cellStyle name="Comma 7 4 6 4 3 2" xfId="50716" xr:uid="{3F0E7E60-5786-435F-888C-B770D96BB7B2}"/>
    <cellStyle name="Comma 7 4 6 4 4" xfId="35596" xr:uid="{4972445A-8599-42B1-8AE9-75DA9878E52B}"/>
    <cellStyle name="Comma 7 4 6 5" xfId="6868" xr:uid="{434200C3-B558-4031-8A89-E1A04E06E73A}"/>
    <cellStyle name="Comma 7 4 6 5 2" xfId="21988" xr:uid="{C910DCB9-1F84-48A0-B759-EDB03A07BE55}"/>
    <cellStyle name="Comma 7 4 6 5 2 2" xfId="52228" xr:uid="{415423C3-B234-4731-BBDD-17F568A2D13F}"/>
    <cellStyle name="Comma 7 4 6 5 3" xfId="37108" xr:uid="{9A46B131-F9D9-4CD9-837D-09424C67B92E}"/>
    <cellStyle name="Comma 7 4 6 6" xfId="8380" xr:uid="{EE9DCE32-B6B9-4AF9-9EB0-9D3ACB58B2C5}"/>
    <cellStyle name="Comma 7 4 6 6 2" xfId="23500" xr:uid="{974E84A9-FDE9-494F-91CE-30A14C1D0740}"/>
    <cellStyle name="Comma 7 4 6 6 2 2" xfId="53740" xr:uid="{F94C75F9-6448-4567-AAEF-44CEFF424729}"/>
    <cellStyle name="Comma 7 4 6 6 3" xfId="38620" xr:uid="{AE2642CF-3802-4F30-9A0D-3733CAAC5337}"/>
    <cellStyle name="Comma 7 4 6 7" xfId="9892" xr:uid="{E5AC7894-CE8E-4035-97C6-F779D7A1F389}"/>
    <cellStyle name="Comma 7 4 6 7 2" xfId="25012" xr:uid="{092A35C2-9948-4DDA-8652-324EF7105013}"/>
    <cellStyle name="Comma 7 4 6 7 2 2" xfId="55252" xr:uid="{338082D9-16D1-4C8E-92BC-3BC698012240}"/>
    <cellStyle name="Comma 7 4 6 7 3" xfId="40132" xr:uid="{082DB2AD-5DE1-4EF5-8254-C10C1A97FA3C}"/>
    <cellStyle name="Comma 7 4 6 8" xfId="15940" xr:uid="{A206E5D1-FBC9-43DE-850D-FBE58C9D4859}"/>
    <cellStyle name="Comma 7 4 6 8 2" xfId="46180" xr:uid="{F6575A97-6434-40FB-A0F8-DAC7EC50A457}"/>
    <cellStyle name="Comma 7 4 6 9" xfId="31060" xr:uid="{EB7059F4-B704-42D6-AA8D-0F14F8450E7F}"/>
    <cellStyle name="Comma 7 4 7" xfId="1576" xr:uid="{0BFE12AF-B437-4FF1-AB7C-E4D48A68BBFF}"/>
    <cellStyle name="Comma 7 4 7 2" xfId="10648" xr:uid="{B72BD6A1-AB59-4BDB-A5D4-C280A6B549C8}"/>
    <cellStyle name="Comma 7 4 7 2 2" xfId="25768" xr:uid="{0F15A545-9CD7-4C6F-BEAB-A1DE6F29ED80}"/>
    <cellStyle name="Comma 7 4 7 2 2 2" xfId="56008" xr:uid="{841C50B9-ABDE-4BDE-AC23-41DE3429BD30}"/>
    <cellStyle name="Comma 7 4 7 2 3" xfId="40888" xr:uid="{313E93E0-E63C-4CF1-A7F9-6DFA9247B569}"/>
    <cellStyle name="Comma 7 4 7 3" xfId="16696" xr:uid="{4FFC625A-9115-4E62-8B80-C8D2E53F4DFB}"/>
    <cellStyle name="Comma 7 4 7 3 2" xfId="46936" xr:uid="{37B249B0-5473-46EA-B8DC-4B5959F705DF}"/>
    <cellStyle name="Comma 7 4 7 4" xfId="31816" xr:uid="{F7AA1BD0-3D48-49E3-AA29-14114D602BE7}"/>
    <cellStyle name="Comma 7 4 8" xfId="3088" xr:uid="{6F30B9FB-53D8-472B-A53A-6CE67F183668}"/>
    <cellStyle name="Comma 7 4 8 2" xfId="12160" xr:uid="{493ECB70-2604-47CB-BB74-E3B91E8DAC33}"/>
    <cellStyle name="Comma 7 4 8 2 2" xfId="27280" xr:uid="{81645DC8-0834-4E35-9C31-3C076DB73AC6}"/>
    <cellStyle name="Comma 7 4 8 2 2 2" xfId="57520" xr:uid="{AF7B64FB-93D0-4DBE-B69F-902E46DB5257}"/>
    <cellStyle name="Comma 7 4 8 2 3" xfId="42400" xr:uid="{A2DC9F4D-1634-4046-B3D2-01CC532308E8}"/>
    <cellStyle name="Comma 7 4 8 3" xfId="18208" xr:uid="{6CEF8F32-BA99-4D4D-B5B4-04D8FD2CC44E}"/>
    <cellStyle name="Comma 7 4 8 3 2" xfId="48448" xr:uid="{7EBE38DD-8FBC-4CAB-A311-3499B9CE6C37}"/>
    <cellStyle name="Comma 7 4 8 4" xfId="33328" xr:uid="{74FDF38B-10CE-4F61-ABA5-B69537997055}"/>
    <cellStyle name="Comma 7 4 9" xfId="4600" xr:uid="{3A8A163D-61E5-47D5-9EF3-26512237B935}"/>
    <cellStyle name="Comma 7 4 9 2" xfId="13672" xr:uid="{1E4A7D60-CA0D-4521-9771-9DACDB1CC3FF}"/>
    <cellStyle name="Comma 7 4 9 2 2" xfId="28792" xr:uid="{DDC60AFD-5649-4A6B-8B94-37D90160636E}"/>
    <cellStyle name="Comma 7 4 9 2 2 2" xfId="59032" xr:uid="{2D19F3E5-EAFA-459A-A04D-8434BA79DF51}"/>
    <cellStyle name="Comma 7 4 9 2 3" xfId="43912" xr:uid="{4BCCFE72-55C2-4891-A1BE-FB0291A55F4A}"/>
    <cellStyle name="Comma 7 4 9 3" xfId="19720" xr:uid="{75FAAFC7-80C7-459E-BA30-2F010759F197}"/>
    <cellStyle name="Comma 7 4 9 3 2" xfId="49960" xr:uid="{439B4FCF-37CE-4FBA-9F75-72FF08A71094}"/>
    <cellStyle name="Comma 7 4 9 4" xfId="34840" xr:uid="{31E5722B-463F-437A-8BB0-BB3FF9D57E3D}"/>
    <cellStyle name="Comma 7 5" xfId="106" xr:uid="{6AA52FF3-FF7B-499E-B9D7-B395FA196BB3}"/>
    <cellStyle name="Comma 7 5 10" xfId="9178" xr:uid="{CA94C444-96F5-4398-AAE5-C7E33124BC52}"/>
    <cellStyle name="Comma 7 5 10 2" xfId="24298" xr:uid="{CB8442C1-13D8-4B9D-8FE0-23733E3AC20C}"/>
    <cellStyle name="Comma 7 5 10 2 2" xfId="54538" xr:uid="{23610414-C0B2-4448-B817-37D8497519E0}"/>
    <cellStyle name="Comma 7 5 10 3" xfId="39418" xr:uid="{CC355751-B6F3-4A94-9FD6-EB0193455EF2}"/>
    <cellStyle name="Comma 7 5 11" xfId="15226" xr:uid="{10DE7A72-67CE-4B62-A2CE-8BF2A5177A8F}"/>
    <cellStyle name="Comma 7 5 11 2" xfId="45466" xr:uid="{E83DF9E0-4B41-4C1A-BE58-E67031B7CF1B}"/>
    <cellStyle name="Comma 7 5 12" xfId="30346" xr:uid="{7CFB43DA-FFCD-4141-A922-88C31E7F624D}"/>
    <cellStyle name="Comma 7 5 2" xfId="358" xr:uid="{F5FE7954-6917-47BD-BE0F-0279913AF497}"/>
    <cellStyle name="Comma 7 5 2 10" xfId="30598" xr:uid="{52FF5DA6-C786-4597-800A-09F6A4D52743}"/>
    <cellStyle name="Comma 7 5 2 2" xfId="1114" xr:uid="{CAF112A8-214D-4F64-A0E0-49ECC07FB909}"/>
    <cellStyle name="Comma 7 5 2 2 2" xfId="2626" xr:uid="{806D4E83-A134-4307-9AD1-0BC29B0CE2EE}"/>
    <cellStyle name="Comma 7 5 2 2 2 2" xfId="11698" xr:uid="{63124CA7-A591-4D6C-A702-70454CCEEFCB}"/>
    <cellStyle name="Comma 7 5 2 2 2 2 2" xfId="26818" xr:uid="{AF4F0079-7EFF-425A-9530-18B8A551FC2F}"/>
    <cellStyle name="Comma 7 5 2 2 2 2 2 2" xfId="57058" xr:uid="{2542736F-0E23-49BA-BA28-CEFA540342AA}"/>
    <cellStyle name="Comma 7 5 2 2 2 2 3" xfId="41938" xr:uid="{2D2AF338-1347-4CE4-810C-50660C11BE5A}"/>
    <cellStyle name="Comma 7 5 2 2 2 3" xfId="17746" xr:uid="{A289053C-8DD1-4C30-91E5-C4AA6AA0D207}"/>
    <cellStyle name="Comma 7 5 2 2 2 3 2" xfId="47986" xr:uid="{9BD514D5-6C13-4F26-B9BF-96576DBC6C3D}"/>
    <cellStyle name="Comma 7 5 2 2 2 4" xfId="32866" xr:uid="{455A4032-8C49-4046-8635-CB9E2219A9EA}"/>
    <cellStyle name="Comma 7 5 2 2 3" xfId="4138" xr:uid="{3576C6B4-E740-4D3F-B541-ECB971C299C4}"/>
    <cellStyle name="Comma 7 5 2 2 3 2" xfId="13210" xr:uid="{B2A63686-69CB-4025-AA5B-FF0E53640B28}"/>
    <cellStyle name="Comma 7 5 2 2 3 2 2" xfId="28330" xr:uid="{5FE3FA3C-845D-462C-B037-3A2D375B8E8C}"/>
    <cellStyle name="Comma 7 5 2 2 3 2 2 2" xfId="58570" xr:uid="{E3DCA483-917B-4608-B21B-3E018806FBB6}"/>
    <cellStyle name="Comma 7 5 2 2 3 2 3" xfId="43450" xr:uid="{EC9DF425-BF73-4BAD-A00B-201BCFABE333}"/>
    <cellStyle name="Comma 7 5 2 2 3 3" xfId="19258" xr:uid="{F1A0BD69-EE92-40DA-99AD-A8373FE2AED8}"/>
    <cellStyle name="Comma 7 5 2 2 3 3 2" xfId="49498" xr:uid="{4867A9FF-3F32-4EC9-B20F-87263509D9E8}"/>
    <cellStyle name="Comma 7 5 2 2 3 4" xfId="34378" xr:uid="{C0D4953D-FDE4-440C-8FDC-7198973CBB3B}"/>
    <cellStyle name="Comma 7 5 2 2 4" xfId="5650" xr:uid="{5F149012-C1D8-43E1-A24A-E67F6097B391}"/>
    <cellStyle name="Comma 7 5 2 2 4 2" xfId="14722" xr:uid="{C859DCEA-CB15-464E-9354-458D4B26C492}"/>
    <cellStyle name="Comma 7 5 2 2 4 2 2" xfId="29842" xr:uid="{065F373E-6381-4DAA-849B-1D67938C3760}"/>
    <cellStyle name="Comma 7 5 2 2 4 2 2 2" xfId="60082" xr:uid="{39741848-3A03-455B-A596-5EF7C9118AA5}"/>
    <cellStyle name="Comma 7 5 2 2 4 2 3" xfId="44962" xr:uid="{50CB878B-4750-4CD7-8727-EB3295C0F96C}"/>
    <cellStyle name="Comma 7 5 2 2 4 3" xfId="20770" xr:uid="{FF413613-B642-484F-AC34-B0FD2454B6A0}"/>
    <cellStyle name="Comma 7 5 2 2 4 3 2" xfId="51010" xr:uid="{CAAA8645-F2BD-42B7-A494-7C9C0FF14633}"/>
    <cellStyle name="Comma 7 5 2 2 4 4" xfId="35890" xr:uid="{07967E85-B1EA-48AB-9481-3A07569F80FD}"/>
    <cellStyle name="Comma 7 5 2 2 5" xfId="7162" xr:uid="{158A0A77-B165-444A-998D-1925416D857F}"/>
    <cellStyle name="Comma 7 5 2 2 5 2" xfId="22282" xr:uid="{6315D14E-0F45-444B-8F44-D6E02EAA2399}"/>
    <cellStyle name="Comma 7 5 2 2 5 2 2" xfId="52522" xr:uid="{35F4922E-2215-4A58-9C63-8BA50C6832EB}"/>
    <cellStyle name="Comma 7 5 2 2 5 3" xfId="37402" xr:uid="{4C151D44-1BD8-4578-83AB-BF3126015726}"/>
    <cellStyle name="Comma 7 5 2 2 6" xfId="8674" xr:uid="{8B2E9483-485D-4879-9912-791565FC41BA}"/>
    <cellStyle name="Comma 7 5 2 2 6 2" xfId="23794" xr:uid="{37C37A26-FA16-45F1-8BF6-C8308EA04EC5}"/>
    <cellStyle name="Comma 7 5 2 2 6 2 2" xfId="54034" xr:uid="{87F25D2B-0BC7-4237-9BD8-A0251DC06D57}"/>
    <cellStyle name="Comma 7 5 2 2 6 3" xfId="38914" xr:uid="{3CF890A2-48E6-41C9-B72A-6494D1330493}"/>
    <cellStyle name="Comma 7 5 2 2 7" xfId="10186" xr:uid="{09CEE5FA-EDBC-4457-8EA8-FAFE7A6456FC}"/>
    <cellStyle name="Comma 7 5 2 2 7 2" xfId="25306" xr:uid="{6BFE9CD9-7C83-4E04-8F43-6E0F3072566E}"/>
    <cellStyle name="Comma 7 5 2 2 7 2 2" xfId="55546" xr:uid="{6E1DFB0B-3891-4BEF-8BF7-C22124EEA3EE}"/>
    <cellStyle name="Comma 7 5 2 2 7 3" xfId="40426" xr:uid="{700D4740-A839-4C36-8646-0428F5D3D990}"/>
    <cellStyle name="Comma 7 5 2 2 8" xfId="16234" xr:uid="{DD04CA74-9B7B-4CD8-81AE-54F3895A8D1E}"/>
    <cellStyle name="Comma 7 5 2 2 8 2" xfId="46474" xr:uid="{1A12C107-65BB-413F-909C-4E62B56E649A}"/>
    <cellStyle name="Comma 7 5 2 2 9" xfId="31354" xr:uid="{C9D93AA9-AAAD-4604-913D-C665EF03FCDA}"/>
    <cellStyle name="Comma 7 5 2 3" xfId="1870" xr:uid="{D0F32AEF-807D-45F8-8F9D-03B59FEC4876}"/>
    <cellStyle name="Comma 7 5 2 3 2" xfId="10942" xr:uid="{198778C2-8489-48EA-B895-13FF4975017B}"/>
    <cellStyle name="Comma 7 5 2 3 2 2" xfId="26062" xr:uid="{36A61867-F17D-4EA6-BF8E-2A529DCCF79B}"/>
    <cellStyle name="Comma 7 5 2 3 2 2 2" xfId="56302" xr:uid="{6017869C-6D05-4287-8942-A18E697F300B}"/>
    <cellStyle name="Comma 7 5 2 3 2 3" xfId="41182" xr:uid="{F1EA58C9-3C3C-4824-AB8C-629BFE1E19CC}"/>
    <cellStyle name="Comma 7 5 2 3 3" xfId="16990" xr:uid="{61AF32BD-31E6-4DA3-A8B9-F00F147157DF}"/>
    <cellStyle name="Comma 7 5 2 3 3 2" xfId="47230" xr:uid="{9B4C2FF8-3CB0-4CA6-A202-3E70F16A31C2}"/>
    <cellStyle name="Comma 7 5 2 3 4" xfId="32110" xr:uid="{94E81997-2C09-4F62-9391-0659E9EA90F6}"/>
    <cellStyle name="Comma 7 5 2 4" xfId="3382" xr:uid="{F48261FD-0D7C-4CB0-AE4A-289095270239}"/>
    <cellStyle name="Comma 7 5 2 4 2" xfId="12454" xr:uid="{4C118895-66E2-4516-814E-CF4D92EB5526}"/>
    <cellStyle name="Comma 7 5 2 4 2 2" xfId="27574" xr:uid="{F26222F1-A834-41DE-87AC-97AF4D2F653F}"/>
    <cellStyle name="Comma 7 5 2 4 2 2 2" xfId="57814" xr:uid="{4718C27A-7200-4CE6-B7D2-75AA1129A845}"/>
    <cellStyle name="Comma 7 5 2 4 2 3" xfId="42694" xr:uid="{85D0CD5A-8C4E-455D-BCAB-EFBFA6DF5231}"/>
    <cellStyle name="Comma 7 5 2 4 3" xfId="18502" xr:uid="{90AB2D4F-9673-41E2-8B09-0F5B398E0A28}"/>
    <cellStyle name="Comma 7 5 2 4 3 2" xfId="48742" xr:uid="{3B27FD2C-7A87-4882-B0FC-0D92475F85B8}"/>
    <cellStyle name="Comma 7 5 2 4 4" xfId="33622" xr:uid="{440028F6-6146-4327-A3D7-E893D252AEF7}"/>
    <cellStyle name="Comma 7 5 2 5" xfId="4894" xr:uid="{9BBA20FD-F0D5-48C5-AFA0-038D200E34ED}"/>
    <cellStyle name="Comma 7 5 2 5 2" xfId="13966" xr:uid="{770D9C30-F50F-47E1-AF79-015926812B3D}"/>
    <cellStyle name="Comma 7 5 2 5 2 2" xfId="29086" xr:uid="{E9229149-4FCB-484F-992E-E613CB1D73CA}"/>
    <cellStyle name="Comma 7 5 2 5 2 2 2" xfId="59326" xr:uid="{3153BA5F-E743-4FCC-B62C-F28C27873F3D}"/>
    <cellStyle name="Comma 7 5 2 5 2 3" xfId="44206" xr:uid="{6DE4DA8F-DCAB-4E27-BA7C-D16A64ECC4D5}"/>
    <cellStyle name="Comma 7 5 2 5 3" xfId="20014" xr:uid="{6B47DBF8-0B11-4581-9557-C8092D055E43}"/>
    <cellStyle name="Comma 7 5 2 5 3 2" xfId="50254" xr:uid="{D336AD33-5C9B-458D-A944-804D33479A0B}"/>
    <cellStyle name="Comma 7 5 2 5 4" xfId="35134" xr:uid="{D4517155-47CE-4C8B-96C6-2DB6B6E63A47}"/>
    <cellStyle name="Comma 7 5 2 6" xfId="6406" xr:uid="{0871DBC3-475B-479B-B3E3-707AD02DD55E}"/>
    <cellStyle name="Comma 7 5 2 6 2" xfId="21526" xr:uid="{3DD61B71-4974-4B37-A7F3-B05A9A581C96}"/>
    <cellStyle name="Comma 7 5 2 6 2 2" xfId="51766" xr:uid="{A278E35B-DCB9-47FB-A0DB-018A06267C93}"/>
    <cellStyle name="Comma 7 5 2 6 3" xfId="36646" xr:uid="{E10A4FD2-034A-441E-842B-242195C0BB96}"/>
    <cellStyle name="Comma 7 5 2 7" xfId="7918" xr:uid="{A4FF03CC-6180-4B6B-BF5B-F295FF4B93FD}"/>
    <cellStyle name="Comma 7 5 2 7 2" xfId="23038" xr:uid="{FCD1C244-7A6D-4C09-A7A4-C19DC6489305}"/>
    <cellStyle name="Comma 7 5 2 7 2 2" xfId="53278" xr:uid="{35475820-76BC-4EEC-8EC3-A2E8F8095A7B}"/>
    <cellStyle name="Comma 7 5 2 7 3" xfId="38158" xr:uid="{E3175FAC-C1A7-40E4-AF01-9D88422B68C4}"/>
    <cellStyle name="Comma 7 5 2 8" xfId="9430" xr:uid="{7167548A-6830-4B8D-8C1E-AFF14EE0CC88}"/>
    <cellStyle name="Comma 7 5 2 8 2" xfId="24550" xr:uid="{1D1F6DF6-6ED5-4C0E-A859-076AC04D374E}"/>
    <cellStyle name="Comma 7 5 2 8 2 2" xfId="54790" xr:uid="{B9D28EA2-67BF-4328-B264-79399DD14480}"/>
    <cellStyle name="Comma 7 5 2 8 3" xfId="39670" xr:uid="{0C36BD81-CA1E-4F0B-B70E-5AFD5BB8EF78}"/>
    <cellStyle name="Comma 7 5 2 9" xfId="15478" xr:uid="{2BABC855-99F8-4C65-A061-DB4183D7CDBD}"/>
    <cellStyle name="Comma 7 5 2 9 2" xfId="45718" xr:uid="{B79A5E04-58D0-4AEB-A3BE-D55298FDB919}"/>
    <cellStyle name="Comma 7 5 3" xfId="610" xr:uid="{D0BDCF6F-985C-41AF-A81D-450E91FB3B2C}"/>
    <cellStyle name="Comma 7 5 3 10" xfId="30850" xr:uid="{40F11433-A5E6-49C8-BB91-2F1D85770FC3}"/>
    <cellStyle name="Comma 7 5 3 2" xfId="1366" xr:uid="{8215A241-D69B-41AB-B60C-315A01233B49}"/>
    <cellStyle name="Comma 7 5 3 2 2" xfId="2878" xr:uid="{EB91EF27-168E-46B3-9BDA-51C8968B8720}"/>
    <cellStyle name="Comma 7 5 3 2 2 2" xfId="11950" xr:uid="{301ECB42-2D47-4A47-8E56-DCEC93E81DE8}"/>
    <cellStyle name="Comma 7 5 3 2 2 2 2" xfId="27070" xr:uid="{0C4C079C-0AE3-4D3B-AD21-2E8F94C554EA}"/>
    <cellStyle name="Comma 7 5 3 2 2 2 2 2" xfId="57310" xr:uid="{B11D6C0C-9065-42C2-9F98-2D870DA2E898}"/>
    <cellStyle name="Comma 7 5 3 2 2 2 3" xfId="42190" xr:uid="{E0F7E31C-1A75-40F8-9ED5-8D57D1CA7207}"/>
    <cellStyle name="Comma 7 5 3 2 2 3" xfId="17998" xr:uid="{FF7B518E-800D-4DDE-B1DD-1CB6FEBE3AC6}"/>
    <cellStyle name="Comma 7 5 3 2 2 3 2" xfId="48238" xr:uid="{68415EFE-D4E2-49D9-B935-A5AC32A7117C}"/>
    <cellStyle name="Comma 7 5 3 2 2 4" xfId="33118" xr:uid="{DEE5A081-8962-48DB-A588-87D204472CF9}"/>
    <cellStyle name="Comma 7 5 3 2 3" xfId="4390" xr:uid="{72ABDFD0-9F30-4A0B-AB91-09820193700A}"/>
    <cellStyle name="Comma 7 5 3 2 3 2" xfId="13462" xr:uid="{4923D51E-68AA-4152-8635-823E9D6DAA5E}"/>
    <cellStyle name="Comma 7 5 3 2 3 2 2" xfId="28582" xr:uid="{06ED3803-8AE4-42DB-9686-4FE83BDD5059}"/>
    <cellStyle name="Comma 7 5 3 2 3 2 2 2" xfId="58822" xr:uid="{77857E00-A762-4105-91D1-7AD4941635E2}"/>
    <cellStyle name="Comma 7 5 3 2 3 2 3" xfId="43702" xr:uid="{7FA8BC02-38A3-4212-B2A2-895FABEAD745}"/>
    <cellStyle name="Comma 7 5 3 2 3 3" xfId="19510" xr:uid="{25BEE333-3EE8-46A4-86C7-EA9535E4BA49}"/>
    <cellStyle name="Comma 7 5 3 2 3 3 2" xfId="49750" xr:uid="{96B4EDE1-91AC-4ECA-8FFF-6967F5296C9D}"/>
    <cellStyle name="Comma 7 5 3 2 3 4" xfId="34630" xr:uid="{0C92953B-3A13-4B39-95D7-8D57109CC4A0}"/>
    <cellStyle name="Comma 7 5 3 2 4" xfId="5902" xr:uid="{BDF136A9-5980-41F2-9BD4-368165684EEA}"/>
    <cellStyle name="Comma 7 5 3 2 4 2" xfId="14974" xr:uid="{2BEE9CB3-8B32-47CC-B50E-2437F1FFBED8}"/>
    <cellStyle name="Comma 7 5 3 2 4 2 2" xfId="30094" xr:uid="{7DBF13B7-8886-4E69-9A45-7A60C9A1DFC9}"/>
    <cellStyle name="Comma 7 5 3 2 4 2 2 2" xfId="60334" xr:uid="{3AFA4BF3-7022-4D1E-BBDE-A1A327C25FA4}"/>
    <cellStyle name="Comma 7 5 3 2 4 2 3" xfId="45214" xr:uid="{15F32ED1-EC14-4BD5-8546-A1392E4C2042}"/>
    <cellStyle name="Comma 7 5 3 2 4 3" xfId="21022" xr:uid="{544E39F2-0963-4C14-94BE-65C002B67280}"/>
    <cellStyle name="Comma 7 5 3 2 4 3 2" xfId="51262" xr:uid="{2729C183-810F-49AE-BD75-A86BDB2FD8B1}"/>
    <cellStyle name="Comma 7 5 3 2 4 4" xfId="36142" xr:uid="{15C4D8D0-400A-4B45-9E31-C9284720A0F8}"/>
    <cellStyle name="Comma 7 5 3 2 5" xfId="7414" xr:uid="{37C6FC1E-4B0E-4D3B-A8C8-EC482DA24CEC}"/>
    <cellStyle name="Comma 7 5 3 2 5 2" xfId="22534" xr:uid="{27EB457F-50DE-424E-AF04-D02CE257E6E0}"/>
    <cellStyle name="Comma 7 5 3 2 5 2 2" xfId="52774" xr:uid="{5C70E3E4-1A5A-4CE8-A777-81543A4CE684}"/>
    <cellStyle name="Comma 7 5 3 2 5 3" xfId="37654" xr:uid="{37D93013-B24B-402A-9A95-55BE954CAAE2}"/>
    <cellStyle name="Comma 7 5 3 2 6" xfId="8926" xr:uid="{7F342156-9AE3-4975-A4A8-497B13748E76}"/>
    <cellStyle name="Comma 7 5 3 2 6 2" xfId="24046" xr:uid="{78D657CD-2A39-4B72-954C-377F16EEC457}"/>
    <cellStyle name="Comma 7 5 3 2 6 2 2" xfId="54286" xr:uid="{563D2ED2-CF50-4B7F-B61A-6923D9A008C2}"/>
    <cellStyle name="Comma 7 5 3 2 6 3" xfId="39166" xr:uid="{6FC5D716-3FCB-4577-B9E4-605858BB1CCE}"/>
    <cellStyle name="Comma 7 5 3 2 7" xfId="10438" xr:uid="{77BA1EA6-F58E-4A9E-9A87-E40633ECD9A0}"/>
    <cellStyle name="Comma 7 5 3 2 7 2" xfId="25558" xr:uid="{27C682CE-A505-4CD0-A31A-3B826BD0EE3A}"/>
    <cellStyle name="Comma 7 5 3 2 7 2 2" xfId="55798" xr:uid="{976E5F02-CECB-4F8F-9A74-462D0058E040}"/>
    <cellStyle name="Comma 7 5 3 2 7 3" xfId="40678" xr:uid="{4E5496C6-893C-47A9-8DA4-1BA0EA97C6B8}"/>
    <cellStyle name="Comma 7 5 3 2 8" xfId="16486" xr:uid="{32450E1F-22D5-4C73-9910-7131C69975B3}"/>
    <cellStyle name="Comma 7 5 3 2 8 2" xfId="46726" xr:uid="{9E41DF45-0124-4023-ABE0-54B8FB2C1BBE}"/>
    <cellStyle name="Comma 7 5 3 2 9" xfId="31606" xr:uid="{3DA1024B-7740-4715-9A44-AC45DB25F978}"/>
    <cellStyle name="Comma 7 5 3 3" xfId="2122" xr:uid="{CDB09DE0-9F29-47AC-AA27-DD5C5777C98B}"/>
    <cellStyle name="Comma 7 5 3 3 2" xfId="11194" xr:uid="{16A09551-662B-4EFF-82A7-AF2668F0B252}"/>
    <cellStyle name="Comma 7 5 3 3 2 2" xfId="26314" xr:uid="{87412431-472E-46AE-9DED-B2896ED882D1}"/>
    <cellStyle name="Comma 7 5 3 3 2 2 2" xfId="56554" xr:uid="{DC70C396-C875-4A96-A2B8-089AD18B3F55}"/>
    <cellStyle name="Comma 7 5 3 3 2 3" xfId="41434" xr:uid="{B6684680-23D5-423F-A565-FBFA5EDE88DB}"/>
    <cellStyle name="Comma 7 5 3 3 3" xfId="17242" xr:uid="{65516EF4-F0C4-4AD8-B512-D8CB2686592B}"/>
    <cellStyle name="Comma 7 5 3 3 3 2" xfId="47482" xr:uid="{C499F669-DBDD-4470-B247-FCC59F7C4F40}"/>
    <cellStyle name="Comma 7 5 3 3 4" xfId="32362" xr:uid="{81AC1835-DEC5-494E-9721-7C6E54E9B87B}"/>
    <cellStyle name="Comma 7 5 3 4" xfId="3634" xr:uid="{65D728D0-D88E-4045-8B45-CE2B2CAAC8C6}"/>
    <cellStyle name="Comma 7 5 3 4 2" xfId="12706" xr:uid="{05C0056B-3ED1-467A-AEFD-FCA497E63F48}"/>
    <cellStyle name="Comma 7 5 3 4 2 2" xfId="27826" xr:uid="{032901B1-1193-43CB-8642-CAA2A2C70596}"/>
    <cellStyle name="Comma 7 5 3 4 2 2 2" xfId="58066" xr:uid="{06E0A098-6F47-4DD3-80D9-DF92FE1207AA}"/>
    <cellStyle name="Comma 7 5 3 4 2 3" xfId="42946" xr:uid="{F3857A7B-336F-4428-B69E-BAAD40E47B25}"/>
    <cellStyle name="Comma 7 5 3 4 3" xfId="18754" xr:uid="{885AC8F5-084E-4E93-B552-6E57AC3FEF05}"/>
    <cellStyle name="Comma 7 5 3 4 3 2" xfId="48994" xr:uid="{ED07E444-4CE0-4B0D-9D8C-A428055C0BD0}"/>
    <cellStyle name="Comma 7 5 3 4 4" xfId="33874" xr:uid="{E06832FA-C1AC-4C1D-B893-B4CAFE7FE411}"/>
    <cellStyle name="Comma 7 5 3 5" xfId="5146" xr:uid="{1B0B6D26-3291-439C-A9CB-6D5F92A533E5}"/>
    <cellStyle name="Comma 7 5 3 5 2" xfId="14218" xr:uid="{059F8146-9463-484D-BCB5-8187BD02AAA6}"/>
    <cellStyle name="Comma 7 5 3 5 2 2" xfId="29338" xr:uid="{954CEB8F-0EA4-435C-937E-5D206C768EBA}"/>
    <cellStyle name="Comma 7 5 3 5 2 2 2" xfId="59578" xr:uid="{8F2AAE35-18C1-4BA1-B790-4F5986978949}"/>
    <cellStyle name="Comma 7 5 3 5 2 3" xfId="44458" xr:uid="{F90AFA56-5D0C-4D25-8A1F-978043553564}"/>
    <cellStyle name="Comma 7 5 3 5 3" xfId="20266" xr:uid="{D731933B-94CB-4FC2-8D9B-FEB0B04D4C97}"/>
    <cellStyle name="Comma 7 5 3 5 3 2" xfId="50506" xr:uid="{7F865886-9395-41F1-BEA2-C47B687F14EC}"/>
    <cellStyle name="Comma 7 5 3 5 4" xfId="35386" xr:uid="{582B9370-0C2E-4E32-8F37-7AC987B39C59}"/>
    <cellStyle name="Comma 7 5 3 6" xfId="6658" xr:uid="{35A147F0-30EB-47A0-9A0C-361B38475EE8}"/>
    <cellStyle name="Comma 7 5 3 6 2" xfId="21778" xr:uid="{3DD8E245-54C6-422E-B664-982C9E395843}"/>
    <cellStyle name="Comma 7 5 3 6 2 2" xfId="52018" xr:uid="{BBD3B688-5281-4F38-8991-A833024871C9}"/>
    <cellStyle name="Comma 7 5 3 6 3" xfId="36898" xr:uid="{CF5A1AB9-7CDD-4D8E-987B-523ACED11885}"/>
    <cellStyle name="Comma 7 5 3 7" xfId="8170" xr:uid="{B6AB7118-333E-4352-AF5F-E7BDB865D7C7}"/>
    <cellStyle name="Comma 7 5 3 7 2" xfId="23290" xr:uid="{7C77DC39-3998-403D-9486-0AF1909A37AA}"/>
    <cellStyle name="Comma 7 5 3 7 2 2" xfId="53530" xr:uid="{C18A6154-4E15-407D-BE82-01A76B12A723}"/>
    <cellStyle name="Comma 7 5 3 7 3" xfId="38410" xr:uid="{B7ED6042-4B06-409B-88DD-4A5F32C9DDD7}"/>
    <cellStyle name="Comma 7 5 3 8" xfId="9682" xr:uid="{76CE2845-4578-4C8F-B88D-F34080B6230C}"/>
    <cellStyle name="Comma 7 5 3 8 2" xfId="24802" xr:uid="{D8F9E23D-EDE4-4292-A921-E1CCC066EE45}"/>
    <cellStyle name="Comma 7 5 3 8 2 2" xfId="55042" xr:uid="{57F26495-A33F-45DB-AB5B-D7B76BCFF8B9}"/>
    <cellStyle name="Comma 7 5 3 8 3" xfId="39922" xr:uid="{326734F8-481D-4003-B782-665376B9C5E3}"/>
    <cellStyle name="Comma 7 5 3 9" xfId="15730" xr:uid="{EF9CF159-81F5-4440-994F-2630EC405754}"/>
    <cellStyle name="Comma 7 5 3 9 2" xfId="45970" xr:uid="{954CD3FB-D623-4165-9887-8A160162302E}"/>
    <cellStyle name="Comma 7 5 4" xfId="862" xr:uid="{BFF465CF-AB6A-42DC-B655-3BDD42C9143C}"/>
    <cellStyle name="Comma 7 5 4 2" xfId="2374" xr:uid="{CBA59AB6-B25C-4A0E-8E3D-E546601B801D}"/>
    <cellStyle name="Comma 7 5 4 2 2" xfId="11446" xr:uid="{F61E94ED-7068-4FF0-BF90-C92394798A64}"/>
    <cellStyle name="Comma 7 5 4 2 2 2" xfId="26566" xr:uid="{BD7D4BD3-D8FD-4D39-A570-C3103990EE41}"/>
    <cellStyle name="Comma 7 5 4 2 2 2 2" xfId="56806" xr:uid="{4089C920-1017-4D66-8369-2EC13E821B2B}"/>
    <cellStyle name="Comma 7 5 4 2 2 3" xfId="41686" xr:uid="{9113B826-B8F9-46B0-B09D-6F546A1C1DCA}"/>
    <cellStyle name="Comma 7 5 4 2 3" xfId="17494" xr:uid="{2D2B14A7-5D73-47C0-B318-1C21ECF0D8F7}"/>
    <cellStyle name="Comma 7 5 4 2 3 2" xfId="47734" xr:uid="{F5391F5D-0A0D-42AA-BB51-7D0757655A35}"/>
    <cellStyle name="Comma 7 5 4 2 4" xfId="32614" xr:uid="{6905FFF7-9772-4006-9ED9-D4C7BE2CA8FD}"/>
    <cellStyle name="Comma 7 5 4 3" xfId="3886" xr:uid="{23788382-D260-4458-8439-D474BDE6B30C}"/>
    <cellStyle name="Comma 7 5 4 3 2" xfId="12958" xr:uid="{4418DFA9-8E55-43B4-9AD9-A1C5D462F2F2}"/>
    <cellStyle name="Comma 7 5 4 3 2 2" xfId="28078" xr:uid="{FC55A76B-AB21-4A58-A871-9A7D243D6180}"/>
    <cellStyle name="Comma 7 5 4 3 2 2 2" xfId="58318" xr:uid="{5BA4CEA0-F6DB-4094-9161-1328A8A1474C}"/>
    <cellStyle name="Comma 7 5 4 3 2 3" xfId="43198" xr:uid="{D340FCB2-615E-41D6-A0D3-A2A3A9D33568}"/>
    <cellStyle name="Comma 7 5 4 3 3" xfId="19006" xr:uid="{28438DBE-2375-4B6D-8B25-498564DF2B9A}"/>
    <cellStyle name="Comma 7 5 4 3 3 2" xfId="49246" xr:uid="{629D937C-EE50-4F98-86F7-015AE3C9184E}"/>
    <cellStyle name="Comma 7 5 4 3 4" xfId="34126" xr:uid="{7F07CD34-63ED-4E42-A08E-DF0E4F1BB688}"/>
    <cellStyle name="Comma 7 5 4 4" xfId="5398" xr:uid="{BA5BEA77-4F32-41C4-BC25-D92DE48600C1}"/>
    <cellStyle name="Comma 7 5 4 4 2" xfId="14470" xr:uid="{A3C66AF1-3B7F-489B-A598-E74C345963EC}"/>
    <cellStyle name="Comma 7 5 4 4 2 2" xfId="29590" xr:uid="{9D9E4F8D-5A55-4C84-9959-C8C62F1BA26C}"/>
    <cellStyle name="Comma 7 5 4 4 2 2 2" xfId="59830" xr:uid="{705C552A-C714-46DF-B942-0A5F80EE851A}"/>
    <cellStyle name="Comma 7 5 4 4 2 3" xfId="44710" xr:uid="{B01B4D61-D783-4F7A-A408-33E6026AC235}"/>
    <cellStyle name="Comma 7 5 4 4 3" xfId="20518" xr:uid="{80E2B6DB-F043-4762-85FD-A05296902F71}"/>
    <cellStyle name="Comma 7 5 4 4 3 2" xfId="50758" xr:uid="{95AAE9BF-BE9A-412D-A6B4-BA9F7E30B1BF}"/>
    <cellStyle name="Comma 7 5 4 4 4" xfId="35638" xr:uid="{B5E9F31A-9844-4540-99B4-68E999FA20E8}"/>
    <cellStyle name="Comma 7 5 4 5" xfId="6910" xr:uid="{954C6CDC-91E5-45CE-9E33-E885E5E89A11}"/>
    <cellStyle name="Comma 7 5 4 5 2" xfId="22030" xr:uid="{6E83A46B-C1EB-42C1-AEB6-77FA3878DCC8}"/>
    <cellStyle name="Comma 7 5 4 5 2 2" xfId="52270" xr:uid="{91CC945A-CF94-490E-94A4-3806BEB8D828}"/>
    <cellStyle name="Comma 7 5 4 5 3" xfId="37150" xr:uid="{DC548C08-A038-4F7F-A0F6-786F6943D0F5}"/>
    <cellStyle name="Comma 7 5 4 6" xfId="8422" xr:uid="{9D6D7E3E-6F89-4E81-9EE5-7930BC2F22AF}"/>
    <cellStyle name="Comma 7 5 4 6 2" xfId="23542" xr:uid="{8A399F4D-9D11-42AC-9747-EC66B94FE063}"/>
    <cellStyle name="Comma 7 5 4 6 2 2" xfId="53782" xr:uid="{C1783DA6-C725-492C-A067-C1A546956DE2}"/>
    <cellStyle name="Comma 7 5 4 6 3" xfId="38662" xr:uid="{5C59B7E2-4B06-420D-A216-FADB07515DDA}"/>
    <cellStyle name="Comma 7 5 4 7" xfId="9934" xr:uid="{C7CF9B77-5676-4072-AF04-58FAA173F63B}"/>
    <cellStyle name="Comma 7 5 4 7 2" xfId="25054" xr:uid="{39E91BD6-4E4B-4ABA-85AA-C1F14CD9E3E4}"/>
    <cellStyle name="Comma 7 5 4 7 2 2" xfId="55294" xr:uid="{786114B7-8B00-476F-A714-19F0A35F4A49}"/>
    <cellStyle name="Comma 7 5 4 7 3" xfId="40174" xr:uid="{6BF6059B-84FE-4C27-BDC0-26DDB867BFDD}"/>
    <cellStyle name="Comma 7 5 4 8" xfId="15982" xr:uid="{D894697B-7786-4F83-90B3-87C3CC1E7775}"/>
    <cellStyle name="Comma 7 5 4 8 2" xfId="46222" xr:uid="{3A0FF91F-67F0-4AA1-B845-0154141F0DB4}"/>
    <cellStyle name="Comma 7 5 4 9" xfId="31102" xr:uid="{EB1A7F68-DE5F-4E1E-ABCD-9057D191257A}"/>
    <cellStyle name="Comma 7 5 5" xfId="1618" xr:uid="{EFFB01C6-80CA-4E22-9D67-F2F21F2AFB99}"/>
    <cellStyle name="Comma 7 5 5 2" xfId="10690" xr:uid="{98DB1BD9-62F9-4576-BA9E-8C42D5CD13AC}"/>
    <cellStyle name="Comma 7 5 5 2 2" xfId="25810" xr:uid="{05A72912-5D41-4ED4-9D79-5EFB173C6170}"/>
    <cellStyle name="Comma 7 5 5 2 2 2" xfId="56050" xr:uid="{FABCB012-DB9F-4CDD-82AF-C2168B9A6865}"/>
    <cellStyle name="Comma 7 5 5 2 3" xfId="40930" xr:uid="{1547CAF0-4B02-468D-AE3E-CCACB3D9B6D1}"/>
    <cellStyle name="Comma 7 5 5 3" xfId="16738" xr:uid="{83647730-041C-424F-87F9-7136D723C0E5}"/>
    <cellStyle name="Comma 7 5 5 3 2" xfId="46978" xr:uid="{B31EA916-F0F9-4D19-B899-ADFC34572831}"/>
    <cellStyle name="Comma 7 5 5 4" xfId="31858" xr:uid="{DE8D93A2-5058-426C-A353-7F974BD0BE3E}"/>
    <cellStyle name="Comma 7 5 6" xfId="3130" xr:uid="{82EC26C6-6621-4437-B17F-D3F6B2A8FDA2}"/>
    <cellStyle name="Comma 7 5 6 2" xfId="12202" xr:uid="{1F290AC1-C288-4690-B953-361C4040309D}"/>
    <cellStyle name="Comma 7 5 6 2 2" xfId="27322" xr:uid="{68F2E02E-9ACE-48D9-8294-7D67AC0AA004}"/>
    <cellStyle name="Comma 7 5 6 2 2 2" xfId="57562" xr:uid="{FD061B5F-6968-4B9A-BDF1-A5D2324A63B4}"/>
    <cellStyle name="Comma 7 5 6 2 3" xfId="42442" xr:uid="{250267E5-873D-40CC-A2E6-034F2813ADA1}"/>
    <cellStyle name="Comma 7 5 6 3" xfId="18250" xr:uid="{0E39E790-EACD-48C9-B0A5-D6D781168F4D}"/>
    <cellStyle name="Comma 7 5 6 3 2" xfId="48490" xr:uid="{E8CAE046-D92F-4E51-B20A-8B42F2B78D24}"/>
    <cellStyle name="Comma 7 5 6 4" xfId="33370" xr:uid="{101DA36C-AE5A-4CBA-BBDE-06C760BC16F1}"/>
    <cellStyle name="Comma 7 5 7" xfId="4642" xr:uid="{73819981-2184-4870-8486-67D09E3D7D76}"/>
    <cellStyle name="Comma 7 5 7 2" xfId="13714" xr:uid="{665FF8A5-B7EE-441C-A461-2B028FA2F80A}"/>
    <cellStyle name="Comma 7 5 7 2 2" xfId="28834" xr:uid="{6666C381-B435-406F-8D15-D510227614DF}"/>
    <cellStyle name="Comma 7 5 7 2 2 2" xfId="59074" xr:uid="{60524B9C-8C0C-421A-85F0-0B417EF36B13}"/>
    <cellStyle name="Comma 7 5 7 2 3" xfId="43954" xr:uid="{8B163AA5-2E37-4772-9DE9-07D9BB30B4BA}"/>
    <cellStyle name="Comma 7 5 7 3" xfId="19762" xr:uid="{F3EAF28E-CAC9-4EB8-A220-42864E4679A0}"/>
    <cellStyle name="Comma 7 5 7 3 2" xfId="50002" xr:uid="{204AD5AC-6F97-414F-BD10-F064EAAB295B}"/>
    <cellStyle name="Comma 7 5 7 4" xfId="34882" xr:uid="{DE967965-2154-493F-9E4E-FC44D1BF3408}"/>
    <cellStyle name="Comma 7 5 8" xfId="6154" xr:uid="{C288D5D4-F6F1-4F75-83C0-C358D9B7581F}"/>
    <cellStyle name="Comma 7 5 8 2" xfId="21274" xr:uid="{48DA5B2F-4CCE-4EE9-BCA0-4AF10E442BA7}"/>
    <cellStyle name="Comma 7 5 8 2 2" xfId="51514" xr:uid="{12437322-22A9-4996-9145-2C5068C3DF2A}"/>
    <cellStyle name="Comma 7 5 8 3" xfId="36394" xr:uid="{3CB6B644-92E5-4791-83B6-066E523B2262}"/>
    <cellStyle name="Comma 7 5 9" xfId="7666" xr:uid="{27DEB505-10FA-4D14-9FCE-6AFD5241DCD4}"/>
    <cellStyle name="Comma 7 5 9 2" xfId="22786" xr:uid="{FA1672A5-1AC1-4CF4-9365-C1166D8F29BB}"/>
    <cellStyle name="Comma 7 5 9 2 2" xfId="53026" xr:uid="{2A84D5FB-1A97-4A7A-B288-F14A3BBD4DB9}"/>
    <cellStyle name="Comma 7 5 9 3" xfId="37906" xr:uid="{D0B93037-F870-4258-A3DB-86F98FFCC017}"/>
    <cellStyle name="Comma 7 6" xfId="190" xr:uid="{846DCC75-BC93-47AF-9775-4CCB4E9F3509}"/>
    <cellStyle name="Comma 7 6 10" xfId="9262" xr:uid="{F8AA791D-73CC-46D1-9C38-215A83771A62}"/>
    <cellStyle name="Comma 7 6 10 2" xfId="24382" xr:uid="{373F5A04-5531-474D-A56C-DAC63751DBDA}"/>
    <cellStyle name="Comma 7 6 10 2 2" xfId="54622" xr:uid="{7AE3F493-5B18-4A25-B4FC-E9E54CD8DE8A}"/>
    <cellStyle name="Comma 7 6 10 3" xfId="39502" xr:uid="{D95CCE18-C116-4710-BE8F-84DA06AF13A2}"/>
    <cellStyle name="Comma 7 6 11" xfId="15310" xr:uid="{F837A1E7-1A6F-4AF0-AE91-5635D8C2E3D8}"/>
    <cellStyle name="Comma 7 6 11 2" xfId="45550" xr:uid="{6BF3E436-B1B0-4D5D-8A92-8020DD7E2E3B}"/>
    <cellStyle name="Comma 7 6 12" xfId="30430" xr:uid="{B67DAD35-BCE5-41E6-8057-EDA3E37336C5}"/>
    <cellStyle name="Comma 7 6 2" xfId="442" xr:uid="{39BD4C94-3737-4D1B-A109-2D093AE42F0C}"/>
    <cellStyle name="Comma 7 6 2 10" xfId="30682" xr:uid="{5BA90D53-B7F5-41FD-9C19-505CB0BC29E3}"/>
    <cellStyle name="Comma 7 6 2 2" xfId="1198" xr:uid="{3B99B7CA-3E53-4228-9DB2-20261E4ADD69}"/>
    <cellStyle name="Comma 7 6 2 2 2" xfId="2710" xr:uid="{174B4F9C-EE83-4D76-87A9-AC53B530E358}"/>
    <cellStyle name="Comma 7 6 2 2 2 2" xfId="11782" xr:uid="{3870147E-7BEE-4BE1-B53B-B0D3E6D8D652}"/>
    <cellStyle name="Comma 7 6 2 2 2 2 2" xfId="26902" xr:uid="{866CBD63-047B-4513-850F-721517C0BC48}"/>
    <cellStyle name="Comma 7 6 2 2 2 2 2 2" xfId="57142" xr:uid="{C91F86EA-AD70-4076-A115-F9D944996F4B}"/>
    <cellStyle name="Comma 7 6 2 2 2 2 3" xfId="42022" xr:uid="{689F1B73-CBCF-4723-BD3B-F979D75E7AE5}"/>
    <cellStyle name="Comma 7 6 2 2 2 3" xfId="17830" xr:uid="{F5E8EEF4-026B-4120-AEEE-E21A4DC2821A}"/>
    <cellStyle name="Comma 7 6 2 2 2 3 2" xfId="48070" xr:uid="{FBBC7C1E-25A9-496F-B409-AC7B1557385A}"/>
    <cellStyle name="Comma 7 6 2 2 2 4" xfId="32950" xr:uid="{001B730B-BC3C-46DB-A49A-EB6A2B9D8B20}"/>
    <cellStyle name="Comma 7 6 2 2 3" xfId="4222" xr:uid="{1B78F151-53B2-41AF-BF7D-4BA8F4932674}"/>
    <cellStyle name="Comma 7 6 2 2 3 2" xfId="13294" xr:uid="{BF1D2DFB-1411-4564-92EA-C90BB207EDC5}"/>
    <cellStyle name="Comma 7 6 2 2 3 2 2" xfId="28414" xr:uid="{9660ABB9-2556-402E-AC99-64921EB3EAF7}"/>
    <cellStyle name="Comma 7 6 2 2 3 2 2 2" xfId="58654" xr:uid="{D19A50AF-A8FA-4BA5-A371-DE4A4CD83768}"/>
    <cellStyle name="Comma 7 6 2 2 3 2 3" xfId="43534" xr:uid="{F9559948-1DE9-4C43-A75C-380074500FE1}"/>
    <cellStyle name="Comma 7 6 2 2 3 3" xfId="19342" xr:uid="{E9C47499-B6FB-4C9C-8F5C-8BA68F57B4E9}"/>
    <cellStyle name="Comma 7 6 2 2 3 3 2" xfId="49582" xr:uid="{B638B4F0-5EB7-49F3-9134-4093421F6199}"/>
    <cellStyle name="Comma 7 6 2 2 3 4" xfId="34462" xr:uid="{1B74B96E-6BA0-432B-81A1-EEDA64FAD675}"/>
    <cellStyle name="Comma 7 6 2 2 4" xfId="5734" xr:uid="{7FCBE653-7731-4339-991B-372EE028A95E}"/>
    <cellStyle name="Comma 7 6 2 2 4 2" xfId="14806" xr:uid="{B098EE90-E00A-4E84-A4EB-F681C8510075}"/>
    <cellStyle name="Comma 7 6 2 2 4 2 2" xfId="29926" xr:uid="{83E96513-599E-436B-B63E-EEAD92F351B5}"/>
    <cellStyle name="Comma 7 6 2 2 4 2 2 2" xfId="60166" xr:uid="{CCAE8BC5-2579-4233-8647-B976482A7F97}"/>
    <cellStyle name="Comma 7 6 2 2 4 2 3" xfId="45046" xr:uid="{87EB169F-CBA3-45A6-A782-8E4AF0168822}"/>
    <cellStyle name="Comma 7 6 2 2 4 3" xfId="20854" xr:uid="{AC13C481-5E0C-4A6B-8BAC-126251D0E04F}"/>
    <cellStyle name="Comma 7 6 2 2 4 3 2" xfId="51094" xr:uid="{E1960F0B-384E-4DEE-A42E-CC4248CF1480}"/>
    <cellStyle name="Comma 7 6 2 2 4 4" xfId="35974" xr:uid="{0A8A635A-B84D-4436-8C06-5B9E122ACB88}"/>
    <cellStyle name="Comma 7 6 2 2 5" xfId="7246" xr:uid="{5439CC6B-AD36-4318-806E-4A82FEDCFFFB}"/>
    <cellStyle name="Comma 7 6 2 2 5 2" xfId="22366" xr:uid="{27B0786A-31E4-480B-A180-21F4085945E0}"/>
    <cellStyle name="Comma 7 6 2 2 5 2 2" xfId="52606" xr:uid="{A5951815-5785-4F9D-AC10-7D69E7B718E0}"/>
    <cellStyle name="Comma 7 6 2 2 5 3" xfId="37486" xr:uid="{2D3DDB2B-8270-4A28-B6A7-4A02EA1833E9}"/>
    <cellStyle name="Comma 7 6 2 2 6" xfId="8758" xr:uid="{CBAC2963-1D61-4F2D-9B6B-E96B1AACD8ED}"/>
    <cellStyle name="Comma 7 6 2 2 6 2" xfId="23878" xr:uid="{86B534DB-B513-420C-8995-DC15C0463A2E}"/>
    <cellStyle name="Comma 7 6 2 2 6 2 2" xfId="54118" xr:uid="{037A7A32-6299-436A-BED1-B568F4BAB064}"/>
    <cellStyle name="Comma 7 6 2 2 6 3" xfId="38998" xr:uid="{E0351273-DAD5-4CD6-B34D-5E48D2A3528F}"/>
    <cellStyle name="Comma 7 6 2 2 7" xfId="10270" xr:uid="{1C989097-9C17-4B0E-A87C-30E50E77E5D5}"/>
    <cellStyle name="Comma 7 6 2 2 7 2" xfId="25390" xr:uid="{5803D487-F1CF-44AF-9F19-A4FA454A9C03}"/>
    <cellStyle name="Comma 7 6 2 2 7 2 2" xfId="55630" xr:uid="{9251D15E-379E-463D-942B-EBCE0EA83FB5}"/>
    <cellStyle name="Comma 7 6 2 2 7 3" xfId="40510" xr:uid="{95914F84-D9DF-48FC-9F68-8655B4EACA3C}"/>
    <cellStyle name="Comma 7 6 2 2 8" xfId="16318" xr:uid="{C037F0E9-C6DD-4A84-97D8-794B639DA023}"/>
    <cellStyle name="Comma 7 6 2 2 8 2" xfId="46558" xr:uid="{986EC904-6336-45A6-A7FE-AAE779F7761D}"/>
    <cellStyle name="Comma 7 6 2 2 9" xfId="31438" xr:uid="{3F05D107-5855-4028-BA50-74576310F141}"/>
    <cellStyle name="Comma 7 6 2 3" xfId="1954" xr:uid="{55B0084D-B261-43A5-8533-E878355C2D6A}"/>
    <cellStyle name="Comma 7 6 2 3 2" xfId="11026" xr:uid="{02999D47-323F-42FA-A65A-F05F9EEFD013}"/>
    <cellStyle name="Comma 7 6 2 3 2 2" xfId="26146" xr:uid="{20977905-CD8F-4243-AC6A-D8011C731C0F}"/>
    <cellStyle name="Comma 7 6 2 3 2 2 2" xfId="56386" xr:uid="{8744F0D1-BF7A-4A34-A2F5-7B236B787E13}"/>
    <cellStyle name="Comma 7 6 2 3 2 3" xfId="41266" xr:uid="{75D1C449-B24D-4C6B-A03D-DB86DD7A8AAA}"/>
    <cellStyle name="Comma 7 6 2 3 3" xfId="17074" xr:uid="{D241E11D-CE2A-40D8-8170-4008A6693C09}"/>
    <cellStyle name="Comma 7 6 2 3 3 2" xfId="47314" xr:uid="{B86601BD-2B4D-46D5-AD8A-A9E6ACC3CEA1}"/>
    <cellStyle name="Comma 7 6 2 3 4" xfId="32194" xr:uid="{8F439A9F-1337-41AD-A8A8-1281C033D387}"/>
    <cellStyle name="Comma 7 6 2 4" xfId="3466" xr:uid="{AE743218-AB14-467D-93CE-7BF494F782E3}"/>
    <cellStyle name="Comma 7 6 2 4 2" xfId="12538" xr:uid="{E077605D-70E4-452A-9C57-49C3DFFD2A5B}"/>
    <cellStyle name="Comma 7 6 2 4 2 2" xfId="27658" xr:uid="{66F8532D-1957-4BBB-9AD5-AB9650DC7383}"/>
    <cellStyle name="Comma 7 6 2 4 2 2 2" xfId="57898" xr:uid="{BE890E2C-0885-4045-9A79-947B67B2042B}"/>
    <cellStyle name="Comma 7 6 2 4 2 3" xfId="42778" xr:uid="{403C2A70-B625-4B55-A073-0B8111F4FF93}"/>
    <cellStyle name="Comma 7 6 2 4 3" xfId="18586" xr:uid="{1DFE7E20-A874-48B0-999B-8C625E80AF12}"/>
    <cellStyle name="Comma 7 6 2 4 3 2" xfId="48826" xr:uid="{EC709747-C475-4E94-B062-CA08E47FB44E}"/>
    <cellStyle name="Comma 7 6 2 4 4" xfId="33706" xr:uid="{86BA4AFC-C48D-4B4C-A835-B4F4D32500DA}"/>
    <cellStyle name="Comma 7 6 2 5" xfId="4978" xr:uid="{6A0A8158-3B30-40AC-B865-7D423BB81057}"/>
    <cellStyle name="Comma 7 6 2 5 2" xfId="14050" xr:uid="{858B8591-91C4-43D2-852D-107A577ECA85}"/>
    <cellStyle name="Comma 7 6 2 5 2 2" xfId="29170" xr:uid="{EFC5B00F-10DF-4CF6-9877-8410990D3F93}"/>
    <cellStyle name="Comma 7 6 2 5 2 2 2" xfId="59410" xr:uid="{238A6431-304E-4CAA-8435-91AD3F8E6D22}"/>
    <cellStyle name="Comma 7 6 2 5 2 3" xfId="44290" xr:uid="{0019101E-0941-4580-90FB-EBB5C084BD30}"/>
    <cellStyle name="Comma 7 6 2 5 3" xfId="20098" xr:uid="{F8AA343F-88D0-4B5A-9828-10D5757A39EA}"/>
    <cellStyle name="Comma 7 6 2 5 3 2" xfId="50338" xr:uid="{B47CEDF9-4987-4955-AF73-C02C92EB4B20}"/>
    <cellStyle name="Comma 7 6 2 5 4" xfId="35218" xr:uid="{E302CA42-581F-467F-965D-5F13A8D6CB3A}"/>
    <cellStyle name="Comma 7 6 2 6" xfId="6490" xr:uid="{BD1AAEAA-5D3F-493D-BE1C-6C599C5A397F}"/>
    <cellStyle name="Comma 7 6 2 6 2" xfId="21610" xr:uid="{ACC74888-77FC-440C-9938-CDBD37C7E266}"/>
    <cellStyle name="Comma 7 6 2 6 2 2" xfId="51850" xr:uid="{844BBC01-E540-42FC-97AA-A0BED6CA0CF9}"/>
    <cellStyle name="Comma 7 6 2 6 3" xfId="36730" xr:uid="{A9317C17-5F59-4355-9382-72D01CCBE08C}"/>
    <cellStyle name="Comma 7 6 2 7" xfId="8002" xr:uid="{7ED282D6-AE15-4014-84B2-E7AF43E807C6}"/>
    <cellStyle name="Comma 7 6 2 7 2" xfId="23122" xr:uid="{ACDA3258-991A-4DFC-9133-A5D430DB7769}"/>
    <cellStyle name="Comma 7 6 2 7 2 2" xfId="53362" xr:uid="{21639C19-575E-4344-9C19-A27768DE00BC}"/>
    <cellStyle name="Comma 7 6 2 7 3" xfId="38242" xr:uid="{BEEC5AA1-5024-492B-91F9-D924B774C690}"/>
    <cellStyle name="Comma 7 6 2 8" xfId="9514" xr:uid="{D5FBD1DC-0093-4039-84FC-C20CC54DCBEE}"/>
    <cellStyle name="Comma 7 6 2 8 2" xfId="24634" xr:uid="{F943B163-4EC1-4420-BE7F-2A7C21664D52}"/>
    <cellStyle name="Comma 7 6 2 8 2 2" xfId="54874" xr:uid="{879828EA-3BF4-4F58-AC1C-5EA02414D5D3}"/>
    <cellStyle name="Comma 7 6 2 8 3" xfId="39754" xr:uid="{6AB4B48A-839A-46C8-8532-40331B866D79}"/>
    <cellStyle name="Comma 7 6 2 9" xfId="15562" xr:uid="{8957658F-15DD-4B8E-A9C5-0BFB51B9CB52}"/>
    <cellStyle name="Comma 7 6 2 9 2" xfId="45802" xr:uid="{12712662-93D1-4939-9D8C-43CCF7F70852}"/>
    <cellStyle name="Comma 7 6 3" xfId="694" xr:uid="{DA2F661B-61DE-4CB3-B86E-2BB677DCE825}"/>
    <cellStyle name="Comma 7 6 3 10" xfId="30934" xr:uid="{8EF09AF1-1168-4B5D-A291-6BB983C550A8}"/>
    <cellStyle name="Comma 7 6 3 2" xfId="1450" xr:uid="{C3228F6F-A05C-4185-BF38-E4D6EC22C3C5}"/>
    <cellStyle name="Comma 7 6 3 2 2" xfId="2962" xr:uid="{675B9279-89E3-44E2-ACCF-ADC17CA4E332}"/>
    <cellStyle name="Comma 7 6 3 2 2 2" xfId="12034" xr:uid="{4BD61D88-8A64-4B21-8CD8-9AE50D0AE46D}"/>
    <cellStyle name="Comma 7 6 3 2 2 2 2" xfId="27154" xr:uid="{F23E56CB-D13F-4396-BE54-FB4E88A345AE}"/>
    <cellStyle name="Comma 7 6 3 2 2 2 2 2" xfId="57394" xr:uid="{CC5FD0A6-94F3-4970-B0A5-2889C0C88A41}"/>
    <cellStyle name="Comma 7 6 3 2 2 2 3" xfId="42274" xr:uid="{8FB51EDD-DF84-4E87-BA0C-3512B00ADBF3}"/>
    <cellStyle name="Comma 7 6 3 2 2 3" xfId="18082" xr:uid="{B45E5EAD-AD03-404D-8A21-438DF1F3525B}"/>
    <cellStyle name="Comma 7 6 3 2 2 3 2" xfId="48322" xr:uid="{AB5D93EE-0BA6-425A-A11D-D1C74780EEC7}"/>
    <cellStyle name="Comma 7 6 3 2 2 4" xfId="33202" xr:uid="{D57DF474-D355-4E7C-A5F3-BC6D4BAC544D}"/>
    <cellStyle name="Comma 7 6 3 2 3" xfId="4474" xr:uid="{49533F75-9BE1-470F-8B92-82E3844B2D71}"/>
    <cellStyle name="Comma 7 6 3 2 3 2" xfId="13546" xr:uid="{3878B8FA-D28D-41B6-98CB-CD715BCA7D4E}"/>
    <cellStyle name="Comma 7 6 3 2 3 2 2" xfId="28666" xr:uid="{A17C54B8-56DC-45A9-9164-8556336209D6}"/>
    <cellStyle name="Comma 7 6 3 2 3 2 2 2" xfId="58906" xr:uid="{4EC62E02-306B-4DAF-A077-7ED386D1A4BF}"/>
    <cellStyle name="Comma 7 6 3 2 3 2 3" xfId="43786" xr:uid="{A42584FE-B3F2-433A-9E63-43545E7B8351}"/>
    <cellStyle name="Comma 7 6 3 2 3 3" xfId="19594" xr:uid="{02412EC0-79A2-4856-86CB-9B4FDDBDAFF2}"/>
    <cellStyle name="Comma 7 6 3 2 3 3 2" xfId="49834" xr:uid="{56D138F1-6F9C-4D3E-B67A-671433A92875}"/>
    <cellStyle name="Comma 7 6 3 2 3 4" xfId="34714" xr:uid="{393E66AD-C7C5-48C0-B6A2-DE547D2EE754}"/>
    <cellStyle name="Comma 7 6 3 2 4" xfId="5986" xr:uid="{E2221CBE-B4ED-47EF-9CB8-7CA93B90CEF5}"/>
    <cellStyle name="Comma 7 6 3 2 4 2" xfId="15058" xr:uid="{887C53E5-E233-4196-9E12-51A9665AD264}"/>
    <cellStyle name="Comma 7 6 3 2 4 2 2" xfId="30178" xr:uid="{85F36F0B-554A-4ACA-BF0D-B05EF55EA162}"/>
    <cellStyle name="Comma 7 6 3 2 4 2 2 2" xfId="60418" xr:uid="{E42683A2-B872-48E0-B346-C77FB00AA8BA}"/>
    <cellStyle name="Comma 7 6 3 2 4 2 3" xfId="45298" xr:uid="{F1D75647-BEBA-4851-B53D-56FFE6CF35BC}"/>
    <cellStyle name="Comma 7 6 3 2 4 3" xfId="21106" xr:uid="{65A8D859-B1F6-4A08-9992-2CE80B01BB35}"/>
    <cellStyle name="Comma 7 6 3 2 4 3 2" xfId="51346" xr:uid="{DAC29B38-8220-4AD1-9A11-ED83A4B94DD0}"/>
    <cellStyle name="Comma 7 6 3 2 4 4" xfId="36226" xr:uid="{6555E5E4-1F42-438B-A549-C8B37F6DDE22}"/>
    <cellStyle name="Comma 7 6 3 2 5" xfId="7498" xr:uid="{818B38CD-9995-49B0-96A9-5CDC3784DB2D}"/>
    <cellStyle name="Comma 7 6 3 2 5 2" xfId="22618" xr:uid="{6DB4ECC6-4E21-4626-B71E-A2E827954D1D}"/>
    <cellStyle name="Comma 7 6 3 2 5 2 2" xfId="52858" xr:uid="{1EA0D2E5-30FC-46C5-9E01-A668030AAD0B}"/>
    <cellStyle name="Comma 7 6 3 2 5 3" xfId="37738" xr:uid="{88732E2E-E0DD-41B6-939B-9A90B3FB69A1}"/>
    <cellStyle name="Comma 7 6 3 2 6" xfId="9010" xr:uid="{32CA2C12-4430-4C06-91CC-567117C0A8BB}"/>
    <cellStyle name="Comma 7 6 3 2 6 2" xfId="24130" xr:uid="{81700E75-EC92-4380-821C-29ABD6AAB3C4}"/>
    <cellStyle name="Comma 7 6 3 2 6 2 2" xfId="54370" xr:uid="{F0D29A5A-F43B-4EE3-A65C-BF4AB68A4953}"/>
    <cellStyle name="Comma 7 6 3 2 6 3" xfId="39250" xr:uid="{1CBD41D6-8F5F-462B-8165-2BD056BF75F1}"/>
    <cellStyle name="Comma 7 6 3 2 7" xfId="10522" xr:uid="{443642C5-39A2-4BE2-B4D6-841DACBBDEC2}"/>
    <cellStyle name="Comma 7 6 3 2 7 2" xfId="25642" xr:uid="{6269F575-6E6A-4E19-86C8-CE01016C33FB}"/>
    <cellStyle name="Comma 7 6 3 2 7 2 2" xfId="55882" xr:uid="{9C8E06B5-913F-43EA-A971-3FF8DD53F4E2}"/>
    <cellStyle name="Comma 7 6 3 2 7 3" xfId="40762" xr:uid="{FB04E7EB-E598-43B4-BF48-B0FEEF565657}"/>
    <cellStyle name="Comma 7 6 3 2 8" xfId="16570" xr:uid="{4F8FA627-792D-44DC-8FA9-A87DC3DCCD8F}"/>
    <cellStyle name="Comma 7 6 3 2 8 2" xfId="46810" xr:uid="{0C107900-6AD2-4050-8530-9F7C49C8B03E}"/>
    <cellStyle name="Comma 7 6 3 2 9" xfId="31690" xr:uid="{AAF05DB4-3B00-4D6E-9D02-B227FD3F25A5}"/>
    <cellStyle name="Comma 7 6 3 3" xfId="2206" xr:uid="{6E174811-1E30-4D1D-AFAD-F27DA7AC1B91}"/>
    <cellStyle name="Comma 7 6 3 3 2" xfId="11278" xr:uid="{F4C736C7-BA62-4BDE-BD52-3335DAEA2B20}"/>
    <cellStyle name="Comma 7 6 3 3 2 2" xfId="26398" xr:uid="{45E8AB44-CC27-446F-8241-26EE2AA4E220}"/>
    <cellStyle name="Comma 7 6 3 3 2 2 2" xfId="56638" xr:uid="{CF22C0F8-4D0B-483C-A159-CAE183B9095E}"/>
    <cellStyle name="Comma 7 6 3 3 2 3" xfId="41518" xr:uid="{DBBDD455-4717-4D9F-88F3-EE1AE65F806F}"/>
    <cellStyle name="Comma 7 6 3 3 3" xfId="17326" xr:uid="{F3EDD1CA-A224-4BD7-8FA2-6F7098989E67}"/>
    <cellStyle name="Comma 7 6 3 3 3 2" xfId="47566" xr:uid="{CBCB0EEF-A79C-4DE3-9E66-4DA6E51CBAD8}"/>
    <cellStyle name="Comma 7 6 3 3 4" xfId="32446" xr:uid="{DF7EF88C-4123-446E-83BA-42A02032A3D3}"/>
    <cellStyle name="Comma 7 6 3 4" xfId="3718" xr:uid="{620F1C3E-068D-47B4-ADF5-38660EF7C37E}"/>
    <cellStyle name="Comma 7 6 3 4 2" xfId="12790" xr:uid="{5AC03850-EEE6-4C9B-AE30-0892F8C01D32}"/>
    <cellStyle name="Comma 7 6 3 4 2 2" xfId="27910" xr:uid="{35EBD591-D7F7-47B8-979C-4264F63CC14F}"/>
    <cellStyle name="Comma 7 6 3 4 2 2 2" xfId="58150" xr:uid="{729DBE1F-5E3E-45EB-A6D2-256402B642F7}"/>
    <cellStyle name="Comma 7 6 3 4 2 3" xfId="43030" xr:uid="{FABD9041-C3C6-49B0-9A43-FB7E9E8A354A}"/>
    <cellStyle name="Comma 7 6 3 4 3" xfId="18838" xr:uid="{FB2FF9FD-5697-475A-A00B-D11EBF21EFCF}"/>
    <cellStyle name="Comma 7 6 3 4 3 2" xfId="49078" xr:uid="{2BBE86A0-3A21-4B9D-BC94-9F64827AD0F9}"/>
    <cellStyle name="Comma 7 6 3 4 4" xfId="33958" xr:uid="{CDCB92B1-0069-49BA-96C7-51A823139700}"/>
    <cellStyle name="Comma 7 6 3 5" xfId="5230" xr:uid="{FC420581-C095-4119-A709-B9AA1DA1A273}"/>
    <cellStyle name="Comma 7 6 3 5 2" xfId="14302" xr:uid="{C3A798B6-CA7D-48AA-9D99-27EC1F6EA234}"/>
    <cellStyle name="Comma 7 6 3 5 2 2" xfId="29422" xr:uid="{7313456A-DA30-4AE5-AAB3-1A2EA07DAAA2}"/>
    <cellStyle name="Comma 7 6 3 5 2 2 2" xfId="59662" xr:uid="{A9222C9A-0DC6-4807-8D9B-2E5EFFB6E3D8}"/>
    <cellStyle name="Comma 7 6 3 5 2 3" xfId="44542" xr:uid="{CC68173E-5C29-408E-8106-2A047E9EDB26}"/>
    <cellStyle name="Comma 7 6 3 5 3" xfId="20350" xr:uid="{65263C82-2AB3-473A-B54D-38B72687D480}"/>
    <cellStyle name="Comma 7 6 3 5 3 2" xfId="50590" xr:uid="{462CC858-1E43-4AA1-885B-3F7328B76E66}"/>
    <cellStyle name="Comma 7 6 3 5 4" xfId="35470" xr:uid="{9C5BD241-5E12-4415-B2F1-E0ACF5821F34}"/>
    <cellStyle name="Comma 7 6 3 6" xfId="6742" xr:uid="{B24DDC83-F030-4FDB-99DC-DE502159D53F}"/>
    <cellStyle name="Comma 7 6 3 6 2" xfId="21862" xr:uid="{B7CA8A47-1EDF-4690-8F18-EDAF43B34988}"/>
    <cellStyle name="Comma 7 6 3 6 2 2" xfId="52102" xr:uid="{B57B35BE-E785-4728-AF0F-DE7CB5A46E82}"/>
    <cellStyle name="Comma 7 6 3 6 3" xfId="36982" xr:uid="{66C3D67D-48EC-4635-9371-A88D8145C91D}"/>
    <cellStyle name="Comma 7 6 3 7" xfId="8254" xr:uid="{5DB4ECB3-1955-4971-B1DF-36D702FD3FA0}"/>
    <cellStyle name="Comma 7 6 3 7 2" xfId="23374" xr:uid="{0CA2CCAC-4FAA-4AE3-9766-4EE1660B9037}"/>
    <cellStyle name="Comma 7 6 3 7 2 2" xfId="53614" xr:uid="{95ECE728-B819-448A-91AC-6E3D8A1A042C}"/>
    <cellStyle name="Comma 7 6 3 7 3" xfId="38494" xr:uid="{AEA88717-4EE8-4C90-98B9-8D3ADC6C80EE}"/>
    <cellStyle name="Comma 7 6 3 8" xfId="9766" xr:uid="{AF860731-B4E0-45EE-A1D8-7D936E79DDA8}"/>
    <cellStyle name="Comma 7 6 3 8 2" xfId="24886" xr:uid="{8645EBFD-727C-4EE3-9C55-BA8B48C31012}"/>
    <cellStyle name="Comma 7 6 3 8 2 2" xfId="55126" xr:uid="{E60AC69C-13FE-4DE5-8C2D-EE6781B4D03A}"/>
    <cellStyle name="Comma 7 6 3 8 3" xfId="40006" xr:uid="{A49CDE30-E6C4-4734-BA9D-1462DAF4BE39}"/>
    <cellStyle name="Comma 7 6 3 9" xfId="15814" xr:uid="{4E56FEAE-BE41-4004-9C43-541EEDB65006}"/>
    <cellStyle name="Comma 7 6 3 9 2" xfId="46054" xr:uid="{0381DD64-6C35-418A-BED6-06304CC15CF1}"/>
    <cellStyle name="Comma 7 6 4" xfId="946" xr:uid="{C1293383-4ED2-4C60-A02C-B83F9CDE101C}"/>
    <cellStyle name="Comma 7 6 4 2" xfId="2458" xr:uid="{D43637A8-B991-4DBD-950B-4896B07A1C67}"/>
    <cellStyle name="Comma 7 6 4 2 2" xfId="11530" xr:uid="{C03A5CEB-8663-4A49-AC20-032F76E40686}"/>
    <cellStyle name="Comma 7 6 4 2 2 2" xfId="26650" xr:uid="{655E1C56-68A9-45CE-BC8A-E19D02F2185E}"/>
    <cellStyle name="Comma 7 6 4 2 2 2 2" xfId="56890" xr:uid="{16C8B87B-2621-4B6D-8CB3-3C8C87E41A43}"/>
    <cellStyle name="Comma 7 6 4 2 2 3" xfId="41770" xr:uid="{73D0D042-3F87-44DA-8AAA-8AC57BDC909F}"/>
    <cellStyle name="Comma 7 6 4 2 3" xfId="17578" xr:uid="{666F727C-1F30-4021-AF0C-27C05A44452E}"/>
    <cellStyle name="Comma 7 6 4 2 3 2" xfId="47818" xr:uid="{457B8797-8A68-4FF1-A742-1C990E103477}"/>
    <cellStyle name="Comma 7 6 4 2 4" xfId="32698" xr:uid="{4891CB8A-0F05-4C46-A3FC-489AC9BEE5FC}"/>
    <cellStyle name="Comma 7 6 4 3" xfId="3970" xr:uid="{62D3A7AF-28F7-43EE-86DF-5EAB1FA8625F}"/>
    <cellStyle name="Comma 7 6 4 3 2" xfId="13042" xr:uid="{8A3C0121-2D48-40FE-BBC7-79572E534031}"/>
    <cellStyle name="Comma 7 6 4 3 2 2" xfId="28162" xr:uid="{0C80628B-D521-44F6-A8D1-660140754ED1}"/>
    <cellStyle name="Comma 7 6 4 3 2 2 2" xfId="58402" xr:uid="{92152D64-E6D2-4D4F-915A-B13DF5D2F291}"/>
    <cellStyle name="Comma 7 6 4 3 2 3" xfId="43282" xr:uid="{1F1CCF0E-33A9-4468-A25B-41130A2F0D67}"/>
    <cellStyle name="Comma 7 6 4 3 3" xfId="19090" xr:uid="{F30EF966-F0DA-4A99-91D3-D8969E50C845}"/>
    <cellStyle name="Comma 7 6 4 3 3 2" xfId="49330" xr:uid="{17789B8E-55D9-46EF-BBFB-86DC91446002}"/>
    <cellStyle name="Comma 7 6 4 3 4" xfId="34210" xr:uid="{76654DFF-E65E-4B3E-9945-2063DF8572DD}"/>
    <cellStyle name="Comma 7 6 4 4" xfId="5482" xr:uid="{E533C850-3EAB-4D1E-8BEA-F5C7D5246268}"/>
    <cellStyle name="Comma 7 6 4 4 2" xfId="14554" xr:uid="{99FB9320-DBE6-45FF-B658-48E47BCA7807}"/>
    <cellStyle name="Comma 7 6 4 4 2 2" xfId="29674" xr:uid="{3D1BC1AE-9975-42B9-A9CF-3763CFA20360}"/>
    <cellStyle name="Comma 7 6 4 4 2 2 2" xfId="59914" xr:uid="{D4CC1274-A3D5-4A80-B069-1C5BDEE04289}"/>
    <cellStyle name="Comma 7 6 4 4 2 3" xfId="44794" xr:uid="{3A83836A-CFC0-4266-898B-9631BF3FF64A}"/>
    <cellStyle name="Comma 7 6 4 4 3" xfId="20602" xr:uid="{502D1CD6-84F5-4439-903A-2D93F63CBADA}"/>
    <cellStyle name="Comma 7 6 4 4 3 2" xfId="50842" xr:uid="{A1E005F1-F28E-42B2-8F61-C221582CDBDC}"/>
    <cellStyle name="Comma 7 6 4 4 4" xfId="35722" xr:uid="{44E95CAC-4304-4ABB-B19E-6F7FD881C3E6}"/>
    <cellStyle name="Comma 7 6 4 5" xfId="6994" xr:uid="{4E5A0D39-89E1-4504-B9AF-D2929931F20A}"/>
    <cellStyle name="Comma 7 6 4 5 2" xfId="22114" xr:uid="{8E8DD544-7E45-4398-88D3-F7133A4E801F}"/>
    <cellStyle name="Comma 7 6 4 5 2 2" xfId="52354" xr:uid="{7943833C-A6B6-4B54-B754-817134B6A86E}"/>
    <cellStyle name="Comma 7 6 4 5 3" xfId="37234" xr:uid="{DF1E3F2E-3980-4AFA-80E9-4B96E18DA17E}"/>
    <cellStyle name="Comma 7 6 4 6" xfId="8506" xr:uid="{1797BA84-B1AF-45DB-9766-03B6A4301A7C}"/>
    <cellStyle name="Comma 7 6 4 6 2" xfId="23626" xr:uid="{2180D1A3-AEFE-4304-B5FA-C80AF9D41C17}"/>
    <cellStyle name="Comma 7 6 4 6 2 2" xfId="53866" xr:uid="{B16FB260-586E-4BD1-9CAD-4496FDDAD0B5}"/>
    <cellStyle name="Comma 7 6 4 6 3" xfId="38746" xr:uid="{8183B5EF-0A97-418F-B8C2-ADE8E001D73E}"/>
    <cellStyle name="Comma 7 6 4 7" xfId="10018" xr:uid="{6B18FC4E-C5A3-44A1-8834-256417CD6B75}"/>
    <cellStyle name="Comma 7 6 4 7 2" xfId="25138" xr:uid="{1F89576F-537F-4411-A252-B9C1162545CC}"/>
    <cellStyle name="Comma 7 6 4 7 2 2" xfId="55378" xr:uid="{C4F29E5E-1818-40ED-923B-7D8CBC9238CE}"/>
    <cellStyle name="Comma 7 6 4 7 3" xfId="40258" xr:uid="{ACCEAD67-F256-4008-8733-67FFD4782AEC}"/>
    <cellStyle name="Comma 7 6 4 8" xfId="16066" xr:uid="{AC983066-A74F-4791-A9B7-7DE32FFC0032}"/>
    <cellStyle name="Comma 7 6 4 8 2" xfId="46306" xr:uid="{AC7EDC69-30CF-4579-B2ED-2222DD49580C}"/>
    <cellStyle name="Comma 7 6 4 9" xfId="31186" xr:uid="{385E1354-CEBD-4D92-801B-7BDEA10459D4}"/>
    <cellStyle name="Comma 7 6 5" xfId="1702" xr:uid="{19A86452-743E-457C-A260-4D175FCB120C}"/>
    <cellStyle name="Comma 7 6 5 2" xfId="10774" xr:uid="{9BDBBE70-FCB5-4C52-BBB0-B6097696CF8B}"/>
    <cellStyle name="Comma 7 6 5 2 2" xfId="25894" xr:uid="{B7FB0F03-6B8C-4979-862C-4E58D3C53A27}"/>
    <cellStyle name="Comma 7 6 5 2 2 2" xfId="56134" xr:uid="{2C92780B-A097-4893-A9BE-D893375D9E41}"/>
    <cellStyle name="Comma 7 6 5 2 3" xfId="41014" xr:uid="{9A65C6B7-7B20-49BD-A369-BAD42F92B922}"/>
    <cellStyle name="Comma 7 6 5 3" xfId="16822" xr:uid="{4A3FDB83-1F26-4F3D-8303-07769540B861}"/>
    <cellStyle name="Comma 7 6 5 3 2" xfId="47062" xr:uid="{519EEA9A-B3AC-4A59-A279-CA4C1681C561}"/>
    <cellStyle name="Comma 7 6 5 4" xfId="31942" xr:uid="{14E1497A-BAA7-4CD4-BCD6-E491EA937741}"/>
    <cellStyle name="Comma 7 6 6" xfId="3214" xr:uid="{4DDBF559-E886-44F3-9BDE-F70E9432F4B5}"/>
    <cellStyle name="Comma 7 6 6 2" xfId="12286" xr:uid="{51DABA50-A636-467C-A680-F28416789322}"/>
    <cellStyle name="Comma 7 6 6 2 2" xfId="27406" xr:uid="{65A02788-337B-4181-8811-D88DB57CBDE7}"/>
    <cellStyle name="Comma 7 6 6 2 2 2" xfId="57646" xr:uid="{CC2AFC57-768D-4171-8FA9-98F6CBC5D4AB}"/>
    <cellStyle name="Comma 7 6 6 2 3" xfId="42526" xr:uid="{9B3F5196-3753-4225-8218-684E5CE5384C}"/>
    <cellStyle name="Comma 7 6 6 3" xfId="18334" xr:uid="{A947FDF3-1596-48BB-AA70-DED0A858B3DE}"/>
    <cellStyle name="Comma 7 6 6 3 2" xfId="48574" xr:uid="{EB8E02D8-90AE-42FF-A690-649C818E1600}"/>
    <cellStyle name="Comma 7 6 6 4" xfId="33454" xr:uid="{406ECDD6-A5AA-41FD-94A8-FE603029E553}"/>
    <cellStyle name="Comma 7 6 7" xfId="4726" xr:uid="{2BACA8D3-1F4C-49C8-8809-28C833749E27}"/>
    <cellStyle name="Comma 7 6 7 2" xfId="13798" xr:uid="{CF77FC78-73DC-4DB5-A3FB-322E7AF424CE}"/>
    <cellStyle name="Comma 7 6 7 2 2" xfId="28918" xr:uid="{43957197-F083-4F39-81BA-F53BC7D5B87B}"/>
    <cellStyle name="Comma 7 6 7 2 2 2" xfId="59158" xr:uid="{3F82849C-FAEF-4803-AE96-A542F0FDAF06}"/>
    <cellStyle name="Comma 7 6 7 2 3" xfId="44038" xr:uid="{3F925FD3-8546-44CB-AEF9-D2CC1EF1F595}"/>
    <cellStyle name="Comma 7 6 7 3" xfId="19846" xr:uid="{CDC078C1-E727-4BB1-8897-94E058B11977}"/>
    <cellStyle name="Comma 7 6 7 3 2" xfId="50086" xr:uid="{660FC261-E907-4B4C-A98E-72ED31A57D45}"/>
    <cellStyle name="Comma 7 6 7 4" xfId="34966" xr:uid="{B83C467D-660C-4449-89B0-74ABFC6FE386}"/>
    <cellStyle name="Comma 7 6 8" xfId="6238" xr:uid="{88ED2DAD-2C56-435F-930B-A3177A91523E}"/>
    <cellStyle name="Comma 7 6 8 2" xfId="21358" xr:uid="{FF76D54E-B7E4-4ACA-BC75-1DACB1518015}"/>
    <cellStyle name="Comma 7 6 8 2 2" xfId="51598" xr:uid="{8B5E4F2D-CC0C-469B-BCEE-C3F9C43553B6}"/>
    <cellStyle name="Comma 7 6 8 3" xfId="36478" xr:uid="{8A061DF1-ED96-40F3-8674-60D793D7F7F7}"/>
    <cellStyle name="Comma 7 6 9" xfId="7750" xr:uid="{293C6550-419D-42FA-B8E6-38EA1901A9BC}"/>
    <cellStyle name="Comma 7 6 9 2" xfId="22870" xr:uid="{E032B88C-821E-41F4-AF6C-91C5B4BCC1D6}"/>
    <cellStyle name="Comma 7 6 9 2 2" xfId="53110" xr:uid="{D2B45B04-6FB8-46E8-9D72-41A9391A830F}"/>
    <cellStyle name="Comma 7 6 9 3" xfId="37990" xr:uid="{D69F871D-D69A-4BA5-9C06-3A6B9E0840E2}"/>
    <cellStyle name="Comma 7 7" xfId="274" xr:uid="{8C9763A6-D748-4704-8CA8-8EF08AAC2B2D}"/>
    <cellStyle name="Comma 7 7 10" xfId="30514" xr:uid="{4FC0586A-CF81-45E0-B6F2-0C4A3BC95B30}"/>
    <cellStyle name="Comma 7 7 2" xfId="1030" xr:uid="{DE152487-5F4E-4DA6-B6AB-6BFC55830A76}"/>
    <cellStyle name="Comma 7 7 2 2" xfId="2542" xr:uid="{A794D919-07E8-4C3F-AF8C-FF64CD934984}"/>
    <cellStyle name="Comma 7 7 2 2 2" xfId="11614" xr:uid="{58F1D4B9-F436-4F31-B092-4C0049FF6D70}"/>
    <cellStyle name="Comma 7 7 2 2 2 2" xfId="26734" xr:uid="{9A217D85-8A6D-4851-8F9B-7B0FA34190CA}"/>
    <cellStyle name="Comma 7 7 2 2 2 2 2" xfId="56974" xr:uid="{60E74247-E945-4C92-BA96-2252EFBB6450}"/>
    <cellStyle name="Comma 7 7 2 2 2 3" xfId="41854" xr:uid="{453E2E26-2FB2-4F66-938F-A46B46F37854}"/>
    <cellStyle name="Comma 7 7 2 2 3" xfId="17662" xr:uid="{8013AC9A-AB9C-4F04-8781-FD505864AC6D}"/>
    <cellStyle name="Comma 7 7 2 2 3 2" xfId="47902" xr:uid="{2CCCE488-6250-492A-8870-AFF8AF7D1F49}"/>
    <cellStyle name="Comma 7 7 2 2 4" xfId="32782" xr:uid="{384A56EB-F74C-49CD-9EAA-DC13B62D19FF}"/>
    <cellStyle name="Comma 7 7 2 3" xfId="4054" xr:uid="{27C134EC-1E03-463B-A757-2F9192675BB8}"/>
    <cellStyle name="Comma 7 7 2 3 2" xfId="13126" xr:uid="{2DDB89AE-D5E5-44F3-BD97-A6AF97D23483}"/>
    <cellStyle name="Comma 7 7 2 3 2 2" xfId="28246" xr:uid="{BFB81499-9DBC-4EB9-9523-5349701FE376}"/>
    <cellStyle name="Comma 7 7 2 3 2 2 2" xfId="58486" xr:uid="{A18976F5-0612-412D-AB24-0C7D3A71E76B}"/>
    <cellStyle name="Comma 7 7 2 3 2 3" xfId="43366" xr:uid="{B0DE6967-3959-40F9-AF84-126FE2985E58}"/>
    <cellStyle name="Comma 7 7 2 3 3" xfId="19174" xr:uid="{21631E38-09F0-45FB-9241-442A741B107F}"/>
    <cellStyle name="Comma 7 7 2 3 3 2" xfId="49414" xr:uid="{AFB48AA7-2D47-4D9C-828F-DA35F1971A7D}"/>
    <cellStyle name="Comma 7 7 2 3 4" xfId="34294" xr:uid="{63E7131E-886F-48AF-A958-26B7C7A4CBD0}"/>
    <cellStyle name="Comma 7 7 2 4" xfId="5566" xr:uid="{077B69B0-FF41-4C7C-B606-0641D5DCA0E6}"/>
    <cellStyle name="Comma 7 7 2 4 2" xfId="14638" xr:uid="{D62DE26C-7FFA-4614-B90C-D78DBA0282DE}"/>
    <cellStyle name="Comma 7 7 2 4 2 2" xfId="29758" xr:uid="{5E56DE02-4A6A-432D-9584-3DC92C1AF292}"/>
    <cellStyle name="Comma 7 7 2 4 2 2 2" xfId="59998" xr:uid="{1192B4DB-E4D4-4EB4-9AA3-77B93166D593}"/>
    <cellStyle name="Comma 7 7 2 4 2 3" xfId="44878" xr:uid="{D3796810-C1FA-4289-B59B-7F161C896BF6}"/>
    <cellStyle name="Comma 7 7 2 4 3" xfId="20686" xr:uid="{6404364F-4019-4286-AD91-067BA4788355}"/>
    <cellStyle name="Comma 7 7 2 4 3 2" xfId="50926" xr:uid="{D1A06513-3E1B-43D3-B666-EBFE0824C9D9}"/>
    <cellStyle name="Comma 7 7 2 4 4" xfId="35806" xr:uid="{98023208-8A70-421E-BDED-5441624BB98E}"/>
    <cellStyle name="Comma 7 7 2 5" xfId="7078" xr:uid="{420E82B9-1D46-4D12-A030-0F1071C01C02}"/>
    <cellStyle name="Comma 7 7 2 5 2" xfId="22198" xr:uid="{0E726BDB-B1B5-4346-99CF-9CE1C636BCFD}"/>
    <cellStyle name="Comma 7 7 2 5 2 2" xfId="52438" xr:uid="{782E0465-D77D-47A5-987F-C42C1CD1ADFC}"/>
    <cellStyle name="Comma 7 7 2 5 3" xfId="37318" xr:uid="{C8C952D8-3CFC-4567-94C9-48A55F9C9109}"/>
    <cellStyle name="Comma 7 7 2 6" xfId="8590" xr:uid="{FE36F152-3288-4967-B48E-00D5D5107C45}"/>
    <cellStyle name="Comma 7 7 2 6 2" xfId="23710" xr:uid="{0C076C62-4FCD-4C1A-913A-6224316CBDFC}"/>
    <cellStyle name="Comma 7 7 2 6 2 2" xfId="53950" xr:uid="{5B99CC11-A8DD-41BB-8AA7-F9D0ABFB46CF}"/>
    <cellStyle name="Comma 7 7 2 6 3" xfId="38830" xr:uid="{6D52B700-8E75-42A5-ACA8-7FD2A0089401}"/>
    <cellStyle name="Comma 7 7 2 7" xfId="10102" xr:uid="{31DEFBCB-FCE7-4B0D-8D93-4272C2AA69FA}"/>
    <cellStyle name="Comma 7 7 2 7 2" xfId="25222" xr:uid="{26DFF3D0-3667-47B0-A7B5-1422F768ABB6}"/>
    <cellStyle name="Comma 7 7 2 7 2 2" xfId="55462" xr:uid="{3C5CAF3C-E950-431C-8A0D-A1DBA3C1658E}"/>
    <cellStyle name="Comma 7 7 2 7 3" xfId="40342" xr:uid="{D50052FA-6EC4-4DAB-AD53-E4EC39F34062}"/>
    <cellStyle name="Comma 7 7 2 8" xfId="16150" xr:uid="{DB5D70D7-F415-4D5A-A31B-D2E398DDB2BA}"/>
    <cellStyle name="Comma 7 7 2 8 2" xfId="46390" xr:uid="{B93FA5D3-8167-45D5-A59A-3186EE13D71F}"/>
    <cellStyle name="Comma 7 7 2 9" xfId="31270" xr:uid="{F7E240A5-0B9F-4E01-9A63-2D87C3F0996D}"/>
    <cellStyle name="Comma 7 7 3" xfId="1786" xr:uid="{981E2B66-A165-4C94-A454-89EF86BDA023}"/>
    <cellStyle name="Comma 7 7 3 2" xfId="10858" xr:uid="{C9E70FEF-846A-4FBB-9583-AD2F2B7158D6}"/>
    <cellStyle name="Comma 7 7 3 2 2" xfId="25978" xr:uid="{5118D51C-7317-40DE-A634-E90E4A76A77C}"/>
    <cellStyle name="Comma 7 7 3 2 2 2" xfId="56218" xr:uid="{EF1F3B62-63C6-4354-87DE-F6A981EE79AD}"/>
    <cellStyle name="Comma 7 7 3 2 3" xfId="41098" xr:uid="{6B28C648-6EAD-4721-8AEC-66660DCFFB1F}"/>
    <cellStyle name="Comma 7 7 3 3" xfId="16906" xr:uid="{80AC2515-4422-4FFC-A003-8F6C58522C0E}"/>
    <cellStyle name="Comma 7 7 3 3 2" xfId="47146" xr:uid="{C6173F24-D693-4720-B891-7B0DB3422626}"/>
    <cellStyle name="Comma 7 7 3 4" xfId="32026" xr:uid="{90AAB297-273E-4017-ABCE-921F0E91BABF}"/>
    <cellStyle name="Comma 7 7 4" xfId="3298" xr:uid="{959E1BEA-F956-4C93-9D78-93E0B62CFD58}"/>
    <cellStyle name="Comma 7 7 4 2" xfId="12370" xr:uid="{EAACE738-F64B-48BF-9AF0-72C94E5574EF}"/>
    <cellStyle name="Comma 7 7 4 2 2" xfId="27490" xr:uid="{F4F4F565-FB2F-4CE9-858E-25BBD2F8C33E}"/>
    <cellStyle name="Comma 7 7 4 2 2 2" xfId="57730" xr:uid="{31B78CA1-A4B1-4095-8734-26B4BE88732F}"/>
    <cellStyle name="Comma 7 7 4 2 3" xfId="42610" xr:uid="{F5F74576-F60B-4551-9D0A-F2C2AB410070}"/>
    <cellStyle name="Comma 7 7 4 3" xfId="18418" xr:uid="{A946229A-1AF0-4697-8B61-0531C82FC02D}"/>
    <cellStyle name="Comma 7 7 4 3 2" xfId="48658" xr:uid="{6E1CB48F-9ACD-40E5-8DF8-76FAB813C129}"/>
    <cellStyle name="Comma 7 7 4 4" xfId="33538" xr:uid="{77E057DE-3C45-479F-A959-0251FA132789}"/>
    <cellStyle name="Comma 7 7 5" xfId="4810" xr:uid="{6D7E5B29-14B7-4B4F-AA4C-C60E315F78FC}"/>
    <cellStyle name="Comma 7 7 5 2" xfId="13882" xr:uid="{A33CD562-544D-4C67-A7AC-4DA1B3396B6E}"/>
    <cellStyle name="Comma 7 7 5 2 2" xfId="29002" xr:uid="{CD67491B-6DF4-4069-A5F0-3F8A3EEF8870}"/>
    <cellStyle name="Comma 7 7 5 2 2 2" xfId="59242" xr:uid="{675679AF-8614-430B-9C65-2EF5E7206817}"/>
    <cellStyle name="Comma 7 7 5 2 3" xfId="44122" xr:uid="{FEF645DF-7BA8-4FE2-96C9-86064425B771}"/>
    <cellStyle name="Comma 7 7 5 3" xfId="19930" xr:uid="{0286208A-9A34-4836-8E0A-3EF77DC253F9}"/>
    <cellStyle name="Comma 7 7 5 3 2" xfId="50170" xr:uid="{24CAEE6B-9E43-4DBA-84FD-59A2B38A3301}"/>
    <cellStyle name="Comma 7 7 5 4" xfId="35050" xr:uid="{3806BA13-6C42-4CCA-9EAB-E3344417EC81}"/>
    <cellStyle name="Comma 7 7 6" xfId="6322" xr:uid="{D0B78ECD-1D4E-4FD0-803A-36665FD59AAC}"/>
    <cellStyle name="Comma 7 7 6 2" xfId="21442" xr:uid="{FF8D6689-7EB9-4F94-BA61-89582481B30C}"/>
    <cellStyle name="Comma 7 7 6 2 2" xfId="51682" xr:uid="{7DBDA773-15DA-466E-B53B-A35609E8460F}"/>
    <cellStyle name="Comma 7 7 6 3" xfId="36562" xr:uid="{EF4716C3-5F0F-4E8A-A8CA-131B1F2212BA}"/>
    <cellStyle name="Comma 7 7 7" xfId="7834" xr:uid="{07E5850E-D2BB-4D38-B182-1AEFB78615BA}"/>
    <cellStyle name="Comma 7 7 7 2" xfId="22954" xr:uid="{290A7062-BF84-4917-AC9C-39A28113FB26}"/>
    <cellStyle name="Comma 7 7 7 2 2" xfId="53194" xr:uid="{69E68956-0BB7-4141-8F6B-BA4DB5B450F5}"/>
    <cellStyle name="Comma 7 7 7 3" xfId="38074" xr:uid="{DDE850C9-DE5D-4A8F-B369-D7B2E997B3EB}"/>
    <cellStyle name="Comma 7 7 8" xfId="9346" xr:uid="{B3EE83F6-85A5-4733-BED5-B15623434EF7}"/>
    <cellStyle name="Comma 7 7 8 2" xfId="24466" xr:uid="{E9FDDC0C-3799-43F1-93F4-8756344954E9}"/>
    <cellStyle name="Comma 7 7 8 2 2" xfId="54706" xr:uid="{25CC2B88-66FB-4E4D-8916-BBDFC9EF445B}"/>
    <cellStyle name="Comma 7 7 8 3" xfId="39586" xr:uid="{B6A30479-253E-4610-8005-9391F852A878}"/>
    <cellStyle name="Comma 7 7 9" xfId="15394" xr:uid="{35D2D31E-9DF1-49FC-9A27-AD8F631649F6}"/>
    <cellStyle name="Comma 7 7 9 2" xfId="45634" xr:uid="{A3AAE251-FF70-4D17-B877-A06822886E1C}"/>
    <cellStyle name="Comma 7 8" xfId="526" xr:uid="{1A15CEAE-AE71-4112-8A6A-71B5692B67B3}"/>
    <cellStyle name="Comma 7 8 10" xfId="30766" xr:uid="{29A0ADA8-9000-4B18-8852-10C3DDAEB1F5}"/>
    <cellStyle name="Comma 7 8 2" xfId="1282" xr:uid="{195B5A74-AAD7-42C3-98F0-A31C7AA340B4}"/>
    <cellStyle name="Comma 7 8 2 2" xfId="2794" xr:uid="{083CF7B4-FCA4-478D-B244-7DAAD39F8F5E}"/>
    <cellStyle name="Comma 7 8 2 2 2" xfId="11866" xr:uid="{B3BB6201-2FCA-4EBB-B922-F87DA6F1CAED}"/>
    <cellStyle name="Comma 7 8 2 2 2 2" xfId="26986" xr:uid="{8B2BE630-FD78-4D01-8DD7-497946B134E2}"/>
    <cellStyle name="Comma 7 8 2 2 2 2 2" xfId="57226" xr:uid="{64B01036-B626-4B93-B4A1-2C0E2854CC51}"/>
    <cellStyle name="Comma 7 8 2 2 2 3" xfId="42106" xr:uid="{B24CE265-892A-4B30-A8E3-099065FBDB31}"/>
    <cellStyle name="Comma 7 8 2 2 3" xfId="17914" xr:uid="{48E14EF7-B58F-4148-B0DF-9500DB571968}"/>
    <cellStyle name="Comma 7 8 2 2 3 2" xfId="48154" xr:uid="{52CE5567-6DDB-4DBF-9D64-216AADDC82DB}"/>
    <cellStyle name="Comma 7 8 2 2 4" xfId="33034" xr:uid="{327F2B04-38FC-4980-A3FA-32AE655E3ABB}"/>
    <cellStyle name="Comma 7 8 2 3" xfId="4306" xr:uid="{9D73A394-DE7C-41AA-BD72-DE779691611B}"/>
    <cellStyle name="Comma 7 8 2 3 2" xfId="13378" xr:uid="{A9D34287-D600-4449-9EB2-8498D4055E07}"/>
    <cellStyle name="Comma 7 8 2 3 2 2" xfId="28498" xr:uid="{578EE6A2-6717-45D9-9733-56BB5CE73EB0}"/>
    <cellStyle name="Comma 7 8 2 3 2 2 2" xfId="58738" xr:uid="{65A72843-054B-4BB1-8A7C-D84A6063A2A8}"/>
    <cellStyle name="Comma 7 8 2 3 2 3" xfId="43618" xr:uid="{931101B7-FF60-485F-B1C6-7CE8F1E6AF66}"/>
    <cellStyle name="Comma 7 8 2 3 3" xfId="19426" xr:uid="{CD4665C2-9B62-49A2-8E75-10A473A9714C}"/>
    <cellStyle name="Comma 7 8 2 3 3 2" xfId="49666" xr:uid="{D75A0B07-C368-4A27-9824-A4F8D97EF241}"/>
    <cellStyle name="Comma 7 8 2 3 4" xfId="34546" xr:uid="{44BB9093-85C4-41AC-A948-713C0B173CD2}"/>
    <cellStyle name="Comma 7 8 2 4" xfId="5818" xr:uid="{0EB29233-7699-4D0D-88EF-6DE5316BA573}"/>
    <cellStyle name="Comma 7 8 2 4 2" xfId="14890" xr:uid="{C2179AAE-1D82-423A-B5FC-8BD08B2EF2C3}"/>
    <cellStyle name="Comma 7 8 2 4 2 2" xfId="30010" xr:uid="{E2FB8C57-AFD6-40D6-9A21-8555F730E06C}"/>
    <cellStyle name="Comma 7 8 2 4 2 2 2" xfId="60250" xr:uid="{DA231513-CE46-4C3C-BBF6-5203CEE019E3}"/>
    <cellStyle name="Comma 7 8 2 4 2 3" xfId="45130" xr:uid="{746309A1-D552-4F03-B6F2-1F61C2E6ABA0}"/>
    <cellStyle name="Comma 7 8 2 4 3" xfId="20938" xr:uid="{671D5582-E07A-4A87-B1A1-75DB0876D9E1}"/>
    <cellStyle name="Comma 7 8 2 4 3 2" xfId="51178" xr:uid="{98A6B99C-DD03-4BFC-A5D7-1FD7C153D84C}"/>
    <cellStyle name="Comma 7 8 2 4 4" xfId="36058" xr:uid="{A8B77424-579E-4D14-9C87-8CD333C07464}"/>
    <cellStyle name="Comma 7 8 2 5" xfId="7330" xr:uid="{3220E736-D549-4608-B5E8-C73D5FC3845E}"/>
    <cellStyle name="Comma 7 8 2 5 2" xfId="22450" xr:uid="{DBE6BADE-43A1-40FA-85F6-7251A757D1DF}"/>
    <cellStyle name="Comma 7 8 2 5 2 2" xfId="52690" xr:uid="{7AB607A0-85B5-428A-AEB5-987AEC0233B4}"/>
    <cellStyle name="Comma 7 8 2 5 3" xfId="37570" xr:uid="{5EA15EE1-132D-43DD-A7FB-2EADFC058ED6}"/>
    <cellStyle name="Comma 7 8 2 6" xfId="8842" xr:uid="{928C5FB5-93FC-4EF7-9BE9-9B7AD9DE2FA0}"/>
    <cellStyle name="Comma 7 8 2 6 2" xfId="23962" xr:uid="{64745AE1-BB38-48B9-8F54-2F9958E35997}"/>
    <cellStyle name="Comma 7 8 2 6 2 2" xfId="54202" xr:uid="{D558D311-4087-43EB-A004-143F6CCBF7C3}"/>
    <cellStyle name="Comma 7 8 2 6 3" xfId="39082" xr:uid="{14FFDD9D-8FD3-4D15-92E3-D31A7110928B}"/>
    <cellStyle name="Comma 7 8 2 7" xfId="10354" xr:uid="{2FE93B81-A772-4E29-ABDB-F6C3526AAE0A}"/>
    <cellStyle name="Comma 7 8 2 7 2" xfId="25474" xr:uid="{6AA2C625-C7A0-4574-93AE-06BD26B89149}"/>
    <cellStyle name="Comma 7 8 2 7 2 2" xfId="55714" xr:uid="{930643C4-905B-439C-B14B-9A0CE8185E0D}"/>
    <cellStyle name="Comma 7 8 2 7 3" xfId="40594" xr:uid="{2F6296CC-9061-4DFE-9E8B-69632AB34500}"/>
    <cellStyle name="Comma 7 8 2 8" xfId="16402" xr:uid="{6D4C3066-C6CD-4415-A053-3B4A33A9742B}"/>
    <cellStyle name="Comma 7 8 2 8 2" xfId="46642" xr:uid="{7CF183F7-008D-4F07-BF13-C0E8A78BFC90}"/>
    <cellStyle name="Comma 7 8 2 9" xfId="31522" xr:uid="{DEDEB68C-627C-42B0-BD09-61C5B2FD7CC5}"/>
    <cellStyle name="Comma 7 8 3" xfId="2038" xr:uid="{87AF9C03-4C3A-4928-9A11-7DBD0B33E37A}"/>
    <cellStyle name="Comma 7 8 3 2" xfId="11110" xr:uid="{90C2C10F-20BF-43D8-8F69-A831A5AF6448}"/>
    <cellStyle name="Comma 7 8 3 2 2" xfId="26230" xr:uid="{2B78DE42-96AB-4246-B59A-50974650C2EF}"/>
    <cellStyle name="Comma 7 8 3 2 2 2" xfId="56470" xr:uid="{6499E6C0-62E5-4D00-9950-66788C6F0D54}"/>
    <cellStyle name="Comma 7 8 3 2 3" xfId="41350" xr:uid="{0B3472AF-263E-4521-9D8D-2B393D08C375}"/>
    <cellStyle name="Comma 7 8 3 3" xfId="17158" xr:uid="{C9781D2C-12F3-448F-8965-FC2398B509D1}"/>
    <cellStyle name="Comma 7 8 3 3 2" xfId="47398" xr:uid="{A0E97177-FD96-422D-AC23-DE3E15BBF08F}"/>
    <cellStyle name="Comma 7 8 3 4" xfId="32278" xr:uid="{5A4E9152-C690-485C-89B3-50E3E2776AC1}"/>
    <cellStyle name="Comma 7 8 4" xfId="3550" xr:uid="{583092D4-139D-41CA-B611-FD4A5680497E}"/>
    <cellStyle name="Comma 7 8 4 2" xfId="12622" xr:uid="{CCFE51DD-5682-41B3-8BD4-A8ED843B9CFF}"/>
    <cellStyle name="Comma 7 8 4 2 2" xfId="27742" xr:uid="{E69287DD-A5B2-47BB-AC30-BC4EF240F50C}"/>
    <cellStyle name="Comma 7 8 4 2 2 2" xfId="57982" xr:uid="{00B6DBC8-F4DE-4BBF-A043-499E24F8BDC8}"/>
    <cellStyle name="Comma 7 8 4 2 3" xfId="42862" xr:uid="{7A07A97B-648E-4369-BD66-69FF550CEDC3}"/>
    <cellStyle name="Comma 7 8 4 3" xfId="18670" xr:uid="{02371C4D-0E8F-470F-B9A1-4BD576BA7BD4}"/>
    <cellStyle name="Comma 7 8 4 3 2" xfId="48910" xr:uid="{34FE2ED2-6FA2-4B05-BF51-A30FBBC3C073}"/>
    <cellStyle name="Comma 7 8 4 4" xfId="33790" xr:uid="{D1FCE4C2-3D97-40D9-B383-73E33A51577D}"/>
    <cellStyle name="Comma 7 8 5" xfId="5062" xr:uid="{E27E4875-423A-4322-B730-94783BEB41BC}"/>
    <cellStyle name="Comma 7 8 5 2" xfId="14134" xr:uid="{2BE8D3C0-7D3D-4B38-A46C-A997FFA5815F}"/>
    <cellStyle name="Comma 7 8 5 2 2" xfId="29254" xr:uid="{B4BA8085-E442-4C83-9376-DE3B253C9412}"/>
    <cellStyle name="Comma 7 8 5 2 2 2" xfId="59494" xr:uid="{FEEF1322-3147-4CC7-AC10-5843AE769D13}"/>
    <cellStyle name="Comma 7 8 5 2 3" xfId="44374" xr:uid="{E7C83516-5E71-41B1-A09B-0F6104D61084}"/>
    <cellStyle name="Comma 7 8 5 3" xfId="20182" xr:uid="{981BF271-3573-4A4C-89F0-0C2F21E4D025}"/>
    <cellStyle name="Comma 7 8 5 3 2" xfId="50422" xr:uid="{885136D4-598B-4F0D-9DB2-C8A1582C854C}"/>
    <cellStyle name="Comma 7 8 5 4" xfId="35302" xr:uid="{557A0F8F-D18C-445C-A872-2755C5F49131}"/>
    <cellStyle name="Comma 7 8 6" xfId="6574" xr:uid="{B9B2127D-EC60-4A4C-8709-2CEC43350F0D}"/>
    <cellStyle name="Comma 7 8 6 2" xfId="21694" xr:uid="{8D97178D-472A-43FD-8D4C-AA548AB0BE31}"/>
    <cellStyle name="Comma 7 8 6 2 2" xfId="51934" xr:uid="{30DBA010-0F4E-4551-BAC7-948C3D4A41B8}"/>
    <cellStyle name="Comma 7 8 6 3" xfId="36814" xr:uid="{98B5D74D-B85D-4497-BB6D-2EE6BEC76BA0}"/>
    <cellStyle name="Comma 7 8 7" xfId="8086" xr:uid="{FD860425-0D91-4208-87D3-A27A9A2F4109}"/>
    <cellStyle name="Comma 7 8 7 2" xfId="23206" xr:uid="{6AB2B656-C339-4456-9FDB-259A0374C129}"/>
    <cellStyle name="Comma 7 8 7 2 2" xfId="53446" xr:uid="{B2331444-347A-4350-A648-C0F485DD1FB6}"/>
    <cellStyle name="Comma 7 8 7 3" xfId="38326" xr:uid="{2AE8F468-92EF-4B02-8D3E-DBE19E52A33A}"/>
    <cellStyle name="Comma 7 8 8" xfId="9598" xr:uid="{ADDABFA8-6304-40D6-8027-C6986F0BED7E}"/>
    <cellStyle name="Comma 7 8 8 2" xfId="24718" xr:uid="{16B22095-FB1E-4C60-A3E5-A13D67F58AC1}"/>
    <cellStyle name="Comma 7 8 8 2 2" xfId="54958" xr:uid="{30AB83D8-37D5-4B36-B8B5-3335A71E9E3D}"/>
    <cellStyle name="Comma 7 8 8 3" xfId="39838" xr:uid="{518AE073-8A49-42BC-BD8F-F245BA7CE61F}"/>
    <cellStyle name="Comma 7 8 9" xfId="15646" xr:uid="{3548A44C-E5FD-45E6-9BEF-5FFFAC355AFC}"/>
    <cellStyle name="Comma 7 8 9 2" xfId="45886" xr:uid="{D6748A61-77A0-4E09-9872-A1880D6C027C}"/>
    <cellStyle name="Comma 7 9" xfId="778" xr:uid="{CAFD9BA5-9F91-4BCB-9F44-ADB4A130E3A2}"/>
    <cellStyle name="Comma 7 9 2" xfId="2290" xr:uid="{66B47C23-A86A-44DB-9153-461CC30E5689}"/>
    <cellStyle name="Comma 7 9 2 2" xfId="11362" xr:uid="{DD514E43-E611-4248-89E8-FCA346422F00}"/>
    <cellStyle name="Comma 7 9 2 2 2" xfId="26482" xr:uid="{AAD7906D-5AC5-4B00-9BFF-11EE35157F35}"/>
    <cellStyle name="Comma 7 9 2 2 2 2" xfId="56722" xr:uid="{9D07ABA5-A5A8-4432-8DAC-35AECF642DB5}"/>
    <cellStyle name="Comma 7 9 2 2 3" xfId="41602" xr:uid="{9DA84F4C-B37E-4F66-8B4A-221946A0BA28}"/>
    <cellStyle name="Comma 7 9 2 3" xfId="17410" xr:uid="{D7EFDEE0-740F-49EE-8030-FA58CFD0B889}"/>
    <cellStyle name="Comma 7 9 2 3 2" xfId="47650" xr:uid="{297108FF-F95B-4136-851C-D1852E72B8AB}"/>
    <cellStyle name="Comma 7 9 2 4" xfId="32530" xr:uid="{8BBDE397-0DBD-4C9F-B843-CF0B4019B438}"/>
    <cellStyle name="Comma 7 9 3" xfId="3802" xr:uid="{7C1BDA64-1E9A-4A47-8C49-74AC0FEE69E6}"/>
    <cellStyle name="Comma 7 9 3 2" xfId="12874" xr:uid="{68F3CCE0-5DDC-46B1-AC75-6BDA5CF62F70}"/>
    <cellStyle name="Comma 7 9 3 2 2" xfId="27994" xr:uid="{94FBD7F1-6EA7-4884-9D73-848ECD37E2ED}"/>
    <cellStyle name="Comma 7 9 3 2 2 2" xfId="58234" xr:uid="{470EB088-1A64-4B06-B8B6-68C1700C0FF7}"/>
    <cellStyle name="Comma 7 9 3 2 3" xfId="43114" xr:uid="{3B7E7C3C-B110-4807-8CA3-96F1355EFFF1}"/>
    <cellStyle name="Comma 7 9 3 3" xfId="18922" xr:uid="{DFCDDCB8-3974-46DC-A385-60BBA5CE8095}"/>
    <cellStyle name="Comma 7 9 3 3 2" xfId="49162" xr:uid="{296CB41B-D986-4C3F-86C2-FCF961814297}"/>
    <cellStyle name="Comma 7 9 3 4" xfId="34042" xr:uid="{360CF92D-52EF-40F4-9B0F-EDA5D818D506}"/>
    <cellStyle name="Comma 7 9 4" xfId="5314" xr:uid="{1AE08E8C-357A-493C-B5D5-C9A07FBA4B2F}"/>
    <cellStyle name="Comma 7 9 4 2" xfId="14386" xr:uid="{819CA1E8-432C-422A-AEC2-E742DBDC1381}"/>
    <cellStyle name="Comma 7 9 4 2 2" xfId="29506" xr:uid="{922759EA-DCCF-43EE-A96E-4417371FEC15}"/>
    <cellStyle name="Comma 7 9 4 2 2 2" xfId="59746" xr:uid="{8F4C842F-1324-47DB-AE8D-C0128621F235}"/>
    <cellStyle name="Comma 7 9 4 2 3" xfId="44626" xr:uid="{2BF318F6-531C-4C5D-9C46-DEF302AF0E96}"/>
    <cellStyle name="Comma 7 9 4 3" xfId="20434" xr:uid="{541CB3AA-B2B9-4ED3-AC58-EDCDC94F8979}"/>
    <cellStyle name="Comma 7 9 4 3 2" xfId="50674" xr:uid="{FFCCFA01-85CB-4172-945D-245907008D5E}"/>
    <cellStyle name="Comma 7 9 4 4" xfId="35554" xr:uid="{F63632B9-72B2-41B9-9F05-F11010DE5C02}"/>
    <cellStyle name="Comma 7 9 5" xfId="6826" xr:uid="{C64BEF39-06D3-4B51-853F-5CF87594F90A}"/>
    <cellStyle name="Comma 7 9 5 2" xfId="21946" xr:uid="{C6B64A6B-4DA4-47D2-88E1-4A450052D7F6}"/>
    <cellStyle name="Comma 7 9 5 2 2" xfId="52186" xr:uid="{559055F3-2C18-46C5-B420-65BDB85F12B3}"/>
    <cellStyle name="Comma 7 9 5 3" xfId="37066" xr:uid="{34206056-28D0-4091-9E72-09CC934514AE}"/>
    <cellStyle name="Comma 7 9 6" xfId="8338" xr:uid="{FB76139D-7D45-49D4-A91D-33AE2ED5978E}"/>
    <cellStyle name="Comma 7 9 6 2" xfId="23458" xr:uid="{F5352227-133E-47BB-A204-BD88442F5F20}"/>
    <cellStyle name="Comma 7 9 6 2 2" xfId="53698" xr:uid="{53851336-FC6C-46AB-B648-E1905C39D6E7}"/>
    <cellStyle name="Comma 7 9 6 3" xfId="38578" xr:uid="{03B69312-78B0-4691-98BB-C26D3E81196A}"/>
    <cellStyle name="Comma 7 9 7" xfId="9850" xr:uid="{02AE4687-6C18-499F-9117-95E88989BBD3}"/>
    <cellStyle name="Comma 7 9 7 2" xfId="24970" xr:uid="{B4C18B0D-A459-4C5D-936D-124DFE013E05}"/>
    <cellStyle name="Comma 7 9 7 2 2" xfId="55210" xr:uid="{17CAF005-2B9F-4485-80CB-25D0927152D9}"/>
    <cellStyle name="Comma 7 9 7 3" xfId="40090" xr:uid="{CC624242-A3FC-4D73-A65A-2B86D792FA53}"/>
    <cellStyle name="Comma 7 9 8" xfId="15898" xr:uid="{28837359-1350-4A65-822A-47FBE579349D}"/>
    <cellStyle name="Comma 7 9 8 2" xfId="46138" xr:uid="{84E8484B-8BB8-4D0A-B5AF-EB82118FD33E}"/>
    <cellStyle name="Comma 7 9 9" xfId="31018" xr:uid="{18B31111-8EC1-4568-9096-F08FE59561EE}"/>
    <cellStyle name="Comma 8" xfId="23" xr:uid="{C84D89A3-E2D3-4926-8157-BE2A92FB944E}"/>
    <cellStyle name="Comma 8 10" xfId="1535" xr:uid="{1EE0AD11-1708-4931-A20F-C2376D8E6AD9}"/>
    <cellStyle name="Comma 8 10 2" xfId="10607" xr:uid="{2DD7C21C-83E1-4F46-89FC-88189D5169D5}"/>
    <cellStyle name="Comma 8 10 2 2" xfId="25727" xr:uid="{7DE64496-2783-47CD-A351-0045637069BB}"/>
    <cellStyle name="Comma 8 10 2 2 2" xfId="55967" xr:uid="{AB993B29-4E64-4114-B6CC-C620E906E03F}"/>
    <cellStyle name="Comma 8 10 2 3" xfId="40847" xr:uid="{32149952-0C64-4F10-A2FC-CBC0133B6D2B}"/>
    <cellStyle name="Comma 8 10 3" xfId="16655" xr:uid="{6774FAE6-FC03-42AD-A843-7D09B7118F2A}"/>
    <cellStyle name="Comma 8 10 3 2" xfId="46895" xr:uid="{FDFC0139-EA83-4064-858A-1864187C535A}"/>
    <cellStyle name="Comma 8 10 4" xfId="31775" xr:uid="{C2C826E8-6BFE-4C7E-B959-08814B4F6EE9}"/>
    <cellStyle name="Comma 8 11" xfId="3047" xr:uid="{AA9C98D4-2E3D-4A5B-B498-9049E72A5BEE}"/>
    <cellStyle name="Comma 8 11 2" xfId="12119" xr:uid="{2788C005-B90F-47CA-BBE6-347EBC727CBD}"/>
    <cellStyle name="Comma 8 11 2 2" xfId="27239" xr:uid="{7B56F658-5A70-43A4-91BE-EC3AE0766610}"/>
    <cellStyle name="Comma 8 11 2 2 2" xfId="57479" xr:uid="{52DD1D26-C37B-42BB-8D6B-1FAB4B915597}"/>
    <cellStyle name="Comma 8 11 2 3" xfId="42359" xr:uid="{182F7116-A031-4E21-80C5-B56D20EA9B84}"/>
    <cellStyle name="Comma 8 11 3" xfId="18167" xr:uid="{AFAA593C-8A15-4765-99F5-3EF034AC710A}"/>
    <cellStyle name="Comma 8 11 3 2" xfId="48407" xr:uid="{D13FE16B-9322-4E12-ADAB-D8EC305A2808}"/>
    <cellStyle name="Comma 8 11 4" xfId="33287" xr:uid="{1B173CA9-08AB-4A08-9570-24CC0511B3EA}"/>
    <cellStyle name="Comma 8 12" xfId="4559" xr:uid="{84F6CBDA-6CB8-43CB-9903-C10D70F317AE}"/>
    <cellStyle name="Comma 8 12 2" xfId="13631" xr:uid="{CD8EDB33-EFE1-4690-8306-74A9498CAC5F}"/>
    <cellStyle name="Comma 8 12 2 2" xfId="28751" xr:uid="{003DDE22-89FD-4E03-A659-CB7E1CF2C73E}"/>
    <cellStyle name="Comma 8 12 2 2 2" xfId="58991" xr:uid="{F004A1D1-0AEA-48A9-9E95-5A1C5762875A}"/>
    <cellStyle name="Comma 8 12 2 3" xfId="43871" xr:uid="{38BCDB2A-0E94-4620-82E6-55A189D00F5A}"/>
    <cellStyle name="Comma 8 12 3" xfId="19679" xr:uid="{2CD1ABC9-B84D-47D8-9D33-7D45BDB00504}"/>
    <cellStyle name="Comma 8 12 3 2" xfId="49919" xr:uid="{719937EF-8B49-4A33-ABE3-DBE00EBBF327}"/>
    <cellStyle name="Comma 8 12 4" xfId="34799" xr:uid="{8A97F887-0F59-44A1-8BDF-44CC769685E1}"/>
    <cellStyle name="Comma 8 13" xfId="6071" xr:uid="{ABB20503-D1B3-43F1-AFAF-FD43D59AF990}"/>
    <cellStyle name="Comma 8 13 2" xfId="21191" xr:uid="{A023911B-F893-4B58-9B29-A5F9F873BE20}"/>
    <cellStyle name="Comma 8 13 2 2" xfId="51431" xr:uid="{05A985A4-37D6-475C-8E84-6898D5B489DA}"/>
    <cellStyle name="Comma 8 13 3" xfId="36311" xr:uid="{1D995490-DD35-4204-B31C-034A6DAD60CF}"/>
    <cellStyle name="Comma 8 14" xfId="7583" xr:uid="{3091D5FF-6851-46B1-A21D-952903C00B48}"/>
    <cellStyle name="Comma 8 14 2" xfId="22703" xr:uid="{EC751299-09AE-4A8B-9C7C-DA712E1A6668}"/>
    <cellStyle name="Comma 8 14 2 2" xfId="52943" xr:uid="{5DF7AA5E-45C9-4EB0-960C-0AF0FD29F0E9}"/>
    <cellStyle name="Comma 8 14 3" xfId="37823" xr:uid="{5BC878E2-6F9E-42DB-83B6-AD163FFE7DE3}"/>
    <cellStyle name="Comma 8 15" xfId="9095" xr:uid="{1BED8885-7D91-4C65-BE16-ED9E72927DA3}"/>
    <cellStyle name="Comma 8 15 2" xfId="24215" xr:uid="{5EF8ECF5-E9C2-4AE0-9C4C-C6BF52A35007}"/>
    <cellStyle name="Comma 8 15 2 2" xfId="54455" xr:uid="{868515F8-F4F2-4701-A260-6C00B951A079}"/>
    <cellStyle name="Comma 8 15 3" xfId="39335" xr:uid="{849C0BC4-4ECB-457C-94F5-700A08259852}"/>
    <cellStyle name="Comma 8 16" xfId="15143" xr:uid="{D1924440-849E-4E24-ABBC-1B805336E982}"/>
    <cellStyle name="Comma 8 16 2" xfId="45383" xr:uid="{4F96DF03-D2B1-44E7-AA82-C175427D2E0E}"/>
    <cellStyle name="Comma 8 17" xfId="30263" xr:uid="{6774560F-96BF-4840-8DCD-EEB5EA2A29CD}"/>
    <cellStyle name="Comma 8 2" xfId="37" xr:uid="{1173B71C-5C52-4BB9-9007-635C9EBB3A4C}"/>
    <cellStyle name="Comma 8 2 10" xfId="4573" xr:uid="{483A14B7-6E2E-4313-BDAB-D8A3A62983F7}"/>
    <cellStyle name="Comma 8 2 10 2" xfId="13645" xr:uid="{DF5AA8B2-9110-4E4A-9149-B1D71CEAFC53}"/>
    <cellStyle name="Comma 8 2 10 2 2" xfId="28765" xr:uid="{463114B4-500A-4AF0-80A2-F10CD3A0B466}"/>
    <cellStyle name="Comma 8 2 10 2 2 2" xfId="59005" xr:uid="{9F08EDD1-77D0-42FD-AC9C-248624B22C79}"/>
    <cellStyle name="Comma 8 2 10 2 3" xfId="43885" xr:uid="{8866FC28-F0D0-4EAE-A0A2-F94D2034F30E}"/>
    <cellStyle name="Comma 8 2 10 3" xfId="19693" xr:uid="{BD4633A2-FF79-45F5-A9A9-BD077C909655}"/>
    <cellStyle name="Comma 8 2 10 3 2" xfId="49933" xr:uid="{E1936C57-CFF3-4B23-85C9-8D5E0865ABCD}"/>
    <cellStyle name="Comma 8 2 10 4" xfId="34813" xr:uid="{F3257A18-7683-48D0-B017-35A14B6053A2}"/>
    <cellStyle name="Comma 8 2 11" xfId="6085" xr:uid="{DD22CB9C-B1FA-4CC0-8C18-2BB57433D9C9}"/>
    <cellStyle name="Comma 8 2 11 2" xfId="21205" xr:uid="{521709C6-147F-4518-916F-F997EC86758A}"/>
    <cellStyle name="Comma 8 2 11 2 2" xfId="51445" xr:uid="{95B804C9-9BA1-4417-A926-898A59788565}"/>
    <cellStyle name="Comma 8 2 11 3" xfId="36325" xr:uid="{FFDAF322-C0FA-4B61-BFF9-C35E0AD668A1}"/>
    <cellStyle name="Comma 8 2 12" xfId="7597" xr:uid="{CB677161-C21E-4912-A261-4470D118577C}"/>
    <cellStyle name="Comma 8 2 12 2" xfId="22717" xr:uid="{427A59DD-F09F-4823-9255-1503ED669164}"/>
    <cellStyle name="Comma 8 2 12 2 2" xfId="52957" xr:uid="{C28F421A-E24B-4B02-8D9E-E6DB0C1272B9}"/>
    <cellStyle name="Comma 8 2 12 3" xfId="37837" xr:uid="{AA6A8468-5544-449B-AF08-5FCEC944A18F}"/>
    <cellStyle name="Comma 8 2 13" xfId="9109" xr:uid="{DB3FF2DE-855E-4441-89C9-2B71C56D1F9D}"/>
    <cellStyle name="Comma 8 2 13 2" xfId="24229" xr:uid="{23C97C01-D557-4257-8411-B7C9DA70DC7B}"/>
    <cellStyle name="Comma 8 2 13 2 2" xfId="54469" xr:uid="{B0F40344-A5B7-469F-9CAC-7A01B79ED1FC}"/>
    <cellStyle name="Comma 8 2 13 3" xfId="39349" xr:uid="{2744691A-3A7C-4A68-952F-3FD96483CC0E}"/>
    <cellStyle name="Comma 8 2 14" xfId="15157" xr:uid="{599D6683-6B73-4295-B2C3-9C3A281575E5}"/>
    <cellStyle name="Comma 8 2 14 2" xfId="45397" xr:uid="{E8392A0E-114B-4155-8FA1-E930BB19D2D6}"/>
    <cellStyle name="Comma 8 2 15" xfId="30277" xr:uid="{A99A5D42-CBC1-465C-9C8A-275EE5F11414}"/>
    <cellStyle name="Comma 8 2 2" xfId="79" xr:uid="{97CF98CC-9484-45C7-8208-97B1AD1FF3A1}"/>
    <cellStyle name="Comma 8 2 2 10" xfId="6127" xr:uid="{D5343F22-2BBA-4D96-BFCE-E7477742AE6D}"/>
    <cellStyle name="Comma 8 2 2 10 2" xfId="21247" xr:uid="{D081C485-5866-4948-B554-FF0A2CB7FC2C}"/>
    <cellStyle name="Comma 8 2 2 10 2 2" xfId="51487" xr:uid="{ADFDE559-471B-4A1C-920C-BB45550A9D6B}"/>
    <cellStyle name="Comma 8 2 2 10 3" xfId="36367" xr:uid="{6DCA6D3F-226B-4217-8B41-8D5A091795B3}"/>
    <cellStyle name="Comma 8 2 2 11" xfId="7639" xr:uid="{1BC0D8A1-3E25-4B95-A298-94257F39EA43}"/>
    <cellStyle name="Comma 8 2 2 11 2" xfId="22759" xr:uid="{A62A6CB1-5AF9-4219-A3AA-69F2EAC2B632}"/>
    <cellStyle name="Comma 8 2 2 11 2 2" xfId="52999" xr:uid="{E3B7C7F1-58F3-4FCC-AC9E-1C57B1D5DC2A}"/>
    <cellStyle name="Comma 8 2 2 11 3" xfId="37879" xr:uid="{022EC284-52D9-450E-A733-AF8C3E7E33B8}"/>
    <cellStyle name="Comma 8 2 2 12" xfId="9151" xr:uid="{01FF6116-17A9-4E94-A2D6-14E680C9953E}"/>
    <cellStyle name="Comma 8 2 2 12 2" xfId="24271" xr:uid="{A804B28D-42DD-431A-A4DD-DBDEFC573DF1}"/>
    <cellStyle name="Comma 8 2 2 12 2 2" xfId="54511" xr:uid="{0B77B40C-9DFD-42FC-B865-310C9F120003}"/>
    <cellStyle name="Comma 8 2 2 12 3" xfId="39391" xr:uid="{D72A576A-C898-4FAC-9513-04741784BE83}"/>
    <cellStyle name="Comma 8 2 2 13" xfId="15199" xr:uid="{BD7F70F4-D72F-4B9B-876D-CC22A7C7C019}"/>
    <cellStyle name="Comma 8 2 2 13 2" xfId="45439" xr:uid="{613CE569-C498-4A87-867B-E191DFBDD589}"/>
    <cellStyle name="Comma 8 2 2 14" xfId="30319" xr:uid="{B6AC4773-4937-44EF-B26C-F3282095AF6B}"/>
    <cellStyle name="Comma 8 2 2 2" xfId="163" xr:uid="{F6326256-5336-43EB-B4A2-8233BB8A2E2C}"/>
    <cellStyle name="Comma 8 2 2 2 10" xfId="9235" xr:uid="{1B409B59-83AE-4D72-8C0B-4AFBE02D9661}"/>
    <cellStyle name="Comma 8 2 2 2 10 2" xfId="24355" xr:uid="{BA7F36EC-A3D1-4738-A2BE-5FA4BFE8AE87}"/>
    <cellStyle name="Comma 8 2 2 2 10 2 2" xfId="54595" xr:uid="{9533EAA5-5FBC-42A0-9517-7C171B5FA972}"/>
    <cellStyle name="Comma 8 2 2 2 10 3" xfId="39475" xr:uid="{041AE7A1-6B43-431A-9E4D-0F4B1D462D36}"/>
    <cellStyle name="Comma 8 2 2 2 11" xfId="15283" xr:uid="{BFA2AE7C-58C3-4294-830F-D05E19CBA333}"/>
    <cellStyle name="Comma 8 2 2 2 11 2" xfId="45523" xr:uid="{E6BA558B-98E6-487D-AD79-2A81ABB03858}"/>
    <cellStyle name="Comma 8 2 2 2 12" xfId="30403" xr:uid="{EF7055BB-3B03-47FB-A6CC-56DE5F77698D}"/>
    <cellStyle name="Comma 8 2 2 2 2" xfId="415" xr:uid="{A9C2281E-D3E3-4D96-A961-314963AA4716}"/>
    <cellStyle name="Comma 8 2 2 2 2 10" xfId="30655" xr:uid="{C6D1364C-CF25-450A-8243-81AB10A72AFA}"/>
    <cellStyle name="Comma 8 2 2 2 2 2" xfId="1171" xr:uid="{8F90FC2F-1DD7-48B9-8B39-409B440A2758}"/>
    <cellStyle name="Comma 8 2 2 2 2 2 2" xfId="2683" xr:uid="{EF9E1F15-08F7-45D5-98BB-DAC569330F48}"/>
    <cellStyle name="Comma 8 2 2 2 2 2 2 2" xfId="11755" xr:uid="{E88B53D8-379C-4168-83FF-A86FE6D71ED0}"/>
    <cellStyle name="Comma 8 2 2 2 2 2 2 2 2" xfId="26875" xr:uid="{18400C11-D82C-4264-8DCE-E5F3AB50345C}"/>
    <cellStyle name="Comma 8 2 2 2 2 2 2 2 2 2" xfId="57115" xr:uid="{24BB63F9-02F5-4D40-9386-321D6A2DAE70}"/>
    <cellStyle name="Comma 8 2 2 2 2 2 2 2 3" xfId="41995" xr:uid="{DF59EAEC-122A-414B-B4E8-D58BF97196F2}"/>
    <cellStyle name="Comma 8 2 2 2 2 2 2 3" xfId="17803" xr:uid="{AFA5A99F-1D2C-4847-8C6E-2F6EAAC242B6}"/>
    <cellStyle name="Comma 8 2 2 2 2 2 2 3 2" xfId="48043" xr:uid="{ADF08FAB-8EF8-4A22-96C1-5FD2E4252F1D}"/>
    <cellStyle name="Comma 8 2 2 2 2 2 2 4" xfId="32923" xr:uid="{8025218D-BD57-4881-A295-5EDCB13FCD34}"/>
    <cellStyle name="Comma 8 2 2 2 2 2 3" xfId="4195" xr:uid="{D98C42F6-27CB-4A89-8B62-175D9F2CAC94}"/>
    <cellStyle name="Comma 8 2 2 2 2 2 3 2" xfId="13267" xr:uid="{C9876533-8628-4052-812B-D009155884C9}"/>
    <cellStyle name="Comma 8 2 2 2 2 2 3 2 2" xfId="28387" xr:uid="{D3ED03BD-4FA6-431F-88C1-B998812830F4}"/>
    <cellStyle name="Comma 8 2 2 2 2 2 3 2 2 2" xfId="58627" xr:uid="{6A4A7168-159B-414E-8474-CA4128502409}"/>
    <cellStyle name="Comma 8 2 2 2 2 2 3 2 3" xfId="43507" xr:uid="{485AAB84-A138-4496-951B-6321B14BEFF5}"/>
    <cellStyle name="Comma 8 2 2 2 2 2 3 3" xfId="19315" xr:uid="{38A86AC6-7CA2-4192-822C-E32988FD06FD}"/>
    <cellStyle name="Comma 8 2 2 2 2 2 3 3 2" xfId="49555" xr:uid="{DBA252B5-EB39-46AE-B3BF-7E37BC76ED98}"/>
    <cellStyle name="Comma 8 2 2 2 2 2 3 4" xfId="34435" xr:uid="{FD88929E-439E-46F4-9F81-7D1B6F00E970}"/>
    <cellStyle name="Comma 8 2 2 2 2 2 4" xfId="5707" xr:uid="{03D14215-BA7C-4009-A77B-34AC8C01FAA5}"/>
    <cellStyle name="Comma 8 2 2 2 2 2 4 2" xfId="14779" xr:uid="{7CFAA975-58C1-4AE4-B7E3-291494DA4A87}"/>
    <cellStyle name="Comma 8 2 2 2 2 2 4 2 2" xfId="29899" xr:uid="{5AD4D00D-7969-4E0F-A271-10A4EA2B3C3C}"/>
    <cellStyle name="Comma 8 2 2 2 2 2 4 2 2 2" xfId="60139" xr:uid="{3A33BA0F-EFD1-4DEB-BAFD-1766071C67D4}"/>
    <cellStyle name="Comma 8 2 2 2 2 2 4 2 3" xfId="45019" xr:uid="{A8B81D2A-B651-499F-ADBD-9C2FC26E0C2B}"/>
    <cellStyle name="Comma 8 2 2 2 2 2 4 3" xfId="20827" xr:uid="{A30CB8D6-606B-4A6F-ABAA-57F824C76133}"/>
    <cellStyle name="Comma 8 2 2 2 2 2 4 3 2" xfId="51067" xr:uid="{0631F3FF-E80F-43BF-B4DB-649F29A9F275}"/>
    <cellStyle name="Comma 8 2 2 2 2 2 4 4" xfId="35947" xr:uid="{FCB8912E-0EC7-43CB-B86F-31D7A428977B}"/>
    <cellStyle name="Comma 8 2 2 2 2 2 5" xfId="7219" xr:uid="{8AB8E501-5E29-4E16-919D-29E46477C370}"/>
    <cellStyle name="Comma 8 2 2 2 2 2 5 2" xfId="22339" xr:uid="{99CB7D98-B392-49A3-A39C-24A122A36800}"/>
    <cellStyle name="Comma 8 2 2 2 2 2 5 2 2" xfId="52579" xr:uid="{4D63EB66-9EBA-4191-8B4D-98FD2861E375}"/>
    <cellStyle name="Comma 8 2 2 2 2 2 5 3" xfId="37459" xr:uid="{A9266BE8-3BF1-4370-88BA-BAEEA78A7431}"/>
    <cellStyle name="Comma 8 2 2 2 2 2 6" xfId="8731" xr:uid="{AF55EEB3-0315-4602-B070-D0FD90A3DED9}"/>
    <cellStyle name="Comma 8 2 2 2 2 2 6 2" xfId="23851" xr:uid="{23D309A7-BB1A-45DB-869D-1206E01AE24E}"/>
    <cellStyle name="Comma 8 2 2 2 2 2 6 2 2" xfId="54091" xr:uid="{CD1ADDED-94D8-492F-A130-4EBC151E6513}"/>
    <cellStyle name="Comma 8 2 2 2 2 2 6 3" xfId="38971" xr:uid="{49D0ECCA-B452-4794-AB76-FF812C1268BC}"/>
    <cellStyle name="Comma 8 2 2 2 2 2 7" xfId="10243" xr:uid="{839B86C1-A69A-47E2-801A-24B382CEB78B}"/>
    <cellStyle name="Comma 8 2 2 2 2 2 7 2" xfId="25363" xr:uid="{EE2219DB-4CB1-47CB-A008-00DEF8073BF3}"/>
    <cellStyle name="Comma 8 2 2 2 2 2 7 2 2" xfId="55603" xr:uid="{F507BA54-05E7-4550-9465-C366806AE455}"/>
    <cellStyle name="Comma 8 2 2 2 2 2 7 3" xfId="40483" xr:uid="{FF73E451-50CC-439B-9A75-21472ED2A0D9}"/>
    <cellStyle name="Comma 8 2 2 2 2 2 8" xfId="16291" xr:uid="{DB770EEC-9084-41D6-8AD2-E319A8498B4A}"/>
    <cellStyle name="Comma 8 2 2 2 2 2 8 2" xfId="46531" xr:uid="{6775A7ED-F7CA-4BDC-9603-3E59D7C5BB67}"/>
    <cellStyle name="Comma 8 2 2 2 2 2 9" xfId="31411" xr:uid="{336F13CD-6DC0-400E-A248-10A2F4CF9A14}"/>
    <cellStyle name="Comma 8 2 2 2 2 3" xfId="1927" xr:uid="{5949AF64-3EC7-4C8C-BC36-9878F442689F}"/>
    <cellStyle name="Comma 8 2 2 2 2 3 2" xfId="10999" xr:uid="{21B86DCE-6258-4929-B3D2-B7DB1957E937}"/>
    <cellStyle name="Comma 8 2 2 2 2 3 2 2" xfId="26119" xr:uid="{26347DDD-A851-49ED-B89F-88EEDD953D7B}"/>
    <cellStyle name="Comma 8 2 2 2 2 3 2 2 2" xfId="56359" xr:uid="{E7241EF5-7EAF-407F-A453-8292F854DBFD}"/>
    <cellStyle name="Comma 8 2 2 2 2 3 2 3" xfId="41239" xr:uid="{ED14B13B-430B-40FF-AE2C-9E683A775442}"/>
    <cellStyle name="Comma 8 2 2 2 2 3 3" xfId="17047" xr:uid="{B22DC7F4-99B5-409A-B75E-5601BC8F4E31}"/>
    <cellStyle name="Comma 8 2 2 2 2 3 3 2" xfId="47287" xr:uid="{5D7FC747-B01B-44BC-9EEC-0BDBE140E303}"/>
    <cellStyle name="Comma 8 2 2 2 2 3 4" xfId="32167" xr:uid="{7736EFEB-CBBC-4191-9AED-5068E01AA57C}"/>
    <cellStyle name="Comma 8 2 2 2 2 4" xfId="3439" xr:uid="{0FE8BBB4-3D8D-42C6-9B0A-4A6385DFCEB2}"/>
    <cellStyle name="Comma 8 2 2 2 2 4 2" xfId="12511" xr:uid="{A6088442-96D1-4E9F-B78F-7D422E6A8863}"/>
    <cellStyle name="Comma 8 2 2 2 2 4 2 2" xfId="27631" xr:uid="{52375EDD-F2DD-41FB-90EB-CB0B5C749927}"/>
    <cellStyle name="Comma 8 2 2 2 2 4 2 2 2" xfId="57871" xr:uid="{2CF4C713-FE7D-4C8B-8020-23D41CDF47CB}"/>
    <cellStyle name="Comma 8 2 2 2 2 4 2 3" xfId="42751" xr:uid="{4A43A48D-38E2-437B-A4F4-33EC9B75C62B}"/>
    <cellStyle name="Comma 8 2 2 2 2 4 3" xfId="18559" xr:uid="{99E1C381-B875-49B0-8E4F-6AE6731E7F67}"/>
    <cellStyle name="Comma 8 2 2 2 2 4 3 2" xfId="48799" xr:uid="{14062C1D-E5DD-4BA6-AC96-B0A95126B6DA}"/>
    <cellStyle name="Comma 8 2 2 2 2 4 4" xfId="33679" xr:uid="{EE278872-33FA-4DEF-B3C3-E661ADD7BA70}"/>
    <cellStyle name="Comma 8 2 2 2 2 5" xfId="4951" xr:uid="{9B7230E0-52C2-4431-9AB4-1D7C6D5C6C43}"/>
    <cellStyle name="Comma 8 2 2 2 2 5 2" xfId="14023" xr:uid="{4BA5F9D3-DB52-428A-ABBA-F0310D1A92C4}"/>
    <cellStyle name="Comma 8 2 2 2 2 5 2 2" xfId="29143" xr:uid="{4A46D886-45BC-45DB-ACF6-7249CE25C1A7}"/>
    <cellStyle name="Comma 8 2 2 2 2 5 2 2 2" xfId="59383" xr:uid="{F1F40AE9-80A0-4329-B5B9-9FFF5DD5BB74}"/>
    <cellStyle name="Comma 8 2 2 2 2 5 2 3" xfId="44263" xr:uid="{F962AB24-104E-4702-B009-1955CB7A671C}"/>
    <cellStyle name="Comma 8 2 2 2 2 5 3" xfId="20071" xr:uid="{206EC909-2B5A-4AD4-A61A-AC3A20F8FA1D}"/>
    <cellStyle name="Comma 8 2 2 2 2 5 3 2" xfId="50311" xr:uid="{7B6F2B21-B711-4849-889B-5D8DD51C1A68}"/>
    <cellStyle name="Comma 8 2 2 2 2 5 4" xfId="35191" xr:uid="{D476716D-30D8-4A37-93E9-E6DD6D953301}"/>
    <cellStyle name="Comma 8 2 2 2 2 6" xfId="6463" xr:uid="{EB0E34CE-A554-4BED-9BD1-87725692DD94}"/>
    <cellStyle name="Comma 8 2 2 2 2 6 2" xfId="21583" xr:uid="{58828569-2D75-42DA-8AE1-7B59F2F2F91E}"/>
    <cellStyle name="Comma 8 2 2 2 2 6 2 2" xfId="51823" xr:uid="{85985D48-2F65-4626-B62D-AF1063871B42}"/>
    <cellStyle name="Comma 8 2 2 2 2 6 3" xfId="36703" xr:uid="{D66D3C3C-6DC1-4FDA-8659-C185AB623D9B}"/>
    <cellStyle name="Comma 8 2 2 2 2 7" xfId="7975" xr:uid="{EA37E58E-77BC-4CF1-AF5E-84D8451D0E73}"/>
    <cellStyle name="Comma 8 2 2 2 2 7 2" xfId="23095" xr:uid="{7BBB07DD-6002-4172-8D5A-C6EF7123A36F}"/>
    <cellStyle name="Comma 8 2 2 2 2 7 2 2" xfId="53335" xr:uid="{C0B06180-F6FE-4E90-9AD6-C7ECFC34C195}"/>
    <cellStyle name="Comma 8 2 2 2 2 7 3" xfId="38215" xr:uid="{71E7C5D4-9889-4172-B337-98A0FF53AE10}"/>
    <cellStyle name="Comma 8 2 2 2 2 8" xfId="9487" xr:uid="{DC9F4431-D303-4193-B790-A19D0EE86E1C}"/>
    <cellStyle name="Comma 8 2 2 2 2 8 2" xfId="24607" xr:uid="{99C9678A-2AF5-4B5D-8A70-A738F6CACECC}"/>
    <cellStyle name="Comma 8 2 2 2 2 8 2 2" xfId="54847" xr:uid="{D9E7EC35-5EDC-4941-AF80-9E3578EA34B3}"/>
    <cellStyle name="Comma 8 2 2 2 2 8 3" xfId="39727" xr:uid="{4011AAC5-FB47-48FC-9F45-87D3FBC69872}"/>
    <cellStyle name="Comma 8 2 2 2 2 9" xfId="15535" xr:uid="{AD83FE47-C892-4977-B78E-A5F18E5D31C2}"/>
    <cellStyle name="Comma 8 2 2 2 2 9 2" xfId="45775" xr:uid="{E2F65229-56D0-41FB-AA31-078E397988C2}"/>
    <cellStyle name="Comma 8 2 2 2 3" xfId="667" xr:uid="{73AB9467-5A44-4637-8261-51FA5F67E501}"/>
    <cellStyle name="Comma 8 2 2 2 3 10" xfId="30907" xr:uid="{0DC86E28-D1A1-4749-B792-072F902BD14C}"/>
    <cellStyle name="Comma 8 2 2 2 3 2" xfId="1423" xr:uid="{5BCD904A-387E-4CF1-8788-B226AD825C68}"/>
    <cellStyle name="Comma 8 2 2 2 3 2 2" xfId="2935" xr:uid="{96CBB34C-2802-443C-AF4D-2666B6C12084}"/>
    <cellStyle name="Comma 8 2 2 2 3 2 2 2" xfId="12007" xr:uid="{8895DD89-8C46-4D9F-A79C-D4D98FCEEC19}"/>
    <cellStyle name="Comma 8 2 2 2 3 2 2 2 2" xfId="27127" xr:uid="{8C22071A-1748-46B9-9E00-F050ECA54948}"/>
    <cellStyle name="Comma 8 2 2 2 3 2 2 2 2 2" xfId="57367" xr:uid="{86242D55-722E-4E4B-B1A4-439AB78C11D0}"/>
    <cellStyle name="Comma 8 2 2 2 3 2 2 2 3" xfId="42247" xr:uid="{884B6B3E-0BB2-4C06-972A-2B6E1A9757DB}"/>
    <cellStyle name="Comma 8 2 2 2 3 2 2 3" xfId="18055" xr:uid="{CD7829AA-68C7-4581-86BB-B7F36762F22F}"/>
    <cellStyle name="Comma 8 2 2 2 3 2 2 3 2" xfId="48295" xr:uid="{FC11880C-33B7-4479-A278-3B7D42B0AF99}"/>
    <cellStyle name="Comma 8 2 2 2 3 2 2 4" xfId="33175" xr:uid="{F6A6052B-69A3-4018-9D6D-C5882538448D}"/>
    <cellStyle name="Comma 8 2 2 2 3 2 3" xfId="4447" xr:uid="{B415751C-EC7D-4C41-A5F9-A9E47A777B7A}"/>
    <cellStyle name="Comma 8 2 2 2 3 2 3 2" xfId="13519" xr:uid="{EBCD76E2-5267-430A-91D2-015A2A9F0D34}"/>
    <cellStyle name="Comma 8 2 2 2 3 2 3 2 2" xfId="28639" xr:uid="{D4DC33B3-C067-4E10-8228-5C7AE19E787D}"/>
    <cellStyle name="Comma 8 2 2 2 3 2 3 2 2 2" xfId="58879" xr:uid="{D501AF50-DE1A-46D2-A691-576CBBF91B42}"/>
    <cellStyle name="Comma 8 2 2 2 3 2 3 2 3" xfId="43759" xr:uid="{93F7156D-F1B7-4125-A68C-086AD7121A18}"/>
    <cellStyle name="Comma 8 2 2 2 3 2 3 3" xfId="19567" xr:uid="{BE681B3B-8E01-4256-BE6C-4DC873636E7D}"/>
    <cellStyle name="Comma 8 2 2 2 3 2 3 3 2" xfId="49807" xr:uid="{71948CBD-2A38-4410-ABD1-579F1194EEFA}"/>
    <cellStyle name="Comma 8 2 2 2 3 2 3 4" xfId="34687" xr:uid="{A60424C8-A8F1-4E13-88BF-FE1BDAD20CBF}"/>
    <cellStyle name="Comma 8 2 2 2 3 2 4" xfId="5959" xr:uid="{36E39700-9020-49A4-9D77-D0805C93DE2F}"/>
    <cellStyle name="Comma 8 2 2 2 3 2 4 2" xfId="15031" xr:uid="{ED51FDBE-F900-4875-801B-D1E46FE991F5}"/>
    <cellStyle name="Comma 8 2 2 2 3 2 4 2 2" xfId="30151" xr:uid="{3A95EBB3-F367-4ACD-BB87-AF52922505D7}"/>
    <cellStyle name="Comma 8 2 2 2 3 2 4 2 2 2" xfId="60391" xr:uid="{C45DF13D-FC78-434F-8A61-9C0ABCDB17EF}"/>
    <cellStyle name="Comma 8 2 2 2 3 2 4 2 3" xfId="45271" xr:uid="{13A084C3-D498-4DC0-8498-8B6722294DBA}"/>
    <cellStyle name="Comma 8 2 2 2 3 2 4 3" xfId="21079" xr:uid="{79563718-FC05-4942-9DA9-1074498D3EE1}"/>
    <cellStyle name="Comma 8 2 2 2 3 2 4 3 2" xfId="51319" xr:uid="{83C372AF-ADB9-4D39-93DB-6064CD879B9D}"/>
    <cellStyle name="Comma 8 2 2 2 3 2 4 4" xfId="36199" xr:uid="{569693D9-0DC4-48C3-BCD1-9D6BD720B140}"/>
    <cellStyle name="Comma 8 2 2 2 3 2 5" xfId="7471" xr:uid="{2FF8D8C7-BF43-4772-99F8-783ACE70673B}"/>
    <cellStyle name="Comma 8 2 2 2 3 2 5 2" xfId="22591" xr:uid="{751D6E36-BB1B-47A9-9F4A-F6D781C0F6B2}"/>
    <cellStyle name="Comma 8 2 2 2 3 2 5 2 2" xfId="52831" xr:uid="{B3802330-5B25-462E-BEED-0302F343B32F}"/>
    <cellStyle name="Comma 8 2 2 2 3 2 5 3" xfId="37711" xr:uid="{7794F03B-77D0-4D90-8A80-6744F4540E99}"/>
    <cellStyle name="Comma 8 2 2 2 3 2 6" xfId="8983" xr:uid="{88C9E80F-379F-490D-AD16-F97E6D77C3AC}"/>
    <cellStyle name="Comma 8 2 2 2 3 2 6 2" xfId="24103" xr:uid="{6C86A459-6847-42D7-88D1-7EF558BCEF57}"/>
    <cellStyle name="Comma 8 2 2 2 3 2 6 2 2" xfId="54343" xr:uid="{7A6A98FF-D329-4F4D-A031-E4DE63DA546A}"/>
    <cellStyle name="Comma 8 2 2 2 3 2 6 3" xfId="39223" xr:uid="{C819A8A6-F790-46BF-AA57-474A2CEB391D}"/>
    <cellStyle name="Comma 8 2 2 2 3 2 7" xfId="10495" xr:uid="{35F113C3-A182-420F-8B0C-1681455FF477}"/>
    <cellStyle name="Comma 8 2 2 2 3 2 7 2" xfId="25615" xr:uid="{34E36D98-2CAD-4FEC-B9C5-CB073B798609}"/>
    <cellStyle name="Comma 8 2 2 2 3 2 7 2 2" xfId="55855" xr:uid="{5F0DF785-1605-498F-88BB-95B9776DCF05}"/>
    <cellStyle name="Comma 8 2 2 2 3 2 7 3" xfId="40735" xr:uid="{47B39EE3-FBC9-4F9B-BA79-59D35D384FED}"/>
    <cellStyle name="Comma 8 2 2 2 3 2 8" xfId="16543" xr:uid="{509F4675-C2B1-4F85-8FBF-5DC1D8F0D2C0}"/>
    <cellStyle name="Comma 8 2 2 2 3 2 8 2" xfId="46783" xr:uid="{34BE5E86-7AD6-4D69-ADD1-B1A2AB32130B}"/>
    <cellStyle name="Comma 8 2 2 2 3 2 9" xfId="31663" xr:uid="{C7ACC381-AF2A-46CA-98DD-182C7D998177}"/>
    <cellStyle name="Comma 8 2 2 2 3 3" xfId="2179" xr:uid="{58D02ECA-5C7D-4452-AD0D-D8FF1E0FFD9D}"/>
    <cellStyle name="Comma 8 2 2 2 3 3 2" xfId="11251" xr:uid="{969BE877-5238-484F-8033-6B4E53D347AF}"/>
    <cellStyle name="Comma 8 2 2 2 3 3 2 2" xfId="26371" xr:uid="{ECF0C755-CC05-489F-8C99-F70E94530784}"/>
    <cellStyle name="Comma 8 2 2 2 3 3 2 2 2" xfId="56611" xr:uid="{D4DB67B8-1848-4747-91D1-6949D50F6EB8}"/>
    <cellStyle name="Comma 8 2 2 2 3 3 2 3" xfId="41491" xr:uid="{BCE98C9B-0A99-4CD8-862F-948CB54E8DEF}"/>
    <cellStyle name="Comma 8 2 2 2 3 3 3" xfId="17299" xr:uid="{C462D010-5924-45E2-BBF5-E849B2EE252F}"/>
    <cellStyle name="Comma 8 2 2 2 3 3 3 2" xfId="47539" xr:uid="{976B2717-0B38-4220-8313-95031B7F3E9B}"/>
    <cellStyle name="Comma 8 2 2 2 3 3 4" xfId="32419" xr:uid="{CF5F53C5-27B7-4AA5-9B9C-4D63ACBD9973}"/>
    <cellStyle name="Comma 8 2 2 2 3 4" xfId="3691" xr:uid="{EC69B47F-B506-4EEB-8E72-C9FDDC845600}"/>
    <cellStyle name="Comma 8 2 2 2 3 4 2" xfId="12763" xr:uid="{1F2CD271-B310-4FAD-A564-5857DD5089B5}"/>
    <cellStyle name="Comma 8 2 2 2 3 4 2 2" xfId="27883" xr:uid="{E1FE4CF9-E603-47A3-97C1-0C4B342E8530}"/>
    <cellStyle name="Comma 8 2 2 2 3 4 2 2 2" xfId="58123" xr:uid="{61A3250E-5FC9-4CFF-B820-834F7A4E57E3}"/>
    <cellStyle name="Comma 8 2 2 2 3 4 2 3" xfId="43003" xr:uid="{FB170A7E-1451-4010-844F-C6A29FB3A3EF}"/>
    <cellStyle name="Comma 8 2 2 2 3 4 3" xfId="18811" xr:uid="{032B4B86-23AC-4212-94C6-909B03C8C033}"/>
    <cellStyle name="Comma 8 2 2 2 3 4 3 2" xfId="49051" xr:uid="{07C544F4-4FB3-4803-A274-80324E16FA19}"/>
    <cellStyle name="Comma 8 2 2 2 3 4 4" xfId="33931" xr:uid="{C81AF0A2-54C5-4EC2-91B9-69CEA52BED87}"/>
    <cellStyle name="Comma 8 2 2 2 3 5" xfId="5203" xr:uid="{DA6C0516-DAA7-443E-9FBA-4000FC64CE63}"/>
    <cellStyle name="Comma 8 2 2 2 3 5 2" xfId="14275" xr:uid="{5D482FD0-8368-4340-8DC0-CF3B18E3856C}"/>
    <cellStyle name="Comma 8 2 2 2 3 5 2 2" xfId="29395" xr:uid="{76D156A8-205E-4994-B561-7D37B0BFA234}"/>
    <cellStyle name="Comma 8 2 2 2 3 5 2 2 2" xfId="59635" xr:uid="{241BA7C4-C258-46F8-A7CC-2CE0E0D00B13}"/>
    <cellStyle name="Comma 8 2 2 2 3 5 2 3" xfId="44515" xr:uid="{0EABE85A-DD3F-44A3-A706-52BC9125A0A4}"/>
    <cellStyle name="Comma 8 2 2 2 3 5 3" xfId="20323" xr:uid="{DAEE95BA-34C5-4870-BAFA-FDE6BF466C9B}"/>
    <cellStyle name="Comma 8 2 2 2 3 5 3 2" xfId="50563" xr:uid="{D3699136-8577-4B8E-96CD-9C27D997BB87}"/>
    <cellStyle name="Comma 8 2 2 2 3 5 4" xfId="35443" xr:uid="{2CD3C684-CD67-4A95-B77C-2454B21B3112}"/>
    <cellStyle name="Comma 8 2 2 2 3 6" xfId="6715" xr:uid="{12DBEE68-D101-4F68-9055-0A7C7748DE95}"/>
    <cellStyle name="Comma 8 2 2 2 3 6 2" xfId="21835" xr:uid="{7C40663D-AF47-4275-9358-96EF7CD40B48}"/>
    <cellStyle name="Comma 8 2 2 2 3 6 2 2" xfId="52075" xr:uid="{978B7B15-40FC-4711-92A1-AF1DF930E305}"/>
    <cellStyle name="Comma 8 2 2 2 3 6 3" xfId="36955" xr:uid="{31D019E7-B9EC-468D-A976-C78EDEBDAFBB}"/>
    <cellStyle name="Comma 8 2 2 2 3 7" xfId="8227" xr:uid="{99505C43-DED1-4027-BC10-AB9EAC90B78C}"/>
    <cellStyle name="Comma 8 2 2 2 3 7 2" xfId="23347" xr:uid="{E09A84DC-3EE8-409B-A766-4CB6F2A21603}"/>
    <cellStyle name="Comma 8 2 2 2 3 7 2 2" xfId="53587" xr:uid="{B1F77643-F020-487F-A798-BE33BC5EF4B5}"/>
    <cellStyle name="Comma 8 2 2 2 3 7 3" xfId="38467" xr:uid="{CE6147D7-B87D-48D5-9C7D-D121FE94AD82}"/>
    <cellStyle name="Comma 8 2 2 2 3 8" xfId="9739" xr:uid="{7E2F6DF7-8A40-438E-8A17-85510D515A93}"/>
    <cellStyle name="Comma 8 2 2 2 3 8 2" xfId="24859" xr:uid="{88104847-FFB1-4A9F-858B-32E2A24DF7BA}"/>
    <cellStyle name="Comma 8 2 2 2 3 8 2 2" xfId="55099" xr:uid="{C11A65CA-C74E-4ADD-AA69-23666AC258AB}"/>
    <cellStyle name="Comma 8 2 2 2 3 8 3" xfId="39979" xr:uid="{6DD2E338-5D15-45F3-84F1-DF73E18DD59D}"/>
    <cellStyle name="Comma 8 2 2 2 3 9" xfId="15787" xr:uid="{2E405840-34DA-4C92-9139-55E91E456CE7}"/>
    <cellStyle name="Comma 8 2 2 2 3 9 2" xfId="46027" xr:uid="{6C263A99-AB06-4C2B-8983-D70ABC856DDA}"/>
    <cellStyle name="Comma 8 2 2 2 4" xfId="919" xr:uid="{2BD21F25-51A4-4DCD-8BD5-04A57D545640}"/>
    <cellStyle name="Comma 8 2 2 2 4 2" xfId="2431" xr:uid="{6298A4F5-1122-47EF-8658-CF49A939A128}"/>
    <cellStyle name="Comma 8 2 2 2 4 2 2" xfId="11503" xr:uid="{D4BF4E0E-332A-4ED4-9F97-94444E77FEB2}"/>
    <cellStyle name="Comma 8 2 2 2 4 2 2 2" xfId="26623" xr:uid="{441BE7C6-CA6E-420F-8D06-9135C80B2609}"/>
    <cellStyle name="Comma 8 2 2 2 4 2 2 2 2" xfId="56863" xr:uid="{94FA654E-3C74-416E-9A6C-07BFB5B746BD}"/>
    <cellStyle name="Comma 8 2 2 2 4 2 2 3" xfId="41743" xr:uid="{C53056D7-2E64-4158-8ED3-11686F042D57}"/>
    <cellStyle name="Comma 8 2 2 2 4 2 3" xfId="17551" xr:uid="{934174E3-1F2A-4A72-825A-782C91D3BD33}"/>
    <cellStyle name="Comma 8 2 2 2 4 2 3 2" xfId="47791" xr:uid="{008E8392-4482-4932-A328-1A42831A23F6}"/>
    <cellStyle name="Comma 8 2 2 2 4 2 4" xfId="32671" xr:uid="{502479FC-1823-454E-9BDA-3E5DAFC4AD3F}"/>
    <cellStyle name="Comma 8 2 2 2 4 3" xfId="3943" xr:uid="{2A8ADED4-A462-49F4-B0D7-DA0326C5367D}"/>
    <cellStyle name="Comma 8 2 2 2 4 3 2" xfId="13015" xr:uid="{6C610CF6-0FBA-4F8D-9B5A-70FC9E24B96A}"/>
    <cellStyle name="Comma 8 2 2 2 4 3 2 2" xfId="28135" xr:uid="{F42B8EE1-0DA5-47A8-8483-1C6B9DFF1E5F}"/>
    <cellStyle name="Comma 8 2 2 2 4 3 2 2 2" xfId="58375" xr:uid="{941A0D4B-474B-44DA-B484-9400BD513A08}"/>
    <cellStyle name="Comma 8 2 2 2 4 3 2 3" xfId="43255" xr:uid="{E8F911AE-5D9D-4E2A-82B2-45592A3B76D0}"/>
    <cellStyle name="Comma 8 2 2 2 4 3 3" xfId="19063" xr:uid="{A3117723-05CA-4024-9658-B32FDB520878}"/>
    <cellStyle name="Comma 8 2 2 2 4 3 3 2" xfId="49303" xr:uid="{481AAA75-B91E-4CED-90D8-5FB44DDBAA0D}"/>
    <cellStyle name="Comma 8 2 2 2 4 3 4" xfId="34183" xr:uid="{D1243330-5751-4068-9FB3-933FB423448B}"/>
    <cellStyle name="Comma 8 2 2 2 4 4" xfId="5455" xr:uid="{6A755899-EA12-4BFC-B02F-D4D72DEA535B}"/>
    <cellStyle name="Comma 8 2 2 2 4 4 2" xfId="14527" xr:uid="{07C5FCD0-55FD-44C4-B929-87FDE72CD890}"/>
    <cellStyle name="Comma 8 2 2 2 4 4 2 2" xfId="29647" xr:uid="{5E59F215-3D17-4EC7-B3A4-F7A7A47887F9}"/>
    <cellStyle name="Comma 8 2 2 2 4 4 2 2 2" xfId="59887" xr:uid="{697849FC-567E-42D6-9B9E-B52F07F09EA5}"/>
    <cellStyle name="Comma 8 2 2 2 4 4 2 3" xfId="44767" xr:uid="{C82D2D8F-E0A9-4D1C-8C91-12F3BFB1C065}"/>
    <cellStyle name="Comma 8 2 2 2 4 4 3" xfId="20575" xr:uid="{742098E0-EF26-4BF9-BB8A-52EBF21F2A18}"/>
    <cellStyle name="Comma 8 2 2 2 4 4 3 2" xfId="50815" xr:uid="{3978AC23-81ED-42B4-AD65-1B93E60EF248}"/>
    <cellStyle name="Comma 8 2 2 2 4 4 4" xfId="35695" xr:uid="{284B4421-50CD-41C9-B83B-F65E946547ED}"/>
    <cellStyle name="Comma 8 2 2 2 4 5" xfId="6967" xr:uid="{0BB4039A-348C-49D4-A724-9895DABB4D0A}"/>
    <cellStyle name="Comma 8 2 2 2 4 5 2" xfId="22087" xr:uid="{2A9E892C-F550-4C9B-B6F8-CF60ED0894D1}"/>
    <cellStyle name="Comma 8 2 2 2 4 5 2 2" xfId="52327" xr:uid="{9D596295-A5AF-4BE9-A814-5720E57B5CA6}"/>
    <cellStyle name="Comma 8 2 2 2 4 5 3" xfId="37207" xr:uid="{BDC25133-8B0B-4852-A480-72397DDF88D2}"/>
    <cellStyle name="Comma 8 2 2 2 4 6" xfId="8479" xr:uid="{111F833E-5F0A-43C3-842E-C593F4960A65}"/>
    <cellStyle name="Comma 8 2 2 2 4 6 2" xfId="23599" xr:uid="{3DA26A39-2EED-440C-A793-A575104C10AA}"/>
    <cellStyle name="Comma 8 2 2 2 4 6 2 2" xfId="53839" xr:uid="{19F1B1E0-65D6-4A25-8320-0848E91BC6AC}"/>
    <cellStyle name="Comma 8 2 2 2 4 6 3" xfId="38719" xr:uid="{C158BC6D-56F5-425B-B878-731E16CD286E}"/>
    <cellStyle name="Comma 8 2 2 2 4 7" xfId="9991" xr:uid="{C4712ADF-9D43-43A7-9A27-86F64EB3A224}"/>
    <cellStyle name="Comma 8 2 2 2 4 7 2" xfId="25111" xr:uid="{14C0639F-11E6-4BB3-B32C-8CA5CC28B755}"/>
    <cellStyle name="Comma 8 2 2 2 4 7 2 2" xfId="55351" xr:uid="{90965F77-C34B-4A7B-BC49-960B0EF10EA2}"/>
    <cellStyle name="Comma 8 2 2 2 4 7 3" xfId="40231" xr:uid="{7AA398F9-D310-4FDC-A614-D2D0CD2DAF47}"/>
    <cellStyle name="Comma 8 2 2 2 4 8" xfId="16039" xr:uid="{1DC5114F-C5D2-4C2E-A4E6-18156A78EDFA}"/>
    <cellStyle name="Comma 8 2 2 2 4 8 2" xfId="46279" xr:uid="{144A2CA9-14BE-4A52-A5BA-5B8A88018674}"/>
    <cellStyle name="Comma 8 2 2 2 4 9" xfId="31159" xr:uid="{A0BF3A8E-2D51-4A31-BE1F-04E71CE100FF}"/>
    <cellStyle name="Comma 8 2 2 2 5" xfId="1675" xr:uid="{719032CD-C82F-4BE0-B668-E3B0463F607E}"/>
    <cellStyle name="Comma 8 2 2 2 5 2" xfId="10747" xr:uid="{0F2F7F10-5D02-4FEB-AFBB-BD49D2661689}"/>
    <cellStyle name="Comma 8 2 2 2 5 2 2" xfId="25867" xr:uid="{8834991C-EC1F-4B6F-A3D0-BA93D59E29AA}"/>
    <cellStyle name="Comma 8 2 2 2 5 2 2 2" xfId="56107" xr:uid="{DF49ADDB-AD56-44E1-9B63-D8C49DB75161}"/>
    <cellStyle name="Comma 8 2 2 2 5 2 3" xfId="40987" xr:uid="{0FB24837-A792-471D-8484-818FDF5AFAA3}"/>
    <cellStyle name="Comma 8 2 2 2 5 3" xfId="16795" xr:uid="{8C48EA9A-44E9-48A5-9654-96C5E93B0169}"/>
    <cellStyle name="Comma 8 2 2 2 5 3 2" xfId="47035" xr:uid="{C6602F69-66B9-4E01-8169-43820734CBD0}"/>
    <cellStyle name="Comma 8 2 2 2 5 4" xfId="31915" xr:uid="{F8EE5EAC-A8AD-41A4-9042-244C41D5CACA}"/>
    <cellStyle name="Comma 8 2 2 2 6" xfId="3187" xr:uid="{EEAAB4A1-B061-4627-9ADC-74556579D9AD}"/>
    <cellStyle name="Comma 8 2 2 2 6 2" xfId="12259" xr:uid="{FBD8E38B-D154-4F3E-BBD8-4A437E13A51D}"/>
    <cellStyle name="Comma 8 2 2 2 6 2 2" xfId="27379" xr:uid="{7FD682C3-2996-47F2-8843-F9EA839F25A5}"/>
    <cellStyle name="Comma 8 2 2 2 6 2 2 2" xfId="57619" xr:uid="{49BD9A15-45BC-4223-AF8A-FEB9D2A7AAAB}"/>
    <cellStyle name="Comma 8 2 2 2 6 2 3" xfId="42499" xr:uid="{4A09C716-95BA-4100-95BE-599A1E340BDB}"/>
    <cellStyle name="Comma 8 2 2 2 6 3" xfId="18307" xr:uid="{0DE54416-32E7-4AE2-A65F-5CB150F75295}"/>
    <cellStyle name="Comma 8 2 2 2 6 3 2" xfId="48547" xr:uid="{3A9AA133-E288-4A91-BF4A-C838504F317D}"/>
    <cellStyle name="Comma 8 2 2 2 6 4" xfId="33427" xr:uid="{4A21129C-2131-4F6D-AE4B-B44EF21B5C21}"/>
    <cellStyle name="Comma 8 2 2 2 7" xfId="4699" xr:uid="{7BA63EEB-84CD-447E-A5F1-22406BC063EB}"/>
    <cellStyle name="Comma 8 2 2 2 7 2" xfId="13771" xr:uid="{FD969CB6-2DFF-461D-BC46-429915FFC60F}"/>
    <cellStyle name="Comma 8 2 2 2 7 2 2" xfId="28891" xr:uid="{76586502-C7A1-4F66-A797-60A67E836541}"/>
    <cellStyle name="Comma 8 2 2 2 7 2 2 2" xfId="59131" xr:uid="{AF0FC4EC-1FFF-4AB1-A3F6-027046274DC2}"/>
    <cellStyle name="Comma 8 2 2 2 7 2 3" xfId="44011" xr:uid="{B0AE8F8A-3CBF-40A1-B852-A5103F9BF0E7}"/>
    <cellStyle name="Comma 8 2 2 2 7 3" xfId="19819" xr:uid="{72333C70-3CDC-41FB-B510-AC3D805BEF64}"/>
    <cellStyle name="Comma 8 2 2 2 7 3 2" xfId="50059" xr:uid="{5BD4BFEA-BA29-4D39-A91F-17666DC92577}"/>
    <cellStyle name="Comma 8 2 2 2 7 4" xfId="34939" xr:uid="{AE50B51F-9CC7-4F63-AD71-FE6C0169ED4E}"/>
    <cellStyle name="Comma 8 2 2 2 8" xfId="6211" xr:uid="{7C75E87E-EC74-4B35-815C-5BFD0ABF2DD0}"/>
    <cellStyle name="Comma 8 2 2 2 8 2" xfId="21331" xr:uid="{9D292034-1411-4B5E-BF81-42CFF1E049D1}"/>
    <cellStyle name="Comma 8 2 2 2 8 2 2" xfId="51571" xr:uid="{2C2DE9D3-C158-4104-B70F-9E1A3C6D1F8D}"/>
    <cellStyle name="Comma 8 2 2 2 8 3" xfId="36451" xr:uid="{0B47A62E-0C7B-47DB-A860-F23FA603434C}"/>
    <cellStyle name="Comma 8 2 2 2 9" xfId="7723" xr:uid="{9B209049-5691-41AA-A131-AEE591DCB9B6}"/>
    <cellStyle name="Comma 8 2 2 2 9 2" xfId="22843" xr:uid="{99FAF8FA-87C7-4994-AB6A-A75E107761C6}"/>
    <cellStyle name="Comma 8 2 2 2 9 2 2" xfId="53083" xr:uid="{320B933D-2663-47D8-8BC7-F1EE8561BA39}"/>
    <cellStyle name="Comma 8 2 2 2 9 3" xfId="37963" xr:uid="{B6CB8B7F-C5ED-42C5-882E-894E22997E43}"/>
    <cellStyle name="Comma 8 2 2 3" xfId="247" xr:uid="{AEBCF23B-EEE8-41AF-A1E9-530D561C33E5}"/>
    <cellStyle name="Comma 8 2 2 3 10" xfId="9319" xr:uid="{9AAEBBCA-D1F7-4369-BDA0-039769BD82F4}"/>
    <cellStyle name="Comma 8 2 2 3 10 2" xfId="24439" xr:uid="{852E629D-93A2-4118-B855-3948FCCAF229}"/>
    <cellStyle name="Comma 8 2 2 3 10 2 2" xfId="54679" xr:uid="{728513D3-603E-4174-8EBC-EF508E0F60D2}"/>
    <cellStyle name="Comma 8 2 2 3 10 3" xfId="39559" xr:uid="{38FB8780-5B7B-40D6-B14B-0959F5287856}"/>
    <cellStyle name="Comma 8 2 2 3 11" xfId="15367" xr:uid="{9DA19B35-698F-4EDB-A546-D5284A4FFC9A}"/>
    <cellStyle name="Comma 8 2 2 3 11 2" xfId="45607" xr:uid="{7606BA64-9677-450E-AEE9-846A37459A61}"/>
    <cellStyle name="Comma 8 2 2 3 12" xfId="30487" xr:uid="{E400B692-0CAB-426C-8BB3-5D223F618707}"/>
    <cellStyle name="Comma 8 2 2 3 2" xfId="499" xr:uid="{0603CEAA-33F7-4901-A5F1-1777F6FC8154}"/>
    <cellStyle name="Comma 8 2 2 3 2 10" xfId="30739" xr:uid="{0F9D0CD6-80EE-4175-8B91-A601E0399480}"/>
    <cellStyle name="Comma 8 2 2 3 2 2" xfId="1255" xr:uid="{194BC641-E78B-4D4E-A651-E2AE7B631D4F}"/>
    <cellStyle name="Comma 8 2 2 3 2 2 2" xfId="2767" xr:uid="{25AF3A4B-74F9-4CCC-B436-E3EC0DC4C0E4}"/>
    <cellStyle name="Comma 8 2 2 3 2 2 2 2" xfId="11839" xr:uid="{0A134DB4-69C5-476B-85CF-75FB0F331FF9}"/>
    <cellStyle name="Comma 8 2 2 3 2 2 2 2 2" xfId="26959" xr:uid="{1DC60734-CF9F-4FF6-B1DA-E5A852227365}"/>
    <cellStyle name="Comma 8 2 2 3 2 2 2 2 2 2" xfId="57199" xr:uid="{6755B583-CFCD-4722-8819-2DC096EF205F}"/>
    <cellStyle name="Comma 8 2 2 3 2 2 2 2 3" xfId="42079" xr:uid="{7841DC64-BC8C-41C4-B7E4-933FF9796AB4}"/>
    <cellStyle name="Comma 8 2 2 3 2 2 2 3" xfId="17887" xr:uid="{000B5D75-D498-4AF7-ABB9-54EAEFCB494C}"/>
    <cellStyle name="Comma 8 2 2 3 2 2 2 3 2" xfId="48127" xr:uid="{588F4D5E-D44C-428B-B448-A94B65D2C662}"/>
    <cellStyle name="Comma 8 2 2 3 2 2 2 4" xfId="33007" xr:uid="{23A8B7D8-DC0F-42E0-BCA2-106ABEBF30C4}"/>
    <cellStyle name="Comma 8 2 2 3 2 2 3" xfId="4279" xr:uid="{D5AF262F-A4FC-4FD1-A80B-F25AAA3F9E68}"/>
    <cellStyle name="Comma 8 2 2 3 2 2 3 2" xfId="13351" xr:uid="{C6E6579B-0887-4E35-8990-C62FA5D71490}"/>
    <cellStyle name="Comma 8 2 2 3 2 2 3 2 2" xfId="28471" xr:uid="{5DD1C86E-451B-46DA-A7F9-ECBEF56243A8}"/>
    <cellStyle name="Comma 8 2 2 3 2 2 3 2 2 2" xfId="58711" xr:uid="{5FDB00C1-5BA9-4A48-8B38-611F8F383087}"/>
    <cellStyle name="Comma 8 2 2 3 2 2 3 2 3" xfId="43591" xr:uid="{142ACD61-E729-4CA1-890C-29FC2335093A}"/>
    <cellStyle name="Comma 8 2 2 3 2 2 3 3" xfId="19399" xr:uid="{24D68A1B-7E82-48ED-82E0-DA55311D231A}"/>
    <cellStyle name="Comma 8 2 2 3 2 2 3 3 2" xfId="49639" xr:uid="{167BBD89-59EF-4F0A-A11A-452E68D206B7}"/>
    <cellStyle name="Comma 8 2 2 3 2 2 3 4" xfId="34519" xr:uid="{53CE35B3-44D9-4682-8B0B-C5D7F4AB0750}"/>
    <cellStyle name="Comma 8 2 2 3 2 2 4" xfId="5791" xr:uid="{0E8CF317-530F-46E8-A936-781B35CD9F75}"/>
    <cellStyle name="Comma 8 2 2 3 2 2 4 2" xfId="14863" xr:uid="{6E58178C-6BC3-49BA-9017-CD8BF6E4F72E}"/>
    <cellStyle name="Comma 8 2 2 3 2 2 4 2 2" xfId="29983" xr:uid="{FE634824-6665-47B5-AA06-C503FC1331C0}"/>
    <cellStyle name="Comma 8 2 2 3 2 2 4 2 2 2" xfId="60223" xr:uid="{7679CAB4-3C21-40A7-B359-2B8AD3621C3A}"/>
    <cellStyle name="Comma 8 2 2 3 2 2 4 2 3" xfId="45103" xr:uid="{4503CD01-58F1-4F5E-A393-E3CF90D48CC0}"/>
    <cellStyle name="Comma 8 2 2 3 2 2 4 3" xfId="20911" xr:uid="{BEAEDC08-AB0B-4D0F-8C0A-C73D2F26D75A}"/>
    <cellStyle name="Comma 8 2 2 3 2 2 4 3 2" xfId="51151" xr:uid="{DE6C6603-D726-43F2-ABC2-6B74F5D29D74}"/>
    <cellStyle name="Comma 8 2 2 3 2 2 4 4" xfId="36031" xr:uid="{444005B9-2751-4FFC-97CB-86C156E4700B}"/>
    <cellStyle name="Comma 8 2 2 3 2 2 5" xfId="7303" xr:uid="{F955920B-4C29-45FC-9E7D-2B6B579E1776}"/>
    <cellStyle name="Comma 8 2 2 3 2 2 5 2" xfId="22423" xr:uid="{9B476BB3-4A74-4A5D-A1DD-0A775F1843FE}"/>
    <cellStyle name="Comma 8 2 2 3 2 2 5 2 2" xfId="52663" xr:uid="{A3368648-5E49-4232-9D37-4CC78A790689}"/>
    <cellStyle name="Comma 8 2 2 3 2 2 5 3" xfId="37543" xr:uid="{9610C365-0E76-48CE-AA6E-DCC96D9A4CB5}"/>
    <cellStyle name="Comma 8 2 2 3 2 2 6" xfId="8815" xr:uid="{F98427EA-420E-4AC3-895C-B263A6B87789}"/>
    <cellStyle name="Comma 8 2 2 3 2 2 6 2" xfId="23935" xr:uid="{1EB74BC3-B523-4E99-BC38-AC093E7072A2}"/>
    <cellStyle name="Comma 8 2 2 3 2 2 6 2 2" xfId="54175" xr:uid="{49A7870B-EBAC-4FA5-8F42-B800AB780C2E}"/>
    <cellStyle name="Comma 8 2 2 3 2 2 6 3" xfId="39055" xr:uid="{D8463A6C-FE71-49F9-9C6C-AACC2435C831}"/>
    <cellStyle name="Comma 8 2 2 3 2 2 7" xfId="10327" xr:uid="{33FD51E1-7F33-4176-A62F-F187DAC6599B}"/>
    <cellStyle name="Comma 8 2 2 3 2 2 7 2" xfId="25447" xr:uid="{1BC370FB-E5D7-4873-9D92-5C1594B152FB}"/>
    <cellStyle name="Comma 8 2 2 3 2 2 7 2 2" xfId="55687" xr:uid="{FFF10CF4-1F3D-4634-A29C-95FF19C267A2}"/>
    <cellStyle name="Comma 8 2 2 3 2 2 7 3" xfId="40567" xr:uid="{F6B6B56B-E457-4BDB-AF57-5C98C3CCC0C2}"/>
    <cellStyle name="Comma 8 2 2 3 2 2 8" xfId="16375" xr:uid="{A4D019AA-22D0-4858-9FD2-1857171D44AD}"/>
    <cellStyle name="Comma 8 2 2 3 2 2 8 2" xfId="46615" xr:uid="{33B082BE-D832-49D5-9A2E-C881957FAD0C}"/>
    <cellStyle name="Comma 8 2 2 3 2 2 9" xfId="31495" xr:uid="{8068EC79-4C24-4ED7-9216-CA38819B8DD5}"/>
    <cellStyle name="Comma 8 2 2 3 2 3" xfId="2011" xr:uid="{C1395496-B429-4508-A831-474D33FF57B3}"/>
    <cellStyle name="Comma 8 2 2 3 2 3 2" xfId="11083" xr:uid="{BC6B1B8C-38E4-4A37-9F23-61ECF5B183DB}"/>
    <cellStyle name="Comma 8 2 2 3 2 3 2 2" xfId="26203" xr:uid="{D20B4FEC-EB06-4A26-B419-6FF51ED8EBEB}"/>
    <cellStyle name="Comma 8 2 2 3 2 3 2 2 2" xfId="56443" xr:uid="{3C6C7BCD-0A6E-4BC5-A500-C7D71ED69A11}"/>
    <cellStyle name="Comma 8 2 2 3 2 3 2 3" xfId="41323" xr:uid="{09EC059C-3868-44C8-924F-F60ABE0D7316}"/>
    <cellStyle name="Comma 8 2 2 3 2 3 3" xfId="17131" xr:uid="{909FE75B-D615-4D16-A14B-A90BA674D3F0}"/>
    <cellStyle name="Comma 8 2 2 3 2 3 3 2" xfId="47371" xr:uid="{4F5F2868-7B15-424D-A0A4-F2C739203F95}"/>
    <cellStyle name="Comma 8 2 2 3 2 3 4" xfId="32251" xr:uid="{E61A2B4A-1525-4817-BF48-DEE4BEDE953B}"/>
    <cellStyle name="Comma 8 2 2 3 2 4" xfId="3523" xr:uid="{1FA66A38-B88B-4477-88EA-53D265054998}"/>
    <cellStyle name="Comma 8 2 2 3 2 4 2" xfId="12595" xr:uid="{EEDA5778-7EB7-493E-90B8-25BA53CA90EB}"/>
    <cellStyle name="Comma 8 2 2 3 2 4 2 2" xfId="27715" xr:uid="{18F60029-C875-48D5-95A3-6C3C210B620F}"/>
    <cellStyle name="Comma 8 2 2 3 2 4 2 2 2" xfId="57955" xr:uid="{FB8D704E-D38C-4BA7-B411-5B1D316820CF}"/>
    <cellStyle name="Comma 8 2 2 3 2 4 2 3" xfId="42835" xr:uid="{8DC690F1-0002-4D54-8F57-2FF37DFC7BB1}"/>
    <cellStyle name="Comma 8 2 2 3 2 4 3" xfId="18643" xr:uid="{D539C8EC-A6FC-4B77-99C3-789D4EA69DD3}"/>
    <cellStyle name="Comma 8 2 2 3 2 4 3 2" xfId="48883" xr:uid="{1A97C355-5BF8-4A77-B5A4-59CA510B8938}"/>
    <cellStyle name="Comma 8 2 2 3 2 4 4" xfId="33763" xr:uid="{D1044A88-80D3-47B7-851E-08708B18A76B}"/>
    <cellStyle name="Comma 8 2 2 3 2 5" xfId="5035" xr:uid="{273DAB6E-955A-4ADA-8C4E-8D6DA42F0758}"/>
    <cellStyle name="Comma 8 2 2 3 2 5 2" xfId="14107" xr:uid="{7227568A-9AC9-46A8-95C8-FDCABC6C13CB}"/>
    <cellStyle name="Comma 8 2 2 3 2 5 2 2" xfId="29227" xr:uid="{4F9BEEFB-4958-428E-B32F-C6409047A84E}"/>
    <cellStyle name="Comma 8 2 2 3 2 5 2 2 2" xfId="59467" xr:uid="{DCE7127C-F8F3-4D59-80E9-4817ECE42F79}"/>
    <cellStyle name="Comma 8 2 2 3 2 5 2 3" xfId="44347" xr:uid="{18668770-FFA5-44D5-8FF7-34DFECBBE111}"/>
    <cellStyle name="Comma 8 2 2 3 2 5 3" xfId="20155" xr:uid="{FB42487A-382D-48BF-A0ED-7BD437725040}"/>
    <cellStyle name="Comma 8 2 2 3 2 5 3 2" xfId="50395" xr:uid="{5C7724FD-43D0-4D4C-B527-42E7A75B8D94}"/>
    <cellStyle name="Comma 8 2 2 3 2 5 4" xfId="35275" xr:uid="{AFEB8D81-F35B-44B3-AE2F-5FEEF5F9E11D}"/>
    <cellStyle name="Comma 8 2 2 3 2 6" xfId="6547" xr:uid="{5848D30A-1E8F-475C-A396-BDE0CFD66D00}"/>
    <cellStyle name="Comma 8 2 2 3 2 6 2" xfId="21667" xr:uid="{66186EC1-800F-4984-9E76-0D3694BAF747}"/>
    <cellStyle name="Comma 8 2 2 3 2 6 2 2" xfId="51907" xr:uid="{FED493DE-74DB-40FA-A626-28C7A4C1C7C9}"/>
    <cellStyle name="Comma 8 2 2 3 2 6 3" xfId="36787" xr:uid="{E5DB2C73-EBD7-47CF-94A7-F3A49D2191B2}"/>
    <cellStyle name="Comma 8 2 2 3 2 7" xfId="8059" xr:uid="{3A2D7D23-20A4-41A6-9550-EB3120F9972D}"/>
    <cellStyle name="Comma 8 2 2 3 2 7 2" xfId="23179" xr:uid="{B89FBD4C-3188-47F9-9FB9-F1DCA184E323}"/>
    <cellStyle name="Comma 8 2 2 3 2 7 2 2" xfId="53419" xr:uid="{F37AD341-FE42-45E0-8DDD-56040C859B0E}"/>
    <cellStyle name="Comma 8 2 2 3 2 7 3" xfId="38299" xr:uid="{92BC7783-5205-49CF-B922-576CECC16697}"/>
    <cellStyle name="Comma 8 2 2 3 2 8" xfId="9571" xr:uid="{C06175CA-5D29-4EF4-8173-835ECB904BD6}"/>
    <cellStyle name="Comma 8 2 2 3 2 8 2" xfId="24691" xr:uid="{F2EB5E35-5B5B-43AA-8347-55464709F258}"/>
    <cellStyle name="Comma 8 2 2 3 2 8 2 2" xfId="54931" xr:uid="{E3D60178-5384-4AD4-8CB2-348A58DD4AF2}"/>
    <cellStyle name="Comma 8 2 2 3 2 8 3" xfId="39811" xr:uid="{2EBC6190-736F-4AC3-820E-517FC1788D5D}"/>
    <cellStyle name="Comma 8 2 2 3 2 9" xfId="15619" xr:uid="{189CFC0D-7652-42D0-ADBB-B875147CE2B9}"/>
    <cellStyle name="Comma 8 2 2 3 2 9 2" xfId="45859" xr:uid="{B4E97E45-CCDB-4895-87E0-4B94B919BDF9}"/>
    <cellStyle name="Comma 8 2 2 3 3" xfId="751" xr:uid="{2716D808-DC01-4A36-87EB-4D3A9DECC299}"/>
    <cellStyle name="Comma 8 2 2 3 3 10" xfId="30991" xr:uid="{71824F06-7FAC-4591-8B45-BBD381CF1313}"/>
    <cellStyle name="Comma 8 2 2 3 3 2" xfId="1507" xr:uid="{9061F121-09A0-40F3-AE36-85A18F7CCCDC}"/>
    <cellStyle name="Comma 8 2 2 3 3 2 2" xfId="3019" xr:uid="{1636A5C1-5E68-4A1D-B47B-34E46D897A45}"/>
    <cellStyle name="Comma 8 2 2 3 3 2 2 2" xfId="12091" xr:uid="{A1C866B6-1ABF-4B67-BCBD-E5249506CAAD}"/>
    <cellStyle name="Comma 8 2 2 3 3 2 2 2 2" xfId="27211" xr:uid="{405640CC-8541-4FC0-9018-FF53D4EC8DF4}"/>
    <cellStyle name="Comma 8 2 2 3 3 2 2 2 2 2" xfId="57451" xr:uid="{1E1FE6EC-C406-4F07-93FD-8F48F90B5FE7}"/>
    <cellStyle name="Comma 8 2 2 3 3 2 2 2 3" xfId="42331" xr:uid="{16CA13D2-1DC6-48E6-93DB-C4D31EF50DD8}"/>
    <cellStyle name="Comma 8 2 2 3 3 2 2 3" xfId="18139" xr:uid="{768317CC-76D7-4643-B70B-E27327B7A23E}"/>
    <cellStyle name="Comma 8 2 2 3 3 2 2 3 2" xfId="48379" xr:uid="{A7BE1CF2-1BE0-4C68-9E6D-F50C55B1C0BE}"/>
    <cellStyle name="Comma 8 2 2 3 3 2 2 4" xfId="33259" xr:uid="{899E3DD0-BBAA-4DAB-8723-4F1637BD1D1A}"/>
    <cellStyle name="Comma 8 2 2 3 3 2 3" xfId="4531" xr:uid="{EA224C0C-B4D6-4C48-9F1E-F4333F412519}"/>
    <cellStyle name="Comma 8 2 2 3 3 2 3 2" xfId="13603" xr:uid="{B0F42FF6-6BCB-48E1-B492-FEEC3FD9B3E3}"/>
    <cellStyle name="Comma 8 2 2 3 3 2 3 2 2" xfId="28723" xr:uid="{544D1E86-409F-4AE2-B529-331A1B620A24}"/>
    <cellStyle name="Comma 8 2 2 3 3 2 3 2 2 2" xfId="58963" xr:uid="{F0ECD58E-EEC0-4A2C-8224-51B16AFB7B42}"/>
    <cellStyle name="Comma 8 2 2 3 3 2 3 2 3" xfId="43843" xr:uid="{72545E26-2E55-404D-8707-9AF158DE5803}"/>
    <cellStyle name="Comma 8 2 2 3 3 2 3 3" xfId="19651" xr:uid="{6B596847-A054-4740-A916-4FC8987102F3}"/>
    <cellStyle name="Comma 8 2 2 3 3 2 3 3 2" xfId="49891" xr:uid="{B5E40AD9-DE2A-4E9B-855D-194D7030FA83}"/>
    <cellStyle name="Comma 8 2 2 3 3 2 3 4" xfId="34771" xr:uid="{C74BE5B0-3E58-47E0-8BF9-93FE139E8F04}"/>
    <cellStyle name="Comma 8 2 2 3 3 2 4" xfId="6043" xr:uid="{54B495D1-597C-4314-9050-83182CC34F9F}"/>
    <cellStyle name="Comma 8 2 2 3 3 2 4 2" xfId="15115" xr:uid="{E744B249-A438-4A08-AAEC-007E5E924B5E}"/>
    <cellStyle name="Comma 8 2 2 3 3 2 4 2 2" xfId="30235" xr:uid="{20696D46-3E50-435B-B6D5-A009244CFFF9}"/>
    <cellStyle name="Comma 8 2 2 3 3 2 4 2 2 2" xfId="60475" xr:uid="{F842EEC4-0301-4C60-9E97-5D2B7F33B817}"/>
    <cellStyle name="Comma 8 2 2 3 3 2 4 2 3" xfId="45355" xr:uid="{83857AAD-F0F3-4580-83DD-3D0F2F4CDE46}"/>
    <cellStyle name="Comma 8 2 2 3 3 2 4 3" xfId="21163" xr:uid="{CAB5449B-FB0E-4004-8B43-C0CE08569560}"/>
    <cellStyle name="Comma 8 2 2 3 3 2 4 3 2" xfId="51403" xr:uid="{562AC661-B030-4B0C-87CC-C119F41FB897}"/>
    <cellStyle name="Comma 8 2 2 3 3 2 4 4" xfId="36283" xr:uid="{641623B5-1FC2-4E40-A075-F7720DC9004B}"/>
    <cellStyle name="Comma 8 2 2 3 3 2 5" xfId="7555" xr:uid="{42DB2A7B-57C0-4B3B-AAB0-7977BCF2B714}"/>
    <cellStyle name="Comma 8 2 2 3 3 2 5 2" xfId="22675" xr:uid="{10ED1301-67AF-46A3-A33E-2FD2BB2C5EB6}"/>
    <cellStyle name="Comma 8 2 2 3 3 2 5 2 2" xfId="52915" xr:uid="{305E9908-6B07-4CA9-878E-D09575CAB66E}"/>
    <cellStyle name="Comma 8 2 2 3 3 2 5 3" xfId="37795" xr:uid="{DEC36C83-BFA1-4052-B031-4268EADC38E9}"/>
    <cellStyle name="Comma 8 2 2 3 3 2 6" xfId="9067" xr:uid="{6A7F11F1-4868-4FB5-94B0-1A15A5BEAAB6}"/>
    <cellStyle name="Comma 8 2 2 3 3 2 6 2" xfId="24187" xr:uid="{1C130683-901A-4D95-A370-7A808C8A391C}"/>
    <cellStyle name="Comma 8 2 2 3 3 2 6 2 2" xfId="54427" xr:uid="{058568EE-741F-4463-90C6-1D44A21C0629}"/>
    <cellStyle name="Comma 8 2 2 3 3 2 6 3" xfId="39307" xr:uid="{A5EC55E8-9906-417D-AD05-E18241F7A03B}"/>
    <cellStyle name="Comma 8 2 2 3 3 2 7" xfId="10579" xr:uid="{A5735707-1305-4A6F-8633-846A7D8FB25B}"/>
    <cellStyle name="Comma 8 2 2 3 3 2 7 2" xfId="25699" xr:uid="{3E9F2E0F-3870-44CE-AA42-2E776BEAD121}"/>
    <cellStyle name="Comma 8 2 2 3 3 2 7 2 2" xfId="55939" xr:uid="{0834B56A-201E-4C73-97DD-A1B0BC47D9AA}"/>
    <cellStyle name="Comma 8 2 2 3 3 2 7 3" xfId="40819" xr:uid="{2FCFAB60-83C7-4001-A091-40ACA76097AB}"/>
    <cellStyle name="Comma 8 2 2 3 3 2 8" xfId="16627" xr:uid="{288ECD82-5C96-43B8-B77B-00B5D02576A0}"/>
    <cellStyle name="Comma 8 2 2 3 3 2 8 2" xfId="46867" xr:uid="{D5A77340-FF2E-4C95-A24D-485530098BBC}"/>
    <cellStyle name="Comma 8 2 2 3 3 2 9" xfId="31747" xr:uid="{819504DB-45D5-4E6D-A3C0-835DC1AA78EA}"/>
    <cellStyle name="Comma 8 2 2 3 3 3" xfId="2263" xr:uid="{87424F22-B939-46A5-BBD1-9B14266087DA}"/>
    <cellStyle name="Comma 8 2 2 3 3 3 2" xfId="11335" xr:uid="{E5D2E816-E6FE-43DB-A3CD-933C8B445455}"/>
    <cellStyle name="Comma 8 2 2 3 3 3 2 2" xfId="26455" xr:uid="{0FA16CB3-1F97-40EB-BE93-B3860BD8B5C7}"/>
    <cellStyle name="Comma 8 2 2 3 3 3 2 2 2" xfId="56695" xr:uid="{E2B0F15B-8A82-4D1E-A7E2-45D8AAAC46D6}"/>
    <cellStyle name="Comma 8 2 2 3 3 3 2 3" xfId="41575" xr:uid="{0B088F45-49A2-481B-A272-4AE9AF7E9B70}"/>
    <cellStyle name="Comma 8 2 2 3 3 3 3" xfId="17383" xr:uid="{7658535C-0ACA-4032-9D8E-39E22C6C7709}"/>
    <cellStyle name="Comma 8 2 2 3 3 3 3 2" xfId="47623" xr:uid="{14636501-A88A-4EFA-87E6-E6F840DBEA60}"/>
    <cellStyle name="Comma 8 2 2 3 3 3 4" xfId="32503" xr:uid="{C5C1CD0B-F7E4-47ED-A27D-4A11A6F691F2}"/>
    <cellStyle name="Comma 8 2 2 3 3 4" xfId="3775" xr:uid="{5DA5C4B5-0D64-44C2-B1B9-8AFFD442C91F}"/>
    <cellStyle name="Comma 8 2 2 3 3 4 2" xfId="12847" xr:uid="{84372B17-1ABB-484C-AAB5-67A0FB01DDD9}"/>
    <cellStyle name="Comma 8 2 2 3 3 4 2 2" xfId="27967" xr:uid="{C720FBA2-7BE6-41CB-8C62-CE06A7E5E391}"/>
    <cellStyle name="Comma 8 2 2 3 3 4 2 2 2" xfId="58207" xr:uid="{AE5535D7-4C48-4945-AC26-C977654052F4}"/>
    <cellStyle name="Comma 8 2 2 3 3 4 2 3" xfId="43087" xr:uid="{D8FA6B60-20D1-483F-A510-0A8939C46721}"/>
    <cellStyle name="Comma 8 2 2 3 3 4 3" xfId="18895" xr:uid="{E4D7DBD2-6513-46BF-81B4-539FF28C3284}"/>
    <cellStyle name="Comma 8 2 2 3 3 4 3 2" xfId="49135" xr:uid="{75DF1463-BB29-4864-97CD-91FC77E88F3C}"/>
    <cellStyle name="Comma 8 2 2 3 3 4 4" xfId="34015" xr:uid="{9FE1E60B-8DD9-4B54-8755-A75220E3C0FD}"/>
    <cellStyle name="Comma 8 2 2 3 3 5" xfId="5287" xr:uid="{3562CE4C-3F2F-4781-8C94-20AA5D05BF5A}"/>
    <cellStyle name="Comma 8 2 2 3 3 5 2" xfId="14359" xr:uid="{F1342F16-61B7-4C95-8790-9E301608BD28}"/>
    <cellStyle name="Comma 8 2 2 3 3 5 2 2" xfId="29479" xr:uid="{C5785069-C623-429F-9D1D-9D04FCC58366}"/>
    <cellStyle name="Comma 8 2 2 3 3 5 2 2 2" xfId="59719" xr:uid="{60D12413-E512-430B-AE97-8D46AF76077C}"/>
    <cellStyle name="Comma 8 2 2 3 3 5 2 3" xfId="44599" xr:uid="{9AFB49E8-8BEE-4309-951E-78C8AD95F938}"/>
    <cellStyle name="Comma 8 2 2 3 3 5 3" xfId="20407" xr:uid="{62DE1674-9BD1-4329-8E5C-BEACBA3F4550}"/>
    <cellStyle name="Comma 8 2 2 3 3 5 3 2" xfId="50647" xr:uid="{2863EE9D-B344-4A20-9E17-1878E0D8D6AC}"/>
    <cellStyle name="Comma 8 2 2 3 3 5 4" xfId="35527" xr:uid="{B98B0F9C-F47B-4431-BAD9-8B6E282E4C21}"/>
    <cellStyle name="Comma 8 2 2 3 3 6" xfId="6799" xr:uid="{217DB06B-0D11-434C-8270-E351E294C713}"/>
    <cellStyle name="Comma 8 2 2 3 3 6 2" xfId="21919" xr:uid="{B16C554D-0009-4874-9360-775CE4C3F2B6}"/>
    <cellStyle name="Comma 8 2 2 3 3 6 2 2" xfId="52159" xr:uid="{3CBBBA44-1B56-4676-8DC1-509CB743DEFD}"/>
    <cellStyle name="Comma 8 2 2 3 3 6 3" xfId="37039" xr:uid="{5AB763FF-CFBE-428F-967E-309180B6A93E}"/>
    <cellStyle name="Comma 8 2 2 3 3 7" xfId="8311" xr:uid="{A7529F55-2F5A-43D6-AC3A-CA1816EB28BE}"/>
    <cellStyle name="Comma 8 2 2 3 3 7 2" xfId="23431" xr:uid="{25D4CD79-D8D5-444D-ABBD-95B053CE4C0A}"/>
    <cellStyle name="Comma 8 2 2 3 3 7 2 2" xfId="53671" xr:uid="{EA8C7382-3C85-4C0F-AF40-39D8DD33FFB1}"/>
    <cellStyle name="Comma 8 2 2 3 3 7 3" xfId="38551" xr:uid="{E4462AA5-714B-43CD-B37A-8BEA9751E82B}"/>
    <cellStyle name="Comma 8 2 2 3 3 8" xfId="9823" xr:uid="{ED8A6473-473E-4288-A835-CBEF1E295C9D}"/>
    <cellStyle name="Comma 8 2 2 3 3 8 2" xfId="24943" xr:uid="{9B1E5496-1F3B-4457-87FA-16775F71313D}"/>
    <cellStyle name="Comma 8 2 2 3 3 8 2 2" xfId="55183" xr:uid="{05FCA634-12FA-4794-AB58-FAA2D9A5045D}"/>
    <cellStyle name="Comma 8 2 2 3 3 8 3" xfId="40063" xr:uid="{8916A7EE-01EA-483D-B574-D2E65DDDE08B}"/>
    <cellStyle name="Comma 8 2 2 3 3 9" xfId="15871" xr:uid="{5F5E8785-256F-44C7-AAAA-D21448B5C543}"/>
    <cellStyle name="Comma 8 2 2 3 3 9 2" xfId="46111" xr:uid="{63D299FE-FD7C-46A8-9AB0-D4B239C14B9C}"/>
    <cellStyle name="Comma 8 2 2 3 4" xfId="1003" xr:uid="{109F3AA1-B925-404B-8A7B-98B99CF51419}"/>
    <cellStyle name="Comma 8 2 2 3 4 2" xfId="2515" xr:uid="{5C457D57-566A-48FE-BD11-A9FDDB46C587}"/>
    <cellStyle name="Comma 8 2 2 3 4 2 2" xfId="11587" xr:uid="{BDC578D2-6DF6-4523-A576-0836F6AE8AD3}"/>
    <cellStyle name="Comma 8 2 2 3 4 2 2 2" xfId="26707" xr:uid="{AD5EC631-E620-4D3E-9D93-02B0AC382AA7}"/>
    <cellStyle name="Comma 8 2 2 3 4 2 2 2 2" xfId="56947" xr:uid="{BFDC1658-A256-475D-8CB5-75C4D2AF531A}"/>
    <cellStyle name="Comma 8 2 2 3 4 2 2 3" xfId="41827" xr:uid="{D41EC31D-70FE-44A3-8612-946BCF14BB7E}"/>
    <cellStyle name="Comma 8 2 2 3 4 2 3" xfId="17635" xr:uid="{A2DA57CB-5014-4A9B-9812-4F634B4DCB95}"/>
    <cellStyle name="Comma 8 2 2 3 4 2 3 2" xfId="47875" xr:uid="{59409A72-E2C4-4AE5-8DA4-FD8019D6F00A}"/>
    <cellStyle name="Comma 8 2 2 3 4 2 4" xfId="32755" xr:uid="{E7DF81C2-180A-45BA-AE69-E08548FF12D9}"/>
    <cellStyle name="Comma 8 2 2 3 4 3" xfId="4027" xr:uid="{8B3A1FA6-32D5-4754-8820-4C1800A8E765}"/>
    <cellStyle name="Comma 8 2 2 3 4 3 2" xfId="13099" xr:uid="{EA2CE583-4A7E-411F-AC26-CA05120A99C1}"/>
    <cellStyle name="Comma 8 2 2 3 4 3 2 2" xfId="28219" xr:uid="{423213AC-545D-4FD3-BF97-48EB277089FC}"/>
    <cellStyle name="Comma 8 2 2 3 4 3 2 2 2" xfId="58459" xr:uid="{AA6D585B-7440-4E66-83A8-71A9D9B4E21B}"/>
    <cellStyle name="Comma 8 2 2 3 4 3 2 3" xfId="43339" xr:uid="{41BA4538-5FAF-4D7C-94A5-81CC711D2F17}"/>
    <cellStyle name="Comma 8 2 2 3 4 3 3" xfId="19147" xr:uid="{B3B2A7DD-3AB1-466D-9448-5787A664549F}"/>
    <cellStyle name="Comma 8 2 2 3 4 3 3 2" xfId="49387" xr:uid="{8E7BE25A-5FCF-4831-92B5-6B7A9CDA6B14}"/>
    <cellStyle name="Comma 8 2 2 3 4 3 4" xfId="34267" xr:uid="{83DD175D-206C-47EF-9DD6-AA25FB8A310E}"/>
    <cellStyle name="Comma 8 2 2 3 4 4" xfId="5539" xr:uid="{272A4E65-EDFB-46B8-9A10-F11234E631EB}"/>
    <cellStyle name="Comma 8 2 2 3 4 4 2" xfId="14611" xr:uid="{9411D57E-B752-4902-956A-CE419A8C9951}"/>
    <cellStyle name="Comma 8 2 2 3 4 4 2 2" xfId="29731" xr:uid="{F91F2BC0-9B27-4085-BEFD-A700DF274115}"/>
    <cellStyle name="Comma 8 2 2 3 4 4 2 2 2" xfId="59971" xr:uid="{BE93A7B9-A145-4844-97B3-1E6DE3D1A222}"/>
    <cellStyle name="Comma 8 2 2 3 4 4 2 3" xfId="44851" xr:uid="{C5EF1071-C648-44A8-BC43-553458939266}"/>
    <cellStyle name="Comma 8 2 2 3 4 4 3" xfId="20659" xr:uid="{4E919E14-C9C4-4B9A-9957-EA4FEEDEEADB}"/>
    <cellStyle name="Comma 8 2 2 3 4 4 3 2" xfId="50899" xr:uid="{E31DC183-6D33-4580-A659-BCD3E8A2628A}"/>
    <cellStyle name="Comma 8 2 2 3 4 4 4" xfId="35779" xr:uid="{0F25B48A-F77E-4C44-8C11-6F3C3B97F7EC}"/>
    <cellStyle name="Comma 8 2 2 3 4 5" xfId="7051" xr:uid="{DB739E6A-B2D8-440A-ABF4-D17E4F548EC9}"/>
    <cellStyle name="Comma 8 2 2 3 4 5 2" xfId="22171" xr:uid="{CB1C6048-DDD7-48EB-A0EF-44CD4B181A11}"/>
    <cellStyle name="Comma 8 2 2 3 4 5 2 2" xfId="52411" xr:uid="{484AE599-71F6-46FE-8243-DDCE3CC52B2A}"/>
    <cellStyle name="Comma 8 2 2 3 4 5 3" xfId="37291" xr:uid="{3A82206C-41EE-43E2-A2C5-2E96FAF9533F}"/>
    <cellStyle name="Comma 8 2 2 3 4 6" xfId="8563" xr:uid="{35B4055F-1A83-4339-A1EF-DE190BC21E91}"/>
    <cellStyle name="Comma 8 2 2 3 4 6 2" xfId="23683" xr:uid="{9969A925-C978-475D-8D68-1D883E8896EA}"/>
    <cellStyle name="Comma 8 2 2 3 4 6 2 2" xfId="53923" xr:uid="{C65E1A2B-8ABC-475B-B70B-EDAA445E4C99}"/>
    <cellStyle name="Comma 8 2 2 3 4 6 3" xfId="38803" xr:uid="{BC374454-9EE5-43E7-9E21-2FB942B1CD14}"/>
    <cellStyle name="Comma 8 2 2 3 4 7" xfId="10075" xr:uid="{9037D4A3-ED34-42D4-89B2-FAF56FA6EF20}"/>
    <cellStyle name="Comma 8 2 2 3 4 7 2" xfId="25195" xr:uid="{83F27D32-282C-43F6-AF0E-F24B582163EE}"/>
    <cellStyle name="Comma 8 2 2 3 4 7 2 2" xfId="55435" xr:uid="{11AD6AA9-9014-48EC-85B2-030F69DB3C5E}"/>
    <cellStyle name="Comma 8 2 2 3 4 7 3" xfId="40315" xr:uid="{11866423-6606-4821-AE5E-8F4E42286FAA}"/>
    <cellStyle name="Comma 8 2 2 3 4 8" xfId="16123" xr:uid="{EFABE660-6AC3-4F8E-B1A4-52EADA0A5766}"/>
    <cellStyle name="Comma 8 2 2 3 4 8 2" xfId="46363" xr:uid="{F522530C-3E45-4F97-B40A-A5392543C9A7}"/>
    <cellStyle name="Comma 8 2 2 3 4 9" xfId="31243" xr:uid="{83312FD0-A84C-4D80-A5C4-CD5F1F827FC3}"/>
    <cellStyle name="Comma 8 2 2 3 5" xfId="1759" xr:uid="{0F199B22-DE09-4A22-A876-AB8E26F2879F}"/>
    <cellStyle name="Comma 8 2 2 3 5 2" xfId="10831" xr:uid="{EBABC9CD-BB6A-48E8-8C55-A48638793369}"/>
    <cellStyle name="Comma 8 2 2 3 5 2 2" xfId="25951" xr:uid="{865823B0-18CA-4B1F-941F-2F085B0AD2F2}"/>
    <cellStyle name="Comma 8 2 2 3 5 2 2 2" xfId="56191" xr:uid="{E7195287-A24C-41C4-893A-333B26EDCFBA}"/>
    <cellStyle name="Comma 8 2 2 3 5 2 3" xfId="41071" xr:uid="{8868A6FE-9646-4B5A-A83E-00829B077DF7}"/>
    <cellStyle name="Comma 8 2 2 3 5 3" xfId="16879" xr:uid="{DD14DC81-28DF-42AF-BFC0-D374FD2B6B3B}"/>
    <cellStyle name="Comma 8 2 2 3 5 3 2" xfId="47119" xr:uid="{9330D998-61A9-45F0-803B-1EE2D2EC7858}"/>
    <cellStyle name="Comma 8 2 2 3 5 4" xfId="31999" xr:uid="{AC74E944-8ADB-4393-B651-F41343F9C95A}"/>
    <cellStyle name="Comma 8 2 2 3 6" xfId="3271" xr:uid="{351F81E1-2798-4CE5-BF4F-CFB345B65102}"/>
    <cellStyle name="Comma 8 2 2 3 6 2" xfId="12343" xr:uid="{29A651BD-63CD-428D-B702-40067B07A82E}"/>
    <cellStyle name="Comma 8 2 2 3 6 2 2" xfId="27463" xr:uid="{38CE0DE3-C585-41D6-909B-C894DA920FF9}"/>
    <cellStyle name="Comma 8 2 2 3 6 2 2 2" xfId="57703" xr:uid="{5D750B25-61B5-4854-82D7-25673664A104}"/>
    <cellStyle name="Comma 8 2 2 3 6 2 3" xfId="42583" xr:uid="{C9385E82-D751-4A7D-BC06-1DB8415E046E}"/>
    <cellStyle name="Comma 8 2 2 3 6 3" xfId="18391" xr:uid="{C441C9F8-442B-466C-AF7C-67285107DE08}"/>
    <cellStyle name="Comma 8 2 2 3 6 3 2" xfId="48631" xr:uid="{64F1734F-A57D-4BF5-94FF-4CBEE03F53A1}"/>
    <cellStyle name="Comma 8 2 2 3 6 4" xfId="33511" xr:uid="{C9447911-05E5-4EB1-B411-CAC3C80EFA9D}"/>
    <cellStyle name="Comma 8 2 2 3 7" xfId="4783" xr:uid="{34E84015-2572-45C3-8AEE-6AB3D01C3A34}"/>
    <cellStyle name="Comma 8 2 2 3 7 2" xfId="13855" xr:uid="{DE7E90B0-7D21-4DA0-B571-0FF9BF7552D0}"/>
    <cellStyle name="Comma 8 2 2 3 7 2 2" xfId="28975" xr:uid="{FC300E45-6805-41CB-A9F0-E0FA0CDD1DE7}"/>
    <cellStyle name="Comma 8 2 2 3 7 2 2 2" xfId="59215" xr:uid="{979D7A7F-F645-4F70-8F2A-1773CEC0A2AD}"/>
    <cellStyle name="Comma 8 2 2 3 7 2 3" xfId="44095" xr:uid="{0A2D0794-F6F5-44B0-A22D-72996295589C}"/>
    <cellStyle name="Comma 8 2 2 3 7 3" xfId="19903" xr:uid="{90FE4AB1-D2DD-4B85-8634-F5A5139EA37E}"/>
    <cellStyle name="Comma 8 2 2 3 7 3 2" xfId="50143" xr:uid="{841465CD-2DB5-4F7E-B2CC-791262BAF5DB}"/>
    <cellStyle name="Comma 8 2 2 3 7 4" xfId="35023" xr:uid="{F6B48CE2-50AF-4BFA-87AC-A53D2C511637}"/>
    <cellStyle name="Comma 8 2 2 3 8" xfId="6295" xr:uid="{98C3EC85-928D-4592-9233-8AD20708A393}"/>
    <cellStyle name="Comma 8 2 2 3 8 2" xfId="21415" xr:uid="{2A6451E4-0846-4096-BE22-EAA7F14F1E37}"/>
    <cellStyle name="Comma 8 2 2 3 8 2 2" xfId="51655" xr:uid="{0F524472-796C-4552-994B-D0AEE5DC79F3}"/>
    <cellStyle name="Comma 8 2 2 3 8 3" xfId="36535" xr:uid="{2F5EE84E-7B6D-4B23-A11B-35354415BBC3}"/>
    <cellStyle name="Comma 8 2 2 3 9" xfId="7807" xr:uid="{8B294EEE-9F34-43FF-AE9D-F6B7DDBBFC2E}"/>
    <cellStyle name="Comma 8 2 2 3 9 2" xfId="22927" xr:uid="{BBFD943A-2FE4-43B2-B247-3E92174DB8D4}"/>
    <cellStyle name="Comma 8 2 2 3 9 2 2" xfId="53167" xr:uid="{E3AC699E-C2F1-4C82-BD1A-1BE93A15F150}"/>
    <cellStyle name="Comma 8 2 2 3 9 3" xfId="38047" xr:uid="{319BBE43-D8F6-4586-B32D-2871E7774176}"/>
    <cellStyle name="Comma 8 2 2 4" xfId="331" xr:uid="{4411F8C1-CC4C-487D-A242-ABC0CB08F0CE}"/>
    <cellStyle name="Comma 8 2 2 4 10" xfId="30571" xr:uid="{CC8AEF22-1564-4B2F-B1DD-B90339E9A070}"/>
    <cellStyle name="Comma 8 2 2 4 2" xfId="1087" xr:uid="{F1B89495-0600-425C-A3D2-64F3EB5FA1B5}"/>
    <cellStyle name="Comma 8 2 2 4 2 2" xfId="2599" xr:uid="{D0D41D44-5FFD-44E2-ADCB-EEF4D9EC1924}"/>
    <cellStyle name="Comma 8 2 2 4 2 2 2" xfId="11671" xr:uid="{3DC1BA96-AFB7-486D-9839-9CBE656ADA6C}"/>
    <cellStyle name="Comma 8 2 2 4 2 2 2 2" xfId="26791" xr:uid="{9F10B0D5-0E17-4274-9A96-E61B1C7100F7}"/>
    <cellStyle name="Comma 8 2 2 4 2 2 2 2 2" xfId="57031" xr:uid="{3E25790A-ADA9-45AA-ADD5-79520ACA0E9B}"/>
    <cellStyle name="Comma 8 2 2 4 2 2 2 3" xfId="41911" xr:uid="{492CF20C-F21F-4A8A-BB92-D8A3AF1A8839}"/>
    <cellStyle name="Comma 8 2 2 4 2 2 3" xfId="17719" xr:uid="{ED2494EC-E4C0-4809-AA3B-73C64A43149F}"/>
    <cellStyle name="Comma 8 2 2 4 2 2 3 2" xfId="47959" xr:uid="{0FD2675D-DDDD-4054-BC91-9EF4DD1DC24B}"/>
    <cellStyle name="Comma 8 2 2 4 2 2 4" xfId="32839" xr:uid="{027760E9-8662-43EF-9028-45DDC545A37A}"/>
    <cellStyle name="Comma 8 2 2 4 2 3" xfId="4111" xr:uid="{B77C219F-C26D-46C1-A75F-EB2D40C6CD64}"/>
    <cellStyle name="Comma 8 2 2 4 2 3 2" xfId="13183" xr:uid="{87ECF8F6-8AA6-41BF-89AA-7E2DBF968D82}"/>
    <cellStyle name="Comma 8 2 2 4 2 3 2 2" xfId="28303" xr:uid="{97D1A5EA-A2EB-4E85-A3E3-65E0D028EF8F}"/>
    <cellStyle name="Comma 8 2 2 4 2 3 2 2 2" xfId="58543" xr:uid="{6CE9350F-A344-4034-92AC-54DFFAD7A436}"/>
    <cellStyle name="Comma 8 2 2 4 2 3 2 3" xfId="43423" xr:uid="{55694460-5BEF-4AAF-8AC1-52959A859228}"/>
    <cellStyle name="Comma 8 2 2 4 2 3 3" xfId="19231" xr:uid="{2E72AA4A-B651-49AA-B934-4102B1E812A8}"/>
    <cellStyle name="Comma 8 2 2 4 2 3 3 2" xfId="49471" xr:uid="{43BDE7A2-6FB9-440E-8DDE-BC7125811A47}"/>
    <cellStyle name="Comma 8 2 2 4 2 3 4" xfId="34351" xr:uid="{9F7D6CCF-3304-4269-852E-4E85E02EC826}"/>
    <cellStyle name="Comma 8 2 2 4 2 4" xfId="5623" xr:uid="{2B3D5E49-E03C-4EB0-B63D-0B15F4A61F20}"/>
    <cellStyle name="Comma 8 2 2 4 2 4 2" xfId="14695" xr:uid="{9855CB2F-3A59-41A7-AC42-082F9881942C}"/>
    <cellStyle name="Comma 8 2 2 4 2 4 2 2" xfId="29815" xr:uid="{534AB3A6-F05B-4D34-BED7-D7E71E60B154}"/>
    <cellStyle name="Comma 8 2 2 4 2 4 2 2 2" xfId="60055" xr:uid="{422693ED-D673-4B6F-B83D-CD66CB0CDF2C}"/>
    <cellStyle name="Comma 8 2 2 4 2 4 2 3" xfId="44935" xr:uid="{398B8890-3E5E-4D7C-9B0B-23F2BFDE0793}"/>
    <cellStyle name="Comma 8 2 2 4 2 4 3" xfId="20743" xr:uid="{6687AED6-2F7F-4230-A55A-C7B1D0893F54}"/>
    <cellStyle name="Comma 8 2 2 4 2 4 3 2" xfId="50983" xr:uid="{885DB0C2-95B2-41FF-8AFD-C89065F3B49E}"/>
    <cellStyle name="Comma 8 2 2 4 2 4 4" xfId="35863" xr:uid="{6C266164-B0D7-4BDB-8047-918048086643}"/>
    <cellStyle name="Comma 8 2 2 4 2 5" xfId="7135" xr:uid="{F99228E0-7770-4732-9B8E-FC686F84840B}"/>
    <cellStyle name="Comma 8 2 2 4 2 5 2" xfId="22255" xr:uid="{758DBB24-7E91-43D5-8E7E-32B721B17CFB}"/>
    <cellStyle name="Comma 8 2 2 4 2 5 2 2" xfId="52495" xr:uid="{68CC6675-A3CC-4ACD-88CD-4BC579434F6A}"/>
    <cellStyle name="Comma 8 2 2 4 2 5 3" xfId="37375" xr:uid="{15BD6AD2-995F-446F-B1A7-018A4428DAD9}"/>
    <cellStyle name="Comma 8 2 2 4 2 6" xfId="8647" xr:uid="{7201A242-7DC4-42E5-ADFC-A5A97DEA9818}"/>
    <cellStyle name="Comma 8 2 2 4 2 6 2" xfId="23767" xr:uid="{1E447B90-DE3E-4C9A-B182-03D9CF4FDA32}"/>
    <cellStyle name="Comma 8 2 2 4 2 6 2 2" xfId="54007" xr:uid="{931FD61A-D760-4E99-9011-63F32826D0CC}"/>
    <cellStyle name="Comma 8 2 2 4 2 6 3" xfId="38887" xr:uid="{0FC10EE1-11BE-40F3-B0FD-3B6581C641DE}"/>
    <cellStyle name="Comma 8 2 2 4 2 7" xfId="10159" xr:uid="{D714B481-04DC-4C57-9683-F1822F2C007E}"/>
    <cellStyle name="Comma 8 2 2 4 2 7 2" xfId="25279" xr:uid="{5DAE4DDF-4FF3-471E-858D-647367C1D470}"/>
    <cellStyle name="Comma 8 2 2 4 2 7 2 2" xfId="55519" xr:uid="{2B176D2C-56E8-434D-B55C-C16A344137FB}"/>
    <cellStyle name="Comma 8 2 2 4 2 7 3" xfId="40399" xr:uid="{39A3DA75-EE96-4AD8-94C6-CC39D276381E}"/>
    <cellStyle name="Comma 8 2 2 4 2 8" xfId="16207" xr:uid="{7F696506-C99F-4DB5-8481-F3D02C725844}"/>
    <cellStyle name="Comma 8 2 2 4 2 8 2" xfId="46447" xr:uid="{ABBAB33F-8527-4FC8-BE0F-5B6F75296036}"/>
    <cellStyle name="Comma 8 2 2 4 2 9" xfId="31327" xr:uid="{79A7EFDB-17EB-4882-A5A1-69872CE399D3}"/>
    <cellStyle name="Comma 8 2 2 4 3" xfId="1843" xr:uid="{8E9F3F9C-1DE7-4124-AB16-38801462F838}"/>
    <cellStyle name="Comma 8 2 2 4 3 2" xfId="10915" xr:uid="{F0AE39C6-536F-4C8A-8E97-0EB36CB811FF}"/>
    <cellStyle name="Comma 8 2 2 4 3 2 2" xfId="26035" xr:uid="{66882D12-8D63-4837-8627-D9E9D2AAEBFA}"/>
    <cellStyle name="Comma 8 2 2 4 3 2 2 2" xfId="56275" xr:uid="{D7A8C5D5-5A4E-4B6F-9CA2-FAEE4F3EAF9C}"/>
    <cellStyle name="Comma 8 2 2 4 3 2 3" xfId="41155" xr:uid="{5ECF118D-D032-47CE-A49D-E60DD111A8CB}"/>
    <cellStyle name="Comma 8 2 2 4 3 3" xfId="16963" xr:uid="{9E89FAA9-E681-4B04-8D94-7D9FAA4FEDDE}"/>
    <cellStyle name="Comma 8 2 2 4 3 3 2" xfId="47203" xr:uid="{49AE5A2A-0984-4F39-AE58-B14175695F54}"/>
    <cellStyle name="Comma 8 2 2 4 3 4" xfId="32083" xr:uid="{A35D9F4B-BB1D-47C7-BB12-0A70692D41EB}"/>
    <cellStyle name="Comma 8 2 2 4 4" xfId="3355" xr:uid="{B0A39EE6-42EA-4D9C-A17C-49B0F511D4FA}"/>
    <cellStyle name="Comma 8 2 2 4 4 2" xfId="12427" xr:uid="{FA327389-346B-4AA4-9FCA-22DD8A780659}"/>
    <cellStyle name="Comma 8 2 2 4 4 2 2" xfId="27547" xr:uid="{062977DE-22CC-4C14-B5C0-AD3BC4BAD81B}"/>
    <cellStyle name="Comma 8 2 2 4 4 2 2 2" xfId="57787" xr:uid="{D3B755FC-913A-4848-989A-A889D9F428F4}"/>
    <cellStyle name="Comma 8 2 2 4 4 2 3" xfId="42667" xr:uid="{1CEA585D-BF9C-4727-8AF7-17311095AEAE}"/>
    <cellStyle name="Comma 8 2 2 4 4 3" xfId="18475" xr:uid="{4382C196-06C6-4707-A0A0-968CE6074753}"/>
    <cellStyle name="Comma 8 2 2 4 4 3 2" xfId="48715" xr:uid="{5BB1B171-1B0D-487E-9FE7-9DCE362FB94B}"/>
    <cellStyle name="Comma 8 2 2 4 4 4" xfId="33595" xr:uid="{39C61AD1-5839-4A38-B0FA-CF924A5C12CB}"/>
    <cellStyle name="Comma 8 2 2 4 5" xfId="4867" xr:uid="{6B918342-663C-4886-BBAB-436C856A390A}"/>
    <cellStyle name="Comma 8 2 2 4 5 2" xfId="13939" xr:uid="{562FC8F3-B2FA-431A-8570-9AB02D269DF7}"/>
    <cellStyle name="Comma 8 2 2 4 5 2 2" xfId="29059" xr:uid="{E5BC405C-F3D2-4E47-B2B7-D8D8DB6AFEB5}"/>
    <cellStyle name="Comma 8 2 2 4 5 2 2 2" xfId="59299" xr:uid="{D847AF1C-8C04-4251-B14D-81BD5A889854}"/>
    <cellStyle name="Comma 8 2 2 4 5 2 3" xfId="44179" xr:uid="{BC52A97D-CECA-48C5-BC96-A60B27B8CFBA}"/>
    <cellStyle name="Comma 8 2 2 4 5 3" xfId="19987" xr:uid="{00747D99-8CE7-44A3-AA1C-D77CE27EA408}"/>
    <cellStyle name="Comma 8 2 2 4 5 3 2" xfId="50227" xr:uid="{A1F4B018-F284-42F2-B24C-EC38DB9DE7DD}"/>
    <cellStyle name="Comma 8 2 2 4 5 4" xfId="35107" xr:uid="{DE258B02-6204-4DF6-9F94-5A86307D6280}"/>
    <cellStyle name="Comma 8 2 2 4 6" xfId="6379" xr:uid="{1AFAE014-4EAF-401B-8864-7343175EE12F}"/>
    <cellStyle name="Comma 8 2 2 4 6 2" xfId="21499" xr:uid="{C1F0B8A4-8DC7-4198-BCEB-33490CA91EAC}"/>
    <cellStyle name="Comma 8 2 2 4 6 2 2" xfId="51739" xr:uid="{52B7F96D-6F79-4C64-A975-130F9ED014FF}"/>
    <cellStyle name="Comma 8 2 2 4 6 3" xfId="36619" xr:uid="{8923D2FD-EAA0-426D-863A-588EBA7CE098}"/>
    <cellStyle name="Comma 8 2 2 4 7" xfId="7891" xr:uid="{19AF04D2-1DB8-412F-A5E8-67464420BB34}"/>
    <cellStyle name="Comma 8 2 2 4 7 2" xfId="23011" xr:uid="{58D557F2-4216-4F56-84F8-423EBBB2CEFF}"/>
    <cellStyle name="Comma 8 2 2 4 7 2 2" xfId="53251" xr:uid="{EE84F044-E97C-465A-984D-7E1EE4F0FB18}"/>
    <cellStyle name="Comma 8 2 2 4 7 3" xfId="38131" xr:uid="{5EC64202-2C5A-4D7C-8A5B-D4F73DD90A20}"/>
    <cellStyle name="Comma 8 2 2 4 8" xfId="9403" xr:uid="{AF6C8F97-BCED-4E45-8B63-6AC9B474D956}"/>
    <cellStyle name="Comma 8 2 2 4 8 2" xfId="24523" xr:uid="{28672451-7C94-4D87-B267-3CE5A8F014BF}"/>
    <cellStyle name="Comma 8 2 2 4 8 2 2" xfId="54763" xr:uid="{288E60CF-0173-4BF3-8CA3-E941ED5B1C3E}"/>
    <cellStyle name="Comma 8 2 2 4 8 3" xfId="39643" xr:uid="{1BA668E0-7DC1-44C2-B84A-DAEE6DB102EA}"/>
    <cellStyle name="Comma 8 2 2 4 9" xfId="15451" xr:uid="{DF20470D-CCF0-4733-AAD3-346DF683C4B8}"/>
    <cellStyle name="Comma 8 2 2 4 9 2" xfId="45691" xr:uid="{59E0BE80-8508-46AA-A7CA-47BD7D5E81E9}"/>
    <cellStyle name="Comma 8 2 2 5" xfId="583" xr:uid="{A0D1FE22-24FC-4DC4-9262-A79378FBA618}"/>
    <cellStyle name="Comma 8 2 2 5 10" xfId="30823" xr:uid="{4000E273-AA62-42F4-8BC3-DC5C4DBF8078}"/>
    <cellStyle name="Comma 8 2 2 5 2" xfId="1339" xr:uid="{4CCA98A0-B2A5-4FFD-A6C6-FD8B3B029236}"/>
    <cellStyle name="Comma 8 2 2 5 2 2" xfId="2851" xr:uid="{859F00E9-E19E-4589-ACD9-64581E214691}"/>
    <cellStyle name="Comma 8 2 2 5 2 2 2" xfId="11923" xr:uid="{97FCD092-AAAA-42DD-93B6-D74CF84918BC}"/>
    <cellStyle name="Comma 8 2 2 5 2 2 2 2" xfId="27043" xr:uid="{CE0B77CF-04CD-4CD0-B98A-6AC873223204}"/>
    <cellStyle name="Comma 8 2 2 5 2 2 2 2 2" xfId="57283" xr:uid="{E93BDDEF-C017-4DF7-887F-974B16AEF99C}"/>
    <cellStyle name="Comma 8 2 2 5 2 2 2 3" xfId="42163" xr:uid="{58CE4D9F-5984-46C6-834E-FF9B193641A9}"/>
    <cellStyle name="Comma 8 2 2 5 2 2 3" xfId="17971" xr:uid="{603AE868-5FD9-4424-B1CA-5C12AA4B1D56}"/>
    <cellStyle name="Comma 8 2 2 5 2 2 3 2" xfId="48211" xr:uid="{7788A0C1-8544-4739-AE55-5C420FFB75E1}"/>
    <cellStyle name="Comma 8 2 2 5 2 2 4" xfId="33091" xr:uid="{A3F0A611-23F5-406D-9EC2-579873BD0CE6}"/>
    <cellStyle name="Comma 8 2 2 5 2 3" xfId="4363" xr:uid="{AA80F488-4CE6-47F1-8AFC-7D15661A8A62}"/>
    <cellStyle name="Comma 8 2 2 5 2 3 2" xfId="13435" xr:uid="{00C2E35B-86E7-438F-8ED0-F5A93898C359}"/>
    <cellStyle name="Comma 8 2 2 5 2 3 2 2" xfId="28555" xr:uid="{FBD64A41-C92F-4E47-BFAE-1CCCBB7DE81B}"/>
    <cellStyle name="Comma 8 2 2 5 2 3 2 2 2" xfId="58795" xr:uid="{39DD0845-E83E-419E-B432-C8AA36E87A80}"/>
    <cellStyle name="Comma 8 2 2 5 2 3 2 3" xfId="43675" xr:uid="{30100E2F-A1FF-4B0D-BDD4-5A04D727B119}"/>
    <cellStyle name="Comma 8 2 2 5 2 3 3" xfId="19483" xr:uid="{690AC2ED-EF11-417C-8F08-B29270575231}"/>
    <cellStyle name="Comma 8 2 2 5 2 3 3 2" xfId="49723" xr:uid="{26601FDE-CC08-4274-AC13-A5FC83223464}"/>
    <cellStyle name="Comma 8 2 2 5 2 3 4" xfId="34603" xr:uid="{22E843E7-80C3-44A3-A3DD-2BF0C4D351A1}"/>
    <cellStyle name="Comma 8 2 2 5 2 4" xfId="5875" xr:uid="{EE72204C-D828-48F5-AE6C-7C4D8B05ECB2}"/>
    <cellStyle name="Comma 8 2 2 5 2 4 2" xfId="14947" xr:uid="{6DF8082F-7580-4752-BC31-44D28A6A5E2A}"/>
    <cellStyle name="Comma 8 2 2 5 2 4 2 2" xfId="30067" xr:uid="{A75A48AF-6666-4996-91D5-D63F0203563F}"/>
    <cellStyle name="Comma 8 2 2 5 2 4 2 2 2" xfId="60307" xr:uid="{2B9F6585-EFC3-488B-B8B6-5D469C99CDEB}"/>
    <cellStyle name="Comma 8 2 2 5 2 4 2 3" xfId="45187" xr:uid="{3A01B848-7934-47CE-93DD-A7428ABE0164}"/>
    <cellStyle name="Comma 8 2 2 5 2 4 3" xfId="20995" xr:uid="{06A08B6C-198F-4F27-BA67-24D7BF558193}"/>
    <cellStyle name="Comma 8 2 2 5 2 4 3 2" xfId="51235" xr:uid="{46E7CEFE-FDFA-42EA-ADBE-4CDC86EE9963}"/>
    <cellStyle name="Comma 8 2 2 5 2 4 4" xfId="36115" xr:uid="{766DD91E-6E24-4780-90E2-3687E64914AD}"/>
    <cellStyle name="Comma 8 2 2 5 2 5" xfId="7387" xr:uid="{5F5EAE08-4C7D-42F5-98E0-9ABB82CE7CF8}"/>
    <cellStyle name="Comma 8 2 2 5 2 5 2" xfId="22507" xr:uid="{FB22391D-10CB-4C27-AEFB-373B9AE3C625}"/>
    <cellStyle name="Comma 8 2 2 5 2 5 2 2" xfId="52747" xr:uid="{F44CCBA8-6E18-43F4-B0A3-15FAA5C25C66}"/>
    <cellStyle name="Comma 8 2 2 5 2 5 3" xfId="37627" xr:uid="{7E396199-41F4-45DA-9E5D-3DC740CB9825}"/>
    <cellStyle name="Comma 8 2 2 5 2 6" xfId="8899" xr:uid="{F79A6CF4-FEC4-48B2-90B5-B5C481184E68}"/>
    <cellStyle name="Comma 8 2 2 5 2 6 2" xfId="24019" xr:uid="{1AE1EE11-3450-4B55-9540-4721418B52AC}"/>
    <cellStyle name="Comma 8 2 2 5 2 6 2 2" xfId="54259" xr:uid="{0D8EFAC1-AE56-41AF-95F5-8C61F1783D0A}"/>
    <cellStyle name="Comma 8 2 2 5 2 6 3" xfId="39139" xr:uid="{351A9C92-F1DB-4CDD-B807-F8F1447C435F}"/>
    <cellStyle name="Comma 8 2 2 5 2 7" xfId="10411" xr:uid="{8E37ECBC-C000-4C00-B349-4304C087EAD1}"/>
    <cellStyle name="Comma 8 2 2 5 2 7 2" xfId="25531" xr:uid="{E1ECFC2E-B302-482E-99FD-17809F836905}"/>
    <cellStyle name="Comma 8 2 2 5 2 7 2 2" xfId="55771" xr:uid="{889652A9-5D14-4CB2-9539-A49B1BA7D1B9}"/>
    <cellStyle name="Comma 8 2 2 5 2 7 3" xfId="40651" xr:uid="{3B591957-FD5B-45FB-91F4-7DBFAD520D18}"/>
    <cellStyle name="Comma 8 2 2 5 2 8" xfId="16459" xr:uid="{346EBF9E-BA55-4207-8456-1E13441E772F}"/>
    <cellStyle name="Comma 8 2 2 5 2 8 2" xfId="46699" xr:uid="{052BC20F-46D7-49DD-A979-861969A81178}"/>
    <cellStyle name="Comma 8 2 2 5 2 9" xfId="31579" xr:uid="{FA496653-B44B-43C0-B8DB-619A5445CF9E}"/>
    <cellStyle name="Comma 8 2 2 5 3" xfId="2095" xr:uid="{E7CE1526-DD4F-45EE-ACC5-E8405C3CAF94}"/>
    <cellStyle name="Comma 8 2 2 5 3 2" xfId="11167" xr:uid="{9EA9B250-A0E0-45A7-B989-4F29F699C1F5}"/>
    <cellStyle name="Comma 8 2 2 5 3 2 2" xfId="26287" xr:uid="{91A0A2A3-AEEE-41D7-B4A7-2EE3747A623B}"/>
    <cellStyle name="Comma 8 2 2 5 3 2 2 2" xfId="56527" xr:uid="{54475626-2594-444C-BBEE-80BC7068BD40}"/>
    <cellStyle name="Comma 8 2 2 5 3 2 3" xfId="41407" xr:uid="{7A574D84-8C23-4607-BA4E-0B31DDF0F167}"/>
    <cellStyle name="Comma 8 2 2 5 3 3" xfId="17215" xr:uid="{F968219B-0964-4145-96F9-CF901560FAE2}"/>
    <cellStyle name="Comma 8 2 2 5 3 3 2" xfId="47455" xr:uid="{8A2E5CC2-73DA-46CC-9087-E36222F712CF}"/>
    <cellStyle name="Comma 8 2 2 5 3 4" xfId="32335" xr:uid="{86607C0C-FFE3-48B0-9EAE-8C252723A96A}"/>
    <cellStyle name="Comma 8 2 2 5 4" xfId="3607" xr:uid="{804682EE-9836-4A0A-B427-2993FB70CA9E}"/>
    <cellStyle name="Comma 8 2 2 5 4 2" xfId="12679" xr:uid="{C67928C0-9A12-4CEC-8A96-F77B6E2DD10F}"/>
    <cellStyle name="Comma 8 2 2 5 4 2 2" xfId="27799" xr:uid="{6B9F4F1E-2449-4458-832A-9C5F9A49C4DF}"/>
    <cellStyle name="Comma 8 2 2 5 4 2 2 2" xfId="58039" xr:uid="{E49B0656-9277-460D-89BC-8E140544818B}"/>
    <cellStyle name="Comma 8 2 2 5 4 2 3" xfId="42919" xr:uid="{15A02A11-9154-4C12-A2DE-D3591FCB3A8D}"/>
    <cellStyle name="Comma 8 2 2 5 4 3" xfId="18727" xr:uid="{E03AF816-8072-4293-9AE7-5009FB038246}"/>
    <cellStyle name="Comma 8 2 2 5 4 3 2" xfId="48967" xr:uid="{7B9EEF0E-2D95-4C1B-8808-8222135ADE75}"/>
    <cellStyle name="Comma 8 2 2 5 4 4" xfId="33847" xr:uid="{EF9D30FF-2C12-4C94-AB61-D55256996C96}"/>
    <cellStyle name="Comma 8 2 2 5 5" xfId="5119" xr:uid="{4653E6D0-B95F-4CB6-B493-FA4CF747BBCC}"/>
    <cellStyle name="Comma 8 2 2 5 5 2" xfId="14191" xr:uid="{E1EC9982-89FA-4E85-81F2-06CA4D099B4F}"/>
    <cellStyle name="Comma 8 2 2 5 5 2 2" xfId="29311" xr:uid="{F78AE764-295F-4211-AE3C-CEA3D7F80734}"/>
    <cellStyle name="Comma 8 2 2 5 5 2 2 2" xfId="59551" xr:uid="{3D48F5D8-824C-43DA-8D43-BE276730795C}"/>
    <cellStyle name="Comma 8 2 2 5 5 2 3" xfId="44431" xr:uid="{36FCCA2C-2DCD-488A-B4F7-A82951366589}"/>
    <cellStyle name="Comma 8 2 2 5 5 3" xfId="20239" xr:uid="{BCA3CBBA-E5ED-4FBF-873F-C6D8A585F5A7}"/>
    <cellStyle name="Comma 8 2 2 5 5 3 2" xfId="50479" xr:uid="{E3B47866-9316-49A3-84BE-2C778AE112BF}"/>
    <cellStyle name="Comma 8 2 2 5 5 4" xfId="35359" xr:uid="{1AB90C60-9A76-4322-A37C-3AA9D215F9AE}"/>
    <cellStyle name="Comma 8 2 2 5 6" xfId="6631" xr:uid="{7CFB2D5B-1DE2-4666-B946-644163F31339}"/>
    <cellStyle name="Comma 8 2 2 5 6 2" xfId="21751" xr:uid="{630182CC-419A-4E0D-BF1A-B569676F86D0}"/>
    <cellStyle name="Comma 8 2 2 5 6 2 2" xfId="51991" xr:uid="{E399231E-BDBD-4A5B-9E36-3B26B75E2B77}"/>
    <cellStyle name="Comma 8 2 2 5 6 3" xfId="36871" xr:uid="{3809C988-A433-47B1-99EC-9B34D1601BC1}"/>
    <cellStyle name="Comma 8 2 2 5 7" xfId="8143" xr:uid="{23CDCD0A-2623-4821-8E2D-8090AE6F309D}"/>
    <cellStyle name="Comma 8 2 2 5 7 2" xfId="23263" xr:uid="{B4A9AC79-021A-43D5-95EB-4C9034BAD5CD}"/>
    <cellStyle name="Comma 8 2 2 5 7 2 2" xfId="53503" xr:uid="{C1621458-DD79-4746-9067-6F0D4E3DAE89}"/>
    <cellStyle name="Comma 8 2 2 5 7 3" xfId="38383" xr:uid="{A7DC8F10-DBC3-4B57-842F-B44E10E8C7D9}"/>
    <cellStyle name="Comma 8 2 2 5 8" xfId="9655" xr:uid="{526EA563-176E-4C34-801E-00815D560188}"/>
    <cellStyle name="Comma 8 2 2 5 8 2" xfId="24775" xr:uid="{766E6805-6C0E-43F0-AEBF-14841BF773E3}"/>
    <cellStyle name="Comma 8 2 2 5 8 2 2" xfId="55015" xr:uid="{377C13C7-6905-4B0C-9A78-C6E6CB7A0850}"/>
    <cellStyle name="Comma 8 2 2 5 8 3" xfId="39895" xr:uid="{75C835E4-0B33-4F56-BCF6-938F82A1156E}"/>
    <cellStyle name="Comma 8 2 2 5 9" xfId="15703" xr:uid="{5A7118EC-F21A-4EA4-A25C-44D35210C422}"/>
    <cellStyle name="Comma 8 2 2 5 9 2" xfId="45943" xr:uid="{5BC68AC0-59A4-432D-B77D-9D2D154B26E0}"/>
    <cellStyle name="Comma 8 2 2 6" xfId="835" xr:uid="{F9DD7648-FC47-41B3-8A7C-25545DFAFCB4}"/>
    <cellStyle name="Comma 8 2 2 6 2" xfId="2347" xr:uid="{B00E8030-CFDC-441C-BA03-6B78802CF693}"/>
    <cellStyle name="Comma 8 2 2 6 2 2" xfId="11419" xr:uid="{8F72ADBF-7D4F-4680-A18F-A42C46355BE8}"/>
    <cellStyle name="Comma 8 2 2 6 2 2 2" xfId="26539" xr:uid="{84E5BF66-9EBF-4228-823C-B0F90C72D177}"/>
    <cellStyle name="Comma 8 2 2 6 2 2 2 2" xfId="56779" xr:uid="{CD89DF11-6404-4354-99AF-AFA637AD3405}"/>
    <cellStyle name="Comma 8 2 2 6 2 2 3" xfId="41659" xr:uid="{46779126-2DF1-489F-B80C-E52EC8254337}"/>
    <cellStyle name="Comma 8 2 2 6 2 3" xfId="17467" xr:uid="{CB7C7535-5C35-42D8-BEA5-5B69B07F6D83}"/>
    <cellStyle name="Comma 8 2 2 6 2 3 2" xfId="47707" xr:uid="{C8B46033-3622-43BD-BC97-303BEB59D75D}"/>
    <cellStyle name="Comma 8 2 2 6 2 4" xfId="32587" xr:uid="{2E7C82CD-89DF-405F-9E61-8A47239EF90F}"/>
    <cellStyle name="Comma 8 2 2 6 3" xfId="3859" xr:uid="{78CA7F97-A440-4F7E-B684-3DA72636E923}"/>
    <cellStyle name="Comma 8 2 2 6 3 2" xfId="12931" xr:uid="{83E069B2-130B-4D11-B1C6-BC9CCB1EC4E5}"/>
    <cellStyle name="Comma 8 2 2 6 3 2 2" xfId="28051" xr:uid="{009B636E-0E42-4CAD-AD34-531736789A9D}"/>
    <cellStyle name="Comma 8 2 2 6 3 2 2 2" xfId="58291" xr:uid="{99607808-3055-4AC0-90CD-BCC69451275F}"/>
    <cellStyle name="Comma 8 2 2 6 3 2 3" xfId="43171" xr:uid="{6E549633-246B-4A17-A30E-276D18DB3B47}"/>
    <cellStyle name="Comma 8 2 2 6 3 3" xfId="18979" xr:uid="{768A6135-3731-44F6-972D-346B48A927EE}"/>
    <cellStyle name="Comma 8 2 2 6 3 3 2" xfId="49219" xr:uid="{340B30D5-3858-40F9-AC2E-A37E8F476E7A}"/>
    <cellStyle name="Comma 8 2 2 6 3 4" xfId="34099" xr:uid="{35078BFF-8639-424E-89E8-4B6A2869A72F}"/>
    <cellStyle name="Comma 8 2 2 6 4" xfId="5371" xr:uid="{03117D96-49E9-44C9-9EB0-A8F8FBFCE399}"/>
    <cellStyle name="Comma 8 2 2 6 4 2" xfId="14443" xr:uid="{C4050656-536B-412D-B6FE-0696BBD7ED1E}"/>
    <cellStyle name="Comma 8 2 2 6 4 2 2" xfId="29563" xr:uid="{9DC4F8DC-EB84-4CC8-BDFD-4F7ABD6B084B}"/>
    <cellStyle name="Comma 8 2 2 6 4 2 2 2" xfId="59803" xr:uid="{E31E2B5C-8D58-49D0-9099-BC6C75E738EE}"/>
    <cellStyle name="Comma 8 2 2 6 4 2 3" xfId="44683" xr:uid="{99060EB3-9E50-444B-907F-FA602CB268F6}"/>
    <cellStyle name="Comma 8 2 2 6 4 3" xfId="20491" xr:uid="{B3952D7A-E775-4080-BB80-BB061730BE7E}"/>
    <cellStyle name="Comma 8 2 2 6 4 3 2" xfId="50731" xr:uid="{4642D700-AE10-4877-8879-F59D30AFC1DB}"/>
    <cellStyle name="Comma 8 2 2 6 4 4" xfId="35611" xr:uid="{72BC217D-8C97-4346-A096-1AFB253FFED9}"/>
    <cellStyle name="Comma 8 2 2 6 5" xfId="6883" xr:uid="{DF1702B6-33C4-499B-83D1-16387CB6170B}"/>
    <cellStyle name="Comma 8 2 2 6 5 2" xfId="22003" xr:uid="{788A6F9A-C2D8-47AD-AC27-1411AA323E9D}"/>
    <cellStyle name="Comma 8 2 2 6 5 2 2" xfId="52243" xr:uid="{160C0CAC-851C-4DDA-A7B0-A2320FB95FAF}"/>
    <cellStyle name="Comma 8 2 2 6 5 3" xfId="37123" xr:uid="{A2ECFFC4-3BDA-46B1-903B-E4B56A89D4BE}"/>
    <cellStyle name="Comma 8 2 2 6 6" xfId="8395" xr:uid="{44A112A7-9557-4600-AC69-7A565B48D5AB}"/>
    <cellStyle name="Comma 8 2 2 6 6 2" xfId="23515" xr:uid="{0AF08029-7D95-43E1-BC88-784516ADEAFC}"/>
    <cellStyle name="Comma 8 2 2 6 6 2 2" xfId="53755" xr:uid="{49A13349-5316-48E9-853F-BDE5B20936FE}"/>
    <cellStyle name="Comma 8 2 2 6 6 3" xfId="38635" xr:uid="{95BF34FD-6C6B-4D07-AE99-01F05EE5ACCE}"/>
    <cellStyle name="Comma 8 2 2 6 7" xfId="9907" xr:uid="{73656934-534A-4A68-8281-D5F228A30535}"/>
    <cellStyle name="Comma 8 2 2 6 7 2" xfId="25027" xr:uid="{E23E8428-5AD6-47E8-975B-62C2829D19EE}"/>
    <cellStyle name="Comma 8 2 2 6 7 2 2" xfId="55267" xr:uid="{1D59C9F2-596E-455E-8E3D-63357B664DD4}"/>
    <cellStyle name="Comma 8 2 2 6 7 3" xfId="40147" xr:uid="{17090C90-4C7A-41DB-9030-3A2DA80B0AEF}"/>
    <cellStyle name="Comma 8 2 2 6 8" xfId="15955" xr:uid="{051EEB3F-4876-49D9-A185-CE312010885E}"/>
    <cellStyle name="Comma 8 2 2 6 8 2" xfId="46195" xr:uid="{6DA83016-1625-4068-BA87-2F39564A4832}"/>
    <cellStyle name="Comma 8 2 2 6 9" xfId="31075" xr:uid="{0DD8E2D9-8D23-4A62-BEFC-3F497C87277A}"/>
    <cellStyle name="Comma 8 2 2 7" xfId="1591" xr:uid="{E7FBB281-7208-460E-8D78-F003F36DAA56}"/>
    <cellStyle name="Comma 8 2 2 7 2" xfId="10663" xr:uid="{D0B84747-DD2A-41AC-8D6F-A88A9F286936}"/>
    <cellStyle name="Comma 8 2 2 7 2 2" xfId="25783" xr:uid="{558E2456-63EE-4E1A-986A-CBE6B1AB984D}"/>
    <cellStyle name="Comma 8 2 2 7 2 2 2" xfId="56023" xr:uid="{11168CE7-4346-4862-A1B2-2A7325AAB74E}"/>
    <cellStyle name="Comma 8 2 2 7 2 3" xfId="40903" xr:uid="{079ACAC9-908D-481F-8A94-5DF2131F1532}"/>
    <cellStyle name="Comma 8 2 2 7 3" xfId="16711" xr:uid="{A9BE35C6-D498-4796-81B9-33954C05A306}"/>
    <cellStyle name="Comma 8 2 2 7 3 2" xfId="46951" xr:uid="{9A4254A4-BC08-40F4-BA62-8FBF1EB66D80}"/>
    <cellStyle name="Comma 8 2 2 7 4" xfId="31831" xr:uid="{5E62F086-C279-4117-B842-AAB81359E74B}"/>
    <cellStyle name="Comma 8 2 2 8" xfId="3103" xr:uid="{59A907A2-3FEC-436C-91DD-5F67837467EB}"/>
    <cellStyle name="Comma 8 2 2 8 2" xfId="12175" xr:uid="{9216309A-963C-4B0D-8210-707AB0E903FD}"/>
    <cellStyle name="Comma 8 2 2 8 2 2" xfId="27295" xr:uid="{91B189DA-1D74-459B-A329-947BD19FE28F}"/>
    <cellStyle name="Comma 8 2 2 8 2 2 2" xfId="57535" xr:uid="{074A72C6-7B6B-4086-BFAF-93C2D5A142A0}"/>
    <cellStyle name="Comma 8 2 2 8 2 3" xfId="42415" xr:uid="{A2C5CC8A-CCE2-4265-A961-339A65CB17AA}"/>
    <cellStyle name="Comma 8 2 2 8 3" xfId="18223" xr:uid="{D5B81959-84EB-4AE4-B926-8452989B8290}"/>
    <cellStyle name="Comma 8 2 2 8 3 2" xfId="48463" xr:uid="{DBB46598-4A1A-41DC-B48C-ACA64E524930}"/>
    <cellStyle name="Comma 8 2 2 8 4" xfId="33343" xr:uid="{7BE53050-A204-46F2-BCF3-885EB1BF7F0D}"/>
    <cellStyle name="Comma 8 2 2 9" xfId="4615" xr:uid="{CAE11CAB-FDF0-477D-B71E-B7129BCB4C40}"/>
    <cellStyle name="Comma 8 2 2 9 2" xfId="13687" xr:uid="{E1AC2420-E93B-4926-9ECF-139FBDE83246}"/>
    <cellStyle name="Comma 8 2 2 9 2 2" xfId="28807" xr:uid="{EF78ED2C-6FD3-405D-AC2E-C2FCDB418539}"/>
    <cellStyle name="Comma 8 2 2 9 2 2 2" xfId="59047" xr:uid="{DF6C92B2-0327-433D-BE6A-3A8ECE431CD0}"/>
    <cellStyle name="Comma 8 2 2 9 2 3" xfId="43927" xr:uid="{4A5A1124-18C6-4E02-B41E-3B247B55417B}"/>
    <cellStyle name="Comma 8 2 2 9 3" xfId="19735" xr:uid="{F3430CB6-BAFF-4871-80A1-0EA803E8C424}"/>
    <cellStyle name="Comma 8 2 2 9 3 2" xfId="49975" xr:uid="{88776548-32B6-4323-8B9E-C9FE266796A2}"/>
    <cellStyle name="Comma 8 2 2 9 4" xfId="34855" xr:uid="{C88A2D77-3642-4669-A77D-01941EBC3B52}"/>
    <cellStyle name="Comma 8 2 3" xfId="121" xr:uid="{43717912-CC19-43A7-A8C4-4097F152BC6C}"/>
    <cellStyle name="Comma 8 2 3 10" xfId="9193" xr:uid="{46C773C2-0317-42BD-902F-DAEEF115AAE1}"/>
    <cellStyle name="Comma 8 2 3 10 2" xfId="24313" xr:uid="{D08AE591-E6C7-41B4-B4C8-9FA27DB2FFFE}"/>
    <cellStyle name="Comma 8 2 3 10 2 2" xfId="54553" xr:uid="{BDC70B72-1865-473C-BE79-E123BF051308}"/>
    <cellStyle name="Comma 8 2 3 10 3" xfId="39433" xr:uid="{3AC4C6F8-D737-4EE9-9838-D34A0D1A4041}"/>
    <cellStyle name="Comma 8 2 3 11" xfId="15241" xr:uid="{9ED026E2-2079-47E3-A2E6-A466C1DB7C28}"/>
    <cellStyle name="Comma 8 2 3 11 2" xfId="45481" xr:uid="{5D49CF0B-54E0-4070-B3A4-577D189B42AC}"/>
    <cellStyle name="Comma 8 2 3 12" xfId="30361" xr:uid="{18444300-3D64-45DE-9378-B304139517FA}"/>
    <cellStyle name="Comma 8 2 3 2" xfId="373" xr:uid="{26A0A9D6-1F05-4B0E-AAA3-5FB8C71585EE}"/>
    <cellStyle name="Comma 8 2 3 2 10" xfId="30613" xr:uid="{F945926D-C238-488B-9E36-02FF62C38F53}"/>
    <cellStyle name="Comma 8 2 3 2 2" xfId="1129" xr:uid="{014A4CDA-3950-467F-8A6C-75D9D7E33FE6}"/>
    <cellStyle name="Comma 8 2 3 2 2 2" xfId="2641" xr:uid="{3654F72C-F862-495D-A0B2-A81324C7104A}"/>
    <cellStyle name="Comma 8 2 3 2 2 2 2" xfId="11713" xr:uid="{9169F451-5532-4E8A-A41E-4C725890ADA3}"/>
    <cellStyle name="Comma 8 2 3 2 2 2 2 2" xfId="26833" xr:uid="{2D37F9A7-FE09-46CC-A432-FACFDC1E33A8}"/>
    <cellStyle name="Comma 8 2 3 2 2 2 2 2 2" xfId="57073" xr:uid="{AD5CB75A-014A-480D-BAE1-2747EB0D767B}"/>
    <cellStyle name="Comma 8 2 3 2 2 2 2 3" xfId="41953" xr:uid="{CEC0848E-C49B-4B11-B5D4-3E32223CFDAC}"/>
    <cellStyle name="Comma 8 2 3 2 2 2 3" xfId="17761" xr:uid="{EE48E958-D280-4212-B25A-50B7F33A553A}"/>
    <cellStyle name="Comma 8 2 3 2 2 2 3 2" xfId="48001" xr:uid="{91C16972-0496-413C-9221-CEB382734FEF}"/>
    <cellStyle name="Comma 8 2 3 2 2 2 4" xfId="32881" xr:uid="{350838D2-27A7-48C3-B33F-6FB7E468724E}"/>
    <cellStyle name="Comma 8 2 3 2 2 3" xfId="4153" xr:uid="{6EAF4E99-8028-470D-B964-8C54699AF03C}"/>
    <cellStyle name="Comma 8 2 3 2 2 3 2" xfId="13225" xr:uid="{0732177E-D240-4C1C-8CAE-5867E3FFBF34}"/>
    <cellStyle name="Comma 8 2 3 2 2 3 2 2" xfId="28345" xr:uid="{86D3A0BE-BE30-4B79-8988-9B41FF06950A}"/>
    <cellStyle name="Comma 8 2 3 2 2 3 2 2 2" xfId="58585" xr:uid="{F1A6CEAF-22EB-4B3F-865D-13679FCED92E}"/>
    <cellStyle name="Comma 8 2 3 2 2 3 2 3" xfId="43465" xr:uid="{220C571A-3B1C-48B3-9608-4464D7023B7D}"/>
    <cellStyle name="Comma 8 2 3 2 2 3 3" xfId="19273" xr:uid="{B1C0F02C-8F3B-4C48-93C1-4280F4F109C6}"/>
    <cellStyle name="Comma 8 2 3 2 2 3 3 2" xfId="49513" xr:uid="{45391EAA-A517-4DD4-B8EC-169F1A95A620}"/>
    <cellStyle name="Comma 8 2 3 2 2 3 4" xfId="34393" xr:uid="{9C0A5DBC-9315-4545-BA63-BB90D99B9C6F}"/>
    <cellStyle name="Comma 8 2 3 2 2 4" xfId="5665" xr:uid="{CFD7195F-1FC5-445B-B2EB-3FC6B2ABDD91}"/>
    <cellStyle name="Comma 8 2 3 2 2 4 2" xfId="14737" xr:uid="{AF649331-B349-439C-AD50-88E0FBCFDF45}"/>
    <cellStyle name="Comma 8 2 3 2 2 4 2 2" xfId="29857" xr:uid="{9B417625-4551-4836-B417-94C1F5C788D9}"/>
    <cellStyle name="Comma 8 2 3 2 2 4 2 2 2" xfId="60097" xr:uid="{22FB6AF4-F602-480F-B045-A12A823BEF7A}"/>
    <cellStyle name="Comma 8 2 3 2 2 4 2 3" xfId="44977" xr:uid="{51ED17B5-089A-4322-9DB9-5098818342D7}"/>
    <cellStyle name="Comma 8 2 3 2 2 4 3" xfId="20785" xr:uid="{302A44CB-A062-4743-8DCF-FCBA343564B0}"/>
    <cellStyle name="Comma 8 2 3 2 2 4 3 2" xfId="51025" xr:uid="{3BB6F423-97D7-4F76-888A-4251F520EA96}"/>
    <cellStyle name="Comma 8 2 3 2 2 4 4" xfId="35905" xr:uid="{B1F187FD-5917-48EA-AC8E-CE4EAD5CEA17}"/>
    <cellStyle name="Comma 8 2 3 2 2 5" xfId="7177" xr:uid="{D1AC89EF-AAB3-432C-84B0-5873AB4A2D2E}"/>
    <cellStyle name="Comma 8 2 3 2 2 5 2" xfId="22297" xr:uid="{857B47F8-0E37-4DF2-A617-55EC5C069623}"/>
    <cellStyle name="Comma 8 2 3 2 2 5 2 2" xfId="52537" xr:uid="{63C7156F-AC5E-4EFD-A261-CA934A43E2A2}"/>
    <cellStyle name="Comma 8 2 3 2 2 5 3" xfId="37417" xr:uid="{182C3F2A-C3C5-4728-A869-49512BD04672}"/>
    <cellStyle name="Comma 8 2 3 2 2 6" xfId="8689" xr:uid="{F0B210F5-7D8E-46FA-B668-AF4162B844A3}"/>
    <cellStyle name="Comma 8 2 3 2 2 6 2" xfId="23809" xr:uid="{26DD7D45-B41E-4CAD-A150-C6DFDA5D3D67}"/>
    <cellStyle name="Comma 8 2 3 2 2 6 2 2" xfId="54049" xr:uid="{07458DEC-5304-43EF-80F6-DD5F64586166}"/>
    <cellStyle name="Comma 8 2 3 2 2 6 3" xfId="38929" xr:uid="{1D318C52-FDCD-447F-A8C0-04653D6D045B}"/>
    <cellStyle name="Comma 8 2 3 2 2 7" xfId="10201" xr:uid="{C1A1A817-F242-44DB-90C9-45B16CE013F5}"/>
    <cellStyle name="Comma 8 2 3 2 2 7 2" xfId="25321" xr:uid="{4AE424F5-BA43-4AD0-A80D-B55D263C9533}"/>
    <cellStyle name="Comma 8 2 3 2 2 7 2 2" xfId="55561" xr:uid="{98EE274C-6177-41A7-819D-6135CFDEB35E}"/>
    <cellStyle name="Comma 8 2 3 2 2 7 3" xfId="40441" xr:uid="{260B5295-E9F6-443A-98A0-C291B660FB84}"/>
    <cellStyle name="Comma 8 2 3 2 2 8" xfId="16249" xr:uid="{576886DD-642D-4DB5-8EF8-9506173E755E}"/>
    <cellStyle name="Comma 8 2 3 2 2 8 2" xfId="46489" xr:uid="{8170212E-A70A-43E5-B3FC-300B1BA659EA}"/>
    <cellStyle name="Comma 8 2 3 2 2 9" xfId="31369" xr:uid="{9A67CEE3-F2D1-4404-991D-A170EAF355B4}"/>
    <cellStyle name="Comma 8 2 3 2 3" xfId="1885" xr:uid="{4CA767B9-913B-45C7-87F6-DBDCF2132872}"/>
    <cellStyle name="Comma 8 2 3 2 3 2" xfId="10957" xr:uid="{08B6609E-D9D8-4543-89AD-FC8843B6082C}"/>
    <cellStyle name="Comma 8 2 3 2 3 2 2" xfId="26077" xr:uid="{6FA370E8-F109-4F61-A984-77AFCDA9B603}"/>
    <cellStyle name="Comma 8 2 3 2 3 2 2 2" xfId="56317" xr:uid="{99A144DC-37EF-434D-ADD7-DC006C035803}"/>
    <cellStyle name="Comma 8 2 3 2 3 2 3" xfId="41197" xr:uid="{9FD200AB-5D9D-47E6-8989-925BAD464FD1}"/>
    <cellStyle name="Comma 8 2 3 2 3 3" xfId="17005" xr:uid="{99FE0A73-B774-4EC8-9D1E-6F02B3A43B93}"/>
    <cellStyle name="Comma 8 2 3 2 3 3 2" xfId="47245" xr:uid="{53D6C735-3848-4330-A3F6-8C5310019562}"/>
    <cellStyle name="Comma 8 2 3 2 3 4" xfId="32125" xr:uid="{ACC058ED-C5C8-48B7-95DB-E004FAE7F042}"/>
    <cellStyle name="Comma 8 2 3 2 4" xfId="3397" xr:uid="{4DECEF70-C687-4971-A9D5-DE23C7537D35}"/>
    <cellStyle name="Comma 8 2 3 2 4 2" xfId="12469" xr:uid="{CFBBA44D-7955-452D-AD89-9D8E2B09050C}"/>
    <cellStyle name="Comma 8 2 3 2 4 2 2" xfId="27589" xr:uid="{0C7527EC-7D0E-4108-AB75-9C755FF6A3FC}"/>
    <cellStyle name="Comma 8 2 3 2 4 2 2 2" xfId="57829" xr:uid="{A99D5F5B-16F4-4648-B536-AD8D19B542F8}"/>
    <cellStyle name="Comma 8 2 3 2 4 2 3" xfId="42709" xr:uid="{C1489F94-FF11-402B-B769-EBE94FF6F183}"/>
    <cellStyle name="Comma 8 2 3 2 4 3" xfId="18517" xr:uid="{38932795-B113-4EEA-B142-EBBE96CDB36D}"/>
    <cellStyle name="Comma 8 2 3 2 4 3 2" xfId="48757" xr:uid="{77F1CBB4-0766-4D19-BA1D-A9C0A2AD230F}"/>
    <cellStyle name="Comma 8 2 3 2 4 4" xfId="33637" xr:uid="{B3BBBEB2-E35B-4282-9534-728904FA76B1}"/>
    <cellStyle name="Comma 8 2 3 2 5" xfId="4909" xr:uid="{2BB87B4B-222E-42F0-A24F-C884A9269A57}"/>
    <cellStyle name="Comma 8 2 3 2 5 2" xfId="13981" xr:uid="{76DC7707-6907-4C6D-83E4-8B1072316100}"/>
    <cellStyle name="Comma 8 2 3 2 5 2 2" xfId="29101" xr:uid="{6C26859F-F25B-4B60-AEC5-D64AFB748966}"/>
    <cellStyle name="Comma 8 2 3 2 5 2 2 2" xfId="59341" xr:uid="{609AB389-ED80-4171-8901-549C86458473}"/>
    <cellStyle name="Comma 8 2 3 2 5 2 3" xfId="44221" xr:uid="{96BDCE9D-0ACF-47DA-9413-76B1BF90B15F}"/>
    <cellStyle name="Comma 8 2 3 2 5 3" xfId="20029" xr:uid="{ED0C7F9B-889B-403E-AF08-9B9079FF3BC6}"/>
    <cellStyle name="Comma 8 2 3 2 5 3 2" xfId="50269" xr:uid="{C182638E-EB4E-4F79-949E-DCDB189B90E9}"/>
    <cellStyle name="Comma 8 2 3 2 5 4" xfId="35149" xr:uid="{349F2EF3-01D7-48F0-9097-BD3093C0D3ED}"/>
    <cellStyle name="Comma 8 2 3 2 6" xfId="6421" xr:uid="{A0265E82-811C-4FC6-AB53-D925249D3779}"/>
    <cellStyle name="Comma 8 2 3 2 6 2" xfId="21541" xr:uid="{888BF265-5984-4072-AC89-718A83F3240E}"/>
    <cellStyle name="Comma 8 2 3 2 6 2 2" xfId="51781" xr:uid="{E8C66108-0AAE-4032-A789-12883DA0F2E2}"/>
    <cellStyle name="Comma 8 2 3 2 6 3" xfId="36661" xr:uid="{BE64EDB7-DDA3-457A-8B70-1EF212390E06}"/>
    <cellStyle name="Comma 8 2 3 2 7" xfId="7933" xr:uid="{7AB19E1E-C5F7-46A1-AB96-B01B3D48571B}"/>
    <cellStyle name="Comma 8 2 3 2 7 2" xfId="23053" xr:uid="{8E032A6A-3B75-412B-86AB-995898BE959E}"/>
    <cellStyle name="Comma 8 2 3 2 7 2 2" xfId="53293" xr:uid="{97ACC9EC-1059-423C-B870-F6E9028A0A26}"/>
    <cellStyle name="Comma 8 2 3 2 7 3" xfId="38173" xr:uid="{C38CCA99-56C6-4EA2-958B-611E661E1BE9}"/>
    <cellStyle name="Comma 8 2 3 2 8" xfId="9445" xr:uid="{9615C226-BC9F-4C2E-8612-0A09ED6829B6}"/>
    <cellStyle name="Comma 8 2 3 2 8 2" xfId="24565" xr:uid="{CBFD62C4-001E-4EEE-B87A-77712FDCA1A7}"/>
    <cellStyle name="Comma 8 2 3 2 8 2 2" xfId="54805" xr:uid="{C067749C-3590-4AB6-B6B5-BE87070FAF13}"/>
    <cellStyle name="Comma 8 2 3 2 8 3" xfId="39685" xr:uid="{69B9E749-DDDA-4567-B819-E123132D5378}"/>
    <cellStyle name="Comma 8 2 3 2 9" xfId="15493" xr:uid="{C7068348-8C3A-44DF-A813-97CC7D47F9E1}"/>
    <cellStyle name="Comma 8 2 3 2 9 2" xfId="45733" xr:uid="{7DDFEACA-31E4-4AF4-B46E-C6B564E5CD57}"/>
    <cellStyle name="Comma 8 2 3 3" xfId="625" xr:uid="{1817FD39-4A20-44D4-BDB7-078DCDD0BC4F}"/>
    <cellStyle name="Comma 8 2 3 3 10" xfId="30865" xr:uid="{3ACF81C3-005F-4F1B-80C4-85EE50BAB174}"/>
    <cellStyle name="Comma 8 2 3 3 2" xfId="1381" xr:uid="{1FA35574-D360-460A-A074-7EA9B7CC2A10}"/>
    <cellStyle name="Comma 8 2 3 3 2 2" xfId="2893" xr:uid="{A4539D3C-116B-45A9-963A-3B837691475C}"/>
    <cellStyle name="Comma 8 2 3 3 2 2 2" xfId="11965" xr:uid="{529CF9E9-6D10-4DDE-82FE-CA87D0B0FCCE}"/>
    <cellStyle name="Comma 8 2 3 3 2 2 2 2" xfId="27085" xr:uid="{0D9D625E-9E5D-4DD8-9EE8-1F1B55BA8338}"/>
    <cellStyle name="Comma 8 2 3 3 2 2 2 2 2" xfId="57325" xr:uid="{E8D2597A-97FC-4EA2-AF8C-D48158F4BA08}"/>
    <cellStyle name="Comma 8 2 3 3 2 2 2 3" xfId="42205" xr:uid="{F34FC319-A14D-4DBF-8343-21705FFD47F0}"/>
    <cellStyle name="Comma 8 2 3 3 2 2 3" xfId="18013" xr:uid="{786B993A-322B-462F-A028-620C8F15F2BD}"/>
    <cellStyle name="Comma 8 2 3 3 2 2 3 2" xfId="48253" xr:uid="{CE13CDF9-099C-47ED-AEE0-A7C1F6BFAC06}"/>
    <cellStyle name="Comma 8 2 3 3 2 2 4" xfId="33133" xr:uid="{04B5AACE-59F9-4E84-9EC7-AE455F076038}"/>
    <cellStyle name="Comma 8 2 3 3 2 3" xfId="4405" xr:uid="{4A3EA5BF-0217-477E-ACCB-0DFF8BB09783}"/>
    <cellStyle name="Comma 8 2 3 3 2 3 2" xfId="13477" xr:uid="{B2AFD8ED-022B-46D5-A823-0A7EAA42CBFE}"/>
    <cellStyle name="Comma 8 2 3 3 2 3 2 2" xfId="28597" xr:uid="{1903FD76-ACFC-4251-93DF-9C2CB05C710B}"/>
    <cellStyle name="Comma 8 2 3 3 2 3 2 2 2" xfId="58837" xr:uid="{84A06F93-A465-4C5E-9C85-69A9A11F4DBA}"/>
    <cellStyle name="Comma 8 2 3 3 2 3 2 3" xfId="43717" xr:uid="{19252560-B5BC-4167-A1D6-FCC998243813}"/>
    <cellStyle name="Comma 8 2 3 3 2 3 3" xfId="19525" xr:uid="{4D9A0429-711F-48C6-8F06-2D5DBDDB7B5D}"/>
    <cellStyle name="Comma 8 2 3 3 2 3 3 2" xfId="49765" xr:uid="{E9DEB106-4E8D-45EB-8E64-31D072B34E4B}"/>
    <cellStyle name="Comma 8 2 3 3 2 3 4" xfId="34645" xr:uid="{03BD4C9B-77AA-4CE3-BE6B-39D0B9747E6B}"/>
    <cellStyle name="Comma 8 2 3 3 2 4" xfId="5917" xr:uid="{6FE066AA-A2D6-4D73-B28C-93548FA4AF19}"/>
    <cellStyle name="Comma 8 2 3 3 2 4 2" xfId="14989" xr:uid="{005054EC-0859-41EA-9612-BE28A820A001}"/>
    <cellStyle name="Comma 8 2 3 3 2 4 2 2" xfId="30109" xr:uid="{A7EB90D9-B17D-49A9-901D-809C4CF39D06}"/>
    <cellStyle name="Comma 8 2 3 3 2 4 2 2 2" xfId="60349" xr:uid="{16C4F715-DDB8-4E01-BFA3-1554A98F24C3}"/>
    <cellStyle name="Comma 8 2 3 3 2 4 2 3" xfId="45229" xr:uid="{2F3CC291-1C7A-4E46-AA66-43E4380296F7}"/>
    <cellStyle name="Comma 8 2 3 3 2 4 3" xfId="21037" xr:uid="{354A58E2-CA8A-4D6D-BF61-A11C247B72FE}"/>
    <cellStyle name="Comma 8 2 3 3 2 4 3 2" xfId="51277" xr:uid="{788D7EA8-5CC1-4461-971C-5A3F86484D35}"/>
    <cellStyle name="Comma 8 2 3 3 2 4 4" xfId="36157" xr:uid="{A99CFA87-2F01-4081-80F8-3B4C2F55D4C3}"/>
    <cellStyle name="Comma 8 2 3 3 2 5" xfId="7429" xr:uid="{B09E538C-34E9-4A85-B0F8-BE8A5613DB48}"/>
    <cellStyle name="Comma 8 2 3 3 2 5 2" xfId="22549" xr:uid="{C8031D61-383A-4428-A7F3-216DA97E50AA}"/>
    <cellStyle name="Comma 8 2 3 3 2 5 2 2" xfId="52789" xr:uid="{1042F601-8389-4CB7-923B-CAEC409A1AAD}"/>
    <cellStyle name="Comma 8 2 3 3 2 5 3" xfId="37669" xr:uid="{50C1FF8B-5599-4477-A3E7-3B5B1DE754FA}"/>
    <cellStyle name="Comma 8 2 3 3 2 6" xfId="8941" xr:uid="{D2788873-72C3-4ED1-9247-E0CCCE96D860}"/>
    <cellStyle name="Comma 8 2 3 3 2 6 2" xfId="24061" xr:uid="{E31CB5D6-3F51-4A9A-96AC-6E92D4EE51F3}"/>
    <cellStyle name="Comma 8 2 3 3 2 6 2 2" xfId="54301" xr:uid="{EB095416-2D56-41E7-B5D5-6AD40A497B7E}"/>
    <cellStyle name="Comma 8 2 3 3 2 6 3" xfId="39181" xr:uid="{C3C314B0-A577-4B1D-9909-6EC462C329F2}"/>
    <cellStyle name="Comma 8 2 3 3 2 7" xfId="10453" xr:uid="{69FD38D7-A9A3-4338-A9E3-8708237E3BF3}"/>
    <cellStyle name="Comma 8 2 3 3 2 7 2" xfId="25573" xr:uid="{D4BE3D88-E60A-4AB4-8311-592A6A2E0CCE}"/>
    <cellStyle name="Comma 8 2 3 3 2 7 2 2" xfId="55813" xr:uid="{D78171A7-0623-424D-8E32-2A149ED376A0}"/>
    <cellStyle name="Comma 8 2 3 3 2 7 3" xfId="40693" xr:uid="{6D40E0EC-C249-4483-B3FF-C58F935332F9}"/>
    <cellStyle name="Comma 8 2 3 3 2 8" xfId="16501" xr:uid="{CF36F0C2-3F8C-42D2-B707-0F6C9BFD659C}"/>
    <cellStyle name="Comma 8 2 3 3 2 8 2" xfId="46741" xr:uid="{549851D0-9798-448A-B563-781A13239FFE}"/>
    <cellStyle name="Comma 8 2 3 3 2 9" xfId="31621" xr:uid="{A55C967C-376E-4F84-8BBA-F0732481271F}"/>
    <cellStyle name="Comma 8 2 3 3 3" xfId="2137" xr:uid="{D28971C4-C8F8-424A-8E95-FF4FACEF7EDB}"/>
    <cellStyle name="Comma 8 2 3 3 3 2" xfId="11209" xr:uid="{BA0E22FB-F374-4C5E-B402-0BE6E39AA291}"/>
    <cellStyle name="Comma 8 2 3 3 3 2 2" xfId="26329" xr:uid="{734D36AE-8100-4285-95C7-C768EC7F9DE7}"/>
    <cellStyle name="Comma 8 2 3 3 3 2 2 2" xfId="56569" xr:uid="{6218E066-FC4C-4084-B618-5C8E9344E198}"/>
    <cellStyle name="Comma 8 2 3 3 3 2 3" xfId="41449" xr:uid="{2C896B04-B5E7-4A5E-A624-1F37164A76F2}"/>
    <cellStyle name="Comma 8 2 3 3 3 3" xfId="17257" xr:uid="{FF79B99C-7322-44F2-91B3-332DD289BF68}"/>
    <cellStyle name="Comma 8 2 3 3 3 3 2" xfId="47497" xr:uid="{458FB22C-9C16-4948-AD1C-66AF44850F4B}"/>
    <cellStyle name="Comma 8 2 3 3 3 4" xfId="32377" xr:uid="{3987FD70-388F-44F0-877C-55FF1F864C1B}"/>
    <cellStyle name="Comma 8 2 3 3 4" xfId="3649" xr:uid="{E7AE5BA3-529E-49A7-84E6-E405E298D07C}"/>
    <cellStyle name="Comma 8 2 3 3 4 2" xfId="12721" xr:uid="{3DF251CA-5382-4A7F-9D3A-CF7E8E511A05}"/>
    <cellStyle name="Comma 8 2 3 3 4 2 2" xfId="27841" xr:uid="{E0E635AA-DC7B-4419-8448-DBE466B2739F}"/>
    <cellStyle name="Comma 8 2 3 3 4 2 2 2" xfId="58081" xr:uid="{1BC6350F-B04F-40D5-AD43-ACE2C8B3EF77}"/>
    <cellStyle name="Comma 8 2 3 3 4 2 3" xfId="42961" xr:uid="{60EF3FA8-57E3-4606-9904-65C25DD4079C}"/>
    <cellStyle name="Comma 8 2 3 3 4 3" xfId="18769" xr:uid="{F202CAA1-661D-492F-8DB8-A67F21483819}"/>
    <cellStyle name="Comma 8 2 3 3 4 3 2" xfId="49009" xr:uid="{368F51E3-4E6E-4B64-847D-A2081B056F14}"/>
    <cellStyle name="Comma 8 2 3 3 4 4" xfId="33889" xr:uid="{FF6A40CA-A55C-40D0-AF31-027AED6268C6}"/>
    <cellStyle name="Comma 8 2 3 3 5" xfId="5161" xr:uid="{0102F292-633B-4CF9-8861-D396E367424F}"/>
    <cellStyle name="Comma 8 2 3 3 5 2" xfId="14233" xr:uid="{67DF0B42-E502-46CB-A6F2-CB1D078F4982}"/>
    <cellStyle name="Comma 8 2 3 3 5 2 2" xfId="29353" xr:uid="{F233A999-560B-43EA-84D0-7B1B82291D45}"/>
    <cellStyle name="Comma 8 2 3 3 5 2 2 2" xfId="59593" xr:uid="{89256E28-408A-44A9-ABD0-607B65F7656C}"/>
    <cellStyle name="Comma 8 2 3 3 5 2 3" xfId="44473" xr:uid="{3D13F081-DF4E-4435-8947-6FF788C8224C}"/>
    <cellStyle name="Comma 8 2 3 3 5 3" xfId="20281" xr:uid="{561F0949-1F85-403D-A606-84EC8527D9C6}"/>
    <cellStyle name="Comma 8 2 3 3 5 3 2" xfId="50521" xr:uid="{5AA371DB-CBEA-4010-AF32-42EC4407787F}"/>
    <cellStyle name="Comma 8 2 3 3 5 4" xfId="35401" xr:uid="{FF3806C3-17D8-431F-9458-54E316A6B700}"/>
    <cellStyle name="Comma 8 2 3 3 6" xfId="6673" xr:uid="{869A02E0-22A3-436E-8641-1CCB083A4D10}"/>
    <cellStyle name="Comma 8 2 3 3 6 2" xfId="21793" xr:uid="{C4232D74-7F7B-4F6E-8E22-A9BD6F2C6422}"/>
    <cellStyle name="Comma 8 2 3 3 6 2 2" xfId="52033" xr:uid="{1DA62F22-FC10-4FA8-A47E-E8DAC8B2B72B}"/>
    <cellStyle name="Comma 8 2 3 3 6 3" xfId="36913" xr:uid="{95BAB8A0-915B-49A5-8873-56C98ADB8513}"/>
    <cellStyle name="Comma 8 2 3 3 7" xfId="8185" xr:uid="{A486AFC0-5F9F-4C47-AB11-01D129E8A705}"/>
    <cellStyle name="Comma 8 2 3 3 7 2" xfId="23305" xr:uid="{8D1133A2-5A2C-45BC-8742-57F887662D9F}"/>
    <cellStyle name="Comma 8 2 3 3 7 2 2" xfId="53545" xr:uid="{538A5768-7095-48A8-939D-3B06A535D277}"/>
    <cellStyle name="Comma 8 2 3 3 7 3" xfId="38425" xr:uid="{96C4F590-B265-42DD-A7AF-8174E35E5BA3}"/>
    <cellStyle name="Comma 8 2 3 3 8" xfId="9697" xr:uid="{5C7B34AD-A370-4362-A3E6-F53C60985AFE}"/>
    <cellStyle name="Comma 8 2 3 3 8 2" xfId="24817" xr:uid="{83CD9C10-A813-4A56-9A52-BB81D8E85EF7}"/>
    <cellStyle name="Comma 8 2 3 3 8 2 2" xfId="55057" xr:uid="{857C5C0E-9EA6-44FD-B571-394728F80D2A}"/>
    <cellStyle name="Comma 8 2 3 3 8 3" xfId="39937" xr:uid="{4D3A1879-B49F-47D4-9ADB-91A50F229A4A}"/>
    <cellStyle name="Comma 8 2 3 3 9" xfId="15745" xr:uid="{8C2862F1-58C1-46A1-8D2E-E5CD3C5E0071}"/>
    <cellStyle name="Comma 8 2 3 3 9 2" xfId="45985" xr:uid="{55D71773-F89F-48F5-A58F-49D02F9A1736}"/>
    <cellStyle name="Comma 8 2 3 4" xfId="877" xr:uid="{CCDCF4F8-6E0E-4C0B-982D-6274BE4375EA}"/>
    <cellStyle name="Comma 8 2 3 4 2" xfId="2389" xr:uid="{3FB45CF1-E169-4C6D-A8E1-40D058ABDC8E}"/>
    <cellStyle name="Comma 8 2 3 4 2 2" xfId="11461" xr:uid="{31751D23-6D0F-4650-B86C-443B0973FDEA}"/>
    <cellStyle name="Comma 8 2 3 4 2 2 2" xfId="26581" xr:uid="{8A5B6D53-8D98-411F-AEA6-B481B4DB69A8}"/>
    <cellStyle name="Comma 8 2 3 4 2 2 2 2" xfId="56821" xr:uid="{0535EB78-9F43-4273-8C76-DB987EF52729}"/>
    <cellStyle name="Comma 8 2 3 4 2 2 3" xfId="41701" xr:uid="{6D3A15B9-0E45-4276-B96E-1A7DD001FAD8}"/>
    <cellStyle name="Comma 8 2 3 4 2 3" xfId="17509" xr:uid="{11A8B37D-4C8A-41A9-9EA6-081B853CD179}"/>
    <cellStyle name="Comma 8 2 3 4 2 3 2" xfId="47749" xr:uid="{A714FEAE-B4B7-42A3-B3D2-6950101D5C69}"/>
    <cellStyle name="Comma 8 2 3 4 2 4" xfId="32629" xr:uid="{B2586501-5763-4C7C-BF0B-49A435334194}"/>
    <cellStyle name="Comma 8 2 3 4 3" xfId="3901" xr:uid="{2A19A66F-186D-453B-9B44-81F1BAA82AD9}"/>
    <cellStyle name="Comma 8 2 3 4 3 2" xfId="12973" xr:uid="{89A1A247-2295-475A-9E88-302EE4E86E41}"/>
    <cellStyle name="Comma 8 2 3 4 3 2 2" xfId="28093" xr:uid="{A1E04931-2395-4504-8234-48536D17B01D}"/>
    <cellStyle name="Comma 8 2 3 4 3 2 2 2" xfId="58333" xr:uid="{FDDADCF0-CADD-427A-B7C6-B434C12D069E}"/>
    <cellStyle name="Comma 8 2 3 4 3 2 3" xfId="43213" xr:uid="{8F351AB9-9B7C-4468-B658-711DE3FE6E57}"/>
    <cellStyle name="Comma 8 2 3 4 3 3" xfId="19021" xr:uid="{2E00B4B7-E958-4D35-81CC-08EB921D86BF}"/>
    <cellStyle name="Comma 8 2 3 4 3 3 2" xfId="49261" xr:uid="{C738F01A-A2FA-4FD5-ADA9-59E4F954E676}"/>
    <cellStyle name="Comma 8 2 3 4 3 4" xfId="34141" xr:uid="{086AAB38-33F5-40CB-97FF-3F210021294D}"/>
    <cellStyle name="Comma 8 2 3 4 4" xfId="5413" xr:uid="{CDD36573-17D8-46B2-B923-3DCD588E1A48}"/>
    <cellStyle name="Comma 8 2 3 4 4 2" xfId="14485" xr:uid="{F41141AD-F2DB-4F4A-8B3C-82F5739B8958}"/>
    <cellStyle name="Comma 8 2 3 4 4 2 2" xfId="29605" xr:uid="{CD5122D0-A2FA-49A2-892A-1F8A08C14AB5}"/>
    <cellStyle name="Comma 8 2 3 4 4 2 2 2" xfId="59845" xr:uid="{9E1B6ECC-ABA0-4243-A7FF-DBFBBC32129A}"/>
    <cellStyle name="Comma 8 2 3 4 4 2 3" xfId="44725" xr:uid="{5475C5CB-1EF3-4C56-B5E9-62B792106149}"/>
    <cellStyle name="Comma 8 2 3 4 4 3" xfId="20533" xr:uid="{52123DF1-E536-4B52-AB34-18BFBD3E9ABC}"/>
    <cellStyle name="Comma 8 2 3 4 4 3 2" xfId="50773" xr:uid="{01C5C555-E65E-431F-8DE7-8EAABDAFD09D}"/>
    <cellStyle name="Comma 8 2 3 4 4 4" xfId="35653" xr:uid="{EDC3AB55-93DB-4250-9CD9-D0A3FD4202CA}"/>
    <cellStyle name="Comma 8 2 3 4 5" xfId="6925" xr:uid="{3B7BB47E-C829-48A0-B184-3B5969033AA8}"/>
    <cellStyle name="Comma 8 2 3 4 5 2" xfId="22045" xr:uid="{620ECAD8-F855-44F7-A192-2FCD80556A3E}"/>
    <cellStyle name="Comma 8 2 3 4 5 2 2" xfId="52285" xr:uid="{C4DA46FC-E11F-4A3F-8809-B31C3F82EB2E}"/>
    <cellStyle name="Comma 8 2 3 4 5 3" xfId="37165" xr:uid="{D3CE4173-70AC-403F-902C-2D7D28F3C0A0}"/>
    <cellStyle name="Comma 8 2 3 4 6" xfId="8437" xr:uid="{9DA4CFF4-4737-4959-B24F-0313D13CA039}"/>
    <cellStyle name="Comma 8 2 3 4 6 2" xfId="23557" xr:uid="{495048E5-F25D-4D5F-ABF1-210E2E36BDC6}"/>
    <cellStyle name="Comma 8 2 3 4 6 2 2" xfId="53797" xr:uid="{ACD238AB-A7F7-49A5-B778-98113F80A51F}"/>
    <cellStyle name="Comma 8 2 3 4 6 3" xfId="38677" xr:uid="{5C37F116-3B0A-4A71-9B8E-A64C13E19B6A}"/>
    <cellStyle name="Comma 8 2 3 4 7" xfId="9949" xr:uid="{8D1862C8-E4DD-4E98-92B5-77205E01431C}"/>
    <cellStyle name="Comma 8 2 3 4 7 2" xfId="25069" xr:uid="{2FBED0D5-335A-4E87-9B73-F914CC357D05}"/>
    <cellStyle name="Comma 8 2 3 4 7 2 2" xfId="55309" xr:uid="{1A54BE62-FD57-4B48-9884-613C129EA2C6}"/>
    <cellStyle name="Comma 8 2 3 4 7 3" xfId="40189" xr:uid="{387E0F7A-2AB8-4BC9-B367-7B1439864E68}"/>
    <cellStyle name="Comma 8 2 3 4 8" xfId="15997" xr:uid="{E0B08940-685B-4804-B414-51D694E2BFBB}"/>
    <cellStyle name="Comma 8 2 3 4 8 2" xfId="46237" xr:uid="{35159838-C759-4F85-9F03-61CF62109160}"/>
    <cellStyle name="Comma 8 2 3 4 9" xfId="31117" xr:uid="{A1C9F0B2-4F5E-407D-91D1-11AA66EE680E}"/>
    <cellStyle name="Comma 8 2 3 5" xfId="1633" xr:uid="{C99FA4DD-2715-485C-A2D6-0A9BD2FC2CE8}"/>
    <cellStyle name="Comma 8 2 3 5 2" xfId="10705" xr:uid="{11E271B6-C5BD-4F71-8FD0-49C696FF693F}"/>
    <cellStyle name="Comma 8 2 3 5 2 2" xfId="25825" xr:uid="{1452CF56-6D9F-49AA-9901-5AA0D7473CF5}"/>
    <cellStyle name="Comma 8 2 3 5 2 2 2" xfId="56065" xr:uid="{43BA7592-605A-42EB-8803-CF31195D6ACC}"/>
    <cellStyle name="Comma 8 2 3 5 2 3" xfId="40945" xr:uid="{B66F4276-AE31-4C7E-9191-3B86F0429BF8}"/>
    <cellStyle name="Comma 8 2 3 5 3" xfId="16753" xr:uid="{E2BC0701-C9FB-49EA-B906-75A1EF63BE80}"/>
    <cellStyle name="Comma 8 2 3 5 3 2" xfId="46993" xr:uid="{D492AE02-BFCF-4686-9C7C-9FF8AB49BB81}"/>
    <cellStyle name="Comma 8 2 3 5 4" xfId="31873" xr:uid="{9963758F-C253-4CBE-A887-041958CA0B72}"/>
    <cellStyle name="Comma 8 2 3 6" xfId="3145" xr:uid="{7EFC0DBC-6EC9-4C43-8E26-C717A79997D9}"/>
    <cellStyle name="Comma 8 2 3 6 2" xfId="12217" xr:uid="{9159DF08-44BC-4896-9884-58EAABB5B831}"/>
    <cellStyle name="Comma 8 2 3 6 2 2" xfId="27337" xr:uid="{70D737B3-EAD9-4D27-A249-001689564A18}"/>
    <cellStyle name="Comma 8 2 3 6 2 2 2" xfId="57577" xr:uid="{50BDC73D-7645-4503-A93C-DE2F070D14F8}"/>
    <cellStyle name="Comma 8 2 3 6 2 3" xfId="42457" xr:uid="{248FD775-DDB7-4EA2-BD20-A976817B1087}"/>
    <cellStyle name="Comma 8 2 3 6 3" xfId="18265" xr:uid="{28EF5FC4-01EB-4B3F-9C2D-56D86CA34D7B}"/>
    <cellStyle name="Comma 8 2 3 6 3 2" xfId="48505" xr:uid="{878EC502-96FD-45D7-82A4-E3C42FA25B67}"/>
    <cellStyle name="Comma 8 2 3 6 4" xfId="33385" xr:uid="{7629BEF6-DE1A-4D81-A915-4F996E944054}"/>
    <cellStyle name="Comma 8 2 3 7" xfId="4657" xr:uid="{3527ADD4-9212-4D29-8A42-B8700CC27372}"/>
    <cellStyle name="Comma 8 2 3 7 2" xfId="13729" xr:uid="{7B0D04D1-F0A7-46EE-99D5-09B57CD3CC08}"/>
    <cellStyle name="Comma 8 2 3 7 2 2" xfId="28849" xr:uid="{6B9B97B4-179F-4344-95E1-08FB6332E72B}"/>
    <cellStyle name="Comma 8 2 3 7 2 2 2" xfId="59089" xr:uid="{EF7F0FA9-C8C6-4C9C-A8C9-9F9CDBFCC3C3}"/>
    <cellStyle name="Comma 8 2 3 7 2 3" xfId="43969" xr:uid="{9DDEC44A-8862-425D-806B-7A9F712AAACB}"/>
    <cellStyle name="Comma 8 2 3 7 3" xfId="19777" xr:uid="{FB7B8DE7-DF67-4BAB-BEC0-F2FFE2D0CC07}"/>
    <cellStyle name="Comma 8 2 3 7 3 2" xfId="50017" xr:uid="{DF0E8D67-4AEC-4FB9-8A25-9A6068F526C3}"/>
    <cellStyle name="Comma 8 2 3 7 4" xfId="34897" xr:uid="{D1D5D68A-4DDE-40C5-B3B4-D4C67FD36D4B}"/>
    <cellStyle name="Comma 8 2 3 8" xfId="6169" xr:uid="{B1855BC2-2133-49EE-8E39-96FEDFDC23EC}"/>
    <cellStyle name="Comma 8 2 3 8 2" xfId="21289" xr:uid="{DBFBE3CE-FBC4-441A-8434-FBBC1B95EFCE}"/>
    <cellStyle name="Comma 8 2 3 8 2 2" xfId="51529" xr:uid="{35C4A101-A229-4848-96AC-414FD4CC7F02}"/>
    <cellStyle name="Comma 8 2 3 8 3" xfId="36409" xr:uid="{D31B1347-6DF2-4C7C-B7B7-510023E6B81E}"/>
    <cellStyle name="Comma 8 2 3 9" xfId="7681" xr:uid="{9E1B4C72-B7FA-4B67-B320-3B26579BC2C6}"/>
    <cellStyle name="Comma 8 2 3 9 2" xfId="22801" xr:uid="{274C754F-82D1-49DD-BBD1-3769439CDE31}"/>
    <cellStyle name="Comma 8 2 3 9 2 2" xfId="53041" xr:uid="{7AF33FEE-3274-411B-B52D-572ED2154399}"/>
    <cellStyle name="Comma 8 2 3 9 3" xfId="37921" xr:uid="{C008161C-2B4A-4D3E-8584-A5339E572BA7}"/>
    <cellStyle name="Comma 8 2 4" xfId="205" xr:uid="{B91636EA-E01A-4002-9774-B04D47651335}"/>
    <cellStyle name="Comma 8 2 4 10" xfId="9277" xr:uid="{8C405FC1-7A82-4864-AA01-BB1EA0914B8B}"/>
    <cellStyle name="Comma 8 2 4 10 2" xfId="24397" xr:uid="{EDCD8161-CFFA-431B-A60F-96F9F340B2AD}"/>
    <cellStyle name="Comma 8 2 4 10 2 2" xfId="54637" xr:uid="{840CE3D5-CBDF-421B-9A07-38339E2C6C95}"/>
    <cellStyle name="Comma 8 2 4 10 3" xfId="39517" xr:uid="{FA72AA7E-D2A2-4398-9995-1B279F2A0F3B}"/>
    <cellStyle name="Comma 8 2 4 11" xfId="15325" xr:uid="{218BE4B0-381E-40F8-9887-28621D488DB5}"/>
    <cellStyle name="Comma 8 2 4 11 2" xfId="45565" xr:uid="{F90BED98-EC82-41A0-98EE-116F117B6FDC}"/>
    <cellStyle name="Comma 8 2 4 12" xfId="30445" xr:uid="{1DEFDABB-6C1D-4F98-892B-ECE5C5214CF2}"/>
    <cellStyle name="Comma 8 2 4 2" xfId="457" xr:uid="{46A4C1F7-37CA-417A-A01E-69DF5EDF8937}"/>
    <cellStyle name="Comma 8 2 4 2 10" xfId="30697" xr:uid="{6BF97770-0130-40EF-B72B-CFBA837C9C82}"/>
    <cellStyle name="Comma 8 2 4 2 2" xfId="1213" xr:uid="{3F926D42-7D5A-4BC8-B19C-34E45C955B67}"/>
    <cellStyle name="Comma 8 2 4 2 2 2" xfId="2725" xr:uid="{AC09B3FD-D4AD-4E50-99F4-44645415659C}"/>
    <cellStyle name="Comma 8 2 4 2 2 2 2" xfId="11797" xr:uid="{63D5331E-3311-4423-AFD0-75CB0F50E830}"/>
    <cellStyle name="Comma 8 2 4 2 2 2 2 2" xfId="26917" xr:uid="{E6C9A755-AC21-42F3-BACE-84C8340A4FBA}"/>
    <cellStyle name="Comma 8 2 4 2 2 2 2 2 2" xfId="57157" xr:uid="{5C07AEC5-1E40-412D-8A69-0B8C646648C5}"/>
    <cellStyle name="Comma 8 2 4 2 2 2 2 3" xfId="42037" xr:uid="{F9F31A37-D41C-4B4E-A732-3807C3278560}"/>
    <cellStyle name="Comma 8 2 4 2 2 2 3" xfId="17845" xr:uid="{370F05FA-3DD8-4CEB-B889-E4EA7F231DAA}"/>
    <cellStyle name="Comma 8 2 4 2 2 2 3 2" xfId="48085" xr:uid="{F0E786FD-FCBC-4936-9E74-609F42623573}"/>
    <cellStyle name="Comma 8 2 4 2 2 2 4" xfId="32965" xr:uid="{2D24685E-239F-47FC-9661-64E881ADF509}"/>
    <cellStyle name="Comma 8 2 4 2 2 3" xfId="4237" xr:uid="{C5750E50-2FB8-4764-8AD8-78C3B5B590C4}"/>
    <cellStyle name="Comma 8 2 4 2 2 3 2" xfId="13309" xr:uid="{5AACF6B7-7C67-4C0C-B462-E41BF9BCD4EF}"/>
    <cellStyle name="Comma 8 2 4 2 2 3 2 2" xfId="28429" xr:uid="{43017158-326F-4693-B6EE-C5EBB5A6C7D4}"/>
    <cellStyle name="Comma 8 2 4 2 2 3 2 2 2" xfId="58669" xr:uid="{8E2E1273-3769-4471-879B-AE89C337E821}"/>
    <cellStyle name="Comma 8 2 4 2 2 3 2 3" xfId="43549" xr:uid="{53E34988-331E-448B-A0C7-D488ACA528B5}"/>
    <cellStyle name="Comma 8 2 4 2 2 3 3" xfId="19357" xr:uid="{2168AFD2-3584-456C-A391-1163D27CC4D3}"/>
    <cellStyle name="Comma 8 2 4 2 2 3 3 2" xfId="49597" xr:uid="{03780B5F-C351-4FB6-96E0-9D60B9A2BA5D}"/>
    <cellStyle name="Comma 8 2 4 2 2 3 4" xfId="34477" xr:uid="{DE6C6FB9-D6EC-45AA-8B12-1938B3C04678}"/>
    <cellStyle name="Comma 8 2 4 2 2 4" xfId="5749" xr:uid="{BF487D62-315B-466C-9C3B-4C898F72A15E}"/>
    <cellStyle name="Comma 8 2 4 2 2 4 2" xfId="14821" xr:uid="{60BE809C-88FD-45BB-BEA3-0AD3F459544A}"/>
    <cellStyle name="Comma 8 2 4 2 2 4 2 2" xfId="29941" xr:uid="{94FF43BE-9140-4CF2-BEF6-8A6543DC732D}"/>
    <cellStyle name="Comma 8 2 4 2 2 4 2 2 2" xfId="60181" xr:uid="{F5F3125D-3FEC-46E0-8373-C24497CCE305}"/>
    <cellStyle name="Comma 8 2 4 2 2 4 2 3" xfId="45061" xr:uid="{3CB69264-EF68-4C96-A5D7-C1FCB0C6B49D}"/>
    <cellStyle name="Comma 8 2 4 2 2 4 3" xfId="20869" xr:uid="{07419A0C-8C05-487E-B791-3DBEA3F8A414}"/>
    <cellStyle name="Comma 8 2 4 2 2 4 3 2" xfId="51109" xr:uid="{9CD00CBB-A888-4D4B-9E09-A768D63E067B}"/>
    <cellStyle name="Comma 8 2 4 2 2 4 4" xfId="35989" xr:uid="{A4FAFA6D-F992-4A9B-BA8C-FB18B84F5170}"/>
    <cellStyle name="Comma 8 2 4 2 2 5" xfId="7261" xr:uid="{628CC0CD-9A45-4DC5-B8CF-BC6D36D7D0DF}"/>
    <cellStyle name="Comma 8 2 4 2 2 5 2" xfId="22381" xr:uid="{564A3B77-1E03-4289-9C1B-E193926DDE15}"/>
    <cellStyle name="Comma 8 2 4 2 2 5 2 2" xfId="52621" xr:uid="{CFEBD74D-E410-4583-B7F8-C53589077F66}"/>
    <cellStyle name="Comma 8 2 4 2 2 5 3" xfId="37501" xr:uid="{2A63119B-D409-4473-B06A-80CFA81CC504}"/>
    <cellStyle name="Comma 8 2 4 2 2 6" xfId="8773" xr:uid="{2ECDA477-C150-4577-881E-43BC66BF19A6}"/>
    <cellStyle name="Comma 8 2 4 2 2 6 2" xfId="23893" xr:uid="{644C1592-9F44-4E79-98B1-D808829527DE}"/>
    <cellStyle name="Comma 8 2 4 2 2 6 2 2" xfId="54133" xr:uid="{5E994C71-8A37-461C-9CE7-A76F5989429C}"/>
    <cellStyle name="Comma 8 2 4 2 2 6 3" xfId="39013" xr:uid="{08C539F9-32B4-4FB6-A1CD-6CC0257D9B5B}"/>
    <cellStyle name="Comma 8 2 4 2 2 7" xfId="10285" xr:uid="{17F093F4-03E4-4EA1-96D0-82318C187967}"/>
    <cellStyle name="Comma 8 2 4 2 2 7 2" xfId="25405" xr:uid="{C51FF68F-9218-4646-9240-161D09EC3078}"/>
    <cellStyle name="Comma 8 2 4 2 2 7 2 2" xfId="55645" xr:uid="{696D7BD1-C4F1-4F75-B173-F03A2519070C}"/>
    <cellStyle name="Comma 8 2 4 2 2 7 3" xfId="40525" xr:uid="{13C55FF9-8CC1-4E5F-A182-6561851C5753}"/>
    <cellStyle name="Comma 8 2 4 2 2 8" xfId="16333" xr:uid="{6ACBABDC-7F50-4980-90C1-65A6F9148ABA}"/>
    <cellStyle name="Comma 8 2 4 2 2 8 2" xfId="46573" xr:uid="{52F73DAE-8E2B-4F9D-BF94-328BB5BC2C8B}"/>
    <cellStyle name="Comma 8 2 4 2 2 9" xfId="31453" xr:uid="{021214E0-4387-455E-B452-3F48C62A5C78}"/>
    <cellStyle name="Comma 8 2 4 2 3" xfId="1969" xr:uid="{19A8F7F8-4771-438D-825F-3F12BB0FB96D}"/>
    <cellStyle name="Comma 8 2 4 2 3 2" xfId="11041" xr:uid="{92E32D6D-8354-40DF-9276-B4DB01945BD1}"/>
    <cellStyle name="Comma 8 2 4 2 3 2 2" xfId="26161" xr:uid="{107868AD-D2DB-45F2-9F4D-88A5DDB37F19}"/>
    <cellStyle name="Comma 8 2 4 2 3 2 2 2" xfId="56401" xr:uid="{80724991-CBD5-4088-8D7A-A4A03F554AAB}"/>
    <cellStyle name="Comma 8 2 4 2 3 2 3" xfId="41281" xr:uid="{E502E404-C0C8-444A-8C0C-5A6517B154FD}"/>
    <cellStyle name="Comma 8 2 4 2 3 3" xfId="17089" xr:uid="{7353ECE6-5107-4D20-98DC-4C37E90615FD}"/>
    <cellStyle name="Comma 8 2 4 2 3 3 2" xfId="47329" xr:uid="{864E39A8-9CF6-41CC-84F7-DAEBFC5E081A}"/>
    <cellStyle name="Comma 8 2 4 2 3 4" xfId="32209" xr:uid="{7155223C-F514-4684-AE3D-FFF4D8A9E137}"/>
    <cellStyle name="Comma 8 2 4 2 4" xfId="3481" xr:uid="{E088FA9C-E54B-4089-B755-ECFDE4C5DE03}"/>
    <cellStyle name="Comma 8 2 4 2 4 2" xfId="12553" xr:uid="{0C1E984F-905F-48E4-BCFA-E6EB8DB94354}"/>
    <cellStyle name="Comma 8 2 4 2 4 2 2" xfId="27673" xr:uid="{6614691E-90BA-4FE9-95A6-8D3FFC29D3F8}"/>
    <cellStyle name="Comma 8 2 4 2 4 2 2 2" xfId="57913" xr:uid="{D4B4AC25-D343-452E-95EF-14ED3E7789E8}"/>
    <cellStyle name="Comma 8 2 4 2 4 2 3" xfId="42793" xr:uid="{02FB0FD2-F1CC-489A-B925-EC1754102B98}"/>
    <cellStyle name="Comma 8 2 4 2 4 3" xfId="18601" xr:uid="{D526FE15-CFBC-4F90-A9FC-447EB2178B3F}"/>
    <cellStyle name="Comma 8 2 4 2 4 3 2" xfId="48841" xr:uid="{658F9465-2ABE-4C3D-9C2B-F0802FC40693}"/>
    <cellStyle name="Comma 8 2 4 2 4 4" xfId="33721" xr:uid="{5FFCD2B1-3F30-4E6E-8E53-99394AEAD5C3}"/>
    <cellStyle name="Comma 8 2 4 2 5" xfId="4993" xr:uid="{73AE9FAE-9183-411C-A517-AE48CDDB1F98}"/>
    <cellStyle name="Comma 8 2 4 2 5 2" xfId="14065" xr:uid="{0BD8158A-C3D8-45ED-B572-0915241F9BBC}"/>
    <cellStyle name="Comma 8 2 4 2 5 2 2" xfId="29185" xr:uid="{17EC65D0-AC37-477E-BE6D-7128CCCDF3E7}"/>
    <cellStyle name="Comma 8 2 4 2 5 2 2 2" xfId="59425" xr:uid="{9F60C473-403D-4409-BCF3-DF2F6D986BAC}"/>
    <cellStyle name="Comma 8 2 4 2 5 2 3" xfId="44305" xr:uid="{8974BE4D-4C89-43E0-A93D-620A17373C87}"/>
    <cellStyle name="Comma 8 2 4 2 5 3" xfId="20113" xr:uid="{96D3BC8F-861A-4358-AADE-22573FE8D5A9}"/>
    <cellStyle name="Comma 8 2 4 2 5 3 2" xfId="50353" xr:uid="{046E2915-A162-4071-A266-58EC33E79E63}"/>
    <cellStyle name="Comma 8 2 4 2 5 4" xfId="35233" xr:uid="{2516D5A8-6F1D-48C2-AC58-4B5E15B30003}"/>
    <cellStyle name="Comma 8 2 4 2 6" xfId="6505" xr:uid="{80B70B9E-4498-4FE2-9C6B-A2D5B18058AB}"/>
    <cellStyle name="Comma 8 2 4 2 6 2" xfId="21625" xr:uid="{3CA61499-CFE7-4075-A1AC-2470E4BDC39C}"/>
    <cellStyle name="Comma 8 2 4 2 6 2 2" xfId="51865" xr:uid="{C17BE075-327E-4A33-923E-848C6467D377}"/>
    <cellStyle name="Comma 8 2 4 2 6 3" xfId="36745" xr:uid="{9DB52476-9E15-4CB3-85D7-5267CBF347E9}"/>
    <cellStyle name="Comma 8 2 4 2 7" xfId="8017" xr:uid="{4D876DF9-B27F-468E-8A69-308603E59302}"/>
    <cellStyle name="Comma 8 2 4 2 7 2" xfId="23137" xr:uid="{075F3712-E5D3-4AD1-84AE-370EBFCF4CC2}"/>
    <cellStyle name="Comma 8 2 4 2 7 2 2" xfId="53377" xr:uid="{3C3E51D0-B99B-4DFF-B0D0-0747B0E693F9}"/>
    <cellStyle name="Comma 8 2 4 2 7 3" xfId="38257" xr:uid="{7C39A96A-0B93-47D9-BAC4-ECE27332E837}"/>
    <cellStyle name="Comma 8 2 4 2 8" xfId="9529" xr:uid="{C7584022-8730-41FB-A6C9-125B775FD357}"/>
    <cellStyle name="Comma 8 2 4 2 8 2" xfId="24649" xr:uid="{FD13F307-A62D-44A6-BBBA-C83B3DB0A6F6}"/>
    <cellStyle name="Comma 8 2 4 2 8 2 2" xfId="54889" xr:uid="{7E379CFF-D404-44E8-8638-7081C902FA3F}"/>
    <cellStyle name="Comma 8 2 4 2 8 3" xfId="39769" xr:uid="{46630D46-E822-425C-B4EE-A44146C28A62}"/>
    <cellStyle name="Comma 8 2 4 2 9" xfId="15577" xr:uid="{6638AAC0-D4F9-44CE-B0C3-67B84D29BAB7}"/>
    <cellStyle name="Comma 8 2 4 2 9 2" xfId="45817" xr:uid="{7EAF4A12-576C-40B8-80D0-4CA21D3E5C98}"/>
    <cellStyle name="Comma 8 2 4 3" xfId="709" xr:uid="{D4648267-17BB-4559-8EEA-D2A5C9EDA2B9}"/>
    <cellStyle name="Comma 8 2 4 3 10" xfId="30949" xr:uid="{2F668A58-BA4C-41AD-981E-E7D85E8E6330}"/>
    <cellStyle name="Comma 8 2 4 3 2" xfId="1465" xr:uid="{67F49E1C-EB44-41C2-B997-1F68CD6526FE}"/>
    <cellStyle name="Comma 8 2 4 3 2 2" xfId="2977" xr:uid="{85B5E995-7E72-4AC6-B06B-ED028F78F3BA}"/>
    <cellStyle name="Comma 8 2 4 3 2 2 2" xfId="12049" xr:uid="{D905598B-6C4B-4A5F-B6DD-067FB72B71BD}"/>
    <cellStyle name="Comma 8 2 4 3 2 2 2 2" xfId="27169" xr:uid="{2F1485D0-EF6F-411E-9319-69D1B6B1FE4B}"/>
    <cellStyle name="Comma 8 2 4 3 2 2 2 2 2" xfId="57409" xr:uid="{CEAE23A9-C27B-4503-BF72-E97B5AA289AA}"/>
    <cellStyle name="Comma 8 2 4 3 2 2 2 3" xfId="42289" xr:uid="{69B85635-C9A3-42AC-914F-E2DFD0963C5B}"/>
    <cellStyle name="Comma 8 2 4 3 2 2 3" xfId="18097" xr:uid="{18134B95-609B-45FA-9C88-2FDED2078C8E}"/>
    <cellStyle name="Comma 8 2 4 3 2 2 3 2" xfId="48337" xr:uid="{6013B525-7D98-414C-9BFC-B5F014DA7284}"/>
    <cellStyle name="Comma 8 2 4 3 2 2 4" xfId="33217" xr:uid="{8BAE27B2-153E-484D-A4EC-F2F328EC9F1E}"/>
    <cellStyle name="Comma 8 2 4 3 2 3" xfId="4489" xr:uid="{49430A18-0B66-40E9-A0F6-C985258F168E}"/>
    <cellStyle name="Comma 8 2 4 3 2 3 2" xfId="13561" xr:uid="{19A030DF-2AAC-40CF-A85A-C82EBD8E6CB8}"/>
    <cellStyle name="Comma 8 2 4 3 2 3 2 2" xfId="28681" xr:uid="{A2E9F58F-EBFD-4090-957B-DF4B7F4F5923}"/>
    <cellStyle name="Comma 8 2 4 3 2 3 2 2 2" xfId="58921" xr:uid="{796BCD34-5AC9-4BCA-8CED-B3B227A7AE72}"/>
    <cellStyle name="Comma 8 2 4 3 2 3 2 3" xfId="43801" xr:uid="{F1C7EFAE-BBD3-466E-915F-E5B21DED8191}"/>
    <cellStyle name="Comma 8 2 4 3 2 3 3" xfId="19609" xr:uid="{5D6F18F9-5C95-41B7-B63A-47ABC07C4927}"/>
    <cellStyle name="Comma 8 2 4 3 2 3 3 2" xfId="49849" xr:uid="{B26E4390-95C9-4B68-887C-2A55223E246E}"/>
    <cellStyle name="Comma 8 2 4 3 2 3 4" xfId="34729" xr:uid="{6DAD1F90-C021-4361-9BC1-250653BB16AD}"/>
    <cellStyle name="Comma 8 2 4 3 2 4" xfId="6001" xr:uid="{EDD2FF68-AE21-4C33-B5F6-43047E03A565}"/>
    <cellStyle name="Comma 8 2 4 3 2 4 2" xfId="15073" xr:uid="{661E8ACB-BAD5-44C6-B696-DE19291CFA58}"/>
    <cellStyle name="Comma 8 2 4 3 2 4 2 2" xfId="30193" xr:uid="{DD7D43E8-ED35-4BFD-BFC3-0ED842C755B5}"/>
    <cellStyle name="Comma 8 2 4 3 2 4 2 2 2" xfId="60433" xr:uid="{1DC910AF-3FD9-4BE0-9D6E-CC8E955E6A93}"/>
    <cellStyle name="Comma 8 2 4 3 2 4 2 3" xfId="45313" xr:uid="{BEBFBB54-ED76-4C9F-816E-800846EFF26D}"/>
    <cellStyle name="Comma 8 2 4 3 2 4 3" xfId="21121" xr:uid="{22863B02-18FA-4DC4-900C-5FE54024DC1B}"/>
    <cellStyle name="Comma 8 2 4 3 2 4 3 2" xfId="51361" xr:uid="{89E2E91E-620B-4DE0-81F4-B8A1C1F58223}"/>
    <cellStyle name="Comma 8 2 4 3 2 4 4" xfId="36241" xr:uid="{DE09B07F-56E2-4A95-8BDA-C5419C98FA12}"/>
    <cellStyle name="Comma 8 2 4 3 2 5" xfId="7513" xr:uid="{75A32632-18DD-4C6A-A911-1354F32989BF}"/>
    <cellStyle name="Comma 8 2 4 3 2 5 2" xfId="22633" xr:uid="{E34BF446-136D-4DBD-9F93-70013A95E39C}"/>
    <cellStyle name="Comma 8 2 4 3 2 5 2 2" xfId="52873" xr:uid="{87B80769-1CD3-4261-AFF1-535C00D5235A}"/>
    <cellStyle name="Comma 8 2 4 3 2 5 3" xfId="37753" xr:uid="{9D2E6AEC-91E6-4AC3-B306-14E0944CB28D}"/>
    <cellStyle name="Comma 8 2 4 3 2 6" xfId="9025" xr:uid="{9F4050DD-C158-46B1-8BA0-AE393B49768C}"/>
    <cellStyle name="Comma 8 2 4 3 2 6 2" xfId="24145" xr:uid="{DB074B7E-3B1E-4407-8994-9058FC36997F}"/>
    <cellStyle name="Comma 8 2 4 3 2 6 2 2" xfId="54385" xr:uid="{DE9F5A91-7FB9-42EA-9D3B-88352A43C15D}"/>
    <cellStyle name="Comma 8 2 4 3 2 6 3" xfId="39265" xr:uid="{0B7D9ED9-1F93-4EB3-AA8D-3EC9F52FEFAD}"/>
    <cellStyle name="Comma 8 2 4 3 2 7" xfId="10537" xr:uid="{7A11000C-8951-49A8-98E5-9049121A5797}"/>
    <cellStyle name="Comma 8 2 4 3 2 7 2" xfId="25657" xr:uid="{2FA78888-A170-4B44-A43B-3844F9A00178}"/>
    <cellStyle name="Comma 8 2 4 3 2 7 2 2" xfId="55897" xr:uid="{B3227124-027D-47DC-84C7-51D6D3C9C407}"/>
    <cellStyle name="Comma 8 2 4 3 2 7 3" xfId="40777" xr:uid="{8BBD944A-3B6A-4402-9642-220B83669973}"/>
    <cellStyle name="Comma 8 2 4 3 2 8" xfId="16585" xr:uid="{D93A036C-7F10-4FC5-AE8F-4C84EB79F6F6}"/>
    <cellStyle name="Comma 8 2 4 3 2 8 2" xfId="46825" xr:uid="{24E1D806-807E-4222-9DD3-707AE174A268}"/>
    <cellStyle name="Comma 8 2 4 3 2 9" xfId="31705" xr:uid="{CAB9B5FE-0D77-4CDD-88C8-A12E2A4A7228}"/>
    <cellStyle name="Comma 8 2 4 3 3" xfId="2221" xr:uid="{E5DA8F35-9026-4704-8928-BF3362DE1271}"/>
    <cellStyle name="Comma 8 2 4 3 3 2" xfId="11293" xr:uid="{FB986BE8-D6BF-436D-821B-012F1BC37C1C}"/>
    <cellStyle name="Comma 8 2 4 3 3 2 2" xfId="26413" xr:uid="{44F82810-4C1F-4720-A9BB-DEA6FC135657}"/>
    <cellStyle name="Comma 8 2 4 3 3 2 2 2" xfId="56653" xr:uid="{97848F4F-395D-4949-B14D-28E01AF9F6CB}"/>
    <cellStyle name="Comma 8 2 4 3 3 2 3" xfId="41533" xr:uid="{3DF4DBF1-18B0-487B-A7DF-810BDFEABAB4}"/>
    <cellStyle name="Comma 8 2 4 3 3 3" xfId="17341" xr:uid="{3201B405-1AE9-4BA4-A542-F47613AFAB5A}"/>
    <cellStyle name="Comma 8 2 4 3 3 3 2" xfId="47581" xr:uid="{60B19999-5CCC-4BB0-BC6C-5642B23D28F5}"/>
    <cellStyle name="Comma 8 2 4 3 3 4" xfId="32461" xr:uid="{076F40C7-A0B5-482A-8CC6-A948552EFC11}"/>
    <cellStyle name="Comma 8 2 4 3 4" xfId="3733" xr:uid="{1ACF2B61-16FE-47ED-B53F-AA1136599BB9}"/>
    <cellStyle name="Comma 8 2 4 3 4 2" xfId="12805" xr:uid="{C3C8D2CD-C2E0-475B-8CB6-7FDA246A24DE}"/>
    <cellStyle name="Comma 8 2 4 3 4 2 2" xfId="27925" xr:uid="{846D9B7A-6948-4A78-967A-62C9AD0E5846}"/>
    <cellStyle name="Comma 8 2 4 3 4 2 2 2" xfId="58165" xr:uid="{8BAC76AF-A89D-4789-A740-4BA90E1962EF}"/>
    <cellStyle name="Comma 8 2 4 3 4 2 3" xfId="43045" xr:uid="{FE79893A-F390-4D7A-A2BE-166CF328A613}"/>
    <cellStyle name="Comma 8 2 4 3 4 3" xfId="18853" xr:uid="{A6E49367-F712-4530-B4A5-B5F02F52948B}"/>
    <cellStyle name="Comma 8 2 4 3 4 3 2" xfId="49093" xr:uid="{4C8F7645-771B-463F-B8B6-D7FA77B488F0}"/>
    <cellStyle name="Comma 8 2 4 3 4 4" xfId="33973" xr:uid="{B73C2029-1B3B-44EB-B6E5-79631BC07E81}"/>
    <cellStyle name="Comma 8 2 4 3 5" xfId="5245" xr:uid="{B5D27F5A-E330-4FA1-8CA0-904615FBA0B8}"/>
    <cellStyle name="Comma 8 2 4 3 5 2" xfId="14317" xr:uid="{C96DE3A9-D6BC-4294-8CDB-6FAD18F94461}"/>
    <cellStyle name="Comma 8 2 4 3 5 2 2" xfId="29437" xr:uid="{09AC1524-7B80-47BB-8FCF-16A991D39202}"/>
    <cellStyle name="Comma 8 2 4 3 5 2 2 2" xfId="59677" xr:uid="{6E65311E-08C6-4D02-92B0-BABB02B7BC40}"/>
    <cellStyle name="Comma 8 2 4 3 5 2 3" xfId="44557" xr:uid="{7C8F528B-10E4-42FB-8FBC-C14769243F3A}"/>
    <cellStyle name="Comma 8 2 4 3 5 3" xfId="20365" xr:uid="{CE602D47-C815-4629-8F7A-DA422F9DB767}"/>
    <cellStyle name="Comma 8 2 4 3 5 3 2" xfId="50605" xr:uid="{09D2248A-F5BE-4397-AE6D-95528283A9FF}"/>
    <cellStyle name="Comma 8 2 4 3 5 4" xfId="35485" xr:uid="{CD57A8BE-C898-412F-AADE-840FFC4FE3DD}"/>
    <cellStyle name="Comma 8 2 4 3 6" xfId="6757" xr:uid="{26C1F31E-8761-4A4C-B013-5C62FBADB10B}"/>
    <cellStyle name="Comma 8 2 4 3 6 2" xfId="21877" xr:uid="{7D400C0E-EC84-4608-BC11-C7672CDFBA4F}"/>
    <cellStyle name="Comma 8 2 4 3 6 2 2" xfId="52117" xr:uid="{3AE8C53C-DD67-4F10-AA8A-5C9A1CCCB765}"/>
    <cellStyle name="Comma 8 2 4 3 6 3" xfId="36997" xr:uid="{D4CDF97A-3F10-403C-BC64-D24595429616}"/>
    <cellStyle name="Comma 8 2 4 3 7" xfId="8269" xr:uid="{A345C969-EDCC-4C2E-ABEB-3EC69AFD37B5}"/>
    <cellStyle name="Comma 8 2 4 3 7 2" xfId="23389" xr:uid="{3E7A3A84-B0CB-4105-8D68-CFF939174887}"/>
    <cellStyle name="Comma 8 2 4 3 7 2 2" xfId="53629" xr:uid="{D5E03CF8-C5D2-44FD-9240-5C662B213436}"/>
    <cellStyle name="Comma 8 2 4 3 7 3" xfId="38509" xr:uid="{D8969C32-2B88-4A3F-A953-035155AE4877}"/>
    <cellStyle name="Comma 8 2 4 3 8" xfId="9781" xr:uid="{82682BAF-E189-44E6-9F0C-7D2AAADE2692}"/>
    <cellStyle name="Comma 8 2 4 3 8 2" xfId="24901" xr:uid="{5C2C6934-354E-439A-9AA3-927C837F5A67}"/>
    <cellStyle name="Comma 8 2 4 3 8 2 2" xfId="55141" xr:uid="{08F8CA7C-9F25-4712-B1C7-8FA880224F19}"/>
    <cellStyle name="Comma 8 2 4 3 8 3" xfId="40021" xr:uid="{2F308D6E-5939-474C-AD92-2EE3F8F9621F}"/>
    <cellStyle name="Comma 8 2 4 3 9" xfId="15829" xr:uid="{35DEB64E-F0BE-47E1-8386-A2800E6E4102}"/>
    <cellStyle name="Comma 8 2 4 3 9 2" xfId="46069" xr:uid="{528E8542-7A44-4876-9BFF-BE3750D5C2FE}"/>
    <cellStyle name="Comma 8 2 4 4" xfId="961" xr:uid="{EE153D26-D6E1-41A1-B321-DCF0C6F28F51}"/>
    <cellStyle name="Comma 8 2 4 4 2" xfId="2473" xr:uid="{A7FE1BA2-E0C4-4C89-8C4F-41B4014EC3ED}"/>
    <cellStyle name="Comma 8 2 4 4 2 2" xfId="11545" xr:uid="{0B3B7A64-E274-4A32-B226-7989D5295897}"/>
    <cellStyle name="Comma 8 2 4 4 2 2 2" xfId="26665" xr:uid="{2E4B159C-3232-417E-A995-6B81F0FA5AEA}"/>
    <cellStyle name="Comma 8 2 4 4 2 2 2 2" xfId="56905" xr:uid="{D9F57A16-B9F5-4171-B850-18E896E551EA}"/>
    <cellStyle name="Comma 8 2 4 4 2 2 3" xfId="41785" xr:uid="{48426CC5-F86F-4EC3-8C07-E08CF84B6B91}"/>
    <cellStyle name="Comma 8 2 4 4 2 3" xfId="17593" xr:uid="{0C29688A-7F5A-4049-9062-C8291529FBB6}"/>
    <cellStyle name="Comma 8 2 4 4 2 3 2" xfId="47833" xr:uid="{AA221DF6-A682-4FA4-A11E-FDD2B1669861}"/>
    <cellStyle name="Comma 8 2 4 4 2 4" xfId="32713" xr:uid="{97F65D6A-FA39-4282-B371-14C2E46C4EFB}"/>
    <cellStyle name="Comma 8 2 4 4 3" xfId="3985" xr:uid="{23460DEA-73F0-41DE-A40B-78521F31BBF4}"/>
    <cellStyle name="Comma 8 2 4 4 3 2" xfId="13057" xr:uid="{6CF59018-AE9B-4F84-B847-38917D56CDDB}"/>
    <cellStyle name="Comma 8 2 4 4 3 2 2" xfId="28177" xr:uid="{0031595A-F0C1-4B4A-A36B-2BD321F2B3F7}"/>
    <cellStyle name="Comma 8 2 4 4 3 2 2 2" xfId="58417" xr:uid="{5D497BB7-5E97-4C83-BCCF-951FA66499F3}"/>
    <cellStyle name="Comma 8 2 4 4 3 2 3" xfId="43297" xr:uid="{40510D98-15A6-4546-BD4E-6718E429BA0D}"/>
    <cellStyle name="Comma 8 2 4 4 3 3" xfId="19105" xr:uid="{8B4C263A-BD86-4358-86C0-7BEB5F5EB9A4}"/>
    <cellStyle name="Comma 8 2 4 4 3 3 2" xfId="49345" xr:uid="{D05FC108-5088-453F-99EE-6428F0CD4DF1}"/>
    <cellStyle name="Comma 8 2 4 4 3 4" xfId="34225" xr:uid="{6945D48A-ED24-4D71-8ADF-4E33B67BC1E8}"/>
    <cellStyle name="Comma 8 2 4 4 4" xfId="5497" xr:uid="{21126A57-97D5-4D56-A711-9F1887385FDB}"/>
    <cellStyle name="Comma 8 2 4 4 4 2" xfId="14569" xr:uid="{57053DF3-AB6A-4E24-8F85-BBE5A0866973}"/>
    <cellStyle name="Comma 8 2 4 4 4 2 2" xfId="29689" xr:uid="{8DA9423A-E262-4864-A273-BCB82E8DAA1B}"/>
    <cellStyle name="Comma 8 2 4 4 4 2 2 2" xfId="59929" xr:uid="{565B2C4B-99E3-4B83-A094-94EC16057A20}"/>
    <cellStyle name="Comma 8 2 4 4 4 2 3" xfId="44809" xr:uid="{25C6B4ED-8D4C-4227-8B5A-56E381B82D36}"/>
    <cellStyle name="Comma 8 2 4 4 4 3" xfId="20617" xr:uid="{8F8AE6E9-6F04-4DA8-8595-B3C23222B1ED}"/>
    <cellStyle name="Comma 8 2 4 4 4 3 2" xfId="50857" xr:uid="{1FCE784A-D690-4D35-8783-8EB8F31136F5}"/>
    <cellStyle name="Comma 8 2 4 4 4 4" xfId="35737" xr:uid="{BAF581E5-38D4-45F0-B190-544AD75B78E6}"/>
    <cellStyle name="Comma 8 2 4 4 5" xfId="7009" xr:uid="{7926F76C-FF79-43D6-B9C0-B105A8DEDD41}"/>
    <cellStyle name="Comma 8 2 4 4 5 2" xfId="22129" xr:uid="{A186A656-2349-4C28-A700-D6159735ABF5}"/>
    <cellStyle name="Comma 8 2 4 4 5 2 2" xfId="52369" xr:uid="{9C02C41C-BF96-40E7-B620-FB0AEC980B14}"/>
    <cellStyle name="Comma 8 2 4 4 5 3" xfId="37249" xr:uid="{BFB924DC-14A7-421B-807D-FEACF18F5FB2}"/>
    <cellStyle name="Comma 8 2 4 4 6" xfId="8521" xr:uid="{90038EEF-CB59-4C40-B765-E2460EF85AC2}"/>
    <cellStyle name="Comma 8 2 4 4 6 2" xfId="23641" xr:uid="{3EA1A95D-7A77-4E88-B0F5-BCDC09388472}"/>
    <cellStyle name="Comma 8 2 4 4 6 2 2" xfId="53881" xr:uid="{E523FCD7-EDF4-43E1-A43B-DCE2E09CEDAE}"/>
    <cellStyle name="Comma 8 2 4 4 6 3" xfId="38761" xr:uid="{BB045E1F-1785-43DD-9B59-E9E3863D1741}"/>
    <cellStyle name="Comma 8 2 4 4 7" xfId="10033" xr:uid="{56B901DC-784B-4D73-9A75-7794BF72582F}"/>
    <cellStyle name="Comma 8 2 4 4 7 2" xfId="25153" xr:uid="{667F6E52-8FDC-4B11-A144-4618D4877C58}"/>
    <cellStyle name="Comma 8 2 4 4 7 2 2" xfId="55393" xr:uid="{E06160C0-D7C5-445E-A7A1-C99B6DDE11C8}"/>
    <cellStyle name="Comma 8 2 4 4 7 3" xfId="40273" xr:uid="{94E10417-9D8A-41D0-B955-E595147BF8E8}"/>
    <cellStyle name="Comma 8 2 4 4 8" xfId="16081" xr:uid="{1B8DEC18-639E-490A-9A9B-DC0C8A49D873}"/>
    <cellStyle name="Comma 8 2 4 4 8 2" xfId="46321" xr:uid="{D4C0EF0F-DF84-4F01-9841-34AE11A48140}"/>
    <cellStyle name="Comma 8 2 4 4 9" xfId="31201" xr:uid="{04E59422-D519-4490-81AA-AD69CC9EF53F}"/>
    <cellStyle name="Comma 8 2 4 5" xfId="1717" xr:uid="{0D606E83-6EFC-4FA0-B011-4B81DDFC722A}"/>
    <cellStyle name="Comma 8 2 4 5 2" xfId="10789" xr:uid="{734651D2-2DDC-4ABB-89B1-27CC8D6055D7}"/>
    <cellStyle name="Comma 8 2 4 5 2 2" xfId="25909" xr:uid="{179E726E-83DB-4282-9B78-EF8106A99A1F}"/>
    <cellStyle name="Comma 8 2 4 5 2 2 2" xfId="56149" xr:uid="{50775902-7E53-4A90-9ADB-9E6ED4841EB6}"/>
    <cellStyle name="Comma 8 2 4 5 2 3" xfId="41029" xr:uid="{FEC8A654-7342-4D77-A97E-711BD9E6E462}"/>
    <cellStyle name="Comma 8 2 4 5 3" xfId="16837" xr:uid="{41E8D36E-7577-4643-9B96-CED06F06C266}"/>
    <cellStyle name="Comma 8 2 4 5 3 2" xfId="47077" xr:uid="{F4D9250C-F1FF-4184-996D-BA7EAE8E3C5E}"/>
    <cellStyle name="Comma 8 2 4 5 4" xfId="31957" xr:uid="{96918F07-3FA2-4A7C-AF31-DD51982379B7}"/>
    <cellStyle name="Comma 8 2 4 6" xfId="3229" xr:uid="{6911B21E-1A1F-47CE-9C0E-446162457A98}"/>
    <cellStyle name="Comma 8 2 4 6 2" xfId="12301" xr:uid="{0CFED1FE-772F-4D33-BCF9-88A3974FED93}"/>
    <cellStyle name="Comma 8 2 4 6 2 2" xfId="27421" xr:uid="{CD7E4876-EA13-45FF-9021-0FBAF71987AC}"/>
    <cellStyle name="Comma 8 2 4 6 2 2 2" xfId="57661" xr:uid="{B5FE5C1A-CAAB-41CF-9AF8-D0FBCFACAA05}"/>
    <cellStyle name="Comma 8 2 4 6 2 3" xfId="42541" xr:uid="{3E1769F6-2F36-4E47-8F0B-F69C3515F7C5}"/>
    <cellStyle name="Comma 8 2 4 6 3" xfId="18349" xr:uid="{6C8809EC-068D-4AB7-8853-61005145D1C0}"/>
    <cellStyle name="Comma 8 2 4 6 3 2" xfId="48589" xr:uid="{1F8BBB9F-7F83-4762-984A-A7EEA6375402}"/>
    <cellStyle name="Comma 8 2 4 6 4" xfId="33469" xr:uid="{CD852009-BBB0-45B8-AF05-D15B92C37416}"/>
    <cellStyle name="Comma 8 2 4 7" xfId="4741" xr:uid="{9D8ED070-662B-45D8-83B2-63D08625B588}"/>
    <cellStyle name="Comma 8 2 4 7 2" xfId="13813" xr:uid="{E52495FE-2FC8-4E76-97D4-9130BCD579A5}"/>
    <cellStyle name="Comma 8 2 4 7 2 2" xfId="28933" xr:uid="{ED6100D2-83BF-41A7-833F-D587EA2EBDCE}"/>
    <cellStyle name="Comma 8 2 4 7 2 2 2" xfId="59173" xr:uid="{2E969F87-CD91-4792-9B3E-3EA326EF2BA5}"/>
    <cellStyle name="Comma 8 2 4 7 2 3" xfId="44053" xr:uid="{50F36698-F852-42F3-80BE-62114A169399}"/>
    <cellStyle name="Comma 8 2 4 7 3" xfId="19861" xr:uid="{F5AE99C1-1454-4E2E-BCB7-8B188BE795B2}"/>
    <cellStyle name="Comma 8 2 4 7 3 2" xfId="50101" xr:uid="{35644886-9A0B-4916-B370-2AF880516727}"/>
    <cellStyle name="Comma 8 2 4 7 4" xfId="34981" xr:uid="{E39EEDFC-4DDA-4D8B-A358-4CD95994D675}"/>
    <cellStyle name="Comma 8 2 4 8" xfId="6253" xr:uid="{2363A21B-4B6C-4437-BAB1-6BA8D328606D}"/>
    <cellStyle name="Comma 8 2 4 8 2" xfId="21373" xr:uid="{F3E9D3D3-39AC-41A4-AD67-4BC144F8D607}"/>
    <cellStyle name="Comma 8 2 4 8 2 2" xfId="51613" xr:uid="{AF40BD28-2596-49A3-B3E0-7B404CC53FE3}"/>
    <cellStyle name="Comma 8 2 4 8 3" xfId="36493" xr:uid="{0F342BB9-8800-41AC-93A0-14E37B28EE66}"/>
    <cellStyle name="Comma 8 2 4 9" xfId="7765" xr:uid="{517B96F8-3E29-4815-A199-EBBF2FF31386}"/>
    <cellStyle name="Comma 8 2 4 9 2" xfId="22885" xr:uid="{0472330A-FDE7-4B8E-93EB-AFF6F2A70735}"/>
    <cellStyle name="Comma 8 2 4 9 2 2" xfId="53125" xr:uid="{D6291F09-EDC0-4B10-885D-117F5BD4A875}"/>
    <cellStyle name="Comma 8 2 4 9 3" xfId="38005" xr:uid="{D45FB728-A604-4369-A0E2-7589E1140E43}"/>
    <cellStyle name="Comma 8 2 5" xfId="289" xr:uid="{BFBB89E4-2EA7-4273-B37D-61C7521220E8}"/>
    <cellStyle name="Comma 8 2 5 10" xfId="30529" xr:uid="{FF5259B1-79DE-420B-932A-22F4652D7D75}"/>
    <cellStyle name="Comma 8 2 5 2" xfId="1045" xr:uid="{D21CEF85-9CD7-41C0-8FB4-CD36ACEAFEBB}"/>
    <cellStyle name="Comma 8 2 5 2 2" xfId="2557" xr:uid="{5DFEEA34-989F-40DB-9D62-E54B15C45DF0}"/>
    <cellStyle name="Comma 8 2 5 2 2 2" xfId="11629" xr:uid="{234EDB3E-D636-4262-B727-7F12859AF4A2}"/>
    <cellStyle name="Comma 8 2 5 2 2 2 2" xfId="26749" xr:uid="{B9667F18-A335-4383-AAA2-728E454801E4}"/>
    <cellStyle name="Comma 8 2 5 2 2 2 2 2" xfId="56989" xr:uid="{0150946C-C7D5-4AC7-A583-A337AEAFA3EC}"/>
    <cellStyle name="Comma 8 2 5 2 2 2 3" xfId="41869" xr:uid="{4C6E31B5-A32F-4BC4-B305-A22B8356850E}"/>
    <cellStyle name="Comma 8 2 5 2 2 3" xfId="17677" xr:uid="{68E8532D-63C6-4346-8CE2-4037CF8A590C}"/>
    <cellStyle name="Comma 8 2 5 2 2 3 2" xfId="47917" xr:uid="{52C01283-BE51-4CA3-BE67-6CC57D44F522}"/>
    <cellStyle name="Comma 8 2 5 2 2 4" xfId="32797" xr:uid="{104E9A1B-5F07-4962-AF17-D05F50994F1C}"/>
    <cellStyle name="Comma 8 2 5 2 3" xfId="4069" xr:uid="{98E676DC-C87C-49F7-ADD9-D757260E9F45}"/>
    <cellStyle name="Comma 8 2 5 2 3 2" xfId="13141" xr:uid="{C167F9CD-DF46-4AAC-B502-DA077CC9618B}"/>
    <cellStyle name="Comma 8 2 5 2 3 2 2" xfId="28261" xr:uid="{DAAD1568-F6C5-4E16-A9B9-A269690BCAE7}"/>
    <cellStyle name="Comma 8 2 5 2 3 2 2 2" xfId="58501" xr:uid="{6B0C9A8D-68AE-469F-A8E1-301C134B56DE}"/>
    <cellStyle name="Comma 8 2 5 2 3 2 3" xfId="43381" xr:uid="{20874806-4585-4CE8-AE7F-E480E22B8FD0}"/>
    <cellStyle name="Comma 8 2 5 2 3 3" xfId="19189" xr:uid="{09E34104-B4B1-48FB-AB15-9EC7967CD89F}"/>
    <cellStyle name="Comma 8 2 5 2 3 3 2" xfId="49429" xr:uid="{F998B388-3008-40A0-8096-3E27F4EE843C}"/>
    <cellStyle name="Comma 8 2 5 2 3 4" xfId="34309" xr:uid="{451E109F-B693-4A78-B33F-E3F9421166E8}"/>
    <cellStyle name="Comma 8 2 5 2 4" xfId="5581" xr:uid="{D41F3002-90AC-4A2E-B076-A5148C6C60B0}"/>
    <cellStyle name="Comma 8 2 5 2 4 2" xfId="14653" xr:uid="{6350BE7B-F623-423B-8701-CC5E45AC3EDD}"/>
    <cellStyle name="Comma 8 2 5 2 4 2 2" xfId="29773" xr:uid="{71CC3129-1A1D-49FD-814C-42699B710BE9}"/>
    <cellStyle name="Comma 8 2 5 2 4 2 2 2" xfId="60013" xr:uid="{771277B9-90E2-49C6-9A98-9FD61B40C8C5}"/>
    <cellStyle name="Comma 8 2 5 2 4 2 3" xfId="44893" xr:uid="{DF7246C8-B934-4F34-9FDF-C07B74CF7FC2}"/>
    <cellStyle name="Comma 8 2 5 2 4 3" xfId="20701" xr:uid="{8A1FC5E1-E741-4D57-963F-E49A0984EA6A}"/>
    <cellStyle name="Comma 8 2 5 2 4 3 2" xfId="50941" xr:uid="{C1D7B049-731D-46DE-B31C-BECA5D1C3773}"/>
    <cellStyle name="Comma 8 2 5 2 4 4" xfId="35821" xr:uid="{18B7E88B-79C6-4FD8-987B-1EBC16A5D8D5}"/>
    <cellStyle name="Comma 8 2 5 2 5" xfId="7093" xr:uid="{FE5EE704-54D6-43AF-9409-41AAE9E95FC7}"/>
    <cellStyle name="Comma 8 2 5 2 5 2" xfId="22213" xr:uid="{EF1F03C4-88C3-4D1C-BD9C-3D1DBE2B4143}"/>
    <cellStyle name="Comma 8 2 5 2 5 2 2" xfId="52453" xr:uid="{260D5E12-3B96-4D77-9208-D7ED2FA3B291}"/>
    <cellStyle name="Comma 8 2 5 2 5 3" xfId="37333" xr:uid="{5B4A675C-D986-4DC9-8D4A-EF39D6D4142D}"/>
    <cellStyle name="Comma 8 2 5 2 6" xfId="8605" xr:uid="{728BCB1A-0C80-4C2F-BACA-45EBD7E37C4F}"/>
    <cellStyle name="Comma 8 2 5 2 6 2" xfId="23725" xr:uid="{55DF4628-1F99-4A2E-AB47-0A4742680204}"/>
    <cellStyle name="Comma 8 2 5 2 6 2 2" xfId="53965" xr:uid="{7EC57221-7E10-4F95-9E9C-56FC0F71E480}"/>
    <cellStyle name="Comma 8 2 5 2 6 3" xfId="38845" xr:uid="{CA66A243-953C-4BC8-8DAA-218BD3FD67C8}"/>
    <cellStyle name="Comma 8 2 5 2 7" xfId="10117" xr:uid="{5B326255-1529-489E-9BA3-D67C9B7E8711}"/>
    <cellStyle name="Comma 8 2 5 2 7 2" xfId="25237" xr:uid="{FE109CE4-8A09-4972-A65A-7FE18EAC701D}"/>
    <cellStyle name="Comma 8 2 5 2 7 2 2" xfId="55477" xr:uid="{120EB4DD-79C8-4CC6-AF5E-CAAF05D6CB82}"/>
    <cellStyle name="Comma 8 2 5 2 7 3" xfId="40357" xr:uid="{3AF1A3A7-DEA1-42E4-948E-52241BB47EE2}"/>
    <cellStyle name="Comma 8 2 5 2 8" xfId="16165" xr:uid="{0EB75ED0-6F3E-439A-ADF8-42BA2663C107}"/>
    <cellStyle name="Comma 8 2 5 2 8 2" xfId="46405" xr:uid="{85F63F2C-A1E8-44F9-AE7E-79BF63564E90}"/>
    <cellStyle name="Comma 8 2 5 2 9" xfId="31285" xr:uid="{97080A61-96BC-4912-8ADB-43F8600E4DE2}"/>
    <cellStyle name="Comma 8 2 5 3" xfId="1801" xr:uid="{C762BF6A-1268-419E-A08F-B9B67003A6F1}"/>
    <cellStyle name="Comma 8 2 5 3 2" xfId="10873" xr:uid="{47131620-27CC-44B0-B17C-F29DE1B54131}"/>
    <cellStyle name="Comma 8 2 5 3 2 2" xfId="25993" xr:uid="{F2CE00A2-9846-4198-9C17-1AB0840B22A8}"/>
    <cellStyle name="Comma 8 2 5 3 2 2 2" xfId="56233" xr:uid="{4E4AA9BA-1362-4A04-B6F8-92CA14ED6200}"/>
    <cellStyle name="Comma 8 2 5 3 2 3" xfId="41113" xr:uid="{1FDA4074-CFCE-4A79-B1E5-ED5046F54953}"/>
    <cellStyle name="Comma 8 2 5 3 3" xfId="16921" xr:uid="{9DEEF7D8-27D8-4BAC-BE56-1F4C1487198D}"/>
    <cellStyle name="Comma 8 2 5 3 3 2" xfId="47161" xr:uid="{3CB61277-E26B-46B6-A0A2-D1510E3F937A}"/>
    <cellStyle name="Comma 8 2 5 3 4" xfId="32041" xr:uid="{6FB73056-FAA1-43C4-878F-4B8A3894FAFF}"/>
    <cellStyle name="Comma 8 2 5 4" xfId="3313" xr:uid="{04B0126C-14A7-4232-99FA-960831E09A1E}"/>
    <cellStyle name="Comma 8 2 5 4 2" xfId="12385" xr:uid="{0D9AA3B5-CBF8-4AA4-B0A3-82207F229B79}"/>
    <cellStyle name="Comma 8 2 5 4 2 2" xfId="27505" xr:uid="{412EEC25-2FEC-4F7D-9711-67FCE67A9405}"/>
    <cellStyle name="Comma 8 2 5 4 2 2 2" xfId="57745" xr:uid="{9A269BD3-93DB-471C-8D74-764DEB555568}"/>
    <cellStyle name="Comma 8 2 5 4 2 3" xfId="42625" xr:uid="{F9A4F59E-469A-4E53-BA27-79D18528CCFC}"/>
    <cellStyle name="Comma 8 2 5 4 3" xfId="18433" xr:uid="{34498342-29F5-4C1F-AFC5-6372B70D9132}"/>
    <cellStyle name="Comma 8 2 5 4 3 2" xfId="48673" xr:uid="{14758974-1E58-424A-9DE9-23389FD6D50C}"/>
    <cellStyle name="Comma 8 2 5 4 4" xfId="33553" xr:uid="{CA678383-D5F4-4ADC-8F32-DE99D834AC96}"/>
    <cellStyle name="Comma 8 2 5 5" xfId="4825" xr:uid="{EB4D4B85-7681-40C7-A73D-3C456ED81938}"/>
    <cellStyle name="Comma 8 2 5 5 2" xfId="13897" xr:uid="{A91598DE-6763-4A3F-A2AC-47798A146203}"/>
    <cellStyle name="Comma 8 2 5 5 2 2" xfId="29017" xr:uid="{41355E20-8C0B-4829-A948-02A71EFE5F0D}"/>
    <cellStyle name="Comma 8 2 5 5 2 2 2" xfId="59257" xr:uid="{7F8AE793-EC32-4E37-91EB-BDFEDC97D8AF}"/>
    <cellStyle name="Comma 8 2 5 5 2 3" xfId="44137" xr:uid="{C8349178-9F69-43F6-B8C9-7E3B1FF8B3B0}"/>
    <cellStyle name="Comma 8 2 5 5 3" xfId="19945" xr:uid="{34C3E81D-B773-4F44-8ED9-C1192255A8CD}"/>
    <cellStyle name="Comma 8 2 5 5 3 2" xfId="50185" xr:uid="{4E30D607-1DB9-43DA-8DD7-8A017ADB0241}"/>
    <cellStyle name="Comma 8 2 5 5 4" xfId="35065" xr:uid="{DC232D6A-5E32-4BCD-B40B-446446EC4249}"/>
    <cellStyle name="Comma 8 2 5 6" xfId="6337" xr:uid="{CEC5641C-69B7-462E-8B57-236731596EB0}"/>
    <cellStyle name="Comma 8 2 5 6 2" xfId="21457" xr:uid="{7253F38E-BBF4-457F-A045-E6AA386A8B04}"/>
    <cellStyle name="Comma 8 2 5 6 2 2" xfId="51697" xr:uid="{BC433706-A673-4EFC-A462-044879507917}"/>
    <cellStyle name="Comma 8 2 5 6 3" xfId="36577" xr:uid="{1113C45C-05F2-4599-8BBA-561BC9100466}"/>
    <cellStyle name="Comma 8 2 5 7" xfId="7849" xr:uid="{617FCA1C-849A-4A3E-974F-F83E39F2F8AA}"/>
    <cellStyle name="Comma 8 2 5 7 2" xfId="22969" xr:uid="{7F0703CA-5A13-4207-9A88-128ACACE0E96}"/>
    <cellStyle name="Comma 8 2 5 7 2 2" xfId="53209" xr:uid="{DB099406-643C-4110-BFD9-328E8216E309}"/>
    <cellStyle name="Comma 8 2 5 7 3" xfId="38089" xr:uid="{1C1B8E6B-1270-45A3-A036-923848C922C4}"/>
    <cellStyle name="Comma 8 2 5 8" xfId="9361" xr:uid="{7C1DE432-834A-4B49-8610-37D595CAAF68}"/>
    <cellStyle name="Comma 8 2 5 8 2" xfId="24481" xr:uid="{0E2EBCF6-5D9C-47D1-A2C1-B1BDE47B41DB}"/>
    <cellStyle name="Comma 8 2 5 8 2 2" xfId="54721" xr:uid="{8B1EB248-BA10-4EA2-9225-2BF1DB07B120}"/>
    <cellStyle name="Comma 8 2 5 8 3" xfId="39601" xr:uid="{F826D679-5590-4090-81F9-A8DC4B99161C}"/>
    <cellStyle name="Comma 8 2 5 9" xfId="15409" xr:uid="{481F351E-4524-483C-8F98-A9A156C741F8}"/>
    <cellStyle name="Comma 8 2 5 9 2" xfId="45649" xr:uid="{49E25793-5D5C-400D-912C-D86BFD45A599}"/>
    <cellStyle name="Comma 8 2 6" xfId="541" xr:uid="{83DFF034-739A-4F5F-9ED5-542DC30B1B6B}"/>
    <cellStyle name="Comma 8 2 6 10" xfId="30781" xr:uid="{982ABF2A-4AAA-4F03-BCF9-F5159AF2BC4F}"/>
    <cellStyle name="Comma 8 2 6 2" xfId="1297" xr:uid="{385FB830-505B-417B-B11E-70095E2DA7FC}"/>
    <cellStyle name="Comma 8 2 6 2 2" xfId="2809" xr:uid="{819BB95C-3893-4219-AF14-1558C41820BD}"/>
    <cellStyle name="Comma 8 2 6 2 2 2" xfId="11881" xr:uid="{3D135723-647E-4E26-BC21-69C068D72683}"/>
    <cellStyle name="Comma 8 2 6 2 2 2 2" xfId="27001" xr:uid="{47897717-3BF7-4375-8418-E57A67BEBC03}"/>
    <cellStyle name="Comma 8 2 6 2 2 2 2 2" xfId="57241" xr:uid="{3C810C1D-01D1-45C2-AC9B-A0E0FB527B4B}"/>
    <cellStyle name="Comma 8 2 6 2 2 2 3" xfId="42121" xr:uid="{A8F44F0A-6424-4DC9-A3AA-FAF0DEFB0C2B}"/>
    <cellStyle name="Comma 8 2 6 2 2 3" xfId="17929" xr:uid="{6CC00AD9-516B-4356-91AA-DE40F018F28C}"/>
    <cellStyle name="Comma 8 2 6 2 2 3 2" xfId="48169" xr:uid="{CDE0E635-DF5B-4388-888D-FF24A2080E86}"/>
    <cellStyle name="Comma 8 2 6 2 2 4" xfId="33049" xr:uid="{8FEE2122-914D-446A-A27B-A4FD87F75428}"/>
    <cellStyle name="Comma 8 2 6 2 3" xfId="4321" xr:uid="{AB175FC3-DFC0-480C-9FAC-E4A457B5A5C5}"/>
    <cellStyle name="Comma 8 2 6 2 3 2" xfId="13393" xr:uid="{8B2EF618-A065-4756-91AA-F0A25AA16994}"/>
    <cellStyle name="Comma 8 2 6 2 3 2 2" xfId="28513" xr:uid="{784F2B0E-2D4F-4F2B-B959-CD085F18BE45}"/>
    <cellStyle name="Comma 8 2 6 2 3 2 2 2" xfId="58753" xr:uid="{CBB6A00E-C3A3-401B-8CFE-65097683BAC8}"/>
    <cellStyle name="Comma 8 2 6 2 3 2 3" xfId="43633" xr:uid="{62ED9423-5325-46B7-94B1-65D3D747AA53}"/>
    <cellStyle name="Comma 8 2 6 2 3 3" xfId="19441" xr:uid="{0A4B8DC3-E04B-4059-A3FA-747FC70E1093}"/>
    <cellStyle name="Comma 8 2 6 2 3 3 2" xfId="49681" xr:uid="{25F6F2D3-493C-47AF-A664-58CC772B0965}"/>
    <cellStyle name="Comma 8 2 6 2 3 4" xfId="34561" xr:uid="{761D9622-47D0-4B5D-8183-5F9379DD033D}"/>
    <cellStyle name="Comma 8 2 6 2 4" xfId="5833" xr:uid="{566EB821-47EA-4337-9C54-B95C8A76FAED}"/>
    <cellStyle name="Comma 8 2 6 2 4 2" xfId="14905" xr:uid="{562133E4-78B7-4CCD-8243-28E00B5BCD9C}"/>
    <cellStyle name="Comma 8 2 6 2 4 2 2" xfId="30025" xr:uid="{DC50C346-BA78-49E3-BB15-2EA61ACCF249}"/>
    <cellStyle name="Comma 8 2 6 2 4 2 2 2" xfId="60265" xr:uid="{BC3B1252-510E-4020-827D-B617CF2F03AA}"/>
    <cellStyle name="Comma 8 2 6 2 4 2 3" xfId="45145" xr:uid="{C830F588-8C4D-4B7A-BD29-287E8E700F1B}"/>
    <cellStyle name="Comma 8 2 6 2 4 3" xfId="20953" xr:uid="{78E4A49E-A9E1-452B-9036-F0E263BFD935}"/>
    <cellStyle name="Comma 8 2 6 2 4 3 2" xfId="51193" xr:uid="{F8F59EE1-B185-44C9-9CDD-42C9D82B049B}"/>
    <cellStyle name="Comma 8 2 6 2 4 4" xfId="36073" xr:uid="{021EF111-858F-4A5F-AFA9-B55406A04E4B}"/>
    <cellStyle name="Comma 8 2 6 2 5" xfId="7345" xr:uid="{BA8021E1-3E95-4F45-8052-AB744897C2AA}"/>
    <cellStyle name="Comma 8 2 6 2 5 2" xfId="22465" xr:uid="{390C754D-62DA-424C-AD48-9584D7A13131}"/>
    <cellStyle name="Comma 8 2 6 2 5 2 2" xfId="52705" xr:uid="{4B9D6378-974B-47EB-B0E1-9C67D4FEA387}"/>
    <cellStyle name="Comma 8 2 6 2 5 3" xfId="37585" xr:uid="{280613AB-2B8E-45EB-87AB-F82E68BC822E}"/>
    <cellStyle name="Comma 8 2 6 2 6" xfId="8857" xr:uid="{8276FB35-E7BE-46A6-B8BE-EFCAA692DB94}"/>
    <cellStyle name="Comma 8 2 6 2 6 2" xfId="23977" xr:uid="{859049D5-EAE1-494C-9883-F5C24C6D533D}"/>
    <cellStyle name="Comma 8 2 6 2 6 2 2" xfId="54217" xr:uid="{053EB09A-3778-471E-9619-ECA98A32DB36}"/>
    <cellStyle name="Comma 8 2 6 2 6 3" xfId="39097" xr:uid="{7FDCD7CC-8A2D-4B5A-8DF0-E795961ABE69}"/>
    <cellStyle name="Comma 8 2 6 2 7" xfId="10369" xr:uid="{CDE25BED-D380-4832-8BD9-01E6EE3E5E18}"/>
    <cellStyle name="Comma 8 2 6 2 7 2" xfId="25489" xr:uid="{8A8644A2-61FC-42CB-A394-B83D4F78FCFD}"/>
    <cellStyle name="Comma 8 2 6 2 7 2 2" xfId="55729" xr:uid="{0460AED3-DD13-4D94-8505-706AA606345F}"/>
    <cellStyle name="Comma 8 2 6 2 7 3" xfId="40609" xr:uid="{2D7C1D4D-CABC-4004-A068-E088745B37A9}"/>
    <cellStyle name="Comma 8 2 6 2 8" xfId="16417" xr:uid="{7EAB6777-EEB6-4DD2-B393-C9B68D692CDE}"/>
    <cellStyle name="Comma 8 2 6 2 8 2" xfId="46657" xr:uid="{FC46B67C-944A-43AB-BECB-6EC657F0BE06}"/>
    <cellStyle name="Comma 8 2 6 2 9" xfId="31537" xr:uid="{CCFCE093-E00F-4BD7-9F68-AABB2BAAE6D4}"/>
    <cellStyle name="Comma 8 2 6 3" xfId="2053" xr:uid="{9259875C-EC55-48D1-B6CE-44F34924A458}"/>
    <cellStyle name="Comma 8 2 6 3 2" xfId="11125" xr:uid="{04AB9E12-0BF0-4CA5-B0AF-A57AD20CB586}"/>
    <cellStyle name="Comma 8 2 6 3 2 2" xfId="26245" xr:uid="{91CD8240-87A4-4079-B3BD-EB314927DA23}"/>
    <cellStyle name="Comma 8 2 6 3 2 2 2" xfId="56485" xr:uid="{6301C69B-8189-4DEF-8371-41B2200AD3AC}"/>
    <cellStyle name="Comma 8 2 6 3 2 3" xfId="41365" xr:uid="{D17D7764-BAE1-433A-9B4A-1692F4A9F3D4}"/>
    <cellStyle name="Comma 8 2 6 3 3" xfId="17173" xr:uid="{06F7A966-3A8F-4C4E-9F82-DB259A22814D}"/>
    <cellStyle name="Comma 8 2 6 3 3 2" xfId="47413" xr:uid="{A50DBEC3-DD64-46D8-A16E-A45B2FC42D53}"/>
    <cellStyle name="Comma 8 2 6 3 4" xfId="32293" xr:uid="{EEF0C83F-33E8-4617-A3CC-2509FF1291F6}"/>
    <cellStyle name="Comma 8 2 6 4" xfId="3565" xr:uid="{9E8C268E-B161-4452-A05F-C494B515B104}"/>
    <cellStyle name="Comma 8 2 6 4 2" xfId="12637" xr:uid="{226EBE9F-5056-448E-8AE8-D5FE1465F3D9}"/>
    <cellStyle name="Comma 8 2 6 4 2 2" xfId="27757" xr:uid="{ABFD52B5-6D77-4AAF-9423-8872C2907A8C}"/>
    <cellStyle name="Comma 8 2 6 4 2 2 2" xfId="57997" xr:uid="{3A2E37F2-1946-4996-8504-82BF47422EAD}"/>
    <cellStyle name="Comma 8 2 6 4 2 3" xfId="42877" xr:uid="{414FC25E-6B24-4F97-8F83-4923E24E248A}"/>
    <cellStyle name="Comma 8 2 6 4 3" xfId="18685" xr:uid="{07028BF2-B0DB-47BF-8716-73BEF659D2D8}"/>
    <cellStyle name="Comma 8 2 6 4 3 2" xfId="48925" xr:uid="{CBE6FAF9-1CD5-4821-9769-9D071ECE9E1A}"/>
    <cellStyle name="Comma 8 2 6 4 4" xfId="33805" xr:uid="{DF355CFD-CEE7-4C22-A475-F13E30323B5D}"/>
    <cellStyle name="Comma 8 2 6 5" xfId="5077" xr:uid="{2641EABD-DBD0-453F-80C6-19A347F120D3}"/>
    <cellStyle name="Comma 8 2 6 5 2" xfId="14149" xr:uid="{BD469FE5-EE67-44A7-8876-ED9F90846D31}"/>
    <cellStyle name="Comma 8 2 6 5 2 2" xfId="29269" xr:uid="{D3C19BC9-9FA3-436D-AD02-B8A6B8E60425}"/>
    <cellStyle name="Comma 8 2 6 5 2 2 2" xfId="59509" xr:uid="{A45A003D-C6F9-4A57-B140-0F1D0D96E4E6}"/>
    <cellStyle name="Comma 8 2 6 5 2 3" xfId="44389" xr:uid="{4CABE4CD-7287-4314-9912-FC843F28FE78}"/>
    <cellStyle name="Comma 8 2 6 5 3" xfId="20197" xr:uid="{B7CCE76E-DA40-42A2-9FE8-EF07E2433066}"/>
    <cellStyle name="Comma 8 2 6 5 3 2" xfId="50437" xr:uid="{5F4D7F89-3A4E-429D-B97D-8F1FB3E4393E}"/>
    <cellStyle name="Comma 8 2 6 5 4" xfId="35317" xr:uid="{52D9B11A-B454-4E7A-AC62-CD24319AAEBD}"/>
    <cellStyle name="Comma 8 2 6 6" xfId="6589" xr:uid="{DFBAAF61-DF30-4184-9899-678140191AD6}"/>
    <cellStyle name="Comma 8 2 6 6 2" xfId="21709" xr:uid="{1C5C219B-A12F-42E9-8AE1-604D25A66BD1}"/>
    <cellStyle name="Comma 8 2 6 6 2 2" xfId="51949" xr:uid="{2B126F24-CE88-48A1-AC53-CA7F699C0AB9}"/>
    <cellStyle name="Comma 8 2 6 6 3" xfId="36829" xr:uid="{1EA7B638-2D0F-4642-8291-30C407E16666}"/>
    <cellStyle name="Comma 8 2 6 7" xfId="8101" xr:uid="{DC6F84C8-84A0-472E-B74E-E39CAE0AF4A9}"/>
    <cellStyle name="Comma 8 2 6 7 2" xfId="23221" xr:uid="{A663E0E1-65BC-440F-9F9D-CDC1CD841002}"/>
    <cellStyle name="Comma 8 2 6 7 2 2" xfId="53461" xr:uid="{C593FEF7-1ACF-49C0-89DE-81E6927494A7}"/>
    <cellStyle name="Comma 8 2 6 7 3" xfId="38341" xr:uid="{B00EDCF3-1BF3-438A-AF18-C07AD5FC9C70}"/>
    <cellStyle name="Comma 8 2 6 8" xfId="9613" xr:uid="{2AD4BD93-7378-4ACC-A41B-51F0931A6A06}"/>
    <cellStyle name="Comma 8 2 6 8 2" xfId="24733" xr:uid="{F2922872-16A3-4A9C-BE05-A0C19EB17FF1}"/>
    <cellStyle name="Comma 8 2 6 8 2 2" xfId="54973" xr:uid="{E7FF2D45-67DF-4AFA-9F89-34861D9D9D28}"/>
    <cellStyle name="Comma 8 2 6 8 3" xfId="39853" xr:uid="{A579B1CA-6BCA-46A6-B4BA-337FEA4EEC41}"/>
    <cellStyle name="Comma 8 2 6 9" xfId="15661" xr:uid="{B716A5B6-D6AE-407F-8E1F-1CE6AD2E9B74}"/>
    <cellStyle name="Comma 8 2 6 9 2" xfId="45901" xr:uid="{9F1130F6-F8E9-4B03-BC39-0DD016F6F791}"/>
    <cellStyle name="Comma 8 2 7" xfId="793" xr:uid="{94B23E34-34BF-41F7-9210-245DCA13D7B2}"/>
    <cellStyle name="Comma 8 2 7 2" xfId="2305" xr:uid="{5A001D19-9B52-4762-81D6-5C8C13CEF12F}"/>
    <cellStyle name="Comma 8 2 7 2 2" xfId="11377" xr:uid="{8B45FAF5-AC82-4136-BA69-13E92540C571}"/>
    <cellStyle name="Comma 8 2 7 2 2 2" xfId="26497" xr:uid="{FD7C8A0B-AE95-4B24-B954-6F8B305FE50E}"/>
    <cellStyle name="Comma 8 2 7 2 2 2 2" xfId="56737" xr:uid="{BCDA17C1-AECC-4001-B5DA-0C027D2D6C3F}"/>
    <cellStyle name="Comma 8 2 7 2 2 3" xfId="41617" xr:uid="{449EB6E4-569F-48E1-AFC4-BA014C9531F9}"/>
    <cellStyle name="Comma 8 2 7 2 3" xfId="17425" xr:uid="{73EB9F06-101B-4F6E-B968-1E4F83C84202}"/>
    <cellStyle name="Comma 8 2 7 2 3 2" xfId="47665" xr:uid="{FABFAEFC-740B-46B8-A3FC-85F6A5D0C1CF}"/>
    <cellStyle name="Comma 8 2 7 2 4" xfId="32545" xr:uid="{97F58D2F-9BC9-472D-85D2-6E8CF3E16BAB}"/>
    <cellStyle name="Comma 8 2 7 3" xfId="3817" xr:uid="{F0BF7F03-6C21-4457-A45B-EC5D8902395B}"/>
    <cellStyle name="Comma 8 2 7 3 2" xfId="12889" xr:uid="{80EAB00A-1C3C-4713-B36F-7ED211E27BC1}"/>
    <cellStyle name="Comma 8 2 7 3 2 2" xfId="28009" xr:uid="{BFE9CA89-8D8C-469B-9797-5C71FC2785FC}"/>
    <cellStyle name="Comma 8 2 7 3 2 2 2" xfId="58249" xr:uid="{A7BD51C8-0B79-452D-B8B8-371EFC350303}"/>
    <cellStyle name="Comma 8 2 7 3 2 3" xfId="43129" xr:uid="{BE45DCD8-55A3-48ED-A398-2D8AA9E48568}"/>
    <cellStyle name="Comma 8 2 7 3 3" xfId="18937" xr:uid="{0CB58182-6916-4071-B9CA-C55F563394AC}"/>
    <cellStyle name="Comma 8 2 7 3 3 2" xfId="49177" xr:uid="{07A29C04-7B59-4A7F-B0D5-AD1C6B3CF16F}"/>
    <cellStyle name="Comma 8 2 7 3 4" xfId="34057" xr:uid="{EA9AA925-BD37-4151-BA11-DECBC3E4A8A6}"/>
    <cellStyle name="Comma 8 2 7 4" xfId="5329" xr:uid="{88DFC563-D00D-4211-BF7A-2F10C6604453}"/>
    <cellStyle name="Comma 8 2 7 4 2" xfId="14401" xr:uid="{3A322342-95CC-4FEB-B8BF-0F66D4D6F01B}"/>
    <cellStyle name="Comma 8 2 7 4 2 2" xfId="29521" xr:uid="{30E57A59-3360-48EF-82DD-46251619F7E9}"/>
    <cellStyle name="Comma 8 2 7 4 2 2 2" xfId="59761" xr:uid="{6C759A17-0D59-4749-AE2F-D21BDD6255A4}"/>
    <cellStyle name="Comma 8 2 7 4 2 3" xfId="44641" xr:uid="{7ED4B73D-750F-4DA4-BA8B-86202BB294F1}"/>
    <cellStyle name="Comma 8 2 7 4 3" xfId="20449" xr:uid="{FF23D99F-05B4-47CF-9019-8FD5830C2058}"/>
    <cellStyle name="Comma 8 2 7 4 3 2" xfId="50689" xr:uid="{8E91F6E4-D109-40E8-B91A-23DCB0648AEB}"/>
    <cellStyle name="Comma 8 2 7 4 4" xfId="35569" xr:uid="{F84A6A83-B0FD-489A-9309-E4AC6EF977B2}"/>
    <cellStyle name="Comma 8 2 7 5" xfId="6841" xr:uid="{D93B43F1-B3CE-4838-9108-C2EB206015BE}"/>
    <cellStyle name="Comma 8 2 7 5 2" xfId="21961" xr:uid="{8307022D-8B98-47A9-A04A-F53F0F754545}"/>
    <cellStyle name="Comma 8 2 7 5 2 2" xfId="52201" xr:uid="{9F2C9E11-12CF-4967-8828-4CE7F837C790}"/>
    <cellStyle name="Comma 8 2 7 5 3" xfId="37081" xr:uid="{917959B4-5A14-454F-8161-810B0A0B0E9C}"/>
    <cellStyle name="Comma 8 2 7 6" xfId="8353" xr:uid="{5B0AE5D7-B0FA-46D7-BAEB-0970EADB87DD}"/>
    <cellStyle name="Comma 8 2 7 6 2" xfId="23473" xr:uid="{323C18AC-7064-4FD3-A511-F33FCDC7459E}"/>
    <cellStyle name="Comma 8 2 7 6 2 2" xfId="53713" xr:uid="{0ADEA3C5-2CBE-456B-93E7-69606C1EE807}"/>
    <cellStyle name="Comma 8 2 7 6 3" xfId="38593" xr:uid="{F6340E73-7E63-423B-B7F0-21C804308BA4}"/>
    <cellStyle name="Comma 8 2 7 7" xfId="9865" xr:uid="{A5082D72-6C45-4CFA-BF4F-ECE76515D02C}"/>
    <cellStyle name="Comma 8 2 7 7 2" xfId="24985" xr:uid="{B70316BC-C540-49F2-B9AA-CE971FADCA32}"/>
    <cellStyle name="Comma 8 2 7 7 2 2" xfId="55225" xr:uid="{2E341878-D53F-485F-8223-D896E9EE8173}"/>
    <cellStyle name="Comma 8 2 7 7 3" xfId="40105" xr:uid="{5B1B6795-9790-49CF-B5A3-598CD166BBE3}"/>
    <cellStyle name="Comma 8 2 7 8" xfId="15913" xr:uid="{D2F9BE35-B793-4E6D-B3B1-99D652462B70}"/>
    <cellStyle name="Comma 8 2 7 8 2" xfId="46153" xr:uid="{EAEBFBD5-ACC4-420C-8739-A64EF4FBDBD8}"/>
    <cellStyle name="Comma 8 2 7 9" xfId="31033" xr:uid="{D5D1CC37-0B54-4534-87A7-31A791570546}"/>
    <cellStyle name="Comma 8 2 8" xfId="1549" xr:uid="{4682E79D-9D40-4DF7-99B5-466045AA0A99}"/>
    <cellStyle name="Comma 8 2 8 2" xfId="10621" xr:uid="{2FEA149C-2992-4672-B164-E84A01589046}"/>
    <cellStyle name="Comma 8 2 8 2 2" xfId="25741" xr:uid="{C95FF43B-C8D7-4BD4-B705-EB837332FDF0}"/>
    <cellStyle name="Comma 8 2 8 2 2 2" xfId="55981" xr:uid="{15F6E3EF-633C-4B05-8326-8DB0B4F1E234}"/>
    <cellStyle name="Comma 8 2 8 2 3" xfId="40861" xr:uid="{CFE2BC9E-DBF8-44BC-82A0-62240797F024}"/>
    <cellStyle name="Comma 8 2 8 3" xfId="16669" xr:uid="{1E5C3146-7D29-46D8-AAC8-A8999D54A25E}"/>
    <cellStyle name="Comma 8 2 8 3 2" xfId="46909" xr:uid="{F33F6741-6B02-4933-AD66-A2ED7DEAE848}"/>
    <cellStyle name="Comma 8 2 8 4" xfId="31789" xr:uid="{E292A9BC-BBB7-4748-8AD7-D1A78557A65D}"/>
    <cellStyle name="Comma 8 2 9" xfId="3061" xr:uid="{FA179672-14A3-41FC-8B6B-A2FA91D75102}"/>
    <cellStyle name="Comma 8 2 9 2" xfId="12133" xr:uid="{B905FF9A-2FC0-4DB0-A892-742E974EE242}"/>
    <cellStyle name="Comma 8 2 9 2 2" xfId="27253" xr:uid="{1DA0E706-BC2C-4A53-A039-624675E52F33}"/>
    <cellStyle name="Comma 8 2 9 2 2 2" xfId="57493" xr:uid="{123EF64E-252E-41C9-BA2F-1CAB2D641AA2}"/>
    <cellStyle name="Comma 8 2 9 2 3" xfId="42373" xr:uid="{C2DA7C75-099C-4ACE-9F18-1B53B206CE3F}"/>
    <cellStyle name="Comma 8 2 9 3" xfId="18181" xr:uid="{F222A00E-FB65-4CD9-964D-D5AB4AB04572}"/>
    <cellStyle name="Comma 8 2 9 3 2" xfId="48421" xr:uid="{4D10DA9B-6FD7-4411-A72E-26245FC65FB5}"/>
    <cellStyle name="Comma 8 2 9 4" xfId="33301" xr:uid="{B336D382-044E-4E24-9B82-BB63675EC032}"/>
    <cellStyle name="Comma 8 3" xfId="51" xr:uid="{73307E91-09A3-4A0F-9D70-F447F61B5A7B}"/>
    <cellStyle name="Comma 8 3 10" xfId="4587" xr:uid="{A2F37C34-CCF1-468B-B312-A1EF7501A719}"/>
    <cellStyle name="Comma 8 3 10 2" xfId="13659" xr:uid="{04A910EC-0C2C-49B8-B179-11A5AE342EEC}"/>
    <cellStyle name="Comma 8 3 10 2 2" xfId="28779" xr:uid="{629426DF-DA5E-47BD-87F7-13CDFD1BBB8F}"/>
    <cellStyle name="Comma 8 3 10 2 2 2" xfId="59019" xr:uid="{FDFBF274-160E-4B93-8094-F5F60FCC9791}"/>
    <cellStyle name="Comma 8 3 10 2 3" xfId="43899" xr:uid="{AC2F1781-F65C-450C-B4D2-DF3F53BCF91B}"/>
    <cellStyle name="Comma 8 3 10 3" xfId="19707" xr:uid="{D8A7195C-6C3F-4048-8760-FBC68884E7E6}"/>
    <cellStyle name="Comma 8 3 10 3 2" xfId="49947" xr:uid="{B9C31DE0-10A2-45BD-9340-A63EDD4DC85F}"/>
    <cellStyle name="Comma 8 3 10 4" xfId="34827" xr:uid="{F423106B-4D86-4317-8BAB-B614B816773F}"/>
    <cellStyle name="Comma 8 3 11" xfId="6099" xr:uid="{E097589F-844B-47E9-A0CF-5D98AEA80E53}"/>
    <cellStyle name="Comma 8 3 11 2" xfId="21219" xr:uid="{AEA2FD5E-C021-40D6-90E9-5D177CBC9AB8}"/>
    <cellStyle name="Comma 8 3 11 2 2" xfId="51459" xr:uid="{3712409E-0BC1-4083-B468-0F8885001209}"/>
    <cellStyle name="Comma 8 3 11 3" xfId="36339" xr:uid="{0EF9A352-9242-475A-BD13-A7F5AF6FA884}"/>
    <cellStyle name="Comma 8 3 12" xfId="7611" xr:uid="{60C5B6C1-0511-4A79-9F49-3731825A4F4B}"/>
    <cellStyle name="Comma 8 3 12 2" xfId="22731" xr:uid="{540C9C1A-15CD-4DDF-ACDB-C253F817E835}"/>
    <cellStyle name="Comma 8 3 12 2 2" xfId="52971" xr:uid="{62244087-2FC7-4D49-BF6F-92B61FB5A6FF}"/>
    <cellStyle name="Comma 8 3 12 3" xfId="37851" xr:uid="{2A4360EE-148B-44A0-BABD-8F9C3790D543}"/>
    <cellStyle name="Comma 8 3 13" xfId="9123" xr:uid="{06178D54-E02F-4C4B-9E8F-41FC6DB97E29}"/>
    <cellStyle name="Comma 8 3 13 2" xfId="24243" xr:uid="{2D155338-1292-45AB-BDF5-EF22FB493593}"/>
    <cellStyle name="Comma 8 3 13 2 2" xfId="54483" xr:uid="{51C3FCC8-CCB8-4FFC-9D1E-83A956047C95}"/>
    <cellStyle name="Comma 8 3 13 3" xfId="39363" xr:uid="{3CD6B503-6ABA-4DC3-AE7A-335703A02D35}"/>
    <cellStyle name="Comma 8 3 14" xfId="15171" xr:uid="{0E49F2EA-6C71-4F45-A61C-A3944EBA38D1}"/>
    <cellStyle name="Comma 8 3 14 2" xfId="45411" xr:uid="{B7FE095B-5607-4A0A-B34D-EA1DD8AB851B}"/>
    <cellStyle name="Comma 8 3 15" xfId="30291" xr:uid="{E5D8579E-B19F-4F2D-89F5-C1C69045B8E5}"/>
    <cellStyle name="Comma 8 3 2" xfId="93" xr:uid="{AC6E25AF-8AF5-4831-8153-AD12A6773B94}"/>
    <cellStyle name="Comma 8 3 2 10" xfId="6141" xr:uid="{7EE34EBC-F395-4EE5-8CF1-CBB5519C31D1}"/>
    <cellStyle name="Comma 8 3 2 10 2" xfId="21261" xr:uid="{031D642A-1228-42E1-9505-4E95A9D9490A}"/>
    <cellStyle name="Comma 8 3 2 10 2 2" xfId="51501" xr:uid="{1E41C0CE-5999-4B67-9B69-01DBB0A7ECE8}"/>
    <cellStyle name="Comma 8 3 2 10 3" xfId="36381" xr:uid="{E403EF92-C048-4327-9811-6A7E988D95D9}"/>
    <cellStyle name="Comma 8 3 2 11" xfId="7653" xr:uid="{C6748400-A97D-4AFC-AA80-C3F773E95010}"/>
    <cellStyle name="Comma 8 3 2 11 2" xfId="22773" xr:uid="{FBB8430C-3F4A-41EA-B384-18BEEDC6522D}"/>
    <cellStyle name="Comma 8 3 2 11 2 2" xfId="53013" xr:uid="{84D9FAFD-9336-44D8-AD58-0AC31CE84D79}"/>
    <cellStyle name="Comma 8 3 2 11 3" xfId="37893" xr:uid="{4ECBF7E8-6C49-4C58-A2D2-D99EBA14C7D0}"/>
    <cellStyle name="Comma 8 3 2 12" xfId="9165" xr:uid="{9A1AA3F6-7AC9-4CD3-A569-5201562B4E00}"/>
    <cellStyle name="Comma 8 3 2 12 2" xfId="24285" xr:uid="{FB6554BF-347C-4D8A-9794-5DA97BB79AE9}"/>
    <cellStyle name="Comma 8 3 2 12 2 2" xfId="54525" xr:uid="{FC92E4F4-1507-4FA5-A639-5517E1AE5350}"/>
    <cellStyle name="Comma 8 3 2 12 3" xfId="39405" xr:uid="{10E7A2D2-AF15-4865-A97C-14B277E17935}"/>
    <cellStyle name="Comma 8 3 2 13" xfId="15213" xr:uid="{BCD16428-78A5-4852-876E-0854E10F2A2F}"/>
    <cellStyle name="Comma 8 3 2 13 2" xfId="45453" xr:uid="{92C03AD5-C7C0-40F7-B142-23B3E892ED03}"/>
    <cellStyle name="Comma 8 3 2 14" xfId="30333" xr:uid="{8A26E91B-424C-4541-95BA-EA19A805E626}"/>
    <cellStyle name="Comma 8 3 2 2" xfId="177" xr:uid="{DEA1143F-F69E-4507-825C-88873DC9D7A3}"/>
    <cellStyle name="Comma 8 3 2 2 10" xfId="9249" xr:uid="{D14CB40C-CE51-4DE8-890A-37043D45ABAF}"/>
    <cellStyle name="Comma 8 3 2 2 10 2" xfId="24369" xr:uid="{2BDAEFB0-8F90-4169-A0E3-DF3192EEEE75}"/>
    <cellStyle name="Comma 8 3 2 2 10 2 2" xfId="54609" xr:uid="{DE9B5B84-5793-4290-A381-0E15EFB302D7}"/>
    <cellStyle name="Comma 8 3 2 2 10 3" xfId="39489" xr:uid="{339B4393-2FC8-4A9C-80EE-A0021FEB3E9E}"/>
    <cellStyle name="Comma 8 3 2 2 11" xfId="15297" xr:uid="{9589EEB0-CF06-4FCA-B121-2E46DAF31A52}"/>
    <cellStyle name="Comma 8 3 2 2 11 2" xfId="45537" xr:uid="{4F66BB1E-4D06-4CDF-9420-5F55AE4AC59B}"/>
    <cellStyle name="Comma 8 3 2 2 12" xfId="30417" xr:uid="{B10189BC-BCEF-4698-B77C-0537727B4DBC}"/>
    <cellStyle name="Comma 8 3 2 2 2" xfId="429" xr:uid="{DA7A2D12-A292-473C-84FD-0D84DE4C7407}"/>
    <cellStyle name="Comma 8 3 2 2 2 10" xfId="30669" xr:uid="{DD125B1B-E4C2-419F-BBC7-8B1A6CE5D124}"/>
    <cellStyle name="Comma 8 3 2 2 2 2" xfId="1185" xr:uid="{F4BEE376-8FD2-4301-9E97-0EF9D416A86F}"/>
    <cellStyle name="Comma 8 3 2 2 2 2 2" xfId="2697" xr:uid="{7D633FED-90AF-474A-BAE8-F400012B4837}"/>
    <cellStyle name="Comma 8 3 2 2 2 2 2 2" xfId="11769" xr:uid="{7CBBB5EC-293C-4461-86B5-951906C3A3AC}"/>
    <cellStyle name="Comma 8 3 2 2 2 2 2 2 2" xfId="26889" xr:uid="{5D873BC8-C4EF-4358-8A03-6BEDF1176989}"/>
    <cellStyle name="Comma 8 3 2 2 2 2 2 2 2 2" xfId="57129" xr:uid="{EC0678F3-562A-4E93-8210-479AB0CA7FE7}"/>
    <cellStyle name="Comma 8 3 2 2 2 2 2 2 3" xfId="42009" xr:uid="{EA0B59A5-751F-4B03-B079-8D3BC047ED00}"/>
    <cellStyle name="Comma 8 3 2 2 2 2 2 3" xfId="17817" xr:uid="{9291F605-BCFA-40E7-A072-C37801457ED4}"/>
    <cellStyle name="Comma 8 3 2 2 2 2 2 3 2" xfId="48057" xr:uid="{E3A69249-36AA-4E80-9C5B-D03271C0FE47}"/>
    <cellStyle name="Comma 8 3 2 2 2 2 2 4" xfId="32937" xr:uid="{01A5D297-55AF-4690-A463-AF44FC1ABADB}"/>
    <cellStyle name="Comma 8 3 2 2 2 2 3" xfId="4209" xr:uid="{23531B0D-2403-4584-8E7A-550315BB67E1}"/>
    <cellStyle name="Comma 8 3 2 2 2 2 3 2" xfId="13281" xr:uid="{BAF266D5-8CE8-406B-926B-0EFD603CBE15}"/>
    <cellStyle name="Comma 8 3 2 2 2 2 3 2 2" xfId="28401" xr:uid="{B3E8100F-8B1A-40D1-84F5-DC1BC212BFB7}"/>
    <cellStyle name="Comma 8 3 2 2 2 2 3 2 2 2" xfId="58641" xr:uid="{FCAE5AB6-6E1A-44B2-918E-1459BF269158}"/>
    <cellStyle name="Comma 8 3 2 2 2 2 3 2 3" xfId="43521" xr:uid="{E952C6BF-9B01-4AAB-B16D-166CF896CC72}"/>
    <cellStyle name="Comma 8 3 2 2 2 2 3 3" xfId="19329" xr:uid="{DACED803-3409-4E59-B957-39B38C07FEB6}"/>
    <cellStyle name="Comma 8 3 2 2 2 2 3 3 2" xfId="49569" xr:uid="{168652AD-8F03-4489-951D-288841621C7F}"/>
    <cellStyle name="Comma 8 3 2 2 2 2 3 4" xfId="34449" xr:uid="{64271524-5723-4E61-A2FC-61BB947CA876}"/>
    <cellStyle name="Comma 8 3 2 2 2 2 4" xfId="5721" xr:uid="{1B7567AB-50B6-47FA-9965-1BE093C9FE5D}"/>
    <cellStyle name="Comma 8 3 2 2 2 2 4 2" xfId="14793" xr:uid="{4950CF05-DC1F-48E6-8971-26DA3606E1B2}"/>
    <cellStyle name="Comma 8 3 2 2 2 2 4 2 2" xfId="29913" xr:uid="{090D3570-4C8B-49E5-B213-2F75FDD590F9}"/>
    <cellStyle name="Comma 8 3 2 2 2 2 4 2 2 2" xfId="60153" xr:uid="{345F3C11-14CE-43A4-B322-F47BBA660A03}"/>
    <cellStyle name="Comma 8 3 2 2 2 2 4 2 3" xfId="45033" xr:uid="{86C6A2D4-DA93-4120-A451-68C00BB7A836}"/>
    <cellStyle name="Comma 8 3 2 2 2 2 4 3" xfId="20841" xr:uid="{FC19E062-6DBA-419C-BA4B-EE0CEF758C17}"/>
    <cellStyle name="Comma 8 3 2 2 2 2 4 3 2" xfId="51081" xr:uid="{EB5A5D16-0AC1-4351-9B32-581155161749}"/>
    <cellStyle name="Comma 8 3 2 2 2 2 4 4" xfId="35961" xr:uid="{AA174BD3-91BF-43C1-99BE-C2CD966FA02F}"/>
    <cellStyle name="Comma 8 3 2 2 2 2 5" xfId="7233" xr:uid="{82879E26-5882-4BC5-9DD3-022EFFE4C537}"/>
    <cellStyle name="Comma 8 3 2 2 2 2 5 2" xfId="22353" xr:uid="{877DA627-500D-48EC-BDDF-267AAE3D0124}"/>
    <cellStyle name="Comma 8 3 2 2 2 2 5 2 2" xfId="52593" xr:uid="{99A051F9-1DD6-4B7B-834D-F3231BD485D9}"/>
    <cellStyle name="Comma 8 3 2 2 2 2 5 3" xfId="37473" xr:uid="{58ADF08E-ADA7-4A87-AEB6-EE77D115FB0F}"/>
    <cellStyle name="Comma 8 3 2 2 2 2 6" xfId="8745" xr:uid="{FF293988-E6C5-4822-A231-D79F83A914F7}"/>
    <cellStyle name="Comma 8 3 2 2 2 2 6 2" xfId="23865" xr:uid="{D11103A9-0E96-4E3E-B8E3-F8CEF9792474}"/>
    <cellStyle name="Comma 8 3 2 2 2 2 6 2 2" xfId="54105" xr:uid="{F44B686D-7659-46FF-BF51-E4D583C1F778}"/>
    <cellStyle name="Comma 8 3 2 2 2 2 6 3" xfId="38985" xr:uid="{D5BEDFD6-5033-4F03-BB8A-A544A055F51B}"/>
    <cellStyle name="Comma 8 3 2 2 2 2 7" xfId="10257" xr:uid="{8FA1358B-7CCA-467F-A56A-2CAFE9863EA3}"/>
    <cellStyle name="Comma 8 3 2 2 2 2 7 2" xfId="25377" xr:uid="{24D44800-0E1C-4537-8353-A836E0D1EE2D}"/>
    <cellStyle name="Comma 8 3 2 2 2 2 7 2 2" xfId="55617" xr:uid="{16B4021B-A9D1-471E-8B01-8A1EA7953527}"/>
    <cellStyle name="Comma 8 3 2 2 2 2 7 3" xfId="40497" xr:uid="{16070D25-14A5-465A-ADAC-63DF136A063A}"/>
    <cellStyle name="Comma 8 3 2 2 2 2 8" xfId="16305" xr:uid="{D5447918-814C-4C71-8E1F-7101532F0C71}"/>
    <cellStyle name="Comma 8 3 2 2 2 2 8 2" xfId="46545" xr:uid="{88CD172D-0858-4C67-802C-5E4977D19EEE}"/>
    <cellStyle name="Comma 8 3 2 2 2 2 9" xfId="31425" xr:uid="{8EAB0477-A2F2-4762-832D-B76E61497A8C}"/>
    <cellStyle name="Comma 8 3 2 2 2 3" xfId="1941" xr:uid="{90ABF016-6605-4ADC-9D8F-62BE1D112BF0}"/>
    <cellStyle name="Comma 8 3 2 2 2 3 2" xfId="11013" xr:uid="{DC77F7F9-E37D-4F17-B2A4-4A916AF2C829}"/>
    <cellStyle name="Comma 8 3 2 2 2 3 2 2" xfId="26133" xr:uid="{B7359C88-FDF7-4769-81A0-D8EEB7A91AC4}"/>
    <cellStyle name="Comma 8 3 2 2 2 3 2 2 2" xfId="56373" xr:uid="{7120111C-EA5C-47B3-BBB3-8DB7CB901CA3}"/>
    <cellStyle name="Comma 8 3 2 2 2 3 2 3" xfId="41253" xr:uid="{492E1874-3D6A-4311-BF0B-5AD84E88D265}"/>
    <cellStyle name="Comma 8 3 2 2 2 3 3" xfId="17061" xr:uid="{2112C9DE-EA7A-4062-9B21-2CDC9608C244}"/>
    <cellStyle name="Comma 8 3 2 2 2 3 3 2" xfId="47301" xr:uid="{BB478A7B-7D54-4ADD-8E6C-5ADF78D3EA66}"/>
    <cellStyle name="Comma 8 3 2 2 2 3 4" xfId="32181" xr:uid="{5AD8D715-FB03-43F1-A515-9F65C5ADDAC9}"/>
    <cellStyle name="Comma 8 3 2 2 2 4" xfId="3453" xr:uid="{B0866327-7B16-4F42-AB58-002C2590CE94}"/>
    <cellStyle name="Comma 8 3 2 2 2 4 2" xfId="12525" xr:uid="{BC28F917-78BD-4CD5-A8A8-473F7DB07204}"/>
    <cellStyle name="Comma 8 3 2 2 2 4 2 2" xfId="27645" xr:uid="{F47BB3BB-555B-45D1-9D4C-F043D6D41F03}"/>
    <cellStyle name="Comma 8 3 2 2 2 4 2 2 2" xfId="57885" xr:uid="{EE3F8F00-238A-424C-AFC9-FFE1E10CA41A}"/>
    <cellStyle name="Comma 8 3 2 2 2 4 2 3" xfId="42765" xr:uid="{5DB0244E-367F-4697-ACD6-EFC61527A846}"/>
    <cellStyle name="Comma 8 3 2 2 2 4 3" xfId="18573" xr:uid="{993F2158-DF24-4EA2-A4CC-404001D7E768}"/>
    <cellStyle name="Comma 8 3 2 2 2 4 3 2" xfId="48813" xr:uid="{F5373769-84FB-4C7C-ABDE-6AB1FAD8A3C9}"/>
    <cellStyle name="Comma 8 3 2 2 2 4 4" xfId="33693" xr:uid="{BDF74302-F547-4749-AFB9-4D0193AA353F}"/>
    <cellStyle name="Comma 8 3 2 2 2 5" xfId="4965" xr:uid="{60AF0643-DF72-4DCA-90D0-87AE99828074}"/>
    <cellStyle name="Comma 8 3 2 2 2 5 2" xfId="14037" xr:uid="{0447C150-363B-4FCE-8C64-70CC77ADF0D3}"/>
    <cellStyle name="Comma 8 3 2 2 2 5 2 2" xfId="29157" xr:uid="{69D56880-DA57-4C1E-9A99-F6DD189EE94B}"/>
    <cellStyle name="Comma 8 3 2 2 2 5 2 2 2" xfId="59397" xr:uid="{91587152-F100-4E7F-8F1E-1F677A5EE67E}"/>
    <cellStyle name="Comma 8 3 2 2 2 5 2 3" xfId="44277" xr:uid="{6EA0D783-E169-497A-BB0C-9991E5FDAF90}"/>
    <cellStyle name="Comma 8 3 2 2 2 5 3" xfId="20085" xr:uid="{873B56E0-0376-4E25-B2C3-298D531D29E1}"/>
    <cellStyle name="Comma 8 3 2 2 2 5 3 2" xfId="50325" xr:uid="{E7E489AA-0FF6-4D43-9830-AB970FE891E9}"/>
    <cellStyle name="Comma 8 3 2 2 2 5 4" xfId="35205" xr:uid="{62FF0C3B-8E3A-4855-86AD-34F3EDC9D8A9}"/>
    <cellStyle name="Comma 8 3 2 2 2 6" xfId="6477" xr:uid="{0B0CFF8D-74BB-4C09-8382-3256D482466A}"/>
    <cellStyle name="Comma 8 3 2 2 2 6 2" xfId="21597" xr:uid="{D4E15352-2E2D-4EBF-B8FA-95EC9CA1EA9C}"/>
    <cellStyle name="Comma 8 3 2 2 2 6 2 2" xfId="51837" xr:uid="{C013E00D-CB03-4259-AF20-6EBD9F4B47A3}"/>
    <cellStyle name="Comma 8 3 2 2 2 6 3" xfId="36717" xr:uid="{89E96238-A53C-4370-B0CF-92B504CED1EA}"/>
    <cellStyle name="Comma 8 3 2 2 2 7" xfId="7989" xr:uid="{3DD6A6DB-24A2-4A4E-8396-A0BCE02F79E9}"/>
    <cellStyle name="Comma 8 3 2 2 2 7 2" xfId="23109" xr:uid="{E38B1610-F413-40F4-B1B6-848CBBCC8314}"/>
    <cellStyle name="Comma 8 3 2 2 2 7 2 2" xfId="53349" xr:uid="{1E6DD214-3AAB-423C-8430-9DBEA45005F9}"/>
    <cellStyle name="Comma 8 3 2 2 2 7 3" xfId="38229" xr:uid="{C1A30F13-02EE-49EB-8483-081885CE0B89}"/>
    <cellStyle name="Comma 8 3 2 2 2 8" xfId="9501" xr:uid="{F96B4E6A-3015-40F0-83DD-794C3433BE05}"/>
    <cellStyle name="Comma 8 3 2 2 2 8 2" xfId="24621" xr:uid="{893E276C-06D0-4999-8536-99534729934D}"/>
    <cellStyle name="Comma 8 3 2 2 2 8 2 2" xfId="54861" xr:uid="{D2E4AE59-9B15-4325-B72D-41F4AE1CEAA3}"/>
    <cellStyle name="Comma 8 3 2 2 2 8 3" xfId="39741" xr:uid="{14176599-375D-4C46-9BC9-97D821E279B9}"/>
    <cellStyle name="Comma 8 3 2 2 2 9" xfId="15549" xr:uid="{0F080509-0DFC-4601-A16E-4B2E38890F14}"/>
    <cellStyle name="Comma 8 3 2 2 2 9 2" xfId="45789" xr:uid="{6F5A6CA3-A6C2-46FD-9B56-BA488966E714}"/>
    <cellStyle name="Comma 8 3 2 2 3" xfId="681" xr:uid="{6BF4CAB8-D5AF-495C-A13A-FD6A050D0DF3}"/>
    <cellStyle name="Comma 8 3 2 2 3 10" xfId="30921" xr:uid="{ACFBA3D4-6792-4222-8AD0-A7B2E8D296D5}"/>
    <cellStyle name="Comma 8 3 2 2 3 2" xfId="1437" xr:uid="{E7646DA1-D3BC-4DE4-A8FF-0705FC3B5F95}"/>
    <cellStyle name="Comma 8 3 2 2 3 2 2" xfId="2949" xr:uid="{F16DDAD9-E966-4FFE-B51F-5A8177EB103B}"/>
    <cellStyle name="Comma 8 3 2 2 3 2 2 2" xfId="12021" xr:uid="{4D735B53-7326-4BD2-BB41-42D295A116AD}"/>
    <cellStyle name="Comma 8 3 2 2 3 2 2 2 2" xfId="27141" xr:uid="{2EC6E9E3-7F5E-4154-B2A8-4162CCDFDD23}"/>
    <cellStyle name="Comma 8 3 2 2 3 2 2 2 2 2" xfId="57381" xr:uid="{1B9C7317-0DA4-49C2-BE3E-FA65DCAF9817}"/>
    <cellStyle name="Comma 8 3 2 2 3 2 2 2 3" xfId="42261" xr:uid="{AB6EB201-4177-43D8-8341-7D4A048EC585}"/>
    <cellStyle name="Comma 8 3 2 2 3 2 2 3" xfId="18069" xr:uid="{820DFCC0-382C-4AB8-867D-F31620AF2F83}"/>
    <cellStyle name="Comma 8 3 2 2 3 2 2 3 2" xfId="48309" xr:uid="{3048095E-389B-4D96-AB0C-A2D7616A25C1}"/>
    <cellStyle name="Comma 8 3 2 2 3 2 2 4" xfId="33189" xr:uid="{786A669B-44A5-4437-900E-254D4E269BDC}"/>
    <cellStyle name="Comma 8 3 2 2 3 2 3" xfId="4461" xr:uid="{86E7CE24-44A6-48F5-8446-530A0D26786B}"/>
    <cellStyle name="Comma 8 3 2 2 3 2 3 2" xfId="13533" xr:uid="{E2F81969-E8CB-4CC9-BEED-4F12FCE14C22}"/>
    <cellStyle name="Comma 8 3 2 2 3 2 3 2 2" xfId="28653" xr:uid="{69AF5B8F-11A7-40A2-BE87-403215C9DBDC}"/>
    <cellStyle name="Comma 8 3 2 2 3 2 3 2 2 2" xfId="58893" xr:uid="{9D08EB0C-2AEA-48CE-A1DF-1570A113C240}"/>
    <cellStyle name="Comma 8 3 2 2 3 2 3 2 3" xfId="43773" xr:uid="{4CCE22ED-AD7B-41CF-83ED-29A157BC176A}"/>
    <cellStyle name="Comma 8 3 2 2 3 2 3 3" xfId="19581" xr:uid="{2E9E25EF-8183-4C72-89D7-32B255192086}"/>
    <cellStyle name="Comma 8 3 2 2 3 2 3 3 2" xfId="49821" xr:uid="{680A45FC-6FEB-43E7-B4BD-9FD36C6749DB}"/>
    <cellStyle name="Comma 8 3 2 2 3 2 3 4" xfId="34701" xr:uid="{0855A721-0DED-4A06-A2FB-CAF92F41354D}"/>
    <cellStyle name="Comma 8 3 2 2 3 2 4" xfId="5973" xr:uid="{AA3D9CAB-1542-408C-811D-45EC1F71D08F}"/>
    <cellStyle name="Comma 8 3 2 2 3 2 4 2" xfId="15045" xr:uid="{304CED75-F1D5-44CD-9374-D7D3A5E34005}"/>
    <cellStyle name="Comma 8 3 2 2 3 2 4 2 2" xfId="30165" xr:uid="{20AC7B0B-9D39-4D86-8D39-4F55B6E3A00D}"/>
    <cellStyle name="Comma 8 3 2 2 3 2 4 2 2 2" xfId="60405" xr:uid="{AC66C36E-2100-4CD0-84EF-D96D6F193E59}"/>
    <cellStyle name="Comma 8 3 2 2 3 2 4 2 3" xfId="45285" xr:uid="{06C76279-2E36-414E-A874-6C95CD58EA4F}"/>
    <cellStyle name="Comma 8 3 2 2 3 2 4 3" xfId="21093" xr:uid="{65E5E8D0-2C0D-4A00-AE19-6E44996D426A}"/>
    <cellStyle name="Comma 8 3 2 2 3 2 4 3 2" xfId="51333" xr:uid="{0F4DD953-E7CA-4624-A3F6-A2D0AF759C8E}"/>
    <cellStyle name="Comma 8 3 2 2 3 2 4 4" xfId="36213" xr:uid="{D8D0544C-4257-4701-95BB-4C1C06C85C7F}"/>
    <cellStyle name="Comma 8 3 2 2 3 2 5" xfId="7485" xr:uid="{C4062BC3-6FF8-439F-A828-018F551F755B}"/>
    <cellStyle name="Comma 8 3 2 2 3 2 5 2" xfId="22605" xr:uid="{8BC29FD9-CEB7-48BB-A223-510AB1668753}"/>
    <cellStyle name="Comma 8 3 2 2 3 2 5 2 2" xfId="52845" xr:uid="{FC909C7B-0F3B-4890-9638-9F669C9B8BB5}"/>
    <cellStyle name="Comma 8 3 2 2 3 2 5 3" xfId="37725" xr:uid="{E09B1CF6-C089-4A68-A2FE-F48414EF9DE3}"/>
    <cellStyle name="Comma 8 3 2 2 3 2 6" xfId="8997" xr:uid="{6F3D07C1-67F0-4594-BD2C-6B3C4DC3738B}"/>
    <cellStyle name="Comma 8 3 2 2 3 2 6 2" xfId="24117" xr:uid="{CF3B585A-91AC-4DFD-9BDC-0FB07A8A5C26}"/>
    <cellStyle name="Comma 8 3 2 2 3 2 6 2 2" xfId="54357" xr:uid="{2E872A3D-563D-416F-BE2B-848BACAD6769}"/>
    <cellStyle name="Comma 8 3 2 2 3 2 6 3" xfId="39237" xr:uid="{CFFC08A5-8F5F-4A60-A7AD-2BF5A019E046}"/>
    <cellStyle name="Comma 8 3 2 2 3 2 7" xfId="10509" xr:uid="{BFB2D2AA-38A8-4266-B494-B7510816188F}"/>
    <cellStyle name="Comma 8 3 2 2 3 2 7 2" xfId="25629" xr:uid="{12BB6DDC-5612-4F27-A13C-2A9E82A13164}"/>
    <cellStyle name="Comma 8 3 2 2 3 2 7 2 2" xfId="55869" xr:uid="{776223E0-C062-4BFE-9466-AECF78256266}"/>
    <cellStyle name="Comma 8 3 2 2 3 2 7 3" xfId="40749" xr:uid="{D52594C5-8E28-47C3-AC06-6024FA2F87DF}"/>
    <cellStyle name="Comma 8 3 2 2 3 2 8" xfId="16557" xr:uid="{07363DCF-E41D-4906-9401-306C9619494A}"/>
    <cellStyle name="Comma 8 3 2 2 3 2 8 2" xfId="46797" xr:uid="{76E4B4FF-A241-4F54-B0CB-024EE7CBD3C9}"/>
    <cellStyle name="Comma 8 3 2 2 3 2 9" xfId="31677" xr:uid="{DE47850C-7305-44AF-B4AB-D4D003961FD7}"/>
    <cellStyle name="Comma 8 3 2 2 3 3" xfId="2193" xr:uid="{0AE11EB9-F51C-4480-A212-FC3319654ED5}"/>
    <cellStyle name="Comma 8 3 2 2 3 3 2" xfId="11265" xr:uid="{E436E3A8-7699-438D-9F10-317231CAF61D}"/>
    <cellStyle name="Comma 8 3 2 2 3 3 2 2" xfId="26385" xr:uid="{A206E9BC-E511-44F2-B341-D707BB43202D}"/>
    <cellStyle name="Comma 8 3 2 2 3 3 2 2 2" xfId="56625" xr:uid="{F715784A-FA8F-44FF-9BB8-5947E977DD48}"/>
    <cellStyle name="Comma 8 3 2 2 3 3 2 3" xfId="41505" xr:uid="{64066B0C-7C5B-45C6-AEA3-5B5381820E60}"/>
    <cellStyle name="Comma 8 3 2 2 3 3 3" xfId="17313" xr:uid="{B219D802-ECC5-449E-8459-778E71B30F78}"/>
    <cellStyle name="Comma 8 3 2 2 3 3 3 2" xfId="47553" xr:uid="{41BCB03A-3CD7-460B-BDF1-E3A7EF346C80}"/>
    <cellStyle name="Comma 8 3 2 2 3 3 4" xfId="32433" xr:uid="{C0F10DB6-9313-44D7-B9CF-51A812F650DE}"/>
    <cellStyle name="Comma 8 3 2 2 3 4" xfId="3705" xr:uid="{50F88CDA-B412-44F3-9944-54116781DCDB}"/>
    <cellStyle name="Comma 8 3 2 2 3 4 2" xfId="12777" xr:uid="{61FC3CF7-265C-43A5-B261-F5BFF1681CFD}"/>
    <cellStyle name="Comma 8 3 2 2 3 4 2 2" xfId="27897" xr:uid="{3D583CF4-BD0E-40CC-9B76-4B00B41345E6}"/>
    <cellStyle name="Comma 8 3 2 2 3 4 2 2 2" xfId="58137" xr:uid="{CE1063B2-8EC0-48C8-9A55-E677C36AF229}"/>
    <cellStyle name="Comma 8 3 2 2 3 4 2 3" xfId="43017" xr:uid="{293646C5-3D8F-45AF-BEF9-59B5A260B225}"/>
    <cellStyle name="Comma 8 3 2 2 3 4 3" xfId="18825" xr:uid="{86AD8DBC-66E8-4453-AE6C-D3E336C64344}"/>
    <cellStyle name="Comma 8 3 2 2 3 4 3 2" xfId="49065" xr:uid="{4FACE416-7E84-4D3D-9899-0377AB052AAF}"/>
    <cellStyle name="Comma 8 3 2 2 3 4 4" xfId="33945" xr:uid="{35DB3597-9128-44AD-8B0F-6719578C1F71}"/>
    <cellStyle name="Comma 8 3 2 2 3 5" xfId="5217" xr:uid="{27A03AC9-4A94-4B3B-A067-8C311D992AB3}"/>
    <cellStyle name="Comma 8 3 2 2 3 5 2" xfId="14289" xr:uid="{4B746881-E352-4C55-905D-6950CC5FA625}"/>
    <cellStyle name="Comma 8 3 2 2 3 5 2 2" xfId="29409" xr:uid="{46E49953-1238-4EBC-8227-17258DEEB4C4}"/>
    <cellStyle name="Comma 8 3 2 2 3 5 2 2 2" xfId="59649" xr:uid="{DC000137-67A9-411B-BB75-C202608983E5}"/>
    <cellStyle name="Comma 8 3 2 2 3 5 2 3" xfId="44529" xr:uid="{AC733AA1-842D-4010-B71D-D85B3496B274}"/>
    <cellStyle name="Comma 8 3 2 2 3 5 3" xfId="20337" xr:uid="{FE9BC5AE-44BF-4D48-9F92-8089AD7AB737}"/>
    <cellStyle name="Comma 8 3 2 2 3 5 3 2" xfId="50577" xr:uid="{E6539458-EF9A-42F1-A787-DB7B6015C17A}"/>
    <cellStyle name="Comma 8 3 2 2 3 5 4" xfId="35457" xr:uid="{F443DFC9-873A-480B-B5EE-BC9089A6EC87}"/>
    <cellStyle name="Comma 8 3 2 2 3 6" xfId="6729" xr:uid="{07B5BC52-9DDE-4866-8338-0D878B3DE74A}"/>
    <cellStyle name="Comma 8 3 2 2 3 6 2" xfId="21849" xr:uid="{F866326D-3718-42F1-AC2D-C72F3866F780}"/>
    <cellStyle name="Comma 8 3 2 2 3 6 2 2" xfId="52089" xr:uid="{D589A357-199E-4D00-92E2-38C8DA77DAF3}"/>
    <cellStyle name="Comma 8 3 2 2 3 6 3" xfId="36969" xr:uid="{999239C3-3879-4F26-919A-D48A1D177A3B}"/>
    <cellStyle name="Comma 8 3 2 2 3 7" xfId="8241" xr:uid="{D6C105D5-EF2C-49FC-9E37-70FDBCD7FBD1}"/>
    <cellStyle name="Comma 8 3 2 2 3 7 2" xfId="23361" xr:uid="{F10C42F9-DE1B-48AC-8BBB-BA1A5F7D567D}"/>
    <cellStyle name="Comma 8 3 2 2 3 7 2 2" xfId="53601" xr:uid="{9E4E0F22-D9A3-4070-B2EF-9E1BD0080E1F}"/>
    <cellStyle name="Comma 8 3 2 2 3 7 3" xfId="38481" xr:uid="{988EA0A5-38FF-46FE-B81D-8D06B94CA4D6}"/>
    <cellStyle name="Comma 8 3 2 2 3 8" xfId="9753" xr:uid="{85F73B33-FCA0-43AB-8596-0232E7A0ECE5}"/>
    <cellStyle name="Comma 8 3 2 2 3 8 2" xfId="24873" xr:uid="{132F694B-5DA2-4379-9218-C8F778796239}"/>
    <cellStyle name="Comma 8 3 2 2 3 8 2 2" xfId="55113" xr:uid="{8DC7DCC1-6611-4FBA-A3F3-E6C957A7D3B8}"/>
    <cellStyle name="Comma 8 3 2 2 3 8 3" xfId="39993" xr:uid="{2CD424CC-2A6C-400A-B76A-366D9D76F210}"/>
    <cellStyle name="Comma 8 3 2 2 3 9" xfId="15801" xr:uid="{CF4F3490-8879-4DEF-A0A3-36128CCA9A41}"/>
    <cellStyle name="Comma 8 3 2 2 3 9 2" xfId="46041" xr:uid="{1929C87B-5121-40C1-8FB1-3C6CDB582F6E}"/>
    <cellStyle name="Comma 8 3 2 2 4" xfId="933" xr:uid="{1AB2EE0E-1328-42C0-899B-0887866A889C}"/>
    <cellStyle name="Comma 8 3 2 2 4 2" xfId="2445" xr:uid="{7CDE43C3-7DDB-4C68-903D-97EE2277C5A1}"/>
    <cellStyle name="Comma 8 3 2 2 4 2 2" xfId="11517" xr:uid="{5324A6EC-768B-48D8-BAA8-C583EA815956}"/>
    <cellStyle name="Comma 8 3 2 2 4 2 2 2" xfId="26637" xr:uid="{88C4980D-9A3A-49EB-AD11-5B136B862579}"/>
    <cellStyle name="Comma 8 3 2 2 4 2 2 2 2" xfId="56877" xr:uid="{61047CF8-DB59-49DE-9953-3EAA80785151}"/>
    <cellStyle name="Comma 8 3 2 2 4 2 2 3" xfId="41757" xr:uid="{F50324DA-BF37-4396-92D0-406F15DC4DF7}"/>
    <cellStyle name="Comma 8 3 2 2 4 2 3" xfId="17565" xr:uid="{23EF49A5-0B57-4BBB-B9E0-BE6EFDD070B1}"/>
    <cellStyle name="Comma 8 3 2 2 4 2 3 2" xfId="47805" xr:uid="{4188747F-4E6E-4D05-B4B5-0AB09E1126A0}"/>
    <cellStyle name="Comma 8 3 2 2 4 2 4" xfId="32685" xr:uid="{90ED9098-79BB-4A78-AD60-7933A4951DEB}"/>
    <cellStyle name="Comma 8 3 2 2 4 3" xfId="3957" xr:uid="{23C9699B-9497-4A1D-B56E-477E3EF4128A}"/>
    <cellStyle name="Comma 8 3 2 2 4 3 2" xfId="13029" xr:uid="{D256EC2C-1370-42FA-BAEE-7F5DFB04CD83}"/>
    <cellStyle name="Comma 8 3 2 2 4 3 2 2" xfId="28149" xr:uid="{CEFE6511-C673-40EC-8E8E-C5A646825698}"/>
    <cellStyle name="Comma 8 3 2 2 4 3 2 2 2" xfId="58389" xr:uid="{9A7D778E-9531-486E-A8B9-6DD7198FE5A9}"/>
    <cellStyle name="Comma 8 3 2 2 4 3 2 3" xfId="43269" xr:uid="{51F381E2-2E64-4946-A1FA-77A252BD6FBB}"/>
    <cellStyle name="Comma 8 3 2 2 4 3 3" xfId="19077" xr:uid="{6A23372A-A052-4249-9E1C-1CA0B8724E4A}"/>
    <cellStyle name="Comma 8 3 2 2 4 3 3 2" xfId="49317" xr:uid="{7DFAAA71-2AEB-45C3-90D3-D85319DE1F8E}"/>
    <cellStyle name="Comma 8 3 2 2 4 3 4" xfId="34197" xr:uid="{A441F1C2-2238-4A82-A6C4-6B1168A4DE8D}"/>
    <cellStyle name="Comma 8 3 2 2 4 4" xfId="5469" xr:uid="{91CD8973-2972-4E9B-99AF-C3DC16EC0B4B}"/>
    <cellStyle name="Comma 8 3 2 2 4 4 2" xfId="14541" xr:uid="{D7EAA2DB-CA29-4407-AA10-3D31C8DF1477}"/>
    <cellStyle name="Comma 8 3 2 2 4 4 2 2" xfId="29661" xr:uid="{09055A1E-9FFB-474B-A96C-584E4AD16A9E}"/>
    <cellStyle name="Comma 8 3 2 2 4 4 2 2 2" xfId="59901" xr:uid="{9E92ECDA-D7A6-4BDD-BD61-71244A3B2128}"/>
    <cellStyle name="Comma 8 3 2 2 4 4 2 3" xfId="44781" xr:uid="{5A945693-C361-405E-93C5-6F55448D81BD}"/>
    <cellStyle name="Comma 8 3 2 2 4 4 3" xfId="20589" xr:uid="{10740305-5EDD-4EFA-A8E6-B8E4FBB6A9D8}"/>
    <cellStyle name="Comma 8 3 2 2 4 4 3 2" xfId="50829" xr:uid="{C0D12791-1EA5-4466-BCB9-C4658EDE8715}"/>
    <cellStyle name="Comma 8 3 2 2 4 4 4" xfId="35709" xr:uid="{14BB1166-96E5-4F46-9CAE-2775BB9CC3FD}"/>
    <cellStyle name="Comma 8 3 2 2 4 5" xfId="6981" xr:uid="{909FAE20-0A99-4BE8-8051-7206CFD2A4D2}"/>
    <cellStyle name="Comma 8 3 2 2 4 5 2" xfId="22101" xr:uid="{EC249D91-2451-4292-8B94-3FABD6D32CC1}"/>
    <cellStyle name="Comma 8 3 2 2 4 5 2 2" xfId="52341" xr:uid="{3E715A2B-04D7-49BB-8BCF-9FA2A83C0D62}"/>
    <cellStyle name="Comma 8 3 2 2 4 5 3" xfId="37221" xr:uid="{4656C90C-F6AE-45D7-A606-C2A4C7A93B5B}"/>
    <cellStyle name="Comma 8 3 2 2 4 6" xfId="8493" xr:uid="{DE0DEB91-DCF8-4E3F-913D-F20541D8C57A}"/>
    <cellStyle name="Comma 8 3 2 2 4 6 2" xfId="23613" xr:uid="{1336822E-1E32-4162-B85A-E98C549E0DD7}"/>
    <cellStyle name="Comma 8 3 2 2 4 6 2 2" xfId="53853" xr:uid="{CDD67C28-615B-4A71-8BE6-7CEAA584A9C6}"/>
    <cellStyle name="Comma 8 3 2 2 4 6 3" xfId="38733" xr:uid="{230F77AF-306B-46B6-938A-14B117F7D11E}"/>
    <cellStyle name="Comma 8 3 2 2 4 7" xfId="10005" xr:uid="{8AB0E9F5-5A77-473E-9E7B-78B400B76DF6}"/>
    <cellStyle name="Comma 8 3 2 2 4 7 2" xfId="25125" xr:uid="{8FC5BCF5-9F5A-4A4C-84A4-C9D24B25ED2E}"/>
    <cellStyle name="Comma 8 3 2 2 4 7 2 2" xfId="55365" xr:uid="{BF46BFB5-A50A-4004-B9FB-BDA0F72A72CF}"/>
    <cellStyle name="Comma 8 3 2 2 4 7 3" xfId="40245" xr:uid="{4B321559-F22D-4743-805F-4F32D88BD901}"/>
    <cellStyle name="Comma 8 3 2 2 4 8" xfId="16053" xr:uid="{55FC3C33-BAC0-4CBB-9C9B-201B098C2DA9}"/>
    <cellStyle name="Comma 8 3 2 2 4 8 2" xfId="46293" xr:uid="{CA47E1AC-879E-4D7F-A643-E9953D92EEBD}"/>
    <cellStyle name="Comma 8 3 2 2 4 9" xfId="31173" xr:uid="{2A7F2DB5-B836-4C2F-927A-BB7EF3539287}"/>
    <cellStyle name="Comma 8 3 2 2 5" xfId="1689" xr:uid="{BE51983F-CE21-489E-8E1D-32991FAEE947}"/>
    <cellStyle name="Comma 8 3 2 2 5 2" xfId="10761" xr:uid="{86D751C6-EF72-460A-99B8-359F3CB43416}"/>
    <cellStyle name="Comma 8 3 2 2 5 2 2" xfId="25881" xr:uid="{B46D2D64-3AFC-4270-B500-D87A2C43F6B8}"/>
    <cellStyle name="Comma 8 3 2 2 5 2 2 2" xfId="56121" xr:uid="{0F8EF45D-BA5E-4F72-BAD8-88DB11A3484A}"/>
    <cellStyle name="Comma 8 3 2 2 5 2 3" xfId="41001" xr:uid="{828A2F16-C734-4BAB-859B-118849C4C46C}"/>
    <cellStyle name="Comma 8 3 2 2 5 3" xfId="16809" xr:uid="{161FBF97-BA17-46EC-9A51-F8EA92F15C31}"/>
    <cellStyle name="Comma 8 3 2 2 5 3 2" xfId="47049" xr:uid="{71DFD0AB-8015-4399-9CA7-40C5F617D6EA}"/>
    <cellStyle name="Comma 8 3 2 2 5 4" xfId="31929" xr:uid="{E1B23707-6927-483E-9C2F-F00C0A4E9831}"/>
    <cellStyle name="Comma 8 3 2 2 6" xfId="3201" xr:uid="{8189EC75-11BA-45C5-8689-F8ECCBFFEAA4}"/>
    <cellStyle name="Comma 8 3 2 2 6 2" xfId="12273" xr:uid="{DF7B68E5-A81E-4DF4-8E43-30FCC394D3F1}"/>
    <cellStyle name="Comma 8 3 2 2 6 2 2" xfId="27393" xr:uid="{9D49908C-ED43-46D2-82F2-F864FB702348}"/>
    <cellStyle name="Comma 8 3 2 2 6 2 2 2" xfId="57633" xr:uid="{C7247A45-6EEA-4D50-BCF5-6CB1048EF5F0}"/>
    <cellStyle name="Comma 8 3 2 2 6 2 3" xfId="42513" xr:uid="{39CF2742-77D5-45A9-8387-335E16CBAB56}"/>
    <cellStyle name="Comma 8 3 2 2 6 3" xfId="18321" xr:uid="{606E1FFC-419F-4711-AA14-18CCF517A281}"/>
    <cellStyle name="Comma 8 3 2 2 6 3 2" xfId="48561" xr:uid="{3D31F27D-E974-4E56-AA2F-379A5A2B7F5E}"/>
    <cellStyle name="Comma 8 3 2 2 6 4" xfId="33441" xr:uid="{F7D8FC13-368E-4C49-83BB-81DBA17F24DD}"/>
    <cellStyle name="Comma 8 3 2 2 7" xfId="4713" xr:uid="{5CF5E600-8361-475A-9DC4-08938FAA4F6A}"/>
    <cellStyle name="Comma 8 3 2 2 7 2" xfId="13785" xr:uid="{785BF4F5-4E51-4CE1-BECA-A983B35F1761}"/>
    <cellStyle name="Comma 8 3 2 2 7 2 2" xfId="28905" xr:uid="{B76F1EBC-7B34-40B0-B51A-A2A070E5F90D}"/>
    <cellStyle name="Comma 8 3 2 2 7 2 2 2" xfId="59145" xr:uid="{95E19C3A-B611-4426-B041-8BFE3891C93A}"/>
    <cellStyle name="Comma 8 3 2 2 7 2 3" xfId="44025" xr:uid="{447B2BBA-FB04-495C-9361-DF64A734D2E7}"/>
    <cellStyle name="Comma 8 3 2 2 7 3" xfId="19833" xr:uid="{115A7B18-2AAC-414C-8B8B-947BFD680B3D}"/>
    <cellStyle name="Comma 8 3 2 2 7 3 2" xfId="50073" xr:uid="{AD144528-7235-4E43-BC40-8D0CDBC3BD43}"/>
    <cellStyle name="Comma 8 3 2 2 7 4" xfId="34953" xr:uid="{2AA752A7-647A-41FC-B9CF-3767062401AD}"/>
    <cellStyle name="Comma 8 3 2 2 8" xfId="6225" xr:uid="{8255142C-FAB6-4835-BFD2-491B31D6309D}"/>
    <cellStyle name="Comma 8 3 2 2 8 2" xfId="21345" xr:uid="{ADFC0F1A-9BC6-43C4-83EC-155B55A1CAB7}"/>
    <cellStyle name="Comma 8 3 2 2 8 2 2" xfId="51585" xr:uid="{DE032845-C022-444E-91DD-B7A93F132758}"/>
    <cellStyle name="Comma 8 3 2 2 8 3" xfId="36465" xr:uid="{E2C44147-7147-42A5-9C24-AF014494A336}"/>
    <cellStyle name="Comma 8 3 2 2 9" xfId="7737" xr:uid="{3081ACAB-AE72-418D-AED7-30DC403372FA}"/>
    <cellStyle name="Comma 8 3 2 2 9 2" xfId="22857" xr:uid="{F02298BD-E3FA-4734-9B1D-605CA4AED640}"/>
    <cellStyle name="Comma 8 3 2 2 9 2 2" xfId="53097" xr:uid="{EED32626-6186-4C5B-86C8-EE1208365714}"/>
    <cellStyle name="Comma 8 3 2 2 9 3" xfId="37977" xr:uid="{9262E56D-E29D-4625-818C-DF0761C51172}"/>
    <cellStyle name="Comma 8 3 2 3" xfId="261" xr:uid="{9992644B-663D-4CC6-B402-8D91A51DAB47}"/>
    <cellStyle name="Comma 8 3 2 3 10" xfId="9333" xr:uid="{95F38832-154B-431D-9C17-77425418B572}"/>
    <cellStyle name="Comma 8 3 2 3 10 2" xfId="24453" xr:uid="{9EC66EAC-D30A-4E9F-BF8C-47B33807883E}"/>
    <cellStyle name="Comma 8 3 2 3 10 2 2" xfId="54693" xr:uid="{3340C2E8-4A1E-433B-93ED-5727C9E94A52}"/>
    <cellStyle name="Comma 8 3 2 3 10 3" xfId="39573" xr:uid="{845D79A2-A17B-4AF0-BE72-A17B2C01A08F}"/>
    <cellStyle name="Comma 8 3 2 3 11" xfId="15381" xr:uid="{E39A7BE6-4F02-47DC-9C6A-5B3E1FF4B8E0}"/>
    <cellStyle name="Comma 8 3 2 3 11 2" xfId="45621" xr:uid="{FCF2A137-84FC-4608-BEFD-641D15708D17}"/>
    <cellStyle name="Comma 8 3 2 3 12" xfId="30501" xr:uid="{05A8A170-D38D-48E9-8D65-3EEAD471C880}"/>
    <cellStyle name="Comma 8 3 2 3 2" xfId="513" xr:uid="{00D03D8E-CBF4-428E-A18E-AD0A5710B787}"/>
    <cellStyle name="Comma 8 3 2 3 2 10" xfId="30753" xr:uid="{96E3D13B-82F4-4173-A43E-98094EF16BC5}"/>
    <cellStyle name="Comma 8 3 2 3 2 2" xfId="1269" xr:uid="{790A578F-6CF2-4503-8832-C80B7ED5438F}"/>
    <cellStyle name="Comma 8 3 2 3 2 2 2" xfId="2781" xr:uid="{7A9C7F12-E3C5-4CB7-BA96-AA6F95AFD88B}"/>
    <cellStyle name="Comma 8 3 2 3 2 2 2 2" xfId="11853" xr:uid="{5FA65861-A8BA-456F-9F76-41C59D145248}"/>
    <cellStyle name="Comma 8 3 2 3 2 2 2 2 2" xfId="26973" xr:uid="{5DE92929-10EC-445B-8480-3061C13F60A9}"/>
    <cellStyle name="Comma 8 3 2 3 2 2 2 2 2 2" xfId="57213" xr:uid="{62662F02-6420-4D77-BE2B-AFC24B1BC014}"/>
    <cellStyle name="Comma 8 3 2 3 2 2 2 2 3" xfId="42093" xr:uid="{FDE7BE89-F62E-46BF-BBF4-4772D562448A}"/>
    <cellStyle name="Comma 8 3 2 3 2 2 2 3" xfId="17901" xr:uid="{164BBD6B-24AB-4BA9-8EFA-B05A3C2BBBC5}"/>
    <cellStyle name="Comma 8 3 2 3 2 2 2 3 2" xfId="48141" xr:uid="{2EC13DAC-FEE2-40AE-83C2-57AA4F17C95A}"/>
    <cellStyle name="Comma 8 3 2 3 2 2 2 4" xfId="33021" xr:uid="{4FC6B5DA-4FAE-4B9C-A92E-DE89E359CC28}"/>
    <cellStyle name="Comma 8 3 2 3 2 2 3" xfId="4293" xr:uid="{D2FC359A-9648-4A8E-9235-83E118B0F983}"/>
    <cellStyle name="Comma 8 3 2 3 2 2 3 2" xfId="13365" xr:uid="{86247433-FACB-4632-9AA8-8E0D5ADC9CA8}"/>
    <cellStyle name="Comma 8 3 2 3 2 2 3 2 2" xfId="28485" xr:uid="{97389294-6A3F-4A35-8EE3-76780548D2E7}"/>
    <cellStyle name="Comma 8 3 2 3 2 2 3 2 2 2" xfId="58725" xr:uid="{59806F65-2734-49E9-89C6-9E4C389BB540}"/>
    <cellStyle name="Comma 8 3 2 3 2 2 3 2 3" xfId="43605" xr:uid="{19B866BA-FEDA-40E4-BAD4-90F367CB84DA}"/>
    <cellStyle name="Comma 8 3 2 3 2 2 3 3" xfId="19413" xr:uid="{8A3BDFA2-27AC-45D5-BDDC-0C39006BAE5D}"/>
    <cellStyle name="Comma 8 3 2 3 2 2 3 3 2" xfId="49653" xr:uid="{7426B29F-B08D-44A4-924C-F20093022FF0}"/>
    <cellStyle name="Comma 8 3 2 3 2 2 3 4" xfId="34533" xr:uid="{C3B346DC-0D7B-44A9-8AEC-223CBCE6DDA5}"/>
    <cellStyle name="Comma 8 3 2 3 2 2 4" xfId="5805" xr:uid="{18C67B6E-9F6D-40DE-B873-3420B3DE3256}"/>
    <cellStyle name="Comma 8 3 2 3 2 2 4 2" xfId="14877" xr:uid="{C15DD460-CC89-4FC1-B668-1EBD511104DF}"/>
    <cellStyle name="Comma 8 3 2 3 2 2 4 2 2" xfId="29997" xr:uid="{B8F42280-7656-48CD-86B1-82C77C9EA780}"/>
    <cellStyle name="Comma 8 3 2 3 2 2 4 2 2 2" xfId="60237" xr:uid="{12946A4F-8144-4896-BE65-87BAC63E7D3F}"/>
    <cellStyle name="Comma 8 3 2 3 2 2 4 2 3" xfId="45117" xr:uid="{6281BC43-1B10-423E-AA26-5C62BA32E0A0}"/>
    <cellStyle name="Comma 8 3 2 3 2 2 4 3" xfId="20925" xr:uid="{0813D3CC-8A3E-4F69-8FFE-C93AFF5DB6AA}"/>
    <cellStyle name="Comma 8 3 2 3 2 2 4 3 2" xfId="51165" xr:uid="{0DC52E26-69EE-4F10-8CE2-F5CC03994CDF}"/>
    <cellStyle name="Comma 8 3 2 3 2 2 4 4" xfId="36045" xr:uid="{32D5A4E4-0F04-41D8-989E-76CCB0681C9E}"/>
    <cellStyle name="Comma 8 3 2 3 2 2 5" xfId="7317" xr:uid="{BAFFD219-9E34-4A7E-A6AF-6EE2E348D6B9}"/>
    <cellStyle name="Comma 8 3 2 3 2 2 5 2" xfId="22437" xr:uid="{BE425068-FA89-41C8-BCB9-1A633945A4B7}"/>
    <cellStyle name="Comma 8 3 2 3 2 2 5 2 2" xfId="52677" xr:uid="{83540747-5F21-4F5B-A3A5-CB725E208703}"/>
    <cellStyle name="Comma 8 3 2 3 2 2 5 3" xfId="37557" xr:uid="{5D94566E-65EA-4EE3-86C3-C5B0EE12B1A3}"/>
    <cellStyle name="Comma 8 3 2 3 2 2 6" xfId="8829" xr:uid="{E52D76D5-77C8-4041-9088-C909F05F91D7}"/>
    <cellStyle name="Comma 8 3 2 3 2 2 6 2" xfId="23949" xr:uid="{EEC7AA5E-5B87-4D70-8DB5-44C7B91B4C9D}"/>
    <cellStyle name="Comma 8 3 2 3 2 2 6 2 2" xfId="54189" xr:uid="{E843A7C6-D390-41B9-9700-2AA8FAA29B72}"/>
    <cellStyle name="Comma 8 3 2 3 2 2 6 3" xfId="39069" xr:uid="{EC1151D1-AE12-49CF-A79D-9A6F8312B79A}"/>
    <cellStyle name="Comma 8 3 2 3 2 2 7" xfId="10341" xr:uid="{E0AC07E2-9956-4E30-8D57-947879FB02B1}"/>
    <cellStyle name="Comma 8 3 2 3 2 2 7 2" xfId="25461" xr:uid="{41EB3AE3-84DF-4AF9-BBFE-AC496EB0A3D4}"/>
    <cellStyle name="Comma 8 3 2 3 2 2 7 2 2" xfId="55701" xr:uid="{EB2170A1-F8DD-4366-9863-C7DF4E0C6B80}"/>
    <cellStyle name="Comma 8 3 2 3 2 2 7 3" xfId="40581" xr:uid="{64BC19C0-65B4-4D21-AA7A-D5358BB098E0}"/>
    <cellStyle name="Comma 8 3 2 3 2 2 8" xfId="16389" xr:uid="{30251A0E-8F1B-4865-9E09-B85EAF9461C2}"/>
    <cellStyle name="Comma 8 3 2 3 2 2 8 2" xfId="46629" xr:uid="{316CA47F-8635-49D1-A088-441EC9954BA4}"/>
    <cellStyle name="Comma 8 3 2 3 2 2 9" xfId="31509" xr:uid="{72024393-2B7E-4123-895D-CA7C51A1B300}"/>
    <cellStyle name="Comma 8 3 2 3 2 3" xfId="2025" xr:uid="{5565FC23-7FC1-4BA5-A48F-974CE94FF480}"/>
    <cellStyle name="Comma 8 3 2 3 2 3 2" xfId="11097" xr:uid="{14E1E7DF-A3DE-48B6-B72E-436813EFE051}"/>
    <cellStyle name="Comma 8 3 2 3 2 3 2 2" xfId="26217" xr:uid="{DC9A9EFF-5CDE-4B3C-B8FF-E3BD42CDDFAE}"/>
    <cellStyle name="Comma 8 3 2 3 2 3 2 2 2" xfId="56457" xr:uid="{8200B9AD-80AE-42B5-8FF8-2AED277CA79E}"/>
    <cellStyle name="Comma 8 3 2 3 2 3 2 3" xfId="41337" xr:uid="{8279A869-94C5-4EED-9632-1B395E922B2A}"/>
    <cellStyle name="Comma 8 3 2 3 2 3 3" xfId="17145" xr:uid="{E23E88D8-6CF9-4C5E-B3D7-6CDE09753986}"/>
    <cellStyle name="Comma 8 3 2 3 2 3 3 2" xfId="47385" xr:uid="{35EA783B-172A-4A39-A8D5-61589223B1F1}"/>
    <cellStyle name="Comma 8 3 2 3 2 3 4" xfId="32265" xr:uid="{7C916D7E-90C3-421E-BB04-FCA0D0945978}"/>
    <cellStyle name="Comma 8 3 2 3 2 4" xfId="3537" xr:uid="{A3055C6F-2631-4D2A-A38E-16BF00073B05}"/>
    <cellStyle name="Comma 8 3 2 3 2 4 2" xfId="12609" xr:uid="{A300006A-BBDA-44F5-AC53-E23B117D48CE}"/>
    <cellStyle name="Comma 8 3 2 3 2 4 2 2" xfId="27729" xr:uid="{9CACDD68-65CC-425A-A66E-19015C8E8571}"/>
    <cellStyle name="Comma 8 3 2 3 2 4 2 2 2" xfId="57969" xr:uid="{7CE9B830-F71F-4A37-B87F-49A26F6A220E}"/>
    <cellStyle name="Comma 8 3 2 3 2 4 2 3" xfId="42849" xr:uid="{069B9584-4816-4D5A-A577-B00719F22A2D}"/>
    <cellStyle name="Comma 8 3 2 3 2 4 3" xfId="18657" xr:uid="{22427C71-4486-49B4-B7FD-64BD37A9C150}"/>
    <cellStyle name="Comma 8 3 2 3 2 4 3 2" xfId="48897" xr:uid="{D469A211-00D9-4C89-8D7C-6789AEEB0D71}"/>
    <cellStyle name="Comma 8 3 2 3 2 4 4" xfId="33777" xr:uid="{B18D121B-CAF7-40E6-85F0-7556BB574DC6}"/>
    <cellStyle name="Comma 8 3 2 3 2 5" xfId="5049" xr:uid="{F5827633-9D4F-49A7-A31A-08224945F588}"/>
    <cellStyle name="Comma 8 3 2 3 2 5 2" xfId="14121" xr:uid="{104D8DC0-655F-4AD6-97D8-2379A86AFB20}"/>
    <cellStyle name="Comma 8 3 2 3 2 5 2 2" xfId="29241" xr:uid="{2B3451A4-2D92-4CD2-A30F-E31824EA2E08}"/>
    <cellStyle name="Comma 8 3 2 3 2 5 2 2 2" xfId="59481" xr:uid="{416B45AC-7AFC-46E3-B503-6F9ACAF01F92}"/>
    <cellStyle name="Comma 8 3 2 3 2 5 2 3" xfId="44361" xr:uid="{C99156AA-3907-425D-A314-F19FE91B1213}"/>
    <cellStyle name="Comma 8 3 2 3 2 5 3" xfId="20169" xr:uid="{C0D67AB0-8230-4FCE-91F5-4E4A99EA0387}"/>
    <cellStyle name="Comma 8 3 2 3 2 5 3 2" xfId="50409" xr:uid="{4D8764D2-88DE-43E7-9348-C9F40A6953E0}"/>
    <cellStyle name="Comma 8 3 2 3 2 5 4" xfId="35289" xr:uid="{7CA30CA0-05C5-4AAB-B86E-42E58C51E2F5}"/>
    <cellStyle name="Comma 8 3 2 3 2 6" xfId="6561" xr:uid="{62216FE6-8536-4CCD-9E25-AB681D4926B8}"/>
    <cellStyle name="Comma 8 3 2 3 2 6 2" xfId="21681" xr:uid="{511E2530-45D1-4A4D-A4DF-B9BB5C8B1C1E}"/>
    <cellStyle name="Comma 8 3 2 3 2 6 2 2" xfId="51921" xr:uid="{E6B9CB6E-E536-42F0-824A-DF8E6F0A62FE}"/>
    <cellStyle name="Comma 8 3 2 3 2 6 3" xfId="36801" xr:uid="{070F883B-BF66-436F-A550-1A172FF10E88}"/>
    <cellStyle name="Comma 8 3 2 3 2 7" xfId="8073" xr:uid="{EA62C408-D845-4941-9B35-D0E322B4AA32}"/>
    <cellStyle name="Comma 8 3 2 3 2 7 2" xfId="23193" xr:uid="{6D77F43E-64C0-4CC7-B1E5-D46AE08593F2}"/>
    <cellStyle name="Comma 8 3 2 3 2 7 2 2" xfId="53433" xr:uid="{2FB5F748-B092-495E-A56A-279DD9BBB7DF}"/>
    <cellStyle name="Comma 8 3 2 3 2 7 3" xfId="38313" xr:uid="{625D1CCA-1802-418E-8E53-C728B5330DAF}"/>
    <cellStyle name="Comma 8 3 2 3 2 8" xfId="9585" xr:uid="{52B05BAC-DF5A-4FC9-BBF2-B8AC788FC2D7}"/>
    <cellStyle name="Comma 8 3 2 3 2 8 2" xfId="24705" xr:uid="{F1803EBD-BD19-443C-B40F-5ED962CEE541}"/>
    <cellStyle name="Comma 8 3 2 3 2 8 2 2" xfId="54945" xr:uid="{68F17213-9D94-42A2-AABB-64EC9C8690E7}"/>
    <cellStyle name="Comma 8 3 2 3 2 8 3" xfId="39825" xr:uid="{1274E602-8C7F-43BC-8B73-BBD9B7650274}"/>
    <cellStyle name="Comma 8 3 2 3 2 9" xfId="15633" xr:uid="{1E65EFA6-1B20-431D-9811-3037DE191C5D}"/>
    <cellStyle name="Comma 8 3 2 3 2 9 2" xfId="45873" xr:uid="{3F3AED45-BDD9-41FF-B2AE-F3ADBD92AC79}"/>
    <cellStyle name="Comma 8 3 2 3 3" xfId="765" xr:uid="{E897D4BE-2CA7-485C-BC0D-8F05EBDD095D}"/>
    <cellStyle name="Comma 8 3 2 3 3 10" xfId="31005" xr:uid="{72CEA8E8-71AB-4BF8-882A-569CADBC69FB}"/>
    <cellStyle name="Comma 8 3 2 3 3 2" xfId="1521" xr:uid="{069B9B79-A21F-4E14-8290-F84D03AFEDEB}"/>
    <cellStyle name="Comma 8 3 2 3 3 2 2" xfId="3033" xr:uid="{DB06560E-0B7B-4007-BEF0-E39C99AA6E41}"/>
    <cellStyle name="Comma 8 3 2 3 3 2 2 2" xfId="12105" xr:uid="{C190F23B-2006-4E98-B966-79FA5184E0B3}"/>
    <cellStyle name="Comma 8 3 2 3 3 2 2 2 2" xfId="27225" xr:uid="{5767A76E-0D70-43CE-B666-86811819C928}"/>
    <cellStyle name="Comma 8 3 2 3 3 2 2 2 2 2" xfId="57465" xr:uid="{1972140B-5A60-4D34-93ED-ED1468445A74}"/>
    <cellStyle name="Comma 8 3 2 3 3 2 2 2 3" xfId="42345" xr:uid="{0BEC074D-AC88-4A55-A201-1CDF556E6004}"/>
    <cellStyle name="Comma 8 3 2 3 3 2 2 3" xfId="18153" xr:uid="{F89597DD-4F98-4E3D-A30E-55A355808F9D}"/>
    <cellStyle name="Comma 8 3 2 3 3 2 2 3 2" xfId="48393" xr:uid="{5A321313-70CD-4356-84EB-512F41844B1E}"/>
    <cellStyle name="Comma 8 3 2 3 3 2 2 4" xfId="33273" xr:uid="{3ADBB68D-B1A1-4BEF-B8DA-0BB53BA1DF79}"/>
    <cellStyle name="Comma 8 3 2 3 3 2 3" xfId="4545" xr:uid="{0C9DB156-61D0-42B3-AFFE-DBC3C5C8B7D1}"/>
    <cellStyle name="Comma 8 3 2 3 3 2 3 2" xfId="13617" xr:uid="{1F637371-3F64-4E48-9C8C-977EB3FE7691}"/>
    <cellStyle name="Comma 8 3 2 3 3 2 3 2 2" xfId="28737" xr:uid="{5FBDE36E-5B95-40F2-B10E-9B0291B46B81}"/>
    <cellStyle name="Comma 8 3 2 3 3 2 3 2 2 2" xfId="58977" xr:uid="{337E6BDD-A088-4454-9BA3-618511FFB714}"/>
    <cellStyle name="Comma 8 3 2 3 3 2 3 2 3" xfId="43857" xr:uid="{ED931358-B1FF-43CD-9CB6-26D791375C94}"/>
    <cellStyle name="Comma 8 3 2 3 3 2 3 3" xfId="19665" xr:uid="{A8DA19C3-937D-4CDA-B9A8-A2C336D6A87E}"/>
    <cellStyle name="Comma 8 3 2 3 3 2 3 3 2" xfId="49905" xr:uid="{6EDD1112-85CA-48F8-9885-78391A467025}"/>
    <cellStyle name="Comma 8 3 2 3 3 2 3 4" xfId="34785" xr:uid="{AF35DEC5-DB61-486E-8076-E1A4DF2E960B}"/>
    <cellStyle name="Comma 8 3 2 3 3 2 4" xfId="6057" xr:uid="{1794DA8D-FF87-45A3-A983-3F9461CBE3DE}"/>
    <cellStyle name="Comma 8 3 2 3 3 2 4 2" xfId="15129" xr:uid="{E17AEF3F-61CA-406E-A129-F3249E591FD6}"/>
    <cellStyle name="Comma 8 3 2 3 3 2 4 2 2" xfId="30249" xr:uid="{3254E71C-9683-4C3D-B5FE-28B03FE7C3E1}"/>
    <cellStyle name="Comma 8 3 2 3 3 2 4 2 2 2" xfId="60489" xr:uid="{84912F41-8F12-4A7E-87D7-1F9454799933}"/>
    <cellStyle name="Comma 8 3 2 3 3 2 4 2 3" xfId="45369" xr:uid="{FD081F39-6943-484E-B7B5-CC65B85DEEE1}"/>
    <cellStyle name="Comma 8 3 2 3 3 2 4 3" xfId="21177" xr:uid="{5245498A-E769-4279-8AA7-83940C14EB69}"/>
    <cellStyle name="Comma 8 3 2 3 3 2 4 3 2" xfId="51417" xr:uid="{1D2EA87E-A150-4129-AC3A-6EDCACC2D28F}"/>
    <cellStyle name="Comma 8 3 2 3 3 2 4 4" xfId="36297" xr:uid="{3E235D99-A543-47E5-B1C6-569AB228DEC0}"/>
    <cellStyle name="Comma 8 3 2 3 3 2 5" xfId="7569" xr:uid="{8DF3581B-AC2A-4F0C-BCDD-0259C5B366BA}"/>
    <cellStyle name="Comma 8 3 2 3 3 2 5 2" xfId="22689" xr:uid="{20B2EF9A-9EF6-4CA8-9EC1-6C31CB748880}"/>
    <cellStyle name="Comma 8 3 2 3 3 2 5 2 2" xfId="52929" xr:uid="{1A609BFE-0AF1-4D44-AEDD-AE53188B1A3D}"/>
    <cellStyle name="Comma 8 3 2 3 3 2 5 3" xfId="37809" xr:uid="{780CE483-1BD5-4A33-A11E-CFCA9E93BC7D}"/>
    <cellStyle name="Comma 8 3 2 3 3 2 6" xfId="9081" xr:uid="{1021CA3D-0F9B-4D7D-B55E-2BCAF7B3604E}"/>
    <cellStyle name="Comma 8 3 2 3 3 2 6 2" xfId="24201" xr:uid="{B065CA8C-A59F-41AD-AEBC-3E6E35D81F1B}"/>
    <cellStyle name="Comma 8 3 2 3 3 2 6 2 2" xfId="54441" xr:uid="{73A47FA5-A07A-4178-B948-A93F6B516A07}"/>
    <cellStyle name="Comma 8 3 2 3 3 2 6 3" xfId="39321" xr:uid="{C358873C-ACD1-4297-B80C-F531BD5B6B35}"/>
    <cellStyle name="Comma 8 3 2 3 3 2 7" xfId="10593" xr:uid="{FCE27075-DC08-42AD-9565-29855F1ADFA8}"/>
    <cellStyle name="Comma 8 3 2 3 3 2 7 2" xfId="25713" xr:uid="{5D661837-22BB-4245-A027-6891A0328DD8}"/>
    <cellStyle name="Comma 8 3 2 3 3 2 7 2 2" xfId="55953" xr:uid="{0330C512-7B29-4559-8D95-89030C3EF60F}"/>
    <cellStyle name="Comma 8 3 2 3 3 2 7 3" xfId="40833" xr:uid="{973C297F-B9C0-4532-8BA8-AB8003ACBAC2}"/>
    <cellStyle name="Comma 8 3 2 3 3 2 8" xfId="16641" xr:uid="{BFFE379D-A0E9-49DC-A599-D81F4A44C951}"/>
    <cellStyle name="Comma 8 3 2 3 3 2 8 2" xfId="46881" xr:uid="{C13A2F73-1E84-431E-87EC-E3430A9FC0C1}"/>
    <cellStyle name="Comma 8 3 2 3 3 2 9" xfId="31761" xr:uid="{E56EDF80-BA8A-4055-BF33-3BA5670A7EA4}"/>
    <cellStyle name="Comma 8 3 2 3 3 3" xfId="2277" xr:uid="{C37DA7B4-D8E8-481F-A149-8E1796BF07CD}"/>
    <cellStyle name="Comma 8 3 2 3 3 3 2" xfId="11349" xr:uid="{8465726E-3AE5-44A1-9A07-6584157C0F27}"/>
    <cellStyle name="Comma 8 3 2 3 3 3 2 2" xfId="26469" xr:uid="{5D32B0A5-19B1-4BC3-A61B-0297EE31A27B}"/>
    <cellStyle name="Comma 8 3 2 3 3 3 2 2 2" xfId="56709" xr:uid="{FBC80538-68D9-41AB-9C9C-658135693683}"/>
    <cellStyle name="Comma 8 3 2 3 3 3 2 3" xfId="41589" xr:uid="{33FED737-50A1-4572-B2D9-9EB26016B1E4}"/>
    <cellStyle name="Comma 8 3 2 3 3 3 3" xfId="17397" xr:uid="{C7FCCCF0-C200-40F0-B4EC-3622AAD35CA8}"/>
    <cellStyle name="Comma 8 3 2 3 3 3 3 2" xfId="47637" xr:uid="{3410331A-F8EE-4B47-BB98-C2DA95813FBF}"/>
    <cellStyle name="Comma 8 3 2 3 3 3 4" xfId="32517" xr:uid="{B7B4D5E8-EF48-487A-B3E3-C968BE6B8FBF}"/>
    <cellStyle name="Comma 8 3 2 3 3 4" xfId="3789" xr:uid="{41025343-C633-4338-9DCA-7DC921F91B0B}"/>
    <cellStyle name="Comma 8 3 2 3 3 4 2" xfId="12861" xr:uid="{1092C06B-3E7F-40FD-A8BE-DE100F585FE3}"/>
    <cellStyle name="Comma 8 3 2 3 3 4 2 2" xfId="27981" xr:uid="{631160CA-0AEB-45D6-90DC-2CAD28C81CED}"/>
    <cellStyle name="Comma 8 3 2 3 3 4 2 2 2" xfId="58221" xr:uid="{AB8FADDF-1C29-4EB0-ABDF-E1E119B509A1}"/>
    <cellStyle name="Comma 8 3 2 3 3 4 2 3" xfId="43101" xr:uid="{3BD891D7-F990-4916-8779-179F36F4726F}"/>
    <cellStyle name="Comma 8 3 2 3 3 4 3" xfId="18909" xr:uid="{E57B5189-25A5-4DE6-9C41-60E5C38A0CFF}"/>
    <cellStyle name="Comma 8 3 2 3 3 4 3 2" xfId="49149" xr:uid="{565BBDF8-ED92-4290-BFF6-21E9A27749CD}"/>
    <cellStyle name="Comma 8 3 2 3 3 4 4" xfId="34029" xr:uid="{64E6D10C-27DC-48F5-B573-989ED8862D04}"/>
    <cellStyle name="Comma 8 3 2 3 3 5" xfId="5301" xr:uid="{82B0F7FE-6CC6-4AD6-B523-C7E0542E257E}"/>
    <cellStyle name="Comma 8 3 2 3 3 5 2" xfId="14373" xr:uid="{B16EFBC5-F515-45B0-AA73-660FACA5BC98}"/>
    <cellStyle name="Comma 8 3 2 3 3 5 2 2" xfId="29493" xr:uid="{2D2A66F0-AA91-44BC-9ACB-EF1165D9F1D2}"/>
    <cellStyle name="Comma 8 3 2 3 3 5 2 2 2" xfId="59733" xr:uid="{8D8EB993-A61D-4369-B42F-333FDAB3923A}"/>
    <cellStyle name="Comma 8 3 2 3 3 5 2 3" xfId="44613" xr:uid="{2D7863AD-443C-4D35-9E79-2DA74325677E}"/>
    <cellStyle name="Comma 8 3 2 3 3 5 3" xfId="20421" xr:uid="{30B63B79-2760-47FA-8FE8-D2CEBDEC24C6}"/>
    <cellStyle name="Comma 8 3 2 3 3 5 3 2" xfId="50661" xr:uid="{8AF54FAB-8EC7-4220-A069-DCED3C684137}"/>
    <cellStyle name="Comma 8 3 2 3 3 5 4" xfId="35541" xr:uid="{ABB121FF-D014-497A-B04F-4F4A43BC8EFD}"/>
    <cellStyle name="Comma 8 3 2 3 3 6" xfId="6813" xr:uid="{5ADDA3B9-B8EB-4354-A784-AC3A56F64524}"/>
    <cellStyle name="Comma 8 3 2 3 3 6 2" xfId="21933" xr:uid="{CFAA807F-6718-4CA4-BDF7-11B1F810CBF6}"/>
    <cellStyle name="Comma 8 3 2 3 3 6 2 2" xfId="52173" xr:uid="{98003CD2-07E6-4B40-83B0-5BF1FDD19E87}"/>
    <cellStyle name="Comma 8 3 2 3 3 6 3" xfId="37053" xr:uid="{18AADFF9-3FE1-4A1A-9835-DDD97B7B5607}"/>
    <cellStyle name="Comma 8 3 2 3 3 7" xfId="8325" xr:uid="{A724F34B-4863-4BA4-9DD7-CEBCDC4328AC}"/>
    <cellStyle name="Comma 8 3 2 3 3 7 2" xfId="23445" xr:uid="{46C06A53-2FE2-4E0F-BA35-F14D3DC4E513}"/>
    <cellStyle name="Comma 8 3 2 3 3 7 2 2" xfId="53685" xr:uid="{A71E28AC-0964-4143-AD69-990C061916B7}"/>
    <cellStyle name="Comma 8 3 2 3 3 7 3" xfId="38565" xr:uid="{14B63BAB-B170-4EDB-8B16-A8AA44106F9C}"/>
    <cellStyle name="Comma 8 3 2 3 3 8" xfId="9837" xr:uid="{0A3A97AB-163B-4E3E-811E-106E4F9A6811}"/>
    <cellStyle name="Comma 8 3 2 3 3 8 2" xfId="24957" xr:uid="{4BA2C289-89B3-46F0-9A21-45A8A5044C3C}"/>
    <cellStyle name="Comma 8 3 2 3 3 8 2 2" xfId="55197" xr:uid="{BC631F61-3173-4545-A893-A3BF3028E668}"/>
    <cellStyle name="Comma 8 3 2 3 3 8 3" xfId="40077" xr:uid="{79057A94-6D03-47C0-B306-A764ACA024BA}"/>
    <cellStyle name="Comma 8 3 2 3 3 9" xfId="15885" xr:uid="{1CD499DD-C9D5-4B6A-89E7-26A816EF6EF0}"/>
    <cellStyle name="Comma 8 3 2 3 3 9 2" xfId="46125" xr:uid="{0017AA83-7C48-4AA1-BDF6-F9AA6C72D9F5}"/>
    <cellStyle name="Comma 8 3 2 3 4" xfId="1017" xr:uid="{BC93B41D-410B-4E4B-8965-339E25F0C280}"/>
    <cellStyle name="Comma 8 3 2 3 4 2" xfId="2529" xr:uid="{C733AEC1-BD87-448F-A9DC-949714F22695}"/>
    <cellStyle name="Comma 8 3 2 3 4 2 2" xfId="11601" xr:uid="{65B550E1-282D-42EE-AB71-DA8EC98195CA}"/>
    <cellStyle name="Comma 8 3 2 3 4 2 2 2" xfId="26721" xr:uid="{15985B56-FF17-46CC-88D2-809B51654A4F}"/>
    <cellStyle name="Comma 8 3 2 3 4 2 2 2 2" xfId="56961" xr:uid="{83AEE122-1B3C-4157-B96F-D74BD05B7447}"/>
    <cellStyle name="Comma 8 3 2 3 4 2 2 3" xfId="41841" xr:uid="{52DD90A9-E5CA-4DD8-BE0D-0BB7DA097967}"/>
    <cellStyle name="Comma 8 3 2 3 4 2 3" xfId="17649" xr:uid="{ED8A9E21-D12F-4B26-B851-836B05D24C4A}"/>
    <cellStyle name="Comma 8 3 2 3 4 2 3 2" xfId="47889" xr:uid="{8069F979-9488-4C42-ADDE-828DBE02AC59}"/>
    <cellStyle name="Comma 8 3 2 3 4 2 4" xfId="32769" xr:uid="{E57919FF-2A11-42C6-9450-01FE064BE6E4}"/>
    <cellStyle name="Comma 8 3 2 3 4 3" xfId="4041" xr:uid="{14CDF9E7-EE85-4727-8E13-B74A7DB291BC}"/>
    <cellStyle name="Comma 8 3 2 3 4 3 2" xfId="13113" xr:uid="{9226570D-A5C9-4F08-90CD-234C5234A524}"/>
    <cellStyle name="Comma 8 3 2 3 4 3 2 2" xfId="28233" xr:uid="{3A878A5B-990A-4D10-99C1-C424D033AC7D}"/>
    <cellStyle name="Comma 8 3 2 3 4 3 2 2 2" xfId="58473" xr:uid="{401905AE-A623-4142-BCDC-1434E261698B}"/>
    <cellStyle name="Comma 8 3 2 3 4 3 2 3" xfId="43353" xr:uid="{20DD12A4-9654-4F77-A6D8-EF6D69C482F2}"/>
    <cellStyle name="Comma 8 3 2 3 4 3 3" xfId="19161" xr:uid="{35099691-DCEC-4097-98C6-2EC5E8325FA1}"/>
    <cellStyle name="Comma 8 3 2 3 4 3 3 2" xfId="49401" xr:uid="{76E3480A-05FA-40E6-9A6E-09E7D4935111}"/>
    <cellStyle name="Comma 8 3 2 3 4 3 4" xfId="34281" xr:uid="{E247E544-54BB-47D3-8E4B-5F49F2562317}"/>
    <cellStyle name="Comma 8 3 2 3 4 4" xfId="5553" xr:uid="{0905D9C8-1E37-42D2-AA9A-D0A4BA2A2C14}"/>
    <cellStyle name="Comma 8 3 2 3 4 4 2" xfId="14625" xr:uid="{0EB62E76-43BB-4FA9-B35A-11DBFBA52F30}"/>
    <cellStyle name="Comma 8 3 2 3 4 4 2 2" xfId="29745" xr:uid="{78B64C2F-6E5A-42DD-973D-831261F7A94C}"/>
    <cellStyle name="Comma 8 3 2 3 4 4 2 2 2" xfId="59985" xr:uid="{C5308A40-BD9A-404F-BD43-1581A0AC7982}"/>
    <cellStyle name="Comma 8 3 2 3 4 4 2 3" xfId="44865" xr:uid="{632A92F1-6A20-4B84-A789-78881E639A59}"/>
    <cellStyle name="Comma 8 3 2 3 4 4 3" xfId="20673" xr:uid="{3BB49CDB-34AD-42A0-ADC7-7168FBA7C7CC}"/>
    <cellStyle name="Comma 8 3 2 3 4 4 3 2" xfId="50913" xr:uid="{B0AE6080-1D06-403C-8E35-392ED46C6C70}"/>
    <cellStyle name="Comma 8 3 2 3 4 4 4" xfId="35793" xr:uid="{99F1CFC7-4355-40F9-B703-8F641A810D3A}"/>
    <cellStyle name="Comma 8 3 2 3 4 5" xfId="7065" xr:uid="{74AA3C4D-28F5-45DF-9177-DDC079121547}"/>
    <cellStyle name="Comma 8 3 2 3 4 5 2" xfId="22185" xr:uid="{FF1D8DCE-DC11-46CD-84F7-B2B7B786DE09}"/>
    <cellStyle name="Comma 8 3 2 3 4 5 2 2" xfId="52425" xr:uid="{88970E78-8240-4B12-9D20-FAA9EB5C657F}"/>
    <cellStyle name="Comma 8 3 2 3 4 5 3" xfId="37305" xr:uid="{D6A53E51-13F5-49A4-A43F-B9695A4F0E8A}"/>
    <cellStyle name="Comma 8 3 2 3 4 6" xfId="8577" xr:uid="{A1EF3D11-FEA9-4DCF-8A2D-F8A099500CA3}"/>
    <cellStyle name="Comma 8 3 2 3 4 6 2" xfId="23697" xr:uid="{DC3BC527-E352-47DE-AF5B-C7FC51FB50D7}"/>
    <cellStyle name="Comma 8 3 2 3 4 6 2 2" xfId="53937" xr:uid="{8C920EA4-A6F2-4FAF-9076-D867E3EF67B2}"/>
    <cellStyle name="Comma 8 3 2 3 4 6 3" xfId="38817" xr:uid="{CF6988C5-0642-46A2-931F-89084FFABEA3}"/>
    <cellStyle name="Comma 8 3 2 3 4 7" xfId="10089" xr:uid="{4135FB36-B8F0-4D82-A428-87CB8385E64C}"/>
    <cellStyle name="Comma 8 3 2 3 4 7 2" xfId="25209" xr:uid="{AFF26844-6B9D-465A-B08E-3CBFC1CBCDD7}"/>
    <cellStyle name="Comma 8 3 2 3 4 7 2 2" xfId="55449" xr:uid="{08EE0236-0647-4435-A830-2E1C1B162FE5}"/>
    <cellStyle name="Comma 8 3 2 3 4 7 3" xfId="40329" xr:uid="{8D7DB450-8CD8-492C-85D1-5C0F6B368E09}"/>
    <cellStyle name="Comma 8 3 2 3 4 8" xfId="16137" xr:uid="{A2727D5A-C8B7-4055-B22C-FFDAE430222A}"/>
    <cellStyle name="Comma 8 3 2 3 4 8 2" xfId="46377" xr:uid="{3A31B1B3-1FE7-4A71-8CB6-9AE762D30F51}"/>
    <cellStyle name="Comma 8 3 2 3 4 9" xfId="31257" xr:uid="{0158281D-A714-4A0C-A6E7-53D66F152723}"/>
    <cellStyle name="Comma 8 3 2 3 5" xfId="1773" xr:uid="{C9387E13-76FE-4B3A-B485-92B366E4666F}"/>
    <cellStyle name="Comma 8 3 2 3 5 2" xfId="10845" xr:uid="{8844C35B-42EF-48ED-A591-7F48047D5C8E}"/>
    <cellStyle name="Comma 8 3 2 3 5 2 2" xfId="25965" xr:uid="{4D781123-F74C-4BE1-97F3-94B0D083824B}"/>
    <cellStyle name="Comma 8 3 2 3 5 2 2 2" xfId="56205" xr:uid="{D71C1A88-BBE7-462B-B135-9A0A62525359}"/>
    <cellStyle name="Comma 8 3 2 3 5 2 3" xfId="41085" xr:uid="{ACB9A3F1-D17E-4264-9F94-D176E11823BA}"/>
    <cellStyle name="Comma 8 3 2 3 5 3" xfId="16893" xr:uid="{EA9C90E5-6F78-4ED6-84B2-68E7567FBC9B}"/>
    <cellStyle name="Comma 8 3 2 3 5 3 2" xfId="47133" xr:uid="{DF9AA6BB-457B-4B17-AE2D-5CC14F26DB18}"/>
    <cellStyle name="Comma 8 3 2 3 5 4" xfId="32013" xr:uid="{FF47B785-2E83-471D-BE50-033AED72689B}"/>
    <cellStyle name="Comma 8 3 2 3 6" xfId="3285" xr:uid="{2DDD83F5-EEC3-4966-90AE-EDF63D6918CE}"/>
    <cellStyle name="Comma 8 3 2 3 6 2" xfId="12357" xr:uid="{7475FCAA-1F14-4CE0-8E54-8ECDADADF016}"/>
    <cellStyle name="Comma 8 3 2 3 6 2 2" xfId="27477" xr:uid="{6A419413-6128-4D23-BB5D-6369BC8AA87B}"/>
    <cellStyle name="Comma 8 3 2 3 6 2 2 2" xfId="57717" xr:uid="{CA2271D6-4531-4133-AB07-1D7F157AB8AA}"/>
    <cellStyle name="Comma 8 3 2 3 6 2 3" xfId="42597" xr:uid="{C1CFCEFC-B418-426A-BD63-D0B70FA46D43}"/>
    <cellStyle name="Comma 8 3 2 3 6 3" xfId="18405" xr:uid="{AF0BD1D6-0A67-4457-88F1-9D1694DB3811}"/>
    <cellStyle name="Comma 8 3 2 3 6 3 2" xfId="48645" xr:uid="{684B2C3B-C10D-4DFC-A8C3-287F97949E64}"/>
    <cellStyle name="Comma 8 3 2 3 6 4" xfId="33525" xr:uid="{39F7EFF7-A9BC-4138-874B-5CB7F06A74A0}"/>
    <cellStyle name="Comma 8 3 2 3 7" xfId="4797" xr:uid="{68C9B056-3CB5-4FE1-8462-AB4DF1CA4C83}"/>
    <cellStyle name="Comma 8 3 2 3 7 2" xfId="13869" xr:uid="{1554202C-DE9A-4578-995F-E2A291221A1C}"/>
    <cellStyle name="Comma 8 3 2 3 7 2 2" xfId="28989" xr:uid="{440BAE9B-A335-42FB-A0AA-B3E57F1432C9}"/>
    <cellStyle name="Comma 8 3 2 3 7 2 2 2" xfId="59229" xr:uid="{3624912C-1B4F-402C-BAE8-FEDB6100B4EE}"/>
    <cellStyle name="Comma 8 3 2 3 7 2 3" xfId="44109" xr:uid="{052B8FEE-E194-42E6-AC2C-73C9547325B9}"/>
    <cellStyle name="Comma 8 3 2 3 7 3" xfId="19917" xr:uid="{BE4BDD41-243D-444B-8E05-9A8B98E7B6C1}"/>
    <cellStyle name="Comma 8 3 2 3 7 3 2" xfId="50157" xr:uid="{34168164-DB4B-4921-9DC0-F013B4C716E8}"/>
    <cellStyle name="Comma 8 3 2 3 7 4" xfId="35037" xr:uid="{EB2DA0DA-90E2-49CE-ACA3-872E9E4B7AA1}"/>
    <cellStyle name="Comma 8 3 2 3 8" xfId="6309" xr:uid="{EC95895C-F10D-4FAA-B7BD-C08F077D8453}"/>
    <cellStyle name="Comma 8 3 2 3 8 2" xfId="21429" xr:uid="{28F3B2B5-AF14-4658-8BCB-596A54342322}"/>
    <cellStyle name="Comma 8 3 2 3 8 2 2" xfId="51669" xr:uid="{B4003206-A241-4483-A89C-C97B63C26C59}"/>
    <cellStyle name="Comma 8 3 2 3 8 3" xfId="36549" xr:uid="{1E559CC6-0FCB-4B69-AC20-462CEEA9268B}"/>
    <cellStyle name="Comma 8 3 2 3 9" xfId="7821" xr:uid="{8948510C-1546-4CF3-B949-B092FA8C2703}"/>
    <cellStyle name="Comma 8 3 2 3 9 2" xfId="22941" xr:uid="{69700AB3-3C66-4F42-8FE8-F685FC8E649D}"/>
    <cellStyle name="Comma 8 3 2 3 9 2 2" xfId="53181" xr:uid="{F97E4239-A805-4D89-9C25-ADDE1FA7CDDF}"/>
    <cellStyle name="Comma 8 3 2 3 9 3" xfId="38061" xr:uid="{184973BC-E52A-4747-BE10-A442D275A752}"/>
    <cellStyle name="Comma 8 3 2 4" xfId="345" xr:uid="{7603C7E4-8A8C-4067-ACA1-CEF4045A3C16}"/>
    <cellStyle name="Comma 8 3 2 4 10" xfId="30585" xr:uid="{E2C418B8-5D5F-4D2E-BE23-D34551E3A70D}"/>
    <cellStyle name="Comma 8 3 2 4 2" xfId="1101" xr:uid="{20B86E72-FCAF-4281-BBAC-F1DD3879CE32}"/>
    <cellStyle name="Comma 8 3 2 4 2 2" xfId="2613" xr:uid="{98F6B93F-D44B-4239-A83D-8AFAE8E58D11}"/>
    <cellStyle name="Comma 8 3 2 4 2 2 2" xfId="11685" xr:uid="{DD352A11-B05C-4C1A-BE82-B0E0138CBA67}"/>
    <cellStyle name="Comma 8 3 2 4 2 2 2 2" xfId="26805" xr:uid="{93EB24E0-6231-470B-942E-CA145EB205BE}"/>
    <cellStyle name="Comma 8 3 2 4 2 2 2 2 2" xfId="57045" xr:uid="{35C6260D-0FE4-4D8E-93E0-484D2F619519}"/>
    <cellStyle name="Comma 8 3 2 4 2 2 2 3" xfId="41925" xr:uid="{39E09BC9-6751-4EC0-86F0-7722F2D75F8D}"/>
    <cellStyle name="Comma 8 3 2 4 2 2 3" xfId="17733" xr:uid="{756EBA15-2572-432B-9DBF-C7823ADE88E6}"/>
    <cellStyle name="Comma 8 3 2 4 2 2 3 2" xfId="47973" xr:uid="{B6338CC1-1E67-42C4-8C02-380623074A38}"/>
    <cellStyle name="Comma 8 3 2 4 2 2 4" xfId="32853" xr:uid="{E482A777-57A0-43C6-B84B-49E31DB77597}"/>
    <cellStyle name="Comma 8 3 2 4 2 3" xfId="4125" xr:uid="{20307AB5-EB36-49B5-A156-8AA45FE2460C}"/>
    <cellStyle name="Comma 8 3 2 4 2 3 2" xfId="13197" xr:uid="{0C39D763-05DB-4A7B-A370-8FDA1121F685}"/>
    <cellStyle name="Comma 8 3 2 4 2 3 2 2" xfId="28317" xr:uid="{235D148C-84EC-49C8-8F20-3DAE7F4C66CF}"/>
    <cellStyle name="Comma 8 3 2 4 2 3 2 2 2" xfId="58557" xr:uid="{A79E04AB-0995-44B9-A6DE-3C992C7AD624}"/>
    <cellStyle name="Comma 8 3 2 4 2 3 2 3" xfId="43437" xr:uid="{FD0F4847-2C80-420E-89E2-63ABFF7D9FCB}"/>
    <cellStyle name="Comma 8 3 2 4 2 3 3" xfId="19245" xr:uid="{8426C1B0-1804-4866-9B20-48E7A117F364}"/>
    <cellStyle name="Comma 8 3 2 4 2 3 3 2" xfId="49485" xr:uid="{BE237734-4CCC-4E5A-86D3-CE4AF5CA6A4B}"/>
    <cellStyle name="Comma 8 3 2 4 2 3 4" xfId="34365" xr:uid="{F5B92436-6B07-4681-99D4-B4CAB33FE42D}"/>
    <cellStyle name="Comma 8 3 2 4 2 4" xfId="5637" xr:uid="{139B178E-E180-4B4C-93C8-477D1EAE92B3}"/>
    <cellStyle name="Comma 8 3 2 4 2 4 2" xfId="14709" xr:uid="{5FCB023F-6E13-4B98-8A44-267B211C3E32}"/>
    <cellStyle name="Comma 8 3 2 4 2 4 2 2" xfId="29829" xr:uid="{2FE70464-FDAE-4892-9342-9298D41E137B}"/>
    <cellStyle name="Comma 8 3 2 4 2 4 2 2 2" xfId="60069" xr:uid="{7C331E98-F380-4794-841E-5A57F2CDF1AB}"/>
    <cellStyle name="Comma 8 3 2 4 2 4 2 3" xfId="44949" xr:uid="{0464E535-E549-4E10-9CF6-0DA2118C99E9}"/>
    <cellStyle name="Comma 8 3 2 4 2 4 3" xfId="20757" xr:uid="{725E4CCD-8DA1-4A1A-8654-8CB4B6B302ED}"/>
    <cellStyle name="Comma 8 3 2 4 2 4 3 2" xfId="50997" xr:uid="{2916F03F-1144-4002-BDE6-60F500BE3385}"/>
    <cellStyle name="Comma 8 3 2 4 2 4 4" xfId="35877" xr:uid="{301C1C73-18AC-4ECD-98A6-D6D1A167947B}"/>
    <cellStyle name="Comma 8 3 2 4 2 5" xfId="7149" xr:uid="{7E3D0D65-BB2B-41B6-A1A0-FED6B0D89A02}"/>
    <cellStyle name="Comma 8 3 2 4 2 5 2" xfId="22269" xr:uid="{2B9BFA0B-5F75-4A36-B072-D7302FB4AB59}"/>
    <cellStyle name="Comma 8 3 2 4 2 5 2 2" xfId="52509" xr:uid="{A4FA2CE3-6396-4435-A7F7-005966BD2D39}"/>
    <cellStyle name="Comma 8 3 2 4 2 5 3" xfId="37389" xr:uid="{2C8FE79E-AAC3-42FC-9002-815A52B820EA}"/>
    <cellStyle name="Comma 8 3 2 4 2 6" xfId="8661" xr:uid="{08E44A2A-395E-4E0E-A0F8-A91B04F7DC71}"/>
    <cellStyle name="Comma 8 3 2 4 2 6 2" xfId="23781" xr:uid="{F324D880-D3C5-4E80-AEEF-70F73AFF4D85}"/>
    <cellStyle name="Comma 8 3 2 4 2 6 2 2" xfId="54021" xr:uid="{F6656FE4-86FD-46E0-AF64-4DCB864E8A18}"/>
    <cellStyle name="Comma 8 3 2 4 2 6 3" xfId="38901" xr:uid="{2C9CF55C-F644-4E9A-B67E-881D143E69FA}"/>
    <cellStyle name="Comma 8 3 2 4 2 7" xfId="10173" xr:uid="{7DFFEF4F-2A5E-4E12-9036-F910AED9EBA9}"/>
    <cellStyle name="Comma 8 3 2 4 2 7 2" xfId="25293" xr:uid="{2BFF44C2-118C-4721-9B7C-E7D6D6BD43AC}"/>
    <cellStyle name="Comma 8 3 2 4 2 7 2 2" xfId="55533" xr:uid="{19CCDB8D-25C1-4187-8BE7-044BD6A3F780}"/>
    <cellStyle name="Comma 8 3 2 4 2 7 3" xfId="40413" xr:uid="{6616E3B1-FE8A-4837-8CEF-2096002FC36D}"/>
    <cellStyle name="Comma 8 3 2 4 2 8" xfId="16221" xr:uid="{17E56245-1369-42E0-843D-79F3BCB23E3E}"/>
    <cellStyle name="Comma 8 3 2 4 2 8 2" xfId="46461" xr:uid="{B457004C-342E-4779-BE83-66C3CB1D0C03}"/>
    <cellStyle name="Comma 8 3 2 4 2 9" xfId="31341" xr:uid="{C0ECC505-B70F-4821-8A69-ADFCBF5F23AF}"/>
    <cellStyle name="Comma 8 3 2 4 3" xfId="1857" xr:uid="{4C06C875-8C6B-4858-82F7-4FD2623055FF}"/>
    <cellStyle name="Comma 8 3 2 4 3 2" xfId="10929" xr:uid="{F4CA7CCE-85DA-4A84-95B0-E75DC5CE7348}"/>
    <cellStyle name="Comma 8 3 2 4 3 2 2" xfId="26049" xr:uid="{E196FFE0-A6F5-45F4-84AE-EBD79E714B68}"/>
    <cellStyle name="Comma 8 3 2 4 3 2 2 2" xfId="56289" xr:uid="{D66FC3D4-5C82-44FB-BEC3-77C4D012D9ED}"/>
    <cellStyle name="Comma 8 3 2 4 3 2 3" xfId="41169" xr:uid="{D49C74F4-CD9C-4BE2-9BA1-831A5CAE24CE}"/>
    <cellStyle name="Comma 8 3 2 4 3 3" xfId="16977" xr:uid="{C124B9D9-160F-4B76-AD90-3037E5FDBCDA}"/>
    <cellStyle name="Comma 8 3 2 4 3 3 2" xfId="47217" xr:uid="{BE7A471A-D032-415E-B166-B5C39D5181BA}"/>
    <cellStyle name="Comma 8 3 2 4 3 4" xfId="32097" xr:uid="{2308826F-B927-4125-8587-E7DDB16C158C}"/>
    <cellStyle name="Comma 8 3 2 4 4" xfId="3369" xr:uid="{82A0A1CE-0453-41D9-BD58-847F9F9D39B3}"/>
    <cellStyle name="Comma 8 3 2 4 4 2" xfId="12441" xr:uid="{98685756-EFB8-489A-97B6-82FBA7C594A2}"/>
    <cellStyle name="Comma 8 3 2 4 4 2 2" xfId="27561" xr:uid="{C4B976A7-05C2-4143-BC6C-185ACA8D35FD}"/>
    <cellStyle name="Comma 8 3 2 4 4 2 2 2" xfId="57801" xr:uid="{D6D2EEE8-651A-4897-A2CC-F5F5FBF86141}"/>
    <cellStyle name="Comma 8 3 2 4 4 2 3" xfId="42681" xr:uid="{FFE1E8DA-D422-411B-A465-A35E10B0462A}"/>
    <cellStyle name="Comma 8 3 2 4 4 3" xfId="18489" xr:uid="{6B3C9F21-B77D-4411-BF77-257B6462E820}"/>
    <cellStyle name="Comma 8 3 2 4 4 3 2" xfId="48729" xr:uid="{AFA07CD7-C29D-457D-B258-2B5F7FCACA9A}"/>
    <cellStyle name="Comma 8 3 2 4 4 4" xfId="33609" xr:uid="{0B2A7838-B961-4C2F-A116-CB69CFBFC246}"/>
    <cellStyle name="Comma 8 3 2 4 5" xfId="4881" xr:uid="{71EDF271-1048-4266-A9F1-E76AB09599EE}"/>
    <cellStyle name="Comma 8 3 2 4 5 2" xfId="13953" xr:uid="{6AA07780-C454-47A9-808D-A40FAB5CDD04}"/>
    <cellStyle name="Comma 8 3 2 4 5 2 2" xfId="29073" xr:uid="{C53ED27A-319F-4F3F-9449-15044B374AD3}"/>
    <cellStyle name="Comma 8 3 2 4 5 2 2 2" xfId="59313" xr:uid="{7CFB7FF9-4BAE-43E3-ADB5-6B95EBB7F72A}"/>
    <cellStyle name="Comma 8 3 2 4 5 2 3" xfId="44193" xr:uid="{0941C3DA-FB42-4849-ABFD-B44FCB8DC6A7}"/>
    <cellStyle name="Comma 8 3 2 4 5 3" xfId="20001" xr:uid="{62336E02-B8A1-4541-A08B-93459957F7DD}"/>
    <cellStyle name="Comma 8 3 2 4 5 3 2" xfId="50241" xr:uid="{70CB5D21-6A9A-4E6E-A23C-BE68CA7F1563}"/>
    <cellStyle name="Comma 8 3 2 4 5 4" xfId="35121" xr:uid="{C4F0D84F-FF53-4DE6-B79A-8D39823BF693}"/>
    <cellStyle name="Comma 8 3 2 4 6" xfId="6393" xr:uid="{EDC50968-99BF-49EE-BB01-8E4C56CECD4C}"/>
    <cellStyle name="Comma 8 3 2 4 6 2" xfId="21513" xr:uid="{402B69C6-5B02-40C5-9E3C-788FDEE6C764}"/>
    <cellStyle name="Comma 8 3 2 4 6 2 2" xfId="51753" xr:uid="{CEF70262-ECAF-4BB1-A02F-C64F5C6A4CFD}"/>
    <cellStyle name="Comma 8 3 2 4 6 3" xfId="36633" xr:uid="{28CF76FE-0FB3-49C9-BE53-250EAA75D461}"/>
    <cellStyle name="Comma 8 3 2 4 7" xfId="7905" xr:uid="{B0F871E6-1469-4AB3-A042-5F6BFC6D5263}"/>
    <cellStyle name="Comma 8 3 2 4 7 2" xfId="23025" xr:uid="{60C766F1-8E51-44E1-9BE3-FF756B7C17B1}"/>
    <cellStyle name="Comma 8 3 2 4 7 2 2" xfId="53265" xr:uid="{401F02E4-5E47-4CA7-A5A1-CA807664CDF7}"/>
    <cellStyle name="Comma 8 3 2 4 7 3" xfId="38145" xr:uid="{11BB9554-EFB4-4824-B65A-1A9A13DD1DAA}"/>
    <cellStyle name="Comma 8 3 2 4 8" xfId="9417" xr:uid="{9F00EC57-7C84-4C73-AABB-0EABD662475A}"/>
    <cellStyle name="Comma 8 3 2 4 8 2" xfId="24537" xr:uid="{730B5F26-B43E-432C-ADB1-B64DC0DEA100}"/>
    <cellStyle name="Comma 8 3 2 4 8 2 2" xfId="54777" xr:uid="{E632A9AF-A2B9-4409-99B5-61A70D3CE5F6}"/>
    <cellStyle name="Comma 8 3 2 4 8 3" xfId="39657" xr:uid="{51C02C09-A28A-4951-9E29-C3E44F1589AB}"/>
    <cellStyle name="Comma 8 3 2 4 9" xfId="15465" xr:uid="{45794496-1BDB-4A5D-9700-75DC9BC9FB18}"/>
    <cellStyle name="Comma 8 3 2 4 9 2" xfId="45705" xr:uid="{45249169-2239-41DA-A5BA-A12EAC57729A}"/>
    <cellStyle name="Comma 8 3 2 5" xfId="597" xr:uid="{0EBC8F59-7778-4936-832A-4A440C7ED683}"/>
    <cellStyle name="Comma 8 3 2 5 10" xfId="30837" xr:uid="{98DB6094-ED81-4760-9E2E-7B4F52B96239}"/>
    <cellStyle name="Comma 8 3 2 5 2" xfId="1353" xr:uid="{E7F534B0-09F8-49EE-8771-0551A9043F13}"/>
    <cellStyle name="Comma 8 3 2 5 2 2" xfId="2865" xr:uid="{ADCAE9C7-37EA-4FAC-B9EB-D4A6A761B3EB}"/>
    <cellStyle name="Comma 8 3 2 5 2 2 2" xfId="11937" xr:uid="{00584BAA-12D8-4196-AB8E-97459DFC653C}"/>
    <cellStyle name="Comma 8 3 2 5 2 2 2 2" xfId="27057" xr:uid="{5A6AEF83-8F03-4501-BA34-C65A3E5713A9}"/>
    <cellStyle name="Comma 8 3 2 5 2 2 2 2 2" xfId="57297" xr:uid="{B590E0A3-0457-4615-9888-58A2DC67E8F6}"/>
    <cellStyle name="Comma 8 3 2 5 2 2 2 3" xfId="42177" xr:uid="{F0AE2F54-42B3-4AC2-9049-32051EADA2F3}"/>
    <cellStyle name="Comma 8 3 2 5 2 2 3" xfId="17985" xr:uid="{785CB713-CF90-449E-A217-F38073FBFA0C}"/>
    <cellStyle name="Comma 8 3 2 5 2 2 3 2" xfId="48225" xr:uid="{6A4EC2FA-01A0-421F-8EFF-C7695882ABD8}"/>
    <cellStyle name="Comma 8 3 2 5 2 2 4" xfId="33105" xr:uid="{8DAD7CE1-DB13-4ABD-846A-AF92826EB8A1}"/>
    <cellStyle name="Comma 8 3 2 5 2 3" xfId="4377" xr:uid="{1B49C83C-9216-4ED5-BCFA-AF607BF34350}"/>
    <cellStyle name="Comma 8 3 2 5 2 3 2" xfId="13449" xr:uid="{5D1580EA-6950-4A20-8791-8EB908D2B357}"/>
    <cellStyle name="Comma 8 3 2 5 2 3 2 2" xfId="28569" xr:uid="{7B3B37A8-CFD5-4A42-ADF9-BF384B8A4207}"/>
    <cellStyle name="Comma 8 3 2 5 2 3 2 2 2" xfId="58809" xr:uid="{B8D0F290-8489-493D-AEED-A50D34231316}"/>
    <cellStyle name="Comma 8 3 2 5 2 3 2 3" xfId="43689" xr:uid="{B684AA27-0AEC-4259-8E7E-EDC4789BA654}"/>
    <cellStyle name="Comma 8 3 2 5 2 3 3" xfId="19497" xr:uid="{D20CCBA7-1048-451B-B845-0767B5F8E596}"/>
    <cellStyle name="Comma 8 3 2 5 2 3 3 2" xfId="49737" xr:uid="{CE3C675E-BA16-4C9D-990F-7F28C7DB48D6}"/>
    <cellStyle name="Comma 8 3 2 5 2 3 4" xfId="34617" xr:uid="{6F3A079B-3F30-447D-B43A-B8C83F8717C4}"/>
    <cellStyle name="Comma 8 3 2 5 2 4" xfId="5889" xr:uid="{5F954488-A54B-4ADB-B6E2-E5DC0A862582}"/>
    <cellStyle name="Comma 8 3 2 5 2 4 2" xfId="14961" xr:uid="{C3ADD929-4344-48E1-AB86-C605F9B5AC1D}"/>
    <cellStyle name="Comma 8 3 2 5 2 4 2 2" xfId="30081" xr:uid="{BDAB389D-3757-400A-A258-417380001D54}"/>
    <cellStyle name="Comma 8 3 2 5 2 4 2 2 2" xfId="60321" xr:uid="{85FAAEBF-F394-4EEE-B1BD-9A213903AE02}"/>
    <cellStyle name="Comma 8 3 2 5 2 4 2 3" xfId="45201" xr:uid="{5CD1DCE3-43EA-4854-8F78-1E357870F742}"/>
    <cellStyle name="Comma 8 3 2 5 2 4 3" xfId="21009" xr:uid="{61EB6543-A23F-446D-AB33-9CCD71836DA6}"/>
    <cellStyle name="Comma 8 3 2 5 2 4 3 2" xfId="51249" xr:uid="{1D30E8FA-E115-4CF9-81D4-CBBB950AA414}"/>
    <cellStyle name="Comma 8 3 2 5 2 4 4" xfId="36129" xr:uid="{AD7CC304-EABD-421B-9FDC-20EB2BF38984}"/>
    <cellStyle name="Comma 8 3 2 5 2 5" xfId="7401" xr:uid="{BDBAC5B7-EBBE-4F99-AFC8-551DAA4181C4}"/>
    <cellStyle name="Comma 8 3 2 5 2 5 2" xfId="22521" xr:uid="{F51D3043-80DA-4C47-8E1D-85A889CB1793}"/>
    <cellStyle name="Comma 8 3 2 5 2 5 2 2" xfId="52761" xr:uid="{CD05A13D-1B64-455D-87BD-34F889F41CC8}"/>
    <cellStyle name="Comma 8 3 2 5 2 5 3" xfId="37641" xr:uid="{D57E427E-1349-4476-81A4-8469565ACB53}"/>
    <cellStyle name="Comma 8 3 2 5 2 6" xfId="8913" xr:uid="{285D8CDD-241B-4272-9A64-0CE044534203}"/>
    <cellStyle name="Comma 8 3 2 5 2 6 2" xfId="24033" xr:uid="{F42450EF-F013-4016-A9D5-6A416116429A}"/>
    <cellStyle name="Comma 8 3 2 5 2 6 2 2" xfId="54273" xr:uid="{5DA25FCE-7B84-41BD-AF87-C9B1816C3404}"/>
    <cellStyle name="Comma 8 3 2 5 2 6 3" xfId="39153" xr:uid="{A9E00462-0DB9-414B-9D66-129FE73A4563}"/>
    <cellStyle name="Comma 8 3 2 5 2 7" xfId="10425" xr:uid="{FA831C09-5E4C-4969-B737-B92378B7DB33}"/>
    <cellStyle name="Comma 8 3 2 5 2 7 2" xfId="25545" xr:uid="{FFB85653-827A-4845-A60E-E8CD238EB5AC}"/>
    <cellStyle name="Comma 8 3 2 5 2 7 2 2" xfId="55785" xr:uid="{018EF406-6C26-415A-8A9F-FE7F73D6A174}"/>
    <cellStyle name="Comma 8 3 2 5 2 7 3" xfId="40665" xr:uid="{0B8FE5D2-B782-48A5-81A3-3F8B57B434AA}"/>
    <cellStyle name="Comma 8 3 2 5 2 8" xfId="16473" xr:uid="{030560CF-1650-484F-8D6A-7F3624B00364}"/>
    <cellStyle name="Comma 8 3 2 5 2 8 2" xfId="46713" xr:uid="{2F7E8737-4CE9-4A07-A0ED-709B6F00D58C}"/>
    <cellStyle name="Comma 8 3 2 5 2 9" xfId="31593" xr:uid="{FE4A1283-9C60-4847-BA4C-068193F4D581}"/>
    <cellStyle name="Comma 8 3 2 5 3" xfId="2109" xr:uid="{55D07D5F-CEF8-4FF3-BEC1-E06086852E4A}"/>
    <cellStyle name="Comma 8 3 2 5 3 2" xfId="11181" xr:uid="{1E6F4A1F-7AF0-4FC2-933B-02714D568F3F}"/>
    <cellStyle name="Comma 8 3 2 5 3 2 2" xfId="26301" xr:uid="{4E003787-78F1-4B5B-B682-5A87E73147D6}"/>
    <cellStyle name="Comma 8 3 2 5 3 2 2 2" xfId="56541" xr:uid="{8385CDA0-C8D3-46BE-AB1F-946E6C8D3628}"/>
    <cellStyle name="Comma 8 3 2 5 3 2 3" xfId="41421" xr:uid="{84F41438-71B6-4AE0-8150-E11D7002B327}"/>
    <cellStyle name="Comma 8 3 2 5 3 3" xfId="17229" xr:uid="{194537B6-1944-42B7-BF37-092D5D2ACD86}"/>
    <cellStyle name="Comma 8 3 2 5 3 3 2" xfId="47469" xr:uid="{15E9BC53-BAAE-4250-9AD5-05B2EC9AE960}"/>
    <cellStyle name="Comma 8 3 2 5 3 4" xfId="32349" xr:uid="{39F0DCB6-5D4A-4DFA-B789-28BECCD05CBB}"/>
    <cellStyle name="Comma 8 3 2 5 4" xfId="3621" xr:uid="{1059915E-06BD-4EA2-AC38-083320DB3868}"/>
    <cellStyle name="Comma 8 3 2 5 4 2" xfId="12693" xr:uid="{4026AF65-2BCA-49E0-8DC7-FE0A8A6DC8BE}"/>
    <cellStyle name="Comma 8 3 2 5 4 2 2" xfId="27813" xr:uid="{4A63AD79-BBBE-4533-A684-AF3F7DDC87E9}"/>
    <cellStyle name="Comma 8 3 2 5 4 2 2 2" xfId="58053" xr:uid="{CF4174C2-CB05-48E5-903D-E47489B7C36F}"/>
    <cellStyle name="Comma 8 3 2 5 4 2 3" xfId="42933" xr:uid="{AB5C28CB-9DF8-4A05-96DE-81AAEA5B86E1}"/>
    <cellStyle name="Comma 8 3 2 5 4 3" xfId="18741" xr:uid="{008A9311-20A2-44CD-AF49-EF60206C7977}"/>
    <cellStyle name="Comma 8 3 2 5 4 3 2" xfId="48981" xr:uid="{F0FEEFEC-2967-4E99-B8E8-A794E5E224AB}"/>
    <cellStyle name="Comma 8 3 2 5 4 4" xfId="33861" xr:uid="{3F272A56-434A-41A7-9907-198EEAD488CD}"/>
    <cellStyle name="Comma 8 3 2 5 5" xfId="5133" xr:uid="{BBA01BBD-A4DA-4747-8C7A-D32692F862B1}"/>
    <cellStyle name="Comma 8 3 2 5 5 2" xfId="14205" xr:uid="{9E7191FD-341E-472A-A155-45F01B387BB2}"/>
    <cellStyle name="Comma 8 3 2 5 5 2 2" xfId="29325" xr:uid="{A5883A16-7179-48BD-B52E-FAEE8D14AE7B}"/>
    <cellStyle name="Comma 8 3 2 5 5 2 2 2" xfId="59565" xr:uid="{8F1D6392-9DA3-4435-8308-7C327AFEAA6C}"/>
    <cellStyle name="Comma 8 3 2 5 5 2 3" xfId="44445" xr:uid="{27972AA0-154C-4383-8F1C-2A5DABD2F705}"/>
    <cellStyle name="Comma 8 3 2 5 5 3" xfId="20253" xr:uid="{7F3F9F7D-04E7-4589-9525-9ADEEE944944}"/>
    <cellStyle name="Comma 8 3 2 5 5 3 2" xfId="50493" xr:uid="{5E00904D-1441-4F98-9922-AED22A864FEC}"/>
    <cellStyle name="Comma 8 3 2 5 5 4" xfId="35373" xr:uid="{2A601670-B5A6-4901-81C2-DBFF1410F60E}"/>
    <cellStyle name="Comma 8 3 2 5 6" xfId="6645" xr:uid="{B5473CC5-BAF2-46E7-9156-E3F435DF9781}"/>
    <cellStyle name="Comma 8 3 2 5 6 2" xfId="21765" xr:uid="{05FFE24D-3B1C-459F-9200-4E144C3A1AEF}"/>
    <cellStyle name="Comma 8 3 2 5 6 2 2" xfId="52005" xr:uid="{E3A5BA66-8749-46F7-8A2E-14C5E8F84D1C}"/>
    <cellStyle name="Comma 8 3 2 5 6 3" xfId="36885" xr:uid="{E9F6443B-97BF-486E-9BBA-952D5883700B}"/>
    <cellStyle name="Comma 8 3 2 5 7" xfId="8157" xr:uid="{7364454E-6A7F-4903-9E42-708F71D3CDEA}"/>
    <cellStyle name="Comma 8 3 2 5 7 2" xfId="23277" xr:uid="{3EC1FB1B-5754-4A7A-9360-47EE6BB51105}"/>
    <cellStyle name="Comma 8 3 2 5 7 2 2" xfId="53517" xr:uid="{06A39D0A-357D-4996-9034-B24DD2BB36AA}"/>
    <cellStyle name="Comma 8 3 2 5 7 3" xfId="38397" xr:uid="{2838A6A1-8216-482B-9DF9-2B64D15E9777}"/>
    <cellStyle name="Comma 8 3 2 5 8" xfId="9669" xr:uid="{C0AF9B49-C1D3-48E9-897E-53A41836418E}"/>
    <cellStyle name="Comma 8 3 2 5 8 2" xfId="24789" xr:uid="{18F224DC-4CFD-4EA5-A5E8-051AC0EB2A41}"/>
    <cellStyle name="Comma 8 3 2 5 8 2 2" xfId="55029" xr:uid="{A0CA4BA1-E7B4-4A12-9330-0AF28DCA2FE5}"/>
    <cellStyle name="Comma 8 3 2 5 8 3" xfId="39909" xr:uid="{E58C4B89-4BFE-40BF-A2FE-3074B48F9900}"/>
    <cellStyle name="Comma 8 3 2 5 9" xfId="15717" xr:uid="{05CE7232-4705-4FEA-A48C-4593F103C811}"/>
    <cellStyle name="Comma 8 3 2 5 9 2" xfId="45957" xr:uid="{655C56F3-A0A2-4E40-BE84-6CDC83537575}"/>
    <cellStyle name="Comma 8 3 2 6" xfId="849" xr:uid="{A713B482-CF84-440D-9418-3A3A1857838B}"/>
    <cellStyle name="Comma 8 3 2 6 2" xfId="2361" xr:uid="{1FCBF787-DC36-4776-90C0-C91D81E609C0}"/>
    <cellStyle name="Comma 8 3 2 6 2 2" xfId="11433" xr:uid="{B81122AA-9625-4F54-A9D0-960D58A4D9D5}"/>
    <cellStyle name="Comma 8 3 2 6 2 2 2" xfId="26553" xr:uid="{9919DE14-17B7-44A6-A33A-725D4C80B35F}"/>
    <cellStyle name="Comma 8 3 2 6 2 2 2 2" xfId="56793" xr:uid="{A81E9DB2-E57A-4419-A7BF-A22E412168F6}"/>
    <cellStyle name="Comma 8 3 2 6 2 2 3" xfId="41673" xr:uid="{0CBE2ED7-EA67-4F7D-979A-5DCEE4E10B68}"/>
    <cellStyle name="Comma 8 3 2 6 2 3" xfId="17481" xr:uid="{F2A84A08-981E-40C0-BD78-7AD0564161EB}"/>
    <cellStyle name="Comma 8 3 2 6 2 3 2" xfId="47721" xr:uid="{0D8E0923-0013-43E5-A8D9-1D4FCD2F6608}"/>
    <cellStyle name="Comma 8 3 2 6 2 4" xfId="32601" xr:uid="{057A0424-6A20-45B9-8552-8FA79727345E}"/>
    <cellStyle name="Comma 8 3 2 6 3" xfId="3873" xr:uid="{75E63FB6-5D5A-48BB-8A83-40EA8EF02875}"/>
    <cellStyle name="Comma 8 3 2 6 3 2" xfId="12945" xr:uid="{19CA882E-8D11-46B2-B48D-5CA1532C1942}"/>
    <cellStyle name="Comma 8 3 2 6 3 2 2" xfId="28065" xr:uid="{C342AF47-B8F3-4ED1-BB68-4F6B9C2A61FB}"/>
    <cellStyle name="Comma 8 3 2 6 3 2 2 2" xfId="58305" xr:uid="{97F5E850-203B-4A96-A442-D1B494138477}"/>
    <cellStyle name="Comma 8 3 2 6 3 2 3" xfId="43185" xr:uid="{677F8E35-1B12-47FD-9AB0-018D451FDC20}"/>
    <cellStyle name="Comma 8 3 2 6 3 3" xfId="18993" xr:uid="{A1BB7E43-CFFF-4722-9220-A68578D2005D}"/>
    <cellStyle name="Comma 8 3 2 6 3 3 2" xfId="49233" xr:uid="{21CAEEA4-87D6-4909-80F0-6FE44DE90F41}"/>
    <cellStyle name="Comma 8 3 2 6 3 4" xfId="34113" xr:uid="{1A7FEB75-93A2-4DEB-8ED4-E7F86BA8F9EC}"/>
    <cellStyle name="Comma 8 3 2 6 4" xfId="5385" xr:uid="{0BBCEF3D-FCEE-4BEA-B342-D8C256F1F80C}"/>
    <cellStyle name="Comma 8 3 2 6 4 2" xfId="14457" xr:uid="{C8F4091F-DE74-4243-A4E1-ABCC3D7E4F3D}"/>
    <cellStyle name="Comma 8 3 2 6 4 2 2" xfId="29577" xr:uid="{E020A309-8409-4BF3-AF3E-32E62897DC2E}"/>
    <cellStyle name="Comma 8 3 2 6 4 2 2 2" xfId="59817" xr:uid="{48E59ABF-19B9-4F6D-98B8-59B49EAFEE4F}"/>
    <cellStyle name="Comma 8 3 2 6 4 2 3" xfId="44697" xr:uid="{10244B5C-3857-4239-8840-85610C6D8378}"/>
    <cellStyle name="Comma 8 3 2 6 4 3" xfId="20505" xr:uid="{37128100-A6DD-42CE-B19E-960CFD775613}"/>
    <cellStyle name="Comma 8 3 2 6 4 3 2" xfId="50745" xr:uid="{5DFD1E34-89F2-4977-B211-D57C42E87B03}"/>
    <cellStyle name="Comma 8 3 2 6 4 4" xfId="35625" xr:uid="{1ECC0283-2B82-4A99-A84B-CD34A384994B}"/>
    <cellStyle name="Comma 8 3 2 6 5" xfId="6897" xr:uid="{653F86DD-139B-4648-8281-614C256E3F5A}"/>
    <cellStyle name="Comma 8 3 2 6 5 2" xfId="22017" xr:uid="{00A77041-634C-49B4-872B-1B6FAC5E7C30}"/>
    <cellStyle name="Comma 8 3 2 6 5 2 2" xfId="52257" xr:uid="{12B181B4-8756-4717-8EC6-9B355EAE219D}"/>
    <cellStyle name="Comma 8 3 2 6 5 3" xfId="37137" xr:uid="{2724B9EE-4722-481C-A854-F7AB036D92EC}"/>
    <cellStyle name="Comma 8 3 2 6 6" xfId="8409" xr:uid="{76C02E0B-C8D5-42B2-998A-80AA2DB90C63}"/>
    <cellStyle name="Comma 8 3 2 6 6 2" xfId="23529" xr:uid="{AA282197-EC23-4310-AAAD-7BB550D961FF}"/>
    <cellStyle name="Comma 8 3 2 6 6 2 2" xfId="53769" xr:uid="{ACF4C6DA-C441-42FF-ABE8-DDCCDABACE8C}"/>
    <cellStyle name="Comma 8 3 2 6 6 3" xfId="38649" xr:uid="{3B783E44-D6E1-43A0-8370-03BCBA38E19B}"/>
    <cellStyle name="Comma 8 3 2 6 7" xfId="9921" xr:uid="{B22192E2-EF31-4367-BA94-62E95BC9438A}"/>
    <cellStyle name="Comma 8 3 2 6 7 2" xfId="25041" xr:uid="{7AF6586D-0367-4F8F-BF97-9AFA78B79153}"/>
    <cellStyle name="Comma 8 3 2 6 7 2 2" xfId="55281" xr:uid="{4F8D6265-4A62-4AEE-B66F-EA6DD36D2B17}"/>
    <cellStyle name="Comma 8 3 2 6 7 3" xfId="40161" xr:uid="{2E0CC5F7-0934-4CD6-B4D6-1174993460AB}"/>
    <cellStyle name="Comma 8 3 2 6 8" xfId="15969" xr:uid="{941CA37E-E859-4CED-B5F7-D7A7FE4FDCA6}"/>
    <cellStyle name="Comma 8 3 2 6 8 2" xfId="46209" xr:uid="{CC14C810-EF0B-43B4-AC6B-1CC7890AE06F}"/>
    <cellStyle name="Comma 8 3 2 6 9" xfId="31089" xr:uid="{01C98CB2-E6BA-4E33-8C3C-E5EE146F4182}"/>
    <cellStyle name="Comma 8 3 2 7" xfId="1605" xr:uid="{8C9DCA28-43EA-4E07-A3F7-9A67412A46A4}"/>
    <cellStyle name="Comma 8 3 2 7 2" xfId="10677" xr:uid="{B22D8E39-0086-43C6-8E5C-FC6DA26A38E1}"/>
    <cellStyle name="Comma 8 3 2 7 2 2" xfId="25797" xr:uid="{38F51E04-BC99-4757-A4C1-5D80E31601DE}"/>
    <cellStyle name="Comma 8 3 2 7 2 2 2" xfId="56037" xr:uid="{28F052BA-0F8A-4020-85A2-14789B8ECB3A}"/>
    <cellStyle name="Comma 8 3 2 7 2 3" xfId="40917" xr:uid="{C14065C3-8256-4970-B70C-154155CF1666}"/>
    <cellStyle name="Comma 8 3 2 7 3" xfId="16725" xr:uid="{4D88ED7B-C073-454A-8125-C34548993BE7}"/>
    <cellStyle name="Comma 8 3 2 7 3 2" xfId="46965" xr:uid="{DD92EE95-42FE-438C-84E4-84AA08052C54}"/>
    <cellStyle name="Comma 8 3 2 7 4" xfId="31845" xr:uid="{3476DCA7-7AA3-4DDB-933A-4468C0EEB3AB}"/>
    <cellStyle name="Comma 8 3 2 8" xfId="3117" xr:uid="{EBAC6681-3D35-47A5-8E89-FE10A2AC8161}"/>
    <cellStyle name="Comma 8 3 2 8 2" xfId="12189" xr:uid="{CBB0536A-A299-482D-8070-4B9F6C5CBA94}"/>
    <cellStyle name="Comma 8 3 2 8 2 2" xfId="27309" xr:uid="{AFA5820A-776B-41F1-A2EE-64E507E61281}"/>
    <cellStyle name="Comma 8 3 2 8 2 2 2" xfId="57549" xr:uid="{7E32B879-BCE4-48C1-9B57-FC8C90A13F43}"/>
    <cellStyle name="Comma 8 3 2 8 2 3" xfId="42429" xr:uid="{2BE6CB2B-2F6D-4F5C-88A8-164734AC2A61}"/>
    <cellStyle name="Comma 8 3 2 8 3" xfId="18237" xr:uid="{477E6971-AE53-4CD5-B90C-96FC03A0A8B0}"/>
    <cellStyle name="Comma 8 3 2 8 3 2" xfId="48477" xr:uid="{1E3C19E7-6119-472A-B941-26710713875B}"/>
    <cellStyle name="Comma 8 3 2 8 4" xfId="33357" xr:uid="{8BE11662-E018-445D-9E55-5C5038EFEA37}"/>
    <cellStyle name="Comma 8 3 2 9" xfId="4629" xr:uid="{756CDC0A-7413-4681-93C0-1DFC0771FF00}"/>
    <cellStyle name="Comma 8 3 2 9 2" xfId="13701" xr:uid="{2C5E634D-FC94-4C04-86C0-3123254D6596}"/>
    <cellStyle name="Comma 8 3 2 9 2 2" xfId="28821" xr:uid="{AA7BABFC-5F93-4E1F-8663-DC5DBBC204BE}"/>
    <cellStyle name="Comma 8 3 2 9 2 2 2" xfId="59061" xr:uid="{2B656261-7666-4296-A160-E9805B8D7E76}"/>
    <cellStyle name="Comma 8 3 2 9 2 3" xfId="43941" xr:uid="{9610CCBD-B849-476E-B991-A17F0C4F2EE1}"/>
    <cellStyle name="Comma 8 3 2 9 3" xfId="19749" xr:uid="{1D26CCE1-2318-4A7C-A6D5-6D071F72BC16}"/>
    <cellStyle name="Comma 8 3 2 9 3 2" xfId="49989" xr:uid="{155A592B-4ED8-4026-A01B-466637D81616}"/>
    <cellStyle name="Comma 8 3 2 9 4" xfId="34869" xr:uid="{AA3EE95E-E7C8-464D-A339-77C2E54829D1}"/>
    <cellStyle name="Comma 8 3 3" xfId="135" xr:uid="{83E92DD3-BCD4-4153-8279-7A40F757449E}"/>
    <cellStyle name="Comma 8 3 3 10" xfId="9207" xr:uid="{490585A0-6410-4E75-9685-6B3E4B3A9132}"/>
    <cellStyle name="Comma 8 3 3 10 2" xfId="24327" xr:uid="{C4A487E4-8E1B-4E95-A23D-5A09A4CCE2F2}"/>
    <cellStyle name="Comma 8 3 3 10 2 2" xfId="54567" xr:uid="{184524A1-EC0F-4602-915C-B00A51B18BC2}"/>
    <cellStyle name="Comma 8 3 3 10 3" xfId="39447" xr:uid="{AAF7048B-5716-4C6A-96BA-79CF52042B6B}"/>
    <cellStyle name="Comma 8 3 3 11" xfId="15255" xr:uid="{3D33EDE7-1256-4FB8-AD5A-4BF25DBDF3D6}"/>
    <cellStyle name="Comma 8 3 3 11 2" xfId="45495" xr:uid="{9BEE1DDB-C5E8-4469-A406-64FE93F1A5B7}"/>
    <cellStyle name="Comma 8 3 3 12" xfId="30375" xr:uid="{03415380-C0E4-45CE-B917-D39038509325}"/>
    <cellStyle name="Comma 8 3 3 2" xfId="387" xr:uid="{A2D48A08-8BCD-42C1-AB07-FEAD5B7C0177}"/>
    <cellStyle name="Comma 8 3 3 2 10" xfId="30627" xr:uid="{9D28697C-434E-4B02-9CF2-4874EA20ABE2}"/>
    <cellStyle name="Comma 8 3 3 2 2" xfId="1143" xr:uid="{985CFD36-3EA2-4C97-8759-19C156F8E0F2}"/>
    <cellStyle name="Comma 8 3 3 2 2 2" xfId="2655" xr:uid="{2A09D198-040A-46B9-BFCC-35DB40487E14}"/>
    <cellStyle name="Comma 8 3 3 2 2 2 2" xfId="11727" xr:uid="{28E750C4-9255-4270-A3B2-81AC8B6B61FC}"/>
    <cellStyle name="Comma 8 3 3 2 2 2 2 2" xfId="26847" xr:uid="{7F0C31D1-AA03-4275-935B-289F1AA0CC8C}"/>
    <cellStyle name="Comma 8 3 3 2 2 2 2 2 2" xfId="57087" xr:uid="{0A27CA22-8C28-40CB-9D55-3543522AFB84}"/>
    <cellStyle name="Comma 8 3 3 2 2 2 2 3" xfId="41967" xr:uid="{9FBF44A7-E41B-417D-BFEB-5A18FFECDBCD}"/>
    <cellStyle name="Comma 8 3 3 2 2 2 3" xfId="17775" xr:uid="{0037E5CB-4E84-48FD-9BCC-EDF52F185F66}"/>
    <cellStyle name="Comma 8 3 3 2 2 2 3 2" xfId="48015" xr:uid="{24A11DB4-71C1-4833-A5E4-E64112CF4D6F}"/>
    <cellStyle name="Comma 8 3 3 2 2 2 4" xfId="32895" xr:uid="{224939FC-8238-480B-B950-D7978F4840D4}"/>
    <cellStyle name="Comma 8 3 3 2 2 3" xfId="4167" xr:uid="{C888E3B6-D08A-43BE-A681-C00A76417A0A}"/>
    <cellStyle name="Comma 8 3 3 2 2 3 2" xfId="13239" xr:uid="{74B6FAE8-584B-49D9-9FAB-694A411FA59C}"/>
    <cellStyle name="Comma 8 3 3 2 2 3 2 2" xfId="28359" xr:uid="{2457A533-86E1-45C8-85EE-13D80AA89B52}"/>
    <cellStyle name="Comma 8 3 3 2 2 3 2 2 2" xfId="58599" xr:uid="{6C8BC818-1113-416E-889E-3362663FA074}"/>
    <cellStyle name="Comma 8 3 3 2 2 3 2 3" xfId="43479" xr:uid="{A829586D-9A76-447C-A139-CB699963E453}"/>
    <cellStyle name="Comma 8 3 3 2 2 3 3" xfId="19287" xr:uid="{591F868A-B03F-4FA0-B377-6964271227C2}"/>
    <cellStyle name="Comma 8 3 3 2 2 3 3 2" xfId="49527" xr:uid="{568A9874-80E3-40B8-99B4-DA0AB959B7A7}"/>
    <cellStyle name="Comma 8 3 3 2 2 3 4" xfId="34407" xr:uid="{C881B2DE-50D5-4812-9FB0-849963EEE703}"/>
    <cellStyle name="Comma 8 3 3 2 2 4" xfId="5679" xr:uid="{AFCC164B-F2CF-4D23-9C22-5C3C15E0B601}"/>
    <cellStyle name="Comma 8 3 3 2 2 4 2" xfId="14751" xr:uid="{4D8D7C87-1716-4390-96AB-9424A594A5D2}"/>
    <cellStyle name="Comma 8 3 3 2 2 4 2 2" xfId="29871" xr:uid="{02F59318-BF3B-420E-87E2-56EF7FE4A025}"/>
    <cellStyle name="Comma 8 3 3 2 2 4 2 2 2" xfId="60111" xr:uid="{6FF3425C-E828-4464-9AA8-9B8E14FCED42}"/>
    <cellStyle name="Comma 8 3 3 2 2 4 2 3" xfId="44991" xr:uid="{F8D256B7-45E9-4087-B066-CC394A39FE45}"/>
    <cellStyle name="Comma 8 3 3 2 2 4 3" xfId="20799" xr:uid="{E6DFDDB1-5F3B-498C-B7C8-562816A5F475}"/>
    <cellStyle name="Comma 8 3 3 2 2 4 3 2" xfId="51039" xr:uid="{10F6E107-A688-45CE-8290-94C0DC17F9FF}"/>
    <cellStyle name="Comma 8 3 3 2 2 4 4" xfId="35919" xr:uid="{E0369DDA-9BA7-4278-8A7B-6512C0C5C237}"/>
    <cellStyle name="Comma 8 3 3 2 2 5" xfId="7191" xr:uid="{6969F610-E5A9-4853-9C81-7E99DA178873}"/>
    <cellStyle name="Comma 8 3 3 2 2 5 2" xfId="22311" xr:uid="{DB7DEF84-6E79-4284-80B1-E85C65001E33}"/>
    <cellStyle name="Comma 8 3 3 2 2 5 2 2" xfId="52551" xr:uid="{695BE3A5-4954-4B01-A905-03D635173D92}"/>
    <cellStyle name="Comma 8 3 3 2 2 5 3" xfId="37431" xr:uid="{891B3456-FE2C-442A-8A97-57DE49398DA3}"/>
    <cellStyle name="Comma 8 3 3 2 2 6" xfId="8703" xr:uid="{8F0E6E6D-56D4-4518-9758-02B6CC027332}"/>
    <cellStyle name="Comma 8 3 3 2 2 6 2" xfId="23823" xr:uid="{6CD7D495-DFE7-4DDB-9B19-550042A73F28}"/>
    <cellStyle name="Comma 8 3 3 2 2 6 2 2" xfId="54063" xr:uid="{D5A6DB51-231F-4FED-962E-C69B4F36A1B8}"/>
    <cellStyle name="Comma 8 3 3 2 2 6 3" xfId="38943" xr:uid="{2607CDAA-533C-408F-8586-3687ACEA34F9}"/>
    <cellStyle name="Comma 8 3 3 2 2 7" xfId="10215" xr:uid="{8A493CDC-0A1D-4E31-A82A-D68C09A3CBA7}"/>
    <cellStyle name="Comma 8 3 3 2 2 7 2" xfId="25335" xr:uid="{B87BEF93-C94D-47D8-9BD4-296BB652B274}"/>
    <cellStyle name="Comma 8 3 3 2 2 7 2 2" xfId="55575" xr:uid="{8BFCB71B-B918-423F-88D7-BDF9E0BE990A}"/>
    <cellStyle name="Comma 8 3 3 2 2 7 3" xfId="40455" xr:uid="{D321AD4D-BD04-457A-B61F-7EC930E6CD33}"/>
    <cellStyle name="Comma 8 3 3 2 2 8" xfId="16263" xr:uid="{B912EFD3-3A54-428D-811F-86213704A24D}"/>
    <cellStyle name="Comma 8 3 3 2 2 8 2" xfId="46503" xr:uid="{793BC861-BE3D-4489-BA62-8093151C0F32}"/>
    <cellStyle name="Comma 8 3 3 2 2 9" xfId="31383" xr:uid="{0AA6E9DE-B4D8-4883-AC24-B7BFCE4C2CB4}"/>
    <cellStyle name="Comma 8 3 3 2 3" xfId="1899" xr:uid="{F565E740-C629-4293-87FE-73597E26F79F}"/>
    <cellStyle name="Comma 8 3 3 2 3 2" xfId="10971" xr:uid="{FB7AACAE-3C22-4EBB-BA0B-12A25F3D9A06}"/>
    <cellStyle name="Comma 8 3 3 2 3 2 2" xfId="26091" xr:uid="{21D20335-E854-4C1A-8560-341F1430B074}"/>
    <cellStyle name="Comma 8 3 3 2 3 2 2 2" xfId="56331" xr:uid="{9D62CFF7-7C54-4110-AA97-05BF92B03229}"/>
    <cellStyle name="Comma 8 3 3 2 3 2 3" xfId="41211" xr:uid="{C6369905-CF73-4E54-AA4D-C78BA5B088EB}"/>
    <cellStyle name="Comma 8 3 3 2 3 3" xfId="17019" xr:uid="{A3CF26CD-FEEE-47FF-890D-A399E6060AA1}"/>
    <cellStyle name="Comma 8 3 3 2 3 3 2" xfId="47259" xr:uid="{734F3F53-7761-4544-9B05-94239F494614}"/>
    <cellStyle name="Comma 8 3 3 2 3 4" xfId="32139" xr:uid="{F204FBA6-B9EC-4616-9834-368CB53E3052}"/>
    <cellStyle name="Comma 8 3 3 2 4" xfId="3411" xr:uid="{DD585B23-732C-41FB-937B-78C2C22F878E}"/>
    <cellStyle name="Comma 8 3 3 2 4 2" xfId="12483" xr:uid="{D784A197-9211-4691-BA43-A9BF871B2FB1}"/>
    <cellStyle name="Comma 8 3 3 2 4 2 2" xfId="27603" xr:uid="{9837A784-AA28-4E3D-BAD3-2C20EB871DC8}"/>
    <cellStyle name="Comma 8 3 3 2 4 2 2 2" xfId="57843" xr:uid="{4339005C-140D-470A-ACFB-E0EDAB827772}"/>
    <cellStyle name="Comma 8 3 3 2 4 2 3" xfId="42723" xr:uid="{F702D9FD-4B96-4F5B-B42B-9DCC2C656F7F}"/>
    <cellStyle name="Comma 8 3 3 2 4 3" xfId="18531" xr:uid="{8500A111-1DD9-4442-9C3E-17A211791877}"/>
    <cellStyle name="Comma 8 3 3 2 4 3 2" xfId="48771" xr:uid="{9174620C-CF4B-420F-8AF3-6DD154826D44}"/>
    <cellStyle name="Comma 8 3 3 2 4 4" xfId="33651" xr:uid="{860CF22F-A359-4769-AB15-9F28AAE3A5BF}"/>
    <cellStyle name="Comma 8 3 3 2 5" xfId="4923" xr:uid="{D04508E0-CF70-4A93-B72D-4B103B60E3B4}"/>
    <cellStyle name="Comma 8 3 3 2 5 2" xfId="13995" xr:uid="{F8D5EE92-4D09-4121-8547-34A8D5DE6637}"/>
    <cellStyle name="Comma 8 3 3 2 5 2 2" xfId="29115" xr:uid="{52AD4DA4-8955-4085-B015-06BAEA5DCF1B}"/>
    <cellStyle name="Comma 8 3 3 2 5 2 2 2" xfId="59355" xr:uid="{08283F2A-84BF-4C48-BDE0-90A1CA53DF0F}"/>
    <cellStyle name="Comma 8 3 3 2 5 2 3" xfId="44235" xr:uid="{80CC05CB-B5F4-44BE-A911-313DF3F76EA8}"/>
    <cellStyle name="Comma 8 3 3 2 5 3" xfId="20043" xr:uid="{1D0D7654-21B3-48D9-A82A-ECC0A0381489}"/>
    <cellStyle name="Comma 8 3 3 2 5 3 2" xfId="50283" xr:uid="{05FAFEDE-84C4-4C1C-9F87-C6AF952ECDB8}"/>
    <cellStyle name="Comma 8 3 3 2 5 4" xfId="35163" xr:uid="{9CABB2BF-9B99-4D20-BCCA-14AA3749E8D1}"/>
    <cellStyle name="Comma 8 3 3 2 6" xfId="6435" xr:uid="{2CC60297-CDD2-4963-A04F-8F78252E38D6}"/>
    <cellStyle name="Comma 8 3 3 2 6 2" xfId="21555" xr:uid="{7C6CD739-D9E7-40DF-99A3-37566F0FE853}"/>
    <cellStyle name="Comma 8 3 3 2 6 2 2" xfId="51795" xr:uid="{052D2544-CF92-4B7A-B841-C6EBBF5EE468}"/>
    <cellStyle name="Comma 8 3 3 2 6 3" xfId="36675" xr:uid="{268C72CF-14FB-4391-93F7-0344F0DA93A7}"/>
    <cellStyle name="Comma 8 3 3 2 7" xfId="7947" xr:uid="{79AD1275-A2A5-4E5B-A656-6B891FF5377B}"/>
    <cellStyle name="Comma 8 3 3 2 7 2" xfId="23067" xr:uid="{8C318806-BB5A-43C7-A6B7-AC0C63C0E3DD}"/>
    <cellStyle name="Comma 8 3 3 2 7 2 2" xfId="53307" xr:uid="{ABB9FCF7-B6A7-4493-BD5F-034E392FFFF9}"/>
    <cellStyle name="Comma 8 3 3 2 7 3" xfId="38187" xr:uid="{CA2C212C-971C-4145-88BD-63EE0C95B1B7}"/>
    <cellStyle name="Comma 8 3 3 2 8" xfId="9459" xr:uid="{CF2EA865-8249-4C2B-A714-5663DE96EA4A}"/>
    <cellStyle name="Comma 8 3 3 2 8 2" xfId="24579" xr:uid="{F759743D-7819-4C2E-BADC-437E49428C19}"/>
    <cellStyle name="Comma 8 3 3 2 8 2 2" xfId="54819" xr:uid="{F4CBE7F7-703A-44FE-9FD7-C5D2800BCD7E}"/>
    <cellStyle name="Comma 8 3 3 2 8 3" xfId="39699" xr:uid="{FD97C2FF-F647-4128-ACE1-EAB01656AA06}"/>
    <cellStyle name="Comma 8 3 3 2 9" xfId="15507" xr:uid="{DFD2C750-D4DF-4744-BA0D-FF44B8CE5B7F}"/>
    <cellStyle name="Comma 8 3 3 2 9 2" xfId="45747" xr:uid="{6844B274-4ACD-4FF9-82AA-6D439FD1E283}"/>
    <cellStyle name="Comma 8 3 3 3" xfId="639" xr:uid="{3674B980-5EC4-4424-9FB7-CD7F28A3CC89}"/>
    <cellStyle name="Comma 8 3 3 3 10" xfId="30879" xr:uid="{D37EFA6C-F2D4-49D1-829A-4DB11D9766F6}"/>
    <cellStyle name="Comma 8 3 3 3 2" xfId="1395" xr:uid="{30826A68-B384-4238-89AA-F5DC565CA609}"/>
    <cellStyle name="Comma 8 3 3 3 2 2" xfId="2907" xr:uid="{54C6ED40-3333-4A4F-AF4C-C51DE18BDE7B}"/>
    <cellStyle name="Comma 8 3 3 3 2 2 2" xfId="11979" xr:uid="{7534BAE1-9640-4EB4-922E-83EABC956BBA}"/>
    <cellStyle name="Comma 8 3 3 3 2 2 2 2" xfId="27099" xr:uid="{9EEEEFBC-2BEC-4153-91B9-88F9F306DE00}"/>
    <cellStyle name="Comma 8 3 3 3 2 2 2 2 2" xfId="57339" xr:uid="{2646A9CF-302E-4A2F-A70C-3D41C1A301D6}"/>
    <cellStyle name="Comma 8 3 3 3 2 2 2 3" xfId="42219" xr:uid="{33E1ED16-6DFA-4E10-8E91-BBE96CD4438B}"/>
    <cellStyle name="Comma 8 3 3 3 2 2 3" xfId="18027" xr:uid="{B223D1FB-8BAC-4999-8B53-D39BACA9D05F}"/>
    <cellStyle name="Comma 8 3 3 3 2 2 3 2" xfId="48267" xr:uid="{5B4A0ED1-4C78-4C40-A483-0B76E964E45C}"/>
    <cellStyle name="Comma 8 3 3 3 2 2 4" xfId="33147" xr:uid="{A7B37E93-FABC-46E3-8B4E-44585912F633}"/>
    <cellStyle name="Comma 8 3 3 3 2 3" xfId="4419" xr:uid="{93BEECDF-434C-4A17-96EB-67BADC1ED140}"/>
    <cellStyle name="Comma 8 3 3 3 2 3 2" xfId="13491" xr:uid="{E5FF63F1-26D3-4297-9D32-96B5AECA18A9}"/>
    <cellStyle name="Comma 8 3 3 3 2 3 2 2" xfId="28611" xr:uid="{0B60460A-835A-4796-B1B1-4E3C37A37C7E}"/>
    <cellStyle name="Comma 8 3 3 3 2 3 2 2 2" xfId="58851" xr:uid="{074C71CF-4914-4E27-A010-A61B234566B7}"/>
    <cellStyle name="Comma 8 3 3 3 2 3 2 3" xfId="43731" xr:uid="{31FC0D07-3307-4803-9234-F6E8C3981D26}"/>
    <cellStyle name="Comma 8 3 3 3 2 3 3" xfId="19539" xr:uid="{2D02F029-86BC-4BA4-8C16-AEB5E3D0D14F}"/>
    <cellStyle name="Comma 8 3 3 3 2 3 3 2" xfId="49779" xr:uid="{F69D0994-6555-4D6C-A558-2CE3E1B3A8CA}"/>
    <cellStyle name="Comma 8 3 3 3 2 3 4" xfId="34659" xr:uid="{851E39D1-B1A6-413D-AD48-2F5BF14AECE6}"/>
    <cellStyle name="Comma 8 3 3 3 2 4" xfId="5931" xr:uid="{8A33BE8C-77A8-4E47-870B-2973DB8B5FCB}"/>
    <cellStyle name="Comma 8 3 3 3 2 4 2" xfId="15003" xr:uid="{2EE76B44-F78B-4A67-B63E-3B941382B78C}"/>
    <cellStyle name="Comma 8 3 3 3 2 4 2 2" xfId="30123" xr:uid="{FDC3E014-0716-40AE-A998-50CD95B57315}"/>
    <cellStyle name="Comma 8 3 3 3 2 4 2 2 2" xfId="60363" xr:uid="{187969CF-C3AD-47D5-B4D5-9C8DE7C69104}"/>
    <cellStyle name="Comma 8 3 3 3 2 4 2 3" xfId="45243" xr:uid="{8CBF21FB-3761-48BD-97E0-DDB9BE1107F3}"/>
    <cellStyle name="Comma 8 3 3 3 2 4 3" xfId="21051" xr:uid="{38919E07-20FB-440B-B622-7F07B4079534}"/>
    <cellStyle name="Comma 8 3 3 3 2 4 3 2" xfId="51291" xr:uid="{08F92E3A-1C83-4D4C-B75E-D705067D0C1D}"/>
    <cellStyle name="Comma 8 3 3 3 2 4 4" xfId="36171" xr:uid="{C45D618A-D945-4560-ABE9-C9102EABB18E}"/>
    <cellStyle name="Comma 8 3 3 3 2 5" xfId="7443" xr:uid="{790181D4-BF19-4BF1-925C-C4B6F15E93CD}"/>
    <cellStyle name="Comma 8 3 3 3 2 5 2" xfId="22563" xr:uid="{29DC7AF6-88CB-4FF0-A613-AE8D28DAD09C}"/>
    <cellStyle name="Comma 8 3 3 3 2 5 2 2" xfId="52803" xr:uid="{48F2AAA3-9F39-42F6-AF42-90C46785126A}"/>
    <cellStyle name="Comma 8 3 3 3 2 5 3" xfId="37683" xr:uid="{235CCD5E-987F-4EA8-9619-12AF49CFC41E}"/>
    <cellStyle name="Comma 8 3 3 3 2 6" xfId="8955" xr:uid="{DA9D5A26-1361-4BEB-8B60-3B7BFE4E0CE1}"/>
    <cellStyle name="Comma 8 3 3 3 2 6 2" xfId="24075" xr:uid="{C40FC5F5-948F-4C6C-A393-A67BF271E28F}"/>
    <cellStyle name="Comma 8 3 3 3 2 6 2 2" xfId="54315" xr:uid="{2C9AF4BA-CBCA-4070-A6E8-7315773A6AD2}"/>
    <cellStyle name="Comma 8 3 3 3 2 6 3" xfId="39195" xr:uid="{6DF2B52F-74B1-48BF-8349-58E981367A74}"/>
    <cellStyle name="Comma 8 3 3 3 2 7" xfId="10467" xr:uid="{110D48CB-8397-4B72-ADE0-E6E97D948474}"/>
    <cellStyle name="Comma 8 3 3 3 2 7 2" xfId="25587" xr:uid="{67B4BCE0-A438-4A5D-9ACF-F14D2F73962E}"/>
    <cellStyle name="Comma 8 3 3 3 2 7 2 2" xfId="55827" xr:uid="{8FDDDB0E-5C37-4531-B4F5-A1071937FB03}"/>
    <cellStyle name="Comma 8 3 3 3 2 7 3" xfId="40707" xr:uid="{621325FB-61A4-427A-90FF-6B2C1C877BDE}"/>
    <cellStyle name="Comma 8 3 3 3 2 8" xfId="16515" xr:uid="{3C602B31-22A7-4456-B4F2-55B005B139FE}"/>
    <cellStyle name="Comma 8 3 3 3 2 8 2" xfId="46755" xr:uid="{15EE63A5-A7AD-40C6-8079-CE5A770A63EF}"/>
    <cellStyle name="Comma 8 3 3 3 2 9" xfId="31635" xr:uid="{99A51A4E-C1FE-4569-B620-ABC80BEA94C8}"/>
    <cellStyle name="Comma 8 3 3 3 3" xfId="2151" xr:uid="{81E7D443-6F14-409E-A10F-0CF0B55CB457}"/>
    <cellStyle name="Comma 8 3 3 3 3 2" xfId="11223" xr:uid="{1FF04D54-07B8-4137-AD52-6BB3A6178D5E}"/>
    <cellStyle name="Comma 8 3 3 3 3 2 2" xfId="26343" xr:uid="{D1D8201D-670C-4DD8-8200-F26531E2FED2}"/>
    <cellStyle name="Comma 8 3 3 3 3 2 2 2" xfId="56583" xr:uid="{0DC87DAC-02D4-4C81-A58C-4A71FF6001FB}"/>
    <cellStyle name="Comma 8 3 3 3 3 2 3" xfId="41463" xr:uid="{4407E97A-4D7D-4F76-8821-0D23936F241B}"/>
    <cellStyle name="Comma 8 3 3 3 3 3" xfId="17271" xr:uid="{8083BFB2-3051-4357-9A7A-00AE40D4E99A}"/>
    <cellStyle name="Comma 8 3 3 3 3 3 2" xfId="47511" xr:uid="{74F6D4AF-BE6C-49A3-B84A-9FA372D213F2}"/>
    <cellStyle name="Comma 8 3 3 3 3 4" xfId="32391" xr:uid="{E7841280-57FE-41CF-8FBD-67DFD4E264DF}"/>
    <cellStyle name="Comma 8 3 3 3 4" xfId="3663" xr:uid="{BABD110A-1085-4AA1-9704-B961E8A617D8}"/>
    <cellStyle name="Comma 8 3 3 3 4 2" xfId="12735" xr:uid="{06B9C7CE-9DFB-4C8A-96C1-736E94FB26FC}"/>
    <cellStyle name="Comma 8 3 3 3 4 2 2" xfId="27855" xr:uid="{17EBF024-13D9-4681-A69D-070804B79EC8}"/>
    <cellStyle name="Comma 8 3 3 3 4 2 2 2" xfId="58095" xr:uid="{0814714E-6622-4D9E-B180-C5BB72007A8F}"/>
    <cellStyle name="Comma 8 3 3 3 4 2 3" xfId="42975" xr:uid="{382B6E4B-4112-462D-9485-293ED765C126}"/>
    <cellStyle name="Comma 8 3 3 3 4 3" xfId="18783" xr:uid="{B0B3C856-0A65-456A-B084-9BB30E76DBF7}"/>
    <cellStyle name="Comma 8 3 3 3 4 3 2" xfId="49023" xr:uid="{56C543F0-14E6-4AA0-A4A8-2AC5B51CA2B3}"/>
    <cellStyle name="Comma 8 3 3 3 4 4" xfId="33903" xr:uid="{A1A5049F-D006-4703-83CF-6E0B35E56091}"/>
    <cellStyle name="Comma 8 3 3 3 5" xfId="5175" xr:uid="{11E51B98-39B3-4AA3-AA9F-89E74448F7C9}"/>
    <cellStyle name="Comma 8 3 3 3 5 2" xfId="14247" xr:uid="{1926D00D-6410-4680-A4D6-95EF4168F56F}"/>
    <cellStyle name="Comma 8 3 3 3 5 2 2" xfId="29367" xr:uid="{DDA8F7D9-E810-4053-8D0A-F03ED9AE4D39}"/>
    <cellStyle name="Comma 8 3 3 3 5 2 2 2" xfId="59607" xr:uid="{55A45942-11C6-4150-A3F6-CE6FDC4F1EEA}"/>
    <cellStyle name="Comma 8 3 3 3 5 2 3" xfId="44487" xr:uid="{84D075E4-3ADE-43E5-9B42-A912565AFBB7}"/>
    <cellStyle name="Comma 8 3 3 3 5 3" xfId="20295" xr:uid="{1F7FC0EC-4358-425B-AE34-8F152C81449F}"/>
    <cellStyle name="Comma 8 3 3 3 5 3 2" xfId="50535" xr:uid="{763531C8-3488-4D8F-BDC7-5B4CC12F8CDB}"/>
    <cellStyle name="Comma 8 3 3 3 5 4" xfId="35415" xr:uid="{D97C3058-F939-4633-86DA-700E05855685}"/>
    <cellStyle name="Comma 8 3 3 3 6" xfId="6687" xr:uid="{971439A3-5BEB-48EA-A806-4DD9914983BE}"/>
    <cellStyle name="Comma 8 3 3 3 6 2" xfId="21807" xr:uid="{1C03FF97-869F-4A75-A5F9-DF6153B40173}"/>
    <cellStyle name="Comma 8 3 3 3 6 2 2" xfId="52047" xr:uid="{8D8B2852-81E4-4914-8631-5EEADFACD592}"/>
    <cellStyle name="Comma 8 3 3 3 6 3" xfId="36927" xr:uid="{FABBE80F-2517-4587-8C35-43B73D5B1F9C}"/>
    <cellStyle name="Comma 8 3 3 3 7" xfId="8199" xr:uid="{E950CB18-BF4F-4D27-92CE-39D1182338D1}"/>
    <cellStyle name="Comma 8 3 3 3 7 2" xfId="23319" xr:uid="{3ACFFC99-A9DD-4BDD-873E-2B108E52E69A}"/>
    <cellStyle name="Comma 8 3 3 3 7 2 2" xfId="53559" xr:uid="{B950F777-1DC5-42B0-9CA7-611FC3697F5C}"/>
    <cellStyle name="Comma 8 3 3 3 7 3" xfId="38439" xr:uid="{6D8B9BD4-9EFD-4CB2-8D11-7529A5EEF733}"/>
    <cellStyle name="Comma 8 3 3 3 8" xfId="9711" xr:uid="{63FE95D2-3E07-4FAC-9ADB-12F5D761FF4C}"/>
    <cellStyle name="Comma 8 3 3 3 8 2" xfId="24831" xr:uid="{01D94C60-C9AF-457C-A20A-5BCF4F7DD921}"/>
    <cellStyle name="Comma 8 3 3 3 8 2 2" xfId="55071" xr:uid="{16ACD506-C58E-40B3-BC76-F07D20B97713}"/>
    <cellStyle name="Comma 8 3 3 3 8 3" xfId="39951" xr:uid="{B0BC7A16-F523-445A-9D7F-5316DEDDE571}"/>
    <cellStyle name="Comma 8 3 3 3 9" xfId="15759" xr:uid="{FA240DCE-1F8C-468A-8530-99D80758976B}"/>
    <cellStyle name="Comma 8 3 3 3 9 2" xfId="45999" xr:uid="{CD6B7B61-5362-40D2-90C7-1A1FC77E6406}"/>
    <cellStyle name="Comma 8 3 3 4" xfId="891" xr:uid="{38770C64-0F4F-4F62-8EE7-F642599CF0A1}"/>
    <cellStyle name="Comma 8 3 3 4 2" xfId="2403" xr:uid="{4F2433E7-5604-4AB5-9237-7F15E3BED782}"/>
    <cellStyle name="Comma 8 3 3 4 2 2" xfId="11475" xr:uid="{AFEC4F88-00D6-4F15-8512-C4B27058E746}"/>
    <cellStyle name="Comma 8 3 3 4 2 2 2" xfId="26595" xr:uid="{ABFA2EF5-8175-401E-BAA0-35AAB9521102}"/>
    <cellStyle name="Comma 8 3 3 4 2 2 2 2" xfId="56835" xr:uid="{7C016AFE-3036-43E6-9230-6EB84E63C89D}"/>
    <cellStyle name="Comma 8 3 3 4 2 2 3" xfId="41715" xr:uid="{DB65258E-3EE0-480B-A7CD-D677B35A350E}"/>
    <cellStyle name="Comma 8 3 3 4 2 3" xfId="17523" xr:uid="{81ADDCDA-018F-4AF7-BFD3-615480F4D27F}"/>
    <cellStyle name="Comma 8 3 3 4 2 3 2" xfId="47763" xr:uid="{B64A2D56-1584-44A6-A628-8B7355B59383}"/>
    <cellStyle name="Comma 8 3 3 4 2 4" xfId="32643" xr:uid="{9C0ED691-C502-421C-B557-7C8CC0A3FEDE}"/>
    <cellStyle name="Comma 8 3 3 4 3" xfId="3915" xr:uid="{EB26CC8B-D162-44D6-BC79-93C51D440D9B}"/>
    <cellStyle name="Comma 8 3 3 4 3 2" xfId="12987" xr:uid="{E2158CCF-5073-410B-9DF2-49FAE18080A0}"/>
    <cellStyle name="Comma 8 3 3 4 3 2 2" xfId="28107" xr:uid="{EA05C7B3-6A66-4012-91FE-FC3EEC1E3E53}"/>
    <cellStyle name="Comma 8 3 3 4 3 2 2 2" xfId="58347" xr:uid="{E27AD25F-5064-4778-886E-D6BC557D6400}"/>
    <cellStyle name="Comma 8 3 3 4 3 2 3" xfId="43227" xr:uid="{2B5EC45A-AF46-40CA-A82D-222C5BFA2A6B}"/>
    <cellStyle name="Comma 8 3 3 4 3 3" xfId="19035" xr:uid="{2BE211DF-3379-4855-9E5D-D8C670041673}"/>
    <cellStyle name="Comma 8 3 3 4 3 3 2" xfId="49275" xr:uid="{4B7A4A15-D671-4609-BFA7-BBFFE34C1729}"/>
    <cellStyle name="Comma 8 3 3 4 3 4" xfId="34155" xr:uid="{262979D6-A6DA-44FD-8CE2-B55A7CE37C78}"/>
    <cellStyle name="Comma 8 3 3 4 4" xfId="5427" xr:uid="{DA079C26-8E19-4484-BB5F-AF118D0943BE}"/>
    <cellStyle name="Comma 8 3 3 4 4 2" xfId="14499" xr:uid="{E5E004D4-C0B0-4E91-ADB7-09D9BEF8C183}"/>
    <cellStyle name="Comma 8 3 3 4 4 2 2" xfId="29619" xr:uid="{51CD2A5B-58DD-4E50-B9D3-26407F16B388}"/>
    <cellStyle name="Comma 8 3 3 4 4 2 2 2" xfId="59859" xr:uid="{1EA8E07E-FA51-4647-A10F-CD32EA011125}"/>
    <cellStyle name="Comma 8 3 3 4 4 2 3" xfId="44739" xr:uid="{22D4EB73-366E-492F-AC98-AFA36C66F573}"/>
    <cellStyle name="Comma 8 3 3 4 4 3" xfId="20547" xr:uid="{72F68353-2AC6-48EE-9F05-19AC2DF9F5B6}"/>
    <cellStyle name="Comma 8 3 3 4 4 3 2" xfId="50787" xr:uid="{BAD0D658-2415-424B-B695-F5C3990F065A}"/>
    <cellStyle name="Comma 8 3 3 4 4 4" xfId="35667" xr:uid="{4A62F816-B992-42B7-9B4C-97C27BEDEA61}"/>
    <cellStyle name="Comma 8 3 3 4 5" xfId="6939" xr:uid="{BC3BBBC4-96E5-4649-84C3-1ED7A093EA5B}"/>
    <cellStyle name="Comma 8 3 3 4 5 2" xfId="22059" xr:uid="{027A5687-FC98-4574-8084-25916C7FDF95}"/>
    <cellStyle name="Comma 8 3 3 4 5 2 2" xfId="52299" xr:uid="{F68738AB-F115-4E6D-B784-474E6028FC09}"/>
    <cellStyle name="Comma 8 3 3 4 5 3" xfId="37179" xr:uid="{3400949E-A1BD-4164-B909-FB73C6F98DC7}"/>
    <cellStyle name="Comma 8 3 3 4 6" xfId="8451" xr:uid="{7FAF54E3-B54C-4156-83C0-4C9D1CF8A070}"/>
    <cellStyle name="Comma 8 3 3 4 6 2" xfId="23571" xr:uid="{A95D8D7E-583F-4EE1-84D1-0D28CDD23709}"/>
    <cellStyle name="Comma 8 3 3 4 6 2 2" xfId="53811" xr:uid="{55829E5C-5002-494B-9012-04A06F2CCE0F}"/>
    <cellStyle name="Comma 8 3 3 4 6 3" xfId="38691" xr:uid="{0FE514B5-012B-4B2F-A834-6A0764C254C2}"/>
    <cellStyle name="Comma 8 3 3 4 7" xfId="9963" xr:uid="{5DA60A36-6BD6-47CE-9F60-F7099E7C004B}"/>
    <cellStyle name="Comma 8 3 3 4 7 2" xfId="25083" xr:uid="{C1C746E4-46FA-4352-B6CE-1E48089432C6}"/>
    <cellStyle name="Comma 8 3 3 4 7 2 2" xfId="55323" xr:uid="{93DB48C7-DD90-409B-9302-C113F2B8AE5C}"/>
    <cellStyle name="Comma 8 3 3 4 7 3" xfId="40203" xr:uid="{10BDF0A2-3C85-40E0-8086-4D1BA9634AA1}"/>
    <cellStyle name="Comma 8 3 3 4 8" xfId="16011" xr:uid="{2DF3D2CB-7AB4-4594-AE04-B264CE492FF3}"/>
    <cellStyle name="Comma 8 3 3 4 8 2" xfId="46251" xr:uid="{EB8F5FFA-DDB5-414D-B6F9-E7C6AD71B3CE}"/>
    <cellStyle name="Comma 8 3 3 4 9" xfId="31131" xr:uid="{6E06CFC4-B990-4DDD-9E3B-B54154B950E7}"/>
    <cellStyle name="Comma 8 3 3 5" xfId="1647" xr:uid="{9E280181-F5B3-421D-B7DC-C2BA0A1690C3}"/>
    <cellStyle name="Comma 8 3 3 5 2" xfId="10719" xr:uid="{8962194D-B8A4-4371-A6F9-254D6A301057}"/>
    <cellStyle name="Comma 8 3 3 5 2 2" xfId="25839" xr:uid="{D42DC544-CEB1-435A-9DA1-C8E02A508670}"/>
    <cellStyle name="Comma 8 3 3 5 2 2 2" xfId="56079" xr:uid="{B37D68FD-7416-496F-ABD2-B1B2C42D2D88}"/>
    <cellStyle name="Comma 8 3 3 5 2 3" xfId="40959" xr:uid="{9A0E4AF0-3895-4DDC-9D03-92ECC1248276}"/>
    <cellStyle name="Comma 8 3 3 5 3" xfId="16767" xr:uid="{C2870E5F-CBDF-40A0-A33C-497C38AAD720}"/>
    <cellStyle name="Comma 8 3 3 5 3 2" xfId="47007" xr:uid="{FAB7EE71-7709-4522-8C3C-DE9E17FA623D}"/>
    <cellStyle name="Comma 8 3 3 5 4" xfId="31887" xr:uid="{C3997334-E530-4E76-9BBD-03A45CAE2A55}"/>
    <cellStyle name="Comma 8 3 3 6" xfId="3159" xr:uid="{5D25801E-2196-491A-A6CE-D6DFF2A54503}"/>
    <cellStyle name="Comma 8 3 3 6 2" xfId="12231" xr:uid="{A8F645C4-45CD-48C7-B892-4D63F242E995}"/>
    <cellStyle name="Comma 8 3 3 6 2 2" xfId="27351" xr:uid="{BB7C1249-7B58-4287-8B79-3665744B1A18}"/>
    <cellStyle name="Comma 8 3 3 6 2 2 2" xfId="57591" xr:uid="{1D0A88E2-6711-4813-882E-CA35F0A9F8B6}"/>
    <cellStyle name="Comma 8 3 3 6 2 3" xfId="42471" xr:uid="{7B69675E-B74C-40EE-AF53-786B9B051CE2}"/>
    <cellStyle name="Comma 8 3 3 6 3" xfId="18279" xr:uid="{1B06DCDF-104E-4FFB-B820-4943757D4EF4}"/>
    <cellStyle name="Comma 8 3 3 6 3 2" xfId="48519" xr:uid="{C69997DF-B776-443C-AF7C-2A308CF19C6E}"/>
    <cellStyle name="Comma 8 3 3 6 4" xfId="33399" xr:uid="{8E0BF63C-1100-48FD-B65F-C9B8D5A10258}"/>
    <cellStyle name="Comma 8 3 3 7" xfId="4671" xr:uid="{7F6890BF-324E-44DA-8B74-5E70D7E7FBC1}"/>
    <cellStyle name="Comma 8 3 3 7 2" xfId="13743" xr:uid="{DEC78EA5-7D69-483B-92CC-13F6D1297F94}"/>
    <cellStyle name="Comma 8 3 3 7 2 2" xfId="28863" xr:uid="{6B682166-DA72-48C6-91EF-6B1CB7545261}"/>
    <cellStyle name="Comma 8 3 3 7 2 2 2" xfId="59103" xr:uid="{09A2A572-6947-49C8-9E67-6CC71C9A3DEA}"/>
    <cellStyle name="Comma 8 3 3 7 2 3" xfId="43983" xr:uid="{B316C8BB-7BED-47ED-AAAB-26699913D155}"/>
    <cellStyle name="Comma 8 3 3 7 3" xfId="19791" xr:uid="{3955C397-774F-47A5-9D13-6206520420CE}"/>
    <cellStyle name="Comma 8 3 3 7 3 2" xfId="50031" xr:uid="{82B1ECA8-CC2D-4D0E-9F21-B42627A7E657}"/>
    <cellStyle name="Comma 8 3 3 7 4" xfId="34911" xr:uid="{FBAEB867-2288-4D60-B962-C1DA1634363B}"/>
    <cellStyle name="Comma 8 3 3 8" xfId="6183" xr:uid="{7C0CF6BC-6440-4F42-A95F-A9BF4DF50243}"/>
    <cellStyle name="Comma 8 3 3 8 2" xfId="21303" xr:uid="{C8FD24D8-A546-4ACF-AFE2-CD500342AB90}"/>
    <cellStyle name="Comma 8 3 3 8 2 2" xfId="51543" xr:uid="{86812EDD-ACF3-44AD-AB0A-02B4F4ED9267}"/>
    <cellStyle name="Comma 8 3 3 8 3" xfId="36423" xr:uid="{A445223E-2C6C-4E48-8AAA-A989217F270D}"/>
    <cellStyle name="Comma 8 3 3 9" xfId="7695" xr:uid="{88EFD956-397D-492F-A072-5C05AC093950}"/>
    <cellStyle name="Comma 8 3 3 9 2" xfId="22815" xr:uid="{EBFDA570-BE94-4272-92E5-7F0E54F3D936}"/>
    <cellStyle name="Comma 8 3 3 9 2 2" xfId="53055" xr:uid="{521E0027-69C0-4D63-BB72-CEDC6AF2FC10}"/>
    <cellStyle name="Comma 8 3 3 9 3" xfId="37935" xr:uid="{5C4D3461-34BE-4BA6-A0CA-BC61BC0C02BB}"/>
    <cellStyle name="Comma 8 3 4" xfId="219" xr:uid="{9399A14C-90DF-4D30-B6DE-8DD598B1AAD2}"/>
    <cellStyle name="Comma 8 3 4 10" xfId="9291" xr:uid="{CE6889D1-02FF-4468-ADEE-7C145AF30203}"/>
    <cellStyle name="Comma 8 3 4 10 2" xfId="24411" xr:uid="{08C758A8-6021-46E0-8B59-9C08491F6806}"/>
    <cellStyle name="Comma 8 3 4 10 2 2" xfId="54651" xr:uid="{3D3DC594-FC0A-496F-9C75-A5872325AC6A}"/>
    <cellStyle name="Comma 8 3 4 10 3" xfId="39531" xr:uid="{B679AF0D-D17F-4813-8C06-23B367FB23A7}"/>
    <cellStyle name="Comma 8 3 4 11" xfId="15339" xr:uid="{F01D503B-7BD0-4E59-9386-5B92E223F6D8}"/>
    <cellStyle name="Comma 8 3 4 11 2" xfId="45579" xr:uid="{D8AD72A7-8373-4394-AC3A-9FB892D5829A}"/>
    <cellStyle name="Comma 8 3 4 12" xfId="30459" xr:uid="{815249DC-8F7C-4913-9556-F42C3A30C8F8}"/>
    <cellStyle name="Comma 8 3 4 2" xfId="471" xr:uid="{57A8C001-3C79-4381-B9B1-BABA8DAA2A1D}"/>
    <cellStyle name="Comma 8 3 4 2 10" xfId="30711" xr:uid="{360F8087-09BE-42F2-946A-CEF7C6E76015}"/>
    <cellStyle name="Comma 8 3 4 2 2" xfId="1227" xr:uid="{67E41B93-F070-4526-8C73-DBE9F49DF778}"/>
    <cellStyle name="Comma 8 3 4 2 2 2" xfId="2739" xr:uid="{D06764F9-2D6D-4F7D-B8C3-9C697C2FEBA5}"/>
    <cellStyle name="Comma 8 3 4 2 2 2 2" xfId="11811" xr:uid="{71FA644B-B573-47A1-9042-FAF5C5241D96}"/>
    <cellStyle name="Comma 8 3 4 2 2 2 2 2" xfId="26931" xr:uid="{FC1E8B03-69AA-4223-9285-B6EF423A9264}"/>
    <cellStyle name="Comma 8 3 4 2 2 2 2 2 2" xfId="57171" xr:uid="{28CD1240-B99C-4E48-B700-79E7A79EB328}"/>
    <cellStyle name="Comma 8 3 4 2 2 2 2 3" xfId="42051" xr:uid="{E3C90934-3A53-4B04-80FA-D4FE804194A3}"/>
    <cellStyle name="Comma 8 3 4 2 2 2 3" xfId="17859" xr:uid="{448BE3E2-2752-43F6-B6D1-26F24C56005E}"/>
    <cellStyle name="Comma 8 3 4 2 2 2 3 2" xfId="48099" xr:uid="{5456BA9F-2BEA-4666-9630-F98F2E1FFE51}"/>
    <cellStyle name="Comma 8 3 4 2 2 2 4" xfId="32979" xr:uid="{51813A91-1E68-44BF-9422-2CF6C335C6BA}"/>
    <cellStyle name="Comma 8 3 4 2 2 3" xfId="4251" xr:uid="{3567BE33-9EC8-458D-B21C-103539BFFC0F}"/>
    <cellStyle name="Comma 8 3 4 2 2 3 2" xfId="13323" xr:uid="{5B823AFF-9502-4617-95F6-5C7E375096F8}"/>
    <cellStyle name="Comma 8 3 4 2 2 3 2 2" xfId="28443" xr:uid="{51F28148-D2B8-42E7-915E-DDE7F884CC43}"/>
    <cellStyle name="Comma 8 3 4 2 2 3 2 2 2" xfId="58683" xr:uid="{6E7F12BF-58E1-4468-9B95-6B987EAAD006}"/>
    <cellStyle name="Comma 8 3 4 2 2 3 2 3" xfId="43563" xr:uid="{47D12FF4-3549-4E72-B264-3BB064AA076B}"/>
    <cellStyle name="Comma 8 3 4 2 2 3 3" xfId="19371" xr:uid="{F2AEE562-57A4-4671-AEDE-462EE3FFDBE7}"/>
    <cellStyle name="Comma 8 3 4 2 2 3 3 2" xfId="49611" xr:uid="{32770E3E-7A67-4795-BD65-14EFB55BA4D8}"/>
    <cellStyle name="Comma 8 3 4 2 2 3 4" xfId="34491" xr:uid="{E471C21B-A7D9-4E84-A158-A14EBD15C3BD}"/>
    <cellStyle name="Comma 8 3 4 2 2 4" xfId="5763" xr:uid="{84234E73-4DD3-454C-B513-7EF82C68E54D}"/>
    <cellStyle name="Comma 8 3 4 2 2 4 2" xfId="14835" xr:uid="{A61E991F-B632-4181-BB72-7F7D876D891E}"/>
    <cellStyle name="Comma 8 3 4 2 2 4 2 2" xfId="29955" xr:uid="{8C5FFDF2-AA8A-49C8-9A33-5EC016339274}"/>
    <cellStyle name="Comma 8 3 4 2 2 4 2 2 2" xfId="60195" xr:uid="{B63085BE-4F6A-4367-926C-5F05435018DE}"/>
    <cellStyle name="Comma 8 3 4 2 2 4 2 3" xfId="45075" xr:uid="{90FB975E-17A3-4E66-8566-D03546D82E13}"/>
    <cellStyle name="Comma 8 3 4 2 2 4 3" xfId="20883" xr:uid="{6381C0D8-5765-4258-BB35-D764C9749353}"/>
    <cellStyle name="Comma 8 3 4 2 2 4 3 2" xfId="51123" xr:uid="{05197CFF-C1E0-4B1D-84A3-9041CC8A26D0}"/>
    <cellStyle name="Comma 8 3 4 2 2 4 4" xfId="36003" xr:uid="{ADF458BD-D228-45A8-A925-46B3E502E193}"/>
    <cellStyle name="Comma 8 3 4 2 2 5" xfId="7275" xr:uid="{C6FA4C31-51D7-43FC-AF70-7ABE12BD104E}"/>
    <cellStyle name="Comma 8 3 4 2 2 5 2" xfId="22395" xr:uid="{8267CE04-A96D-45E2-AE7C-0E8E1E14F8BA}"/>
    <cellStyle name="Comma 8 3 4 2 2 5 2 2" xfId="52635" xr:uid="{ECE8749F-5E3B-4BB4-AFFF-C2D5FD0572B8}"/>
    <cellStyle name="Comma 8 3 4 2 2 5 3" xfId="37515" xr:uid="{9963B987-2DAD-4308-A234-7F47F1894B51}"/>
    <cellStyle name="Comma 8 3 4 2 2 6" xfId="8787" xr:uid="{47ED2410-02C9-4B70-9C87-95BA8D21A829}"/>
    <cellStyle name="Comma 8 3 4 2 2 6 2" xfId="23907" xr:uid="{EA5C59AA-0659-4BFE-AF7C-414F19AB6393}"/>
    <cellStyle name="Comma 8 3 4 2 2 6 2 2" xfId="54147" xr:uid="{5EA7162B-D1C8-4E0F-8DE0-90B443C7BB72}"/>
    <cellStyle name="Comma 8 3 4 2 2 6 3" xfId="39027" xr:uid="{F3CD3834-93E6-46C2-9419-400ED7F088BA}"/>
    <cellStyle name="Comma 8 3 4 2 2 7" xfId="10299" xr:uid="{C8B3A335-8843-4C5F-B0FD-2B58E3712077}"/>
    <cellStyle name="Comma 8 3 4 2 2 7 2" xfId="25419" xr:uid="{340F9404-6964-46E5-BC93-FB1CC3971EE4}"/>
    <cellStyle name="Comma 8 3 4 2 2 7 2 2" xfId="55659" xr:uid="{EBF62BF2-D772-4993-8807-CF97CEF74EB3}"/>
    <cellStyle name="Comma 8 3 4 2 2 7 3" xfId="40539" xr:uid="{F876756C-3F0E-4D84-92BE-D327F00F7D15}"/>
    <cellStyle name="Comma 8 3 4 2 2 8" xfId="16347" xr:uid="{C4BB8B3E-F477-422B-A5D6-E730970BD4B0}"/>
    <cellStyle name="Comma 8 3 4 2 2 8 2" xfId="46587" xr:uid="{11CAF9E2-B8F2-4B8B-9750-36ED2CFA2BC9}"/>
    <cellStyle name="Comma 8 3 4 2 2 9" xfId="31467" xr:uid="{274E47CD-1517-4297-BEC8-8E9F8B3A05DD}"/>
    <cellStyle name="Comma 8 3 4 2 3" xfId="1983" xr:uid="{5F7063E2-C212-4681-90F4-DC9110E7B41C}"/>
    <cellStyle name="Comma 8 3 4 2 3 2" xfId="11055" xr:uid="{3019023B-44DE-4F9D-894A-2BC0A0F83447}"/>
    <cellStyle name="Comma 8 3 4 2 3 2 2" xfId="26175" xr:uid="{0CC82ABB-77D4-4B9F-A148-D3A63926531C}"/>
    <cellStyle name="Comma 8 3 4 2 3 2 2 2" xfId="56415" xr:uid="{76EE7A36-9D8C-41B3-8477-FAB78C1F3A71}"/>
    <cellStyle name="Comma 8 3 4 2 3 2 3" xfId="41295" xr:uid="{379D1767-68C2-4F87-99CB-912F53ED397A}"/>
    <cellStyle name="Comma 8 3 4 2 3 3" xfId="17103" xr:uid="{622FFF34-2987-46CC-AE01-6720471B5C20}"/>
    <cellStyle name="Comma 8 3 4 2 3 3 2" xfId="47343" xr:uid="{3FAADDD8-4FB3-416F-9E1C-42415BA73D2F}"/>
    <cellStyle name="Comma 8 3 4 2 3 4" xfId="32223" xr:uid="{F4422108-5031-4C68-BAC7-D06D4E50F55B}"/>
    <cellStyle name="Comma 8 3 4 2 4" xfId="3495" xr:uid="{9582C113-976B-44F6-A2F1-70D113BE017D}"/>
    <cellStyle name="Comma 8 3 4 2 4 2" xfId="12567" xr:uid="{88BEC2BB-D9BA-4FBE-BB62-EA6EB54C2569}"/>
    <cellStyle name="Comma 8 3 4 2 4 2 2" xfId="27687" xr:uid="{BF75CAD6-0319-42F8-9EEF-4349D7220382}"/>
    <cellStyle name="Comma 8 3 4 2 4 2 2 2" xfId="57927" xr:uid="{F2923655-042F-43E0-AB83-95BAB8B7C3C3}"/>
    <cellStyle name="Comma 8 3 4 2 4 2 3" xfId="42807" xr:uid="{2ED5BA79-DBE2-4022-A607-5BFB4C06F89E}"/>
    <cellStyle name="Comma 8 3 4 2 4 3" xfId="18615" xr:uid="{B9BE4BD5-B5CB-40F7-8D90-CA002B75968A}"/>
    <cellStyle name="Comma 8 3 4 2 4 3 2" xfId="48855" xr:uid="{06F6FD02-3898-4B63-9924-4D4F0551700C}"/>
    <cellStyle name="Comma 8 3 4 2 4 4" xfId="33735" xr:uid="{F582B9D1-1CDB-48BB-8F17-8DAF8F3E90D5}"/>
    <cellStyle name="Comma 8 3 4 2 5" xfId="5007" xr:uid="{CDCEA21F-2C34-4295-9171-B43B7859D984}"/>
    <cellStyle name="Comma 8 3 4 2 5 2" xfId="14079" xr:uid="{FA7869E9-AC2E-472D-B90D-385630AAF1BB}"/>
    <cellStyle name="Comma 8 3 4 2 5 2 2" xfId="29199" xr:uid="{003EC721-B07A-4D31-AC12-AD55D1FFAF16}"/>
    <cellStyle name="Comma 8 3 4 2 5 2 2 2" xfId="59439" xr:uid="{D5D00237-D25C-41C5-BEE4-442FB87F75B8}"/>
    <cellStyle name="Comma 8 3 4 2 5 2 3" xfId="44319" xr:uid="{683D5257-52C2-441D-9604-9F604CF5789E}"/>
    <cellStyle name="Comma 8 3 4 2 5 3" xfId="20127" xr:uid="{422260CE-A43F-4970-AE8A-939AFE35277F}"/>
    <cellStyle name="Comma 8 3 4 2 5 3 2" xfId="50367" xr:uid="{2D431D83-352A-4963-BED8-B43FAE0962FD}"/>
    <cellStyle name="Comma 8 3 4 2 5 4" xfId="35247" xr:uid="{F144A21C-9EBC-4311-831F-5AE842662B88}"/>
    <cellStyle name="Comma 8 3 4 2 6" xfId="6519" xr:uid="{95C8B4F5-5AA3-4B98-B9F9-523ACE8BDF57}"/>
    <cellStyle name="Comma 8 3 4 2 6 2" xfId="21639" xr:uid="{523A8422-08F4-461F-A616-4E8AFF1A3606}"/>
    <cellStyle name="Comma 8 3 4 2 6 2 2" xfId="51879" xr:uid="{1995857E-D578-401A-B09C-4B07597299D9}"/>
    <cellStyle name="Comma 8 3 4 2 6 3" xfId="36759" xr:uid="{3CDE60E2-9F98-4323-B220-54136860FA5E}"/>
    <cellStyle name="Comma 8 3 4 2 7" xfId="8031" xr:uid="{9B230767-D104-455B-B8C0-E6F3A2C5C87C}"/>
    <cellStyle name="Comma 8 3 4 2 7 2" xfId="23151" xr:uid="{35117211-383E-4A60-B39D-BF8CEE40564F}"/>
    <cellStyle name="Comma 8 3 4 2 7 2 2" xfId="53391" xr:uid="{4F0A0912-1835-4EE6-910A-7CCDB660E027}"/>
    <cellStyle name="Comma 8 3 4 2 7 3" xfId="38271" xr:uid="{E22DA8C7-E8FF-49DD-A158-10D27E6EA260}"/>
    <cellStyle name="Comma 8 3 4 2 8" xfId="9543" xr:uid="{0C1D0F03-6E83-4FCB-9A37-2E0223A6B808}"/>
    <cellStyle name="Comma 8 3 4 2 8 2" xfId="24663" xr:uid="{11EE1DD5-11F7-4D40-BEE6-D87DC9E862ED}"/>
    <cellStyle name="Comma 8 3 4 2 8 2 2" xfId="54903" xr:uid="{ADC2DA63-1A0C-454A-840D-4BD3F570AAE1}"/>
    <cellStyle name="Comma 8 3 4 2 8 3" xfId="39783" xr:uid="{6A105282-0D7B-4515-8DB9-44FF9460FFFD}"/>
    <cellStyle name="Comma 8 3 4 2 9" xfId="15591" xr:uid="{084358A9-D56D-488A-96A3-11A510FDCC00}"/>
    <cellStyle name="Comma 8 3 4 2 9 2" xfId="45831" xr:uid="{C0609C1A-4266-44B7-A78C-A39D08461689}"/>
    <cellStyle name="Comma 8 3 4 3" xfId="723" xr:uid="{05EB0BD8-291B-481D-A21A-63EFF2921DAD}"/>
    <cellStyle name="Comma 8 3 4 3 10" xfId="30963" xr:uid="{141B1ECA-EBF6-4E74-929F-7763D5193989}"/>
    <cellStyle name="Comma 8 3 4 3 2" xfId="1479" xr:uid="{960D8649-C20B-464C-975C-968C812DF72E}"/>
    <cellStyle name="Comma 8 3 4 3 2 2" xfId="2991" xr:uid="{31489863-066D-49DE-9E26-E3781913321C}"/>
    <cellStyle name="Comma 8 3 4 3 2 2 2" xfId="12063" xr:uid="{897A4194-78AF-4B1E-AD6C-5033B276EEA0}"/>
    <cellStyle name="Comma 8 3 4 3 2 2 2 2" xfId="27183" xr:uid="{7E8E1F9D-776A-4EAC-A905-646DED3FEACA}"/>
    <cellStyle name="Comma 8 3 4 3 2 2 2 2 2" xfId="57423" xr:uid="{7826C8DC-1FCF-4531-A3C5-364D4399E5EE}"/>
    <cellStyle name="Comma 8 3 4 3 2 2 2 3" xfId="42303" xr:uid="{5BC8A5FC-F2D4-4A50-9978-36F17BB58CC0}"/>
    <cellStyle name="Comma 8 3 4 3 2 2 3" xfId="18111" xr:uid="{BD14A384-1F33-4C4B-B079-B43C4E85BC94}"/>
    <cellStyle name="Comma 8 3 4 3 2 2 3 2" xfId="48351" xr:uid="{E12F3E19-BF33-4751-8776-099F1A1910DD}"/>
    <cellStyle name="Comma 8 3 4 3 2 2 4" xfId="33231" xr:uid="{879E2687-B7B7-4620-949A-AD72D07C73C1}"/>
    <cellStyle name="Comma 8 3 4 3 2 3" xfId="4503" xr:uid="{A7F65D59-E4A0-44B0-A0BD-15001CA03867}"/>
    <cellStyle name="Comma 8 3 4 3 2 3 2" xfId="13575" xr:uid="{74935D27-5158-4EC0-BAA6-3C6D2D3B0D1D}"/>
    <cellStyle name="Comma 8 3 4 3 2 3 2 2" xfId="28695" xr:uid="{C257CAC8-8265-4CBC-8646-D99FAEA12C64}"/>
    <cellStyle name="Comma 8 3 4 3 2 3 2 2 2" xfId="58935" xr:uid="{B96E6617-AC5E-4071-B2E0-50CD2EDD2086}"/>
    <cellStyle name="Comma 8 3 4 3 2 3 2 3" xfId="43815" xr:uid="{3BDEC1C1-6887-4080-A60E-C8CC3E43FBEC}"/>
    <cellStyle name="Comma 8 3 4 3 2 3 3" xfId="19623" xr:uid="{B9A9F100-A9CE-4296-80D4-6BE635A8469C}"/>
    <cellStyle name="Comma 8 3 4 3 2 3 3 2" xfId="49863" xr:uid="{101C124E-28F5-4037-B15C-B29276DEDB3C}"/>
    <cellStyle name="Comma 8 3 4 3 2 3 4" xfId="34743" xr:uid="{2A53DCD3-C743-4E62-8191-830826D9508A}"/>
    <cellStyle name="Comma 8 3 4 3 2 4" xfId="6015" xr:uid="{AA9820BE-E847-4661-A3A5-684E13DEB611}"/>
    <cellStyle name="Comma 8 3 4 3 2 4 2" xfId="15087" xr:uid="{143B66BE-CBA0-4D4A-92FE-B2B5ABBFF672}"/>
    <cellStyle name="Comma 8 3 4 3 2 4 2 2" xfId="30207" xr:uid="{44339C3F-10A3-4ED4-9EC8-5A5C58605407}"/>
    <cellStyle name="Comma 8 3 4 3 2 4 2 2 2" xfId="60447" xr:uid="{6CCE7C80-BB72-4757-B32C-C1460C24D131}"/>
    <cellStyle name="Comma 8 3 4 3 2 4 2 3" xfId="45327" xr:uid="{CC2AAB1A-AA58-4E76-9735-D8D96D356173}"/>
    <cellStyle name="Comma 8 3 4 3 2 4 3" xfId="21135" xr:uid="{8538B467-CFD7-45BA-88A2-1F4E6F12A1A5}"/>
    <cellStyle name="Comma 8 3 4 3 2 4 3 2" xfId="51375" xr:uid="{738FE91B-0DD0-4F02-9F01-C40C4E9C2880}"/>
    <cellStyle name="Comma 8 3 4 3 2 4 4" xfId="36255" xr:uid="{9BFC94E1-DA6E-43E9-A47A-5B43AA11BDC9}"/>
    <cellStyle name="Comma 8 3 4 3 2 5" xfId="7527" xr:uid="{FC7279EA-F3BC-4397-930C-31F91418070D}"/>
    <cellStyle name="Comma 8 3 4 3 2 5 2" xfId="22647" xr:uid="{FF80EC33-7527-4750-AF66-C9F6AD5B3CD7}"/>
    <cellStyle name="Comma 8 3 4 3 2 5 2 2" xfId="52887" xr:uid="{81B1A230-FB5E-4520-BE5E-F8B7F1DDD618}"/>
    <cellStyle name="Comma 8 3 4 3 2 5 3" xfId="37767" xr:uid="{A974AA20-F8C8-4382-A561-FC2E9136C6F1}"/>
    <cellStyle name="Comma 8 3 4 3 2 6" xfId="9039" xr:uid="{54FA216E-8D48-4CC2-B0BC-BDA941FBE4A5}"/>
    <cellStyle name="Comma 8 3 4 3 2 6 2" xfId="24159" xr:uid="{50D649AB-3823-47C0-BD54-9CAB13943373}"/>
    <cellStyle name="Comma 8 3 4 3 2 6 2 2" xfId="54399" xr:uid="{D9C5829E-1CB5-4049-AFEB-C3772AA76D6D}"/>
    <cellStyle name="Comma 8 3 4 3 2 6 3" xfId="39279" xr:uid="{CFB1525F-75D9-4EA1-B376-8F601B33A61E}"/>
    <cellStyle name="Comma 8 3 4 3 2 7" xfId="10551" xr:uid="{6C66BE63-836A-4A99-AAA9-6FE4508C0304}"/>
    <cellStyle name="Comma 8 3 4 3 2 7 2" xfId="25671" xr:uid="{1F96ECBF-C659-42DA-8A0D-1427C9233990}"/>
    <cellStyle name="Comma 8 3 4 3 2 7 2 2" xfId="55911" xr:uid="{C398F136-04EB-410A-97B5-CBC34F4C18EF}"/>
    <cellStyle name="Comma 8 3 4 3 2 7 3" xfId="40791" xr:uid="{21CB996F-67C4-4829-A99C-947DB97B89A2}"/>
    <cellStyle name="Comma 8 3 4 3 2 8" xfId="16599" xr:uid="{13F1A1CC-9B85-4936-865B-BA24C9C3B42A}"/>
    <cellStyle name="Comma 8 3 4 3 2 8 2" xfId="46839" xr:uid="{3A235C9B-2350-48B5-93AA-BE30ECC03AC7}"/>
    <cellStyle name="Comma 8 3 4 3 2 9" xfId="31719" xr:uid="{2E0137D7-784A-431D-B625-2E4F85290B25}"/>
    <cellStyle name="Comma 8 3 4 3 3" xfId="2235" xr:uid="{CAD9E7AE-B596-485C-9DE0-DE23AA1546E5}"/>
    <cellStyle name="Comma 8 3 4 3 3 2" xfId="11307" xr:uid="{090C1D5A-0E46-47A3-B147-CB92E042755E}"/>
    <cellStyle name="Comma 8 3 4 3 3 2 2" xfId="26427" xr:uid="{FEFFF05D-B168-4D60-90EA-07AAB2246935}"/>
    <cellStyle name="Comma 8 3 4 3 3 2 2 2" xfId="56667" xr:uid="{235DAC88-27E9-4808-A1EC-C9D41C0377E6}"/>
    <cellStyle name="Comma 8 3 4 3 3 2 3" xfId="41547" xr:uid="{FD4EE1B2-2925-46CD-B77F-DA1C37DFAE7D}"/>
    <cellStyle name="Comma 8 3 4 3 3 3" xfId="17355" xr:uid="{5093620A-BAE8-4FDA-B474-5801D5F485F8}"/>
    <cellStyle name="Comma 8 3 4 3 3 3 2" xfId="47595" xr:uid="{AEAB4050-76B8-419F-B59C-2DCAC6D16F1B}"/>
    <cellStyle name="Comma 8 3 4 3 3 4" xfId="32475" xr:uid="{D4537AD7-B02E-4D38-B7BB-2E3BDCC31C3E}"/>
    <cellStyle name="Comma 8 3 4 3 4" xfId="3747" xr:uid="{0A4FE0FB-A82A-4971-8F40-D9D8C9E84ED2}"/>
    <cellStyle name="Comma 8 3 4 3 4 2" xfId="12819" xr:uid="{9A91326E-10F4-4FE9-B247-BB0EA5D08F7C}"/>
    <cellStyle name="Comma 8 3 4 3 4 2 2" xfId="27939" xr:uid="{9290E937-25F8-4AE1-9484-AF01A8F57466}"/>
    <cellStyle name="Comma 8 3 4 3 4 2 2 2" xfId="58179" xr:uid="{CCA8CA67-CB21-4A45-8EF3-09BA0A0E5549}"/>
    <cellStyle name="Comma 8 3 4 3 4 2 3" xfId="43059" xr:uid="{B8219C32-FEE0-4D97-A102-956549F7CA23}"/>
    <cellStyle name="Comma 8 3 4 3 4 3" xfId="18867" xr:uid="{3951439E-5C5F-4048-A7F1-21DA0C04A90A}"/>
    <cellStyle name="Comma 8 3 4 3 4 3 2" xfId="49107" xr:uid="{F3BAB6C2-8BDD-42D9-A443-39D68740E4FA}"/>
    <cellStyle name="Comma 8 3 4 3 4 4" xfId="33987" xr:uid="{1025AFEA-A50D-40F0-914C-778C3C1E254C}"/>
    <cellStyle name="Comma 8 3 4 3 5" xfId="5259" xr:uid="{C8036F3D-AFD8-45B1-AFAE-8E208446AB33}"/>
    <cellStyle name="Comma 8 3 4 3 5 2" xfId="14331" xr:uid="{AAFEB8F3-A50E-4E42-82C9-73B50C23E5F3}"/>
    <cellStyle name="Comma 8 3 4 3 5 2 2" xfId="29451" xr:uid="{115A491D-FADB-431B-9599-DA450C7CC915}"/>
    <cellStyle name="Comma 8 3 4 3 5 2 2 2" xfId="59691" xr:uid="{13C1006A-967A-4797-BAC7-A64A2BADCF1F}"/>
    <cellStyle name="Comma 8 3 4 3 5 2 3" xfId="44571" xr:uid="{11C8CD87-4061-4D11-A851-D8DFEC3BBD77}"/>
    <cellStyle name="Comma 8 3 4 3 5 3" xfId="20379" xr:uid="{64D574CF-137B-44CB-A02D-D431440BE377}"/>
    <cellStyle name="Comma 8 3 4 3 5 3 2" xfId="50619" xr:uid="{2C9F9DE4-F7B5-4B27-A5E4-F17F675F9A09}"/>
    <cellStyle name="Comma 8 3 4 3 5 4" xfId="35499" xr:uid="{80AA6A5C-EA61-49D8-9F33-79B7B2DBF148}"/>
    <cellStyle name="Comma 8 3 4 3 6" xfId="6771" xr:uid="{079DEE1E-5EB8-48EF-A578-0FB4D647FE49}"/>
    <cellStyle name="Comma 8 3 4 3 6 2" xfId="21891" xr:uid="{FFBB52A6-91D3-40AC-8992-B113079AD855}"/>
    <cellStyle name="Comma 8 3 4 3 6 2 2" xfId="52131" xr:uid="{E134ADD0-B3BA-487D-BE41-17218B3892CB}"/>
    <cellStyle name="Comma 8 3 4 3 6 3" xfId="37011" xr:uid="{26D8D2C3-FF35-4CEF-9455-CA2FE3D78B4C}"/>
    <cellStyle name="Comma 8 3 4 3 7" xfId="8283" xr:uid="{424AC14A-5A27-4EE8-B52A-69B59FBAED30}"/>
    <cellStyle name="Comma 8 3 4 3 7 2" xfId="23403" xr:uid="{C634752A-404B-4D72-8BAF-6DF4591CB9A7}"/>
    <cellStyle name="Comma 8 3 4 3 7 2 2" xfId="53643" xr:uid="{3C051F46-B930-4FD9-BA44-9BB12F1E38AF}"/>
    <cellStyle name="Comma 8 3 4 3 7 3" xfId="38523" xr:uid="{0A5ECB89-725A-4860-8BCA-35BE32EC8C3A}"/>
    <cellStyle name="Comma 8 3 4 3 8" xfId="9795" xr:uid="{6AB061FC-3A5E-451B-84C3-4833C32BD8D4}"/>
    <cellStyle name="Comma 8 3 4 3 8 2" xfId="24915" xr:uid="{13AF0DE7-5795-412B-BE70-24F389CC43D9}"/>
    <cellStyle name="Comma 8 3 4 3 8 2 2" xfId="55155" xr:uid="{7FF19BAD-99C7-4C66-9B61-968798760DC5}"/>
    <cellStyle name="Comma 8 3 4 3 8 3" xfId="40035" xr:uid="{3EB14661-90CB-47BC-9E91-A93CEFC6C85B}"/>
    <cellStyle name="Comma 8 3 4 3 9" xfId="15843" xr:uid="{D4B9A41F-DED4-4BC5-93D6-E075858FC5A3}"/>
    <cellStyle name="Comma 8 3 4 3 9 2" xfId="46083" xr:uid="{8772D67A-A24E-423A-A6C5-DA0D655DB367}"/>
    <cellStyle name="Comma 8 3 4 4" xfId="975" xr:uid="{DB507471-B437-4EAD-B7A3-C27E123CF060}"/>
    <cellStyle name="Comma 8 3 4 4 2" xfId="2487" xr:uid="{F3148F8F-3D88-4D6C-936B-327BCC5F0CDA}"/>
    <cellStyle name="Comma 8 3 4 4 2 2" xfId="11559" xr:uid="{70436FE5-302A-4F47-A4C8-3A5F92520335}"/>
    <cellStyle name="Comma 8 3 4 4 2 2 2" xfId="26679" xr:uid="{3826C732-0C34-406D-B9A0-6B9629FE2254}"/>
    <cellStyle name="Comma 8 3 4 4 2 2 2 2" xfId="56919" xr:uid="{F882E0FE-90F0-4526-A399-625A05CA7D05}"/>
    <cellStyle name="Comma 8 3 4 4 2 2 3" xfId="41799" xr:uid="{52431AA2-6612-4246-AA1F-3FEA26609C4A}"/>
    <cellStyle name="Comma 8 3 4 4 2 3" xfId="17607" xr:uid="{92B7AAF1-BB04-4779-BFBC-7DAE686A773A}"/>
    <cellStyle name="Comma 8 3 4 4 2 3 2" xfId="47847" xr:uid="{66B69D98-A276-461A-A778-EA6478EA754E}"/>
    <cellStyle name="Comma 8 3 4 4 2 4" xfId="32727" xr:uid="{0387845F-D031-460E-B3D7-5A2D87022F5E}"/>
    <cellStyle name="Comma 8 3 4 4 3" xfId="3999" xr:uid="{5614CB24-4F6D-4627-B39E-A6C3B271D0DF}"/>
    <cellStyle name="Comma 8 3 4 4 3 2" xfId="13071" xr:uid="{D87D2CAA-6AC7-4621-B0BC-CA81B7E64243}"/>
    <cellStyle name="Comma 8 3 4 4 3 2 2" xfId="28191" xr:uid="{45494616-C8C4-4EF6-909C-9E0C5848B8F6}"/>
    <cellStyle name="Comma 8 3 4 4 3 2 2 2" xfId="58431" xr:uid="{7AAB4CC8-6D51-4985-85C0-0B2116DFE05E}"/>
    <cellStyle name="Comma 8 3 4 4 3 2 3" xfId="43311" xr:uid="{59864B29-A8F4-424C-B3F7-1ABBD32D0B22}"/>
    <cellStyle name="Comma 8 3 4 4 3 3" xfId="19119" xr:uid="{52FFB782-34F5-46C5-95F6-47B13E3EA760}"/>
    <cellStyle name="Comma 8 3 4 4 3 3 2" xfId="49359" xr:uid="{04AB10A7-590C-41AA-89AD-C065777D4D20}"/>
    <cellStyle name="Comma 8 3 4 4 3 4" xfId="34239" xr:uid="{64A449D7-3AC2-41BA-88DF-95C71BE4C71E}"/>
    <cellStyle name="Comma 8 3 4 4 4" xfId="5511" xr:uid="{2FB58E5C-E746-49EA-8B2C-FBAA861BEF37}"/>
    <cellStyle name="Comma 8 3 4 4 4 2" xfId="14583" xr:uid="{03085CD9-46A0-4009-9A20-549879862BB9}"/>
    <cellStyle name="Comma 8 3 4 4 4 2 2" xfId="29703" xr:uid="{57DF9F1C-5479-40F6-AFE4-9A77C5866783}"/>
    <cellStyle name="Comma 8 3 4 4 4 2 2 2" xfId="59943" xr:uid="{0CE3750E-E573-4CC5-8898-1DA4BAEE8F88}"/>
    <cellStyle name="Comma 8 3 4 4 4 2 3" xfId="44823" xr:uid="{4B2CB0AC-ECC7-4161-831B-5DA23F5F3C55}"/>
    <cellStyle name="Comma 8 3 4 4 4 3" xfId="20631" xr:uid="{84C705BE-2A44-4FE7-9848-3F9CF2E5FDF9}"/>
    <cellStyle name="Comma 8 3 4 4 4 3 2" xfId="50871" xr:uid="{756507EE-09BF-4A2B-99D1-CB94E0908C52}"/>
    <cellStyle name="Comma 8 3 4 4 4 4" xfId="35751" xr:uid="{4AF18C5D-AAB9-4A5C-8A21-3CDC4964EE2B}"/>
    <cellStyle name="Comma 8 3 4 4 5" xfId="7023" xr:uid="{9F228709-FDDC-4545-9697-321E55DFC1DB}"/>
    <cellStyle name="Comma 8 3 4 4 5 2" xfId="22143" xr:uid="{DEBEF0D0-0C12-4259-9F3E-624ACA6747FF}"/>
    <cellStyle name="Comma 8 3 4 4 5 2 2" xfId="52383" xr:uid="{4C32FD3A-E554-4886-9A33-F58CEA02A696}"/>
    <cellStyle name="Comma 8 3 4 4 5 3" xfId="37263" xr:uid="{68ABFCB7-19D8-4624-B5AA-41B228A622A1}"/>
    <cellStyle name="Comma 8 3 4 4 6" xfId="8535" xr:uid="{A41A6FE2-AE84-4175-87CB-A719DC8112DB}"/>
    <cellStyle name="Comma 8 3 4 4 6 2" xfId="23655" xr:uid="{7812070F-E692-40BB-9229-F46519187CE7}"/>
    <cellStyle name="Comma 8 3 4 4 6 2 2" xfId="53895" xr:uid="{352BECCC-73BE-4485-A138-1C3417F264F1}"/>
    <cellStyle name="Comma 8 3 4 4 6 3" xfId="38775" xr:uid="{92B58552-323B-491D-99B2-9D2048D09909}"/>
    <cellStyle name="Comma 8 3 4 4 7" xfId="10047" xr:uid="{7ACF2602-16CC-4CE6-895B-AE4F38C6E82E}"/>
    <cellStyle name="Comma 8 3 4 4 7 2" xfId="25167" xr:uid="{B642EEB2-0961-4E06-BA7A-FD6F1B8CD187}"/>
    <cellStyle name="Comma 8 3 4 4 7 2 2" xfId="55407" xr:uid="{D66F5FA8-D792-4CF2-8BAB-4706F159DD56}"/>
    <cellStyle name="Comma 8 3 4 4 7 3" xfId="40287" xr:uid="{65B9CA77-4FA0-4F8B-8F3E-B2A12AB94592}"/>
    <cellStyle name="Comma 8 3 4 4 8" xfId="16095" xr:uid="{D4DF014F-05CA-41C1-B064-6C6F0B8011EA}"/>
    <cellStyle name="Comma 8 3 4 4 8 2" xfId="46335" xr:uid="{5486280A-3441-4D2A-90DD-EF95195E82D8}"/>
    <cellStyle name="Comma 8 3 4 4 9" xfId="31215" xr:uid="{26BC5167-5EB4-4559-B88E-FE8A7D65F151}"/>
    <cellStyle name="Comma 8 3 4 5" xfId="1731" xr:uid="{B4D2DE63-B846-48B0-8EE1-DF91BD18F5AA}"/>
    <cellStyle name="Comma 8 3 4 5 2" xfId="10803" xr:uid="{EA1C1BE9-EA32-40C7-892D-D5DD7F12947F}"/>
    <cellStyle name="Comma 8 3 4 5 2 2" xfId="25923" xr:uid="{5EDBA48E-4684-479B-B235-B87F7D6E0656}"/>
    <cellStyle name="Comma 8 3 4 5 2 2 2" xfId="56163" xr:uid="{AEEDFBCA-941A-4B05-891B-D50BE47255FB}"/>
    <cellStyle name="Comma 8 3 4 5 2 3" xfId="41043" xr:uid="{F9643946-A572-47AB-9274-477B48835772}"/>
    <cellStyle name="Comma 8 3 4 5 3" xfId="16851" xr:uid="{B41AA52D-D49B-4E20-B425-ACC26D843094}"/>
    <cellStyle name="Comma 8 3 4 5 3 2" xfId="47091" xr:uid="{110EC6A6-1B3D-4D06-AFD2-BA716DD6B614}"/>
    <cellStyle name="Comma 8 3 4 5 4" xfId="31971" xr:uid="{A33FA1B6-5C49-460F-9843-05F1454F65DC}"/>
    <cellStyle name="Comma 8 3 4 6" xfId="3243" xr:uid="{83F386D7-BB96-4B02-8E0E-EDCD86F67607}"/>
    <cellStyle name="Comma 8 3 4 6 2" xfId="12315" xr:uid="{BAC6D466-D26E-4396-8935-F3D8D94A2DA1}"/>
    <cellStyle name="Comma 8 3 4 6 2 2" xfId="27435" xr:uid="{E4A74BFC-B56F-4182-A609-3F762E92383C}"/>
    <cellStyle name="Comma 8 3 4 6 2 2 2" xfId="57675" xr:uid="{0D9E064B-A8FD-4CB4-AA7C-4223B3CD7BD3}"/>
    <cellStyle name="Comma 8 3 4 6 2 3" xfId="42555" xr:uid="{AEB42C3C-28CB-4BE9-98DC-BED08DF0F9D4}"/>
    <cellStyle name="Comma 8 3 4 6 3" xfId="18363" xr:uid="{B6642A5A-5FE2-4E91-8ADE-410BB10F5F81}"/>
    <cellStyle name="Comma 8 3 4 6 3 2" xfId="48603" xr:uid="{9B9934F0-6F87-4BD7-8B87-48F3FF1643FD}"/>
    <cellStyle name="Comma 8 3 4 6 4" xfId="33483" xr:uid="{847FB064-43F4-4AA0-B5E7-3BDAF6D64661}"/>
    <cellStyle name="Comma 8 3 4 7" xfId="4755" xr:uid="{11382CD8-B20C-4B89-ADE3-66666AE7763D}"/>
    <cellStyle name="Comma 8 3 4 7 2" xfId="13827" xr:uid="{3CD81648-7F08-4987-BCB0-685EAB1C28EE}"/>
    <cellStyle name="Comma 8 3 4 7 2 2" xfId="28947" xr:uid="{8739664E-800A-4ADB-9107-C838018D1318}"/>
    <cellStyle name="Comma 8 3 4 7 2 2 2" xfId="59187" xr:uid="{2B0574C3-B892-423B-BD56-8C66066D57A6}"/>
    <cellStyle name="Comma 8 3 4 7 2 3" xfId="44067" xr:uid="{CE268E5D-1A00-486F-9B35-D504B705AFD1}"/>
    <cellStyle name="Comma 8 3 4 7 3" xfId="19875" xr:uid="{383E2379-87B7-440B-83B5-6CE61255E572}"/>
    <cellStyle name="Comma 8 3 4 7 3 2" xfId="50115" xr:uid="{C16E7113-BAE6-4BC7-B3AB-AFAF7B59ACD3}"/>
    <cellStyle name="Comma 8 3 4 7 4" xfId="34995" xr:uid="{7138EA46-73D1-46FC-83A1-FCCF4B1C9757}"/>
    <cellStyle name="Comma 8 3 4 8" xfId="6267" xr:uid="{BF352A9F-2803-4017-94FB-BA2303B1FE9A}"/>
    <cellStyle name="Comma 8 3 4 8 2" xfId="21387" xr:uid="{2B581FBE-8262-4E3B-8599-23AB7051DAAB}"/>
    <cellStyle name="Comma 8 3 4 8 2 2" xfId="51627" xr:uid="{DBA15D5F-B10F-46E5-AE1E-605DCCDF6D78}"/>
    <cellStyle name="Comma 8 3 4 8 3" xfId="36507" xr:uid="{A0812204-A225-459B-BB59-4F12E214FB0F}"/>
    <cellStyle name="Comma 8 3 4 9" xfId="7779" xr:uid="{3AE806E8-A0E4-499C-B490-986B7F66A52B}"/>
    <cellStyle name="Comma 8 3 4 9 2" xfId="22899" xr:uid="{E4A57CA3-29B9-48B5-A7A1-D152866D9B48}"/>
    <cellStyle name="Comma 8 3 4 9 2 2" xfId="53139" xr:uid="{DADBDE0F-62CF-4637-A7FD-514AC16DD041}"/>
    <cellStyle name="Comma 8 3 4 9 3" xfId="38019" xr:uid="{891C51C0-D81F-49C4-847A-516C35B5CBD5}"/>
    <cellStyle name="Comma 8 3 5" xfId="303" xr:uid="{F614BC25-ED15-457B-B4FD-81C2B5503788}"/>
    <cellStyle name="Comma 8 3 5 10" xfId="30543" xr:uid="{54CA040B-9177-48A5-8101-E133B24A6B62}"/>
    <cellStyle name="Comma 8 3 5 2" xfId="1059" xr:uid="{42C4E752-4D18-48A5-A8FF-C246BB894D49}"/>
    <cellStyle name="Comma 8 3 5 2 2" xfId="2571" xr:uid="{927A303B-3885-4785-AABE-0AB3829EE08B}"/>
    <cellStyle name="Comma 8 3 5 2 2 2" xfId="11643" xr:uid="{53520F6F-918A-4DEC-A467-1C54F91F6CDE}"/>
    <cellStyle name="Comma 8 3 5 2 2 2 2" xfId="26763" xr:uid="{94BA7814-A5A3-47E6-AEFB-451F378F101F}"/>
    <cellStyle name="Comma 8 3 5 2 2 2 2 2" xfId="57003" xr:uid="{2E3149AB-7587-4382-BEEA-3ED549F5971B}"/>
    <cellStyle name="Comma 8 3 5 2 2 2 3" xfId="41883" xr:uid="{C225D9AC-CBA1-463C-BA78-A64BB7CBEE7B}"/>
    <cellStyle name="Comma 8 3 5 2 2 3" xfId="17691" xr:uid="{A46C80C5-ACD3-4A1E-ACEC-C087CEF49C58}"/>
    <cellStyle name="Comma 8 3 5 2 2 3 2" xfId="47931" xr:uid="{D114E8EB-273A-4F2B-B24C-18371E375821}"/>
    <cellStyle name="Comma 8 3 5 2 2 4" xfId="32811" xr:uid="{F2D35540-A135-4C9F-A08B-87927D746205}"/>
    <cellStyle name="Comma 8 3 5 2 3" xfId="4083" xr:uid="{4F7EF630-2F03-4DB0-A0F0-0E040554A1DA}"/>
    <cellStyle name="Comma 8 3 5 2 3 2" xfId="13155" xr:uid="{470A7FF6-C729-4953-A7BC-B905D9F6C13A}"/>
    <cellStyle name="Comma 8 3 5 2 3 2 2" xfId="28275" xr:uid="{B136A8BB-300F-4AB3-94B9-1D4A8E112702}"/>
    <cellStyle name="Comma 8 3 5 2 3 2 2 2" xfId="58515" xr:uid="{824D69E0-906F-4DE4-804B-18348FA07A16}"/>
    <cellStyle name="Comma 8 3 5 2 3 2 3" xfId="43395" xr:uid="{9DBBC2E8-730D-49C2-BA82-B134C08FCFC5}"/>
    <cellStyle name="Comma 8 3 5 2 3 3" xfId="19203" xr:uid="{D6D7DB20-DCBE-46FA-B220-12D143C40A18}"/>
    <cellStyle name="Comma 8 3 5 2 3 3 2" xfId="49443" xr:uid="{37122C4B-BF93-43B3-A61B-C2CB55718CEB}"/>
    <cellStyle name="Comma 8 3 5 2 3 4" xfId="34323" xr:uid="{687ACC15-3BA5-42AC-B6ED-9794850703BD}"/>
    <cellStyle name="Comma 8 3 5 2 4" xfId="5595" xr:uid="{DB8A3126-A67A-4E7D-BF27-CBE8994B5212}"/>
    <cellStyle name="Comma 8 3 5 2 4 2" xfId="14667" xr:uid="{B0AA7BAA-7E4E-4CB0-8984-7F6EF70E9300}"/>
    <cellStyle name="Comma 8 3 5 2 4 2 2" xfId="29787" xr:uid="{FA567686-E999-4CA6-8547-CC66128B71E4}"/>
    <cellStyle name="Comma 8 3 5 2 4 2 2 2" xfId="60027" xr:uid="{A22231A3-04B2-4712-BC6F-16045FFC003D}"/>
    <cellStyle name="Comma 8 3 5 2 4 2 3" xfId="44907" xr:uid="{58CA4731-B7FF-48B6-8C16-CA26A0FF1ACD}"/>
    <cellStyle name="Comma 8 3 5 2 4 3" xfId="20715" xr:uid="{83E1A55A-AAB8-4694-B2C4-153F6F6BC310}"/>
    <cellStyle name="Comma 8 3 5 2 4 3 2" xfId="50955" xr:uid="{1285ABDC-D331-4346-AE5E-1BC4E2BA9BB5}"/>
    <cellStyle name="Comma 8 3 5 2 4 4" xfId="35835" xr:uid="{9E0E9A46-FA91-4D34-8904-8D2126F855B4}"/>
    <cellStyle name="Comma 8 3 5 2 5" xfId="7107" xr:uid="{0116E6A0-15E5-4C04-9EB8-4695A7CC6378}"/>
    <cellStyle name="Comma 8 3 5 2 5 2" xfId="22227" xr:uid="{60C17A9B-7985-4E4B-A313-8058B81F9422}"/>
    <cellStyle name="Comma 8 3 5 2 5 2 2" xfId="52467" xr:uid="{BEDFD820-E5C9-4260-AEF6-F9E6140FC190}"/>
    <cellStyle name="Comma 8 3 5 2 5 3" xfId="37347" xr:uid="{4B545A5F-0603-4D92-BFE3-38F916F8DA73}"/>
    <cellStyle name="Comma 8 3 5 2 6" xfId="8619" xr:uid="{C134D07B-DA8D-41E1-9FA6-25D26524E0AF}"/>
    <cellStyle name="Comma 8 3 5 2 6 2" xfId="23739" xr:uid="{6AF8CE70-E0EE-44A6-98CC-02E86063AC19}"/>
    <cellStyle name="Comma 8 3 5 2 6 2 2" xfId="53979" xr:uid="{0F648C66-DED6-4059-9EE9-F7E9B369D047}"/>
    <cellStyle name="Comma 8 3 5 2 6 3" xfId="38859" xr:uid="{69B4DD27-624A-49DE-8CA7-A9024C7BCC64}"/>
    <cellStyle name="Comma 8 3 5 2 7" xfId="10131" xr:uid="{8B4D235C-0FD2-4077-9646-DEA99924C960}"/>
    <cellStyle name="Comma 8 3 5 2 7 2" xfId="25251" xr:uid="{ECB60E00-D7AA-4C54-BAAA-8464DD486852}"/>
    <cellStyle name="Comma 8 3 5 2 7 2 2" xfId="55491" xr:uid="{EAE68C57-683F-4A92-AEFD-1105058EEFAC}"/>
    <cellStyle name="Comma 8 3 5 2 7 3" xfId="40371" xr:uid="{9EC68427-45FE-40DA-B452-172A228BB77E}"/>
    <cellStyle name="Comma 8 3 5 2 8" xfId="16179" xr:uid="{9FB6E9DA-C4D3-43B6-A91A-4B67969E95D6}"/>
    <cellStyle name="Comma 8 3 5 2 8 2" xfId="46419" xr:uid="{F7D9677E-FEB0-495D-B524-24900036A1DD}"/>
    <cellStyle name="Comma 8 3 5 2 9" xfId="31299" xr:uid="{7E05B901-FA4D-4C17-AFD0-5D7653933BD1}"/>
    <cellStyle name="Comma 8 3 5 3" xfId="1815" xr:uid="{8E96730D-2985-4149-AD8B-31F89394C4D8}"/>
    <cellStyle name="Comma 8 3 5 3 2" xfId="10887" xr:uid="{1083A508-3163-4F85-A6B7-298F0F524996}"/>
    <cellStyle name="Comma 8 3 5 3 2 2" xfId="26007" xr:uid="{A15CF6AC-06E4-4CAE-9F7F-0C78E86D9333}"/>
    <cellStyle name="Comma 8 3 5 3 2 2 2" xfId="56247" xr:uid="{489BF85E-1C27-471E-AB0F-DC962A8EFF4A}"/>
    <cellStyle name="Comma 8 3 5 3 2 3" xfId="41127" xr:uid="{D02E5A8B-C10C-43DD-85EF-27B221422115}"/>
    <cellStyle name="Comma 8 3 5 3 3" xfId="16935" xr:uid="{732D2571-5C11-4B60-9BC7-2D85D33BDA20}"/>
    <cellStyle name="Comma 8 3 5 3 3 2" xfId="47175" xr:uid="{179CE676-355E-4B00-B3A4-ADCC7A47B7EB}"/>
    <cellStyle name="Comma 8 3 5 3 4" xfId="32055" xr:uid="{3E7CE102-7E6F-440D-9E95-257D44722C6E}"/>
    <cellStyle name="Comma 8 3 5 4" xfId="3327" xr:uid="{E348F845-DC14-4FD5-8E56-8E576B9C90B2}"/>
    <cellStyle name="Comma 8 3 5 4 2" xfId="12399" xr:uid="{3B91D9D2-2CB1-426C-958C-1FED90655B20}"/>
    <cellStyle name="Comma 8 3 5 4 2 2" xfId="27519" xr:uid="{EF870A30-1A5F-4068-B55B-430A43ABA182}"/>
    <cellStyle name="Comma 8 3 5 4 2 2 2" xfId="57759" xr:uid="{4956FBA7-47A2-400F-BB4B-2D65553775FA}"/>
    <cellStyle name="Comma 8 3 5 4 2 3" xfId="42639" xr:uid="{E8338F5F-83DB-4C05-A136-2FFBFD29AB3F}"/>
    <cellStyle name="Comma 8 3 5 4 3" xfId="18447" xr:uid="{C21C6E71-2093-43C0-9DC3-98407E8E5530}"/>
    <cellStyle name="Comma 8 3 5 4 3 2" xfId="48687" xr:uid="{37835A23-61B6-4AC3-962F-7423FDA9F85A}"/>
    <cellStyle name="Comma 8 3 5 4 4" xfId="33567" xr:uid="{CACA0855-F160-4389-81ED-5DCB532A9D8F}"/>
    <cellStyle name="Comma 8 3 5 5" xfId="4839" xr:uid="{0B888FEE-297C-4B3A-BB46-1DC3079E904A}"/>
    <cellStyle name="Comma 8 3 5 5 2" xfId="13911" xr:uid="{A77C415E-5F21-4778-9FBC-0AF63E4741D5}"/>
    <cellStyle name="Comma 8 3 5 5 2 2" xfId="29031" xr:uid="{93A452DC-4E6D-46AA-ADB1-8EF9FB9686A6}"/>
    <cellStyle name="Comma 8 3 5 5 2 2 2" xfId="59271" xr:uid="{307CBE19-6C55-4A36-805E-641E5A11B7DB}"/>
    <cellStyle name="Comma 8 3 5 5 2 3" xfId="44151" xr:uid="{FAB828ED-CEBC-4266-BCE6-381608AE76F9}"/>
    <cellStyle name="Comma 8 3 5 5 3" xfId="19959" xr:uid="{396C6462-7F04-4136-8DDE-4366CF79A44E}"/>
    <cellStyle name="Comma 8 3 5 5 3 2" xfId="50199" xr:uid="{93245DBC-499D-46FA-8FB6-4392DBD16091}"/>
    <cellStyle name="Comma 8 3 5 5 4" xfId="35079" xr:uid="{9B58DFE8-B961-44CE-9979-7AF2D365114B}"/>
    <cellStyle name="Comma 8 3 5 6" xfId="6351" xr:uid="{2E2D791E-F154-49EC-BF2C-9544D94A7924}"/>
    <cellStyle name="Comma 8 3 5 6 2" xfId="21471" xr:uid="{D2D76974-A271-4A1C-85B1-C168552B3882}"/>
    <cellStyle name="Comma 8 3 5 6 2 2" xfId="51711" xr:uid="{836589DA-257D-4CC3-A4E0-E8F64180835F}"/>
    <cellStyle name="Comma 8 3 5 6 3" xfId="36591" xr:uid="{495031B7-CF93-4202-9875-62DACDF4A3DF}"/>
    <cellStyle name="Comma 8 3 5 7" xfId="7863" xr:uid="{66E97629-B364-4105-8279-11DDFB9EFA1F}"/>
    <cellStyle name="Comma 8 3 5 7 2" xfId="22983" xr:uid="{EEA3A151-3E75-4AA9-A3F6-426EE8224769}"/>
    <cellStyle name="Comma 8 3 5 7 2 2" xfId="53223" xr:uid="{F1E65CBA-0EBB-4A05-9C79-CA3631220BD9}"/>
    <cellStyle name="Comma 8 3 5 7 3" xfId="38103" xr:uid="{3E4FDA8B-DC0D-4488-8752-291E2CEFD801}"/>
    <cellStyle name="Comma 8 3 5 8" xfId="9375" xr:uid="{2020E509-712B-4F04-B2F0-BEAB34285EEA}"/>
    <cellStyle name="Comma 8 3 5 8 2" xfId="24495" xr:uid="{B14FF61E-509B-4B71-8269-BCE581D8AF2B}"/>
    <cellStyle name="Comma 8 3 5 8 2 2" xfId="54735" xr:uid="{0DA11A78-2CE1-49E0-AB37-47DD3FF22FDE}"/>
    <cellStyle name="Comma 8 3 5 8 3" xfId="39615" xr:uid="{2D65E00E-F1A7-4327-A877-083B4B5D9EF3}"/>
    <cellStyle name="Comma 8 3 5 9" xfId="15423" xr:uid="{ED934F58-B44E-44B8-B646-0BBEDE823CE3}"/>
    <cellStyle name="Comma 8 3 5 9 2" xfId="45663" xr:uid="{4E4071C1-5056-47FC-BFFE-967DDFF9FFA7}"/>
    <cellStyle name="Comma 8 3 6" xfId="555" xr:uid="{D74F28E4-08FD-4541-A389-02C9EA1A77D6}"/>
    <cellStyle name="Comma 8 3 6 10" xfId="30795" xr:uid="{17196259-CD4E-4976-9935-E322F736FD72}"/>
    <cellStyle name="Comma 8 3 6 2" xfId="1311" xr:uid="{A8BEC64A-0360-49CB-9143-2C082B4999B3}"/>
    <cellStyle name="Comma 8 3 6 2 2" xfId="2823" xr:uid="{A510A657-6381-4464-BA08-FE3E70E422AE}"/>
    <cellStyle name="Comma 8 3 6 2 2 2" xfId="11895" xr:uid="{52781C57-7ABD-4659-9139-E64FF9F47781}"/>
    <cellStyle name="Comma 8 3 6 2 2 2 2" xfId="27015" xr:uid="{3A847D54-A44F-4C46-9271-DD91138ADBF4}"/>
    <cellStyle name="Comma 8 3 6 2 2 2 2 2" xfId="57255" xr:uid="{52851EE7-5828-433F-9A1C-AEC4B9A1C3DB}"/>
    <cellStyle name="Comma 8 3 6 2 2 2 3" xfId="42135" xr:uid="{411F3EEF-B4F4-46D2-AABF-F71BFD22774F}"/>
    <cellStyle name="Comma 8 3 6 2 2 3" xfId="17943" xr:uid="{CA9481F2-3373-4941-B0EE-A6B90B287533}"/>
    <cellStyle name="Comma 8 3 6 2 2 3 2" xfId="48183" xr:uid="{E5AE2CBA-31EC-4961-A601-722D50DE0F38}"/>
    <cellStyle name="Comma 8 3 6 2 2 4" xfId="33063" xr:uid="{94943990-2F24-4C40-B436-0FBD227D8C70}"/>
    <cellStyle name="Comma 8 3 6 2 3" xfId="4335" xr:uid="{6A9CA291-2EB6-4733-963D-0E9AE304E1C2}"/>
    <cellStyle name="Comma 8 3 6 2 3 2" xfId="13407" xr:uid="{399511AC-5175-4204-B7BE-D392E67AF681}"/>
    <cellStyle name="Comma 8 3 6 2 3 2 2" xfId="28527" xr:uid="{D6005E6B-D138-42E7-9D6E-5DE01CF03F6D}"/>
    <cellStyle name="Comma 8 3 6 2 3 2 2 2" xfId="58767" xr:uid="{082FB133-7DA6-40D0-A990-74F9BD641FC0}"/>
    <cellStyle name="Comma 8 3 6 2 3 2 3" xfId="43647" xr:uid="{F3A14F06-4C8B-48D6-99E5-B5F7D5AC6530}"/>
    <cellStyle name="Comma 8 3 6 2 3 3" xfId="19455" xr:uid="{6CA6CC14-4DF4-48F7-AEBE-8D65F5B7F4ED}"/>
    <cellStyle name="Comma 8 3 6 2 3 3 2" xfId="49695" xr:uid="{5B108784-4C8D-412B-9DD8-0B74A2B4DF8C}"/>
    <cellStyle name="Comma 8 3 6 2 3 4" xfId="34575" xr:uid="{B3497D9F-A03C-4B19-9C68-8C7D8FE9EBE9}"/>
    <cellStyle name="Comma 8 3 6 2 4" xfId="5847" xr:uid="{6DCEA7AC-1B5F-47CB-AC55-FA3079E96B9C}"/>
    <cellStyle name="Comma 8 3 6 2 4 2" xfId="14919" xr:uid="{694FA5BA-4024-4439-8A89-B62C4D675B60}"/>
    <cellStyle name="Comma 8 3 6 2 4 2 2" xfId="30039" xr:uid="{76877EAE-B180-4959-A7E2-F274A325F079}"/>
    <cellStyle name="Comma 8 3 6 2 4 2 2 2" xfId="60279" xr:uid="{8872A658-A531-435E-BE71-4EB749B2B596}"/>
    <cellStyle name="Comma 8 3 6 2 4 2 3" xfId="45159" xr:uid="{5A8E9CEE-591A-4F6A-BBC6-C1E3EC54EC4F}"/>
    <cellStyle name="Comma 8 3 6 2 4 3" xfId="20967" xr:uid="{62105C74-5B6F-468C-BFA8-B6DC7094BAA6}"/>
    <cellStyle name="Comma 8 3 6 2 4 3 2" xfId="51207" xr:uid="{FE23123E-A891-4507-84E1-E7F601E05B72}"/>
    <cellStyle name="Comma 8 3 6 2 4 4" xfId="36087" xr:uid="{19C6BABE-A788-401F-9250-D7D0C24AA528}"/>
    <cellStyle name="Comma 8 3 6 2 5" xfId="7359" xr:uid="{B42690BB-6C22-4459-8AAE-7FB2A6056418}"/>
    <cellStyle name="Comma 8 3 6 2 5 2" xfId="22479" xr:uid="{E4A61148-ADEC-4CFF-B475-736F16BE0E9F}"/>
    <cellStyle name="Comma 8 3 6 2 5 2 2" xfId="52719" xr:uid="{9E7A5C53-6969-445A-96E9-E7FD781A40DF}"/>
    <cellStyle name="Comma 8 3 6 2 5 3" xfId="37599" xr:uid="{D11AE954-FA8F-472E-B491-0CF01921D306}"/>
    <cellStyle name="Comma 8 3 6 2 6" xfId="8871" xr:uid="{24AC61B0-DBDD-4116-A0E5-8560CB1C4E67}"/>
    <cellStyle name="Comma 8 3 6 2 6 2" xfId="23991" xr:uid="{4AE11639-392D-40B6-AC2C-0CE0113B765F}"/>
    <cellStyle name="Comma 8 3 6 2 6 2 2" xfId="54231" xr:uid="{AB37EAD2-9607-4F3E-95CC-77806EC13481}"/>
    <cellStyle name="Comma 8 3 6 2 6 3" xfId="39111" xr:uid="{259B8D43-5CBC-46A4-8AAF-01E1B51F66B2}"/>
    <cellStyle name="Comma 8 3 6 2 7" xfId="10383" xr:uid="{9988FF49-D464-4792-B7C0-5C16EF83FEBF}"/>
    <cellStyle name="Comma 8 3 6 2 7 2" xfId="25503" xr:uid="{0A632674-9C55-4C0E-BBE1-8693977D660E}"/>
    <cellStyle name="Comma 8 3 6 2 7 2 2" xfId="55743" xr:uid="{99429BD1-D535-4614-8C80-58EDD5D8B387}"/>
    <cellStyle name="Comma 8 3 6 2 7 3" xfId="40623" xr:uid="{9ACF5FCA-1215-4708-BBF7-71316BCD39C8}"/>
    <cellStyle name="Comma 8 3 6 2 8" xfId="16431" xr:uid="{D4684283-64BD-4994-8E80-2324E78FBB52}"/>
    <cellStyle name="Comma 8 3 6 2 8 2" xfId="46671" xr:uid="{A44589AB-F5DF-4245-999F-6E0154F5CCC0}"/>
    <cellStyle name="Comma 8 3 6 2 9" xfId="31551" xr:uid="{DA559CF2-B9AC-4CBF-B97B-E2C977CDC3F9}"/>
    <cellStyle name="Comma 8 3 6 3" xfId="2067" xr:uid="{E4A8C2CF-E24D-4372-93AC-2EB22A755507}"/>
    <cellStyle name="Comma 8 3 6 3 2" xfId="11139" xr:uid="{2FAB9A65-3F19-4D19-9964-CCD105DBC7B9}"/>
    <cellStyle name="Comma 8 3 6 3 2 2" xfId="26259" xr:uid="{6B97AFA3-3C05-4340-B443-658D38C0FC14}"/>
    <cellStyle name="Comma 8 3 6 3 2 2 2" xfId="56499" xr:uid="{E2228D90-86B7-4B6A-A2DE-A29F22BEB2C9}"/>
    <cellStyle name="Comma 8 3 6 3 2 3" xfId="41379" xr:uid="{1F472541-BF34-4558-BC2E-9772095F2931}"/>
    <cellStyle name="Comma 8 3 6 3 3" xfId="17187" xr:uid="{103FF00B-3249-4329-B27F-FF2C923AFFEF}"/>
    <cellStyle name="Comma 8 3 6 3 3 2" xfId="47427" xr:uid="{9F3B25ED-B1BC-4D51-AEC0-769C4BF10538}"/>
    <cellStyle name="Comma 8 3 6 3 4" xfId="32307" xr:uid="{BE977D47-E8F7-4D53-BAB3-F94E2C18E194}"/>
    <cellStyle name="Comma 8 3 6 4" xfId="3579" xr:uid="{36DCA4D9-1997-4686-8D38-88C0FEBF2BE0}"/>
    <cellStyle name="Comma 8 3 6 4 2" xfId="12651" xr:uid="{15C0565F-3011-4B78-818F-4113FF85CAA6}"/>
    <cellStyle name="Comma 8 3 6 4 2 2" xfId="27771" xr:uid="{82AA5E1B-8569-444A-8094-B7476CF9B3E0}"/>
    <cellStyle name="Comma 8 3 6 4 2 2 2" xfId="58011" xr:uid="{E8B028B3-8834-435E-90A0-11A106960C17}"/>
    <cellStyle name="Comma 8 3 6 4 2 3" xfId="42891" xr:uid="{646F77AA-C784-4227-BAA0-82F1F085237C}"/>
    <cellStyle name="Comma 8 3 6 4 3" xfId="18699" xr:uid="{8A48CEA5-9120-4D0C-A13E-893CCB1580EE}"/>
    <cellStyle name="Comma 8 3 6 4 3 2" xfId="48939" xr:uid="{B92A1085-4855-47F4-AB7C-FDFAB862B4F5}"/>
    <cellStyle name="Comma 8 3 6 4 4" xfId="33819" xr:uid="{EB46EAE4-1042-48D3-BC75-A865E3302D15}"/>
    <cellStyle name="Comma 8 3 6 5" xfId="5091" xr:uid="{A82BD4A6-E27F-4707-A15F-47A6A80F7922}"/>
    <cellStyle name="Comma 8 3 6 5 2" xfId="14163" xr:uid="{FFE2EA98-9538-41F9-B85C-BA3504BB4403}"/>
    <cellStyle name="Comma 8 3 6 5 2 2" xfId="29283" xr:uid="{F4BBEEC9-5403-4767-90E4-2A440FAAC205}"/>
    <cellStyle name="Comma 8 3 6 5 2 2 2" xfId="59523" xr:uid="{92D6F9E0-197C-4499-9B72-C90162E435E0}"/>
    <cellStyle name="Comma 8 3 6 5 2 3" xfId="44403" xr:uid="{2030C6C9-1CE7-49BF-8427-F6A0FE9FA52B}"/>
    <cellStyle name="Comma 8 3 6 5 3" xfId="20211" xr:uid="{6D240129-B237-4892-989C-DA9489F2B3CD}"/>
    <cellStyle name="Comma 8 3 6 5 3 2" xfId="50451" xr:uid="{E3E33108-AFFD-46BE-BF4B-0FC092AC4F1A}"/>
    <cellStyle name="Comma 8 3 6 5 4" xfId="35331" xr:uid="{BD9E3B96-EE46-4F4F-97DB-060FAD4944DA}"/>
    <cellStyle name="Comma 8 3 6 6" xfId="6603" xr:uid="{05CD9F8C-6879-4FE0-875D-759559F507DC}"/>
    <cellStyle name="Comma 8 3 6 6 2" xfId="21723" xr:uid="{B3A894AE-1931-45DD-BAB8-62EF11CA057F}"/>
    <cellStyle name="Comma 8 3 6 6 2 2" xfId="51963" xr:uid="{F3BB0CEF-2ED0-4D3E-ADD2-73EEACF30926}"/>
    <cellStyle name="Comma 8 3 6 6 3" xfId="36843" xr:uid="{20223756-623E-455F-936A-C43230223BDD}"/>
    <cellStyle name="Comma 8 3 6 7" xfId="8115" xr:uid="{29F49E3E-0885-40DC-969A-BFF164BBCD87}"/>
    <cellStyle name="Comma 8 3 6 7 2" xfId="23235" xr:uid="{3A07864C-1075-4FD3-A706-ADAC5E859071}"/>
    <cellStyle name="Comma 8 3 6 7 2 2" xfId="53475" xr:uid="{97748BEC-4686-4B8D-93A3-B28719D9C910}"/>
    <cellStyle name="Comma 8 3 6 7 3" xfId="38355" xr:uid="{3F4A8C63-3FD0-400E-9E26-004551159A11}"/>
    <cellStyle name="Comma 8 3 6 8" xfId="9627" xr:uid="{EE92B32D-5918-4E7B-BECC-FCD6D3DD44E7}"/>
    <cellStyle name="Comma 8 3 6 8 2" xfId="24747" xr:uid="{BAB7505B-3E43-4128-97C2-793B096EE3D8}"/>
    <cellStyle name="Comma 8 3 6 8 2 2" xfId="54987" xr:uid="{220A2E53-9FA9-4CD2-90CD-1DC4393392A9}"/>
    <cellStyle name="Comma 8 3 6 8 3" xfId="39867" xr:uid="{3CCB5269-7923-4D71-8CFA-DF51CF6DF668}"/>
    <cellStyle name="Comma 8 3 6 9" xfId="15675" xr:uid="{556BF176-7E26-4FCD-A897-6D9C78FE9AE0}"/>
    <cellStyle name="Comma 8 3 6 9 2" xfId="45915" xr:uid="{EB3695FC-892A-451C-B41D-A7F16645F4E1}"/>
    <cellStyle name="Comma 8 3 7" xfId="807" xr:uid="{E05CCC01-9361-4A66-BCA8-5B49827A55D9}"/>
    <cellStyle name="Comma 8 3 7 2" xfId="2319" xr:uid="{AA850333-D45D-4F5C-A24F-494B97800170}"/>
    <cellStyle name="Comma 8 3 7 2 2" xfId="11391" xr:uid="{A5CFEE9C-F1C6-4A19-99F3-206BB5946AE2}"/>
    <cellStyle name="Comma 8 3 7 2 2 2" xfId="26511" xr:uid="{4CC99B32-182E-4729-9EB7-289FC7A8806D}"/>
    <cellStyle name="Comma 8 3 7 2 2 2 2" xfId="56751" xr:uid="{6AAAF6DE-6E97-4D04-B77D-879E0DA8E7CA}"/>
    <cellStyle name="Comma 8 3 7 2 2 3" xfId="41631" xr:uid="{6EA8FA1B-D20E-493E-B2F3-7D202CBE343A}"/>
    <cellStyle name="Comma 8 3 7 2 3" xfId="17439" xr:uid="{B7603B6E-7511-4E93-B535-3FC16B62EDEB}"/>
    <cellStyle name="Comma 8 3 7 2 3 2" xfId="47679" xr:uid="{C2DC7A87-BBDF-4C9A-9F31-FBC4DDCC9124}"/>
    <cellStyle name="Comma 8 3 7 2 4" xfId="32559" xr:uid="{CAC2AB08-D909-448D-BB96-571ECFB83C1D}"/>
    <cellStyle name="Comma 8 3 7 3" xfId="3831" xr:uid="{18D0BFF3-AAA4-403C-9198-F7E65A83F053}"/>
    <cellStyle name="Comma 8 3 7 3 2" xfId="12903" xr:uid="{AC0C451C-BF36-4ACB-B2F8-B61D1576013D}"/>
    <cellStyle name="Comma 8 3 7 3 2 2" xfId="28023" xr:uid="{C2A7C6D4-7CBB-4AA9-B70E-C44D53437CA1}"/>
    <cellStyle name="Comma 8 3 7 3 2 2 2" xfId="58263" xr:uid="{09C36F97-1594-409A-B4CD-35A5C784323D}"/>
    <cellStyle name="Comma 8 3 7 3 2 3" xfId="43143" xr:uid="{88A4A515-B727-444B-BE27-55269CAD05BA}"/>
    <cellStyle name="Comma 8 3 7 3 3" xfId="18951" xr:uid="{BCB33D45-26C3-432D-959F-BE40C9AC2E80}"/>
    <cellStyle name="Comma 8 3 7 3 3 2" xfId="49191" xr:uid="{15F7EAB7-4FD0-49BD-98D7-E17D2FC8911D}"/>
    <cellStyle name="Comma 8 3 7 3 4" xfId="34071" xr:uid="{707E7A1F-49CB-49B4-B10C-52675E72BA61}"/>
    <cellStyle name="Comma 8 3 7 4" xfId="5343" xr:uid="{D48AFF74-D0FE-4D71-8216-E6742F72768F}"/>
    <cellStyle name="Comma 8 3 7 4 2" xfId="14415" xr:uid="{F60A7DDD-D006-437D-B5CE-80B7F9833002}"/>
    <cellStyle name="Comma 8 3 7 4 2 2" xfId="29535" xr:uid="{649E418B-F030-4CB1-A543-7397F7271A1A}"/>
    <cellStyle name="Comma 8 3 7 4 2 2 2" xfId="59775" xr:uid="{7FBCEA83-081F-4493-BB97-3DDD4BAAAFF9}"/>
    <cellStyle name="Comma 8 3 7 4 2 3" xfId="44655" xr:uid="{A41D502B-155E-49EB-B69C-F8F0424142EE}"/>
    <cellStyle name="Comma 8 3 7 4 3" xfId="20463" xr:uid="{BD510013-701A-497E-B842-C8C7AE2B2702}"/>
    <cellStyle name="Comma 8 3 7 4 3 2" xfId="50703" xr:uid="{290EC8B5-D492-47F1-89B7-DFDFFD3CC208}"/>
    <cellStyle name="Comma 8 3 7 4 4" xfId="35583" xr:uid="{A2644C8D-5CA0-4DB5-8612-65CB73A81B16}"/>
    <cellStyle name="Comma 8 3 7 5" xfId="6855" xr:uid="{4FBB0126-DE10-4DF2-A4D1-AD281B87E1DB}"/>
    <cellStyle name="Comma 8 3 7 5 2" xfId="21975" xr:uid="{20EEDA4B-2A00-405B-8297-652D4BA1D65B}"/>
    <cellStyle name="Comma 8 3 7 5 2 2" xfId="52215" xr:uid="{72C61896-E9C6-4811-B0BF-A509A2FBACEC}"/>
    <cellStyle name="Comma 8 3 7 5 3" xfId="37095" xr:uid="{C759AE17-CD8E-4CC8-8574-4712F6CD30EF}"/>
    <cellStyle name="Comma 8 3 7 6" xfId="8367" xr:uid="{8CB1618D-B7AB-4EE2-8803-E84D98930040}"/>
    <cellStyle name="Comma 8 3 7 6 2" xfId="23487" xr:uid="{F85368B3-CDA1-46E5-A0DB-A93B58491B39}"/>
    <cellStyle name="Comma 8 3 7 6 2 2" xfId="53727" xr:uid="{1D00C49A-2453-4198-AB47-75BA87F7F478}"/>
    <cellStyle name="Comma 8 3 7 6 3" xfId="38607" xr:uid="{A23F0A36-CD6D-4E07-BEFE-F5A666B1E067}"/>
    <cellStyle name="Comma 8 3 7 7" xfId="9879" xr:uid="{60FF64AC-0AD5-48DC-966D-C16F5F5A282C}"/>
    <cellStyle name="Comma 8 3 7 7 2" xfId="24999" xr:uid="{442DAFE8-280A-4FA8-9809-3878D9C8B1B1}"/>
    <cellStyle name="Comma 8 3 7 7 2 2" xfId="55239" xr:uid="{34F3D3C6-99E4-4D39-B098-9DF4F812B9EA}"/>
    <cellStyle name="Comma 8 3 7 7 3" xfId="40119" xr:uid="{F87E7DD1-76FC-4EE7-8D61-847EA76CAC5A}"/>
    <cellStyle name="Comma 8 3 7 8" xfId="15927" xr:uid="{FCA78211-CBF7-4C38-B899-D6608400F2C7}"/>
    <cellStyle name="Comma 8 3 7 8 2" xfId="46167" xr:uid="{417F1716-612E-4CD0-AB7D-7DDFB7597A34}"/>
    <cellStyle name="Comma 8 3 7 9" xfId="31047" xr:uid="{9C1F4F62-44F6-47A8-BF68-3CB932A6B8EF}"/>
    <cellStyle name="Comma 8 3 8" xfId="1563" xr:uid="{C754E722-85E0-46F4-9F32-6780759BE048}"/>
    <cellStyle name="Comma 8 3 8 2" xfId="10635" xr:uid="{1AA8EB8E-F00F-413B-9E4B-F3AD648A1D0B}"/>
    <cellStyle name="Comma 8 3 8 2 2" xfId="25755" xr:uid="{3A7D1BDE-A7C6-4ECB-9CD0-26F56B632A41}"/>
    <cellStyle name="Comma 8 3 8 2 2 2" xfId="55995" xr:uid="{ED4CAD81-51EF-4544-95C8-CE7D799EC5FE}"/>
    <cellStyle name="Comma 8 3 8 2 3" xfId="40875" xr:uid="{A883E105-760F-41A8-BE45-81AEE11439DC}"/>
    <cellStyle name="Comma 8 3 8 3" xfId="16683" xr:uid="{1C52173A-0E5B-40AD-BE23-40685DE77A0B}"/>
    <cellStyle name="Comma 8 3 8 3 2" xfId="46923" xr:uid="{F6354D99-FA11-43F3-8660-C519706BFBAC}"/>
    <cellStyle name="Comma 8 3 8 4" xfId="31803" xr:uid="{FFA16265-EFB5-4F17-B537-48F097DB24F8}"/>
    <cellStyle name="Comma 8 3 9" xfId="3075" xr:uid="{82886C75-40DC-4AB0-9751-C859CDDDC916}"/>
    <cellStyle name="Comma 8 3 9 2" xfId="12147" xr:uid="{FDE12C64-0F7F-4D37-9BB8-6DC4555F5082}"/>
    <cellStyle name="Comma 8 3 9 2 2" xfId="27267" xr:uid="{98AEF57C-B59D-45FF-8AEE-72B11E8C9EB7}"/>
    <cellStyle name="Comma 8 3 9 2 2 2" xfId="57507" xr:uid="{6435901D-5E7A-4EF6-A840-23733CB018BC}"/>
    <cellStyle name="Comma 8 3 9 2 3" xfId="42387" xr:uid="{C5F93EC9-0296-4F53-B9E0-52CCF11D9ED1}"/>
    <cellStyle name="Comma 8 3 9 3" xfId="18195" xr:uid="{E2481312-5972-458E-B460-B3A40EC48908}"/>
    <cellStyle name="Comma 8 3 9 3 2" xfId="48435" xr:uid="{EA8FDE06-9B0F-4672-BF1B-46121FEC1060}"/>
    <cellStyle name="Comma 8 3 9 4" xfId="33315" xr:uid="{0F86866F-0DE2-4675-9901-C21870000CAD}"/>
    <cellStyle name="Comma 8 4" xfId="65" xr:uid="{AE944819-B535-41E6-9489-38BB6A421FFA}"/>
    <cellStyle name="Comma 8 4 10" xfId="6113" xr:uid="{90F514C4-447B-4832-9DB9-F44B6C32D4D5}"/>
    <cellStyle name="Comma 8 4 10 2" xfId="21233" xr:uid="{0497A992-59FE-4530-BC0B-5156D4FFCF1D}"/>
    <cellStyle name="Comma 8 4 10 2 2" xfId="51473" xr:uid="{CA6906DA-1D4E-4DE3-92A9-768C56AF7638}"/>
    <cellStyle name="Comma 8 4 10 3" xfId="36353" xr:uid="{600CB686-D103-4A20-8A0F-01BBDF02918D}"/>
    <cellStyle name="Comma 8 4 11" xfId="7625" xr:uid="{836503D0-1A63-4DD3-8CA7-5D5AF5CA4306}"/>
    <cellStyle name="Comma 8 4 11 2" xfId="22745" xr:uid="{159AB890-B119-4081-947D-534B2A8FE841}"/>
    <cellStyle name="Comma 8 4 11 2 2" xfId="52985" xr:uid="{18550461-91A3-4CB3-BB90-5D8500321191}"/>
    <cellStyle name="Comma 8 4 11 3" xfId="37865" xr:uid="{AFF6FFBD-59D7-4774-9BF5-57372C2E968C}"/>
    <cellStyle name="Comma 8 4 12" xfId="9137" xr:uid="{9ED43ECE-9688-4C0A-A857-0D20DA6156F7}"/>
    <cellStyle name="Comma 8 4 12 2" xfId="24257" xr:uid="{DC041537-A766-4D25-82A5-000C365D88CB}"/>
    <cellStyle name="Comma 8 4 12 2 2" xfId="54497" xr:uid="{56219D75-CAB9-4390-A735-323399B4FAB5}"/>
    <cellStyle name="Comma 8 4 12 3" xfId="39377" xr:uid="{55A31415-6056-4F93-A4D7-06CDA326C524}"/>
    <cellStyle name="Comma 8 4 13" xfId="15185" xr:uid="{CBAD8679-939C-4648-8928-51759FBAC02A}"/>
    <cellStyle name="Comma 8 4 13 2" xfId="45425" xr:uid="{5EB01984-BA8F-4B1D-8406-1F49931B8790}"/>
    <cellStyle name="Comma 8 4 14" xfId="30305" xr:uid="{A503DE03-5174-43A2-8B88-A96D85129AE6}"/>
    <cellStyle name="Comma 8 4 2" xfId="149" xr:uid="{17094359-6442-43C5-B016-C2FD6DB2DE24}"/>
    <cellStyle name="Comma 8 4 2 10" xfId="9221" xr:uid="{835DA55D-D1AE-4E62-9273-D64C44B7F474}"/>
    <cellStyle name="Comma 8 4 2 10 2" xfId="24341" xr:uid="{DC7BB27F-C6A4-4E8F-825E-D8EB236E6954}"/>
    <cellStyle name="Comma 8 4 2 10 2 2" xfId="54581" xr:uid="{8A687567-E6DB-4D9B-84EA-9FC27325B529}"/>
    <cellStyle name="Comma 8 4 2 10 3" xfId="39461" xr:uid="{C352213F-9D38-4ADF-B47B-90DD109C93E9}"/>
    <cellStyle name="Comma 8 4 2 11" xfId="15269" xr:uid="{CDB68171-5C3F-40DE-AABC-941C852EF2BF}"/>
    <cellStyle name="Comma 8 4 2 11 2" xfId="45509" xr:uid="{86B45115-5A99-4BFE-AA13-71671881164B}"/>
    <cellStyle name="Comma 8 4 2 12" xfId="30389" xr:uid="{72B557E7-95D8-4102-9156-5BB17B3F2A5E}"/>
    <cellStyle name="Comma 8 4 2 2" xfId="401" xr:uid="{CF9D92A2-4CE0-417E-B3B6-86CA15839216}"/>
    <cellStyle name="Comma 8 4 2 2 10" xfId="30641" xr:uid="{77470DAD-1366-440D-856F-CA729D53C64B}"/>
    <cellStyle name="Comma 8 4 2 2 2" xfId="1157" xr:uid="{F9F0E697-1351-4177-928B-FB38995F54F2}"/>
    <cellStyle name="Comma 8 4 2 2 2 2" xfId="2669" xr:uid="{9BDE4F6D-00C9-45A3-9719-653DEE08BD4D}"/>
    <cellStyle name="Comma 8 4 2 2 2 2 2" xfId="11741" xr:uid="{890B8189-FF7B-4A3D-8931-66DE47196065}"/>
    <cellStyle name="Comma 8 4 2 2 2 2 2 2" xfId="26861" xr:uid="{E73872AF-810B-4F8F-BFD3-5B507BC30B76}"/>
    <cellStyle name="Comma 8 4 2 2 2 2 2 2 2" xfId="57101" xr:uid="{26EE0118-927F-4973-8F57-CE7F14B003A4}"/>
    <cellStyle name="Comma 8 4 2 2 2 2 2 3" xfId="41981" xr:uid="{D8FFDE12-BBD5-4513-8E56-E6CFD519DBF9}"/>
    <cellStyle name="Comma 8 4 2 2 2 2 3" xfId="17789" xr:uid="{237013F7-5FC0-45AA-B897-8EFC7078E29E}"/>
    <cellStyle name="Comma 8 4 2 2 2 2 3 2" xfId="48029" xr:uid="{0DB02A6F-9635-4006-B207-7597C0F4D6EC}"/>
    <cellStyle name="Comma 8 4 2 2 2 2 4" xfId="32909" xr:uid="{4A6D3FF6-4F15-4152-97D2-E95020BA64D0}"/>
    <cellStyle name="Comma 8 4 2 2 2 3" xfId="4181" xr:uid="{8DB0BFCA-EEFE-4F41-9194-E68D20BAE358}"/>
    <cellStyle name="Comma 8 4 2 2 2 3 2" xfId="13253" xr:uid="{AEF7D763-542A-4A30-9176-418846232A70}"/>
    <cellStyle name="Comma 8 4 2 2 2 3 2 2" xfId="28373" xr:uid="{729BEF34-3665-48C0-BA8D-7034A8BE8F8E}"/>
    <cellStyle name="Comma 8 4 2 2 2 3 2 2 2" xfId="58613" xr:uid="{29A48E75-3775-44C2-A08C-AAB916605593}"/>
    <cellStyle name="Comma 8 4 2 2 2 3 2 3" xfId="43493" xr:uid="{BB91422F-3B9D-49AA-88B9-7E0544430DBB}"/>
    <cellStyle name="Comma 8 4 2 2 2 3 3" xfId="19301" xr:uid="{4E1D5B52-2B80-48EE-82A0-395DF0BF55B9}"/>
    <cellStyle name="Comma 8 4 2 2 2 3 3 2" xfId="49541" xr:uid="{D6F522CB-94BF-42F1-9A30-22CB447E60F7}"/>
    <cellStyle name="Comma 8 4 2 2 2 3 4" xfId="34421" xr:uid="{5898A410-A7AD-42ED-90A3-731FD24271FC}"/>
    <cellStyle name="Comma 8 4 2 2 2 4" xfId="5693" xr:uid="{1CA15AB9-8487-4D5E-961F-AFB81858D275}"/>
    <cellStyle name="Comma 8 4 2 2 2 4 2" xfId="14765" xr:uid="{3F5C67CF-3218-423F-A460-CA8A82AD2A3B}"/>
    <cellStyle name="Comma 8 4 2 2 2 4 2 2" xfId="29885" xr:uid="{0E5DCDCD-06C8-4634-8524-A2CB22A0A877}"/>
    <cellStyle name="Comma 8 4 2 2 2 4 2 2 2" xfId="60125" xr:uid="{12CD3F9C-A7D8-4AD9-B1AF-41B6085798CA}"/>
    <cellStyle name="Comma 8 4 2 2 2 4 2 3" xfId="45005" xr:uid="{8A43D724-DED3-4A80-8F46-1EB915B68207}"/>
    <cellStyle name="Comma 8 4 2 2 2 4 3" xfId="20813" xr:uid="{C89D99A0-1335-40E1-B78F-6CF09A9D82F0}"/>
    <cellStyle name="Comma 8 4 2 2 2 4 3 2" xfId="51053" xr:uid="{D9D88FAA-4CE4-481B-9F43-2BC95DA612BF}"/>
    <cellStyle name="Comma 8 4 2 2 2 4 4" xfId="35933" xr:uid="{E295B6F8-83F4-4C28-8EC0-1FB815635F03}"/>
    <cellStyle name="Comma 8 4 2 2 2 5" xfId="7205" xr:uid="{386D9A6E-0C8A-4C98-AF28-C065E7845C45}"/>
    <cellStyle name="Comma 8 4 2 2 2 5 2" xfId="22325" xr:uid="{7B1CC237-AA52-4614-AF8F-4322F237DA85}"/>
    <cellStyle name="Comma 8 4 2 2 2 5 2 2" xfId="52565" xr:uid="{F63B0713-E1B2-4EF7-9F53-2D7FB5962A5F}"/>
    <cellStyle name="Comma 8 4 2 2 2 5 3" xfId="37445" xr:uid="{6654599C-971A-4DA0-8F5B-F745C0943216}"/>
    <cellStyle name="Comma 8 4 2 2 2 6" xfId="8717" xr:uid="{343DEE91-B0F0-4191-8BA6-3151ABA9CC6C}"/>
    <cellStyle name="Comma 8 4 2 2 2 6 2" xfId="23837" xr:uid="{206C3CE3-0A20-46D9-BF2F-35F21F00A631}"/>
    <cellStyle name="Comma 8 4 2 2 2 6 2 2" xfId="54077" xr:uid="{1E98997B-2ED9-4409-B8A5-3A73B3CF945C}"/>
    <cellStyle name="Comma 8 4 2 2 2 6 3" xfId="38957" xr:uid="{B37ED2A9-ACE5-43BB-9649-31E1AF5F0A9C}"/>
    <cellStyle name="Comma 8 4 2 2 2 7" xfId="10229" xr:uid="{7FE39C5C-A470-4B47-A984-2A0E394BF751}"/>
    <cellStyle name="Comma 8 4 2 2 2 7 2" xfId="25349" xr:uid="{C673D8F8-8F22-4F07-B58A-6C9A3BC39E74}"/>
    <cellStyle name="Comma 8 4 2 2 2 7 2 2" xfId="55589" xr:uid="{D1C23497-F272-4904-84A7-56F567DA5FAE}"/>
    <cellStyle name="Comma 8 4 2 2 2 7 3" xfId="40469" xr:uid="{0D3911AF-5CB4-4585-98E3-E8D3A89DEC19}"/>
    <cellStyle name="Comma 8 4 2 2 2 8" xfId="16277" xr:uid="{CB77C834-7CD3-4D59-8B65-74F7B2E2C994}"/>
    <cellStyle name="Comma 8 4 2 2 2 8 2" xfId="46517" xr:uid="{36388BC1-D0F4-42C4-89A6-CCA8EB95EA1A}"/>
    <cellStyle name="Comma 8 4 2 2 2 9" xfId="31397" xr:uid="{4DBF9B57-26DB-4F7D-88D8-7BE30A380554}"/>
    <cellStyle name="Comma 8 4 2 2 3" xfId="1913" xr:uid="{6288C779-00CE-4857-A0F0-50BC49180A6B}"/>
    <cellStyle name="Comma 8 4 2 2 3 2" xfId="10985" xr:uid="{7BD3685C-1EA1-490E-B432-7F8F93DC551C}"/>
    <cellStyle name="Comma 8 4 2 2 3 2 2" xfId="26105" xr:uid="{C86899DE-E7D6-453F-9F9F-C7BD92388EF0}"/>
    <cellStyle name="Comma 8 4 2 2 3 2 2 2" xfId="56345" xr:uid="{8D48CD10-45E8-44C5-B2F6-AF4197296665}"/>
    <cellStyle name="Comma 8 4 2 2 3 2 3" xfId="41225" xr:uid="{E9C7D36F-E49C-4236-8D84-00712C99459E}"/>
    <cellStyle name="Comma 8 4 2 2 3 3" xfId="17033" xr:uid="{9B521450-E958-4BB7-9885-A5EA0676D2CB}"/>
    <cellStyle name="Comma 8 4 2 2 3 3 2" xfId="47273" xr:uid="{1BDFC52F-A119-40B8-BA18-5DFA6E476F16}"/>
    <cellStyle name="Comma 8 4 2 2 3 4" xfId="32153" xr:uid="{DE5664B2-AB01-4708-928B-576523BF1966}"/>
    <cellStyle name="Comma 8 4 2 2 4" xfId="3425" xr:uid="{AAA5B767-19CF-41F7-B819-45092EF9E614}"/>
    <cellStyle name="Comma 8 4 2 2 4 2" xfId="12497" xr:uid="{990F8309-5315-4675-8BA7-FBF907C44514}"/>
    <cellStyle name="Comma 8 4 2 2 4 2 2" xfId="27617" xr:uid="{ACFBDD1C-9129-4CA6-9EE0-DD8CC67D0E03}"/>
    <cellStyle name="Comma 8 4 2 2 4 2 2 2" xfId="57857" xr:uid="{C0897C38-94A4-4B02-A730-8EA9F8A759BE}"/>
    <cellStyle name="Comma 8 4 2 2 4 2 3" xfId="42737" xr:uid="{81A60931-C9E0-460E-B392-81B58CA0107B}"/>
    <cellStyle name="Comma 8 4 2 2 4 3" xfId="18545" xr:uid="{ED46E15C-850E-4B16-AD60-EF80AA111FDC}"/>
    <cellStyle name="Comma 8 4 2 2 4 3 2" xfId="48785" xr:uid="{098067D2-A7DC-4AF5-BE43-8FA41096F0D3}"/>
    <cellStyle name="Comma 8 4 2 2 4 4" xfId="33665" xr:uid="{3FCADF02-B34A-412D-A914-878947047D23}"/>
    <cellStyle name="Comma 8 4 2 2 5" xfId="4937" xr:uid="{FF3CCD45-EE90-4002-863E-14B451A124F7}"/>
    <cellStyle name="Comma 8 4 2 2 5 2" xfId="14009" xr:uid="{D3B0F720-9FDC-4C7E-B314-5D08C138A8CF}"/>
    <cellStyle name="Comma 8 4 2 2 5 2 2" xfId="29129" xr:uid="{99F2EC12-85C9-4213-B8EB-61B561D7A094}"/>
    <cellStyle name="Comma 8 4 2 2 5 2 2 2" xfId="59369" xr:uid="{48E7F9A0-77DD-4340-B56D-105B8FE38721}"/>
    <cellStyle name="Comma 8 4 2 2 5 2 3" xfId="44249" xr:uid="{68387C10-FC20-4D7D-A2FB-D85D185F9239}"/>
    <cellStyle name="Comma 8 4 2 2 5 3" xfId="20057" xr:uid="{27A8BE6D-326C-4BCE-87C7-2AA19704136D}"/>
    <cellStyle name="Comma 8 4 2 2 5 3 2" xfId="50297" xr:uid="{E3697476-D030-42E7-9721-E11845B51BE5}"/>
    <cellStyle name="Comma 8 4 2 2 5 4" xfId="35177" xr:uid="{6F0728B4-EA13-4C5D-BB8A-210E88B64882}"/>
    <cellStyle name="Comma 8 4 2 2 6" xfId="6449" xr:uid="{59744C4B-912F-45BB-91AB-1CB53D532E70}"/>
    <cellStyle name="Comma 8 4 2 2 6 2" xfId="21569" xr:uid="{29512B63-6C60-404B-AED4-F6A385EF03B8}"/>
    <cellStyle name="Comma 8 4 2 2 6 2 2" xfId="51809" xr:uid="{670BC898-0378-458D-BB97-652CFA0A58EB}"/>
    <cellStyle name="Comma 8 4 2 2 6 3" xfId="36689" xr:uid="{5925E80F-7CC9-40B7-9B49-922A9D4821D5}"/>
    <cellStyle name="Comma 8 4 2 2 7" xfId="7961" xr:uid="{AC5BD4E7-BF0C-4302-B509-E3067C5185D3}"/>
    <cellStyle name="Comma 8 4 2 2 7 2" xfId="23081" xr:uid="{759E2318-62CF-4284-A2BE-07C955518480}"/>
    <cellStyle name="Comma 8 4 2 2 7 2 2" xfId="53321" xr:uid="{A4A415CA-B719-4FE7-B206-D405C8B6E80A}"/>
    <cellStyle name="Comma 8 4 2 2 7 3" xfId="38201" xr:uid="{BA64C3A2-3F00-4328-A524-D804CFAB97D2}"/>
    <cellStyle name="Comma 8 4 2 2 8" xfId="9473" xr:uid="{E5D795DB-632A-4C42-B4DB-6FC93A6C6AD0}"/>
    <cellStyle name="Comma 8 4 2 2 8 2" xfId="24593" xr:uid="{D0DD5FA5-768C-401F-8A96-F3F80A174B79}"/>
    <cellStyle name="Comma 8 4 2 2 8 2 2" xfId="54833" xr:uid="{2F81D293-B6E2-46EA-8C6A-BF20E46A10E3}"/>
    <cellStyle name="Comma 8 4 2 2 8 3" xfId="39713" xr:uid="{629F97E1-1130-4C40-A8E8-D066CA29D6B9}"/>
    <cellStyle name="Comma 8 4 2 2 9" xfId="15521" xr:uid="{A830DDAB-CA56-45B0-9DF8-4B16BC7BC1BD}"/>
    <cellStyle name="Comma 8 4 2 2 9 2" xfId="45761" xr:uid="{62AF6873-63AC-41B9-87AB-AE530444E9F8}"/>
    <cellStyle name="Comma 8 4 2 3" xfId="653" xr:uid="{8B82972D-0CF4-4F88-BE7F-5C9DBAF67CA5}"/>
    <cellStyle name="Comma 8 4 2 3 10" xfId="30893" xr:uid="{606A10DA-7061-4120-8346-517712EBA081}"/>
    <cellStyle name="Comma 8 4 2 3 2" xfId="1409" xr:uid="{F4A8186C-900C-44C6-BAA4-F9D9AB18FA54}"/>
    <cellStyle name="Comma 8 4 2 3 2 2" xfId="2921" xr:uid="{C31D6C03-3F3F-4DAC-B38F-EA4840EA44DB}"/>
    <cellStyle name="Comma 8 4 2 3 2 2 2" xfId="11993" xr:uid="{A7E848A7-D038-42BB-8BF4-852E2C114B09}"/>
    <cellStyle name="Comma 8 4 2 3 2 2 2 2" xfId="27113" xr:uid="{A6192AF5-95F6-408A-80D4-674880AC913D}"/>
    <cellStyle name="Comma 8 4 2 3 2 2 2 2 2" xfId="57353" xr:uid="{29A94E35-02E9-4D4A-8769-BEF6081201D3}"/>
    <cellStyle name="Comma 8 4 2 3 2 2 2 3" xfId="42233" xr:uid="{7EF4D63B-7EC8-4317-9840-F1E9A7F481A9}"/>
    <cellStyle name="Comma 8 4 2 3 2 2 3" xfId="18041" xr:uid="{0F45674B-DCFA-4003-8736-8CBA70C9E907}"/>
    <cellStyle name="Comma 8 4 2 3 2 2 3 2" xfId="48281" xr:uid="{0453D87B-D787-46B0-B9BE-EAD748587091}"/>
    <cellStyle name="Comma 8 4 2 3 2 2 4" xfId="33161" xr:uid="{E07E5B1D-FAEC-470B-8A2D-A0DAC9631CC0}"/>
    <cellStyle name="Comma 8 4 2 3 2 3" xfId="4433" xr:uid="{BA78EBE7-0101-4234-8353-220848AE70F7}"/>
    <cellStyle name="Comma 8 4 2 3 2 3 2" xfId="13505" xr:uid="{0078826D-001E-4FEE-9495-CAF2B3F247BD}"/>
    <cellStyle name="Comma 8 4 2 3 2 3 2 2" xfId="28625" xr:uid="{E054C20B-139C-4EFD-BCF3-A42E6EC0F3F6}"/>
    <cellStyle name="Comma 8 4 2 3 2 3 2 2 2" xfId="58865" xr:uid="{D20239CD-18D8-446E-B86E-B650DB83F4E2}"/>
    <cellStyle name="Comma 8 4 2 3 2 3 2 3" xfId="43745" xr:uid="{8F2A3085-9FC2-494E-A0DF-28AE7E6C9FF1}"/>
    <cellStyle name="Comma 8 4 2 3 2 3 3" xfId="19553" xr:uid="{9044A1C0-5F52-4D43-973E-66EC8FE93D08}"/>
    <cellStyle name="Comma 8 4 2 3 2 3 3 2" xfId="49793" xr:uid="{373AB540-468C-4AD1-9F06-917892CED119}"/>
    <cellStyle name="Comma 8 4 2 3 2 3 4" xfId="34673" xr:uid="{A21E7768-9AF9-4C62-8F6E-BD9B789EEE08}"/>
    <cellStyle name="Comma 8 4 2 3 2 4" xfId="5945" xr:uid="{22BACDEA-865D-4B39-BC4B-C4EB4C79925A}"/>
    <cellStyle name="Comma 8 4 2 3 2 4 2" xfId="15017" xr:uid="{099AC464-3EFE-4905-8511-0029A705EE2B}"/>
    <cellStyle name="Comma 8 4 2 3 2 4 2 2" xfId="30137" xr:uid="{5CA4EA9D-F6EB-45B3-B63A-8388B6FDFAFA}"/>
    <cellStyle name="Comma 8 4 2 3 2 4 2 2 2" xfId="60377" xr:uid="{10C9DA52-9677-4E1A-A6B4-C5839DED9D42}"/>
    <cellStyle name="Comma 8 4 2 3 2 4 2 3" xfId="45257" xr:uid="{96B94B49-3A55-48E1-9034-B1DCB14FEEA7}"/>
    <cellStyle name="Comma 8 4 2 3 2 4 3" xfId="21065" xr:uid="{CA79BC56-505F-42A0-982C-C046A84CDD22}"/>
    <cellStyle name="Comma 8 4 2 3 2 4 3 2" xfId="51305" xr:uid="{F755E603-0F1D-47B1-A80E-6C6090FC35F7}"/>
    <cellStyle name="Comma 8 4 2 3 2 4 4" xfId="36185" xr:uid="{65990B0F-3157-455E-B7E0-5D1A1B4504B5}"/>
    <cellStyle name="Comma 8 4 2 3 2 5" xfId="7457" xr:uid="{A88B7F4B-F4CD-47B7-9FC5-227D4E801703}"/>
    <cellStyle name="Comma 8 4 2 3 2 5 2" xfId="22577" xr:uid="{6CCD87B8-C647-4144-975A-4D6C953D6791}"/>
    <cellStyle name="Comma 8 4 2 3 2 5 2 2" xfId="52817" xr:uid="{85205800-8160-4B7A-83E0-37E85E590076}"/>
    <cellStyle name="Comma 8 4 2 3 2 5 3" xfId="37697" xr:uid="{C9F9248E-C60F-4AE9-8390-BEF78834F0F6}"/>
    <cellStyle name="Comma 8 4 2 3 2 6" xfId="8969" xr:uid="{3AC1B565-6F23-4F6A-B493-727BAF45475F}"/>
    <cellStyle name="Comma 8 4 2 3 2 6 2" xfId="24089" xr:uid="{8A12C82A-F513-488F-B6BD-086F057ED2A8}"/>
    <cellStyle name="Comma 8 4 2 3 2 6 2 2" xfId="54329" xr:uid="{CFEC2967-5868-4B44-AD45-A75E6B75B098}"/>
    <cellStyle name="Comma 8 4 2 3 2 6 3" xfId="39209" xr:uid="{4197936D-0C9B-4170-ABE4-15726C955CE9}"/>
    <cellStyle name="Comma 8 4 2 3 2 7" xfId="10481" xr:uid="{3C62415A-272D-499F-AA67-BDCB2BE7B02A}"/>
    <cellStyle name="Comma 8 4 2 3 2 7 2" xfId="25601" xr:uid="{C3A2DFF6-BD04-4FC0-8D9D-3974B0A1D944}"/>
    <cellStyle name="Comma 8 4 2 3 2 7 2 2" xfId="55841" xr:uid="{47B5F32B-F0A9-421A-8F77-941D658A0B0C}"/>
    <cellStyle name="Comma 8 4 2 3 2 7 3" xfId="40721" xr:uid="{05A6EC33-4221-4DF7-AD86-F9049EA74F68}"/>
    <cellStyle name="Comma 8 4 2 3 2 8" xfId="16529" xr:uid="{516A54FE-B9EA-408C-BD1A-3DB4AB32DC38}"/>
    <cellStyle name="Comma 8 4 2 3 2 8 2" xfId="46769" xr:uid="{41D89AA8-11B8-4013-87A9-9B6F6517263E}"/>
    <cellStyle name="Comma 8 4 2 3 2 9" xfId="31649" xr:uid="{35CAC2A1-EC63-47ED-990E-838A413DB15B}"/>
    <cellStyle name="Comma 8 4 2 3 3" xfId="2165" xr:uid="{40736810-0481-41B2-9EC5-BB58C00F3D8F}"/>
    <cellStyle name="Comma 8 4 2 3 3 2" xfId="11237" xr:uid="{879640CB-E82E-4064-89D6-81762F666964}"/>
    <cellStyle name="Comma 8 4 2 3 3 2 2" xfId="26357" xr:uid="{FA0F60AC-0ED9-4957-A9F0-3D93AFA27BEE}"/>
    <cellStyle name="Comma 8 4 2 3 3 2 2 2" xfId="56597" xr:uid="{D1CFCCD6-1E65-4DB3-84B7-1F36EE3FF61F}"/>
    <cellStyle name="Comma 8 4 2 3 3 2 3" xfId="41477" xr:uid="{87E272CA-2CF4-440D-B32D-8CDAB1FF51A9}"/>
    <cellStyle name="Comma 8 4 2 3 3 3" xfId="17285" xr:uid="{132764E8-C821-48A7-97F1-7769DCAC0CED}"/>
    <cellStyle name="Comma 8 4 2 3 3 3 2" xfId="47525" xr:uid="{5B4734CA-82E4-4E87-B778-8A630F4E5651}"/>
    <cellStyle name="Comma 8 4 2 3 3 4" xfId="32405" xr:uid="{E02D160B-26D6-4697-B75F-9345EC2A271E}"/>
    <cellStyle name="Comma 8 4 2 3 4" xfId="3677" xr:uid="{7243BADB-4573-4751-A9FA-673C50F1D21E}"/>
    <cellStyle name="Comma 8 4 2 3 4 2" xfId="12749" xr:uid="{2BCE5D6F-F1B8-4192-B548-49B50ACFBA7A}"/>
    <cellStyle name="Comma 8 4 2 3 4 2 2" xfId="27869" xr:uid="{00FD00E8-602C-4B77-A908-058704DB3D64}"/>
    <cellStyle name="Comma 8 4 2 3 4 2 2 2" xfId="58109" xr:uid="{D7BC1E8A-ECC5-4FC6-8417-EF8F47C7871D}"/>
    <cellStyle name="Comma 8 4 2 3 4 2 3" xfId="42989" xr:uid="{84600443-616A-4C6A-B2CF-B1FE58D7FB12}"/>
    <cellStyle name="Comma 8 4 2 3 4 3" xfId="18797" xr:uid="{B951D4BB-640C-4A65-8746-89D22B66199E}"/>
    <cellStyle name="Comma 8 4 2 3 4 3 2" xfId="49037" xr:uid="{164621B4-F8B0-41D9-A96D-4F7597FE89BE}"/>
    <cellStyle name="Comma 8 4 2 3 4 4" xfId="33917" xr:uid="{2F1CA05F-615A-4DDE-9349-6B59A02C5630}"/>
    <cellStyle name="Comma 8 4 2 3 5" xfId="5189" xr:uid="{094AD8B2-9896-4715-8119-1ACC604AF66F}"/>
    <cellStyle name="Comma 8 4 2 3 5 2" xfId="14261" xr:uid="{C106B1DD-AA2E-4C92-BE9A-2ECBB8FDAFE7}"/>
    <cellStyle name="Comma 8 4 2 3 5 2 2" xfId="29381" xr:uid="{AFDE43CB-6159-4FDB-9E82-BDD09EEA5951}"/>
    <cellStyle name="Comma 8 4 2 3 5 2 2 2" xfId="59621" xr:uid="{3E8F2457-812F-4DB6-B0CC-3E9FC83A1D3C}"/>
    <cellStyle name="Comma 8 4 2 3 5 2 3" xfId="44501" xr:uid="{41E8A91E-A504-46A0-9A36-3EE828869A83}"/>
    <cellStyle name="Comma 8 4 2 3 5 3" xfId="20309" xr:uid="{934D746C-5B9B-4379-A0E4-95CF87ED2D9F}"/>
    <cellStyle name="Comma 8 4 2 3 5 3 2" xfId="50549" xr:uid="{0F5BADE6-4835-4B5C-8993-5DB7852F1157}"/>
    <cellStyle name="Comma 8 4 2 3 5 4" xfId="35429" xr:uid="{693F763F-F9BD-4132-B7CB-90965C66B88F}"/>
    <cellStyle name="Comma 8 4 2 3 6" xfId="6701" xr:uid="{D16B1C85-2288-491A-93D3-0525CD94F457}"/>
    <cellStyle name="Comma 8 4 2 3 6 2" xfId="21821" xr:uid="{76323E9C-2A7A-4C93-B99B-2E2873F67BEE}"/>
    <cellStyle name="Comma 8 4 2 3 6 2 2" xfId="52061" xr:uid="{9541947F-E1D0-4FA2-8B47-EA68FB3EBFA9}"/>
    <cellStyle name="Comma 8 4 2 3 6 3" xfId="36941" xr:uid="{DE269472-33E2-4065-97DE-90EAFDCEC80C}"/>
    <cellStyle name="Comma 8 4 2 3 7" xfId="8213" xr:uid="{BA83CBC4-32B1-4598-98EB-046466F51CDF}"/>
    <cellStyle name="Comma 8 4 2 3 7 2" xfId="23333" xr:uid="{26CBE149-18BB-4EE7-8AE9-B1EC7F4CD1FB}"/>
    <cellStyle name="Comma 8 4 2 3 7 2 2" xfId="53573" xr:uid="{A13341B9-BE9D-452D-8698-2F54851487B1}"/>
    <cellStyle name="Comma 8 4 2 3 7 3" xfId="38453" xr:uid="{F1CBF0B7-D0EA-4557-A43E-D63732B8C76C}"/>
    <cellStyle name="Comma 8 4 2 3 8" xfId="9725" xr:uid="{9ACEA25F-37B6-4BF6-A0A8-E3D4211E698F}"/>
    <cellStyle name="Comma 8 4 2 3 8 2" xfId="24845" xr:uid="{14D91AE9-D7B8-42C0-959D-1F2A1A23F8CA}"/>
    <cellStyle name="Comma 8 4 2 3 8 2 2" xfId="55085" xr:uid="{DBFD663B-A196-4421-B11E-B6343A20FFBE}"/>
    <cellStyle name="Comma 8 4 2 3 8 3" xfId="39965" xr:uid="{256058AA-ABB0-45E7-9DB9-4D5AE1CBBE5D}"/>
    <cellStyle name="Comma 8 4 2 3 9" xfId="15773" xr:uid="{E64B422A-D07D-4D90-8019-F0343986658F}"/>
    <cellStyle name="Comma 8 4 2 3 9 2" xfId="46013" xr:uid="{D9281F83-A8AA-43F2-9D24-1DC438A6CB3D}"/>
    <cellStyle name="Comma 8 4 2 4" xfId="905" xr:uid="{B6618B53-7256-495F-BA70-A28B8FBC394B}"/>
    <cellStyle name="Comma 8 4 2 4 2" xfId="2417" xr:uid="{1CF5924A-C797-4EB6-B718-C3F00BF2EC2D}"/>
    <cellStyle name="Comma 8 4 2 4 2 2" xfId="11489" xr:uid="{DB7B573D-A0BB-4ABD-9464-4C903BA0F81C}"/>
    <cellStyle name="Comma 8 4 2 4 2 2 2" xfId="26609" xr:uid="{DB18AF73-1DCE-472A-9646-03D9846E5543}"/>
    <cellStyle name="Comma 8 4 2 4 2 2 2 2" xfId="56849" xr:uid="{BAB87D7F-0155-4F1C-A227-28A8D9278589}"/>
    <cellStyle name="Comma 8 4 2 4 2 2 3" xfId="41729" xr:uid="{28887512-7537-4EEB-AA83-8345B12933E6}"/>
    <cellStyle name="Comma 8 4 2 4 2 3" xfId="17537" xr:uid="{EEAF0549-09B6-48F7-A43D-B39CFCCC0479}"/>
    <cellStyle name="Comma 8 4 2 4 2 3 2" xfId="47777" xr:uid="{4C243FA6-D81F-4C6C-A588-0D347F9D64EC}"/>
    <cellStyle name="Comma 8 4 2 4 2 4" xfId="32657" xr:uid="{F7AEB82B-1A6D-4452-9A6A-690D67A4DCE4}"/>
    <cellStyle name="Comma 8 4 2 4 3" xfId="3929" xr:uid="{6F94CEAF-A492-473B-B143-57D0C95C4A0C}"/>
    <cellStyle name="Comma 8 4 2 4 3 2" xfId="13001" xr:uid="{9DF679F2-B814-4499-9DD4-E5154E26D35F}"/>
    <cellStyle name="Comma 8 4 2 4 3 2 2" xfId="28121" xr:uid="{56FEF325-6133-496C-8383-7F23DD89D53F}"/>
    <cellStyle name="Comma 8 4 2 4 3 2 2 2" xfId="58361" xr:uid="{1FD1C74E-9D34-4441-9764-61E81BEF0CCD}"/>
    <cellStyle name="Comma 8 4 2 4 3 2 3" xfId="43241" xr:uid="{6D37416B-1938-41FE-B0A6-C763096550AB}"/>
    <cellStyle name="Comma 8 4 2 4 3 3" xfId="19049" xr:uid="{F4C286AA-22F3-48EC-9334-81CFF11EF4FB}"/>
    <cellStyle name="Comma 8 4 2 4 3 3 2" xfId="49289" xr:uid="{DA2D87E3-406B-47C0-B621-52333587F41F}"/>
    <cellStyle name="Comma 8 4 2 4 3 4" xfId="34169" xr:uid="{2C052379-58EC-4A36-B2E4-E128C3EB9C7A}"/>
    <cellStyle name="Comma 8 4 2 4 4" xfId="5441" xr:uid="{780DBB00-7390-4AEB-BC9C-B4D21B1E5C9F}"/>
    <cellStyle name="Comma 8 4 2 4 4 2" xfId="14513" xr:uid="{F755F058-2A30-4005-81C9-A2F5096C7AE9}"/>
    <cellStyle name="Comma 8 4 2 4 4 2 2" xfId="29633" xr:uid="{124E3219-53EC-4F0F-91E1-732F88F7EFE8}"/>
    <cellStyle name="Comma 8 4 2 4 4 2 2 2" xfId="59873" xr:uid="{59AF6038-37B2-414F-AAED-51440A4FBD7F}"/>
    <cellStyle name="Comma 8 4 2 4 4 2 3" xfId="44753" xr:uid="{2833009E-5455-42D5-A4C7-87888FFAA913}"/>
    <cellStyle name="Comma 8 4 2 4 4 3" xfId="20561" xr:uid="{E18058E0-3EA9-4DD1-A959-1D6FCDE8FEC7}"/>
    <cellStyle name="Comma 8 4 2 4 4 3 2" xfId="50801" xr:uid="{07F9449D-95D3-4242-89B8-380E093FA68F}"/>
    <cellStyle name="Comma 8 4 2 4 4 4" xfId="35681" xr:uid="{476574E1-174E-4143-9E71-AE1F01E90AB1}"/>
    <cellStyle name="Comma 8 4 2 4 5" xfId="6953" xr:uid="{2CCFAFB8-6079-422C-8D8E-07C03B7905E2}"/>
    <cellStyle name="Comma 8 4 2 4 5 2" xfId="22073" xr:uid="{1A62091B-CDC7-4FA4-80AC-884A2F4C56CD}"/>
    <cellStyle name="Comma 8 4 2 4 5 2 2" xfId="52313" xr:uid="{C449771E-EE60-48AA-ABD4-A6E34ABD38C8}"/>
    <cellStyle name="Comma 8 4 2 4 5 3" xfId="37193" xr:uid="{858878B3-B623-48CC-B6BB-47BC64EF15FC}"/>
    <cellStyle name="Comma 8 4 2 4 6" xfId="8465" xr:uid="{91B4784C-018C-4615-8C2F-764AF6F54564}"/>
    <cellStyle name="Comma 8 4 2 4 6 2" xfId="23585" xr:uid="{07A8811F-40FC-4244-A181-46C09FFF217E}"/>
    <cellStyle name="Comma 8 4 2 4 6 2 2" xfId="53825" xr:uid="{31F8A108-8FFA-4076-97D3-851EE127B9C6}"/>
    <cellStyle name="Comma 8 4 2 4 6 3" xfId="38705" xr:uid="{7247626A-E784-4768-82FD-AB050B2E6D10}"/>
    <cellStyle name="Comma 8 4 2 4 7" xfId="9977" xr:uid="{A78EC3E1-E781-48EA-A542-E5742E94525E}"/>
    <cellStyle name="Comma 8 4 2 4 7 2" xfId="25097" xr:uid="{B0C7E8DF-9C26-4F22-A11F-FE5415639004}"/>
    <cellStyle name="Comma 8 4 2 4 7 2 2" xfId="55337" xr:uid="{4BAFA499-8143-43F6-97C2-54778854DEB0}"/>
    <cellStyle name="Comma 8 4 2 4 7 3" xfId="40217" xr:uid="{23FC6073-C70E-4D11-AD19-7D090CC9ECA5}"/>
    <cellStyle name="Comma 8 4 2 4 8" xfId="16025" xr:uid="{18BA966D-8D1B-467D-9312-48862A74095A}"/>
    <cellStyle name="Comma 8 4 2 4 8 2" xfId="46265" xr:uid="{A44B05FD-9C7A-4602-B62B-BE846076EC53}"/>
    <cellStyle name="Comma 8 4 2 4 9" xfId="31145" xr:uid="{14745405-C8F4-4153-AF87-D832FEE99E8A}"/>
    <cellStyle name="Comma 8 4 2 5" xfId="1661" xr:uid="{3145936E-5D4E-499C-98E3-587DA86D5E71}"/>
    <cellStyle name="Comma 8 4 2 5 2" xfId="10733" xr:uid="{BD83003F-B951-40CC-BD52-50A7F624C7AF}"/>
    <cellStyle name="Comma 8 4 2 5 2 2" xfId="25853" xr:uid="{CD858835-8FC3-444D-89C0-727DF25376DA}"/>
    <cellStyle name="Comma 8 4 2 5 2 2 2" xfId="56093" xr:uid="{A3D4D8E5-8EE5-4DFA-8CAD-202B0DC6FA57}"/>
    <cellStyle name="Comma 8 4 2 5 2 3" xfId="40973" xr:uid="{2CC768A2-B856-4F32-8035-07FD9976C864}"/>
    <cellStyle name="Comma 8 4 2 5 3" xfId="16781" xr:uid="{54B3F7F7-7B41-42E7-A801-511505136549}"/>
    <cellStyle name="Comma 8 4 2 5 3 2" xfId="47021" xr:uid="{75B5ABEF-EC7B-47EA-9B0B-6F2317F6B731}"/>
    <cellStyle name="Comma 8 4 2 5 4" xfId="31901" xr:uid="{EAA2CFDE-9F1A-425C-9A17-9FB23994A8B5}"/>
    <cellStyle name="Comma 8 4 2 6" xfId="3173" xr:uid="{497D19DD-DA4E-44B6-B773-2A1D72B6A57F}"/>
    <cellStyle name="Comma 8 4 2 6 2" xfId="12245" xr:uid="{8956A490-06C1-4355-BA88-5299BC86AA60}"/>
    <cellStyle name="Comma 8 4 2 6 2 2" xfId="27365" xr:uid="{1089BC64-57EA-4777-8FAB-7BE0C63A9BB5}"/>
    <cellStyle name="Comma 8 4 2 6 2 2 2" xfId="57605" xr:uid="{B1F6AFAE-E688-464D-9AD4-F16864898A38}"/>
    <cellStyle name="Comma 8 4 2 6 2 3" xfId="42485" xr:uid="{0D4144BD-9340-44EE-BC57-6B4961A50C5E}"/>
    <cellStyle name="Comma 8 4 2 6 3" xfId="18293" xr:uid="{4A1551A9-3ED1-4CE0-A603-E766FD15CAF6}"/>
    <cellStyle name="Comma 8 4 2 6 3 2" xfId="48533" xr:uid="{A73180F7-FA6A-4C51-BB4A-6285D551B1FA}"/>
    <cellStyle name="Comma 8 4 2 6 4" xfId="33413" xr:uid="{3D01A92F-B463-4BF6-8D31-82DF6E4D197A}"/>
    <cellStyle name="Comma 8 4 2 7" xfId="4685" xr:uid="{E9C9D720-72B8-4953-BAB8-5AF7D0C69D4B}"/>
    <cellStyle name="Comma 8 4 2 7 2" xfId="13757" xr:uid="{FB441260-91CE-40AB-A936-9A4CF281B20C}"/>
    <cellStyle name="Comma 8 4 2 7 2 2" xfId="28877" xr:uid="{263B3644-8060-420B-A4E0-BB24BC11FC60}"/>
    <cellStyle name="Comma 8 4 2 7 2 2 2" xfId="59117" xr:uid="{7FDC2760-45DC-4B51-A2B1-21B8B44F34AB}"/>
    <cellStyle name="Comma 8 4 2 7 2 3" xfId="43997" xr:uid="{261510CF-4840-4E88-868C-97CBE9BA8CA6}"/>
    <cellStyle name="Comma 8 4 2 7 3" xfId="19805" xr:uid="{96AEC217-3F06-410C-9B79-2507F46FCE57}"/>
    <cellStyle name="Comma 8 4 2 7 3 2" xfId="50045" xr:uid="{CE9A66FB-6881-4597-AD09-2C002F4641E8}"/>
    <cellStyle name="Comma 8 4 2 7 4" xfId="34925" xr:uid="{DFE98FB0-9CCD-47C4-B0A2-E1123258473E}"/>
    <cellStyle name="Comma 8 4 2 8" xfId="6197" xr:uid="{F76760B0-CBBF-4E35-A1CD-A2810106CAEC}"/>
    <cellStyle name="Comma 8 4 2 8 2" xfId="21317" xr:uid="{A85421CC-6A1E-4847-BCE8-0FC2623D40AF}"/>
    <cellStyle name="Comma 8 4 2 8 2 2" xfId="51557" xr:uid="{F0AF46FE-7B03-49E7-9B2B-5866A233FD4D}"/>
    <cellStyle name="Comma 8 4 2 8 3" xfId="36437" xr:uid="{9025C654-7991-4217-BBCB-452334D6D966}"/>
    <cellStyle name="Comma 8 4 2 9" xfId="7709" xr:uid="{CFA2BCCE-30CD-4E38-B61E-3AB9543B35E7}"/>
    <cellStyle name="Comma 8 4 2 9 2" xfId="22829" xr:uid="{363BB949-2A71-4B96-9A7D-3F0F3AF32A1C}"/>
    <cellStyle name="Comma 8 4 2 9 2 2" xfId="53069" xr:uid="{8FFBC2E2-83BF-4C7B-BD0E-E77694A1E339}"/>
    <cellStyle name="Comma 8 4 2 9 3" xfId="37949" xr:uid="{9A407D2D-CC45-451C-9A8A-330AD9BD6CEE}"/>
    <cellStyle name="Comma 8 4 3" xfId="233" xr:uid="{F54A819F-B615-40F0-986D-A7484887F0D4}"/>
    <cellStyle name="Comma 8 4 3 10" xfId="9305" xr:uid="{1080E00B-7038-47CB-9A8A-280C47564FD1}"/>
    <cellStyle name="Comma 8 4 3 10 2" xfId="24425" xr:uid="{BD7612A0-9382-4FC5-B7FB-10E5F172C94F}"/>
    <cellStyle name="Comma 8 4 3 10 2 2" xfId="54665" xr:uid="{DFBB744F-AD6A-4CC0-9E17-E1784710648A}"/>
    <cellStyle name="Comma 8 4 3 10 3" xfId="39545" xr:uid="{20881881-80C8-40E9-AF52-3EB7B2432661}"/>
    <cellStyle name="Comma 8 4 3 11" xfId="15353" xr:uid="{B7619796-9E97-4194-BFF6-A8591B435D55}"/>
    <cellStyle name="Comma 8 4 3 11 2" xfId="45593" xr:uid="{E435C5C7-9A99-46A5-9AAF-402A4B2F0272}"/>
    <cellStyle name="Comma 8 4 3 12" xfId="30473" xr:uid="{5391E04C-E7E4-41A4-A40B-548F1BB34437}"/>
    <cellStyle name="Comma 8 4 3 2" xfId="485" xr:uid="{E9E1C47C-40D0-4F1C-ABBD-86B26DBD91DC}"/>
    <cellStyle name="Comma 8 4 3 2 10" xfId="30725" xr:uid="{EE9845FB-8DE3-449A-94AF-562304CCAE25}"/>
    <cellStyle name="Comma 8 4 3 2 2" xfId="1241" xr:uid="{11501A98-C8EB-4CDA-B6EC-973B20096AF7}"/>
    <cellStyle name="Comma 8 4 3 2 2 2" xfId="2753" xr:uid="{EEAD194D-3A98-4139-9B25-D6F32BEE816B}"/>
    <cellStyle name="Comma 8 4 3 2 2 2 2" xfId="11825" xr:uid="{17DBCCAB-8643-48D9-8122-F0784C46D8B7}"/>
    <cellStyle name="Comma 8 4 3 2 2 2 2 2" xfId="26945" xr:uid="{655480C5-F094-4CAB-B1FD-34F641AE4E7A}"/>
    <cellStyle name="Comma 8 4 3 2 2 2 2 2 2" xfId="57185" xr:uid="{0224F07B-4A13-4481-80F2-02EEF7367A0F}"/>
    <cellStyle name="Comma 8 4 3 2 2 2 2 3" xfId="42065" xr:uid="{662D3C92-45FE-481D-9AA8-890C2E31A8F2}"/>
    <cellStyle name="Comma 8 4 3 2 2 2 3" xfId="17873" xr:uid="{DE241476-D9CE-4676-8237-31CB332319A9}"/>
    <cellStyle name="Comma 8 4 3 2 2 2 3 2" xfId="48113" xr:uid="{A185359C-95F1-479E-9EC4-4545B2F00E25}"/>
    <cellStyle name="Comma 8 4 3 2 2 2 4" xfId="32993" xr:uid="{1F11E5D9-3CCF-4DB8-9704-394A9540DB6E}"/>
    <cellStyle name="Comma 8 4 3 2 2 3" xfId="4265" xr:uid="{5765C9CB-1A0C-4313-8DA3-216D9CB95EBA}"/>
    <cellStyle name="Comma 8 4 3 2 2 3 2" xfId="13337" xr:uid="{BC09CC11-A8F9-44CD-9785-E0FD77C194DE}"/>
    <cellStyle name="Comma 8 4 3 2 2 3 2 2" xfId="28457" xr:uid="{5DB21276-9B23-4841-97D1-2243FFB75583}"/>
    <cellStyle name="Comma 8 4 3 2 2 3 2 2 2" xfId="58697" xr:uid="{61B30CD0-A195-49DD-ACEB-BB183769C5B0}"/>
    <cellStyle name="Comma 8 4 3 2 2 3 2 3" xfId="43577" xr:uid="{DA3B79DC-41C3-4EEE-A6C3-7A704E0F32DB}"/>
    <cellStyle name="Comma 8 4 3 2 2 3 3" xfId="19385" xr:uid="{A8280047-565A-49ED-9905-D2C40A03AE77}"/>
    <cellStyle name="Comma 8 4 3 2 2 3 3 2" xfId="49625" xr:uid="{310962F7-1331-4BBB-B23A-95EC9B2F176E}"/>
    <cellStyle name="Comma 8 4 3 2 2 3 4" xfId="34505" xr:uid="{7D8FEBEE-A857-4225-9819-7F7CE7E8BAE7}"/>
    <cellStyle name="Comma 8 4 3 2 2 4" xfId="5777" xr:uid="{14D56743-B343-48CA-8136-D0EB3112E01B}"/>
    <cellStyle name="Comma 8 4 3 2 2 4 2" xfId="14849" xr:uid="{A39BF031-B62C-4334-B433-4C2F0E386CFB}"/>
    <cellStyle name="Comma 8 4 3 2 2 4 2 2" xfId="29969" xr:uid="{C5D73ADE-43F7-478E-9F7A-43C07380AB07}"/>
    <cellStyle name="Comma 8 4 3 2 2 4 2 2 2" xfId="60209" xr:uid="{9CC9A299-11B4-49D4-B243-8B9720D2A201}"/>
    <cellStyle name="Comma 8 4 3 2 2 4 2 3" xfId="45089" xr:uid="{E24D32D6-2C1D-4514-9BEB-E6E724C8DC18}"/>
    <cellStyle name="Comma 8 4 3 2 2 4 3" xfId="20897" xr:uid="{582E2920-C92D-414C-B4BA-65B38314A07A}"/>
    <cellStyle name="Comma 8 4 3 2 2 4 3 2" xfId="51137" xr:uid="{88E6CBC6-4D92-4ABB-9279-2A0403C4CE53}"/>
    <cellStyle name="Comma 8 4 3 2 2 4 4" xfId="36017" xr:uid="{D29700FD-C3E8-4279-9577-9515F7B805F3}"/>
    <cellStyle name="Comma 8 4 3 2 2 5" xfId="7289" xr:uid="{FB57078E-498A-433C-BAC0-7CBFF5A7E3F9}"/>
    <cellStyle name="Comma 8 4 3 2 2 5 2" xfId="22409" xr:uid="{63333319-EBC8-43BC-9186-75131540FC91}"/>
    <cellStyle name="Comma 8 4 3 2 2 5 2 2" xfId="52649" xr:uid="{747B08C4-744E-42E9-AA13-FF6F60D31A41}"/>
    <cellStyle name="Comma 8 4 3 2 2 5 3" xfId="37529" xr:uid="{21AE9185-CC1F-4AE3-A350-12E21F3066C1}"/>
    <cellStyle name="Comma 8 4 3 2 2 6" xfId="8801" xr:uid="{0767DE8D-28CD-4696-93F8-6A996B62F0EA}"/>
    <cellStyle name="Comma 8 4 3 2 2 6 2" xfId="23921" xr:uid="{E0509D4F-C682-4B1E-95D3-F1CF075A9BAC}"/>
    <cellStyle name="Comma 8 4 3 2 2 6 2 2" xfId="54161" xr:uid="{0445511E-85AD-4931-9273-BEB95CAC3DB8}"/>
    <cellStyle name="Comma 8 4 3 2 2 6 3" xfId="39041" xr:uid="{4D6A650F-3FFD-4F18-A893-B49231DA03A6}"/>
    <cellStyle name="Comma 8 4 3 2 2 7" xfId="10313" xr:uid="{546A6763-6643-46B8-93EA-20965F5FF210}"/>
    <cellStyle name="Comma 8 4 3 2 2 7 2" xfId="25433" xr:uid="{2D8D6A2F-8DE7-458A-99A2-245CAE56E534}"/>
    <cellStyle name="Comma 8 4 3 2 2 7 2 2" xfId="55673" xr:uid="{60FA5922-E47F-4135-ABEB-E2CC43D81A5E}"/>
    <cellStyle name="Comma 8 4 3 2 2 7 3" xfId="40553" xr:uid="{3C9D947F-BCBA-4512-B659-61FADEABD8D1}"/>
    <cellStyle name="Comma 8 4 3 2 2 8" xfId="16361" xr:uid="{212DEC43-1B3D-4200-BDA9-650B29687822}"/>
    <cellStyle name="Comma 8 4 3 2 2 8 2" xfId="46601" xr:uid="{BBB19D47-26FD-4BCD-8C4F-CDF70370FA97}"/>
    <cellStyle name="Comma 8 4 3 2 2 9" xfId="31481" xr:uid="{A5E1BEFC-D2C9-4C1C-8C24-0FD2E9A5F338}"/>
    <cellStyle name="Comma 8 4 3 2 3" xfId="1997" xr:uid="{FA00585C-B688-4EB2-B9F6-04EB3B179E3A}"/>
    <cellStyle name="Comma 8 4 3 2 3 2" xfId="11069" xr:uid="{950E1C2B-7A49-4465-B3B0-BEA4809E2C1E}"/>
    <cellStyle name="Comma 8 4 3 2 3 2 2" xfId="26189" xr:uid="{2216FECF-99CC-4B65-B232-B2320C153F5F}"/>
    <cellStyle name="Comma 8 4 3 2 3 2 2 2" xfId="56429" xr:uid="{10977EA6-C620-4FEE-A26C-EF2FDACDDC22}"/>
    <cellStyle name="Comma 8 4 3 2 3 2 3" xfId="41309" xr:uid="{A425C734-91FF-43FF-B913-ABF48DD32B4D}"/>
    <cellStyle name="Comma 8 4 3 2 3 3" xfId="17117" xr:uid="{F0657369-D368-4FF2-B997-E3EE35D2FCB4}"/>
    <cellStyle name="Comma 8 4 3 2 3 3 2" xfId="47357" xr:uid="{85B65C86-DAE3-492B-87E7-1C3BA4442202}"/>
    <cellStyle name="Comma 8 4 3 2 3 4" xfId="32237" xr:uid="{AA0D8FBF-1CD8-4AB0-973C-658375586B66}"/>
    <cellStyle name="Comma 8 4 3 2 4" xfId="3509" xr:uid="{EB4CCF0B-95C5-4BCB-945E-3CF536F55EF3}"/>
    <cellStyle name="Comma 8 4 3 2 4 2" xfId="12581" xr:uid="{8B278FA4-EF0D-4F47-AA6B-453CE0885D4F}"/>
    <cellStyle name="Comma 8 4 3 2 4 2 2" xfId="27701" xr:uid="{FE2DD5B5-353B-465E-9324-6FCD48EA3525}"/>
    <cellStyle name="Comma 8 4 3 2 4 2 2 2" xfId="57941" xr:uid="{224399D4-B52D-4163-BC31-31106CB1A6C0}"/>
    <cellStyle name="Comma 8 4 3 2 4 2 3" xfId="42821" xr:uid="{C119600F-1B7E-46C7-884A-EC468BC2BD18}"/>
    <cellStyle name="Comma 8 4 3 2 4 3" xfId="18629" xr:uid="{314C67B1-5F86-4508-BF31-D6515CCEE38E}"/>
    <cellStyle name="Comma 8 4 3 2 4 3 2" xfId="48869" xr:uid="{B216F150-315B-4DAE-8923-E0ADE2CFD7DD}"/>
    <cellStyle name="Comma 8 4 3 2 4 4" xfId="33749" xr:uid="{E540C537-203D-439B-B141-F25E885541D0}"/>
    <cellStyle name="Comma 8 4 3 2 5" xfId="5021" xr:uid="{6DDADD3A-1814-4003-9111-7FF409F8E868}"/>
    <cellStyle name="Comma 8 4 3 2 5 2" xfId="14093" xr:uid="{A9E2EED2-6066-4B0C-B901-99EB9A22A04C}"/>
    <cellStyle name="Comma 8 4 3 2 5 2 2" xfId="29213" xr:uid="{9745F2AF-3C30-479C-A1F2-C62AD1515CFA}"/>
    <cellStyle name="Comma 8 4 3 2 5 2 2 2" xfId="59453" xr:uid="{399CA558-16B4-4E90-8D34-ADBA0214F8AE}"/>
    <cellStyle name="Comma 8 4 3 2 5 2 3" xfId="44333" xr:uid="{381ECCA9-7E59-42E2-AB9F-FC9F61ADD1C5}"/>
    <cellStyle name="Comma 8 4 3 2 5 3" xfId="20141" xr:uid="{F63CB4A7-AB2B-46AB-96BF-7F567B694D1C}"/>
    <cellStyle name="Comma 8 4 3 2 5 3 2" xfId="50381" xr:uid="{0E65307B-C875-4D89-AC90-D6D989A42D3B}"/>
    <cellStyle name="Comma 8 4 3 2 5 4" xfId="35261" xr:uid="{927C5500-53C4-40B9-A90D-FE80CAB380AD}"/>
    <cellStyle name="Comma 8 4 3 2 6" xfId="6533" xr:uid="{CD334BFD-7926-4165-BBC6-A4A5B2AC9D9A}"/>
    <cellStyle name="Comma 8 4 3 2 6 2" xfId="21653" xr:uid="{6EAF8272-5F8F-46F9-9DA6-E6E0D7895247}"/>
    <cellStyle name="Comma 8 4 3 2 6 2 2" xfId="51893" xr:uid="{F2EB11F3-1414-4A3B-868B-CF33BF8185D3}"/>
    <cellStyle name="Comma 8 4 3 2 6 3" xfId="36773" xr:uid="{13D522F3-2E5B-4089-A35A-A1B04E160DF4}"/>
    <cellStyle name="Comma 8 4 3 2 7" xfId="8045" xr:uid="{78E04FB8-20E5-448A-B634-2617BA38C584}"/>
    <cellStyle name="Comma 8 4 3 2 7 2" xfId="23165" xr:uid="{EC0DC5E3-C5EB-491D-8679-4B35BF9B94A1}"/>
    <cellStyle name="Comma 8 4 3 2 7 2 2" xfId="53405" xr:uid="{D65CAC4B-3152-4101-9022-903E09D2C20A}"/>
    <cellStyle name="Comma 8 4 3 2 7 3" xfId="38285" xr:uid="{507D0195-9148-436C-9D16-21ACCD2A4CF5}"/>
    <cellStyle name="Comma 8 4 3 2 8" xfId="9557" xr:uid="{68745F18-D8F5-4B54-A4F1-40AE66AAFA7B}"/>
    <cellStyle name="Comma 8 4 3 2 8 2" xfId="24677" xr:uid="{ABEC301E-D5AA-4357-9CBE-C2D1A0C16DD9}"/>
    <cellStyle name="Comma 8 4 3 2 8 2 2" xfId="54917" xr:uid="{F7FE0803-1B51-41FD-BA58-4DCB4449C0AC}"/>
    <cellStyle name="Comma 8 4 3 2 8 3" xfId="39797" xr:uid="{110BDD51-C3C1-4F2B-99C5-CD2106E3D6DF}"/>
    <cellStyle name="Comma 8 4 3 2 9" xfId="15605" xr:uid="{D1CCA0A6-2281-4017-B89E-36216D84540C}"/>
    <cellStyle name="Comma 8 4 3 2 9 2" xfId="45845" xr:uid="{92BA9086-AE90-45B7-AD95-99EA6652B6EB}"/>
    <cellStyle name="Comma 8 4 3 3" xfId="737" xr:uid="{CDC4EDF7-27FE-4728-B01F-1AA2CEC1BF90}"/>
    <cellStyle name="Comma 8 4 3 3 10" xfId="30977" xr:uid="{D859EA7E-D1ED-4DFE-8ED1-B5A91AC4367B}"/>
    <cellStyle name="Comma 8 4 3 3 2" xfId="1493" xr:uid="{B48E6F3D-9919-4454-BFB4-B4FFF519F1C1}"/>
    <cellStyle name="Comma 8 4 3 3 2 2" xfId="3005" xr:uid="{8B6D7FCB-182B-4FB7-A5AD-FCDF2051BE66}"/>
    <cellStyle name="Comma 8 4 3 3 2 2 2" xfId="12077" xr:uid="{1DA419AE-79F6-4BD9-A3E7-9AF48F67D01E}"/>
    <cellStyle name="Comma 8 4 3 3 2 2 2 2" xfId="27197" xr:uid="{66AE767F-B8F5-4A31-9724-2B943AF96DF1}"/>
    <cellStyle name="Comma 8 4 3 3 2 2 2 2 2" xfId="57437" xr:uid="{D3D75479-4AED-4BDE-B0D3-9D7BACF68181}"/>
    <cellStyle name="Comma 8 4 3 3 2 2 2 3" xfId="42317" xr:uid="{F40BDCC9-3437-4AAC-BF94-383B78A6F8D7}"/>
    <cellStyle name="Comma 8 4 3 3 2 2 3" xfId="18125" xr:uid="{23B41010-F977-4D82-95F0-3A8A0174757D}"/>
    <cellStyle name="Comma 8 4 3 3 2 2 3 2" xfId="48365" xr:uid="{389505CA-22D9-48EB-9FA6-CB9C33878F60}"/>
    <cellStyle name="Comma 8 4 3 3 2 2 4" xfId="33245" xr:uid="{E84669C2-B144-4C4F-AE59-C32928CA55CD}"/>
    <cellStyle name="Comma 8 4 3 3 2 3" xfId="4517" xr:uid="{48332008-E618-47BC-9A61-89B674D9FC86}"/>
    <cellStyle name="Comma 8 4 3 3 2 3 2" xfId="13589" xr:uid="{E019575E-FF7D-45B4-8C16-59DE529F37AF}"/>
    <cellStyle name="Comma 8 4 3 3 2 3 2 2" xfId="28709" xr:uid="{840D59D1-5D1D-48DE-8335-E37FA7FF40A5}"/>
    <cellStyle name="Comma 8 4 3 3 2 3 2 2 2" xfId="58949" xr:uid="{9407C46D-A1C3-4C55-8602-6097AAF0D6F0}"/>
    <cellStyle name="Comma 8 4 3 3 2 3 2 3" xfId="43829" xr:uid="{12944B31-807B-4915-958E-B26D779B2D7E}"/>
    <cellStyle name="Comma 8 4 3 3 2 3 3" xfId="19637" xr:uid="{A121E6FB-5A09-4501-BD83-5AC64BCDFAB7}"/>
    <cellStyle name="Comma 8 4 3 3 2 3 3 2" xfId="49877" xr:uid="{2E2ED780-499E-4814-A6BF-9FDA4F6CE510}"/>
    <cellStyle name="Comma 8 4 3 3 2 3 4" xfId="34757" xr:uid="{023DA9DD-1888-45BC-8EF3-113CF6BDF5CC}"/>
    <cellStyle name="Comma 8 4 3 3 2 4" xfId="6029" xr:uid="{31E1245B-7FDE-42A1-B0C9-9EA54C219BAE}"/>
    <cellStyle name="Comma 8 4 3 3 2 4 2" xfId="15101" xr:uid="{F63A3644-78E3-4F10-B50F-2CDF067E73CA}"/>
    <cellStyle name="Comma 8 4 3 3 2 4 2 2" xfId="30221" xr:uid="{52ABB7E6-B208-46A2-915E-8433AA2733B8}"/>
    <cellStyle name="Comma 8 4 3 3 2 4 2 2 2" xfId="60461" xr:uid="{51E41BE3-486B-4355-97D3-AD9C3FF48917}"/>
    <cellStyle name="Comma 8 4 3 3 2 4 2 3" xfId="45341" xr:uid="{A0136BFC-DF0A-44BB-AC83-9E013F9802BF}"/>
    <cellStyle name="Comma 8 4 3 3 2 4 3" xfId="21149" xr:uid="{4496B4D1-49EC-4D2D-BF72-0BB458A2BDBB}"/>
    <cellStyle name="Comma 8 4 3 3 2 4 3 2" xfId="51389" xr:uid="{64600943-A158-4E29-ACFB-1D65C5832E7D}"/>
    <cellStyle name="Comma 8 4 3 3 2 4 4" xfId="36269" xr:uid="{CB368674-C005-4503-AA1E-2A2CBBFFE84B}"/>
    <cellStyle name="Comma 8 4 3 3 2 5" xfId="7541" xr:uid="{E42C1AF4-5E07-4863-85B9-0F882584EF84}"/>
    <cellStyle name="Comma 8 4 3 3 2 5 2" xfId="22661" xr:uid="{F2595D71-8B0D-4AED-887C-51F018F1FFB7}"/>
    <cellStyle name="Comma 8 4 3 3 2 5 2 2" xfId="52901" xr:uid="{F097285C-3BCD-4A25-B945-AE7DC7AE4F27}"/>
    <cellStyle name="Comma 8 4 3 3 2 5 3" xfId="37781" xr:uid="{098F662F-5D5B-416B-BDBB-70FD2E3B6559}"/>
    <cellStyle name="Comma 8 4 3 3 2 6" xfId="9053" xr:uid="{9746C7B3-9216-47CE-93C7-75C7DF379E0D}"/>
    <cellStyle name="Comma 8 4 3 3 2 6 2" xfId="24173" xr:uid="{3E7B71A3-A106-48BF-B002-A0D031671A8B}"/>
    <cellStyle name="Comma 8 4 3 3 2 6 2 2" xfId="54413" xr:uid="{6DD8618C-D4AA-4AAF-BA65-3817F1EF9A33}"/>
    <cellStyle name="Comma 8 4 3 3 2 6 3" xfId="39293" xr:uid="{1B411EE3-F7B8-4097-A910-6FA747B07228}"/>
    <cellStyle name="Comma 8 4 3 3 2 7" xfId="10565" xr:uid="{48CD8EE0-E291-49D7-BDB4-2203C21EB693}"/>
    <cellStyle name="Comma 8 4 3 3 2 7 2" xfId="25685" xr:uid="{174032E2-784A-44C5-A58D-D1C6BB3FBBCA}"/>
    <cellStyle name="Comma 8 4 3 3 2 7 2 2" xfId="55925" xr:uid="{802429CD-D1AC-4D5C-9341-0CBE8EE64D99}"/>
    <cellStyle name="Comma 8 4 3 3 2 7 3" xfId="40805" xr:uid="{7643A6E8-9504-4BF1-AAAE-55432D8E81B4}"/>
    <cellStyle name="Comma 8 4 3 3 2 8" xfId="16613" xr:uid="{EB5DE086-E4BE-424C-AD5E-8D1B0FCFF640}"/>
    <cellStyle name="Comma 8 4 3 3 2 8 2" xfId="46853" xr:uid="{6E47C5EB-5878-47C6-B854-4297E0B63EF9}"/>
    <cellStyle name="Comma 8 4 3 3 2 9" xfId="31733" xr:uid="{4810BAF3-92B8-4439-B305-123B9155A967}"/>
    <cellStyle name="Comma 8 4 3 3 3" xfId="2249" xr:uid="{75559554-46B6-4345-9CD4-242DF63D3EF6}"/>
    <cellStyle name="Comma 8 4 3 3 3 2" xfId="11321" xr:uid="{0E6023A4-39E5-48E5-A689-E9443E18AEE9}"/>
    <cellStyle name="Comma 8 4 3 3 3 2 2" xfId="26441" xr:uid="{086742D9-1B73-4981-8FEC-D104EA3E3E5D}"/>
    <cellStyle name="Comma 8 4 3 3 3 2 2 2" xfId="56681" xr:uid="{8ABCF379-A3B0-40A7-B996-8265E5751F4C}"/>
    <cellStyle name="Comma 8 4 3 3 3 2 3" xfId="41561" xr:uid="{6B05A2E8-65A5-474E-BD6F-D56C35E335CC}"/>
    <cellStyle name="Comma 8 4 3 3 3 3" xfId="17369" xr:uid="{C8E85806-E135-4C93-A0D3-89C7FB03783C}"/>
    <cellStyle name="Comma 8 4 3 3 3 3 2" xfId="47609" xr:uid="{67FF852F-E34A-4327-90E9-BCC129A58D4D}"/>
    <cellStyle name="Comma 8 4 3 3 3 4" xfId="32489" xr:uid="{2225C025-7067-485F-B43B-1E5E55388FD2}"/>
    <cellStyle name="Comma 8 4 3 3 4" xfId="3761" xr:uid="{AB798C40-CAF5-44D7-893D-CED097343E7D}"/>
    <cellStyle name="Comma 8 4 3 3 4 2" xfId="12833" xr:uid="{644F7E88-7289-49E2-A1F2-6328E6A3EDA6}"/>
    <cellStyle name="Comma 8 4 3 3 4 2 2" xfId="27953" xr:uid="{941CFF20-75C0-468F-B766-9C0875A884D1}"/>
    <cellStyle name="Comma 8 4 3 3 4 2 2 2" xfId="58193" xr:uid="{132FA6F9-22DC-433C-9D71-24EF8D0F55A3}"/>
    <cellStyle name="Comma 8 4 3 3 4 2 3" xfId="43073" xr:uid="{CF44CC49-D1AA-4A42-AA72-B192EA21997E}"/>
    <cellStyle name="Comma 8 4 3 3 4 3" xfId="18881" xr:uid="{29DAE494-54BB-4843-9AF1-20396760DD75}"/>
    <cellStyle name="Comma 8 4 3 3 4 3 2" xfId="49121" xr:uid="{20656228-22B6-4091-8CEC-7D3079AA33B4}"/>
    <cellStyle name="Comma 8 4 3 3 4 4" xfId="34001" xr:uid="{69364E8B-4638-4F4D-9898-6F42D3C3F0E7}"/>
    <cellStyle name="Comma 8 4 3 3 5" xfId="5273" xr:uid="{CB4092C5-A576-4C86-9755-CD6F8F42CB77}"/>
    <cellStyle name="Comma 8 4 3 3 5 2" xfId="14345" xr:uid="{7331FB37-959B-41B6-ABCD-66D7B64B0FFB}"/>
    <cellStyle name="Comma 8 4 3 3 5 2 2" xfId="29465" xr:uid="{BE4C65F5-0F30-4F43-AD1C-BADB692903E6}"/>
    <cellStyle name="Comma 8 4 3 3 5 2 2 2" xfId="59705" xr:uid="{86A876BA-35C7-48AC-8145-CDB9E6F98A1D}"/>
    <cellStyle name="Comma 8 4 3 3 5 2 3" xfId="44585" xr:uid="{C6ED0186-CF23-4C85-89A9-03D46FEA616D}"/>
    <cellStyle name="Comma 8 4 3 3 5 3" xfId="20393" xr:uid="{2F0B31D3-A553-41C6-8230-FB66218DC2AE}"/>
    <cellStyle name="Comma 8 4 3 3 5 3 2" xfId="50633" xr:uid="{2B285421-C9C4-46DF-B9DF-D97038CBD7E2}"/>
    <cellStyle name="Comma 8 4 3 3 5 4" xfId="35513" xr:uid="{CE611389-23B7-4BE9-A87D-5047F29560DE}"/>
    <cellStyle name="Comma 8 4 3 3 6" xfId="6785" xr:uid="{1EC7820B-1CA2-4C3E-9A38-1499003CF7F3}"/>
    <cellStyle name="Comma 8 4 3 3 6 2" xfId="21905" xr:uid="{C000F95B-5C65-4A6B-9CFC-42F85D068403}"/>
    <cellStyle name="Comma 8 4 3 3 6 2 2" xfId="52145" xr:uid="{725DB70A-D8A9-4EB3-9A71-3B71509B3154}"/>
    <cellStyle name="Comma 8 4 3 3 6 3" xfId="37025" xr:uid="{688FD450-5380-4254-BCF3-BB52A7619CCB}"/>
    <cellStyle name="Comma 8 4 3 3 7" xfId="8297" xr:uid="{AB0C2E87-3BD7-4DAB-AC51-182368BE957B}"/>
    <cellStyle name="Comma 8 4 3 3 7 2" xfId="23417" xr:uid="{B5C2946A-BBF6-4352-993C-8CE5FC6571E3}"/>
    <cellStyle name="Comma 8 4 3 3 7 2 2" xfId="53657" xr:uid="{F5725BB3-7955-4E34-8832-EA266EC3633E}"/>
    <cellStyle name="Comma 8 4 3 3 7 3" xfId="38537" xr:uid="{4E5F36E6-5F0D-47B0-9111-FBF2DB07F981}"/>
    <cellStyle name="Comma 8 4 3 3 8" xfId="9809" xr:uid="{419C469D-8CDA-466E-94AF-DABA0CE2CDA9}"/>
    <cellStyle name="Comma 8 4 3 3 8 2" xfId="24929" xr:uid="{EBD02CB5-7432-481C-BE42-06E70F496AAA}"/>
    <cellStyle name="Comma 8 4 3 3 8 2 2" xfId="55169" xr:uid="{1C41EBE5-B2C7-40C0-99CE-F5672BAB36A3}"/>
    <cellStyle name="Comma 8 4 3 3 8 3" xfId="40049" xr:uid="{7B09642F-9E15-4022-A974-16BFE9FCBF36}"/>
    <cellStyle name="Comma 8 4 3 3 9" xfId="15857" xr:uid="{2DC8BA43-DCFD-4BC5-B35D-E7004D1D74E5}"/>
    <cellStyle name="Comma 8 4 3 3 9 2" xfId="46097" xr:uid="{535DE5D6-CFE9-4551-9FAB-A3D8BED2F809}"/>
    <cellStyle name="Comma 8 4 3 4" xfId="989" xr:uid="{B1087AC1-5D7F-41A1-B3F9-DB117EFE644F}"/>
    <cellStyle name="Comma 8 4 3 4 2" xfId="2501" xr:uid="{700677FA-70E9-4731-832A-F382A3C9ABC8}"/>
    <cellStyle name="Comma 8 4 3 4 2 2" xfId="11573" xr:uid="{DB1591F1-8B50-4A98-8E0B-5986C5A6682D}"/>
    <cellStyle name="Comma 8 4 3 4 2 2 2" xfId="26693" xr:uid="{81F4D469-8EC6-4CA0-958E-1D82F0087A82}"/>
    <cellStyle name="Comma 8 4 3 4 2 2 2 2" xfId="56933" xr:uid="{843C2FA2-2ED7-4EB9-AA12-E348650DA4F9}"/>
    <cellStyle name="Comma 8 4 3 4 2 2 3" xfId="41813" xr:uid="{4032BC45-32C5-41E6-A08E-C83C65D8E506}"/>
    <cellStyle name="Comma 8 4 3 4 2 3" xfId="17621" xr:uid="{AF9E2917-BF12-4124-842E-58034357F163}"/>
    <cellStyle name="Comma 8 4 3 4 2 3 2" xfId="47861" xr:uid="{DAE2A7BF-CAFF-4506-BDC0-D288C03454D2}"/>
    <cellStyle name="Comma 8 4 3 4 2 4" xfId="32741" xr:uid="{D3A65D38-4D97-497F-A27D-94BB2074BC2B}"/>
    <cellStyle name="Comma 8 4 3 4 3" xfId="4013" xr:uid="{F7D858C0-2619-49AA-9E9D-E38D56D3E1CA}"/>
    <cellStyle name="Comma 8 4 3 4 3 2" xfId="13085" xr:uid="{184959BE-2C2D-440F-A1DC-F1287894646E}"/>
    <cellStyle name="Comma 8 4 3 4 3 2 2" xfId="28205" xr:uid="{6C90A7E5-B56F-48CE-A429-7AB56F18FD60}"/>
    <cellStyle name="Comma 8 4 3 4 3 2 2 2" xfId="58445" xr:uid="{41B715CE-196D-408F-B808-84A175C3F732}"/>
    <cellStyle name="Comma 8 4 3 4 3 2 3" xfId="43325" xr:uid="{ABEEF4F3-5F43-4DC3-9156-954570EC1377}"/>
    <cellStyle name="Comma 8 4 3 4 3 3" xfId="19133" xr:uid="{9809BDA4-35CF-4F2C-989B-2FFD8CF8F642}"/>
    <cellStyle name="Comma 8 4 3 4 3 3 2" xfId="49373" xr:uid="{8A70F2C0-61C0-407F-A706-871B88116036}"/>
    <cellStyle name="Comma 8 4 3 4 3 4" xfId="34253" xr:uid="{848DE553-3C32-4F0C-92AA-34E738C5914F}"/>
    <cellStyle name="Comma 8 4 3 4 4" xfId="5525" xr:uid="{A1BC112D-0DB9-4A1B-BF0C-B48AFA0E1E63}"/>
    <cellStyle name="Comma 8 4 3 4 4 2" xfId="14597" xr:uid="{479B9454-25AD-48E4-BA7F-5C46DF45A336}"/>
    <cellStyle name="Comma 8 4 3 4 4 2 2" xfId="29717" xr:uid="{E25547EA-5EE2-4BAB-97F7-0DACB02DA20F}"/>
    <cellStyle name="Comma 8 4 3 4 4 2 2 2" xfId="59957" xr:uid="{6E58FC4C-D593-45CE-B8A0-A0DE1F223168}"/>
    <cellStyle name="Comma 8 4 3 4 4 2 3" xfId="44837" xr:uid="{2C3EAF63-42D9-45A8-B525-7B3522DF4868}"/>
    <cellStyle name="Comma 8 4 3 4 4 3" xfId="20645" xr:uid="{C3400EF0-5AA1-4A75-A7A9-FDABA83A6195}"/>
    <cellStyle name="Comma 8 4 3 4 4 3 2" xfId="50885" xr:uid="{A4B9685F-5892-4D7B-8A93-41D41EA32419}"/>
    <cellStyle name="Comma 8 4 3 4 4 4" xfId="35765" xr:uid="{AD395A47-FD95-4B11-B3A7-A0EBE1B12C96}"/>
    <cellStyle name="Comma 8 4 3 4 5" xfId="7037" xr:uid="{ACF05487-400E-49C1-984C-810B4F11CC1F}"/>
    <cellStyle name="Comma 8 4 3 4 5 2" xfId="22157" xr:uid="{2613CC71-8AF5-428C-873D-0ECABA7475E6}"/>
    <cellStyle name="Comma 8 4 3 4 5 2 2" xfId="52397" xr:uid="{D10BE5AD-F529-4433-AA58-8BF665FCF635}"/>
    <cellStyle name="Comma 8 4 3 4 5 3" xfId="37277" xr:uid="{76E32BBA-DDBF-4931-A7B2-59218B6AAB2E}"/>
    <cellStyle name="Comma 8 4 3 4 6" xfId="8549" xr:uid="{61A2E403-00CC-41E6-B45D-02EE888B941E}"/>
    <cellStyle name="Comma 8 4 3 4 6 2" xfId="23669" xr:uid="{D8C29CE6-CA5F-4732-9380-82944E2B11E0}"/>
    <cellStyle name="Comma 8 4 3 4 6 2 2" xfId="53909" xr:uid="{BEAC711A-5C7A-4B77-AD92-361E8FAC0E46}"/>
    <cellStyle name="Comma 8 4 3 4 6 3" xfId="38789" xr:uid="{8C88F3C8-F69F-44A0-B0D8-729D12D5FA5A}"/>
    <cellStyle name="Comma 8 4 3 4 7" xfId="10061" xr:uid="{966552EF-C33D-4889-85AF-27D179CCC685}"/>
    <cellStyle name="Comma 8 4 3 4 7 2" xfId="25181" xr:uid="{498E6030-BE5F-4F52-9225-7BE555FE8F9C}"/>
    <cellStyle name="Comma 8 4 3 4 7 2 2" xfId="55421" xr:uid="{00CCD3E8-00C6-4505-BCDE-4F3FC9993114}"/>
    <cellStyle name="Comma 8 4 3 4 7 3" xfId="40301" xr:uid="{98EDFF4C-4E9D-46AC-8100-67C17EC848C2}"/>
    <cellStyle name="Comma 8 4 3 4 8" xfId="16109" xr:uid="{9FD68952-3F51-458F-9AC2-1C0D1C439575}"/>
    <cellStyle name="Comma 8 4 3 4 8 2" xfId="46349" xr:uid="{9DB88531-B6FF-4CB9-97A6-8A2494077B07}"/>
    <cellStyle name="Comma 8 4 3 4 9" xfId="31229" xr:uid="{95ED29F7-8C39-454D-8D9E-E942F671ED76}"/>
    <cellStyle name="Comma 8 4 3 5" xfId="1745" xr:uid="{C6B0CFF8-4800-4222-B950-0A3FBEBCCF5E}"/>
    <cellStyle name="Comma 8 4 3 5 2" xfId="10817" xr:uid="{5FD2987D-254A-49CF-83F6-EDC5CBC9AB7B}"/>
    <cellStyle name="Comma 8 4 3 5 2 2" xfId="25937" xr:uid="{53E542B8-3184-4858-AC1D-CECF15B35642}"/>
    <cellStyle name="Comma 8 4 3 5 2 2 2" xfId="56177" xr:uid="{DEF952DC-34A8-4BB0-AEFC-CAFDDE866AED}"/>
    <cellStyle name="Comma 8 4 3 5 2 3" xfId="41057" xr:uid="{9D32D40B-6722-49ED-99B3-B8D4CC2D3FA8}"/>
    <cellStyle name="Comma 8 4 3 5 3" xfId="16865" xr:uid="{8B4DB080-0A7A-4979-AEC0-5F8314714C2F}"/>
    <cellStyle name="Comma 8 4 3 5 3 2" xfId="47105" xr:uid="{7EF0CF5C-A410-41E4-AC8F-6FF2E18E6085}"/>
    <cellStyle name="Comma 8 4 3 5 4" xfId="31985" xr:uid="{C27D4A2B-B348-43AB-BD2C-581C9CDDE421}"/>
    <cellStyle name="Comma 8 4 3 6" xfId="3257" xr:uid="{98E91087-9DF2-4400-A882-E1EB140AD73B}"/>
    <cellStyle name="Comma 8 4 3 6 2" xfId="12329" xr:uid="{A8AA2CE5-4040-47E7-A9AC-156B5ADB1B57}"/>
    <cellStyle name="Comma 8 4 3 6 2 2" xfId="27449" xr:uid="{AB7081E5-3310-4773-9264-E915ED330FEE}"/>
    <cellStyle name="Comma 8 4 3 6 2 2 2" xfId="57689" xr:uid="{0C13903A-8430-4088-921F-C3703CF5441B}"/>
    <cellStyle name="Comma 8 4 3 6 2 3" xfId="42569" xr:uid="{CE84D786-C58B-4CD4-A18C-9C5DC7A66A7B}"/>
    <cellStyle name="Comma 8 4 3 6 3" xfId="18377" xr:uid="{71B580D7-6AC7-4642-B73A-BC68723E810C}"/>
    <cellStyle name="Comma 8 4 3 6 3 2" xfId="48617" xr:uid="{C4E822E1-2581-48CA-B4F3-A7ACF2BE3372}"/>
    <cellStyle name="Comma 8 4 3 6 4" xfId="33497" xr:uid="{9E702802-C90F-4299-A538-6ADCAEE1465C}"/>
    <cellStyle name="Comma 8 4 3 7" xfId="4769" xr:uid="{79D432D4-3AEC-47C3-9208-F646BBF6ED60}"/>
    <cellStyle name="Comma 8 4 3 7 2" xfId="13841" xr:uid="{3AE4E58D-FA6F-45BE-859A-9270B72D95DD}"/>
    <cellStyle name="Comma 8 4 3 7 2 2" xfId="28961" xr:uid="{99AC72C2-C6DA-4B13-AA71-4C898CEA0B25}"/>
    <cellStyle name="Comma 8 4 3 7 2 2 2" xfId="59201" xr:uid="{6FD86928-E48C-4042-926B-407D95D3C6E5}"/>
    <cellStyle name="Comma 8 4 3 7 2 3" xfId="44081" xr:uid="{414A9EA8-80D5-497E-8991-4D53EBF87B32}"/>
    <cellStyle name="Comma 8 4 3 7 3" xfId="19889" xr:uid="{0397A90B-9BB1-434D-811C-1912DF0B43AB}"/>
    <cellStyle name="Comma 8 4 3 7 3 2" xfId="50129" xr:uid="{EE1E506B-80FE-48DC-B494-19A7DC3C6F7F}"/>
    <cellStyle name="Comma 8 4 3 7 4" xfId="35009" xr:uid="{BCE5F94A-75F0-4985-B463-F4EBD0D1B334}"/>
    <cellStyle name="Comma 8 4 3 8" xfId="6281" xr:uid="{CEE5D4F7-53CA-4D72-869E-955AF6B50F0D}"/>
    <cellStyle name="Comma 8 4 3 8 2" xfId="21401" xr:uid="{73D73621-4213-4F48-AAA7-11533FE90930}"/>
    <cellStyle name="Comma 8 4 3 8 2 2" xfId="51641" xr:uid="{A083A2FB-76FD-4A40-ABF5-A91151E0DD55}"/>
    <cellStyle name="Comma 8 4 3 8 3" xfId="36521" xr:uid="{925631F2-CE58-4E9B-B4BC-D6D2622CFFC4}"/>
    <cellStyle name="Comma 8 4 3 9" xfId="7793" xr:uid="{E3072818-6FE6-43EE-978E-2399F936F3D9}"/>
    <cellStyle name="Comma 8 4 3 9 2" xfId="22913" xr:uid="{F3944388-1EC6-476C-B3B4-BB8BF0F96090}"/>
    <cellStyle name="Comma 8 4 3 9 2 2" xfId="53153" xr:uid="{D4EC9382-7FB8-4BE7-BBCA-581911F80133}"/>
    <cellStyle name="Comma 8 4 3 9 3" xfId="38033" xr:uid="{4604798E-9C7B-494A-993E-CC4721EFF522}"/>
    <cellStyle name="Comma 8 4 4" xfId="317" xr:uid="{6EA9335C-EC3F-46A1-AFAA-24889F633C4B}"/>
    <cellStyle name="Comma 8 4 4 10" xfId="30557" xr:uid="{34E94E87-C555-4A1A-80DA-735251F6E557}"/>
    <cellStyle name="Comma 8 4 4 2" xfId="1073" xr:uid="{676960CB-4CAB-4BC4-8726-561CEE40035B}"/>
    <cellStyle name="Comma 8 4 4 2 2" xfId="2585" xr:uid="{3D3E64D4-9A7A-4BAD-981C-BDE6FD092ECD}"/>
    <cellStyle name="Comma 8 4 4 2 2 2" xfId="11657" xr:uid="{E4970D4C-3C78-483B-88BE-8375EE0EDB3E}"/>
    <cellStyle name="Comma 8 4 4 2 2 2 2" xfId="26777" xr:uid="{4D3F03B1-3B99-4EC4-88AD-7078F7EA47E2}"/>
    <cellStyle name="Comma 8 4 4 2 2 2 2 2" xfId="57017" xr:uid="{9ED466DF-19D4-4D60-8DDB-0635AA1EC4DA}"/>
    <cellStyle name="Comma 8 4 4 2 2 2 3" xfId="41897" xr:uid="{D3EE0166-C3BE-4791-8E64-F9690E88F3AD}"/>
    <cellStyle name="Comma 8 4 4 2 2 3" xfId="17705" xr:uid="{E2955401-0551-4432-AC55-D778146608AE}"/>
    <cellStyle name="Comma 8 4 4 2 2 3 2" xfId="47945" xr:uid="{67002B57-9AFB-4B03-9DFA-3FD97FD4C418}"/>
    <cellStyle name="Comma 8 4 4 2 2 4" xfId="32825" xr:uid="{83538187-44BB-4355-B887-09A805718679}"/>
    <cellStyle name="Comma 8 4 4 2 3" xfId="4097" xr:uid="{9422D62B-A841-4137-A9FA-6B267C33D147}"/>
    <cellStyle name="Comma 8 4 4 2 3 2" xfId="13169" xr:uid="{A1D4350D-DBEB-422A-B97B-DEFE72C5D639}"/>
    <cellStyle name="Comma 8 4 4 2 3 2 2" xfId="28289" xr:uid="{05C30A39-EEAF-43FC-BA34-1C59555E4DD2}"/>
    <cellStyle name="Comma 8 4 4 2 3 2 2 2" xfId="58529" xr:uid="{D184FD8A-CFD0-47A7-8681-76503E9F0CAF}"/>
    <cellStyle name="Comma 8 4 4 2 3 2 3" xfId="43409" xr:uid="{EB45DEAD-A13A-496F-8F7B-2B18AA622368}"/>
    <cellStyle name="Comma 8 4 4 2 3 3" xfId="19217" xr:uid="{0ED7CD28-BF77-4431-B335-B27266C353CF}"/>
    <cellStyle name="Comma 8 4 4 2 3 3 2" xfId="49457" xr:uid="{05D7FB74-456C-4E1E-8252-AEC45B7D0D24}"/>
    <cellStyle name="Comma 8 4 4 2 3 4" xfId="34337" xr:uid="{33DD514C-39D3-453E-84E0-96FD870A9E7F}"/>
    <cellStyle name="Comma 8 4 4 2 4" xfId="5609" xr:uid="{4E883BB4-02A1-45BC-90AC-3FAC6B6F37D8}"/>
    <cellStyle name="Comma 8 4 4 2 4 2" xfId="14681" xr:uid="{AA2F3FA8-538C-4826-9D2A-D1A9AF3DE74A}"/>
    <cellStyle name="Comma 8 4 4 2 4 2 2" xfId="29801" xr:uid="{84F0A74B-1B64-46A2-A8A1-210C93C2401B}"/>
    <cellStyle name="Comma 8 4 4 2 4 2 2 2" xfId="60041" xr:uid="{3798A1CB-3F84-441A-8512-0370C397BB44}"/>
    <cellStyle name="Comma 8 4 4 2 4 2 3" xfId="44921" xr:uid="{6B715F81-1F86-43E4-9E7C-7A60C8C96F4C}"/>
    <cellStyle name="Comma 8 4 4 2 4 3" xfId="20729" xr:uid="{4F98F00C-872D-4E92-A8AC-B1807B3D6D35}"/>
    <cellStyle name="Comma 8 4 4 2 4 3 2" xfId="50969" xr:uid="{3A4B31C2-E9C0-4D3B-9F64-AEB0292D76D1}"/>
    <cellStyle name="Comma 8 4 4 2 4 4" xfId="35849" xr:uid="{D56E8D7E-08EF-419A-A719-EDEC0CCD1B11}"/>
    <cellStyle name="Comma 8 4 4 2 5" xfId="7121" xr:uid="{26B3774C-6A25-451D-B8EA-8C860C1AA5F3}"/>
    <cellStyle name="Comma 8 4 4 2 5 2" xfId="22241" xr:uid="{248E5D2C-40CD-4B8F-98B9-DF4F68B8AB59}"/>
    <cellStyle name="Comma 8 4 4 2 5 2 2" xfId="52481" xr:uid="{FE6757DB-012A-4F4D-8AC2-D8BE1C9AE22B}"/>
    <cellStyle name="Comma 8 4 4 2 5 3" xfId="37361" xr:uid="{41AD117B-694D-4ED1-9307-45F1CA030633}"/>
    <cellStyle name="Comma 8 4 4 2 6" xfId="8633" xr:uid="{D93C6826-1899-4372-BACE-F02CBC368C38}"/>
    <cellStyle name="Comma 8 4 4 2 6 2" xfId="23753" xr:uid="{99F4B0D5-89B9-4FBB-BA66-6E063C83C4F6}"/>
    <cellStyle name="Comma 8 4 4 2 6 2 2" xfId="53993" xr:uid="{B387782F-F07A-48BD-93EA-DFE0AD66C555}"/>
    <cellStyle name="Comma 8 4 4 2 6 3" xfId="38873" xr:uid="{D7819BFB-7125-47C3-A8B3-954918CF8443}"/>
    <cellStyle name="Comma 8 4 4 2 7" xfId="10145" xr:uid="{D1F156B4-F45F-472A-B996-077066BDBE28}"/>
    <cellStyle name="Comma 8 4 4 2 7 2" xfId="25265" xr:uid="{A59ADDE0-049A-403E-8075-174B9D0D8D07}"/>
    <cellStyle name="Comma 8 4 4 2 7 2 2" xfId="55505" xr:uid="{83E567FC-BC9C-447A-9BAE-DAFC02C8825B}"/>
    <cellStyle name="Comma 8 4 4 2 7 3" xfId="40385" xr:uid="{204AC812-A6EC-4E24-B02C-E7E807AD126B}"/>
    <cellStyle name="Comma 8 4 4 2 8" xfId="16193" xr:uid="{8DB29BB0-2254-4FCA-9D08-9ED753EB832D}"/>
    <cellStyle name="Comma 8 4 4 2 8 2" xfId="46433" xr:uid="{06C624B5-3023-4B6D-8C56-8EF3E4226749}"/>
    <cellStyle name="Comma 8 4 4 2 9" xfId="31313" xr:uid="{FFFC5C6D-9441-4611-B324-D189CA1F354C}"/>
    <cellStyle name="Comma 8 4 4 3" xfId="1829" xr:uid="{4C8DFBFF-C3B2-4C64-B90A-F6C9E963CE90}"/>
    <cellStyle name="Comma 8 4 4 3 2" xfId="10901" xr:uid="{9748B38C-D39D-4434-8E9F-2C5CD109F4EA}"/>
    <cellStyle name="Comma 8 4 4 3 2 2" xfId="26021" xr:uid="{D0F32B4E-7187-4CA2-BBDD-CD3E59DC6EBD}"/>
    <cellStyle name="Comma 8 4 4 3 2 2 2" xfId="56261" xr:uid="{FB061A1A-3D42-4C52-B6BA-F2A9EE5B30C0}"/>
    <cellStyle name="Comma 8 4 4 3 2 3" xfId="41141" xr:uid="{70025517-3B7C-4A67-B04C-4B51D7AF248A}"/>
    <cellStyle name="Comma 8 4 4 3 3" xfId="16949" xr:uid="{DDD97283-A373-4C13-94FE-CC2ADB664DA7}"/>
    <cellStyle name="Comma 8 4 4 3 3 2" xfId="47189" xr:uid="{635605C9-21B8-4ADD-88C0-50157C5B1AD5}"/>
    <cellStyle name="Comma 8 4 4 3 4" xfId="32069" xr:uid="{C72014C1-FA7B-4A09-9E92-D7F833368ED0}"/>
    <cellStyle name="Comma 8 4 4 4" xfId="3341" xr:uid="{B2C51D1E-B922-4BA9-8AC8-4BDD8716C125}"/>
    <cellStyle name="Comma 8 4 4 4 2" xfId="12413" xr:uid="{300D5D68-05E2-46B0-AA82-805A6882BEED}"/>
    <cellStyle name="Comma 8 4 4 4 2 2" xfId="27533" xr:uid="{EF5240E9-08C8-4426-81A7-195F2A78B300}"/>
    <cellStyle name="Comma 8 4 4 4 2 2 2" xfId="57773" xr:uid="{5FE11367-1906-4F95-BAD9-E70F44F4DF00}"/>
    <cellStyle name="Comma 8 4 4 4 2 3" xfId="42653" xr:uid="{1F0EC0E3-AB64-49BB-B422-1F46775BBA11}"/>
    <cellStyle name="Comma 8 4 4 4 3" xfId="18461" xr:uid="{D7D7F349-D38F-4FC6-9FD8-08B2C27D39E0}"/>
    <cellStyle name="Comma 8 4 4 4 3 2" xfId="48701" xr:uid="{9FC41FD7-0C3F-47E7-8AB2-7FDFA1C96846}"/>
    <cellStyle name="Comma 8 4 4 4 4" xfId="33581" xr:uid="{1A905242-1AAA-41DE-A05D-4B1BD9F7EDF2}"/>
    <cellStyle name="Comma 8 4 4 5" xfId="4853" xr:uid="{F71E8679-8473-424A-BDFF-3F3E12DBE508}"/>
    <cellStyle name="Comma 8 4 4 5 2" xfId="13925" xr:uid="{F612E527-F4E3-44CC-858D-6CDC75DF7ABA}"/>
    <cellStyle name="Comma 8 4 4 5 2 2" xfId="29045" xr:uid="{62E32770-9CEA-42A4-8331-FE79C80CB5C7}"/>
    <cellStyle name="Comma 8 4 4 5 2 2 2" xfId="59285" xr:uid="{47DE2056-3EE6-4E03-8020-C2B0D4E8C947}"/>
    <cellStyle name="Comma 8 4 4 5 2 3" xfId="44165" xr:uid="{BE4F02A0-81FB-4D41-9E53-F9C781B4E789}"/>
    <cellStyle name="Comma 8 4 4 5 3" xfId="19973" xr:uid="{DEF0AAA8-D193-4534-8904-005C03718C4C}"/>
    <cellStyle name="Comma 8 4 4 5 3 2" xfId="50213" xr:uid="{9C287898-FDA8-4FB0-A8B3-B3CF1BE0F83E}"/>
    <cellStyle name="Comma 8 4 4 5 4" xfId="35093" xr:uid="{B110391D-8BB7-4F1D-9F2D-6C1B809EADE8}"/>
    <cellStyle name="Comma 8 4 4 6" xfId="6365" xr:uid="{8E57BC23-4C30-46D3-A1E8-DB0E00AA15E9}"/>
    <cellStyle name="Comma 8 4 4 6 2" xfId="21485" xr:uid="{B12DA01F-2270-4587-8841-59AE1D1EDDA7}"/>
    <cellStyle name="Comma 8 4 4 6 2 2" xfId="51725" xr:uid="{E413504F-2BED-450A-98EA-B4AF432322E1}"/>
    <cellStyle name="Comma 8 4 4 6 3" xfId="36605" xr:uid="{EB95AEA8-EFA4-47A8-9289-CE2D4B114A94}"/>
    <cellStyle name="Comma 8 4 4 7" xfId="7877" xr:uid="{EF08BC73-DF27-4987-9268-991184708322}"/>
    <cellStyle name="Comma 8 4 4 7 2" xfId="22997" xr:uid="{C4F10FA0-91E0-46A1-B6A0-519BD1A46959}"/>
    <cellStyle name="Comma 8 4 4 7 2 2" xfId="53237" xr:uid="{74BACE7A-E11F-45A9-81CF-B45264D13013}"/>
    <cellStyle name="Comma 8 4 4 7 3" xfId="38117" xr:uid="{D2BAEF7F-E090-41CF-AAFB-669C5E144313}"/>
    <cellStyle name="Comma 8 4 4 8" xfId="9389" xr:uid="{BD8E8809-318E-4312-95F2-463824558622}"/>
    <cellStyle name="Comma 8 4 4 8 2" xfId="24509" xr:uid="{851446CC-788B-4F25-8D7C-68E3BA0DB79E}"/>
    <cellStyle name="Comma 8 4 4 8 2 2" xfId="54749" xr:uid="{5191B8C6-4469-4A02-9602-89236C88FEEC}"/>
    <cellStyle name="Comma 8 4 4 8 3" xfId="39629" xr:uid="{1EE32D63-9672-45F3-A53A-392E89811DD3}"/>
    <cellStyle name="Comma 8 4 4 9" xfId="15437" xr:uid="{76F6B614-E457-460C-AAD5-55DE542222F9}"/>
    <cellStyle name="Comma 8 4 4 9 2" xfId="45677" xr:uid="{EC277493-08C3-47F4-AB41-6122A06D3A7F}"/>
    <cellStyle name="Comma 8 4 5" xfId="569" xr:uid="{75854A4D-09C7-4E9A-A302-83863B7225B3}"/>
    <cellStyle name="Comma 8 4 5 10" xfId="30809" xr:uid="{F3CE3B1C-AF8A-4619-9859-F5F8C7A75D1D}"/>
    <cellStyle name="Comma 8 4 5 2" xfId="1325" xr:uid="{5EF714B4-FF5D-4EC9-A141-46AB65110C8A}"/>
    <cellStyle name="Comma 8 4 5 2 2" xfId="2837" xr:uid="{C09F749B-07C8-4DDD-8E43-EA412F0C94F2}"/>
    <cellStyle name="Comma 8 4 5 2 2 2" xfId="11909" xr:uid="{297F0AEC-2E69-4804-9F6C-BD2D9CF0F921}"/>
    <cellStyle name="Comma 8 4 5 2 2 2 2" xfId="27029" xr:uid="{1CC272A8-E9FA-4C95-9B56-DB1DED56C087}"/>
    <cellStyle name="Comma 8 4 5 2 2 2 2 2" xfId="57269" xr:uid="{4E978122-511C-4871-8E42-7B28F854B873}"/>
    <cellStyle name="Comma 8 4 5 2 2 2 3" xfId="42149" xr:uid="{7328AA7D-658D-4874-B8F2-19D882EB4B05}"/>
    <cellStyle name="Comma 8 4 5 2 2 3" xfId="17957" xr:uid="{CE22B3D2-D77B-4499-8520-3A18040CF0A7}"/>
    <cellStyle name="Comma 8 4 5 2 2 3 2" xfId="48197" xr:uid="{65922BA4-6024-4A33-87DE-7EEB68CC3E6A}"/>
    <cellStyle name="Comma 8 4 5 2 2 4" xfId="33077" xr:uid="{A83F54F3-299D-486B-BB21-51CA97552919}"/>
    <cellStyle name="Comma 8 4 5 2 3" xfId="4349" xr:uid="{74DD0EE5-3039-4733-91F2-B4093B29ED1E}"/>
    <cellStyle name="Comma 8 4 5 2 3 2" xfId="13421" xr:uid="{B9E5BCB4-304F-41C6-8D2B-E6791C12973D}"/>
    <cellStyle name="Comma 8 4 5 2 3 2 2" xfId="28541" xr:uid="{617AA2FA-C410-4A97-935F-90DA1CDBA29B}"/>
    <cellStyle name="Comma 8 4 5 2 3 2 2 2" xfId="58781" xr:uid="{3E657D76-665C-4181-A872-DCEAD66B9776}"/>
    <cellStyle name="Comma 8 4 5 2 3 2 3" xfId="43661" xr:uid="{80BFEEDD-B54B-4531-9CFA-87BAC39591C9}"/>
    <cellStyle name="Comma 8 4 5 2 3 3" xfId="19469" xr:uid="{3EFA97A9-AD20-47B0-8D3B-94325ADE2DC8}"/>
    <cellStyle name="Comma 8 4 5 2 3 3 2" xfId="49709" xr:uid="{773DB720-4057-4AAF-9041-621332F1AEC9}"/>
    <cellStyle name="Comma 8 4 5 2 3 4" xfId="34589" xr:uid="{E8922698-530D-4A86-8D47-2BEA8BCF2CF6}"/>
    <cellStyle name="Comma 8 4 5 2 4" xfId="5861" xr:uid="{7CFEA110-BE86-46DF-85CF-3D546FE15EC6}"/>
    <cellStyle name="Comma 8 4 5 2 4 2" xfId="14933" xr:uid="{724A4A4E-0A5F-4538-A796-B832EABBC7D2}"/>
    <cellStyle name="Comma 8 4 5 2 4 2 2" xfId="30053" xr:uid="{FF9BABCD-6B98-4D0E-9834-E51E7A9BCA08}"/>
    <cellStyle name="Comma 8 4 5 2 4 2 2 2" xfId="60293" xr:uid="{BE1A6FE3-173C-4B3B-A546-D084A5A95427}"/>
    <cellStyle name="Comma 8 4 5 2 4 2 3" xfId="45173" xr:uid="{2C9E9D6F-E4E5-4A76-83B4-497C61266034}"/>
    <cellStyle name="Comma 8 4 5 2 4 3" xfId="20981" xr:uid="{F1AB72C8-2B07-43F4-B793-EC117CF5EACD}"/>
    <cellStyle name="Comma 8 4 5 2 4 3 2" xfId="51221" xr:uid="{D528287F-BF25-4565-AB55-AB018F2FE9F1}"/>
    <cellStyle name="Comma 8 4 5 2 4 4" xfId="36101" xr:uid="{5D958E7E-AD99-4839-BDDA-34F5D10DD7AE}"/>
    <cellStyle name="Comma 8 4 5 2 5" xfId="7373" xr:uid="{A85B075B-2418-42FE-B512-A0349BEC3B72}"/>
    <cellStyle name="Comma 8 4 5 2 5 2" xfId="22493" xr:uid="{FD8A2F5B-B3B7-4AC9-A58C-2AFC4B2CAE6D}"/>
    <cellStyle name="Comma 8 4 5 2 5 2 2" xfId="52733" xr:uid="{7A6C3BB9-794A-4511-868B-4FEB02970A15}"/>
    <cellStyle name="Comma 8 4 5 2 5 3" xfId="37613" xr:uid="{5498021B-32D2-417B-9B63-C66AE64BA3DD}"/>
    <cellStyle name="Comma 8 4 5 2 6" xfId="8885" xr:uid="{F3A9133E-91BD-4787-AA4C-472815050F90}"/>
    <cellStyle name="Comma 8 4 5 2 6 2" xfId="24005" xr:uid="{492CF703-B074-47CF-8040-8C3E84B48C10}"/>
    <cellStyle name="Comma 8 4 5 2 6 2 2" xfId="54245" xr:uid="{C89C7442-AAAE-49F0-AC21-D5C691762EA1}"/>
    <cellStyle name="Comma 8 4 5 2 6 3" xfId="39125" xr:uid="{6E0D7CFB-013F-4B89-973D-D084D1EC4DEC}"/>
    <cellStyle name="Comma 8 4 5 2 7" xfId="10397" xr:uid="{2ED4A835-55AA-435C-8AC9-698EF99CAE23}"/>
    <cellStyle name="Comma 8 4 5 2 7 2" xfId="25517" xr:uid="{AF7AB5AD-9689-4137-AB1A-C0F1D4D4746F}"/>
    <cellStyle name="Comma 8 4 5 2 7 2 2" xfId="55757" xr:uid="{2B06B4A9-771E-4802-B030-3C89FE916F87}"/>
    <cellStyle name="Comma 8 4 5 2 7 3" xfId="40637" xr:uid="{1312F740-40B5-4D7F-AA7B-ED546BF84154}"/>
    <cellStyle name="Comma 8 4 5 2 8" xfId="16445" xr:uid="{E999984E-5615-407D-83C8-F12988C76BED}"/>
    <cellStyle name="Comma 8 4 5 2 8 2" xfId="46685" xr:uid="{3D7789E1-D448-4D96-AFC9-8E39389A71CC}"/>
    <cellStyle name="Comma 8 4 5 2 9" xfId="31565" xr:uid="{18BE4C74-7822-48D0-8F6C-872D77D65E40}"/>
    <cellStyle name="Comma 8 4 5 3" xfId="2081" xr:uid="{BECB589D-9098-4D4F-A6C2-DCDFAF03EA41}"/>
    <cellStyle name="Comma 8 4 5 3 2" xfId="11153" xr:uid="{57C977BE-C401-42EF-AA30-94EC55F812F4}"/>
    <cellStyle name="Comma 8 4 5 3 2 2" xfId="26273" xr:uid="{50B22BEE-5720-48AB-ABBF-83ECEF8852F0}"/>
    <cellStyle name="Comma 8 4 5 3 2 2 2" xfId="56513" xr:uid="{9ADCA020-3BA4-4918-A3E2-F8C4E071E436}"/>
    <cellStyle name="Comma 8 4 5 3 2 3" xfId="41393" xr:uid="{4C47714D-98B8-429E-A7B6-F977F2D213E2}"/>
    <cellStyle name="Comma 8 4 5 3 3" xfId="17201" xr:uid="{9C9343F0-7159-434A-A1DC-E2EC486637C0}"/>
    <cellStyle name="Comma 8 4 5 3 3 2" xfId="47441" xr:uid="{DBD89CB0-83DB-424F-AEFA-EAA2685C69DE}"/>
    <cellStyle name="Comma 8 4 5 3 4" xfId="32321" xr:uid="{08DF73CB-319A-4692-9CC4-15B0425CBC6C}"/>
    <cellStyle name="Comma 8 4 5 4" xfId="3593" xr:uid="{8323522B-B9DF-4DE6-A55B-BEF6877BCDFF}"/>
    <cellStyle name="Comma 8 4 5 4 2" xfId="12665" xr:uid="{AE5FABA6-2A3F-4DEA-9363-DDBC0688E861}"/>
    <cellStyle name="Comma 8 4 5 4 2 2" xfId="27785" xr:uid="{C31FD8EA-04BD-42F4-BF28-318A7198085A}"/>
    <cellStyle name="Comma 8 4 5 4 2 2 2" xfId="58025" xr:uid="{1474B511-7E3C-4956-95C0-249E1B928939}"/>
    <cellStyle name="Comma 8 4 5 4 2 3" xfId="42905" xr:uid="{3DCA9337-691B-49F0-930A-3A517FE8649C}"/>
    <cellStyle name="Comma 8 4 5 4 3" xfId="18713" xr:uid="{7BF5C0E1-FB36-4BAB-8DF5-9BACCAD9912F}"/>
    <cellStyle name="Comma 8 4 5 4 3 2" xfId="48953" xr:uid="{D644F8EB-DD08-4AC4-9987-D53A9A7995C7}"/>
    <cellStyle name="Comma 8 4 5 4 4" xfId="33833" xr:uid="{1BF60D64-A6A9-4DE7-B391-E0EEA54779EB}"/>
    <cellStyle name="Comma 8 4 5 5" xfId="5105" xr:uid="{6A4085BD-0FCA-456A-85B3-3B2701D17327}"/>
    <cellStyle name="Comma 8 4 5 5 2" xfId="14177" xr:uid="{C8C303D8-56AE-4553-86D5-A06718BCF1DA}"/>
    <cellStyle name="Comma 8 4 5 5 2 2" xfId="29297" xr:uid="{AEB0E653-2C3C-4BC0-92C3-0E11482A5E80}"/>
    <cellStyle name="Comma 8 4 5 5 2 2 2" xfId="59537" xr:uid="{129693F1-34F9-4FD5-AC52-AC4D4A2E2C7C}"/>
    <cellStyle name="Comma 8 4 5 5 2 3" xfId="44417" xr:uid="{CBFE3EE1-CF77-4FEF-A8A6-25720984121D}"/>
    <cellStyle name="Comma 8 4 5 5 3" xfId="20225" xr:uid="{0616DBCA-06EE-4ABD-8B3D-E4E5DE986196}"/>
    <cellStyle name="Comma 8 4 5 5 3 2" xfId="50465" xr:uid="{D9D99B0A-6C54-40B5-92BA-A08C79CC5E23}"/>
    <cellStyle name="Comma 8 4 5 5 4" xfId="35345" xr:uid="{0E4E6835-8590-494C-A77F-CA453440E367}"/>
    <cellStyle name="Comma 8 4 5 6" xfId="6617" xr:uid="{3A9E6619-8B9B-437F-BB58-B1C1B22D4170}"/>
    <cellStyle name="Comma 8 4 5 6 2" xfId="21737" xr:uid="{9AB66E5A-D1C5-4E85-A86B-6BAC1CBCE246}"/>
    <cellStyle name="Comma 8 4 5 6 2 2" xfId="51977" xr:uid="{055765C7-D07B-476F-BEFB-16DFE6272BF1}"/>
    <cellStyle name="Comma 8 4 5 6 3" xfId="36857" xr:uid="{7C10C673-D81C-458A-AF26-A9645F081CC7}"/>
    <cellStyle name="Comma 8 4 5 7" xfId="8129" xr:uid="{24591154-0E14-44D2-AB1F-A131D99E2D53}"/>
    <cellStyle name="Comma 8 4 5 7 2" xfId="23249" xr:uid="{E9845687-C076-40D1-B6EB-8DD6F109E275}"/>
    <cellStyle name="Comma 8 4 5 7 2 2" xfId="53489" xr:uid="{1F22474F-B489-4A00-882C-6F1963698096}"/>
    <cellStyle name="Comma 8 4 5 7 3" xfId="38369" xr:uid="{F2C0C5DD-1B04-42CF-8627-464A9200172A}"/>
    <cellStyle name="Comma 8 4 5 8" xfId="9641" xr:uid="{955978F0-D17C-43A0-A3A9-C01EDF89DCB6}"/>
    <cellStyle name="Comma 8 4 5 8 2" xfId="24761" xr:uid="{8E0E7BEF-89C4-4E71-96E3-486BAA0E90B0}"/>
    <cellStyle name="Comma 8 4 5 8 2 2" xfId="55001" xr:uid="{F85D408D-99DA-40FC-AC9C-C287FE0D40CF}"/>
    <cellStyle name="Comma 8 4 5 8 3" xfId="39881" xr:uid="{700CF757-A15E-4524-8285-67018877B250}"/>
    <cellStyle name="Comma 8 4 5 9" xfId="15689" xr:uid="{A768EC91-2B1A-406C-BE82-FFE06169C216}"/>
    <cellStyle name="Comma 8 4 5 9 2" xfId="45929" xr:uid="{ADFE8FC9-B1E1-4B5F-A5B9-E0EDE39D30ED}"/>
    <cellStyle name="Comma 8 4 6" xfId="821" xr:uid="{F4431BF3-8A60-4819-B967-874D61F41D0D}"/>
    <cellStyle name="Comma 8 4 6 2" xfId="2333" xr:uid="{305A632D-099C-468A-91B2-91EEB7A0111C}"/>
    <cellStyle name="Comma 8 4 6 2 2" xfId="11405" xr:uid="{B476026C-FC9D-4DFB-A58E-BC0339EE004A}"/>
    <cellStyle name="Comma 8 4 6 2 2 2" xfId="26525" xr:uid="{7E1E6B9B-DD79-4898-9905-5AF97D81480A}"/>
    <cellStyle name="Comma 8 4 6 2 2 2 2" xfId="56765" xr:uid="{F5CAD375-90FD-45DA-93A8-18A392DC2B1F}"/>
    <cellStyle name="Comma 8 4 6 2 2 3" xfId="41645" xr:uid="{528D4454-BFE2-467B-B1DF-9F99AF6EDEBB}"/>
    <cellStyle name="Comma 8 4 6 2 3" xfId="17453" xr:uid="{9AF0855E-B400-42D5-AD49-0BB96F8C404F}"/>
    <cellStyle name="Comma 8 4 6 2 3 2" xfId="47693" xr:uid="{D52CF804-6932-42B9-B74B-14251AB16790}"/>
    <cellStyle name="Comma 8 4 6 2 4" xfId="32573" xr:uid="{942788E5-81CB-4D85-ACB9-C95DCD841725}"/>
    <cellStyle name="Comma 8 4 6 3" xfId="3845" xr:uid="{60388C74-D788-41AF-A6F1-6F5FB51CD9A3}"/>
    <cellStyle name="Comma 8 4 6 3 2" xfId="12917" xr:uid="{D988DC76-AD76-4198-91A9-AD0B8C6EF5E3}"/>
    <cellStyle name="Comma 8 4 6 3 2 2" xfId="28037" xr:uid="{740216FB-EB86-47F3-A11D-56E32CD51850}"/>
    <cellStyle name="Comma 8 4 6 3 2 2 2" xfId="58277" xr:uid="{B5CA1140-0CA7-4098-9352-3C582ACA06EE}"/>
    <cellStyle name="Comma 8 4 6 3 2 3" xfId="43157" xr:uid="{41DC635E-FD02-4875-91AC-7A2538A98DE4}"/>
    <cellStyle name="Comma 8 4 6 3 3" xfId="18965" xr:uid="{CB2C6F98-C4F5-4DAD-985E-0F3224639553}"/>
    <cellStyle name="Comma 8 4 6 3 3 2" xfId="49205" xr:uid="{FDE2356C-8465-46A0-806B-82763D5663BE}"/>
    <cellStyle name="Comma 8 4 6 3 4" xfId="34085" xr:uid="{F7A12C01-9232-45EF-B721-D5222BE6D618}"/>
    <cellStyle name="Comma 8 4 6 4" xfId="5357" xr:uid="{05A6130D-7649-48D8-ACCB-22913D3EF363}"/>
    <cellStyle name="Comma 8 4 6 4 2" xfId="14429" xr:uid="{1B4D7C0E-D202-4DF3-8CFE-283A0E7B55CF}"/>
    <cellStyle name="Comma 8 4 6 4 2 2" xfId="29549" xr:uid="{D15D0E44-3558-46CA-B50D-C90FB8FB30A4}"/>
    <cellStyle name="Comma 8 4 6 4 2 2 2" xfId="59789" xr:uid="{98674BD5-995F-49EC-A488-623B418DF556}"/>
    <cellStyle name="Comma 8 4 6 4 2 3" xfId="44669" xr:uid="{89118608-6DA6-481F-997E-167C1DCCA1EF}"/>
    <cellStyle name="Comma 8 4 6 4 3" xfId="20477" xr:uid="{D3E429E5-BCBC-4AD0-9716-9209658F6981}"/>
    <cellStyle name="Comma 8 4 6 4 3 2" xfId="50717" xr:uid="{A8927906-8D7D-4AD5-9EC7-8F200B45F2B6}"/>
    <cellStyle name="Comma 8 4 6 4 4" xfId="35597" xr:uid="{EAD99621-3716-48A7-B435-EACACDAE2785}"/>
    <cellStyle name="Comma 8 4 6 5" xfId="6869" xr:uid="{1A7F0160-AB22-47FA-AC1D-8A99FF93DC64}"/>
    <cellStyle name="Comma 8 4 6 5 2" xfId="21989" xr:uid="{BBAE3F6D-4D88-416A-A16F-C2E9373AC8D6}"/>
    <cellStyle name="Comma 8 4 6 5 2 2" xfId="52229" xr:uid="{A877911B-D6D7-423F-B602-0418779DBA64}"/>
    <cellStyle name="Comma 8 4 6 5 3" xfId="37109" xr:uid="{44C709A4-278E-4F73-A6EF-819FC3A6909F}"/>
    <cellStyle name="Comma 8 4 6 6" xfId="8381" xr:uid="{3B783BC2-C7A1-4EAD-88E1-2624FCC9D70C}"/>
    <cellStyle name="Comma 8 4 6 6 2" xfId="23501" xr:uid="{608FCD0A-2B9B-4422-AAA1-0C94BFA4C93E}"/>
    <cellStyle name="Comma 8 4 6 6 2 2" xfId="53741" xr:uid="{D618E902-6669-40D6-ABBA-FFBE02734066}"/>
    <cellStyle name="Comma 8 4 6 6 3" xfId="38621" xr:uid="{B710DFAA-2B17-4FAE-B6B5-436D4FF6CC0C}"/>
    <cellStyle name="Comma 8 4 6 7" xfId="9893" xr:uid="{95E8AAA8-A816-47E3-878A-1FA7DA506B03}"/>
    <cellStyle name="Comma 8 4 6 7 2" xfId="25013" xr:uid="{2CCA1DBB-A7E7-4225-9F58-4442CBA554FC}"/>
    <cellStyle name="Comma 8 4 6 7 2 2" xfId="55253" xr:uid="{718291CD-78B0-49EF-B2D1-EED502AFF1BC}"/>
    <cellStyle name="Comma 8 4 6 7 3" xfId="40133" xr:uid="{2508CADE-F3FB-48FE-8F17-A855F2CBCC6E}"/>
    <cellStyle name="Comma 8 4 6 8" xfId="15941" xr:uid="{87B14960-2696-44EA-A834-92E7C88F0D3A}"/>
    <cellStyle name="Comma 8 4 6 8 2" xfId="46181" xr:uid="{18E78C41-329E-4B91-9219-F289133A9C56}"/>
    <cellStyle name="Comma 8 4 6 9" xfId="31061" xr:uid="{975F4BEA-7D29-4340-ADC3-61A00512A3E1}"/>
    <cellStyle name="Comma 8 4 7" xfId="1577" xr:uid="{57730B6E-2D2A-4AFC-A26F-4436A7CDF599}"/>
    <cellStyle name="Comma 8 4 7 2" xfId="10649" xr:uid="{5EE80745-395F-4D35-836B-60769EE0F233}"/>
    <cellStyle name="Comma 8 4 7 2 2" xfId="25769" xr:uid="{85D99D8E-9D25-4598-89C5-10F353193865}"/>
    <cellStyle name="Comma 8 4 7 2 2 2" xfId="56009" xr:uid="{25BEB375-3C68-4666-AD89-A9C87B43ACC2}"/>
    <cellStyle name="Comma 8 4 7 2 3" xfId="40889" xr:uid="{DA45F467-A456-4274-AFC6-388FA2874EDC}"/>
    <cellStyle name="Comma 8 4 7 3" xfId="16697" xr:uid="{F7E2B1E7-BDCB-4E71-BD80-6AF157164385}"/>
    <cellStyle name="Comma 8 4 7 3 2" xfId="46937" xr:uid="{685C58E0-84B3-4E20-B0F7-6BB1D73C9CD0}"/>
    <cellStyle name="Comma 8 4 7 4" xfId="31817" xr:uid="{0DEAD25F-6E4C-404F-A467-CE8E70E0D2F9}"/>
    <cellStyle name="Comma 8 4 8" xfId="3089" xr:uid="{41482AB9-F316-4895-B628-936B5B06EB2C}"/>
    <cellStyle name="Comma 8 4 8 2" xfId="12161" xr:uid="{D0FAAB9E-07C9-43D1-A187-A704BB3B348A}"/>
    <cellStyle name="Comma 8 4 8 2 2" xfId="27281" xr:uid="{6E217335-E51E-4B6A-8EF6-AFCA8F0453B6}"/>
    <cellStyle name="Comma 8 4 8 2 2 2" xfId="57521" xr:uid="{0FB15ACD-DA4A-41C0-B2FB-77814F8F35B5}"/>
    <cellStyle name="Comma 8 4 8 2 3" xfId="42401" xr:uid="{1B4BA1C2-0928-4B49-95C0-9F473CDC50FC}"/>
    <cellStyle name="Comma 8 4 8 3" xfId="18209" xr:uid="{D265D07C-CED3-4994-BD9B-2166653FAE96}"/>
    <cellStyle name="Comma 8 4 8 3 2" xfId="48449" xr:uid="{D4A36296-9337-4EBD-94A1-93C73EC412C7}"/>
    <cellStyle name="Comma 8 4 8 4" xfId="33329" xr:uid="{2A813D30-7EC4-4BE1-B46F-AD97E0356C70}"/>
    <cellStyle name="Comma 8 4 9" xfId="4601" xr:uid="{654718FA-FB62-46AD-BF0F-93C47C681D27}"/>
    <cellStyle name="Comma 8 4 9 2" xfId="13673" xr:uid="{6643676D-DC9D-4D1B-AF21-B63A4F06B25E}"/>
    <cellStyle name="Comma 8 4 9 2 2" xfId="28793" xr:uid="{724F3E07-A0A2-48F6-9770-E8D805A5C4DD}"/>
    <cellStyle name="Comma 8 4 9 2 2 2" xfId="59033" xr:uid="{7DEAE2C7-6E26-484D-9D22-8859A1128A13}"/>
    <cellStyle name="Comma 8 4 9 2 3" xfId="43913" xr:uid="{6FBAAE7D-694D-4432-85A9-78A0F7E559CA}"/>
    <cellStyle name="Comma 8 4 9 3" xfId="19721" xr:uid="{7222C989-B3D7-4191-8EA6-F2711355F9C8}"/>
    <cellStyle name="Comma 8 4 9 3 2" xfId="49961" xr:uid="{AA9DD8A1-6B4F-42D6-9733-87F5547B9472}"/>
    <cellStyle name="Comma 8 4 9 4" xfId="34841" xr:uid="{BA6C5C91-D1AA-4AC1-83A1-DFEEAF5021F5}"/>
    <cellStyle name="Comma 8 5" xfId="107" xr:uid="{78D2A333-7E82-4A75-99C4-6B55A4D19757}"/>
    <cellStyle name="Comma 8 5 10" xfId="9179" xr:uid="{18A9A1C9-2899-4EE3-9E25-92E33138D177}"/>
    <cellStyle name="Comma 8 5 10 2" xfId="24299" xr:uid="{8118F13D-23CB-469D-A7E7-4FC23C71A104}"/>
    <cellStyle name="Comma 8 5 10 2 2" xfId="54539" xr:uid="{9C74D606-AF09-4449-A9D5-EFF3AF6A4916}"/>
    <cellStyle name="Comma 8 5 10 3" xfId="39419" xr:uid="{910BECF4-E516-43EC-AED4-E3DCE501B648}"/>
    <cellStyle name="Comma 8 5 11" xfId="15227" xr:uid="{14FA321F-DFB6-474F-BF77-2CAEC2B0AA20}"/>
    <cellStyle name="Comma 8 5 11 2" xfId="45467" xr:uid="{303B74F3-AD80-4BE1-9813-19F2B981E327}"/>
    <cellStyle name="Comma 8 5 12" xfId="30347" xr:uid="{82CEDCBD-F795-4D4B-9C7F-3BDB8658BE91}"/>
    <cellStyle name="Comma 8 5 2" xfId="359" xr:uid="{AA199FDE-E564-4E75-B8E3-D4415E3FB1EC}"/>
    <cellStyle name="Comma 8 5 2 10" xfId="30599" xr:uid="{9561198A-C7F9-4015-9C50-2F12B226C796}"/>
    <cellStyle name="Comma 8 5 2 2" xfId="1115" xr:uid="{A1120F08-F81E-42A2-B671-C1BDDBCC2A5B}"/>
    <cellStyle name="Comma 8 5 2 2 2" xfId="2627" xr:uid="{BFC30950-4440-4332-AE17-F74344CD4E1D}"/>
    <cellStyle name="Comma 8 5 2 2 2 2" xfId="11699" xr:uid="{D38AB80E-92DC-4144-9DAB-72E8CA2D3B1E}"/>
    <cellStyle name="Comma 8 5 2 2 2 2 2" xfId="26819" xr:uid="{C3B9C47D-B007-497C-B316-207F930A28E3}"/>
    <cellStyle name="Comma 8 5 2 2 2 2 2 2" xfId="57059" xr:uid="{58A894E2-5CD8-4532-B363-21668F828765}"/>
    <cellStyle name="Comma 8 5 2 2 2 2 3" xfId="41939" xr:uid="{E67B619F-46D6-4EEB-9309-59AB416CF5B4}"/>
    <cellStyle name="Comma 8 5 2 2 2 3" xfId="17747" xr:uid="{DB34B4B0-2913-4C80-9388-C77F55E0C886}"/>
    <cellStyle name="Comma 8 5 2 2 2 3 2" xfId="47987" xr:uid="{B549C1E2-04D4-4DAE-A3EA-E50D39406238}"/>
    <cellStyle name="Comma 8 5 2 2 2 4" xfId="32867" xr:uid="{C9280F78-CCC5-4E33-9329-F151DB87793F}"/>
    <cellStyle name="Comma 8 5 2 2 3" xfId="4139" xr:uid="{B9BA09FF-EB34-4953-8628-044E660701A6}"/>
    <cellStyle name="Comma 8 5 2 2 3 2" xfId="13211" xr:uid="{DD5BDD30-F432-4490-970A-D7453401B924}"/>
    <cellStyle name="Comma 8 5 2 2 3 2 2" xfId="28331" xr:uid="{F4E5201A-D7FB-49D2-9D1E-01ADD8170C9E}"/>
    <cellStyle name="Comma 8 5 2 2 3 2 2 2" xfId="58571" xr:uid="{DB6D98EB-B2B2-4077-8E8B-98E171262724}"/>
    <cellStyle name="Comma 8 5 2 2 3 2 3" xfId="43451" xr:uid="{89DE4B1A-601A-467E-9759-F1671422D42F}"/>
    <cellStyle name="Comma 8 5 2 2 3 3" xfId="19259" xr:uid="{0F9A4CAA-E625-4232-823B-07682F90BE1E}"/>
    <cellStyle name="Comma 8 5 2 2 3 3 2" xfId="49499" xr:uid="{2EE9F1D0-20D7-4123-A669-7F0C1E92DA46}"/>
    <cellStyle name="Comma 8 5 2 2 3 4" xfId="34379" xr:uid="{426A8C02-2347-4145-87EA-A176C64B98B3}"/>
    <cellStyle name="Comma 8 5 2 2 4" xfId="5651" xr:uid="{9968AFD8-5834-41AD-97D7-45514A8D960E}"/>
    <cellStyle name="Comma 8 5 2 2 4 2" xfId="14723" xr:uid="{68DCAE8F-0D33-46A3-81EB-18EF8B106C0C}"/>
    <cellStyle name="Comma 8 5 2 2 4 2 2" xfId="29843" xr:uid="{2FD8483A-1BE4-4654-8BF5-234E4C3B3A2E}"/>
    <cellStyle name="Comma 8 5 2 2 4 2 2 2" xfId="60083" xr:uid="{36A3C795-9410-4E39-9D40-FE09912CDCF0}"/>
    <cellStyle name="Comma 8 5 2 2 4 2 3" xfId="44963" xr:uid="{7F30DE66-C20E-43D8-B78E-B1FD15B23E61}"/>
    <cellStyle name="Comma 8 5 2 2 4 3" xfId="20771" xr:uid="{02B7AEF0-49A2-49B1-9E66-CD437A7F38B9}"/>
    <cellStyle name="Comma 8 5 2 2 4 3 2" xfId="51011" xr:uid="{B322AD10-2021-481D-B4EA-87BE84D6DCB9}"/>
    <cellStyle name="Comma 8 5 2 2 4 4" xfId="35891" xr:uid="{FF616F9D-4F73-475D-8C61-D909133850E8}"/>
    <cellStyle name="Comma 8 5 2 2 5" xfId="7163" xr:uid="{596FC827-F285-4F32-B2E5-DA3236DD8092}"/>
    <cellStyle name="Comma 8 5 2 2 5 2" xfId="22283" xr:uid="{90167AAB-30B5-4190-9439-FEC35AA06A3F}"/>
    <cellStyle name="Comma 8 5 2 2 5 2 2" xfId="52523" xr:uid="{63A9F44A-E991-4337-8022-1A77552BFDF0}"/>
    <cellStyle name="Comma 8 5 2 2 5 3" xfId="37403" xr:uid="{9D0C309E-D56B-4117-8581-14B157803CEE}"/>
    <cellStyle name="Comma 8 5 2 2 6" xfId="8675" xr:uid="{A1CAF2F1-0173-4236-90FA-6B1A7035B3B0}"/>
    <cellStyle name="Comma 8 5 2 2 6 2" xfId="23795" xr:uid="{44C31EE5-415A-4A5D-99FA-A8DF989F6BCB}"/>
    <cellStyle name="Comma 8 5 2 2 6 2 2" xfId="54035" xr:uid="{2DABAD06-348A-442A-AECB-1B8379F34F83}"/>
    <cellStyle name="Comma 8 5 2 2 6 3" xfId="38915" xr:uid="{516820E7-8461-4DA5-A145-25FC6A888A25}"/>
    <cellStyle name="Comma 8 5 2 2 7" xfId="10187" xr:uid="{C7985761-011E-430A-AFD8-11986F49A17B}"/>
    <cellStyle name="Comma 8 5 2 2 7 2" xfId="25307" xr:uid="{8CB15AEB-0EA9-4AD5-8D03-4D4B02A45AF5}"/>
    <cellStyle name="Comma 8 5 2 2 7 2 2" xfId="55547" xr:uid="{DAE356B0-688F-4F98-9C0E-6B818D54D2FF}"/>
    <cellStyle name="Comma 8 5 2 2 7 3" xfId="40427" xr:uid="{F9A0D38F-985D-41AE-85CB-90403E4948B9}"/>
    <cellStyle name="Comma 8 5 2 2 8" xfId="16235" xr:uid="{A41310AE-4934-4D0A-A738-265A14506A3F}"/>
    <cellStyle name="Comma 8 5 2 2 8 2" xfId="46475" xr:uid="{C455F47E-7B11-44C7-9341-8F8CCCDDBC8F}"/>
    <cellStyle name="Comma 8 5 2 2 9" xfId="31355" xr:uid="{855D4055-244E-4787-98FA-12F4EE9A1671}"/>
    <cellStyle name="Comma 8 5 2 3" xfId="1871" xr:uid="{F1D24447-C5CD-40F4-BDD1-0B267961CDFF}"/>
    <cellStyle name="Comma 8 5 2 3 2" xfId="10943" xr:uid="{DC9B664F-C86B-4B2D-9F39-89C575FE7C32}"/>
    <cellStyle name="Comma 8 5 2 3 2 2" xfId="26063" xr:uid="{2E3AC0C4-D3C6-4E62-99B5-059379431C38}"/>
    <cellStyle name="Comma 8 5 2 3 2 2 2" xfId="56303" xr:uid="{12C2AE48-C742-4B80-99B7-BD666C9AC2A7}"/>
    <cellStyle name="Comma 8 5 2 3 2 3" xfId="41183" xr:uid="{820BC3E5-529F-40A2-A719-639A8928561C}"/>
    <cellStyle name="Comma 8 5 2 3 3" xfId="16991" xr:uid="{916B1970-E541-4A1F-BB3E-4A79BFAB4F97}"/>
    <cellStyle name="Comma 8 5 2 3 3 2" xfId="47231" xr:uid="{50551B5E-2748-4D70-847A-2746C780F1D1}"/>
    <cellStyle name="Comma 8 5 2 3 4" xfId="32111" xr:uid="{7936D449-FA81-42B0-AA0B-404C52F3A68F}"/>
    <cellStyle name="Comma 8 5 2 4" xfId="3383" xr:uid="{D3575084-7E7E-4763-8C64-D8CED6943617}"/>
    <cellStyle name="Comma 8 5 2 4 2" xfId="12455" xr:uid="{93A93A53-15FF-432A-88F6-D543362BD905}"/>
    <cellStyle name="Comma 8 5 2 4 2 2" xfId="27575" xr:uid="{AAC3C8E4-E100-4F15-9258-EB7BA52D05FD}"/>
    <cellStyle name="Comma 8 5 2 4 2 2 2" xfId="57815" xr:uid="{B8F7D425-3A7A-4E60-88FF-1FA562BAADB2}"/>
    <cellStyle name="Comma 8 5 2 4 2 3" xfId="42695" xr:uid="{B2CEFFFE-9662-40B8-9BB2-04A1C6529501}"/>
    <cellStyle name="Comma 8 5 2 4 3" xfId="18503" xr:uid="{D1725229-C058-4E09-9B73-3DFC49B89388}"/>
    <cellStyle name="Comma 8 5 2 4 3 2" xfId="48743" xr:uid="{A2E7A81B-87F7-4E78-B64F-F97147CDB0EA}"/>
    <cellStyle name="Comma 8 5 2 4 4" xfId="33623" xr:uid="{400A83B2-6DB9-4907-98D5-428FD806B13E}"/>
    <cellStyle name="Comma 8 5 2 5" xfId="4895" xr:uid="{F8A2C807-7BFD-4711-AC7E-E3A926808308}"/>
    <cellStyle name="Comma 8 5 2 5 2" xfId="13967" xr:uid="{5713B7C2-ABCA-4928-AB1B-21709DE622B5}"/>
    <cellStyle name="Comma 8 5 2 5 2 2" xfId="29087" xr:uid="{05004B53-1515-4624-8EB6-A1F6893F97B0}"/>
    <cellStyle name="Comma 8 5 2 5 2 2 2" xfId="59327" xr:uid="{D29319EF-36B9-476C-AE46-86D74A628A6B}"/>
    <cellStyle name="Comma 8 5 2 5 2 3" xfId="44207" xr:uid="{1C8A9380-55B9-4BB9-88B8-6681402930D7}"/>
    <cellStyle name="Comma 8 5 2 5 3" xfId="20015" xr:uid="{B2185C19-73F1-49B8-B14B-26C2E8057D11}"/>
    <cellStyle name="Comma 8 5 2 5 3 2" xfId="50255" xr:uid="{A7BF1317-03C4-4B1A-AAF4-165B28B3B9D3}"/>
    <cellStyle name="Comma 8 5 2 5 4" xfId="35135" xr:uid="{0037AD39-CB02-4A7E-A005-E374AE6CAB7B}"/>
    <cellStyle name="Comma 8 5 2 6" xfId="6407" xr:uid="{BCD5BC80-0ABB-409A-887C-6E9E6EE3DE35}"/>
    <cellStyle name="Comma 8 5 2 6 2" xfId="21527" xr:uid="{C8DA6719-FBEA-40BC-9746-AF21D53075C7}"/>
    <cellStyle name="Comma 8 5 2 6 2 2" xfId="51767" xr:uid="{7ADDE4D1-7998-474A-B23C-F18A781D3473}"/>
    <cellStyle name="Comma 8 5 2 6 3" xfId="36647" xr:uid="{2F28B156-9F2C-4C81-9C70-80B5D22381D5}"/>
    <cellStyle name="Comma 8 5 2 7" xfId="7919" xr:uid="{8B9DE52E-BEFE-46D6-B8FB-593F571D368C}"/>
    <cellStyle name="Comma 8 5 2 7 2" xfId="23039" xr:uid="{6C69E5BF-EE07-4B17-ACEC-5AEDBDA79D13}"/>
    <cellStyle name="Comma 8 5 2 7 2 2" xfId="53279" xr:uid="{5871EBC5-DBB1-4417-957F-812306E29908}"/>
    <cellStyle name="Comma 8 5 2 7 3" xfId="38159" xr:uid="{8BA3DDBF-D182-475F-B7F8-E69A1E3B04E5}"/>
    <cellStyle name="Comma 8 5 2 8" xfId="9431" xr:uid="{0B9A4290-F41C-4C29-A8ED-CEB3B5E11AC7}"/>
    <cellStyle name="Comma 8 5 2 8 2" xfId="24551" xr:uid="{2EBE8197-CEC9-4F22-A226-90A88041F398}"/>
    <cellStyle name="Comma 8 5 2 8 2 2" xfId="54791" xr:uid="{01DBE5FE-5985-483F-8BEB-40E134A9E65E}"/>
    <cellStyle name="Comma 8 5 2 8 3" xfId="39671" xr:uid="{09FE91C8-E218-4C14-A202-F1E1797EC423}"/>
    <cellStyle name="Comma 8 5 2 9" xfId="15479" xr:uid="{5FFD354B-6147-4144-896A-E6B8598AE1CD}"/>
    <cellStyle name="Comma 8 5 2 9 2" xfId="45719" xr:uid="{06C463AF-4CDB-4A11-8660-EB9CE1499EA9}"/>
    <cellStyle name="Comma 8 5 3" xfId="611" xr:uid="{8E8784E3-B44B-44AF-B672-2DBAC1B70690}"/>
    <cellStyle name="Comma 8 5 3 10" xfId="30851" xr:uid="{FDE7A22D-F87F-4E71-81B7-9654B15FBE8F}"/>
    <cellStyle name="Comma 8 5 3 2" xfId="1367" xr:uid="{EABF923A-9BCD-4F66-BA04-D79E7AF64E11}"/>
    <cellStyle name="Comma 8 5 3 2 2" xfId="2879" xr:uid="{702F91C2-ED6C-4FF4-B143-0C6F3C3DAF12}"/>
    <cellStyle name="Comma 8 5 3 2 2 2" xfId="11951" xr:uid="{23DB083A-3760-47A8-A883-B90D450CC40F}"/>
    <cellStyle name="Comma 8 5 3 2 2 2 2" xfId="27071" xr:uid="{509F7B45-21EC-46CC-B0C8-1AF3664E66E5}"/>
    <cellStyle name="Comma 8 5 3 2 2 2 2 2" xfId="57311" xr:uid="{631D2B6C-502C-4932-A686-D422256FF666}"/>
    <cellStyle name="Comma 8 5 3 2 2 2 3" xfId="42191" xr:uid="{F82289D7-3F9F-4715-B9FD-5849ED0B1C01}"/>
    <cellStyle name="Comma 8 5 3 2 2 3" xfId="17999" xr:uid="{6C999B3E-D4C6-42E7-A183-B34B46A1E56F}"/>
    <cellStyle name="Comma 8 5 3 2 2 3 2" xfId="48239" xr:uid="{C0DD9BAF-42BE-4D33-B552-6769DD9BD024}"/>
    <cellStyle name="Comma 8 5 3 2 2 4" xfId="33119" xr:uid="{21152D56-F240-4A7C-83CF-E527FAEDD95F}"/>
    <cellStyle name="Comma 8 5 3 2 3" xfId="4391" xr:uid="{0D8D1B9A-624E-41D2-852F-269F84F68BD1}"/>
    <cellStyle name="Comma 8 5 3 2 3 2" xfId="13463" xr:uid="{D38B43D4-50A2-463E-B54C-2B2E840CE127}"/>
    <cellStyle name="Comma 8 5 3 2 3 2 2" xfId="28583" xr:uid="{BD84C829-496F-46C0-B08C-CD294A576B48}"/>
    <cellStyle name="Comma 8 5 3 2 3 2 2 2" xfId="58823" xr:uid="{645849F0-D66D-40C0-B0CD-35947D8E6158}"/>
    <cellStyle name="Comma 8 5 3 2 3 2 3" xfId="43703" xr:uid="{382083AB-98AB-4470-914B-6BFC99D5FE37}"/>
    <cellStyle name="Comma 8 5 3 2 3 3" xfId="19511" xr:uid="{4A2EEFB4-B2D3-4493-B51B-AF5BFC7C90C6}"/>
    <cellStyle name="Comma 8 5 3 2 3 3 2" xfId="49751" xr:uid="{D97EB42B-4AAD-4785-B792-4A80735570AC}"/>
    <cellStyle name="Comma 8 5 3 2 3 4" xfId="34631" xr:uid="{8ED22A99-BBD8-43EE-82AB-ECFA456C2BB5}"/>
    <cellStyle name="Comma 8 5 3 2 4" xfId="5903" xr:uid="{B0CF7B1B-BB2A-4DC1-AF08-BA8B7BB0B618}"/>
    <cellStyle name="Comma 8 5 3 2 4 2" xfId="14975" xr:uid="{784CB81D-F35D-4F4F-9213-CF461BD7C7C4}"/>
    <cellStyle name="Comma 8 5 3 2 4 2 2" xfId="30095" xr:uid="{B419B7CF-BB86-4381-8963-E96BE1A1BEAF}"/>
    <cellStyle name="Comma 8 5 3 2 4 2 2 2" xfId="60335" xr:uid="{727FD188-4397-45FC-9A59-B7C3E4B8CD63}"/>
    <cellStyle name="Comma 8 5 3 2 4 2 3" xfId="45215" xr:uid="{862D845C-FD33-41BB-95E6-92422719CE0F}"/>
    <cellStyle name="Comma 8 5 3 2 4 3" xfId="21023" xr:uid="{B7D73BE7-4132-4F6C-91E5-DC88969E184B}"/>
    <cellStyle name="Comma 8 5 3 2 4 3 2" xfId="51263" xr:uid="{97C0F37B-44B4-4692-A067-7D89B683F70D}"/>
    <cellStyle name="Comma 8 5 3 2 4 4" xfId="36143" xr:uid="{7C6F85A6-5B0D-4263-90FD-7ACD2BAA7519}"/>
    <cellStyle name="Comma 8 5 3 2 5" xfId="7415" xr:uid="{0D231C67-9F8E-4BB0-A9A9-800CD6E18222}"/>
    <cellStyle name="Comma 8 5 3 2 5 2" xfId="22535" xr:uid="{72490DB4-9059-407C-9818-7E14A7F260C9}"/>
    <cellStyle name="Comma 8 5 3 2 5 2 2" xfId="52775" xr:uid="{0F9B5DAE-D5E8-41AB-AFDF-94DB99ED2D02}"/>
    <cellStyle name="Comma 8 5 3 2 5 3" xfId="37655" xr:uid="{EB10C439-79BA-4461-810D-2ABBFA5CF981}"/>
    <cellStyle name="Comma 8 5 3 2 6" xfId="8927" xr:uid="{68ED9078-3ACC-46FF-ADC6-57BE1C8FED81}"/>
    <cellStyle name="Comma 8 5 3 2 6 2" xfId="24047" xr:uid="{239C4267-5F2C-4A27-B8A7-E1EBC282FDFC}"/>
    <cellStyle name="Comma 8 5 3 2 6 2 2" xfId="54287" xr:uid="{1E764FB7-21DB-4C9A-8C06-72DF6FA71AE7}"/>
    <cellStyle name="Comma 8 5 3 2 6 3" xfId="39167" xr:uid="{3C8D0298-47FF-430F-ADD4-9EED9EC2224A}"/>
    <cellStyle name="Comma 8 5 3 2 7" xfId="10439" xr:uid="{15BBBD55-629B-42CC-A0E9-7F0B8E095E8E}"/>
    <cellStyle name="Comma 8 5 3 2 7 2" xfId="25559" xr:uid="{BC4FA13D-8378-4FC1-9D93-A1A84C989067}"/>
    <cellStyle name="Comma 8 5 3 2 7 2 2" xfId="55799" xr:uid="{3FEE95D1-DB56-4A43-B9BB-EB4A696CF957}"/>
    <cellStyle name="Comma 8 5 3 2 7 3" xfId="40679" xr:uid="{51C318DE-7A34-4132-8DDF-2ACEA6B19C4A}"/>
    <cellStyle name="Comma 8 5 3 2 8" xfId="16487" xr:uid="{99574566-974B-40AD-A86C-71B0081E2349}"/>
    <cellStyle name="Comma 8 5 3 2 8 2" xfId="46727" xr:uid="{533E94F5-3E2B-44B6-8EA6-B6E057E79394}"/>
    <cellStyle name="Comma 8 5 3 2 9" xfId="31607" xr:uid="{6A6BDF3E-FC7B-40EE-884D-2B00735D57ED}"/>
    <cellStyle name="Comma 8 5 3 3" xfId="2123" xr:uid="{8F98FB3D-2D48-49B0-B83E-C4E52670EE72}"/>
    <cellStyle name="Comma 8 5 3 3 2" xfId="11195" xr:uid="{3B378F64-7BC4-44DA-A839-343A9E265466}"/>
    <cellStyle name="Comma 8 5 3 3 2 2" xfId="26315" xr:uid="{F73E0629-07FD-43F1-BFEF-0BC3A6231174}"/>
    <cellStyle name="Comma 8 5 3 3 2 2 2" xfId="56555" xr:uid="{42C8A85E-8C9B-4D0E-B1E0-E0DEEE90D09E}"/>
    <cellStyle name="Comma 8 5 3 3 2 3" xfId="41435" xr:uid="{8F1DFD58-1453-41C6-B99D-E404D3771871}"/>
    <cellStyle name="Comma 8 5 3 3 3" xfId="17243" xr:uid="{41EB70C0-4542-4A68-B647-D868E72FD18A}"/>
    <cellStyle name="Comma 8 5 3 3 3 2" xfId="47483" xr:uid="{7BB17AF4-46B1-49A0-AD3C-D1BF3B8E87F8}"/>
    <cellStyle name="Comma 8 5 3 3 4" xfId="32363" xr:uid="{77ABE0E4-C61B-4C40-A7F9-0C278504C17C}"/>
    <cellStyle name="Comma 8 5 3 4" xfId="3635" xr:uid="{F1BB1E8F-EA8F-4AAB-8C80-8E611EE43EFA}"/>
    <cellStyle name="Comma 8 5 3 4 2" xfId="12707" xr:uid="{40B952A3-2656-4FCC-AD2D-F07283A3BDDF}"/>
    <cellStyle name="Comma 8 5 3 4 2 2" xfId="27827" xr:uid="{CCDFEC14-A952-49EC-8AC9-7E832A5FFFE9}"/>
    <cellStyle name="Comma 8 5 3 4 2 2 2" xfId="58067" xr:uid="{D5B6A796-8A38-4530-9131-9450D6BD1408}"/>
    <cellStyle name="Comma 8 5 3 4 2 3" xfId="42947" xr:uid="{8680005D-0174-49BF-8D21-3938B8E3D90E}"/>
    <cellStyle name="Comma 8 5 3 4 3" xfId="18755" xr:uid="{0858EA73-C6D7-4531-AE86-F7925DFBB138}"/>
    <cellStyle name="Comma 8 5 3 4 3 2" xfId="48995" xr:uid="{B73D8E10-14C2-4C91-9779-CE544214BDAD}"/>
    <cellStyle name="Comma 8 5 3 4 4" xfId="33875" xr:uid="{A84F66EA-5F3E-4F3F-8F7A-2639AE116E3D}"/>
    <cellStyle name="Comma 8 5 3 5" xfId="5147" xr:uid="{A6832237-F4B6-43AD-A969-58EA21AF9ECC}"/>
    <cellStyle name="Comma 8 5 3 5 2" xfId="14219" xr:uid="{E41419A6-63D3-47F3-B40B-98F8E9F2B266}"/>
    <cellStyle name="Comma 8 5 3 5 2 2" xfId="29339" xr:uid="{1EF91665-40CA-429A-AE3D-54903FEADE99}"/>
    <cellStyle name="Comma 8 5 3 5 2 2 2" xfId="59579" xr:uid="{8EC91E5F-E736-4899-BF66-DC4DBE9FB7A6}"/>
    <cellStyle name="Comma 8 5 3 5 2 3" xfId="44459" xr:uid="{AE38E5F9-B933-4884-95EC-02C95DCFF43F}"/>
    <cellStyle name="Comma 8 5 3 5 3" xfId="20267" xr:uid="{48D5837F-2553-4FBE-8300-5FC9C6EF7B04}"/>
    <cellStyle name="Comma 8 5 3 5 3 2" xfId="50507" xr:uid="{C6DDDAC4-AC83-4325-9BE2-70BA802DBF28}"/>
    <cellStyle name="Comma 8 5 3 5 4" xfId="35387" xr:uid="{9D7EF864-3191-4FBE-B54E-5A27BEB2A57E}"/>
    <cellStyle name="Comma 8 5 3 6" xfId="6659" xr:uid="{E4A41B6B-C243-4CE6-832E-1D22313073CF}"/>
    <cellStyle name="Comma 8 5 3 6 2" xfId="21779" xr:uid="{C503B77C-20AC-4E1E-BB8E-055128859890}"/>
    <cellStyle name="Comma 8 5 3 6 2 2" xfId="52019" xr:uid="{8A9D4762-06EC-4A53-8318-A53CA7CFD251}"/>
    <cellStyle name="Comma 8 5 3 6 3" xfId="36899" xr:uid="{847786D9-EBC0-4D02-ABB1-309D606B832C}"/>
    <cellStyle name="Comma 8 5 3 7" xfId="8171" xr:uid="{8A30E52E-D682-46F2-B7EE-EADF1D6F0CF1}"/>
    <cellStyle name="Comma 8 5 3 7 2" xfId="23291" xr:uid="{C387C020-65AF-4D76-A2FA-09B3C6CF4938}"/>
    <cellStyle name="Comma 8 5 3 7 2 2" xfId="53531" xr:uid="{51BC9341-AB71-4EA9-A364-2582D6A6FE6C}"/>
    <cellStyle name="Comma 8 5 3 7 3" xfId="38411" xr:uid="{63991DE7-44D7-42F3-8319-7575CF28566C}"/>
    <cellStyle name="Comma 8 5 3 8" xfId="9683" xr:uid="{8916595A-580D-4F14-B61F-944F26E9940F}"/>
    <cellStyle name="Comma 8 5 3 8 2" xfId="24803" xr:uid="{AB98AB67-2E00-452F-8DDC-0E8B6A236AAD}"/>
    <cellStyle name="Comma 8 5 3 8 2 2" xfId="55043" xr:uid="{10FA0064-639E-45AC-9F79-85E3B2AF2375}"/>
    <cellStyle name="Comma 8 5 3 8 3" xfId="39923" xr:uid="{7A20F3D6-7432-4454-A2D3-3561B4CA4D37}"/>
    <cellStyle name="Comma 8 5 3 9" xfId="15731" xr:uid="{95E70413-522B-494C-842F-13092740352B}"/>
    <cellStyle name="Comma 8 5 3 9 2" xfId="45971" xr:uid="{2486480F-0BAB-4389-928C-920B251F3127}"/>
    <cellStyle name="Comma 8 5 4" xfId="863" xr:uid="{F5ACBE4A-E04A-44FE-B34D-18F2343190AC}"/>
    <cellStyle name="Comma 8 5 4 2" xfId="2375" xr:uid="{11FFB0D6-F18A-43E5-B790-7242CC7A6186}"/>
    <cellStyle name="Comma 8 5 4 2 2" xfId="11447" xr:uid="{6E6A6608-0674-4064-82D0-39DB1E0E9F00}"/>
    <cellStyle name="Comma 8 5 4 2 2 2" xfId="26567" xr:uid="{652AD912-C3F0-424A-B445-773862E3415B}"/>
    <cellStyle name="Comma 8 5 4 2 2 2 2" xfId="56807" xr:uid="{FCF8389E-F4C9-44DF-AE21-EB40C8BC5D40}"/>
    <cellStyle name="Comma 8 5 4 2 2 3" xfId="41687" xr:uid="{8197DD8E-60BF-4C78-BE9D-92478044D897}"/>
    <cellStyle name="Comma 8 5 4 2 3" xfId="17495" xr:uid="{1D497EAC-6C8D-4A72-92B4-C1A7605F12CF}"/>
    <cellStyle name="Comma 8 5 4 2 3 2" xfId="47735" xr:uid="{4FB2B157-0084-4C09-AE5C-ABFED7903C68}"/>
    <cellStyle name="Comma 8 5 4 2 4" xfId="32615" xr:uid="{57BF0688-7F9F-4268-BC94-C094B9EB2D62}"/>
    <cellStyle name="Comma 8 5 4 3" xfId="3887" xr:uid="{2FB6652B-1B1D-4C2D-BC93-E7D55BB13384}"/>
    <cellStyle name="Comma 8 5 4 3 2" xfId="12959" xr:uid="{E37DCFC8-FD4D-441E-948E-546A0F5EA429}"/>
    <cellStyle name="Comma 8 5 4 3 2 2" xfId="28079" xr:uid="{9DEF79A6-E344-49B5-B4C3-6B27D36754DC}"/>
    <cellStyle name="Comma 8 5 4 3 2 2 2" xfId="58319" xr:uid="{808B2FA8-C65E-48E4-972A-5108842654CD}"/>
    <cellStyle name="Comma 8 5 4 3 2 3" xfId="43199" xr:uid="{AC81733A-08C0-49C4-938D-A5AD2F4D96C1}"/>
    <cellStyle name="Comma 8 5 4 3 3" xfId="19007" xr:uid="{AC464AE3-D37F-4C46-82FF-4FBBF5B365D3}"/>
    <cellStyle name="Comma 8 5 4 3 3 2" xfId="49247" xr:uid="{B1620042-77BF-4F12-9871-24DD29440A2B}"/>
    <cellStyle name="Comma 8 5 4 3 4" xfId="34127" xr:uid="{250D9C3F-A84A-49EF-A330-5CA6BB5403CF}"/>
    <cellStyle name="Comma 8 5 4 4" xfId="5399" xr:uid="{2787FE92-EA5C-407A-9B26-7DE042D5863A}"/>
    <cellStyle name="Comma 8 5 4 4 2" xfId="14471" xr:uid="{FF044357-1767-4BBD-B6DF-CF34E4EAC87B}"/>
    <cellStyle name="Comma 8 5 4 4 2 2" xfId="29591" xr:uid="{58516455-5725-4E7A-9F8A-CF076E0E29C2}"/>
    <cellStyle name="Comma 8 5 4 4 2 2 2" xfId="59831" xr:uid="{7EF140E2-9F78-42DB-ABBC-4D2D5D81810F}"/>
    <cellStyle name="Comma 8 5 4 4 2 3" xfId="44711" xr:uid="{45B9AAD1-56DD-4479-B7AA-CDC3EA98F666}"/>
    <cellStyle name="Comma 8 5 4 4 3" xfId="20519" xr:uid="{65982AFC-F1A9-4FD4-8F47-4B2D61F84D2A}"/>
    <cellStyle name="Comma 8 5 4 4 3 2" xfId="50759" xr:uid="{76A8E83C-F7A2-4DE4-BD5C-789F9CE92595}"/>
    <cellStyle name="Comma 8 5 4 4 4" xfId="35639" xr:uid="{4DA5A6FB-D23F-4068-9A13-23AE851D538D}"/>
    <cellStyle name="Comma 8 5 4 5" xfId="6911" xr:uid="{7B09CEC5-B22E-4CF9-A739-CE77A468D718}"/>
    <cellStyle name="Comma 8 5 4 5 2" xfId="22031" xr:uid="{AE02D3CF-351B-4C82-A920-C60234E707AC}"/>
    <cellStyle name="Comma 8 5 4 5 2 2" xfId="52271" xr:uid="{49D0C113-FE19-4DE9-B13A-1618A97EA04E}"/>
    <cellStyle name="Comma 8 5 4 5 3" xfId="37151" xr:uid="{DBC6DF3D-B82B-40B2-AD67-C36CC06DD20D}"/>
    <cellStyle name="Comma 8 5 4 6" xfId="8423" xr:uid="{955B7B4A-87AB-49A6-AF5C-C6581D8AF4AA}"/>
    <cellStyle name="Comma 8 5 4 6 2" xfId="23543" xr:uid="{804A5BE9-075C-4F9A-88EF-E878FAA5AE9B}"/>
    <cellStyle name="Comma 8 5 4 6 2 2" xfId="53783" xr:uid="{1FA21E6C-E712-4D18-A0EC-B7A21FB6FB9F}"/>
    <cellStyle name="Comma 8 5 4 6 3" xfId="38663" xr:uid="{53CEF8B0-3255-43B9-9333-F33BA60ADFC2}"/>
    <cellStyle name="Comma 8 5 4 7" xfId="9935" xr:uid="{DB76482E-03B7-4FF3-96D1-7B455D657BA4}"/>
    <cellStyle name="Comma 8 5 4 7 2" xfId="25055" xr:uid="{735B9A11-ED8D-47F7-8177-2F1D675F374B}"/>
    <cellStyle name="Comma 8 5 4 7 2 2" xfId="55295" xr:uid="{01D0861F-71A1-466B-918B-C967D22FB9F5}"/>
    <cellStyle name="Comma 8 5 4 7 3" xfId="40175" xr:uid="{424E7371-0741-48FA-A9E5-A86B2E4B5AD7}"/>
    <cellStyle name="Comma 8 5 4 8" xfId="15983" xr:uid="{DFA3B3EB-B1C9-4081-A3EC-E6B5F0072144}"/>
    <cellStyle name="Comma 8 5 4 8 2" xfId="46223" xr:uid="{3F26694C-CF17-4703-9B9B-E5324E124072}"/>
    <cellStyle name="Comma 8 5 4 9" xfId="31103" xr:uid="{00550491-BD47-4593-91C8-8C85F7DAC5B2}"/>
    <cellStyle name="Comma 8 5 5" xfId="1619" xr:uid="{DB35576B-3921-4A3C-A891-4EF2EC7528E1}"/>
    <cellStyle name="Comma 8 5 5 2" xfId="10691" xr:uid="{46E2F50E-84E9-4E56-BF40-A77F35662690}"/>
    <cellStyle name="Comma 8 5 5 2 2" xfId="25811" xr:uid="{F527C85F-963B-4F14-B14A-FA76062EAD72}"/>
    <cellStyle name="Comma 8 5 5 2 2 2" xfId="56051" xr:uid="{4E15D574-5E07-4A16-9D8B-9F4E0B7D0085}"/>
    <cellStyle name="Comma 8 5 5 2 3" xfId="40931" xr:uid="{0F463626-D497-4F7D-AAFD-6FA445AD2916}"/>
    <cellStyle name="Comma 8 5 5 3" xfId="16739" xr:uid="{C1697628-8F85-4F67-984B-DA05657B1607}"/>
    <cellStyle name="Comma 8 5 5 3 2" xfId="46979" xr:uid="{5765BA39-1725-487D-BC9C-6F7A7DDA42E9}"/>
    <cellStyle name="Comma 8 5 5 4" xfId="31859" xr:uid="{ACF04129-E1FA-4E03-B8AB-5A389FA1BEA0}"/>
    <cellStyle name="Comma 8 5 6" xfId="3131" xr:uid="{2B158E87-79BF-454D-95E5-44DAE17E9D03}"/>
    <cellStyle name="Comma 8 5 6 2" xfId="12203" xr:uid="{80346C66-09C7-4A4E-834D-617A418BC14A}"/>
    <cellStyle name="Comma 8 5 6 2 2" xfId="27323" xr:uid="{65BFBAB6-50D0-4F82-AD5E-20D5D364DBE2}"/>
    <cellStyle name="Comma 8 5 6 2 2 2" xfId="57563" xr:uid="{9015CBF1-EE48-4113-B2ED-DEF9C8485E6D}"/>
    <cellStyle name="Comma 8 5 6 2 3" xfId="42443" xr:uid="{7948D943-C45D-4974-8ECD-EE311FFCEC44}"/>
    <cellStyle name="Comma 8 5 6 3" xfId="18251" xr:uid="{E2FE73F0-EEE8-4794-B766-9D19825040B9}"/>
    <cellStyle name="Comma 8 5 6 3 2" xfId="48491" xr:uid="{5F7D3B81-CAEF-4F06-88EC-6CC2FE14B5F6}"/>
    <cellStyle name="Comma 8 5 6 4" xfId="33371" xr:uid="{295F9E1D-FF70-4EB8-82AA-2535BF0B919A}"/>
    <cellStyle name="Comma 8 5 7" xfId="4643" xr:uid="{0207A0C2-2BD5-4192-BF99-BF5F96479EF7}"/>
    <cellStyle name="Comma 8 5 7 2" xfId="13715" xr:uid="{2761F03C-108C-485F-BBB5-9F7FEA873E35}"/>
    <cellStyle name="Comma 8 5 7 2 2" xfId="28835" xr:uid="{4CAF318D-E2B6-4CA3-A236-7F0CE4A240E6}"/>
    <cellStyle name="Comma 8 5 7 2 2 2" xfId="59075" xr:uid="{F78DB7A3-0903-4531-8213-2DCEDD22918E}"/>
    <cellStyle name="Comma 8 5 7 2 3" xfId="43955" xr:uid="{BF352CD1-F07B-4920-8CB1-2F03292159DF}"/>
    <cellStyle name="Comma 8 5 7 3" xfId="19763" xr:uid="{35DE4279-53F0-4816-B9E2-A032473D4C5D}"/>
    <cellStyle name="Comma 8 5 7 3 2" xfId="50003" xr:uid="{B3602629-F69D-47CD-B02C-E8FDBE184830}"/>
    <cellStyle name="Comma 8 5 7 4" xfId="34883" xr:uid="{95EA5F44-DB8B-4268-9CAF-38B6EE3839A4}"/>
    <cellStyle name="Comma 8 5 8" xfId="6155" xr:uid="{7C4122A8-DB11-4C42-BBCF-9DB48E3FD3AA}"/>
    <cellStyle name="Comma 8 5 8 2" xfId="21275" xr:uid="{350A4C94-3007-4DC6-9443-D4DC3F76506B}"/>
    <cellStyle name="Comma 8 5 8 2 2" xfId="51515" xr:uid="{43293588-780E-4D49-A963-9FAAF0708C60}"/>
    <cellStyle name="Comma 8 5 8 3" xfId="36395" xr:uid="{5B4F8AC0-78CC-49B5-BC4D-DA238C263A8F}"/>
    <cellStyle name="Comma 8 5 9" xfId="7667" xr:uid="{8E12B24F-9323-401B-A553-FEAF42FEDCCE}"/>
    <cellStyle name="Comma 8 5 9 2" xfId="22787" xr:uid="{6D4CECB0-5725-427E-AB23-F5639DCBFF97}"/>
    <cellStyle name="Comma 8 5 9 2 2" xfId="53027" xr:uid="{ABD3858D-38E2-4457-B747-C9D10BB7C54C}"/>
    <cellStyle name="Comma 8 5 9 3" xfId="37907" xr:uid="{7A1D06E5-F7A8-425C-A912-AD7C7A9B6487}"/>
    <cellStyle name="Comma 8 6" xfId="191" xr:uid="{1591E076-A22E-4017-8A1F-C03CF15D7C5B}"/>
    <cellStyle name="Comma 8 6 10" xfId="9263" xr:uid="{036E84B2-6C06-4213-B0E2-9E680EA8BB81}"/>
    <cellStyle name="Comma 8 6 10 2" xfId="24383" xr:uid="{68AA64C9-9B3F-43F4-AAC0-6D6A9BEB5CF3}"/>
    <cellStyle name="Comma 8 6 10 2 2" xfId="54623" xr:uid="{55E7C652-B40F-4885-8833-C938CDA3ECEB}"/>
    <cellStyle name="Comma 8 6 10 3" xfId="39503" xr:uid="{920A95D0-A45B-4FC9-8EDF-6E8A67652B34}"/>
    <cellStyle name="Comma 8 6 11" xfId="15311" xr:uid="{A6E0DB03-869B-483C-8973-08407FE6F3E7}"/>
    <cellStyle name="Comma 8 6 11 2" xfId="45551" xr:uid="{11720AFA-5699-4A51-9225-DE99846C6C44}"/>
    <cellStyle name="Comma 8 6 12" xfId="30431" xr:uid="{872A3FEC-681B-4E5F-AA91-90FEC9166788}"/>
    <cellStyle name="Comma 8 6 2" xfId="443" xr:uid="{BD657F79-2C28-4036-BB20-B939A34B7201}"/>
    <cellStyle name="Comma 8 6 2 10" xfId="30683" xr:uid="{DDBE74D0-3E62-4753-9502-E0688056B257}"/>
    <cellStyle name="Comma 8 6 2 2" xfId="1199" xr:uid="{92F5287B-ED7C-47BE-A0DE-F378D618CBBD}"/>
    <cellStyle name="Comma 8 6 2 2 2" xfId="2711" xr:uid="{C8F2DDCB-692B-43BC-A30D-521116A2D76C}"/>
    <cellStyle name="Comma 8 6 2 2 2 2" xfId="11783" xr:uid="{453579E5-66EB-4035-B345-2F668B12587A}"/>
    <cellStyle name="Comma 8 6 2 2 2 2 2" xfId="26903" xr:uid="{78EA2419-5246-402E-B28B-E7D7BBC052FE}"/>
    <cellStyle name="Comma 8 6 2 2 2 2 2 2" xfId="57143" xr:uid="{6C72869E-3E28-4AA7-981C-508E1F12B3D8}"/>
    <cellStyle name="Comma 8 6 2 2 2 2 3" xfId="42023" xr:uid="{61B70C05-B52A-44CA-8429-AB4B07BE885C}"/>
    <cellStyle name="Comma 8 6 2 2 2 3" xfId="17831" xr:uid="{CF5AA045-E6C3-45F1-A659-0142278EB80F}"/>
    <cellStyle name="Comma 8 6 2 2 2 3 2" xfId="48071" xr:uid="{F104ACF8-EB25-47D5-9572-653F9EE8C844}"/>
    <cellStyle name="Comma 8 6 2 2 2 4" xfId="32951" xr:uid="{A0A2CB04-38AC-4670-BDE0-0405D9771707}"/>
    <cellStyle name="Comma 8 6 2 2 3" xfId="4223" xr:uid="{5E90C20A-5AA8-4847-A5A9-8AFB0ABFD38E}"/>
    <cellStyle name="Comma 8 6 2 2 3 2" xfId="13295" xr:uid="{AC5A19F2-42C8-4B6D-A5A7-D07A973F5ED4}"/>
    <cellStyle name="Comma 8 6 2 2 3 2 2" xfId="28415" xr:uid="{F1F924DA-FA57-4051-9D07-909D3402EF53}"/>
    <cellStyle name="Comma 8 6 2 2 3 2 2 2" xfId="58655" xr:uid="{495B8BB1-A83D-45FB-BB9D-2403FC650D57}"/>
    <cellStyle name="Comma 8 6 2 2 3 2 3" xfId="43535" xr:uid="{55BDD920-0B87-47FC-994C-AA5D0DB69A87}"/>
    <cellStyle name="Comma 8 6 2 2 3 3" xfId="19343" xr:uid="{49DE3E6A-17FA-4CB6-92F2-90D67A6AD627}"/>
    <cellStyle name="Comma 8 6 2 2 3 3 2" xfId="49583" xr:uid="{CF46EC4B-7F94-4438-B324-B59551EEFDFE}"/>
    <cellStyle name="Comma 8 6 2 2 3 4" xfId="34463" xr:uid="{B8B3F5B6-F2E2-42DF-A7EF-AB34CD3C5778}"/>
    <cellStyle name="Comma 8 6 2 2 4" xfId="5735" xr:uid="{C15EC5A3-2EB1-4C92-BF3A-02818DE80766}"/>
    <cellStyle name="Comma 8 6 2 2 4 2" xfId="14807" xr:uid="{5D121AD3-6DD6-45FC-8A40-D67105713954}"/>
    <cellStyle name="Comma 8 6 2 2 4 2 2" xfId="29927" xr:uid="{5D948B0A-F1AD-4560-B23A-B34D21D4CCE9}"/>
    <cellStyle name="Comma 8 6 2 2 4 2 2 2" xfId="60167" xr:uid="{8D8FF451-6CB1-491C-B353-4D9A10B04B46}"/>
    <cellStyle name="Comma 8 6 2 2 4 2 3" xfId="45047" xr:uid="{48E74879-8794-43A6-92A1-CC3F2345988F}"/>
    <cellStyle name="Comma 8 6 2 2 4 3" xfId="20855" xr:uid="{E5DBAD8E-A176-4A88-BB32-DA4030A8E058}"/>
    <cellStyle name="Comma 8 6 2 2 4 3 2" xfId="51095" xr:uid="{F9BBFDF7-DF50-422E-BCD2-725F6D0D484C}"/>
    <cellStyle name="Comma 8 6 2 2 4 4" xfId="35975" xr:uid="{C8334E96-F621-4DD0-8814-CBF53FD847EA}"/>
    <cellStyle name="Comma 8 6 2 2 5" xfId="7247" xr:uid="{C0EA74CA-EBF2-4109-993E-78531736865E}"/>
    <cellStyle name="Comma 8 6 2 2 5 2" xfId="22367" xr:uid="{E566A5EE-4461-4DAB-8825-2EB74009DD74}"/>
    <cellStyle name="Comma 8 6 2 2 5 2 2" xfId="52607" xr:uid="{F41EF3F9-0A11-4D14-8FDC-828AE57FA40B}"/>
    <cellStyle name="Comma 8 6 2 2 5 3" xfId="37487" xr:uid="{7A51A217-7E85-4D05-9330-9783B43832F3}"/>
    <cellStyle name="Comma 8 6 2 2 6" xfId="8759" xr:uid="{E0678E24-36D7-4113-A40F-568D0664B16D}"/>
    <cellStyle name="Comma 8 6 2 2 6 2" xfId="23879" xr:uid="{21E818CB-B978-4345-B82B-6E7D166B5BBF}"/>
    <cellStyle name="Comma 8 6 2 2 6 2 2" xfId="54119" xr:uid="{6965D7C9-4769-4B84-B6A0-D11A386EFF7F}"/>
    <cellStyle name="Comma 8 6 2 2 6 3" xfId="38999" xr:uid="{24DC8B00-4CB3-4F6A-8C17-58E773B5D079}"/>
    <cellStyle name="Comma 8 6 2 2 7" xfId="10271" xr:uid="{0983496A-470D-48BC-924C-1084D5916CD5}"/>
    <cellStyle name="Comma 8 6 2 2 7 2" xfId="25391" xr:uid="{D1CB7A76-31FE-412A-ACEA-483D3952283B}"/>
    <cellStyle name="Comma 8 6 2 2 7 2 2" xfId="55631" xr:uid="{4C887612-A887-4EA7-A430-48C13CEB50CB}"/>
    <cellStyle name="Comma 8 6 2 2 7 3" xfId="40511" xr:uid="{21946252-2713-4D58-96A2-3695999B3817}"/>
    <cellStyle name="Comma 8 6 2 2 8" xfId="16319" xr:uid="{0A3ACA9B-0AF8-4606-8CB7-E437B51F8EB7}"/>
    <cellStyle name="Comma 8 6 2 2 8 2" xfId="46559" xr:uid="{7ED4B1FE-4D29-4BFB-84FF-E779A7BEA43C}"/>
    <cellStyle name="Comma 8 6 2 2 9" xfId="31439" xr:uid="{CDAEF523-5B93-4A6D-B56B-9FB3B0723917}"/>
    <cellStyle name="Comma 8 6 2 3" xfId="1955" xr:uid="{AD6712B2-E146-47BA-B26C-72FA283C56D2}"/>
    <cellStyle name="Comma 8 6 2 3 2" xfId="11027" xr:uid="{E10A3814-764E-4E91-843C-B3713B6AC94A}"/>
    <cellStyle name="Comma 8 6 2 3 2 2" xfId="26147" xr:uid="{47C42DBE-5319-4DD6-8ED4-FD8F90775221}"/>
    <cellStyle name="Comma 8 6 2 3 2 2 2" xfId="56387" xr:uid="{7317517A-2B32-432C-865E-5686D32E7B45}"/>
    <cellStyle name="Comma 8 6 2 3 2 3" xfId="41267" xr:uid="{03710A24-C29B-4456-AFEB-725DD571B80A}"/>
    <cellStyle name="Comma 8 6 2 3 3" xfId="17075" xr:uid="{C40EB8BB-4B7D-45F6-BF12-4B8CEF129749}"/>
    <cellStyle name="Comma 8 6 2 3 3 2" xfId="47315" xr:uid="{B4792591-41CF-4811-888C-EF9743A2BE67}"/>
    <cellStyle name="Comma 8 6 2 3 4" xfId="32195" xr:uid="{26293807-4640-4430-AA65-93E947A0F163}"/>
    <cellStyle name="Comma 8 6 2 4" xfId="3467" xr:uid="{E010B835-6FEB-4539-912D-81B16B257200}"/>
    <cellStyle name="Comma 8 6 2 4 2" xfId="12539" xr:uid="{2388F359-9ED7-49D4-A87E-79F0AB4F1540}"/>
    <cellStyle name="Comma 8 6 2 4 2 2" xfId="27659" xr:uid="{91EE048A-F41C-4661-9AED-D67325CA692F}"/>
    <cellStyle name="Comma 8 6 2 4 2 2 2" xfId="57899" xr:uid="{9738167F-1725-44E0-8E55-218FC9A78AB9}"/>
    <cellStyle name="Comma 8 6 2 4 2 3" xfId="42779" xr:uid="{288D57A5-8CDD-4756-893D-F935214FB32E}"/>
    <cellStyle name="Comma 8 6 2 4 3" xfId="18587" xr:uid="{1DC4368C-71BE-4579-AD65-42D8CCC24408}"/>
    <cellStyle name="Comma 8 6 2 4 3 2" xfId="48827" xr:uid="{249FF403-D7C7-48DB-A630-D04E49078D69}"/>
    <cellStyle name="Comma 8 6 2 4 4" xfId="33707" xr:uid="{1484E1C4-93D7-4F7A-BA4A-DB7935FFC1A8}"/>
    <cellStyle name="Comma 8 6 2 5" xfId="4979" xr:uid="{9727CF91-EF79-4DB4-BA44-7D5D07848930}"/>
    <cellStyle name="Comma 8 6 2 5 2" xfId="14051" xr:uid="{52418151-48A7-48F9-9B1A-76E4FC5D203F}"/>
    <cellStyle name="Comma 8 6 2 5 2 2" xfId="29171" xr:uid="{B7189A36-3185-4681-8927-C56F50D27D75}"/>
    <cellStyle name="Comma 8 6 2 5 2 2 2" xfId="59411" xr:uid="{19F2C593-61EE-4BB4-ACA3-9180AED7C190}"/>
    <cellStyle name="Comma 8 6 2 5 2 3" xfId="44291" xr:uid="{E3D392CA-69B4-48BD-BC4F-EAA9047024A5}"/>
    <cellStyle name="Comma 8 6 2 5 3" xfId="20099" xr:uid="{F6E7C786-9F9D-4B85-8E82-168E07919262}"/>
    <cellStyle name="Comma 8 6 2 5 3 2" xfId="50339" xr:uid="{187BA68C-196E-4985-8949-B8F3DF86AE93}"/>
    <cellStyle name="Comma 8 6 2 5 4" xfId="35219" xr:uid="{118BC398-568C-4218-B78C-F707E84C729A}"/>
    <cellStyle name="Comma 8 6 2 6" xfId="6491" xr:uid="{DB829311-0DBD-4942-BDB7-465E875A3D83}"/>
    <cellStyle name="Comma 8 6 2 6 2" xfId="21611" xr:uid="{FE2D1E2E-E3F7-4358-9178-EA3E2867D69B}"/>
    <cellStyle name="Comma 8 6 2 6 2 2" xfId="51851" xr:uid="{8C1AAC66-6A06-4002-98CA-534DDA3CED16}"/>
    <cellStyle name="Comma 8 6 2 6 3" xfId="36731" xr:uid="{F7D2F2AF-8969-4409-805C-57BE05692EA1}"/>
    <cellStyle name="Comma 8 6 2 7" xfId="8003" xr:uid="{FE02A5A5-9C66-41FD-B084-9BDF866933F0}"/>
    <cellStyle name="Comma 8 6 2 7 2" xfId="23123" xr:uid="{4CABD359-3785-499B-AC88-183E5E4EF2B8}"/>
    <cellStyle name="Comma 8 6 2 7 2 2" xfId="53363" xr:uid="{97D30600-C4C5-4A92-8120-77E0BF74B2E9}"/>
    <cellStyle name="Comma 8 6 2 7 3" xfId="38243" xr:uid="{B87471A1-34C8-4C91-8617-33956BA6C53C}"/>
    <cellStyle name="Comma 8 6 2 8" xfId="9515" xr:uid="{991FD6DA-5353-4CB9-B6C9-72D1FE7979FB}"/>
    <cellStyle name="Comma 8 6 2 8 2" xfId="24635" xr:uid="{ADB74608-64FD-4AB6-83EF-F38205489BA1}"/>
    <cellStyle name="Comma 8 6 2 8 2 2" xfId="54875" xr:uid="{041CB28B-7EBB-4167-BAE8-B461520B650F}"/>
    <cellStyle name="Comma 8 6 2 8 3" xfId="39755" xr:uid="{C50DE5FA-8A36-464D-A654-7040C70F9B26}"/>
    <cellStyle name="Comma 8 6 2 9" xfId="15563" xr:uid="{F53EE0D8-D9B5-4BC9-A825-2399922462D2}"/>
    <cellStyle name="Comma 8 6 2 9 2" xfId="45803" xr:uid="{C0D32813-D248-424E-A73A-E59CF45ADC11}"/>
    <cellStyle name="Comma 8 6 3" xfId="695" xr:uid="{020AC544-B21D-475D-A6D1-139DF91B9056}"/>
    <cellStyle name="Comma 8 6 3 10" xfId="30935" xr:uid="{2F5E7CE5-03A4-41BE-B3C1-684C0F119817}"/>
    <cellStyle name="Comma 8 6 3 2" xfId="1451" xr:uid="{470C9E23-72CE-4529-87D8-10EA10DF9C32}"/>
    <cellStyle name="Comma 8 6 3 2 2" xfId="2963" xr:uid="{149BFC86-5057-4600-AC30-0EFA007F132E}"/>
    <cellStyle name="Comma 8 6 3 2 2 2" xfId="12035" xr:uid="{878B61F6-30A1-4929-9D41-0FDF199176B6}"/>
    <cellStyle name="Comma 8 6 3 2 2 2 2" xfId="27155" xr:uid="{0023E3D7-CFF1-4CA1-BC48-0FE5FBA03342}"/>
    <cellStyle name="Comma 8 6 3 2 2 2 2 2" xfId="57395" xr:uid="{877D2327-AE78-486A-BDB9-C23D741EE472}"/>
    <cellStyle name="Comma 8 6 3 2 2 2 3" xfId="42275" xr:uid="{F1379E6B-AF99-4B3E-A542-F59D85C15878}"/>
    <cellStyle name="Comma 8 6 3 2 2 3" xfId="18083" xr:uid="{7126C62A-51C1-40A1-944C-27FDD20A9825}"/>
    <cellStyle name="Comma 8 6 3 2 2 3 2" xfId="48323" xr:uid="{C7B4DF57-2515-4125-8C53-1CE0C244E50B}"/>
    <cellStyle name="Comma 8 6 3 2 2 4" xfId="33203" xr:uid="{15497A9F-575D-45A7-9199-EF0ACCEF9666}"/>
    <cellStyle name="Comma 8 6 3 2 3" xfId="4475" xr:uid="{0130E11B-3F58-4809-AF3C-E959F1D04F3C}"/>
    <cellStyle name="Comma 8 6 3 2 3 2" xfId="13547" xr:uid="{E617CABB-54FD-4855-922D-D590DFE6B6D6}"/>
    <cellStyle name="Comma 8 6 3 2 3 2 2" xfId="28667" xr:uid="{CC1C4AF4-B119-4072-8A5B-8C5B1C8AAFD8}"/>
    <cellStyle name="Comma 8 6 3 2 3 2 2 2" xfId="58907" xr:uid="{0EB1FB1A-7843-4C66-AD03-D80BA6CD8B34}"/>
    <cellStyle name="Comma 8 6 3 2 3 2 3" xfId="43787" xr:uid="{17A7C0EC-2990-4199-8391-74B7282961F6}"/>
    <cellStyle name="Comma 8 6 3 2 3 3" xfId="19595" xr:uid="{6BEB476A-7BD7-4355-B9F0-0F4D17BC38B9}"/>
    <cellStyle name="Comma 8 6 3 2 3 3 2" xfId="49835" xr:uid="{4B34A1DC-2211-4AA2-B4AE-A3ED0D35670E}"/>
    <cellStyle name="Comma 8 6 3 2 3 4" xfId="34715" xr:uid="{D2521EAB-19CD-4F49-BE77-67E0795CC67A}"/>
    <cellStyle name="Comma 8 6 3 2 4" xfId="5987" xr:uid="{AFA51C12-F409-4D00-AB4B-097A63A4FA69}"/>
    <cellStyle name="Comma 8 6 3 2 4 2" xfId="15059" xr:uid="{0211D597-CD3A-4F28-A9D5-F603F39E79E2}"/>
    <cellStyle name="Comma 8 6 3 2 4 2 2" xfId="30179" xr:uid="{CD8A131F-DDDE-46C9-AF8D-E9C40FD46023}"/>
    <cellStyle name="Comma 8 6 3 2 4 2 2 2" xfId="60419" xr:uid="{486BCFE6-93F5-48B9-B107-F334730C1436}"/>
    <cellStyle name="Comma 8 6 3 2 4 2 3" xfId="45299" xr:uid="{C9537D1B-A345-486C-B608-6B14420D5AF6}"/>
    <cellStyle name="Comma 8 6 3 2 4 3" xfId="21107" xr:uid="{0F287A2D-343C-4383-B03E-54B1266B207D}"/>
    <cellStyle name="Comma 8 6 3 2 4 3 2" xfId="51347" xr:uid="{97B6A713-501D-45DC-9DF2-B1AEF6426A1D}"/>
    <cellStyle name="Comma 8 6 3 2 4 4" xfId="36227" xr:uid="{59046F62-B3F9-403B-88DF-22C3B7687B51}"/>
    <cellStyle name="Comma 8 6 3 2 5" xfId="7499" xr:uid="{0CCF92A2-E15A-426B-90CB-F83492C3E45A}"/>
    <cellStyle name="Comma 8 6 3 2 5 2" xfId="22619" xr:uid="{E057EFDD-637E-40A9-A23D-4F4C2B9AF18E}"/>
    <cellStyle name="Comma 8 6 3 2 5 2 2" xfId="52859" xr:uid="{EA1B1D28-BA39-43F7-87DA-A409055581B5}"/>
    <cellStyle name="Comma 8 6 3 2 5 3" xfId="37739" xr:uid="{543C0649-72D4-4642-96C4-2031750EB11D}"/>
    <cellStyle name="Comma 8 6 3 2 6" xfId="9011" xr:uid="{84EE89C9-53D4-4CC6-BE7F-89B2FBEE69C4}"/>
    <cellStyle name="Comma 8 6 3 2 6 2" xfId="24131" xr:uid="{3243C1C4-1DFF-461A-B054-58D6F81E5CE0}"/>
    <cellStyle name="Comma 8 6 3 2 6 2 2" xfId="54371" xr:uid="{702DEE00-F0D4-4344-8B70-7AD46768F9ED}"/>
    <cellStyle name="Comma 8 6 3 2 6 3" xfId="39251" xr:uid="{A377B156-0EA8-4C1F-9ECE-B675F319A761}"/>
    <cellStyle name="Comma 8 6 3 2 7" xfId="10523" xr:uid="{08C32F4F-1288-48AB-9D04-7ED78B9BD0D8}"/>
    <cellStyle name="Comma 8 6 3 2 7 2" xfId="25643" xr:uid="{1301C2FC-D7C7-4200-85F4-2AB843238346}"/>
    <cellStyle name="Comma 8 6 3 2 7 2 2" xfId="55883" xr:uid="{A3771C44-7FB3-47E1-B7A6-3A2C9B1906E4}"/>
    <cellStyle name="Comma 8 6 3 2 7 3" xfId="40763" xr:uid="{A390ED87-6EC2-4A03-8B84-0AA4FABCC51A}"/>
    <cellStyle name="Comma 8 6 3 2 8" xfId="16571" xr:uid="{6DFCC3B8-B5D8-45D6-9928-38B5E857A646}"/>
    <cellStyle name="Comma 8 6 3 2 8 2" xfId="46811" xr:uid="{29902669-17E1-470D-87CA-18C31B5B5438}"/>
    <cellStyle name="Comma 8 6 3 2 9" xfId="31691" xr:uid="{0C1C20DD-985E-4525-9EA8-52434A5C2426}"/>
    <cellStyle name="Comma 8 6 3 3" xfId="2207" xr:uid="{1D83940A-FFCF-4BCF-8220-CB3F6FBA3E22}"/>
    <cellStyle name="Comma 8 6 3 3 2" xfId="11279" xr:uid="{94D34498-68EF-4307-B710-6A49AE653D5C}"/>
    <cellStyle name="Comma 8 6 3 3 2 2" xfId="26399" xr:uid="{D5BA4080-10EC-43E5-8670-BE7B0AB9240D}"/>
    <cellStyle name="Comma 8 6 3 3 2 2 2" xfId="56639" xr:uid="{A83ABC27-54EE-4A3E-95BC-DB91D7E2DD17}"/>
    <cellStyle name="Comma 8 6 3 3 2 3" xfId="41519" xr:uid="{A89C3DF7-D3C9-4521-AAD9-C6152067C1F5}"/>
    <cellStyle name="Comma 8 6 3 3 3" xfId="17327" xr:uid="{684849CF-C04D-4D1B-B93A-0EA10CFED6D5}"/>
    <cellStyle name="Comma 8 6 3 3 3 2" xfId="47567" xr:uid="{4B60FAAD-94AC-4F51-9C9E-3B46074683B1}"/>
    <cellStyle name="Comma 8 6 3 3 4" xfId="32447" xr:uid="{880D3D3C-C4E5-4450-8106-0853790231D7}"/>
    <cellStyle name="Comma 8 6 3 4" xfId="3719" xr:uid="{8D2498EE-9D56-4236-BBE2-77592E01D91A}"/>
    <cellStyle name="Comma 8 6 3 4 2" xfId="12791" xr:uid="{48FAEDA6-77A3-49ED-98C8-E66F8263DD3F}"/>
    <cellStyle name="Comma 8 6 3 4 2 2" xfId="27911" xr:uid="{31880C81-4CF4-4BB5-9D7B-D49F7CB3B74B}"/>
    <cellStyle name="Comma 8 6 3 4 2 2 2" xfId="58151" xr:uid="{303EE704-96D1-40AC-A520-FEB710233B36}"/>
    <cellStyle name="Comma 8 6 3 4 2 3" xfId="43031" xr:uid="{FA046BEE-9E8A-4C8E-B989-9A02E569A284}"/>
    <cellStyle name="Comma 8 6 3 4 3" xfId="18839" xr:uid="{920DAB92-9CD5-4DF7-9AC4-FEDABFB30067}"/>
    <cellStyle name="Comma 8 6 3 4 3 2" xfId="49079" xr:uid="{11F91FF1-675A-457A-8FDB-8A29BBEB0DDD}"/>
    <cellStyle name="Comma 8 6 3 4 4" xfId="33959" xr:uid="{909D37B1-D0E3-41A5-9F3F-1BAC91707270}"/>
    <cellStyle name="Comma 8 6 3 5" xfId="5231" xr:uid="{C0214234-44D6-4343-B1D3-F7AA42786DF2}"/>
    <cellStyle name="Comma 8 6 3 5 2" xfId="14303" xr:uid="{7F9CA9AF-CCF8-4510-A462-57DFAFD21466}"/>
    <cellStyle name="Comma 8 6 3 5 2 2" xfId="29423" xr:uid="{100D8BC6-EEFD-45F1-8ADA-07D9D9EFF01C}"/>
    <cellStyle name="Comma 8 6 3 5 2 2 2" xfId="59663" xr:uid="{3B246270-358C-497D-AA1D-1DD4BFFED64B}"/>
    <cellStyle name="Comma 8 6 3 5 2 3" xfId="44543" xr:uid="{72B321BA-9F41-4758-ABB8-6D1374DAAAC1}"/>
    <cellStyle name="Comma 8 6 3 5 3" xfId="20351" xr:uid="{3B835DA0-8A22-462D-A2CD-D80F7ACE9749}"/>
    <cellStyle name="Comma 8 6 3 5 3 2" xfId="50591" xr:uid="{71816DE7-984D-46EB-B9CB-C36C38E7E502}"/>
    <cellStyle name="Comma 8 6 3 5 4" xfId="35471" xr:uid="{D720C541-A553-4FAF-9CCD-732D1B389DA4}"/>
    <cellStyle name="Comma 8 6 3 6" xfId="6743" xr:uid="{4D64BCA3-CDDB-4C54-83F4-8B1EB3AC4285}"/>
    <cellStyle name="Comma 8 6 3 6 2" xfId="21863" xr:uid="{0CBE6E2E-4958-4766-9403-C2EECC6882B2}"/>
    <cellStyle name="Comma 8 6 3 6 2 2" xfId="52103" xr:uid="{2F781ED8-972C-4195-94C4-056F4126CCA1}"/>
    <cellStyle name="Comma 8 6 3 6 3" xfId="36983" xr:uid="{121AA690-BE92-4538-BA84-F3F044540A53}"/>
    <cellStyle name="Comma 8 6 3 7" xfId="8255" xr:uid="{2C1A2C54-0ED0-4752-9EB8-059D3A0C43EC}"/>
    <cellStyle name="Comma 8 6 3 7 2" xfId="23375" xr:uid="{DF2B0D47-7468-4431-A68B-C13E7845705D}"/>
    <cellStyle name="Comma 8 6 3 7 2 2" xfId="53615" xr:uid="{74D6DDBB-4732-4E07-9395-AED5EAA661F5}"/>
    <cellStyle name="Comma 8 6 3 7 3" xfId="38495" xr:uid="{69E09961-876E-48AA-8ED7-B90BEDA51989}"/>
    <cellStyle name="Comma 8 6 3 8" xfId="9767" xr:uid="{BF1E775F-62C6-4C11-BB78-EF091BD46D0D}"/>
    <cellStyle name="Comma 8 6 3 8 2" xfId="24887" xr:uid="{172B1B33-84EB-40CA-9BCA-5C196FDDEA5E}"/>
    <cellStyle name="Comma 8 6 3 8 2 2" xfId="55127" xr:uid="{5247BE2F-D30D-4404-9EB2-499545DE8FD1}"/>
    <cellStyle name="Comma 8 6 3 8 3" xfId="40007" xr:uid="{E9F4977E-0456-413A-957F-E911FBEE6243}"/>
    <cellStyle name="Comma 8 6 3 9" xfId="15815" xr:uid="{A75F6C05-413E-440A-96ED-3E1BEDCB6563}"/>
    <cellStyle name="Comma 8 6 3 9 2" xfId="46055" xr:uid="{5F59BBF5-BF03-40A9-8ABE-BF5AD9EFAF63}"/>
    <cellStyle name="Comma 8 6 4" xfId="947" xr:uid="{713179CD-B9D1-47A7-AEEA-EAD2D6608B07}"/>
    <cellStyle name="Comma 8 6 4 2" xfId="2459" xr:uid="{D53E5701-F399-4743-8F6F-49E7D6915643}"/>
    <cellStyle name="Comma 8 6 4 2 2" xfId="11531" xr:uid="{C1C78552-5258-405A-A083-1DF73FC8E6FA}"/>
    <cellStyle name="Comma 8 6 4 2 2 2" xfId="26651" xr:uid="{822D1C77-32B5-47CB-94C8-44AB931A10D3}"/>
    <cellStyle name="Comma 8 6 4 2 2 2 2" xfId="56891" xr:uid="{AEB37867-C2D1-428C-BBEE-D942DB5CF155}"/>
    <cellStyle name="Comma 8 6 4 2 2 3" xfId="41771" xr:uid="{93C63ACB-2966-4D7C-9BA1-4ED9DAD82B05}"/>
    <cellStyle name="Comma 8 6 4 2 3" xfId="17579" xr:uid="{DDA5FF66-1A1F-4251-B704-267F9C71A88A}"/>
    <cellStyle name="Comma 8 6 4 2 3 2" xfId="47819" xr:uid="{9D873DE1-3260-4D90-9010-9E6515D9848E}"/>
    <cellStyle name="Comma 8 6 4 2 4" xfId="32699" xr:uid="{8C9507CC-A48B-4DF6-99F0-8EF97B2BF189}"/>
    <cellStyle name="Comma 8 6 4 3" xfId="3971" xr:uid="{E719833D-1BBA-415B-AD1C-3BEF94CD151E}"/>
    <cellStyle name="Comma 8 6 4 3 2" xfId="13043" xr:uid="{D14C27AA-0AA3-4D56-B168-B6D2F61D7B76}"/>
    <cellStyle name="Comma 8 6 4 3 2 2" xfId="28163" xr:uid="{6ABFD3C0-6F0D-437A-9C0C-FBF4876DABA7}"/>
    <cellStyle name="Comma 8 6 4 3 2 2 2" xfId="58403" xr:uid="{37B3F85A-3326-4B51-9AB7-FE8ADE83B5AE}"/>
    <cellStyle name="Comma 8 6 4 3 2 3" xfId="43283" xr:uid="{162D6CE6-DE76-45E5-80D9-B58EF50A4312}"/>
    <cellStyle name="Comma 8 6 4 3 3" xfId="19091" xr:uid="{10C8F4BC-B82C-4497-9466-73F72FD434BB}"/>
    <cellStyle name="Comma 8 6 4 3 3 2" xfId="49331" xr:uid="{64ADB2E6-5618-4757-9C2A-A075BA37908E}"/>
    <cellStyle name="Comma 8 6 4 3 4" xfId="34211" xr:uid="{8F26F145-F714-46AB-8FCD-74B354CD9867}"/>
    <cellStyle name="Comma 8 6 4 4" xfId="5483" xr:uid="{AB0357DA-9912-4A13-8669-AD78C8E1A4EC}"/>
    <cellStyle name="Comma 8 6 4 4 2" xfId="14555" xr:uid="{9BFFAC1C-36D7-491D-8FB8-81C05F7A24EB}"/>
    <cellStyle name="Comma 8 6 4 4 2 2" xfId="29675" xr:uid="{C66DE296-CA72-4AC2-B2FC-6D32026A7918}"/>
    <cellStyle name="Comma 8 6 4 4 2 2 2" xfId="59915" xr:uid="{819F611B-A1AC-475D-A2EA-444E11315675}"/>
    <cellStyle name="Comma 8 6 4 4 2 3" xfId="44795" xr:uid="{4ED2AA02-B267-40DE-80DC-10810F6A24CF}"/>
    <cellStyle name="Comma 8 6 4 4 3" xfId="20603" xr:uid="{D2B5CEC9-B8AC-4FEB-BFD8-9198E3EB072B}"/>
    <cellStyle name="Comma 8 6 4 4 3 2" xfId="50843" xr:uid="{1AB7402A-83A5-4A53-8F01-3A72F397F5F6}"/>
    <cellStyle name="Comma 8 6 4 4 4" xfId="35723" xr:uid="{4CA73BD6-1307-460E-A185-344E22260142}"/>
    <cellStyle name="Comma 8 6 4 5" xfId="6995" xr:uid="{17955D5E-5D6A-4D40-9681-43C469E9A7CC}"/>
    <cellStyle name="Comma 8 6 4 5 2" xfId="22115" xr:uid="{89EEF8E3-2B30-431F-AAF5-2E6DED9D9D55}"/>
    <cellStyle name="Comma 8 6 4 5 2 2" xfId="52355" xr:uid="{64F86795-3E0B-4F2E-B1B1-F8A4ABF63DFB}"/>
    <cellStyle name="Comma 8 6 4 5 3" xfId="37235" xr:uid="{E9152DEF-9999-46A0-9264-FF4865A2B493}"/>
    <cellStyle name="Comma 8 6 4 6" xfId="8507" xr:uid="{BF5997CF-9A32-491F-B1F0-B2FC32EF40BD}"/>
    <cellStyle name="Comma 8 6 4 6 2" xfId="23627" xr:uid="{AFD475C8-A03C-4260-B065-B638AD179E97}"/>
    <cellStyle name="Comma 8 6 4 6 2 2" xfId="53867" xr:uid="{FD5D1582-6AD6-41A3-81A3-4288CA420A38}"/>
    <cellStyle name="Comma 8 6 4 6 3" xfId="38747" xr:uid="{9BE5E9F2-24BC-47BF-ABE0-BCAF383D0059}"/>
    <cellStyle name="Comma 8 6 4 7" xfId="10019" xr:uid="{51AE5902-A474-449F-A6FD-4E1A9FE0A942}"/>
    <cellStyle name="Comma 8 6 4 7 2" xfId="25139" xr:uid="{A96EAF69-51F9-43FE-835A-4AEF0EE70F90}"/>
    <cellStyle name="Comma 8 6 4 7 2 2" xfId="55379" xr:uid="{036B553B-E1E8-47B4-8EA7-485CDCC3F32B}"/>
    <cellStyle name="Comma 8 6 4 7 3" xfId="40259" xr:uid="{FB891778-677C-465D-9C38-7FB12621F451}"/>
    <cellStyle name="Comma 8 6 4 8" xfId="16067" xr:uid="{BF2B1947-C347-40CD-958D-89B359CCDBDB}"/>
    <cellStyle name="Comma 8 6 4 8 2" xfId="46307" xr:uid="{4FF0E3F3-7948-42A3-AFEA-58EABDE6591B}"/>
    <cellStyle name="Comma 8 6 4 9" xfId="31187" xr:uid="{769A3C7A-64BA-4DAB-877D-0395ED068185}"/>
    <cellStyle name="Comma 8 6 5" xfId="1703" xr:uid="{E736B2D7-210B-46D2-ABC3-1EDC3DEA043E}"/>
    <cellStyle name="Comma 8 6 5 2" xfId="10775" xr:uid="{B21A8A2C-579E-4EC5-B605-4903D58639B8}"/>
    <cellStyle name="Comma 8 6 5 2 2" xfId="25895" xr:uid="{5D8B5AFE-ACFA-44A0-8D31-58D7500BE96B}"/>
    <cellStyle name="Comma 8 6 5 2 2 2" xfId="56135" xr:uid="{D7CB9837-CDC8-4C05-9472-EE44266E6B44}"/>
    <cellStyle name="Comma 8 6 5 2 3" xfId="41015" xr:uid="{B051B7FB-63D6-4787-B083-B39AD29A38DB}"/>
    <cellStyle name="Comma 8 6 5 3" xfId="16823" xr:uid="{31A8CDBF-09DF-4D13-A80A-8E96088BD4F1}"/>
    <cellStyle name="Comma 8 6 5 3 2" xfId="47063" xr:uid="{D3BC5CD8-F5E6-4540-83DC-DAD624737C27}"/>
    <cellStyle name="Comma 8 6 5 4" xfId="31943" xr:uid="{C446677C-8E79-475A-855F-840246286A37}"/>
    <cellStyle name="Comma 8 6 6" xfId="3215" xr:uid="{E7D810A1-8F47-481A-A6DF-4A7EF36D08F4}"/>
    <cellStyle name="Comma 8 6 6 2" xfId="12287" xr:uid="{5F4B1155-844F-4984-86B6-B771088C2606}"/>
    <cellStyle name="Comma 8 6 6 2 2" xfId="27407" xr:uid="{CCEF6E93-D26A-4C47-83CC-D08BB55AB46F}"/>
    <cellStyle name="Comma 8 6 6 2 2 2" xfId="57647" xr:uid="{5CF312A5-4B36-45A2-91FD-459A2D9D4199}"/>
    <cellStyle name="Comma 8 6 6 2 3" xfId="42527" xr:uid="{4016FD9E-A1C4-4B51-B6C2-B1FD45058335}"/>
    <cellStyle name="Comma 8 6 6 3" xfId="18335" xr:uid="{D33C60F8-BA20-4484-B3C5-2C8DB8E3ABCC}"/>
    <cellStyle name="Comma 8 6 6 3 2" xfId="48575" xr:uid="{F5C25D03-1E0E-424A-9C67-4E82F2A7902E}"/>
    <cellStyle name="Comma 8 6 6 4" xfId="33455" xr:uid="{16D3748F-B94B-4414-B140-6B8F563A71A8}"/>
    <cellStyle name="Comma 8 6 7" xfId="4727" xr:uid="{4550BEB7-C3F1-42FE-97C1-CBE07A8A36E5}"/>
    <cellStyle name="Comma 8 6 7 2" xfId="13799" xr:uid="{E2EABC17-B2E0-4008-AE96-FC8DBDB642DC}"/>
    <cellStyle name="Comma 8 6 7 2 2" xfId="28919" xr:uid="{EE5F24BD-141E-4397-A135-35198A806C10}"/>
    <cellStyle name="Comma 8 6 7 2 2 2" xfId="59159" xr:uid="{F96BCD01-E156-49AD-8FC4-540E2D9F397A}"/>
    <cellStyle name="Comma 8 6 7 2 3" xfId="44039" xr:uid="{750DD771-61F9-4CFC-9D0C-943361A15368}"/>
    <cellStyle name="Comma 8 6 7 3" xfId="19847" xr:uid="{A5BB8CF6-7648-42CC-BFFF-E4A072CB307D}"/>
    <cellStyle name="Comma 8 6 7 3 2" xfId="50087" xr:uid="{40FA8925-5411-4FB7-AB01-9927950EAEF3}"/>
    <cellStyle name="Comma 8 6 7 4" xfId="34967" xr:uid="{EE3BF2E2-2ABA-403E-959E-EF5C38562683}"/>
    <cellStyle name="Comma 8 6 8" xfId="6239" xr:uid="{AB9CD5DD-BDD5-4725-87BA-AD5EF1F3DFC4}"/>
    <cellStyle name="Comma 8 6 8 2" xfId="21359" xr:uid="{86D8F1DF-9E21-4B98-8747-59B3FB58FEB1}"/>
    <cellStyle name="Comma 8 6 8 2 2" xfId="51599" xr:uid="{6635259A-5B54-40F9-9765-8AE20DF70338}"/>
    <cellStyle name="Comma 8 6 8 3" xfId="36479" xr:uid="{3D1AFEF8-A8FD-48D5-885B-02D10A5F87B0}"/>
    <cellStyle name="Comma 8 6 9" xfId="7751" xr:uid="{702F603A-0F8E-4C85-8DD0-FF9965172C9B}"/>
    <cellStyle name="Comma 8 6 9 2" xfId="22871" xr:uid="{CD59FA41-6DB9-4054-A835-9C2B4F1FC05E}"/>
    <cellStyle name="Comma 8 6 9 2 2" xfId="53111" xr:uid="{332D8C6A-3572-4D5A-9E84-7B581BDE2C03}"/>
    <cellStyle name="Comma 8 6 9 3" xfId="37991" xr:uid="{54A9568D-6CBE-4C33-8164-0980804736DD}"/>
    <cellStyle name="Comma 8 7" xfId="275" xr:uid="{8490C292-C795-410C-830F-F545B71041B7}"/>
    <cellStyle name="Comma 8 7 10" xfId="30515" xr:uid="{FA34BD29-DF93-430F-9328-0C5E030A0224}"/>
    <cellStyle name="Comma 8 7 2" xfId="1031" xr:uid="{9A0C6741-7628-4AB3-A9B5-9CEA7C494008}"/>
    <cellStyle name="Comma 8 7 2 2" xfId="2543" xr:uid="{4984D021-D382-4BE7-B15F-054DE302D370}"/>
    <cellStyle name="Comma 8 7 2 2 2" xfId="11615" xr:uid="{BD5C5114-032D-4A9A-935C-3407A3E6EFE2}"/>
    <cellStyle name="Comma 8 7 2 2 2 2" xfId="26735" xr:uid="{70B4F29F-26A0-4CD2-91CD-8A41FEB715BB}"/>
    <cellStyle name="Comma 8 7 2 2 2 2 2" xfId="56975" xr:uid="{E0ABD815-B0F8-4000-A5C2-BA9F8FAD2D87}"/>
    <cellStyle name="Comma 8 7 2 2 2 3" xfId="41855" xr:uid="{1DBF868A-E4DB-482D-8F5C-0D8BC1F811D4}"/>
    <cellStyle name="Comma 8 7 2 2 3" xfId="17663" xr:uid="{03E915B2-7F4E-4862-AE3D-7C153E90711E}"/>
    <cellStyle name="Comma 8 7 2 2 3 2" xfId="47903" xr:uid="{EB0F2949-74D5-4F1A-AEEA-2427DDC39AB0}"/>
    <cellStyle name="Comma 8 7 2 2 4" xfId="32783" xr:uid="{E486ECA1-2232-47A4-BF41-5337D8CF34D3}"/>
    <cellStyle name="Comma 8 7 2 3" xfId="4055" xr:uid="{CE61DBFB-0738-4468-9999-682F9BDF9D17}"/>
    <cellStyle name="Comma 8 7 2 3 2" xfId="13127" xr:uid="{3909B653-9B2F-4CEC-B580-399605937ACC}"/>
    <cellStyle name="Comma 8 7 2 3 2 2" xfId="28247" xr:uid="{AF10D043-47B3-4A54-AF91-1EDEE2455180}"/>
    <cellStyle name="Comma 8 7 2 3 2 2 2" xfId="58487" xr:uid="{872BF7ED-5DFF-4029-BC37-A3B77D18822C}"/>
    <cellStyle name="Comma 8 7 2 3 2 3" xfId="43367" xr:uid="{B6E864BE-E39F-4DCA-AED7-B95B0BA9ECA0}"/>
    <cellStyle name="Comma 8 7 2 3 3" xfId="19175" xr:uid="{A64E53FF-8CEC-47B1-B3EC-28014DE3991D}"/>
    <cellStyle name="Comma 8 7 2 3 3 2" xfId="49415" xr:uid="{A082ACDC-340F-42EE-B285-1079B553462F}"/>
    <cellStyle name="Comma 8 7 2 3 4" xfId="34295" xr:uid="{31A2BCAE-509B-4BFC-A601-89B5C6D0857E}"/>
    <cellStyle name="Comma 8 7 2 4" xfId="5567" xr:uid="{EDA6B6AE-9113-4025-BCA9-050661760DA6}"/>
    <cellStyle name="Comma 8 7 2 4 2" xfId="14639" xr:uid="{56D4D846-1B49-44ED-A207-A0F5B258015C}"/>
    <cellStyle name="Comma 8 7 2 4 2 2" xfId="29759" xr:uid="{4A4B690C-2651-4680-B41E-040CCBB4D908}"/>
    <cellStyle name="Comma 8 7 2 4 2 2 2" xfId="59999" xr:uid="{E96CAC20-AE09-449F-B17A-A6EFAAEFFACE}"/>
    <cellStyle name="Comma 8 7 2 4 2 3" xfId="44879" xr:uid="{8CCC80C1-D11A-4090-B28D-AF6268A62384}"/>
    <cellStyle name="Comma 8 7 2 4 3" xfId="20687" xr:uid="{45AA33E3-5837-44BA-B296-EBA85FCD2725}"/>
    <cellStyle name="Comma 8 7 2 4 3 2" xfId="50927" xr:uid="{D924D009-5364-4302-BE90-C42FDF658BCF}"/>
    <cellStyle name="Comma 8 7 2 4 4" xfId="35807" xr:uid="{79AFE7A6-5954-4E6F-869E-256F53AA2807}"/>
    <cellStyle name="Comma 8 7 2 5" xfId="7079" xr:uid="{8420F82A-0E68-46BC-B0F0-AD97CB6292CC}"/>
    <cellStyle name="Comma 8 7 2 5 2" xfId="22199" xr:uid="{566BE5F3-689F-4C04-92FA-0FD2953AFF49}"/>
    <cellStyle name="Comma 8 7 2 5 2 2" xfId="52439" xr:uid="{97EE1F48-7028-4D4C-B907-4708D484B765}"/>
    <cellStyle name="Comma 8 7 2 5 3" xfId="37319" xr:uid="{A21C0365-BE94-4EC5-BCAB-0DBB693724D8}"/>
    <cellStyle name="Comma 8 7 2 6" xfId="8591" xr:uid="{2F1667DB-5616-4428-997B-455291166E8A}"/>
    <cellStyle name="Comma 8 7 2 6 2" xfId="23711" xr:uid="{60555172-4514-4665-B252-D826CFCE7227}"/>
    <cellStyle name="Comma 8 7 2 6 2 2" xfId="53951" xr:uid="{DE04B850-390C-449A-943C-B5EDCBF4F57D}"/>
    <cellStyle name="Comma 8 7 2 6 3" xfId="38831" xr:uid="{4FCC0C18-2F04-4E30-A489-3C5964664B7D}"/>
    <cellStyle name="Comma 8 7 2 7" xfId="10103" xr:uid="{C09F3B1F-DAAB-471B-B00B-A26DF59A32C0}"/>
    <cellStyle name="Comma 8 7 2 7 2" xfId="25223" xr:uid="{6F11ACF7-A4E0-441F-96F3-802A646DED95}"/>
    <cellStyle name="Comma 8 7 2 7 2 2" xfId="55463" xr:uid="{20D8D8FB-085F-483F-907B-1C4ED3EB99DA}"/>
    <cellStyle name="Comma 8 7 2 7 3" xfId="40343" xr:uid="{D9C04CD2-955D-4F03-82AF-2582ED0B45B7}"/>
    <cellStyle name="Comma 8 7 2 8" xfId="16151" xr:uid="{E877E75D-FDDB-4E20-9D33-99568A09B1A5}"/>
    <cellStyle name="Comma 8 7 2 8 2" xfId="46391" xr:uid="{D22F49B6-6D88-4095-A686-0D38F3AE4F62}"/>
    <cellStyle name="Comma 8 7 2 9" xfId="31271" xr:uid="{4A6031E6-62AD-44B4-8647-8907DAF5F13F}"/>
    <cellStyle name="Comma 8 7 3" xfId="1787" xr:uid="{2DFAD33E-8756-4746-8FC4-9E103C067D85}"/>
    <cellStyle name="Comma 8 7 3 2" xfId="10859" xr:uid="{705B8467-3700-4B98-BEB3-4D39E1D20082}"/>
    <cellStyle name="Comma 8 7 3 2 2" xfId="25979" xr:uid="{51083590-EFBD-4594-99B3-50865955C67E}"/>
    <cellStyle name="Comma 8 7 3 2 2 2" xfId="56219" xr:uid="{393FDCDC-C235-41FE-8B0D-D674F3B243CF}"/>
    <cellStyle name="Comma 8 7 3 2 3" xfId="41099" xr:uid="{7DDE9602-E43B-404A-AABD-EDEEF39AF549}"/>
    <cellStyle name="Comma 8 7 3 3" xfId="16907" xr:uid="{31969C8E-7306-4BBA-A4B5-752469190361}"/>
    <cellStyle name="Comma 8 7 3 3 2" xfId="47147" xr:uid="{53925822-0355-4F98-92B2-2B8E366BC0DF}"/>
    <cellStyle name="Comma 8 7 3 4" xfId="32027" xr:uid="{E065B528-0340-4466-B8FE-9C3B68DF7E5D}"/>
    <cellStyle name="Comma 8 7 4" xfId="3299" xr:uid="{F22AB1CB-3E12-4FD8-B5DE-0B413EC37625}"/>
    <cellStyle name="Comma 8 7 4 2" xfId="12371" xr:uid="{FFA3CA7A-E849-4BC4-9D98-D55245D0FE7F}"/>
    <cellStyle name="Comma 8 7 4 2 2" xfId="27491" xr:uid="{159F2D70-BE6E-429B-B6BC-06B846179A22}"/>
    <cellStyle name="Comma 8 7 4 2 2 2" xfId="57731" xr:uid="{CD9D22E8-2B6D-49F9-A5A0-C72FA443F662}"/>
    <cellStyle name="Comma 8 7 4 2 3" xfId="42611" xr:uid="{E7174304-600E-43D5-815E-2856DE3DBC12}"/>
    <cellStyle name="Comma 8 7 4 3" xfId="18419" xr:uid="{90616009-C76C-4D19-8CCF-5F0A2010C4C5}"/>
    <cellStyle name="Comma 8 7 4 3 2" xfId="48659" xr:uid="{0F227F6F-D5E4-4F2A-9C89-086ED7D79ED6}"/>
    <cellStyle name="Comma 8 7 4 4" xfId="33539" xr:uid="{21D36386-A48A-4D12-804B-CF40B78E5519}"/>
    <cellStyle name="Comma 8 7 5" xfId="4811" xr:uid="{3D30138C-3448-462C-8218-9D658320C638}"/>
    <cellStyle name="Comma 8 7 5 2" xfId="13883" xr:uid="{A4BB502F-5D9C-4456-9590-7F21C197F823}"/>
    <cellStyle name="Comma 8 7 5 2 2" xfId="29003" xr:uid="{8BEB2804-6906-42F7-88D8-7345B88D4C7E}"/>
    <cellStyle name="Comma 8 7 5 2 2 2" xfId="59243" xr:uid="{4CA78BFF-8EBE-4EC3-AC87-398A826F0382}"/>
    <cellStyle name="Comma 8 7 5 2 3" xfId="44123" xr:uid="{D268B366-F350-455C-B9A3-2A20E98006CF}"/>
    <cellStyle name="Comma 8 7 5 3" xfId="19931" xr:uid="{034F5017-8054-4AAE-865D-2444F4A45FD1}"/>
    <cellStyle name="Comma 8 7 5 3 2" xfId="50171" xr:uid="{77FB00C7-A186-49C4-BD61-98809CEDA26C}"/>
    <cellStyle name="Comma 8 7 5 4" xfId="35051" xr:uid="{CFCDE20F-9690-47D0-8044-A719677D1069}"/>
    <cellStyle name="Comma 8 7 6" xfId="6323" xr:uid="{BD431E23-1BEA-4979-94DF-685A4D270B58}"/>
    <cellStyle name="Comma 8 7 6 2" xfId="21443" xr:uid="{329D611C-C000-4599-8AD6-1188BE0D9AEE}"/>
    <cellStyle name="Comma 8 7 6 2 2" xfId="51683" xr:uid="{07A5548D-2E12-4ACC-9C69-C2F5B90E71A7}"/>
    <cellStyle name="Comma 8 7 6 3" xfId="36563" xr:uid="{580877B2-35B4-4111-B880-8EB54AE7C3DE}"/>
    <cellStyle name="Comma 8 7 7" xfId="7835" xr:uid="{13478715-03B0-4ACB-B5F6-52655498971B}"/>
    <cellStyle name="Comma 8 7 7 2" xfId="22955" xr:uid="{3E90C098-0DA3-46B8-93AA-C845C6F7DDE8}"/>
    <cellStyle name="Comma 8 7 7 2 2" xfId="53195" xr:uid="{05B0FA0E-7ECE-41FB-8EE1-F128F1FAFDB1}"/>
    <cellStyle name="Comma 8 7 7 3" xfId="38075" xr:uid="{20C47713-8EB9-4371-A91C-5FCA98BB0C02}"/>
    <cellStyle name="Comma 8 7 8" xfId="9347" xr:uid="{7419DE1C-1307-42AC-BCCE-E91DE93D0797}"/>
    <cellStyle name="Comma 8 7 8 2" xfId="24467" xr:uid="{504A475C-169F-44C4-B237-47B0D3E7A453}"/>
    <cellStyle name="Comma 8 7 8 2 2" xfId="54707" xr:uid="{69B6B2E2-A9B5-4C0C-8DF3-251A29285164}"/>
    <cellStyle name="Comma 8 7 8 3" xfId="39587" xr:uid="{DB9AEC38-7B54-4E9A-98E5-1ED767E2C1C9}"/>
    <cellStyle name="Comma 8 7 9" xfId="15395" xr:uid="{139EBBAD-65BE-4B27-A567-5A38CEBDC2E8}"/>
    <cellStyle name="Comma 8 7 9 2" xfId="45635" xr:uid="{E030BC6F-2902-45C4-AAF9-5FEDB62DFA92}"/>
    <cellStyle name="Comma 8 8" xfId="527" xr:uid="{46C52226-5961-4222-A718-C6FC59379059}"/>
    <cellStyle name="Comma 8 8 10" xfId="30767" xr:uid="{B44518A0-4752-4ED0-A2E6-9FFB0AFA8959}"/>
    <cellStyle name="Comma 8 8 2" xfId="1283" xr:uid="{C4B48ECA-D6A4-4E6B-8DD8-7E41CF981EE3}"/>
    <cellStyle name="Comma 8 8 2 2" xfId="2795" xr:uid="{BA128A78-EED9-44E2-AA57-282A980D068A}"/>
    <cellStyle name="Comma 8 8 2 2 2" xfId="11867" xr:uid="{D89206D3-2B21-4ABA-8A0E-7C653B73CBF6}"/>
    <cellStyle name="Comma 8 8 2 2 2 2" xfId="26987" xr:uid="{8EAC4F2A-4DD7-48AA-ACDC-A7DA5347E6E8}"/>
    <cellStyle name="Comma 8 8 2 2 2 2 2" xfId="57227" xr:uid="{2C8E7132-1AA1-4B62-B67E-C754597A3C9E}"/>
    <cellStyle name="Comma 8 8 2 2 2 3" xfId="42107" xr:uid="{CA6723E3-B2BA-4B29-B8B4-DF609233B25C}"/>
    <cellStyle name="Comma 8 8 2 2 3" xfId="17915" xr:uid="{74258594-ADB9-497F-8AEE-22D6D5517B35}"/>
    <cellStyle name="Comma 8 8 2 2 3 2" xfId="48155" xr:uid="{BA725B98-AC61-4011-9B84-09092116F6D8}"/>
    <cellStyle name="Comma 8 8 2 2 4" xfId="33035" xr:uid="{488EDC4C-2E29-4178-BEED-06DBA7CB368C}"/>
    <cellStyle name="Comma 8 8 2 3" xfId="4307" xr:uid="{E6223963-4F71-4A5C-9F20-A5D34978D2E7}"/>
    <cellStyle name="Comma 8 8 2 3 2" xfId="13379" xr:uid="{1532A5BB-A350-4DC2-B478-CA8443753365}"/>
    <cellStyle name="Comma 8 8 2 3 2 2" xfId="28499" xr:uid="{B69EE0ED-3982-4965-B047-9AE36B76DE5D}"/>
    <cellStyle name="Comma 8 8 2 3 2 2 2" xfId="58739" xr:uid="{DD93D88B-C2C1-49A6-B15E-6B6ADB5765EB}"/>
    <cellStyle name="Comma 8 8 2 3 2 3" xfId="43619" xr:uid="{D15323DD-2EBC-44D3-BBA8-90206DD5FB2C}"/>
    <cellStyle name="Comma 8 8 2 3 3" xfId="19427" xr:uid="{2A857ED6-4CA1-49B7-8D57-36FF241AC082}"/>
    <cellStyle name="Comma 8 8 2 3 3 2" xfId="49667" xr:uid="{36FC0471-034D-453F-8C35-B11DD6E6C69B}"/>
    <cellStyle name="Comma 8 8 2 3 4" xfId="34547" xr:uid="{707E9523-E91A-401F-A719-03A4F1C87E93}"/>
    <cellStyle name="Comma 8 8 2 4" xfId="5819" xr:uid="{976DE541-583D-4792-97A4-5394A5E38526}"/>
    <cellStyle name="Comma 8 8 2 4 2" xfId="14891" xr:uid="{627F19F8-90E6-4704-B941-741CA4E2521C}"/>
    <cellStyle name="Comma 8 8 2 4 2 2" xfId="30011" xr:uid="{7FE8AD15-D50F-4EE2-9852-90A6BC5208A1}"/>
    <cellStyle name="Comma 8 8 2 4 2 2 2" xfId="60251" xr:uid="{8C2195DB-9BF9-4798-9584-5FA278EE1D70}"/>
    <cellStyle name="Comma 8 8 2 4 2 3" xfId="45131" xr:uid="{E39D3C97-7922-466D-A156-147F23067541}"/>
    <cellStyle name="Comma 8 8 2 4 3" xfId="20939" xr:uid="{6554D453-EA9A-4CA3-B171-4E65BC45526D}"/>
    <cellStyle name="Comma 8 8 2 4 3 2" xfId="51179" xr:uid="{65E8167E-56A6-43A5-B644-CD281D4F76B9}"/>
    <cellStyle name="Comma 8 8 2 4 4" xfId="36059" xr:uid="{83557C99-FA90-4F66-AD28-6A7A9BC6AC88}"/>
    <cellStyle name="Comma 8 8 2 5" xfId="7331" xr:uid="{F7A26699-028E-4D06-B2C2-77F96A1CA5BD}"/>
    <cellStyle name="Comma 8 8 2 5 2" xfId="22451" xr:uid="{CDAD8A7F-A78C-4369-9CF3-103D3F467730}"/>
    <cellStyle name="Comma 8 8 2 5 2 2" xfId="52691" xr:uid="{FD2D1DE4-2EFE-4715-B438-EF5234903DCA}"/>
    <cellStyle name="Comma 8 8 2 5 3" xfId="37571" xr:uid="{29AB2387-31FA-48E1-A937-E0A5EE934E9E}"/>
    <cellStyle name="Comma 8 8 2 6" xfId="8843" xr:uid="{DEED3A8B-01C9-4DD8-B08A-17D9D263F6D1}"/>
    <cellStyle name="Comma 8 8 2 6 2" xfId="23963" xr:uid="{9F81E2A0-1027-4353-988F-4381B80EB475}"/>
    <cellStyle name="Comma 8 8 2 6 2 2" xfId="54203" xr:uid="{9220DCA3-95B1-4AB4-A6F3-642605ED328D}"/>
    <cellStyle name="Comma 8 8 2 6 3" xfId="39083" xr:uid="{5EC257F9-AF7F-4A98-BEC1-9173BF595516}"/>
    <cellStyle name="Comma 8 8 2 7" xfId="10355" xr:uid="{67C0A0C0-A354-4525-86C1-D3A16B6CF62D}"/>
    <cellStyle name="Comma 8 8 2 7 2" xfId="25475" xr:uid="{FDCA107A-23F0-4CB7-BAD4-6FB47A11569F}"/>
    <cellStyle name="Comma 8 8 2 7 2 2" xfId="55715" xr:uid="{7136D9AA-D657-4047-A6FA-B934B9513DA0}"/>
    <cellStyle name="Comma 8 8 2 7 3" xfId="40595" xr:uid="{3C83EDCE-2826-4BAE-92F8-A8E7EC7B0D30}"/>
    <cellStyle name="Comma 8 8 2 8" xfId="16403" xr:uid="{63D8B621-551D-49A8-84B6-052C0A7FACB2}"/>
    <cellStyle name="Comma 8 8 2 8 2" xfId="46643" xr:uid="{544978CA-110C-4A3B-B19B-79D56AF1FCFF}"/>
    <cellStyle name="Comma 8 8 2 9" xfId="31523" xr:uid="{E04D5128-FCC0-49D7-B34D-62FC3B378F8F}"/>
    <cellStyle name="Comma 8 8 3" xfId="2039" xr:uid="{FEEBC247-B04C-40DE-B129-71D95A7738D5}"/>
    <cellStyle name="Comma 8 8 3 2" xfId="11111" xr:uid="{8AEF1B7F-2714-4518-B4EC-A0F9373FD9B3}"/>
    <cellStyle name="Comma 8 8 3 2 2" xfId="26231" xr:uid="{82D1D628-2044-474B-ACE3-E3B84290198A}"/>
    <cellStyle name="Comma 8 8 3 2 2 2" xfId="56471" xr:uid="{2859474D-2DEC-4230-B3D1-EE28DEECB9E3}"/>
    <cellStyle name="Comma 8 8 3 2 3" xfId="41351" xr:uid="{0B5E402B-5BAB-4D41-AC68-C73CACB52F09}"/>
    <cellStyle name="Comma 8 8 3 3" xfId="17159" xr:uid="{DA70D4A1-8210-40D9-A574-EAB8EB31F40A}"/>
    <cellStyle name="Comma 8 8 3 3 2" xfId="47399" xr:uid="{77CB3818-0C53-4758-8A5C-4E7BDC602500}"/>
    <cellStyle name="Comma 8 8 3 4" xfId="32279" xr:uid="{5DA63967-9B0A-4469-AF66-045A13C1E51A}"/>
    <cellStyle name="Comma 8 8 4" xfId="3551" xr:uid="{D1346304-B0A8-4FA7-9078-CDB7D9F9BBDB}"/>
    <cellStyle name="Comma 8 8 4 2" xfId="12623" xr:uid="{DDAAA550-5DE1-4823-A1F4-774EE0E09D73}"/>
    <cellStyle name="Comma 8 8 4 2 2" xfId="27743" xr:uid="{A7B15A7A-C863-4DAC-B4B1-F1ED6A36D268}"/>
    <cellStyle name="Comma 8 8 4 2 2 2" xfId="57983" xr:uid="{558EBDE1-C704-46D4-84E7-B837AE3FB603}"/>
    <cellStyle name="Comma 8 8 4 2 3" xfId="42863" xr:uid="{C57F50A0-46F0-4D25-9E46-0B34424D0363}"/>
    <cellStyle name="Comma 8 8 4 3" xfId="18671" xr:uid="{FC3EA8B5-31A0-41A9-B6F0-B3B5BBA8D9B2}"/>
    <cellStyle name="Comma 8 8 4 3 2" xfId="48911" xr:uid="{23B66B74-4FE7-47E0-B5F4-352623D06AB4}"/>
    <cellStyle name="Comma 8 8 4 4" xfId="33791" xr:uid="{E4672E61-E7A7-4509-8945-A7FF9720868D}"/>
    <cellStyle name="Comma 8 8 5" xfId="5063" xr:uid="{780F570E-9F7B-4D14-80F3-2DB264102B53}"/>
    <cellStyle name="Comma 8 8 5 2" xfId="14135" xr:uid="{05A60004-420C-41C0-9863-45381C537CB7}"/>
    <cellStyle name="Comma 8 8 5 2 2" xfId="29255" xr:uid="{9248F4C2-0B1F-4EA7-812E-D79836123CF6}"/>
    <cellStyle name="Comma 8 8 5 2 2 2" xfId="59495" xr:uid="{D147CA6A-9BB9-4EC5-83CF-DFC69564CFCC}"/>
    <cellStyle name="Comma 8 8 5 2 3" xfId="44375" xr:uid="{99445819-7955-464A-8B0F-24BE00DA8EEC}"/>
    <cellStyle name="Comma 8 8 5 3" xfId="20183" xr:uid="{CCD632CE-D9D1-4D36-84F0-26A3635DA722}"/>
    <cellStyle name="Comma 8 8 5 3 2" xfId="50423" xr:uid="{769616FA-9FE9-4E39-BAFF-9A3176E35835}"/>
    <cellStyle name="Comma 8 8 5 4" xfId="35303" xr:uid="{4A3AEA31-BD4F-430D-AE2A-F1A2F2586B23}"/>
    <cellStyle name="Comma 8 8 6" xfId="6575" xr:uid="{238C437D-A60A-4EDB-85DF-925C070B6D6D}"/>
    <cellStyle name="Comma 8 8 6 2" xfId="21695" xr:uid="{2D3BFD0D-6A8F-4388-B97A-C083B168E208}"/>
    <cellStyle name="Comma 8 8 6 2 2" xfId="51935" xr:uid="{A6BC9C5F-D931-427A-AEE1-8A9C35E00BC8}"/>
    <cellStyle name="Comma 8 8 6 3" xfId="36815" xr:uid="{F5343BA3-0F24-4C0E-8B9E-18D041B5E317}"/>
    <cellStyle name="Comma 8 8 7" xfId="8087" xr:uid="{91F3C930-A8FA-422E-AD20-98AF97FA6376}"/>
    <cellStyle name="Comma 8 8 7 2" xfId="23207" xr:uid="{4693C3CB-C8D1-4F3D-9603-C2D319B6141B}"/>
    <cellStyle name="Comma 8 8 7 2 2" xfId="53447" xr:uid="{58E6F447-D9BB-4727-B8B7-2186BE5A3B0C}"/>
    <cellStyle name="Comma 8 8 7 3" xfId="38327" xr:uid="{42640891-F15A-49E6-9907-DE256E11DA60}"/>
    <cellStyle name="Comma 8 8 8" xfId="9599" xr:uid="{2007DCE4-08C5-4E0C-81D5-06BD60C3A8FE}"/>
    <cellStyle name="Comma 8 8 8 2" xfId="24719" xr:uid="{6CAAD5CE-81A8-4EF4-B7F5-0E1C2F14BB76}"/>
    <cellStyle name="Comma 8 8 8 2 2" xfId="54959" xr:uid="{3AA51937-ACED-42AA-96CF-81F6E1AE6C83}"/>
    <cellStyle name="Comma 8 8 8 3" xfId="39839" xr:uid="{0BFDA7EB-8ED8-478B-9D2B-A918EB3D88DB}"/>
    <cellStyle name="Comma 8 8 9" xfId="15647" xr:uid="{2BFE055F-851D-43FB-8B83-05D770172390}"/>
    <cellStyle name="Comma 8 8 9 2" xfId="45887" xr:uid="{6C0D0999-20D4-4D2C-9869-B20DE774E517}"/>
    <cellStyle name="Comma 8 9" xfId="779" xr:uid="{680C0D2B-E562-4A45-8593-5DD17AB6E620}"/>
    <cellStyle name="Comma 8 9 2" xfId="2291" xr:uid="{0575C79F-EB3F-41C7-896A-164044529D46}"/>
    <cellStyle name="Comma 8 9 2 2" xfId="11363" xr:uid="{0CAC0505-8CDF-4201-9CC6-0A1AFB25A5D2}"/>
    <cellStyle name="Comma 8 9 2 2 2" xfId="26483" xr:uid="{099140BB-89A9-48CF-8D25-4F0740F272E0}"/>
    <cellStyle name="Comma 8 9 2 2 2 2" xfId="56723" xr:uid="{A2F8CC6F-E5AF-4C39-90FE-CC0938B5D3F2}"/>
    <cellStyle name="Comma 8 9 2 2 3" xfId="41603" xr:uid="{1DD98E71-719A-4CE2-A7F1-93685EC67522}"/>
    <cellStyle name="Comma 8 9 2 3" xfId="17411" xr:uid="{F095A4B9-4C5D-42C8-8B44-912FE2CC1CC4}"/>
    <cellStyle name="Comma 8 9 2 3 2" xfId="47651" xr:uid="{956D3B52-7132-46E8-95E9-6554FBA4198B}"/>
    <cellStyle name="Comma 8 9 2 4" xfId="32531" xr:uid="{5058E1DE-6FB9-4D39-B2C0-5D62C74EAA69}"/>
    <cellStyle name="Comma 8 9 3" xfId="3803" xr:uid="{EA5582D0-6CBD-482A-9A87-F7B267C071EA}"/>
    <cellStyle name="Comma 8 9 3 2" xfId="12875" xr:uid="{5A6ED0BE-968B-4500-B5DC-0C6F276A2898}"/>
    <cellStyle name="Comma 8 9 3 2 2" xfId="27995" xr:uid="{46A8FA10-CDE6-44B8-86AE-AF7112B3ABA2}"/>
    <cellStyle name="Comma 8 9 3 2 2 2" xfId="58235" xr:uid="{381DC4EA-31AE-4E4E-9301-D4DF67149EFA}"/>
    <cellStyle name="Comma 8 9 3 2 3" xfId="43115" xr:uid="{FDBC79D8-F041-4BBB-9C11-D2DB26AD82BB}"/>
    <cellStyle name="Comma 8 9 3 3" xfId="18923" xr:uid="{41A12BC3-DCB3-40D6-9B44-00482F8EFE09}"/>
    <cellStyle name="Comma 8 9 3 3 2" xfId="49163" xr:uid="{EFD11184-2CCE-4147-81BB-DF20E8B349C2}"/>
    <cellStyle name="Comma 8 9 3 4" xfId="34043" xr:uid="{C2DFDE04-9567-4BC3-AE59-48D37605E269}"/>
    <cellStyle name="Comma 8 9 4" xfId="5315" xr:uid="{31F1A31C-9F2E-4831-809F-7A2D828E7198}"/>
    <cellStyle name="Comma 8 9 4 2" xfId="14387" xr:uid="{6A6657FF-B799-420B-A037-3D1355BBB12B}"/>
    <cellStyle name="Comma 8 9 4 2 2" xfId="29507" xr:uid="{8F331BFD-1789-4A95-9615-CF928B07DFD2}"/>
    <cellStyle name="Comma 8 9 4 2 2 2" xfId="59747" xr:uid="{5D2E1301-F912-4147-8050-BFAEBB76C175}"/>
    <cellStyle name="Comma 8 9 4 2 3" xfId="44627" xr:uid="{D2EA6993-B981-4D09-9439-A7057FA58760}"/>
    <cellStyle name="Comma 8 9 4 3" xfId="20435" xr:uid="{BE99B108-7F6E-4C56-BA94-81A97BFD9524}"/>
    <cellStyle name="Comma 8 9 4 3 2" xfId="50675" xr:uid="{A5E8C31B-F04D-429B-89B4-DC33D67AC64A}"/>
    <cellStyle name="Comma 8 9 4 4" xfId="35555" xr:uid="{87CAB06B-C0FF-4D3A-8862-2B48A95CF10A}"/>
    <cellStyle name="Comma 8 9 5" xfId="6827" xr:uid="{B0C10D6E-70B1-4727-8018-01DFE69D2E84}"/>
    <cellStyle name="Comma 8 9 5 2" xfId="21947" xr:uid="{C81F289E-91A8-4802-BEAE-089728AE476C}"/>
    <cellStyle name="Comma 8 9 5 2 2" xfId="52187" xr:uid="{C7E1E22C-3CAE-48FB-B814-915B2AAA5618}"/>
    <cellStyle name="Comma 8 9 5 3" xfId="37067" xr:uid="{F4D64873-2057-4F08-B47A-CF05EBFE5C03}"/>
    <cellStyle name="Comma 8 9 6" xfId="8339" xr:uid="{F636C0DA-854A-4D83-A0F6-8628A9E2FE28}"/>
    <cellStyle name="Comma 8 9 6 2" xfId="23459" xr:uid="{1711AAC7-2D7E-485B-9C20-FC497FB1F7B6}"/>
    <cellStyle name="Comma 8 9 6 2 2" xfId="53699" xr:uid="{5C2A5F7E-8402-4453-B5AE-A07C62F509BC}"/>
    <cellStyle name="Comma 8 9 6 3" xfId="38579" xr:uid="{CF8D2E7B-803C-4396-ADD6-271C53D3295F}"/>
    <cellStyle name="Comma 8 9 7" xfId="9851" xr:uid="{A9540BB1-FCC0-4C72-A65C-70F545633560}"/>
    <cellStyle name="Comma 8 9 7 2" xfId="24971" xr:uid="{0F93DA0C-56C3-49A5-BC6E-85727474E200}"/>
    <cellStyle name="Comma 8 9 7 2 2" xfId="55211" xr:uid="{BC6B4A5F-B2C3-4EA7-967B-D09DB71E992D}"/>
    <cellStyle name="Comma 8 9 7 3" xfId="40091" xr:uid="{DA9A06CC-CED4-42FA-8B27-872FCCD9671D}"/>
    <cellStyle name="Comma 8 9 8" xfId="15899" xr:uid="{C2189613-24C2-44D5-BF6A-3FA6F1DAF08B}"/>
    <cellStyle name="Comma 8 9 8 2" xfId="46139" xr:uid="{02042EBD-AEFC-453B-8795-83B60339DE29}"/>
    <cellStyle name="Comma 8 9 9" xfId="31019" xr:uid="{323DC6D2-6E0A-4638-88AC-A4406EB20492}"/>
    <cellStyle name="Comma 9" xfId="24" xr:uid="{007AB32B-901A-4F75-902D-4A3E2CB4660D}"/>
    <cellStyle name="Comma 9 10" xfId="1536" xr:uid="{09F1C1BE-B7B7-486E-B977-377BFA8AABD0}"/>
    <cellStyle name="Comma 9 10 2" xfId="10608" xr:uid="{4A600E76-D0C4-4968-B693-643BA5F0CA36}"/>
    <cellStyle name="Comma 9 10 2 2" xfId="25728" xr:uid="{70867BDA-F05E-40BD-BA56-3075B5EB4CEC}"/>
    <cellStyle name="Comma 9 10 2 2 2" xfId="55968" xr:uid="{73C18BAC-FFB7-44BE-A7A8-F72CF4958F13}"/>
    <cellStyle name="Comma 9 10 2 3" xfId="40848" xr:uid="{E78E00C1-B958-442D-931D-1FF66F8751DD}"/>
    <cellStyle name="Comma 9 10 3" xfId="16656" xr:uid="{30CB87ED-AF6D-4BC9-9909-04E9B3D1940D}"/>
    <cellStyle name="Comma 9 10 3 2" xfId="46896" xr:uid="{B5F9DD3F-BF0C-4C7E-9F49-92B069981A1B}"/>
    <cellStyle name="Comma 9 10 4" xfId="31776" xr:uid="{D95C637A-1579-4469-8CB4-2A58292D98F0}"/>
    <cellStyle name="Comma 9 11" xfId="3048" xr:uid="{8514B674-92C1-492A-B74D-4F594445FC51}"/>
    <cellStyle name="Comma 9 11 2" xfId="12120" xr:uid="{7D82528F-95BE-44DC-A4EE-760D4CCA4DA9}"/>
    <cellStyle name="Comma 9 11 2 2" xfId="27240" xr:uid="{920A4E0F-4BE5-4772-B47B-F6A970F52053}"/>
    <cellStyle name="Comma 9 11 2 2 2" xfId="57480" xr:uid="{9E2EBA6A-C2CA-4C42-B013-C8005605E4EE}"/>
    <cellStyle name="Comma 9 11 2 3" xfId="42360" xr:uid="{F84E2061-1413-4491-AD33-BD7766A10AB6}"/>
    <cellStyle name="Comma 9 11 3" xfId="18168" xr:uid="{07AFA2D6-135D-485B-B1A6-9C0E67543263}"/>
    <cellStyle name="Comma 9 11 3 2" xfId="48408" xr:uid="{87E9E5F2-E8DE-4833-B064-9868350F5ACA}"/>
    <cellStyle name="Comma 9 11 4" xfId="33288" xr:uid="{2FB7243E-E978-4A81-B665-897821AA60D2}"/>
    <cellStyle name="Comma 9 12" xfId="4560" xr:uid="{0A9BEDA2-610F-42AF-AD5C-B0EE552D39D3}"/>
    <cellStyle name="Comma 9 12 2" xfId="13632" xr:uid="{C3400B4A-2840-41EA-AF15-0A9228C797FD}"/>
    <cellStyle name="Comma 9 12 2 2" xfId="28752" xr:uid="{4FA7F325-5495-4A74-A737-580E0AD1249F}"/>
    <cellStyle name="Comma 9 12 2 2 2" xfId="58992" xr:uid="{37350E6A-237B-4A4C-9881-D97987BF04DD}"/>
    <cellStyle name="Comma 9 12 2 3" xfId="43872" xr:uid="{725A8B36-1016-445C-9DE1-CDA3C0413431}"/>
    <cellStyle name="Comma 9 12 3" xfId="19680" xr:uid="{1DDAFA9E-FCE4-4EDC-B075-E9FB115C74E7}"/>
    <cellStyle name="Comma 9 12 3 2" xfId="49920" xr:uid="{36B5B793-D30F-4D61-B8C8-4F2C041FF57F}"/>
    <cellStyle name="Comma 9 12 4" xfId="34800" xr:uid="{D101261B-4EC2-4B71-8566-D8BB5C88D077}"/>
    <cellStyle name="Comma 9 13" xfId="6072" xr:uid="{86B99756-FE36-4CAF-89CC-6933A4CCFC67}"/>
    <cellStyle name="Comma 9 13 2" xfId="21192" xr:uid="{2463587E-F755-479B-9093-774C97028989}"/>
    <cellStyle name="Comma 9 13 2 2" xfId="51432" xr:uid="{55296A06-F7A9-4DEE-937B-0147B8DAC9D9}"/>
    <cellStyle name="Comma 9 13 3" xfId="36312" xr:uid="{E1FC89AA-BA42-4F5D-859C-3563935C77CD}"/>
    <cellStyle name="Comma 9 14" xfId="7584" xr:uid="{12282E28-365B-4860-AA31-FEEC080A8199}"/>
    <cellStyle name="Comma 9 14 2" xfId="22704" xr:uid="{5F6B144D-1AFD-4397-9F15-3DB9CFE78FE3}"/>
    <cellStyle name="Comma 9 14 2 2" xfId="52944" xr:uid="{D07FACBA-69E4-4DE2-A9CA-9F8244974F3B}"/>
    <cellStyle name="Comma 9 14 3" xfId="37824" xr:uid="{C1C70C48-F7FC-44FC-93B4-3747F7F4F59D}"/>
    <cellStyle name="Comma 9 15" xfId="9096" xr:uid="{A3A6C21B-2A96-4CB8-B616-C173563E8F1F}"/>
    <cellStyle name="Comma 9 15 2" xfId="24216" xr:uid="{8469CC67-0510-4FF3-9935-D02AE5FDE70A}"/>
    <cellStyle name="Comma 9 15 2 2" xfId="54456" xr:uid="{E90F2668-32ED-419C-BF1B-8E5B3D8C47AB}"/>
    <cellStyle name="Comma 9 15 3" xfId="39336" xr:uid="{D1498D71-2E2D-4C32-8BE3-81ABA7B66018}"/>
    <cellStyle name="Comma 9 16" xfId="15144" xr:uid="{61CD50AD-E5E0-4BA6-8273-A47C5307B1C4}"/>
    <cellStyle name="Comma 9 16 2" xfId="45384" xr:uid="{99A01B92-0DDC-4E2F-8F14-78ED41BB1DB9}"/>
    <cellStyle name="Comma 9 17" xfId="30264" xr:uid="{B238C582-E9AE-47CE-A70C-BBB6AB99AF58}"/>
    <cellStyle name="Comma 9 2" xfId="38" xr:uid="{F7E59CB9-8995-46E4-9670-53716E3B1C7E}"/>
    <cellStyle name="Comma 9 2 10" xfId="4574" xr:uid="{D2392088-93A7-4EC2-9410-F4AA313C85B4}"/>
    <cellStyle name="Comma 9 2 10 2" xfId="13646" xr:uid="{3F8E37CB-8DC8-4EF5-BA5C-3D9383BEE0D2}"/>
    <cellStyle name="Comma 9 2 10 2 2" xfId="28766" xr:uid="{00BACB1B-9339-4C46-A4C8-A932FD33FB43}"/>
    <cellStyle name="Comma 9 2 10 2 2 2" xfId="59006" xr:uid="{3925E095-EF47-4025-B96C-CC24FBDD6728}"/>
    <cellStyle name="Comma 9 2 10 2 3" xfId="43886" xr:uid="{EE2C2C55-970F-4E5C-95DD-C71C6A3BE1D2}"/>
    <cellStyle name="Comma 9 2 10 3" xfId="19694" xr:uid="{197D1026-1444-422D-8A74-72FDD5F32F9B}"/>
    <cellStyle name="Comma 9 2 10 3 2" xfId="49934" xr:uid="{77B8AB79-EDC0-435F-9989-5773002F974E}"/>
    <cellStyle name="Comma 9 2 10 4" xfId="34814" xr:uid="{DDB7F0D2-07EA-4BA1-9292-06D65C0E63E7}"/>
    <cellStyle name="Comma 9 2 11" xfId="6086" xr:uid="{2ADDE843-82FE-4709-B0D3-73D9BEC9DF65}"/>
    <cellStyle name="Comma 9 2 11 2" xfId="21206" xr:uid="{359BEB86-1FB8-4393-9976-EC6441D237D0}"/>
    <cellStyle name="Comma 9 2 11 2 2" xfId="51446" xr:uid="{1B6D596C-5EC6-4F7A-827B-AE812FE414AD}"/>
    <cellStyle name="Comma 9 2 11 3" xfId="36326" xr:uid="{051E2DB6-F236-4588-A780-D140696B0591}"/>
    <cellStyle name="Comma 9 2 12" xfId="7598" xr:uid="{D1F8AD70-A0DA-458D-BD27-D9D992913586}"/>
    <cellStyle name="Comma 9 2 12 2" xfId="22718" xr:uid="{72375E47-F438-4570-8273-595AC2C16842}"/>
    <cellStyle name="Comma 9 2 12 2 2" xfId="52958" xr:uid="{5B2A2CA0-8AF9-4DC4-9DBA-01A87EEF6A9F}"/>
    <cellStyle name="Comma 9 2 12 3" xfId="37838" xr:uid="{4D4E7AB7-906A-44E5-87A1-A32EB793982B}"/>
    <cellStyle name="Comma 9 2 13" xfId="9110" xr:uid="{524C87FD-794A-4225-B7B0-EC1F594BB0D8}"/>
    <cellStyle name="Comma 9 2 13 2" xfId="24230" xr:uid="{63A7518A-4944-4D60-BFBD-03894E2ED6EF}"/>
    <cellStyle name="Comma 9 2 13 2 2" xfId="54470" xr:uid="{227C45EB-86DF-4EA7-BDCD-5BD8D20571B8}"/>
    <cellStyle name="Comma 9 2 13 3" xfId="39350" xr:uid="{60BE55A2-0167-425D-8905-380704D87B9A}"/>
    <cellStyle name="Comma 9 2 14" xfId="15158" xr:uid="{CD686183-D4D6-4929-8524-401AB6AA6702}"/>
    <cellStyle name="Comma 9 2 14 2" xfId="45398" xr:uid="{2A799375-B2A8-432A-87A8-3106E1265D1B}"/>
    <cellStyle name="Comma 9 2 15" xfId="30278" xr:uid="{13BBBADB-E9FC-42B3-B70F-CAE7AA33DF5C}"/>
    <cellStyle name="Comma 9 2 2" xfId="80" xr:uid="{3550FE6E-FFC7-402F-8CFE-7B39CB34B65D}"/>
    <cellStyle name="Comma 9 2 2 10" xfId="6128" xr:uid="{20579F2A-3DA7-4046-83BF-AE3815BB340E}"/>
    <cellStyle name="Comma 9 2 2 10 2" xfId="21248" xr:uid="{3C65EA78-43A6-4939-834A-F5C5472F71CC}"/>
    <cellStyle name="Comma 9 2 2 10 2 2" xfId="51488" xr:uid="{10633BB7-EEDB-4481-B8C4-35CD89A924B5}"/>
    <cellStyle name="Comma 9 2 2 10 3" xfId="36368" xr:uid="{810ACDE8-51FB-4C61-9433-624EC2D47BD5}"/>
    <cellStyle name="Comma 9 2 2 11" xfId="7640" xr:uid="{D51517C0-F98B-49BB-90EC-DCE52A1FED93}"/>
    <cellStyle name="Comma 9 2 2 11 2" xfId="22760" xr:uid="{F506166B-5D46-4CBC-8276-73AF3A285DB6}"/>
    <cellStyle name="Comma 9 2 2 11 2 2" xfId="53000" xr:uid="{1409AD4D-45E9-46F3-B0A4-B80157D09176}"/>
    <cellStyle name="Comma 9 2 2 11 3" xfId="37880" xr:uid="{2E50EDEC-2E3E-4A96-90D0-3339B9493C01}"/>
    <cellStyle name="Comma 9 2 2 12" xfId="9152" xr:uid="{C47C7B56-55E4-4987-BD79-31C229F70D12}"/>
    <cellStyle name="Comma 9 2 2 12 2" xfId="24272" xr:uid="{CF33D6E3-7080-4C47-A95B-59A7AEE184B8}"/>
    <cellStyle name="Comma 9 2 2 12 2 2" xfId="54512" xr:uid="{3A4C8533-5D38-4694-9DA2-09EA90062CE8}"/>
    <cellStyle name="Comma 9 2 2 12 3" xfId="39392" xr:uid="{6DB51916-604C-4B94-A502-3AF0D5425DC6}"/>
    <cellStyle name="Comma 9 2 2 13" xfId="15200" xr:uid="{8AFEDEF6-F9D2-41D6-BDE3-0E43311A85A8}"/>
    <cellStyle name="Comma 9 2 2 13 2" xfId="45440" xr:uid="{A0422982-0C01-497F-9608-BA474EAF1A4B}"/>
    <cellStyle name="Comma 9 2 2 14" xfId="30320" xr:uid="{9946CBB7-8B26-4EC5-B387-F33AA833DC9E}"/>
    <cellStyle name="Comma 9 2 2 2" xfId="164" xr:uid="{9E599E9F-1D19-456E-BCB2-4E551754C680}"/>
    <cellStyle name="Comma 9 2 2 2 10" xfId="9236" xr:uid="{CF32E908-8E27-45B9-AD71-75D1F546F886}"/>
    <cellStyle name="Comma 9 2 2 2 10 2" xfId="24356" xr:uid="{48C0604D-404D-4AC3-8174-DDA6E22578CC}"/>
    <cellStyle name="Comma 9 2 2 2 10 2 2" xfId="54596" xr:uid="{43F8A6BD-9B50-4CF2-9C3E-CB223D28E3C3}"/>
    <cellStyle name="Comma 9 2 2 2 10 3" xfId="39476" xr:uid="{C5C98B3D-4359-4373-8F67-BE7068E49884}"/>
    <cellStyle name="Comma 9 2 2 2 11" xfId="15284" xr:uid="{2D18A404-5767-4D9F-9976-B6EFF91A02EB}"/>
    <cellStyle name="Comma 9 2 2 2 11 2" xfId="45524" xr:uid="{6E802C14-393A-4E4D-B57A-A3119065640E}"/>
    <cellStyle name="Comma 9 2 2 2 12" xfId="30404" xr:uid="{E457D00D-B199-4735-AA19-2BBFD4100F01}"/>
    <cellStyle name="Comma 9 2 2 2 2" xfId="416" xr:uid="{B276548F-53C1-49AE-A424-BFB1643B1230}"/>
    <cellStyle name="Comma 9 2 2 2 2 10" xfId="30656" xr:uid="{8CE23B26-BC12-43E7-A439-B10C2FC0A065}"/>
    <cellStyle name="Comma 9 2 2 2 2 2" xfId="1172" xr:uid="{2FF5D8BA-F4F1-434A-ADA7-B2BCBB5A027D}"/>
    <cellStyle name="Comma 9 2 2 2 2 2 2" xfId="2684" xr:uid="{1DD6620D-8DE3-4F77-9468-CB266AEF52EC}"/>
    <cellStyle name="Comma 9 2 2 2 2 2 2 2" xfId="11756" xr:uid="{C39D4CD7-07C9-46D7-8606-E199CF181505}"/>
    <cellStyle name="Comma 9 2 2 2 2 2 2 2 2" xfId="26876" xr:uid="{9FE727C2-8A0D-4B9D-93C6-6ED9575A7BC7}"/>
    <cellStyle name="Comma 9 2 2 2 2 2 2 2 2 2" xfId="57116" xr:uid="{27889B09-C73F-4B72-812E-4E26873BD391}"/>
    <cellStyle name="Comma 9 2 2 2 2 2 2 2 3" xfId="41996" xr:uid="{4673430B-1EFC-46B3-9678-4B0D7C659030}"/>
    <cellStyle name="Comma 9 2 2 2 2 2 2 3" xfId="17804" xr:uid="{D92FC60B-1D94-4A56-BA8B-00115CABF58D}"/>
    <cellStyle name="Comma 9 2 2 2 2 2 2 3 2" xfId="48044" xr:uid="{3FC253E1-31B9-43E9-9446-3F34C14B94BB}"/>
    <cellStyle name="Comma 9 2 2 2 2 2 2 4" xfId="32924" xr:uid="{6E494443-9618-4A8D-8E1C-831771A9CF54}"/>
    <cellStyle name="Comma 9 2 2 2 2 2 3" xfId="4196" xr:uid="{2B83FF9B-8266-45B9-AF21-7A2C7E4FA99E}"/>
    <cellStyle name="Comma 9 2 2 2 2 2 3 2" xfId="13268" xr:uid="{366E0E53-E4BD-4590-80F4-F1DF986F5CFF}"/>
    <cellStyle name="Comma 9 2 2 2 2 2 3 2 2" xfId="28388" xr:uid="{D4F7CD9F-7021-4DDF-84BB-0E1E1E90872A}"/>
    <cellStyle name="Comma 9 2 2 2 2 2 3 2 2 2" xfId="58628" xr:uid="{A69A5DAB-B4B8-4D61-8BDC-B20D3BB40E59}"/>
    <cellStyle name="Comma 9 2 2 2 2 2 3 2 3" xfId="43508" xr:uid="{11F06E51-DC3E-41EC-9E53-05C5B5B26BA8}"/>
    <cellStyle name="Comma 9 2 2 2 2 2 3 3" xfId="19316" xr:uid="{CE47920F-0885-450C-A1FE-EFFD7A3EF949}"/>
    <cellStyle name="Comma 9 2 2 2 2 2 3 3 2" xfId="49556" xr:uid="{9FEE5A38-AB61-40F9-A1E9-F12BACC85CAA}"/>
    <cellStyle name="Comma 9 2 2 2 2 2 3 4" xfId="34436" xr:uid="{689A7915-5299-445F-AE13-68409BCF771A}"/>
    <cellStyle name="Comma 9 2 2 2 2 2 4" xfId="5708" xr:uid="{43076CCD-5CBC-4FB5-9A62-ACE4ABA5C4E7}"/>
    <cellStyle name="Comma 9 2 2 2 2 2 4 2" xfId="14780" xr:uid="{AF1D757D-6253-411C-BAFE-CCBA4B0CFA7F}"/>
    <cellStyle name="Comma 9 2 2 2 2 2 4 2 2" xfId="29900" xr:uid="{76A118CD-D279-4A9D-AB9C-ED19E14F2FDD}"/>
    <cellStyle name="Comma 9 2 2 2 2 2 4 2 2 2" xfId="60140" xr:uid="{B3C78666-6E07-45FF-9F55-5376D373DA61}"/>
    <cellStyle name="Comma 9 2 2 2 2 2 4 2 3" xfId="45020" xr:uid="{C0590CA6-60F8-4359-975A-B20B20802168}"/>
    <cellStyle name="Comma 9 2 2 2 2 2 4 3" xfId="20828" xr:uid="{DE2B5E91-C751-4B81-99A2-557F3D086E5B}"/>
    <cellStyle name="Comma 9 2 2 2 2 2 4 3 2" xfId="51068" xr:uid="{FB506675-5AFF-4AB0-8EFA-FE1B77082F38}"/>
    <cellStyle name="Comma 9 2 2 2 2 2 4 4" xfId="35948" xr:uid="{B81ED9CB-DCC4-40DD-AAE9-110D4B8DEBDE}"/>
    <cellStyle name="Comma 9 2 2 2 2 2 5" xfId="7220" xr:uid="{CFCDC6AB-1662-4C35-907A-1652B645675F}"/>
    <cellStyle name="Comma 9 2 2 2 2 2 5 2" xfId="22340" xr:uid="{D3018981-6A0B-4E77-B9AE-6C39E52DC14C}"/>
    <cellStyle name="Comma 9 2 2 2 2 2 5 2 2" xfId="52580" xr:uid="{44643948-1469-4AE4-9DB0-658232F08221}"/>
    <cellStyle name="Comma 9 2 2 2 2 2 5 3" xfId="37460" xr:uid="{9367AE78-1F16-40C1-9DBA-64C827512EFB}"/>
    <cellStyle name="Comma 9 2 2 2 2 2 6" xfId="8732" xr:uid="{CFDE83F2-2670-47A8-A131-F5D5B47FBCBA}"/>
    <cellStyle name="Comma 9 2 2 2 2 2 6 2" xfId="23852" xr:uid="{4F884E16-F9BA-42DA-AAA0-A4EFA5A913BC}"/>
    <cellStyle name="Comma 9 2 2 2 2 2 6 2 2" xfId="54092" xr:uid="{6A51C0F8-BCC6-4A8D-B11E-8B0FF93C48E3}"/>
    <cellStyle name="Comma 9 2 2 2 2 2 6 3" xfId="38972" xr:uid="{9D2F3A30-F145-49CF-886B-6D457FA9BBE9}"/>
    <cellStyle name="Comma 9 2 2 2 2 2 7" xfId="10244" xr:uid="{2177C255-174D-4AF4-A4B3-0FF7B021448C}"/>
    <cellStyle name="Comma 9 2 2 2 2 2 7 2" xfId="25364" xr:uid="{219CC586-94C5-4F69-B62F-C281FAB38158}"/>
    <cellStyle name="Comma 9 2 2 2 2 2 7 2 2" xfId="55604" xr:uid="{A2A2E615-7CD6-4EED-AD7E-0176ABCB20B1}"/>
    <cellStyle name="Comma 9 2 2 2 2 2 7 3" xfId="40484" xr:uid="{D744F5BD-9CCD-4563-ABE9-3754227102D8}"/>
    <cellStyle name="Comma 9 2 2 2 2 2 8" xfId="16292" xr:uid="{ADE5D2FC-52CF-43FF-9EDE-7ED64865C144}"/>
    <cellStyle name="Comma 9 2 2 2 2 2 8 2" xfId="46532" xr:uid="{9EC5536A-7C22-417C-A97A-E960DE44DB9D}"/>
    <cellStyle name="Comma 9 2 2 2 2 2 9" xfId="31412" xr:uid="{584C9FB4-57EE-4CD5-8977-ADED3FEBCBAA}"/>
    <cellStyle name="Comma 9 2 2 2 2 3" xfId="1928" xr:uid="{8515F10D-1C1C-448A-B37B-B5A3B29D15BD}"/>
    <cellStyle name="Comma 9 2 2 2 2 3 2" xfId="11000" xr:uid="{2E17133B-33F1-4444-B37F-697286D286CB}"/>
    <cellStyle name="Comma 9 2 2 2 2 3 2 2" xfId="26120" xr:uid="{B86A599B-B92B-4E35-811D-4840502ABDA9}"/>
    <cellStyle name="Comma 9 2 2 2 2 3 2 2 2" xfId="56360" xr:uid="{CFB26EA7-C169-4AD5-BCD1-2613B9400366}"/>
    <cellStyle name="Comma 9 2 2 2 2 3 2 3" xfId="41240" xr:uid="{6A4F1039-D9B2-4584-8033-FE18E432AECD}"/>
    <cellStyle name="Comma 9 2 2 2 2 3 3" xfId="17048" xr:uid="{73530374-147F-4226-9F4A-24D2EA7B06A5}"/>
    <cellStyle name="Comma 9 2 2 2 2 3 3 2" xfId="47288" xr:uid="{79F5CC65-E5F1-4AD2-91BE-5F70287AF0CB}"/>
    <cellStyle name="Comma 9 2 2 2 2 3 4" xfId="32168" xr:uid="{06358B94-DA9C-4BA7-95DA-201908C68703}"/>
    <cellStyle name="Comma 9 2 2 2 2 4" xfId="3440" xr:uid="{E4B74281-7606-4E71-93AE-41E261EDB75E}"/>
    <cellStyle name="Comma 9 2 2 2 2 4 2" xfId="12512" xr:uid="{2F8BC75E-D4D7-4362-B391-2FA5D3778D3E}"/>
    <cellStyle name="Comma 9 2 2 2 2 4 2 2" xfId="27632" xr:uid="{00B3CECD-C284-49CB-A4C0-BA523E3A6FAD}"/>
    <cellStyle name="Comma 9 2 2 2 2 4 2 2 2" xfId="57872" xr:uid="{E8C01AB5-F0C4-4A7B-8203-609F3E630614}"/>
    <cellStyle name="Comma 9 2 2 2 2 4 2 3" xfId="42752" xr:uid="{82A41601-C928-43FB-8E03-1D1C05A4C1CC}"/>
    <cellStyle name="Comma 9 2 2 2 2 4 3" xfId="18560" xr:uid="{E693D966-6A70-4ED4-BB59-1B39A1FD24C4}"/>
    <cellStyle name="Comma 9 2 2 2 2 4 3 2" xfId="48800" xr:uid="{B7D052B0-1B1F-4F1B-B123-49CF46BB8BA9}"/>
    <cellStyle name="Comma 9 2 2 2 2 4 4" xfId="33680" xr:uid="{C73AB933-46EE-42BE-8549-C28A965D7ABD}"/>
    <cellStyle name="Comma 9 2 2 2 2 5" xfId="4952" xr:uid="{9B6D9A7F-833B-404B-BC7D-4B4E53B0A770}"/>
    <cellStyle name="Comma 9 2 2 2 2 5 2" xfId="14024" xr:uid="{2EB17E5D-3843-41B4-8721-79CA9CBA751C}"/>
    <cellStyle name="Comma 9 2 2 2 2 5 2 2" xfId="29144" xr:uid="{D4CD8B43-326B-42DA-B18D-732819024D89}"/>
    <cellStyle name="Comma 9 2 2 2 2 5 2 2 2" xfId="59384" xr:uid="{09D83070-9754-4F9B-9CEA-1DB489A86B4E}"/>
    <cellStyle name="Comma 9 2 2 2 2 5 2 3" xfId="44264" xr:uid="{4295C8AB-06D1-401E-B3FA-CB118E5C215D}"/>
    <cellStyle name="Comma 9 2 2 2 2 5 3" xfId="20072" xr:uid="{B51E91F2-2216-4115-AA7A-0127CEB97B0C}"/>
    <cellStyle name="Comma 9 2 2 2 2 5 3 2" xfId="50312" xr:uid="{2BEF7EC0-51C8-4892-B400-D4D6DEED09E7}"/>
    <cellStyle name="Comma 9 2 2 2 2 5 4" xfId="35192" xr:uid="{DC5CA156-33C5-44C1-9F6D-ABEC50A1C800}"/>
    <cellStyle name="Comma 9 2 2 2 2 6" xfId="6464" xr:uid="{E6DAF96B-0F27-4BFA-8BA0-22C4263876C3}"/>
    <cellStyle name="Comma 9 2 2 2 2 6 2" xfId="21584" xr:uid="{CD1294CB-6A82-4E25-8C86-92D6D2E5B46E}"/>
    <cellStyle name="Comma 9 2 2 2 2 6 2 2" xfId="51824" xr:uid="{FCAE911C-4B7A-44B3-A8C5-7816B308A656}"/>
    <cellStyle name="Comma 9 2 2 2 2 6 3" xfId="36704" xr:uid="{894AE105-D620-438F-9C80-5B1C063CD91F}"/>
    <cellStyle name="Comma 9 2 2 2 2 7" xfId="7976" xr:uid="{6973C065-9C33-4B5F-B6C1-91BF0601365F}"/>
    <cellStyle name="Comma 9 2 2 2 2 7 2" xfId="23096" xr:uid="{6E9C9E2B-4F54-485C-9592-735DBE4C2ED4}"/>
    <cellStyle name="Comma 9 2 2 2 2 7 2 2" xfId="53336" xr:uid="{A62BB3C9-3878-4589-941F-DB4AF0CF396F}"/>
    <cellStyle name="Comma 9 2 2 2 2 7 3" xfId="38216" xr:uid="{20BB4985-DFE7-42C6-BB8B-457EBD8A4A08}"/>
    <cellStyle name="Comma 9 2 2 2 2 8" xfId="9488" xr:uid="{653DEEB8-DFEB-4F34-B6C5-19CDB540931F}"/>
    <cellStyle name="Comma 9 2 2 2 2 8 2" xfId="24608" xr:uid="{8673EAC1-2128-47D8-9126-2BA09F5DFAF8}"/>
    <cellStyle name="Comma 9 2 2 2 2 8 2 2" xfId="54848" xr:uid="{489046BD-2F9E-4FF0-931E-2B4B80B6FE4D}"/>
    <cellStyle name="Comma 9 2 2 2 2 8 3" xfId="39728" xr:uid="{4C52201D-0F63-4C8F-87B5-DE557B8E707D}"/>
    <cellStyle name="Comma 9 2 2 2 2 9" xfId="15536" xr:uid="{3D257C26-F61C-4029-9598-7ED1FC68B487}"/>
    <cellStyle name="Comma 9 2 2 2 2 9 2" xfId="45776" xr:uid="{DBF9E5A4-735F-4D73-AEAC-137BE966348B}"/>
    <cellStyle name="Comma 9 2 2 2 3" xfId="668" xr:uid="{EBDB3444-AEFF-402C-B83C-D5F419CA921B}"/>
    <cellStyle name="Comma 9 2 2 2 3 10" xfId="30908" xr:uid="{76B540AE-3DB1-4920-9828-17BB181EF9F9}"/>
    <cellStyle name="Comma 9 2 2 2 3 2" xfId="1424" xr:uid="{A375FF74-7D5C-4F2B-81CB-B6559D0EF204}"/>
    <cellStyle name="Comma 9 2 2 2 3 2 2" xfId="2936" xr:uid="{5E86C5D3-0547-48FB-B154-E029DD2CF00D}"/>
    <cellStyle name="Comma 9 2 2 2 3 2 2 2" xfId="12008" xr:uid="{5B8BFAF0-CAB5-4E3D-9943-C1CA724D2D39}"/>
    <cellStyle name="Comma 9 2 2 2 3 2 2 2 2" xfId="27128" xr:uid="{61FC06E6-1BEF-46F0-833F-7216BDED16D1}"/>
    <cellStyle name="Comma 9 2 2 2 3 2 2 2 2 2" xfId="57368" xr:uid="{534ABB2E-7FDB-4DD8-9FC4-1E9EB974332B}"/>
    <cellStyle name="Comma 9 2 2 2 3 2 2 2 3" xfId="42248" xr:uid="{F6AEB416-BA01-48EE-B77D-3DBCDF916EB5}"/>
    <cellStyle name="Comma 9 2 2 2 3 2 2 3" xfId="18056" xr:uid="{1820925B-F380-4A12-A282-47C4DEF8DA3E}"/>
    <cellStyle name="Comma 9 2 2 2 3 2 2 3 2" xfId="48296" xr:uid="{640BBEC7-4E8B-4707-B791-D8B084277CF1}"/>
    <cellStyle name="Comma 9 2 2 2 3 2 2 4" xfId="33176" xr:uid="{5A5AA068-C24B-4E14-94A0-FD015167E2D1}"/>
    <cellStyle name="Comma 9 2 2 2 3 2 3" xfId="4448" xr:uid="{595A8F09-D8A9-4085-A4D3-44FF809C527C}"/>
    <cellStyle name="Comma 9 2 2 2 3 2 3 2" xfId="13520" xr:uid="{D0EDBBFF-5A8F-4F69-BFB1-BD07FAAB317B}"/>
    <cellStyle name="Comma 9 2 2 2 3 2 3 2 2" xfId="28640" xr:uid="{D25F1FB9-32EB-4E99-BBA0-D4614DB1FA43}"/>
    <cellStyle name="Comma 9 2 2 2 3 2 3 2 2 2" xfId="58880" xr:uid="{828A3908-0A93-4B49-A2CC-466093734F42}"/>
    <cellStyle name="Comma 9 2 2 2 3 2 3 2 3" xfId="43760" xr:uid="{29476BBF-21F6-4738-B05E-908D257E66A4}"/>
    <cellStyle name="Comma 9 2 2 2 3 2 3 3" xfId="19568" xr:uid="{309A519D-6F3B-4EA5-8F72-DFEDAF91C1EF}"/>
    <cellStyle name="Comma 9 2 2 2 3 2 3 3 2" xfId="49808" xr:uid="{4CC45BB2-70F3-4EBB-8D50-26C6F85E6C92}"/>
    <cellStyle name="Comma 9 2 2 2 3 2 3 4" xfId="34688" xr:uid="{977E4C13-1A6A-4A26-8742-D4545FD35763}"/>
    <cellStyle name="Comma 9 2 2 2 3 2 4" xfId="5960" xr:uid="{1B554B8A-BD49-4A6A-BB18-25AE51D8A7A8}"/>
    <cellStyle name="Comma 9 2 2 2 3 2 4 2" xfId="15032" xr:uid="{F5FAC875-9076-4463-8A1E-8651A80F766A}"/>
    <cellStyle name="Comma 9 2 2 2 3 2 4 2 2" xfId="30152" xr:uid="{BEDE1988-1AE9-4BD7-B7D8-285B18752B83}"/>
    <cellStyle name="Comma 9 2 2 2 3 2 4 2 2 2" xfId="60392" xr:uid="{112FA665-7A9C-42A5-9CD5-B0B322000098}"/>
    <cellStyle name="Comma 9 2 2 2 3 2 4 2 3" xfId="45272" xr:uid="{3A0CF169-D8B1-4391-AA4A-9BD02F205E43}"/>
    <cellStyle name="Comma 9 2 2 2 3 2 4 3" xfId="21080" xr:uid="{64BB913D-2485-4934-B1A0-09CBA2AFDF3C}"/>
    <cellStyle name="Comma 9 2 2 2 3 2 4 3 2" xfId="51320" xr:uid="{9D630BC2-A066-4508-A4ED-B8DA67D06890}"/>
    <cellStyle name="Comma 9 2 2 2 3 2 4 4" xfId="36200" xr:uid="{5E1600D3-2EEF-4D73-A167-2464A6B53BF4}"/>
    <cellStyle name="Comma 9 2 2 2 3 2 5" xfId="7472" xr:uid="{2054B90B-E4B6-49BF-84F1-1748940935F7}"/>
    <cellStyle name="Comma 9 2 2 2 3 2 5 2" xfId="22592" xr:uid="{BF0A31C6-FF27-46B3-A3D6-0F551BA42351}"/>
    <cellStyle name="Comma 9 2 2 2 3 2 5 2 2" xfId="52832" xr:uid="{D9AB498E-2360-4EF2-BE9A-2B21FD06D559}"/>
    <cellStyle name="Comma 9 2 2 2 3 2 5 3" xfId="37712" xr:uid="{5BF4464E-EB96-48CE-85E5-7F8CF4CF0E14}"/>
    <cellStyle name="Comma 9 2 2 2 3 2 6" xfId="8984" xr:uid="{660D0E20-DD5E-45F7-BE1B-75E969B5C405}"/>
    <cellStyle name="Comma 9 2 2 2 3 2 6 2" xfId="24104" xr:uid="{D1529393-2D7A-4942-A72D-4B6DFA2A569E}"/>
    <cellStyle name="Comma 9 2 2 2 3 2 6 2 2" xfId="54344" xr:uid="{219E185F-2910-404E-9776-3F958576ADE5}"/>
    <cellStyle name="Comma 9 2 2 2 3 2 6 3" xfId="39224" xr:uid="{575809F2-854C-49AD-A5ED-418B99299D18}"/>
    <cellStyle name="Comma 9 2 2 2 3 2 7" xfId="10496" xr:uid="{8FBB200E-C8F1-4F40-826D-4D0B6A026E7D}"/>
    <cellStyle name="Comma 9 2 2 2 3 2 7 2" xfId="25616" xr:uid="{717C013C-0A34-4505-8F27-3310CBAE87B2}"/>
    <cellStyle name="Comma 9 2 2 2 3 2 7 2 2" xfId="55856" xr:uid="{C00FD296-7AC9-4C1D-8077-21283DDE2DE3}"/>
    <cellStyle name="Comma 9 2 2 2 3 2 7 3" xfId="40736" xr:uid="{B369E7CA-A544-4EFE-B2E9-F5A25102BDCE}"/>
    <cellStyle name="Comma 9 2 2 2 3 2 8" xfId="16544" xr:uid="{C22ED8D9-14F7-49EC-99C6-35CD06A400A8}"/>
    <cellStyle name="Comma 9 2 2 2 3 2 8 2" xfId="46784" xr:uid="{7D562CB8-1907-48DD-8F9F-E4AEB942B87A}"/>
    <cellStyle name="Comma 9 2 2 2 3 2 9" xfId="31664" xr:uid="{F9AA796F-8A08-436E-8CBA-6E1A338689A3}"/>
    <cellStyle name="Comma 9 2 2 2 3 3" xfId="2180" xr:uid="{CBBE7D1C-EAF0-4121-A098-6C1B1BD3C905}"/>
    <cellStyle name="Comma 9 2 2 2 3 3 2" xfId="11252" xr:uid="{C110E9BC-AD9E-4ED1-9F45-834557C55770}"/>
    <cellStyle name="Comma 9 2 2 2 3 3 2 2" xfId="26372" xr:uid="{ED54C2FE-BBA8-4CF8-AD96-D8F13ECE6823}"/>
    <cellStyle name="Comma 9 2 2 2 3 3 2 2 2" xfId="56612" xr:uid="{E0E01F06-5B08-45DE-BA19-13BD81CB5341}"/>
    <cellStyle name="Comma 9 2 2 2 3 3 2 3" xfId="41492" xr:uid="{99322112-CF1D-401F-B5E5-56DF8CD0F53E}"/>
    <cellStyle name="Comma 9 2 2 2 3 3 3" xfId="17300" xr:uid="{022D5A44-EABA-4852-B108-D984A47AB520}"/>
    <cellStyle name="Comma 9 2 2 2 3 3 3 2" xfId="47540" xr:uid="{CF9EB6FB-B7BC-4BCB-9DDE-8CED254B526E}"/>
    <cellStyle name="Comma 9 2 2 2 3 3 4" xfId="32420" xr:uid="{2D1493B1-A193-428C-8E77-093B5E548302}"/>
    <cellStyle name="Comma 9 2 2 2 3 4" xfId="3692" xr:uid="{EEB123B1-CC41-4FE3-889A-0AA1AC6F0C4D}"/>
    <cellStyle name="Comma 9 2 2 2 3 4 2" xfId="12764" xr:uid="{E6752107-8624-4E21-B28B-34C9EF633B73}"/>
    <cellStyle name="Comma 9 2 2 2 3 4 2 2" xfId="27884" xr:uid="{EFCF36AD-B6E2-42B7-9EB2-84FDFEB9F79E}"/>
    <cellStyle name="Comma 9 2 2 2 3 4 2 2 2" xfId="58124" xr:uid="{634CA25B-6F15-4617-841B-562CEACB4C8D}"/>
    <cellStyle name="Comma 9 2 2 2 3 4 2 3" xfId="43004" xr:uid="{67517DEA-DBDA-4122-876F-99AD4820B3AF}"/>
    <cellStyle name="Comma 9 2 2 2 3 4 3" xfId="18812" xr:uid="{81A5E324-182F-4AC9-AA53-9226E6B683D2}"/>
    <cellStyle name="Comma 9 2 2 2 3 4 3 2" xfId="49052" xr:uid="{C17F8432-59A5-44D6-849D-EA0BA9D3E454}"/>
    <cellStyle name="Comma 9 2 2 2 3 4 4" xfId="33932" xr:uid="{F7A01DF1-CA58-4C99-9C01-9FF03EF83A73}"/>
    <cellStyle name="Comma 9 2 2 2 3 5" xfId="5204" xr:uid="{FE6A1D6D-46BB-40C0-9C36-F33EB3273580}"/>
    <cellStyle name="Comma 9 2 2 2 3 5 2" xfId="14276" xr:uid="{DC85AB98-FF89-4F6D-806C-9110CE565F6C}"/>
    <cellStyle name="Comma 9 2 2 2 3 5 2 2" xfId="29396" xr:uid="{39EB818D-F1DF-4E4B-AB8E-06A0EF915DBA}"/>
    <cellStyle name="Comma 9 2 2 2 3 5 2 2 2" xfId="59636" xr:uid="{F1CFE457-8D23-4198-9C53-B3AB717D9AD1}"/>
    <cellStyle name="Comma 9 2 2 2 3 5 2 3" xfId="44516" xr:uid="{35F13451-72FA-4D85-988F-5FBD78630028}"/>
    <cellStyle name="Comma 9 2 2 2 3 5 3" xfId="20324" xr:uid="{E35A53CD-9E96-4CAE-A892-C143369A5567}"/>
    <cellStyle name="Comma 9 2 2 2 3 5 3 2" xfId="50564" xr:uid="{0899EA22-6FA1-4B92-9772-1C57AA94D27A}"/>
    <cellStyle name="Comma 9 2 2 2 3 5 4" xfId="35444" xr:uid="{D7D4AE15-9AA2-4388-8795-8916A958C4FB}"/>
    <cellStyle name="Comma 9 2 2 2 3 6" xfId="6716" xr:uid="{A1E292B0-1184-49C2-AF7B-F0B0191CE8CC}"/>
    <cellStyle name="Comma 9 2 2 2 3 6 2" xfId="21836" xr:uid="{78483460-4D19-4661-A2FA-3883C35E862F}"/>
    <cellStyle name="Comma 9 2 2 2 3 6 2 2" xfId="52076" xr:uid="{77EB00F4-2F34-4854-AD99-902B105CFCA0}"/>
    <cellStyle name="Comma 9 2 2 2 3 6 3" xfId="36956" xr:uid="{52E08F6F-48D0-468E-991C-33831AA479A8}"/>
    <cellStyle name="Comma 9 2 2 2 3 7" xfId="8228" xr:uid="{8DFCB0AC-9BA8-4EC9-AF0C-A76F14F2E9A3}"/>
    <cellStyle name="Comma 9 2 2 2 3 7 2" xfId="23348" xr:uid="{381CBF18-C747-4A72-B1EA-F0DD1349C6C1}"/>
    <cellStyle name="Comma 9 2 2 2 3 7 2 2" xfId="53588" xr:uid="{617B9B76-CBF1-4A5B-8FCA-65F34C96DD3A}"/>
    <cellStyle name="Comma 9 2 2 2 3 7 3" xfId="38468" xr:uid="{5536B826-8CB6-4A11-93A4-AC3D8EEC86B8}"/>
    <cellStyle name="Comma 9 2 2 2 3 8" xfId="9740" xr:uid="{CF84C349-D32C-4EDC-A1D7-0D3D4248BB6E}"/>
    <cellStyle name="Comma 9 2 2 2 3 8 2" xfId="24860" xr:uid="{62810B11-9709-4F00-A7E9-7D2DE73A48E7}"/>
    <cellStyle name="Comma 9 2 2 2 3 8 2 2" xfId="55100" xr:uid="{DB526EE2-9184-4B8A-B481-D22C029737A5}"/>
    <cellStyle name="Comma 9 2 2 2 3 8 3" xfId="39980" xr:uid="{BE2FF5EE-7907-45B0-9A90-CD3AE1E3C310}"/>
    <cellStyle name="Comma 9 2 2 2 3 9" xfId="15788" xr:uid="{6334ECF2-FF64-44D7-9D85-3976624E7B7C}"/>
    <cellStyle name="Comma 9 2 2 2 3 9 2" xfId="46028" xr:uid="{F0EA6905-CCB0-40D5-90FB-AE849CA1CD92}"/>
    <cellStyle name="Comma 9 2 2 2 4" xfId="920" xr:uid="{81371075-0A72-4E77-8F77-C8CFD53086C6}"/>
    <cellStyle name="Comma 9 2 2 2 4 2" xfId="2432" xr:uid="{2CFE3B9D-9469-4452-98E7-59FC35C44AC7}"/>
    <cellStyle name="Comma 9 2 2 2 4 2 2" xfId="11504" xr:uid="{103B5D01-5062-4BBF-92B2-10FAB6EBDEBD}"/>
    <cellStyle name="Comma 9 2 2 2 4 2 2 2" xfId="26624" xr:uid="{01073E99-DC34-439C-8B9B-8A8C0610D698}"/>
    <cellStyle name="Comma 9 2 2 2 4 2 2 2 2" xfId="56864" xr:uid="{47D1AFC7-E545-4AEA-82BF-3D2AF9E67E94}"/>
    <cellStyle name="Comma 9 2 2 2 4 2 2 3" xfId="41744" xr:uid="{83AAC44D-9E08-4CFA-8D9A-E78EEB7F0052}"/>
    <cellStyle name="Comma 9 2 2 2 4 2 3" xfId="17552" xr:uid="{E119B7D2-B4A9-4422-B4C3-BD3BD7AEF15E}"/>
    <cellStyle name="Comma 9 2 2 2 4 2 3 2" xfId="47792" xr:uid="{739F05E2-38E0-4590-8247-CBF4CD0CD047}"/>
    <cellStyle name="Comma 9 2 2 2 4 2 4" xfId="32672" xr:uid="{C05845A3-1849-41BB-8847-45F357DB25E7}"/>
    <cellStyle name="Comma 9 2 2 2 4 3" xfId="3944" xr:uid="{94B607D8-A7CB-42DA-8317-B151F9D94F96}"/>
    <cellStyle name="Comma 9 2 2 2 4 3 2" xfId="13016" xr:uid="{6272F1D1-137C-4F0D-8972-8C55756BD500}"/>
    <cellStyle name="Comma 9 2 2 2 4 3 2 2" xfId="28136" xr:uid="{B2A4BF00-583C-4490-B930-195F9E34B5C8}"/>
    <cellStyle name="Comma 9 2 2 2 4 3 2 2 2" xfId="58376" xr:uid="{7288460C-FF99-4232-BA8A-6FA47E37AF42}"/>
    <cellStyle name="Comma 9 2 2 2 4 3 2 3" xfId="43256" xr:uid="{6DB5D833-7A1E-4FE8-9B0D-335177B9D598}"/>
    <cellStyle name="Comma 9 2 2 2 4 3 3" xfId="19064" xr:uid="{11C7D52B-B487-4618-A2D4-9A75495AAE53}"/>
    <cellStyle name="Comma 9 2 2 2 4 3 3 2" xfId="49304" xr:uid="{7B112CEB-052C-47E6-AA58-3D379F6446EA}"/>
    <cellStyle name="Comma 9 2 2 2 4 3 4" xfId="34184" xr:uid="{22BC5D84-9BFA-486E-85DE-0395A7072BEF}"/>
    <cellStyle name="Comma 9 2 2 2 4 4" xfId="5456" xr:uid="{57D6BFC4-B773-40D1-BDA6-0F176DEFC46E}"/>
    <cellStyle name="Comma 9 2 2 2 4 4 2" xfId="14528" xr:uid="{7C20D1B0-4F2A-440C-A534-F369E6E9392B}"/>
    <cellStyle name="Comma 9 2 2 2 4 4 2 2" xfId="29648" xr:uid="{51CD78DF-9A34-4AAA-87DF-1C266196AC88}"/>
    <cellStyle name="Comma 9 2 2 2 4 4 2 2 2" xfId="59888" xr:uid="{5B52CADF-AAAC-486B-822A-5C91C02864F8}"/>
    <cellStyle name="Comma 9 2 2 2 4 4 2 3" xfId="44768" xr:uid="{481E24D5-419D-457D-B162-48C6A8F5A8BA}"/>
    <cellStyle name="Comma 9 2 2 2 4 4 3" xfId="20576" xr:uid="{E9F09647-8D80-4A74-B10A-637B59F0B466}"/>
    <cellStyle name="Comma 9 2 2 2 4 4 3 2" xfId="50816" xr:uid="{1909528D-B646-4772-A3C5-A3DF554DBFBF}"/>
    <cellStyle name="Comma 9 2 2 2 4 4 4" xfId="35696" xr:uid="{73E35411-F81F-4A54-B1CF-3716B8FD38F2}"/>
    <cellStyle name="Comma 9 2 2 2 4 5" xfId="6968" xr:uid="{73E6552D-93E3-404B-ACF2-605AA07D7770}"/>
    <cellStyle name="Comma 9 2 2 2 4 5 2" xfId="22088" xr:uid="{C346F3CE-0431-455A-9D55-BABA8F89BDCA}"/>
    <cellStyle name="Comma 9 2 2 2 4 5 2 2" xfId="52328" xr:uid="{A7075764-6984-4DCB-96E3-01179668AA26}"/>
    <cellStyle name="Comma 9 2 2 2 4 5 3" xfId="37208" xr:uid="{811021A4-BF7E-4940-9FFA-A2A7B7DDE638}"/>
    <cellStyle name="Comma 9 2 2 2 4 6" xfId="8480" xr:uid="{B5C9ED6E-6164-4BC2-B724-71651F24BF7D}"/>
    <cellStyle name="Comma 9 2 2 2 4 6 2" xfId="23600" xr:uid="{F233A688-4E27-4E05-9E07-1DCE7403D2F3}"/>
    <cellStyle name="Comma 9 2 2 2 4 6 2 2" xfId="53840" xr:uid="{A10B4791-3799-4EA1-BBC1-D5D9EC7053D4}"/>
    <cellStyle name="Comma 9 2 2 2 4 6 3" xfId="38720" xr:uid="{EA7A3EF7-97CC-4BA8-9009-60660CF0FD38}"/>
    <cellStyle name="Comma 9 2 2 2 4 7" xfId="9992" xr:uid="{F5E1710B-4BFA-422E-A60F-FDAB09461483}"/>
    <cellStyle name="Comma 9 2 2 2 4 7 2" xfId="25112" xr:uid="{EA393A1A-9B2E-4EA2-8014-D4E12094171F}"/>
    <cellStyle name="Comma 9 2 2 2 4 7 2 2" xfId="55352" xr:uid="{F8FE88D4-1F36-4C84-A71D-543EADD9BB12}"/>
    <cellStyle name="Comma 9 2 2 2 4 7 3" xfId="40232" xr:uid="{D2AFD672-F175-4983-B05D-632A14EE7B45}"/>
    <cellStyle name="Comma 9 2 2 2 4 8" xfId="16040" xr:uid="{EB8A8F54-0806-4685-B9B8-AF3697C7C63E}"/>
    <cellStyle name="Comma 9 2 2 2 4 8 2" xfId="46280" xr:uid="{5938E92F-1529-45C8-9EF9-B4C840875C13}"/>
    <cellStyle name="Comma 9 2 2 2 4 9" xfId="31160" xr:uid="{AEE2A32F-3D32-444D-8E05-88A369560DC0}"/>
    <cellStyle name="Comma 9 2 2 2 5" xfId="1676" xr:uid="{E7319497-1400-4EF1-92F5-4E8B8A611A3E}"/>
    <cellStyle name="Comma 9 2 2 2 5 2" xfId="10748" xr:uid="{49E2EABB-67C8-4F77-86C1-B0374696E904}"/>
    <cellStyle name="Comma 9 2 2 2 5 2 2" xfId="25868" xr:uid="{3377AEBB-E91E-4800-B5EA-210381E26888}"/>
    <cellStyle name="Comma 9 2 2 2 5 2 2 2" xfId="56108" xr:uid="{9C40F2AD-96AE-4D80-9228-F67499101666}"/>
    <cellStyle name="Comma 9 2 2 2 5 2 3" xfId="40988" xr:uid="{88EF70A1-CB6A-45AC-B603-6E49F57C8CC0}"/>
    <cellStyle name="Comma 9 2 2 2 5 3" xfId="16796" xr:uid="{84CAC61A-CFA0-438C-B37F-09D141AB88A5}"/>
    <cellStyle name="Comma 9 2 2 2 5 3 2" xfId="47036" xr:uid="{33D96595-DF9F-40E5-B24A-3ED5CFEE7515}"/>
    <cellStyle name="Comma 9 2 2 2 5 4" xfId="31916" xr:uid="{91AF770E-6837-4803-B4FE-3DA26512CB85}"/>
    <cellStyle name="Comma 9 2 2 2 6" xfId="3188" xr:uid="{365ED014-628C-47AC-B39D-BAF14354973E}"/>
    <cellStyle name="Comma 9 2 2 2 6 2" xfId="12260" xr:uid="{ED665C0E-5B9A-40A3-A01D-844058AEB37A}"/>
    <cellStyle name="Comma 9 2 2 2 6 2 2" xfId="27380" xr:uid="{8E3F49D6-A059-459C-A1F9-459FFC097EB8}"/>
    <cellStyle name="Comma 9 2 2 2 6 2 2 2" xfId="57620" xr:uid="{0DABC56C-AF2C-48C8-BCCC-F5D6F98B93AC}"/>
    <cellStyle name="Comma 9 2 2 2 6 2 3" xfId="42500" xr:uid="{10417C0C-45D8-44E7-9772-D02874320E97}"/>
    <cellStyle name="Comma 9 2 2 2 6 3" xfId="18308" xr:uid="{4A1474E6-AD8C-4773-8C0F-5CA56DF9811F}"/>
    <cellStyle name="Comma 9 2 2 2 6 3 2" xfId="48548" xr:uid="{0BF29E22-F026-4CAA-98C5-933982E1CDF2}"/>
    <cellStyle name="Comma 9 2 2 2 6 4" xfId="33428" xr:uid="{424668A6-EACA-4877-BE01-FDC14DCC4B92}"/>
    <cellStyle name="Comma 9 2 2 2 7" xfId="4700" xr:uid="{384A37D4-5493-43DA-B58B-86B94A442936}"/>
    <cellStyle name="Comma 9 2 2 2 7 2" xfId="13772" xr:uid="{CB2D978F-D08B-46C3-8A9B-4A12F1EFC455}"/>
    <cellStyle name="Comma 9 2 2 2 7 2 2" xfId="28892" xr:uid="{8F9B2DD9-9111-49AF-ADA3-B24DE0D4296C}"/>
    <cellStyle name="Comma 9 2 2 2 7 2 2 2" xfId="59132" xr:uid="{8E4801D6-D7E8-42D4-81DF-903A62F67A41}"/>
    <cellStyle name="Comma 9 2 2 2 7 2 3" xfId="44012" xr:uid="{80692D3B-0025-473E-85F3-6596776621DD}"/>
    <cellStyle name="Comma 9 2 2 2 7 3" xfId="19820" xr:uid="{2698C4C5-E51C-461C-B027-1E9642F072B8}"/>
    <cellStyle name="Comma 9 2 2 2 7 3 2" xfId="50060" xr:uid="{546B8348-6DBC-492D-A433-42190B3CBA47}"/>
    <cellStyle name="Comma 9 2 2 2 7 4" xfId="34940" xr:uid="{D115F2AD-2516-4858-A904-89AF51D1D8B1}"/>
    <cellStyle name="Comma 9 2 2 2 8" xfId="6212" xr:uid="{5B41A59B-031F-44DB-93D3-4BEC93A7E93A}"/>
    <cellStyle name="Comma 9 2 2 2 8 2" xfId="21332" xr:uid="{295814EA-7243-4012-9233-6A4C14DA890C}"/>
    <cellStyle name="Comma 9 2 2 2 8 2 2" xfId="51572" xr:uid="{6959B700-3280-4E47-8A67-D87C9604BF3A}"/>
    <cellStyle name="Comma 9 2 2 2 8 3" xfId="36452" xr:uid="{A01C3004-740A-4954-BBB0-1A9CB1B159B7}"/>
    <cellStyle name="Comma 9 2 2 2 9" xfId="7724" xr:uid="{CE326664-F63D-48F2-99DD-411D8A827B5A}"/>
    <cellStyle name="Comma 9 2 2 2 9 2" xfId="22844" xr:uid="{4B16A492-3516-4FA8-BF3A-51BFFCB9C21D}"/>
    <cellStyle name="Comma 9 2 2 2 9 2 2" xfId="53084" xr:uid="{921884E2-1691-43A9-946C-F1B4820D355A}"/>
    <cellStyle name="Comma 9 2 2 2 9 3" xfId="37964" xr:uid="{0E6B521E-7954-47D1-B7BA-5D459C736FE0}"/>
    <cellStyle name="Comma 9 2 2 3" xfId="248" xr:uid="{36B3A1AA-2D9C-46E0-81D5-BCCBD9CF0C29}"/>
    <cellStyle name="Comma 9 2 2 3 10" xfId="9320" xr:uid="{2E64C5BA-D2FA-42C8-B0FF-8742B28E9778}"/>
    <cellStyle name="Comma 9 2 2 3 10 2" xfId="24440" xr:uid="{E45F53A3-4E4A-40E4-BC8B-74E3FE927931}"/>
    <cellStyle name="Comma 9 2 2 3 10 2 2" xfId="54680" xr:uid="{7FED3D22-17BC-4563-A7F6-711A8B1CDDFE}"/>
    <cellStyle name="Comma 9 2 2 3 10 3" xfId="39560" xr:uid="{10CB0C26-D502-4B86-B93D-43BC9FEE1296}"/>
    <cellStyle name="Comma 9 2 2 3 11" xfId="15368" xr:uid="{10B78791-0BF9-44EC-A0B2-7621D92E43E3}"/>
    <cellStyle name="Comma 9 2 2 3 11 2" xfId="45608" xr:uid="{B9396E1D-0BCB-458B-B764-A63A3FB6E79E}"/>
    <cellStyle name="Comma 9 2 2 3 12" xfId="30488" xr:uid="{F5A95B6D-56B2-4539-A363-7B5F9561C4AA}"/>
    <cellStyle name="Comma 9 2 2 3 2" xfId="500" xr:uid="{DC587CC5-ED06-45C6-8E83-CAAECE5D49D3}"/>
    <cellStyle name="Comma 9 2 2 3 2 10" xfId="30740" xr:uid="{9F6227F2-3EAC-4FC2-A5FA-2BB1B8207FD4}"/>
    <cellStyle name="Comma 9 2 2 3 2 2" xfId="1256" xr:uid="{9884ED53-843F-4034-9027-61D3F0D59737}"/>
    <cellStyle name="Comma 9 2 2 3 2 2 2" xfId="2768" xr:uid="{F60BB45F-8802-4B5B-B576-44863DB5FC10}"/>
    <cellStyle name="Comma 9 2 2 3 2 2 2 2" xfId="11840" xr:uid="{F6F1AE29-6B2B-488A-A15F-00D07DB3490A}"/>
    <cellStyle name="Comma 9 2 2 3 2 2 2 2 2" xfId="26960" xr:uid="{46847A81-EE27-4035-B7B3-EC9BBCEDD627}"/>
    <cellStyle name="Comma 9 2 2 3 2 2 2 2 2 2" xfId="57200" xr:uid="{BA78EC78-966C-47A0-B262-6E5A8BEA73F0}"/>
    <cellStyle name="Comma 9 2 2 3 2 2 2 2 3" xfId="42080" xr:uid="{4CFF9B89-2B1C-4207-B3FF-76D837A9A3C2}"/>
    <cellStyle name="Comma 9 2 2 3 2 2 2 3" xfId="17888" xr:uid="{6360E61F-02AC-48D4-B180-6B9FCACADD9B}"/>
    <cellStyle name="Comma 9 2 2 3 2 2 2 3 2" xfId="48128" xr:uid="{158B8D3A-4E6C-421E-8DDA-ABCA4BC076C1}"/>
    <cellStyle name="Comma 9 2 2 3 2 2 2 4" xfId="33008" xr:uid="{6B7C5BB2-5A1B-4C2C-B62E-1A39466F15A0}"/>
    <cellStyle name="Comma 9 2 2 3 2 2 3" xfId="4280" xr:uid="{C77AB9D9-CD82-4C8E-9211-D5FD75F0BDD5}"/>
    <cellStyle name="Comma 9 2 2 3 2 2 3 2" xfId="13352" xr:uid="{4E711519-42E8-4376-AE7D-A26164E93429}"/>
    <cellStyle name="Comma 9 2 2 3 2 2 3 2 2" xfId="28472" xr:uid="{059DAACC-A85D-47D5-A51F-FACA7B40E263}"/>
    <cellStyle name="Comma 9 2 2 3 2 2 3 2 2 2" xfId="58712" xr:uid="{9B1BC9DD-3262-4194-AE73-CBE0061848DC}"/>
    <cellStyle name="Comma 9 2 2 3 2 2 3 2 3" xfId="43592" xr:uid="{C8E3E723-952A-4A7C-B51A-A54CC09C6C05}"/>
    <cellStyle name="Comma 9 2 2 3 2 2 3 3" xfId="19400" xr:uid="{9BD11879-A6E1-4CCB-81D2-530E8DF13431}"/>
    <cellStyle name="Comma 9 2 2 3 2 2 3 3 2" xfId="49640" xr:uid="{1D1D52F8-1DFC-4518-8E22-FA661FE774E0}"/>
    <cellStyle name="Comma 9 2 2 3 2 2 3 4" xfId="34520" xr:uid="{829171E4-427F-4167-A2B4-80ABF6778359}"/>
    <cellStyle name="Comma 9 2 2 3 2 2 4" xfId="5792" xr:uid="{8385ED0B-FDAF-47DB-A438-84151E4989A9}"/>
    <cellStyle name="Comma 9 2 2 3 2 2 4 2" xfId="14864" xr:uid="{F29D393D-D10E-487C-96FA-27B72B7BFC8C}"/>
    <cellStyle name="Comma 9 2 2 3 2 2 4 2 2" xfId="29984" xr:uid="{29367F8E-D45A-4B57-B5C8-32F64DA77259}"/>
    <cellStyle name="Comma 9 2 2 3 2 2 4 2 2 2" xfId="60224" xr:uid="{4D9C82CE-BAEB-43AD-A64B-7F5F0AC59AB8}"/>
    <cellStyle name="Comma 9 2 2 3 2 2 4 2 3" xfId="45104" xr:uid="{720B253D-74DE-4B5C-BA5F-5D572DC57C9D}"/>
    <cellStyle name="Comma 9 2 2 3 2 2 4 3" xfId="20912" xr:uid="{1F506D68-2EFB-4B2A-ADEE-5CF105556DC0}"/>
    <cellStyle name="Comma 9 2 2 3 2 2 4 3 2" xfId="51152" xr:uid="{4FA25553-68A5-4A66-82DA-B29FD8818547}"/>
    <cellStyle name="Comma 9 2 2 3 2 2 4 4" xfId="36032" xr:uid="{76EE2E34-F9DE-4E14-A2CA-469CC285F7D8}"/>
    <cellStyle name="Comma 9 2 2 3 2 2 5" xfId="7304" xr:uid="{A0E9E4B7-64A1-4CE0-9538-138D004E03EF}"/>
    <cellStyle name="Comma 9 2 2 3 2 2 5 2" xfId="22424" xr:uid="{BDA0AEC9-AC3E-48EB-A561-348F1275271A}"/>
    <cellStyle name="Comma 9 2 2 3 2 2 5 2 2" xfId="52664" xr:uid="{F5F2DEEA-445C-4057-8208-DF7F88C4379B}"/>
    <cellStyle name="Comma 9 2 2 3 2 2 5 3" xfId="37544" xr:uid="{23D4AAE6-F96C-46DD-BDF5-55E086492939}"/>
    <cellStyle name="Comma 9 2 2 3 2 2 6" xfId="8816" xr:uid="{42DA85FA-4BC8-4BF6-8182-8FAAB7B7652C}"/>
    <cellStyle name="Comma 9 2 2 3 2 2 6 2" xfId="23936" xr:uid="{C74E1B5B-6504-4BD2-BBDA-8055539EDFE9}"/>
    <cellStyle name="Comma 9 2 2 3 2 2 6 2 2" xfId="54176" xr:uid="{00EA098C-9899-40E2-9E07-AF8CEA0A6295}"/>
    <cellStyle name="Comma 9 2 2 3 2 2 6 3" xfId="39056" xr:uid="{77558EB2-145E-4CFA-A7EE-AD9659DA4D34}"/>
    <cellStyle name="Comma 9 2 2 3 2 2 7" xfId="10328" xr:uid="{139BDF3C-7B09-49D8-A851-5438649F71E9}"/>
    <cellStyle name="Comma 9 2 2 3 2 2 7 2" xfId="25448" xr:uid="{9A2DB1DB-3F1B-4F7D-986A-2FF74CDCA0F9}"/>
    <cellStyle name="Comma 9 2 2 3 2 2 7 2 2" xfId="55688" xr:uid="{BF1FE11E-7769-4205-8B9A-42B7C3D5C2A3}"/>
    <cellStyle name="Comma 9 2 2 3 2 2 7 3" xfId="40568" xr:uid="{4B96E254-EEFE-412C-88A2-F3BA1A3D8A07}"/>
    <cellStyle name="Comma 9 2 2 3 2 2 8" xfId="16376" xr:uid="{E46769FB-B76F-4FC3-9C60-72487B414BF7}"/>
    <cellStyle name="Comma 9 2 2 3 2 2 8 2" xfId="46616" xr:uid="{F41FA6F6-4DC2-4BC0-B550-D9FA7EA77E13}"/>
    <cellStyle name="Comma 9 2 2 3 2 2 9" xfId="31496" xr:uid="{DE98AD58-4807-4615-A681-F4865CA839DF}"/>
    <cellStyle name="Comma 9 2 2 3 2 3" xfId="2012" xr:uid="{C67924AA-2045-42A4-B228-AE5AF884D415}"/>
    <cellStyle name="Comma 9 2 2 3 2 3 2" xfId="11084" xr:uid="{02DA845F-3F3F-4E95-ACC0-3EECFA9DBF05}"/>
    <cellStyle name="Comma 9 2 2 3 2 3 2 2" xfId="26204" xr:uid="{76E6A01B-41B4-465B-A864-4AC23C19E0B5}"/>
    <cellStyle name="Comma 9 2 2 3 2 3 2 2 2" xfId="56444" xr:uid="{FC5DD0F5-5B77-4719-9929-83D9642D983F}"/>
    <cellStyle name="Comma 9 2 2 3 2 3 2 3" xfId="41324" xr:uid="{C68C945F-3B41-4695-BE15-0E3608327C24}"/>
    <cellStyle name="Comma 9 2 2 3 2 3 3" xfId="17132" xr:uid="{89BA478B-9533-4494-8D6E-7F1553A0FA94}"/>
    <cellStyle name="Comma 9 2 2 3 2 3 3 2" xfId="47372" xr:uid="{BAE086A5-A2A6-4C26-AF6E-CB39037BA594}"/>
    <cellStyle name="Comma 9 2 2 3 2 3 4" xfId="32252" xr:uid="{21BEB7E3-6BCB-4283-8149-3654496A97DD}"/>
    <cellStyle name="Comma 9 2 2 3 2 4" xfId="3524" xr:uid="{7E996D79-693A-4A74-8A32-04340CF92478}"/>
    <cellStyle name="Comma 9 2 2 3 2 4 2" xfId="12596" xr:uid="{8C52D186-04E3-436C-BB12-E97A4F449474}"/>
    <cellStyle name="Comma 9 2 2 3 2 4 2 2" xfId="27716" xr:uid="{377C32BA-B91D-4C23-ADEB-999DBAC2C9DE}"/>
    <cellStyle name="Comma 9 2 2 3 2 4 2 2 2" xfId="57956" xr:uid="{A8A13A99-6518-4921-A861-8480702E4CBC}"/>
    <cellStyle name="Comma 9 2 2 3 2 4 2 3" xfId="42836" xr:uid="{A65837B8-C3EE-45E5-AFAA-8B0274D3E474}"/>
    <cellStyle name="Comma 9 2 2 3 2 4 3" xfId="18644" xr:uid="{B9D03412-373B-473E-8373-0558362E8661}"/>
    <cellStyle name="Comma 9 2 2 3 2 4 3 2" xfId="48884" xr:uid="{75F5D719-F785-4F79-BD6C-61017D8CE9CE}"/>
    <cellStyle name="Comma 9 2 2 3 2 4 4" xfId="33764" xr:uid="{F9FF5FF1-F829-429B-B4CB-ACA81E721C34}"/>
    <cellStyle name="Comma 9 2 2 3 2 5" xfId="5036" xr:uid="{636F31E6-BADA-48EE-ADA1-52C727111338}"/>
    <cellStyle name="Comma 9 2 2 3 2 5 2" xfId="14108" xr:uid="{56CBC412-2225-4CAD-A36E-DDC14E351EFC}"/>
    <cellStyle name="Comma 9 2 2 3 2 5 2 2" xfId="29228" xr:uid="{4155D7CE-D3AE-49D6-A376-477C7EF768C4}"/>
    <cellStyle name="Comma 9 2 2 3 2 5 2 2 2" xfId="59468" xr:uid="{5434099A-9034-4283-B6C3-0F57320DF298}"/>
    <cellStyle name="Comma 9 2 2 3 2 5 2 3" xfId="44348" xr:uid="{CE165C4C-831C-402B-9577-D3D357A4E98D}"/>
    <cellStyle name="Comma 9 2 2 3 2 5 3" xfId="20156" xr:uid="{B836ACC0-98D3-430F-A09E-CA9DC6069A2C}"/>
    <cellStyle name="Comma 9 2 2 3 2 5 3 2" xfId="50396" xr:uid="{8A164E33-63FE-4A1B-BCE6-1319D0EECF5E}"/>
    <cellStyle name="Comma 9 2 2 3 2 5 4" xfId="35276" xr:uid="{972C571C-2520-4DB9-BB05-D1C6B4791022}"/>
    <cellStyle name="Comma 9 2 2 3 2 6" xfId="6548" xr:uid="{A6055C68-8C8D-4B98-B88B-F6DC2BDD15FD}"/>
    <cellStyle name="Comma 9 2 2 3 2 6 2" xfId="21668" xr:uid="{B1D760D9-1CCE-42DF-9345-161AFB3F719B}"/>
    <cellStyle name="Comma 9 2 2 3 2 6 2 2" xfId="51908" xr:uid="{F1E58498-BD50-4311-83E8-24721025A4A2}"/>
    <cellStyle name="Comma 9 2 2 3 2 6 3" xfId="36788" xr:uid="{32818358-A2EC-4593-AA0D-B3F11F701B5C}"/>
    <cellStyle name="Comma 9 2 2 3 2 7" xfId="8060" xr:uid="{25B5DD63-35A6-49F0-9CB8-8536B26A008C}"/>
    <cellStyle name="Comma 9 2 2 3 2 7 2" xfId="23180" xr:uid="{91A41724-1AF7-482E-8755-BA9D804EA942}"/>
    <cellStyle name="Comma 9 2 2 3 2 7 2 2" xfId="53420" xr:uid="{1F2C5EE5-1F7C-49F2-982D-3E8067046EA8}"/>
    <cellStyle name="Comma 9 2 2 3 2 7 3" xfId="38300" xr:uid="{DC216C60-F673-47B9-AD4A-FAABB86DF1E9}"/>
    <cellStyle name="Comma 9 2 2 3 2 8" xfId="9572" xr:uid="{EB5C1A0A-3821-448F-8A19-8F097CCF7ABD}"/>
    <cellStyle name="Comma 9 2 2 3 2 8 2" xfId="24692" xr:uid="{A2D88692-1F67-42F1-8215-6E9DA10B34F6}"/>
    <cellStyle name="Comma 9 2 2 3 2 8 2 2" xfId="54932" xr:uid="{6357057C-5E9A-4C30-B6EE-A1559107B00E}"/>
    <cellStyle name="Comma 9 2 2 3 2 8 3" xfId="39812" xr:uid="{2DE06F64-1FC2-41B4-8197-9D49A85F9F06}"/>
    <cellStyle name="Comma 9 2 2 3 2 9" xfId="15620" xr:uid="{D7C9F678-4432-4629-A36B-B5F55AB97889}"/>
    <cellStyle name="Comma 9 2 2 3 2 9 2" xfId="45860" xr:uid="{3359BEE4-8E03-4251-A494-3752F8F7C698}"/>
    <cellStyle name="Comma 9 2 2 3 3" xfId="752" xr:uid="{9466615B-010C-42CB-BD65-86BE57ED3ED2}"/>
    <cellStyle name="Comma 9 2 2 3 3 10" xfId="30992" xr:uid="{9BAD28A6-128A-4D23-86BA-883C40F9B99F}"/>
    <cellStyle name="Comma 9 2 2 3 3 2" xfId="1508" xr:uid="{388B1AFA-ABD9-4AC0-9B25-E3CFACAE2C3D}"/>
    <cellStyle name="Comma 9 2 2 3 3 2 2" xfId="3020" xr:uid="{C6EABCE6-D6E9-451A-B06B-F676F4A3079F}"/>
    <cellStyle name="Comma 9 2 2 3 3 2 2 2" xfId="12092" xr:uid="{0FACB49D-C9B3-4412-8102-9B549DC361EA}"/>
    <cellStyle name="Comma 9 2 2 3 3 2 2 2 2" xfId="27212" xr:uid="{2F652BAC-69CA-41A8-925B-1A52E91E180C}"/>
    <cellStyle name="Comma 9 2 2 3 3 2 2 2 2 2" xfId="57452" xr:uid="{C26CB662-4A79-4BFA-ABFC-FE75BE6822DC}"/>
    <cellStyle name="Comma 9 2 2 3 3 2 2 2 3" xfId="42332" xr:uid="{8E7A8FBC-5E9B-46FE-8DF1-847200D387B9}"/>
    <cellStyle name="Comma 9 2 2 3 3 2 2 3" xfId="18140" xr:uid="{BE6F212E-E58F-4F69-8E22-C976E99E8017}"/>
    <cellStyle name="Comma 9 2 2 3 3 2 2 3 2" xfId="48380" xr:uid="{F8AA694D-F432-420B-BC59-9DE2614ABA9D}"/>
    <cellStyle name="Comma 9 2 2 3 3 2 2 4" xfId="33260" xr:uid="{53C8C1E2-8EB1-4CCB-A819-25E45C3D8A4E}"/>
    <cellStyle name="Comma 9 2 2 3 3 2 3" xfId="4532" xr:uid="{5E34A8A9-BDDA-474B-A868-D390BFD07CA2}"/>
    <cellStyle name="Comma 9 2 2 3 3 2 3 2" xfId="13604" xr:uid="{B915EE1B-901F-488A-82EC-49C05EC95FD4}"/>
    <cellStyle name="Comma 9 2 2 3 3 2 3 2 2" xfId="28724" xr:uid="{D21038B0-0496-4A86-BAF8-DA935E9127AD}"/>
    <cellStyle name="Comma 9 2 2 3 3 2 3 2 2 2" xfId="58964" xr:uid="{5AE9BA1A-B776-4CD0-B9BD-644520313E08}"/>
    <cellStyle name="Comma 9 2 2 3 3 2 3 2 3" xfId="43844" xr:uid="{FFFA7D71-818D-4A2F-8FB3-0802C236DD6D}"/>
    <cellStyle name="Comma 9 2 2 3 3 2 3 3" xfId="19652" xr:uid="{E897F4A3-AE4B-41C3-BFA2-C14CDC710322}"/>
    <cellStyle name="Comma 9 2 2 3 3 2 3 3 2" xfId="49892" xr:uid="{4E594712-6A0F-49C6-9944-FABF8A6F9EC3}"/>
    <cellStyle name="Comma 9 2 2 3 3 2 3 4" xfId="34772" xr:uid="{0FB4230E-4223-4226-8C7A-30947C75DC90}"/>
    <cellStyle name="Comma 9 2 2 3 3 2 4" xfId="6044" xr:uid="{584136AD-93CC-45C6-8FCB-EE0E3A5CC774}"/>
    <cellStyle name="Comma 9 2 2 3 3 2 4 2" xfId="15116" xr:uid="{FBDC73B9-61A1-40DA-BD06-0C83569B5D8B}"/>
    <cellStyle name="Comma 9 2 2 3 3 2 4 2 2" xfId="30236" xr:uid="{18AE1EA8-50D7-456B-BF2F-B0E89FBE9BBC}"/>
    <cellStyle name="Comma 9 2 2 3 3 2 4 2 2 2" xfId="60476" xr:uid="{B8725048-930D-4726-AD35-A91D6346C1E3}"/>
    <cellStyle name="Comma 9 2 2 3 3 2 4 2 3" xfId="45356" xr:uid="{0369B20C-88F8-47BC-9724-55622F8689D3}"/>
    <cellStyle name="Comma 9 2 2 3 3 2 4 3" xfId="21164" xr:uid="{EED8052D-4ADE-432E-B2A6-D78D8D83AADD}"/>
    <cellStyle name="Comma 9 2 2 3 3 2 4 3 2" xfId="51404" xr:uid="{5382069D-5098-4074-8B31-A67FE76C5684}"/>
    <cellStyle name="Comma 9 2 2 3 3 2 4 4" xfId="36284" xr:uid="{76CA2DB1-B6DE-4DBB-B289-C7A7A3C77341}"/>
    <cellStyle name="Comma 9 2 2 3 3 2 5" xfId="7556" xr:uid="{DE9DD34C-2F03-43E0-B7DB-0F505A06E0B4}"/>
    <cellStyle name="Comma 9 2 2 3 3 2 5 2" xfId="22676" xr:uid="{2ADA4595-26C1-4B10-B136-2D7B097C787C}"/>
    <cellStyle name="Comma 9 2 2 3 3 2 5 2 2" xfId="52916" xr:uid="{C431F01F-A05C-4419-AC93-2E14AA429F8F}"/>
    <cellStyle name="Comma 9 2 2 3 3 2 5 3" xfId="37796" xr:uid="{D872E35E-432A-4E44-808F-42503F525B65}"/>
    <cellStyle name="Comma 9 2 2 3 3 2 6" xfId="9068" xr:uid="{6CA43216-2269-402B-B1DE-CB57A5A8E098}"/>
    <cellStyle name="Comma 9 2 2 3 3 2 6 2" xfId="24188" xr:uid="{0023A2F0-663D-4FBA-985C-9BAD29613424}"/>
    <cellStyle name="Comma 9 2 2 3 3 2 6 2 2" xfId="54428" xr:uid="{3E3B9558-064B-4491-BB30-4618090D6097}"/>
    <cellStyle name="Comma 9 2 2 3 3 2 6 3" xfId="39308" xr:uid="{EC19FAD5-458F-45B0-A5B8-0C348A04233F}"/>
    <cellStyle name="Comma 9 2 2 3 3 2 7" xfId="10580" xr:uid="{60D2DC9F-7979-4593-8DBE-AE8FACA923D1}"/>
    <cellStyle name="Comma 9 2 2 3 3 2 7 2" xfId="25700" xr:uid="{CE3B775D-16AF-4AA6-B9FD-CCD31B73FCE8}"/>
    <cellStyle name="Comma 9 2 2 3 3 2 7 2 2" xfId="55940" xr:uid="{AC866F8B-3334-4CC6-9EDB-570D5091F0EA}"/>
    <cellStyle name="Comma 9 2 2 3 3 2 7 3" xfId="40820" xr:uid="{D1428DA2-291B-4A36-BB3C-42CC006487D5}"/>
    <cellStyle name="Comma 9 2 2 3 3 2 8" xfId="16628" xr:uid="{B5B26649-1E46-4BC1-BB49-9EF3784BE81F}"/>
    <cellStyle name="Comma 9 2 2 3 3 2 8 2" xfId="46868" xr:uid="{5914591A-CFDE-46D5-8008-57367A9EA03B}"/>
    <cellStyle name="Comma 9 2 2 3 3 2 9" xfId="31748" xr:uid="{38243F8A-0A46-4E98-B0FF-E7CA9684AB75}"/>
    <cellStyle name="Comma 9 2 2 3 3 3" xfId="2264" xr:uid="{A9E0CF5B-B638-44FC-B2D9-6FA274C3222A}"/>
    <cellStyle name="Comma 9 2 2 3 3 3 2" xfId="11336" xr:uid="{B5550AC7-BADE-40F3-9B2B-902E3094BB83}"/>
    <cellStyle name="Comma 9 2 2 3 3 3 2 2" xfId="26456" xr:uid="{56E9BB68-BCF8-4057-8880-35485F15E112}"/>
    <cellStyle name="Comma 9 2 2 3 3 3 2 2 2" xfId="56696" xr:uid="{A5EA441C-09EA-4C24-ADB9-5EB146380B06}"/>
    <cellStyle name="Comma 9 2 2 3 3 3 2 3" xfId="41576" xr:uid="{96C73BF3-2113-4518-8DA3-1C08D3B53ADD}"/>
    <cellStyle name="Comma 9 2 2 3 3 3 3" xfId="17384" xr:uid="{1EE51647-DC65-4A17-A106-0CC272C4AC46}"/>
    <cellStyle name="Comma 9 2 2 3 3 3 3 2" xfId="47624" xr:uid="{1971B0A6-4D3C-4C78-B88B-6E2175430A2D}"/>
    <cellStyle name="Comma 9 2 2 3 3 3 4" xfId="32504" xr:uid="{9DD27632-28F5-4528-8AC9-3FBB43200D6D}"/>
    <cellStyle name="Comma 9 2 2 3 3 4" xfId="3776" xr:uid="{8AEE5388-8283-4EDA-8F9A-6C05D24612EA}"/>
    <cellStyle name="Comma 9 2 2 3 3 4 2" xfId="12848" xr:uid="{C14E5014-2C4E-4721-B54D-9EB5F15629F1}"/>
    <cellStyle name="Comma 9 2 2 3 3 4 2 2" xfId="27968" xr:uid="{AE1EC160-DA40-49FC-8249-DA2321B2D6A2}"/>
    <cellStyle name="Comma 9 2 2 3 3 4 2 2 2" xfId="58208" xr:uid="{69436AE4-900D-47EC-8EF5-84A053237E39}"/>
    <cellStyle name="Comma 9 2 2 3 3 4 2 3" xfId="43088" xr:uid="{2A470DBB-8916-47FB-AC01-8FE2204DB986}"/>
    <cellStyle name="Comma 9 2 2 3 3 4 3" xfId="18896" xr:uid="{1DA44376-B9CF-4BC7-83E3-FDB9BC736473}"/>
    <cellStyle name="Comma 9 2 2 3 3 4 3 2" xfId="49136" xr:uid="{07ECDDF6-6719-4B68-9C5D-265D8C1FDA30}"/>
    <cellStyle name="Comma 9 2 2 3 3 4 4" xfId="34016" xr:uid="{6F350C60-A277-49DB-895F-B323C4636014}"/>
    <cellStyle name="Comma 9 2 2 3 3 5" xfId="5288" xr:uid="{FFA356AD-1130-49BA-89A3-18E1B6A4719D}"/>
    <cellStyle name="Comma 9 2 2 3 3 5 2" xfId="14360" xr:uid="{1DFD2133-51E9-4896-8AD5-DF173214EABE}"/>
    <cellStyle name="Comma 9 2 2 3 3 5 2 2" xfId="29480" xr:uid="{2FFF84FF-E137-40ED-968D-DDD8C2C67DF2}"/>
    <cellStyle name="Comma 9 2 2 3 3 5 2 2 2" xfId="59720" xr:uid="{EA899F31-6D48-4F4E-8B5B-41BE87F9257D}"/>
    <cellStyle name="Comma 9 2 2 3 3 5 2 3" xfId="44600" xr:uid="{4F8ED83C-E924-48F9-A03A-9B77D91C21F1}"/>
    <cellStyle name="Comma 9 2 2 3 3 5 3" xfId="20408" xr:uid="{A90A3386-76C7-4408-899E-8E0C4B1FDD63}"/>
    <cellStyle name="Comma 9 2 2 3 3 5 3 2" xfId="50648" xr:uid="{D552BD33-B95A-42BD-98D2-3248DCB61480}"/>
    <cellStyle name="Comma 9 2 2 3 3 5 4" xfId="35528" xr:uid="{AFAB34E5-54E2-477F-B927-5D1BFBB65806}"/>
    <cellStyle name="Comma 9 2 2 3 3 6" xfId="6800" xr:uid="{ACBED213-8416-4201-A5D9-87F756122A3A}"/>
    <cellStyle name="Comma 9 2 2 3 3 6 2" xfId="21920" xr:uid="{029B0740-3365-4BA2-9421-F65432D80882}"/>
    <cellStyle name="Comma 9 2 2 3 3 6 2 2" xfId="52160" xr:uid="{0ADAEAB0-5808-4835-9ADE-F58FE4C41A96}"/>
    <cellStyle name="Comma 9 2 2 3 3 6 3" xfId="37040" xr:uid="{849E1B5B-0F76-4334-A8B2-77ED82B23AE7}"/>
    <cellStyle name="Comma 9 2 2 3 3 7" xfId="8312" xr:uid="{EB977912-0710-4BCD-BB81-283493BE7E63}"/>
    <cellStyle name="Comma 9 2 2 3 3 7 2" xfId="23432" xr:uid="{5E1C74AB-0FA1-4A50-B474-6D301288AAE8}"/>
    <cellStyle name="Comma 9 2 2 3 3 7 2 2" xfId="53672" xr:uid="{88822D40-B7AF-45D4-B093-50FEE36A0EB8}"/>
    <cellStyle name="Comma 9 2 2 3 3 7 3" xfId="38552" xr:uid="{5792A8E2-348C-49A2-9939-DEC474A96A6A}"/>
    <cellStyle name="Comma 9 2 2 3 3 8" xfId="9824" xr:uid="{9FB9BED0-BF75-4CDC-AD4D-A9109D103098}"/>
    <cellStyle name="Comma 9 2 2 3 3 8 2" xfId="24944" xr:uid="{96E0F933-F102-48F7-A2FE-9B98797CB8A7}"/>
    <cellStyle name="Comma 9 2 2 3 3 8 2 2" xfId="55184" xr:uid="{F3A42537-F403-4644-9C4F-235550A92485}"/>
    <cellStyle name="Comma 9 2 2 3 3 8 3" xfId="40064" xr:uid="{8DD14271-35C0-4B61-AA82-F009BE7C1F2C}"/>
    <cellStyle name="Comma 9 2 2 3 3 9" xfId="15872" xr:uid="{B0588984-7C94-4084-8FD8-17DF757904DB}"/>
    <cellStyle name="Comma 9 2 2 3 3 9 2" xfId="46112" xr:uid="{41AEABFA-965A-4E8A-9A73-015D215FA09A}"/>
    <cellStyle name="Comma 9 2 2 3 4" xfId="1004" xr:uid="{18531058-35FA-4B03-89AC-9FC21F50FC9A}"/>
    <cellStyle name="Comma 9 2 2 3 4 2" xfId="2516" xr:uid="{126D018C-A81E-4400-A878-11C5BA5007AF}"/>
    <cellStyle name="Comma 9 2 2 3 4 2 2" xfId="11588" xr:uid="{17B9F16B-2301-4409-95B1-A7F5A38594B3}"/>
    <cellStyle name="Comma 9 2 2 3 4 2 2 2" xfId="26708" xr:uid="{7935BD92-280B-4BFF-A807-60A76720B713}"/>
    <cellStyle name="Comma 9 2 2 3 4 2 2 2 2" xfId="56948" xr:uid="{1B75FE64-0C51-4755-9B2A-BAB15223D8B8}"/>
    <cellStyle name="Comma 9 2 2 3 4 2 2 3" xfId="41828" xr:uid="{CD380586-6FE4-4412-BC1E-64179CFC6450}"/>
    <cellStyle name="Comma 9 2 2 3 4 2 3" xfId="17636" xr:uid="{8E8FC44C-9C8B-4134-994E-3B5DC3CDB3A8}"/>
    <cellStyle name="Comma 9 2 2 3 4 2 3 2" xfId="47876" xr:uid="{87AF57A7-2160-462C-8E79-9E608250E773}"/>
    <cellStyle name="Comma 9 2 2 3 4 2 4" xfId="32756" xr:uid="{3DB4E712-BFCD-474C-9BA7-6F70CF4B49B2}"/>
    <cellStyle name="Comma 9 2 2 3 4 3" xfId="4028" xr:uid="{DCF8687E-1A8D-407F-B502-6FD6AEE9F695}"/>
    <cellStyle name="Comma 9 2 2 3 4 3 2" xfId="13100" xr:uid="{018BF224-C6C7-4E51-BF7A-44B852752E71}"/>
    <cellStyle name="Comma 9 2 2 3 4 3 2 2" xfId="28220" xr:uid="{4A0B1791-AC62-4FC1-AA82-9D4F024340D9}"/>
    <cellStyle name="Comma 9 2 2 3 4 3 2 2 2" xfId="58460" xr:uid="{35FE1E34-57BD-494A-A443-4E19C17487EF}"/>
    <cellStyle name="Comma 9 2 2 3 4 3 2 3" xfId="43340" xr:uid="{C5A2F751-8056-49E9-B816-4DE555A54CE2}"/>
    <cellStyle name="Comma 9 2 2 3 4 3 3" xfId="19148" xr:uid="{F88D8D10-1941-4288-AB0F-6579F0A35450}"/>
    <cellStyle name="Comma 9 2 2 3 4 3 3 2" xfId="49388" xr:uid="{3EC64BA8-98AC-4AEF-9AFC-6DE87C63319D}"/>
    <cellStyle name="Comma 9 2 2 3 4 3 4" xfId="34268" xr:uid="{70612ED5-CB93-4612-B1CA-CE54BD027471}"/>
    <cellStyle name="Comma 9 2 2 3 4 4" xfId="5540" xr:uid="{FC66AC73-D941-48D4-AA82-D96775889F99}"/>
    <cellStyle name="Comma 9 2 2 3 4 4 2" xfId="14612" xr:uid="{69064029-4932-43E9-A38E-6B804B153B95}"/>
    <cellStyle name="Comma 9 2 2 3 4 4 2 2" xfId="29732" xr:uid="{0CEA16F6-A3E4-4E2E-8534-E3F6F451A1B2}"/>
    <cellStyle name="Comma 9 2 2 3 4 4 2 2 2" xfId="59972" xr:uid="{D4E72D8C-929B-4944-82AB-54EFB8BE49B5}"/>
    <cellStyle name="Comma 9 2 2 3 4 4 2 3" xfId="44852" xr:uid="{93069FDC-859D-4306-9166-10D77E936899}"/>
    <cellStyle name="Comma 9 2 2 3 4 4 3" xfId="20660" xr:uid="{8F5F1AC6-65C8-44E9-8D2F-BBC86737D628}"/>
    <cellStyle name="Comma 9 2 2 3 4 4 3 2" xfId="50900" xr:uid="{A97AA2A9-FF15-46E4-8DC9-F5B266727C69}"/>
    <cellStyle name="Comma 9 2 2 3 4 4 4" xfId="35780" xr:uid="{4179961C-1E4B-4FAF-A58F-F04597C6AD92}"/>
    <cellStyle name="Comma 9 2 2 3 4 5" xfId="7052" xr:uid="{0D2D95C7-AE49-4955-B1F4-06F24300E5B6}"/>
    <cellStyle name="Comma 9 2 2 3 4 5 2" xfId="22172" xr:uid="{FD783F31-F69D-4B69-9910-625056820169}"/>
    <cellStyle name="Comma 9 2 2 3 4 5 2 2" xfId="52412" xr:uid="{F1232EEA-34C5-48DB-86ED-E54B1918BDB6}"/>
    <cellStyle name="Comma 9 2 2 3 4 5 3" xfId="37292" xr:uid="{B404638D-069A-4F41-B83B-FD8089BD3E0E}"/>
    <cellStyle name="Comma 9 2 2 3 4 6" xfId="8564" xr:uid="{5FCBC846-05C7-4806-BE23-F14472214120}"/>
    <cellStyle name="Comma 9 2 2 3 4 6 2" xfId="23684" xr:uid="{B9441CAF-2CF6-4FD1-8FFE-26CEBCA72943}"/>
    <cellStyle name="Comma 9 2 2 3 4 6 2 2" xfId="53924" xr:uid="{28552E12-974B-4B2E-BE8D-9EC80FECFD32}"/>
    <cellStyle name="Comma 9 2 2 3 4 6 3" xfId="38804" xr:uid="{0F4B109E-C2EA-4F1F-8908-1059C4DECBA4}"/>
    <cellStyle name="Comma 9 2 2 3 4 7" xfId="10076" xr:uid="{1B2DDD05-DA72-4F66-BED2-730777C8779F}"/>
    <cellStyle name="Comma 9 2 2 3 4 7 2" xfId="25196" xr:uid="{917863F5-A983-465B-9582-789882324FFE}"/>
    <cellStyle name="Comma 9 2 2 3 4 7 2 2" xfId="55436" xr:uid="{281A287A-B15E-4210-9ED9-9E97D6412760}"/>
    <cellStyle name="Comma 9 2 2 3 4 7 3" xfId="40316" xr:uid="{3D21B413-013B-42C2-B021-562E069DC083}"/>
    <cellStyle name="Comma 9 2 2 3 4 8" xfId="16124" xr:uid="{E379BD21-B4FC-4938-A2A8-2B433C2816DF}"/>
    <cellStyle name="Comma 9 2 2 3 4 8 2" xfId="46364" xr:uid="{06F9F8C2-1FC8-4433-9511-BE65CCE497D7}"/>
    <cellStyle name="Comma 9 2 2 3 4 9" xfId="31244" xr:uid="{A4B71338-8C95-4036-ABC2-C0457CB1BCF8}"/>
    <cellStyle name="Comma 9 2 2 3 5" xfId="1760" xr:uid="{045CB6A9-05F3-40DC-8F29-A4C5DD9C3450}"/>
    <cellStyle name="Comma 9 2 2 3 5 2" xfId="10832" xr:uid="{D95FC820-55CD-420E-A4C1-CA160A7D5225}"/>
    <cellStyle name="Comma 9 2 2 3 5 2 2" xfId="25952" xr:uid="{DD06F7F2-A8B4-4DD9-B9E8-A99D4D3CFC79}"/>
    <cellStyle name="Comma 9 2 2 3 5 2 2 2" xfId="56192" xr:uid="{5E28A5C1-31AD-4638-9486-AD12F095651B}"/>
    <cellStyle name="Comma 9 2 2 3 5 2 3" xfId="41072" xr:uid="{47648492-6D8C-4506-BE94-26C163992E1B}"/>
    <cellStyle name="Comma 9 2 2 3 5 3" xfId="16880" xr:uid="{F43B9CFC-127C-4499-9584-8BA2BF871889}"/>
    <cellStyle name="Comma 9 2 2 3 5 3 2" xfId="47120" xr:uid="{0D7209CA-782E-4E6B-B89F-3317D6E5A9B5}"/>
    <cellStyle name="Comma 9 2 2 3 5 4" xfId="32000" xr:uid="{A4F8411E-C214-4C8B-A76C-F7E3B85E7246}"/>
    <cellStyle name="Comma 9 2 2 3 6" xfId="3272" xr:uid="{976899F1-F40A-4826-B342-5D5743A51421}"/>
    <cellStyle name="Comma 9 2 2 3 6 2" xfId="12344" xr:uid="{CEA92639-3D99-47DF-B635-BB9A186F6EE2}"/>
    <cellStyle name="Comma 9 2 2 3 6 2 2" xfId="27464" xr:uid="{E614737D-03D8-4B27-AD21-2EED07810A80}"/>
    <cellStyle name="Comma 9 2 2 3 6 2 2 2" xfId="57704" xr:uid="{E5BACF09-ED07-4D33-9D09-17B6DABE8BA5}"/>
    <cellStyle name="Comma 9 2 2 3 6 2 3" xfId="42584" xr:uid="{B1A9A2C9-66F3-4D80-873A-115BE4A51577}"/>
    <cellStyle name="Comma 9 2 2 3 6 3" xfId="18392" xr:uid="{F226FEA4-145D-4498-836F-59716FC07192}"/>
    <cellStyle name="Comma 9 2 2 3 6 3 2" xfId="48632" xr:uid="{FAB22981-4884-4A2A-84AD-404CE5A3F314}"/>
    <cellStyle name="Comma 9 2 2 3 6 4" xfId="33512" xr:uid="{0AC8D15E-19ED-47F3-801E-FD72640FFA87}"/>
    <cellStyle name="Comma 9 2 2 3 7" xfId="4784" xr:uid="{FE0EAFDD-43F4-4664-95C9-521335CC225F}"/>
    <cellStyle name="Comma 9 2 2 3 7 2" xfId="13856" xr:uid="{DABBCCDF-0220-42EA-A350-26E87DB7D17D}"/>
    <cellStyle name="Comma 9 2 2 3 7 2 2" xfId="28976" xr:uid="{0D55F109-58BE-4606-B349-40D36BEE4FBF}"/>
    <cellStyle name="Comma 9 2 2 3 7 2 2 2" xfId="59216" xr:uid="{092FB21D-1B3F-45A7-9EC0-1D1A61FF4005}"/>
    <cellStyle name="Comma 9 2 2 3 7 2 3" xfId="44096" xr:uid="{33D2EDDF-381B-415C-A258-DFEFC7607EDC}"/>
    <cellStyle name="Comma 9 2 2 3 7 3" xfId="19904" xr:uid="{499462EE-2DF4-4802-9121-27B6F39EA865}"/>
    <cellStyle name="Comma 9 2 2 3 7 3 2" xfId="50144" xr:uid="{CA954338-EFE2-419F-82E3-C9F011E9A99F}"/>
    <cellStyle name="Comma 9 2 2 3 7 4" xfId="35024" xr:uid="{8CA3D714-99E0-4ADB-B909-AC460AB0DA06}"/>
    <cellStyle name="Comma 9 2 2 3 8" xfId="6296" xr:uid="{C29A0566-5F22-4225-92E5-D83089DB8820}"/>
    <cellStyle name="Comma 9 2 2 3 8 2" xfId="21416" xr:uid="{DA957A67-7E9E-42E2-B589-0BCA1DB77454}"/>
    <cellStyle name="Comma 9 2 2 3 8 2 2" xfId="51656" xr:uid="{D6C9DC3A-DB83-4DF3-8CC3-1A24491E6ADD}"/>
    <cellStyle name="Comma 9 2 2 3 8 3" xfId="36536" xr:uid="{EC8CA2AE-7398-434D-B6A3-396C156259B2}"/>
    <cellStyle name="Comma 9 2 2 3 9" xfId="7808" xr:uid="{5312A186-E6F2-42AF-A62F-D3437F9E9707}"/>
    <cellStyle name="Comma 9 2 2 3 9 2" xfId="22928" xr:uid="{92EFFDD5-F588-407F-8D50-60892B8C1BF3}"/>
    <cellStyle name="Comma 9 2 2 3 9 2 2" xfId="53168" xr:uid="{E4574B37-FA8D-4B15-993F-EC730E6B32BE}"/>
    <cellStyle name="Comma 9 2 2 3 9 3" xfId="38048" xr:uid="{69645DC2-CF6D-42D6-AB41-5FC72F0B1C6D}"/>
    <cellStyle name="Comma 9 2 2 4" xfId="332" xr:uid="{E34CC62A-CBD5-4A42-A160-890C49468095}"/>
    <cellStyle name="Comma 9 2 2 4 10" xfId="30572" xr:uid="{438C3A42-2147-499D-8930-3A8E638DCBC4}"/>
    <cellStyle name="Comma 9 2 2 4 2" xfId="1088" xr:uid="{7B24B437-F4E7-4DB8-9FE8-F85F0AD69E46}"/>
    <cellStyle name="Comma 9 2 2 4 2 2" xfId="2600" xr:uid="{1B27D604-500B-4C8D-BFE3-9D365F372DC1}"/>
    <cellStyle name="Comma 9 2 2 4 2 2 2" xfId="11672" xr:uid="{D28089E9-1D39-4EF5-954A-06D8D5F70E6F}"/>
    <cellStyle name="Comma 9 2 2 4 2 2 2 2" xfId="26792" xr:uid="{5B31FA94-F3CA-43E1-B68E-9C661013B47D}"/>
    <cellStyle name="Comma 9 2 2 4 2 2 2 2 2" xfId="57032" xr:uid="{9E08F494-E54A-4273-89B6-8F419723D262}"/>
    <cellStyle name="Comma 9 2 2 4 2 2 2 3" xfId="41912" xr:uid="{5E8FAC1B-C7C0-4C6B-93F5-7991B6C84E4C}"/>
    <cellStyle name="Comma 9 2 2 4 2 2 3" xfId="17720" xr:uid="{6D7EDB5C-E619-49C6-8033-E6B4069CBFD6}"/>
    <cellStyle name="Comma 9 2 2 4 2 2 3 2" xfId="47960" xr:uid="{3053010E-7FA4-40F0-9891-40F4CC44F242}"/>
    <cellStyle name="Comma 9 2 2 4 2 2 4" xfId="32840" xr:uid="{2C00A2E3-BC64-4781-A567-CBEEB2E50EDA}"/>
    <cellStyle name="Comma 9 2 2 4 2 3" xfId="4112" xr:uid="{EF4FB1B4-701C-4A3B-A60A-61CB2C4FA902}"/>
    <cellStyle name="Comma 9 2 2 4 2 3 2" xfId="13184" xr:uid="{E18D3261-61FF-4D74-B289-CB1CE8C6C862}"/>
    <cellStyle name="Comma 9 2 2 4 2 3 2 2" xfId="28304" xr:uid="{C135A921-C1E0-4C74-8D32-16A758B4F5B6}"/>
    <cellStyle name="Comma 9 2 2 4 2 3 2 2 2" xfId="58544" xr:uid="{D7881CD3-A035-4078-BB3A-61FE2579F007}"/>
    <cellStyle name="Comma 9 2 2 4 2 3 2 3" xfId="43424" xr:uid="{26CF1A4E-7648-409B-B984-2C8F07BDED7A}"/>
    <cellStyle name="Comma 9 2 2 4 2 3 3" xfId="19232" xr:uid="{A9A3955E-E4AB-4F34-BE97-B31507CC4CDB}"/>
    <cellStyle name="Comma 9 2 2 4 2 3 3 2" xfId="49472" xr:uid="{26C0DD9B-C79B-4F7A-8A86-C6F8114BFBA0}"/>
    <cellStyle name="Comma 9 2 2 4 2 3 4" xfId="34352" xr:uid="{843ED96E-C9AF-4B4A-A984-0770015B2031}"/>
    <cellStyle name="Comma 9 2 2 4 2 4" xfId="5624" xr:uid="{FCE5DB18-A4AB-4822-8F71-4425C3605DC9}"/>
    <cellStyle name="Comma 9 2 2 4 2 4 2" xfId="14696" xr:uid="{12760B04-93AA-404D-ABB8-699436F5703D}"/>
    <cellStyle name="Comma 9 2 2 4 2 4 2 2" xfId="29816" xr:uid="{65C696F6-D05C-4844-840A-15BF22F5DD5C}"/>
    <cellStyle name="Comma 9 2 2 4 2 4 2 2 2" xfId="60056" xr:uid="{A443F0C8-6BB5-4ADB-BEAA-0AF050AABD05}"/>
    <cellStyle name="Comma 9 2 2 4 2 4 2 3" xfId="44936" xr:uid="{1378BBF3-D595-4218-A49A-A79105B5BB5C}"/>
    <cellStyle name="Comma 9 2 2 4 2 4 3" xfId="20744" xr:uid="{E1E9A640-294D-4206-96F4-C5775493627F}"/>
    <cellStyle name="Comma 9 2 2 4 2 4 3 2" xfId="50984" xr:uid="{95BEFF39-2280-4B23-8273-B251AF122A74}"/>
    <cellStyle name="Comma 9 2 2 4 2 4 4" xfId="35864" xr:uid="{861B09E3-1812-4558-8FDE-099EF9188B04}"/>
    <cellStyle name="Comma 9 2 2 4 2 5" xfId="7136" xr:uid="{85F278E1-76A5-49EB-9CEA-7BB13086AE40}"/>
    <cellStyle name="Comma 9 2 2 4 2 5 2" xfId="22256" xr:uid="{204DD347-2E27-412B-B17E-D0FBFC9B5372}"/>
    <cellStyle name="Comma 9 2 2 4 2 5 2 2" xfId="52496" xr:uid="{79666A71-9451-4199-A422-745D8041E176}"/>
    <cellStyle name="Comma 9 2 2 4 2 5 3" xfId="37376" xr:uid="{42FB6ABF-7B0D-4C15-BAA6-52C4C0F375ED}"/>
    <cellStyle name="Comma 9 2 2 4 2 6" xfId="8648" xr:uid="{BD09483E-C707-4D45-8F01-813FEE435A7A}"/>
    <cellStyle name="Comma 9 2 2 4 2 6 2" xfId="23768" xr:uid="{373CA464-8716-4AE7-ACAB-B0AF164A2800}"/>
    <cellStyle name="Comma 9 2 2 4 2 6 2 2" xfId="54008" xr:uid="{135E199C-7883-4595-96C6-279F4B284947}"/>
    <cellStyle name="Comma 9 2 2 4 2 6 3" xfId="38888" xr:uid="{30A3F2E3-CBFA-4AF3-8217-96E5162B5C9F}"/>
    <cellStyle name="Comma 9 2 2 4 2 7" xfId="10160" xr:uid="{1D0ED9A8-EEE6-446A-A337-5D4853850575}"/>
    <cellStyle name="Comma 9 2 2 4 2 7 2" xfId="25280" xr:uid="{890B5F79-1F7C-40A8-B3B3-DF24737FAFBD}"/>
    <cellStyle name="Comma 9 2 2 4 2 7 2 2" xfId="55520" xr:uid="{2ADAC7A7-48A2-4E42-AABF-D4E7D2E36E89}"/>
    <cellStyle name="Comma 9 2 2 4 2 7 3" xfId="40400" xr:uid="{76F49048-AA7E-4183-B9EF-C5DEC60A0CEE}"/>
    <cellStyle name="Comma 9 2 2 4 2 8" xfId="16208" xr:uid="{6F962DE5-2E39-41C4-B7AD-061B360865EE}"/>
    <cellStyle name="Comma 9 2 2 4 2 8 2" xfId="46448" xr:uid="{E8364F57-0858-41C1-A9BD-F5FECCE50C5B}"/>
    <cellStyle name="Comma 9 2 2 4 2 9" xfId="31328" xr:uid="{754C716E-A050-44BF-8933-95E39ED89489}"/>
    <cellStyle name="Comma 9 2 2 4 3" xfId="1844" xr:uid="{A025846A-3B26-4284-85BE-96300F2552AC}"/>
    <cellStyle name="Comma 9 2 2 4 3 2" xfId="10916" xr:uid="{3A3E300B-01FD-4FA3-800C-2272AA58175C}"/>
    <cellStyle name="Comma 9 2 2 4 3 2 2" xfId="26036" xr:uid="{B11E78DD-1D48-4541-9E98-6758CDDE4476}"/>
    <cellStyle name="Comma 9 2 2 4 3 2 2 2" xfId="56276" xr:uid="{64E3459F-8D1F-4C89-BFD8-CD4636CF4BE2}"/>
    <cellStyle name="Comma 9 2 2 4 3 2 3" xfId="41156" xr:uid="{0127837E-2C1C-43EB-A4CC-BE6AB5EB611A}"/>
    <cellStyle name="Comma 9 2 2 4 3 3" xfId="16964" xr:uid="{D7B66DC8-173A-4848-9681-F9CE74DD1204}"/>
    <cellStyle name="Comma 9 2 2 4 3 3 2" xfId="47204" xr:uid="{9BFCBAD4-DA9B-4452-915C-D3B79FE433D5}"/>
    <cellStyle name="Comma 9 2 2 4 3 4" xfId="32084" xr:uid="{E6F42596-CFCE-498A-956B-5355099C8179}"/>
    <cellStyle name="Comma 9 2 2 4 4" xfId="3356" xr:uid="{B4D6DB9C-42A5-446E-AF06-D8FF404EDE76}"/>
    <cellStyle name="Comma 9 2 2 4 4 2" xfId="12428" xr:uid="{834CA7AB-AA1E-418D-AD15-27B78F17CCF8}"/>
    <cellStyle name="Comma 9 2 2 4 4 2 2" xfId="27548" xr:uid="{4557403D-1CEE-4905-BFF3-C4F68B58BE88}"/>
    <cellStyle name="Comma 9 2 2 4 4 2 2 2" xfId="57788" xr:uid="{D0607043-6A62-408E-A921-386F2EF73B31}"/>
    <cellStyle name="Comma 9 2 2 4 4 2 3" xfId="42668" xr:uid="{0BE6E7DC-FEFC-4C82-AA10-F06DF851A301}"/>
    <cellStyle name="Comma 9 2 2 4 4 3" xfId="18476" xr:uid="{69EAFDDC-41EE-4B45-9A86-47C17896DA80}"/>
    <cellStyle name="Comma 9 2 2 4 4 3 2" xfId="48716" xr:uid="{2DD88678-8A92-4E66-A5CF-33792D89D5D7}"/>
    <cellStyle name="Comma 9 2 2 4 4 4" xfId="33596" xr:uid="{E5F39C3C-FC48-4EA2-B284-5A3ACA919605}"/>
    <cellStyle name="Comma 9 2 2 4 5" xfId="4868" xr:uid="{20C72EBE-B33B-4A97-AF63-471545E6FB1B}"/>
    <cellStyle name="Comma 9 2 2 4 5 2" xfId="13940" xr:uid="{3CF86DEE-46A7-4225-AC36-2F1FD364FF20}"/>
    <cellStyle name="Comma 9 2 2 4 5 2 2" xfId="29060" xr:uid="{7837D551-87E8-4B13-AD01-9472984CC9F2}"/>
    <cellStyle name="Comma 9 2 2 4 5 2 2 2" xfId="59300" xr:uid="{22C2A7A0-3385-488E-A5CF-A3A59ACABA18}"/>
    <cellStyle name="Comma 9 2 2 4 5 2 3" xfId="44180" xr:uid="{E8229448-7B19-4F7E-AA00-5BE79B27F031}"/>
    <cellStyle name="Comma 9 2 2 4 5 3" xfId="19988" xr:uid="{D1ED2F4F-CB5A-4F95-9AAA-E1D06ED0BC56}"/>
    <cellStyle name="Comma 9 2 2 4 5 3 2" xfId="50228" xr:uid="{77B55661-FC01-4D20-AC13-CE49EA0B5B9E}"/>
    <cellStyle name="Comma 9 2 2 4 5 4" xfId="35108" xr:uid="{0A5605A4-B608-4A8F-BA65-2458C70AADE0}"/>
    <cellStyle name="Comma 9 2 2 4 6" xfId="6380" xr:uid="{3AC4F07C-9C3E-4C38-B4CA-922978065B7B}"/>
    <cellStyle name="Comma 9 2 2 4 6 2" xfId="21500" xr:uid="{EF66FFAA-352C-467B-B065-12F5DE17C0C5}"/>
    <cellStyle name="Comma 9 2 2 4 6 2 2" xfId="51740" xr:uid="{22148192-4DC6-4143-992B-346A4756CB43}"/>
    <cellStyle name="Comma 9 2 2 4 6 3" xfId="36620" xr:uid="{90072D34-EC5F-4477-B114-F5F33E5B8E8B}"/>
    <cellStyle name="Comma 9 2 2 4 7" xfId="7892" xr:uid="{151BE162-91A7-4381-BEE0-3362DAE442A6}"/>
    <cellStyle name="Comma 9 2 2 4 7 2" xfId="23012" xr:uid="{6A55F92E-CE45-4FC0-9A92-3D4AD93FFFD3}"/>
    <cellStyle name="Comma 9 2 2 4 7 2 2" xfId="53252" xr:uid="{36FB88D4-2869-425E-8439-0A9402BE2EE7}"/>
    <cellStyle name="Comma 9 2 2 4 7 3" xfId="38132" xr:uid="{76CFB2A6-F573-480C-B5E6-E079AE196B05}"/>
    <cellStyle name="Comma 9 2 2 4 8" xfId="9404" xr:uid="{F9638C01-0FCD-4B9A-8D2F-C26FBF26EDD6}"/>
    <cellStyle name="Comma 9 2 2 4 8 2" xfId="24524" xr:uid="{06DCFC2F-1EE4-4287-8B59-E52B85A88E19}"/>
    <cellStyle name="Comma 9 2 2 4 8 2 2" xfId="54764" xr:uid="{76F2365A-DB1E-474F-B8D5-FE135842D3BC}"/>
    <cellStyle name="Comma 9 2 2 4 8 3" xfId="39644" xr:uid="{33ABE3CD-100A-4A51-BB3C-86451B39CB74}"/>
    <cellStyle name="Comma 9 2 2 4 9" xfId="15452" xr:uid="{6CFB5E32-8ACA-46AB-A05A-6503F9566257}"/>
    <cellStyle name="Comma 9 2 2 4 9 2" xfId="45692" xr:uid="{151E590D-33B2-400A-902F-CCB9DD138562}"/>
    <cellStyle name="Comma 9 2 2 5" xfId="584" xr:uid="{22941B12-5BD6-4DB1-B6E5-EAAE8B556724}"/>
    <cellStyle name="Comma 9 2 2 5 10" xfId="30824" xr:uid="{BCC6CE92-9DEE-47DA-8E77-D3060CB339FD}"/>
    <cellStyle name="Comma 9 2 2 5 2" xfId="1340" xr:uid="{A3E3275A-9F92-43DD-8F73-EE1A5D0B57A4}"/>
    <cellStyle name="Comma 9 2 2 5 2 2" xfId="2852" xr:uid="{ABA7E7BA-6D6A-4039-A2C4-F30D415BCD90}"/>
    <cellStyle name="Comma 9 2 2 5 2 2 2" xfId="11924" xr:uid="{13A6B250-7ABC-4526-9BB3-3D56A290878D}"/>
    <cellStyle name="Comma 9 2 2 5 2 2 2 2" xfId="27044" xr:uid="{56BA8614-A9FD-40FC-858C-BCAFEB98E00F}"/>
    <cellStyle name="Comma 9 2 2 5 2 2 2 2 2" xfId="57284" xr:uid="{81285573-4669-4327-8DAD-9EAD386E21C2}"/>
    <cellStyle name="Comma 9 2 2 5 2 2 2 3" xfId="42164" xr:uid="{4A93FFDC-8C62-470A-A420-6A5822ED6458}"/>
    <cellStyle name="Comma 9 2 2 5 2 2 3" xfId="17972" xr:uid="{0ACDB51F-7716-490A-88CB-91FDE36E6D0F}"/>
    <cellStyle name="Comma 9 2 2 5 2 2 3 2" xfId="48212" xr:uid="{E2901FAD-4EAC-43D3-B602-EF209AE197A4}"/>
    <cellStyle name="Comma 9 2 2 5 2 2 4" xfId="33092" xr:uid="{5D204E84-FD9E-4A04-A830-BAB72A61CB74}"/>
    <cellStyle name="Comma 9 2 2 5 2 3" xfId="4364" xr:uid="{6DE1B5A1-7909-4814-AFED-FEE125F61D80}"/>
    <cellStyle name="Comma 9 2 2 5 2 3 2" xfId="13436" xr:uid="{B71EBD01-9A09-4E87-9AA9-98475FB9BFC4}"/>
    <cellStyle name="Comma 9 2 2 5 2 3 2 2" xfId="28556" xr:uid="{D7B783B7-F3EF-4A43-9012-62AD04152F60}"/>
    <cellStyle name="Comma 9 2 2 5 2 3 2 2 2" xfId="58796" xr:uid="{FD35765B-F51D-4BAC-BEB1-F6F689BF3526}"/>
    <cellStyle name="Comma 9 2 2 5 2 3 2 3" xfId="43676" xr:uid="{0FACC184-1E40-4ABD-A9C8-42B5F4BED74F}"/>
    <cellStyle name="Comma 9 2 2 5 2 3 3" xfId="19484" xr:uid="{07BBFD17-D541-4F0F-87B9-2A993B61E74F}"/>
    <cellStyle name="Comma 9 2 2 5 2 3 3 2" xfId="49724" xr:uid="{96697E32-22A7-4956-AFDC-52439ABF33E3}"/>
    <cellStyle name="Comma 9 2 2 5 2 3 4" xfId="34604" xr:uid="{0ED0C253-D5FE-4664-8F78-5FCF9C20DD4F}"/>
    <cellStyle name="Comma 9 2 2 5 2 4" xfId="5876" xr:uid="{5F90DE92-9DA2-4D84-8A34-9BD57793DF6A}"/>
    <cellStyle name="Comma 9 2 2 5 2 4 2" xfId="14948" xr:uid="{03EF974B-26B8-414D-B24E-B92F08FC639A}"/>
    <cellStyle name="Comma 9 2 2 5 2 4 2 2" xfId="30068" xr:uid="{C3E86A15-716B-42A9-9C55-5B6A16423AF0}"/>
    <cellStyle name="Comma 9 2 2 5 2 4 2 2 2" xfId="60308" xr:uid="{6B9A6E51-C0AB-421B-A85F-AC292B2B1C04}"/>
    <cellStyle name="Comma 9 2 2 5 2 4 2 3" xfId="45188" xr:uid="{DB8A420D-8F91-482E-8FE5-1C74DD3EB655}"/>
    <cellStyle name="Comma 9 2 2 5 2 4 3" xfId="20996" xr:uid="{043B48C5-BFBC-4FC0-B447-DE257FC0DCAA}"/>
    <cellStyle name="Comma 9 2 2 5 2 4 3 2" xfId="51236" xr:uid="{D3D4AF68-4FD5-4BCC-BACC-E220FA0E8B18}"/>
    <cellStyle name="Comma 9 2 2 5 2 4 4" xfId="36116" xr:uid="{25B816F3-8954-48CA-B4F3-357634DCC462}"/>
    <cellStyle name="Comma 9 2 2 5 2 5" xfId="7388" xr:uid="{B80692F6-A3E8-482F-BCB4-A78F3029CC2B}"/>
    <cellStyle name="Comma 9 2 2 5 2 5 2" xfId="22508" xr:uid="{C69968EA-58B8-4616-89D3-C208933504C0}"/>
    <cellStyle name="Comma 9 2 2 5 2 5 2 2" xfId="52748" xr:uid="{2C50EDAA-A079-4BA2-97E3-61803F1A9CE2}"/>
    <cellStyle name="Comma 9 2 2 5 2 5 3" xfId="37628" xr:uid="{FDC228B3-BA5F-4056-BF6F-8628A736F379}"/>
    <cellStyle name="Comma 9 2 2 5 2 6" xfId="8900" xr:uid="{86423581-B653-4713-AA74-0155347661B7}"/>
    <cellStyle name="Comma 9 2 2 5 2 6 2" xfId="24020" xr:uid="{47E839B7-73E3-4CFE-9616-29672C041A41}"/>
    <cellStyle name="Comma 9 2 2 5 2 6 2 2" xfId="54260" xr:uid="{03227205-20C5-4535-9291-8B3D248DB8A5}"/>
    <cellStyle name="Comma 9 2 2 5 2 6 3" xfId="39140" xr:uid="{0962378B-1C14-43F6-B520-B9BBA8F94F31}"/>
    <cellStyle name="Comma 9 2 2 5 2 7" xfId="10412" xr:uid="{D2FC27CB-29C9-4CA6-815B-1CA721C9F1E8}"/>
    <cellStyle name="Comma 9 2 2 5 2 7 2" xfId="25532" xr:uid="{062C35DC-3208-4941-8A08-8B34F5EBCF6F}"/>
    <cellStyle name="Comma 9 2 2 5 2 7 2 2" xfId="55772" xr:uid="{C0AF5B6A-DFF1-4746-86D4-57CB1EFABDAB}"/>
    <cellStyle name="Comma 9 2 2 5 2 7 3" xfId="40652" xr:uid="{A8FD129C-4772-4B49-A35B-1F51613C813F}"/>
    <cellStyle name="Comma 9 2 2 5 2 8" xfId="16460" xr:uid="{C8D79788-EEC0-449F-9A97-ABA4ADF09F79}"/>
    <cellStyle name="Comma 9 2 2 5 2 8 2" xfId="46700" xr:uid="{52AA4324-C0D2-49E9-BEB8-6FF6CF704475}"/>
    <cellStyle name="Comma 9 2 2 5 2 9" xfId="31580" xr:uid="{81893265-0368-4267-8A20-DEDD38AF70DB}"/>
    <cellStyle name="Comma 9 2 2 5 3" xfId="2096" xr:uid="{62D98EB4-9F90-4AF6-BF45-78A5DC4C44A0}"/>
    <cellStyle name="Comma 9 2 2 5 3 2" xfId="11168" xr:uid="{1422747F-ADC7-4BD8-A372-97216858633A}"/>
    <cellStyle name="Comma 9 2 2 5 3 2 2" xfId="26288" xr:uid="{6F9F01D2-9ECF-4E95-9782-CA1CE55B72BE}"/>
    <cellStyle name="Comma 9 2 2 5 3 2 2 2" xfId="56528" xr:uid="{5329F877-71FE-442E-AAA2-51D36E8F8C9E}"/>
    <cellStyle name="Comma 9 2 2 5 3 2 3" xfId="41408" xr:uid="{6E949131-228F-40FE-9DBD-4496EE87EB6F}"/>
    <cellStyle name="Comma 9 2 2 5 3 3" xfId="17216" xr:uid="{3D0C9B2E-B6D4-4807-9819-C2D431DA8D09}"/>
    <cellStyle name="Comma 9 2 2 5 3 3 2" xfId="47456" xr:uid="{13B46075-DACE-49A8-A63E-087EBB8E6817}"/>
    <cellStyle name="Comma 9 2 2 5 3 4" xfId="32336" xr:uid="{6469C212-D26A-4407-A5FC-FB7E1D9F9E17}"/>
    <cellStyle name="Comma 9 2 2 5 4" xfId="3608" xr:uid="{ADFB2356-EA30-4B4B-8FE9-D0AED2DA1DAC}"/>
    <cellStyle name="Comma 9 2 2 5 4 2" xfId="12680" xr:uid="{AEFD0CFA-EC29-483E-A9F5-F51B13A61D6D}"/>
    <cellStyle name="Comma 9 2 2 5 4 2 2" xfId="27800" xr:uid="{3CB38130-FBF8-4AE6-8BF2-670638513EB1}"/>
    <cellStyle name="Comma 9 2 2 5 4 2 2 2" xfId="58040" xr:uid="{FAB55905-D1D1-4FCA-AD64-2EAA62829D67}"/>
    <cellStyle name="Comma 9 2 2 5 4 2 3" xfId="42920" xr:uid="{5343F2E8-BF9D-4FB5-B3F3-FAF66F79C15A}"/>
    <cellStyle name="Comma 9 2 2 5 4 3" xfId="18728" xr:uid="{0BB5B9B3-D5D4-4D0D-A48A-6B9E5850EE8F}"/>
    <cellStyle name="Comma 9 2 2 5 4 3 2" xfId="48968" xr:uid="{7C34B496-32CA-4C1F-AC0A-234AA9F2D71B}"/>
    <cellStyle name="Comma 9 2 2 5 4 4" xfId="33848" xr:uid="{96FE1424-9A0D-4818-B8D4-4D2231BC3E7F}"/>
    <cellStyle name="Comma 9 2 2 5 5" xfId="5120" xr:uid="{99670A93-EAED-4547-A828-84CC6FA1C6D0}"/>
    <cellStyle name="Comma 9 2 2 5 5 2" xfId="14192" xr:uid="{32CD2828-F3F3-4766-8EA8-2339044F0CE1}"/>
    <cellStyle name="Comma 9 2 2 5 5 2 2" xfId="29312" xr:uid="{D90DFDBC-A284-4432-ACC3-AC7DF00B7550}"/>
    <cellStyle name="Comma 9 2 2 5 5 2 2 2" xfId="59552" xr:uid="{F5408ACC-D55F-4061-8359-93B86BDB28B9}"/>
    <cellStyle name="Comma 9 2 2 5 5 2 3" xfId="44432" xr:uid="{A440E626-FE72-49E1-AA19-0EA23D567793}"/>
    <cellStyle name="Comma 9 2 2 5 5 3" xfId="20240" xr:uid="{190CEDD4-FD0F-44F1-8322-A1178D35D40A}"/>
    <cellStyle name="Comma 9 2 2 5 5 3 2" xfId="50480" xr:uid="{DD285CB5-A189-4C95-B860-867C22B99EFB}"/>
    <cellStyle name="Comma 9 2 2 5 5 4" xfId="35360" xr:uid="{0394FB81-CF46-4AE8-9657-C69861F4E00E}"/>
    <cellStyle name="Comma 9 2 2 5 6" xfId="6632" xr:uid="{1AF9260D-F00C-4975-8712-7675EF40123E}"/>
    <cellStyle name="Comma 9 2 2 5 6 2" xfId="21752" xr:uid="{32EED563-1E07-4A29-93FE-87309D720447}"/>
    <cellStyle name="Comma 9 2 2 5 6 2 2" xfId="51992" xr:uid="{032085B6-1185-4CED-A414-D5CF98078099}"/>
    <cellStyle name="Comma 9 2 2 5 6 3" xfId="36872" xr:uid="{98968BE0-6A7C-4927-845A-611DE76DBB2A}"/>
    <cellStyle name="Comma 9 2 2 5 7" xfId="8144" xr:uid="{9970EEA5-35BC-4955-9943-C61D769B51FB}"/>
    <cellStyle name="Comma 9 2 2 5 7 2" xfId="23264" xr:uid="{18FFB71B-CB3F-4BDD-B55D-F0177C2F115C}"/>
    <cellStyle name="Comma 9 2 2 5 7 2 2" xfId="53504" xr:uid="{179EAE59-F25E-4D12-8CBC-3BC55767D84F}"/>
    <cellStyle name="Comma 9 2 2 5 7 3" xfId="38384" xr:uid="{E97E14A3-6054-4B9E-B5B3-7186537131AF}"/>
    <cellStyle name="Comma 9 2 2 5 8" xfId="9656" xr:uid="{7D60D98D-4659-4AD6-B73F-2CDD2A286D44}"/>
    <cellStyle name="Comma 9 2 2 5 8 2" xfId="24776" xr:uid="{714CF7B5-646D-44C8-A2DC-EB13E47DC383}"/>
    <cellStyle name="Comma 9 2 2 5 8 2 2" xfId="55016" xr:uid="{5764EA14-4FB7-4DBD-B1F5-C1B7BA427C4B}"/>
    <cellStyle name="Comma 9 2 2 5 8 3" xfId="39896" xr:uid="{597C1548-8E01-4A6B-A4E6-774D5EBE5EB8}"/>
    <cellStyle name="Comma 9 2 2 5 9" xfId="15704" xr:uid="{A45B3E5F-2582-4B5E-9F9F-2F0306EDC7C2}"/>
    <cellStyle name="Comma 9 2 2 5 9 2" xfId="45944" xr:uid="{E11732CD-CE94-4CF8-829D-71C83F5A79C2}"/>
    <cellStyle name="Comma 9 2 2 6" xfId="836" xr:uid="{535671AC-EBD8-42BC-9F0D-8BA061EC8B5E}"/>
    <cellStyle name="Comma 9 2 2 6 2" xfId="2348" xr:uid="{3BC641D9-31BF-409C-8271-C6EF0A578379}"/>
    <cellStyle name="Comma 9 2 2 6 2 2" xfId="11420" xr:uid="{34D30824-ED94-4D11-9C07-8D1022026DEC}"/>
    <cellStyle name="Comma 9 2 2 6 2 2 2" xfId="26540" xr:uid="{2373C1E9-86DE-47A3-B26E-9DDCECF73A02}"/>
    <cellStyle name="Comma 9 2 2 6 2 2 2 2" xfId="56780" xr:uid="{F9BB3B09-C05E-42BF-AFC1-625FF7B4E87B}"/>
    <cellStyle name="Comma 9 2 2 6 2 2 3" xfId="41660" xr:uid="{DB2EFE78-BA24-4564-A0EA-EFC07D203C0E}"/>
    <cellStyle name="Comma 9 2 2 6 2 3" xfId="17468" xr:uid="{A9B86FA4-D773-4E66-918C-BC440D6B5101}"/>
    <cellStyle name="Comma 9 2 2 6 2 3 2" xfId="47708" xr:uid="{68969DB1-1A7D-4D4A-AB4B-9D369C9003F6}"/>
    <cellStyle name="Comma 9 2 2 6 2 4" xfId="32588" xr:uid="{76E3C8F5-D4B4-4887-9923-07A15FFD799F}"/>
    <cellStyle name="Comma 9 2 2 6 3" xfId="3860" xr:uid="{E1D9514A-3190-445A-8B74-99367479E451}"/>
    <cellStyle name="Comma 9 2 2 6 3 2" xfId="12932" xr:uid="{9F6975EB-EF51-48D1-8DEA-009C8B7C8BAF}"/>
    <cellStyle name="Comma 9 2 2 6 3 2 2" xfId="28052" xr:uid="{3AD46D59-73B0-4D87-921D-7EA81FCFF64E}"/>
    <cellStyle name="Comma 9 2 2 6 3 2 2 2" xfId="58292" xr:uid="{DCD5F154-4A25-4370-935A-73BEB9A1A713}"/>
    <cellStyle name="Comma 9 2 2 6 3 2 3" xfId="43172" xr:uid="{4CE11121-D96C-4DCF-9896-03E5E9D932E8}"/>
    <cellStyle name="Comma 9 2 2 6 3 3" xfId="18980" xr:uid="{79E7BF36-9193-4AB7-B471-F1A50FF54136}"/>
    <cellStyle name="Comma 9 2 2 6 3 3 2" xfId="49220" xr:uid="{B0EA505D-2ED8-4F9C-AC8C-EC3A9D0B4703}"/>
    <cellStyle name="Comma 9 2 2 6 3 4" xfId="34100" xr:uid="{EA2CC26B-FA9C-40EA-A0F4-FC5DA8708F8E}"/>
    <cellStyle name="Comma 9 2 2 6 4" xfId="5372" xr:uid="{795CBE1F-DA1D-4627-A233-0E851551F8B4}"/>
    <cellStyle name="Comma 9 2 2 6 4 2" xfId="14444" xr:uid="{5E706809-F5C5-4AE2-88EB-51D8479D8F31}"/>
    <cellStyle name="Comma 9 2 2 6 4 2 2" xfId="29564" xr:uid="{E688E090-E0EC-4153-99B9-627918041258}"/>
    <cellStyle name="Comma 9 2 2 6 4 2 2 2" xfId="59804" xr:uid="{F184A9AF-06CA-44C8-9B21-F43D57BDD14B}"/>
    <cellStyle name="Comma 9 2 2 6 4 2 3" xfId="44684" xr:uid="{87FF4C24-B644-4C7E-AC03-6A61C6556CBE}"/>
    <cellStyle name="Comma 9 2 2 6 4 3" xfId="20492" xr:uid="{156A40DF-831A-4ED1-9FFC-F0C919FA8CF4}"/>
    <cellStyle name="Comma 9 2 2 6 4 3 2" xfId="50732" xr:uid="{79108682-0864-4D8E-B31D-AF099E3FE6B3}"/>
    <cellStyle name="Comma 9 2 2 6 4 4" xfId="35612" xr:uid="{5A9996C7-DE04-4D86-A658-51E070E9422E}"/>
    <cellStyle name="Comma 9 2 2 6 5" xfId="6884" xr:uid="{6F128C76-EBDC-485C-872E-7693D5E54D7E}"/>
    <cellStyle name="Comma 9 2 2 6 5 2" xfId="22004" xr:uid="{915D45DC-B790-4A74-8AD8-3FFCEDC33416}"/>
    <cellStyle name="Comma 9 2 2 6 5 2 2" xfId="52244" xr:uid="{4347FB9F-696D-41DC-B157-6DA5E4C9E9B8}"/>
    <cellStyle name="Comma 9 2 2 6 5 3" xfId="37124" xr:uid="{EB500A3C-9969-4878-99BC-E1C8A41A0AFD}"/>
    <cellStyle name="Comma 9 2 2 6 6" xfId="8396" xr:uid="{207B58BC-1DCC-4C3A-A012-9AE8172D4323}"/>
    <cellStyle name="Comma 9 2 2 6 6 2" xfId="23516" xr:uid="{C293601A-5C96-4D2A-983A-34436E4144DB}"/>
    <cellStyle name="Comma 9 2 2 6 6 2 2" xfId="53756" xr:uid="{35EB0BC8-5346-4C51-88FE-E62ECA3817EC}"/>
    <cellStyle name="Comma 9 2 2 6 6 3" xfId="38636" xr:uid="{D75E742D-7DE9-4E78-AE16-6CAC0841F47A}"/>
    <cellStyle name="Comma 9 2 2 6 7" xfId="9908" xr:uid="{2A41CDE9-B88C-492D-8978-6D299360ADD0}"/>
    <cellStyle name="Comma 9 2 2 6 7 2" xfId="25028" xr:uid="{390E15D1-3314-4DC3-9987-BFC297F7BD1E}"/>
    <cellStyle name="Comma 9 2 2 6 7 2 2" xfId="55268" xr:uid="{BCECF770-3EBD-428D-9486-081599AF92C1}"/>
    <cellStyle name="Comma 9 2 2 6 7 3" xfId="40148" xr:uid="{7AB68773-0133-407D-ABC0-D4D4DA2527F8}"/>
    <cellStyle name="Comma 9 2 2 6 8" xfId="15956" xr:uid="{3006A395-266A-40B5-8D06-F1BF431AC424}"/>
    <cellStyle name="Comma 9 2 2 6 8 2" xfId="46196" xr:uid="{72F84D20-98D4-4EF9-8FCF-C26F0A4BEF36}"/>
    <cellStyle name="Comma 9 2 2 6 9" xfId="31076" xr:uid="{839E57BD-F9CA-43DD-88FC-720761EFF524}"/>
    <cellStyle name="Comma 9 2 2 7" xfId="1592" xr:uid="{333BB8FC-C2CE-4693-B46A-AF2B05BB3D9F}"/>
    <cellStyle name="Comma 9 2 2 7 2" xfId="10664" xr:uid="{31F80343-20B2-436C-A7E7-C400B6EB4BD3}"/>
    <cellStyle name="Comma 9 2 2 7 2 2" xfId="25784" xr:uid="{299FFB9D-A291-49B0-8D94-19BE078BBC1C}"/>
    <cellStyle name="Comma 9 2 2 7 2 2 2" xfId="56024" xr:uid="{56AC3746-26D8-46EF-BBCB-AEBC2A5C79D9}"/>
    <cellStyle name="Comma 9 2 2 7 2 3" xfId="40904" xr:uid="{3881DCD7-5D55-4209-880B-39F569D2A5EB}"/>
    <cellStyle name="Comma 9 2 2 7 3" xfId="16712" xr:uid="{26FDE05B-47CF-4920-AA08-C6DA302B6C1B}"/>
    <cellStyle name="Comma 9 2 2 7 3 2" xfId="46952" xr:uid="{E0B8E087-2A5F-499E-A265-9D93105B0B25}"/>
    <cellStyle name="Comma 9 2 2 7 4" xfId="31832" xr:uid="{54092408-A53F-4904-816E-FACF860E078F}"/>
    <cellStyle name="Comma 9 2 2 8" xfId="3104" xr:uid="{0C3B3A04-C81D-4383-9514-F3D367A1DF1F}"/>
    <cellStyle name="Comma 9 2 2 8 2" xfId="12176" xr:uid="{B8AA6126-AAE9-4AA8-88D6-4A5C0CB37169}"/>
    <cellStyle name="Comma 9 2 2 8 2 2" xfId="27296" xr:uid="{870D14C4-EA04-46B5-AEB0-7AAB64D70160}"/>
    <cellStyle name="Comma 9 2 2 8 2 2 2" xfId="57536" xr:uid="{E428ED11-06BF-48A2-9047-BB9C2D83F8DB}"/>
    <cellStyle name="Comma 9 2 2 8 2 3" xfId="42416" xr:uid="{1CF96661-76F9-4788-A63E-F05A43B766E7}"/>
    <cellStyle name="Comma 9 2 2 8 3" xfId="18224" xr:uid="{C423AD1F-A943-4315-86B2-4266871A2AF8}"/>
    <cellStyle name="Comma 9 2 2 8 3 2" xfId="48464" xr:uid="{6B593E6A-0D3A-4D1D-9EDE-86644855E470}"/>
    <cellStyle name="Comma 9 2 2 8 4" xfId="33344" xr:uid="{1C7F1C5F-9A66-4BF5-885A-0FBE22073D0A}"/>
    <cellStyle name="Comma 9 2 2 9" xfId="4616" xr:uid="{BD20FA6D-E079-4340-995C-C0785D92437B}"/>
    <cellStyle name="Comma 9 2 2 9 2" xfId="13688" xr:uid="{8B6F3783-939C-4C17-AF43-D4E9AABEAC99}"/>
    <cellStyle name="Comma 9 2 2 9 2 2" xfId="28808" xr:uid="{C5F9B484-E81F-4237-B5C7-D49EF61FC00C}"/>
    <cellStyle name="Comma 9 2 2 9 2 2 2" xfId="59048" xr:uid="{FD3C28A4-C9F2-44C8-86C0-2627DC97BC14}"/>
    <cellStyle name="Comma 9 2 2 9 2 3" xfId="43928" xr:uid="{3B874B75-3FDD-450C-BEFD-AF733A7A7F32}"/>
    <cellStyle name="Comma 9 2 2 9 3" xfId="19736" xr:uid="{50A438C2-E4D0-4682-9A01-E1BF578FE710}"/>
    <cellStyle name="Comma 9 2 2 9 3 2" xfId="49976" xr:uid="{E74B6470-3956-429C-8665-F3686A6EDC00}"/>
    <cellStyle name="Comma 9 2 2 9 4" xfId="34856" xr:uid="{CE983239-11F4-4171-A834-FEBC2F62DBEE}"/>
    <cellStyle name="Comma 9 2 3" xfId="122" xr:uid="{9EC05223-FCFE-4F8E-BD5D-0CE276D6CF6D}"/>
    <cellStyle name="Comma 9 2 3 10" xfId="9194" xr:uid="{13881C36-7EFD-4B49-8471-8BF1C42D1822}"/>
    <cellStyle name="Comma 9 2 3 10 2" xfId="24314" xr:uid="{2925BF24-ACDD-4F57-9115-ACF9EF26DA3B}"/>
    <cellStyle name="Comma 9 2 3 10 2 2" xfId="54554" xr:uid="{9ABEEC0F-C8E8-4E21-8604-9499740317CF}"/>
    <cellStyle name="Comma 9 2 3 10 3" xfId="39434" xr:uid="{8D67ECD7-4ED9-476C-9A38-0DAC1F970659}"/>
    <cellStyle name="Comma 9 2 3 11" xfId="15242" xr:uid="{F484441D-2652-42F7-8955-AFCF49A88CE5}"/>
    <cellStyle name="Comma 9 2 3 11 2" xfId="45482" xr:uid="{CD28FBB9-1894-4B4E-AA69-E3F5996EFAFB}"/>
    <cellStyle name="Comma 9 2 3 12" xfId="30362" xr:uid="{53D55566-6E0C-4D18-AAF9-B3036F710BF9}"/>
    <cellStyle name="Comma 9 2 3 2" xfId="374" xr:uid="{DF5EF11C-7BB2-4461-992C-734B3BE41CB5}"/>
    <cellStyle name="Comma 9 2 3 2 10" xfId="30614" xr:uid="{AB443DC6-6190-4B7C-9686-00C6923386BD}"/>
    <cellStyle name="Comma 9 2 3 2 2" xfId="1130" xr:uid="{E9BC9AE0-10B6-4641-831B-D2784642D21F}"/>
    <cellStyle name="Comma 9 2 3 2 2 2" xfId="2642" xr:uid="{D58E414A-1D07-42E8-AEFF-371A995EE065}"/>
    <cellStyle name="Comma 9 2 3 2 2 2 2" xfId="11714" xr:uid="{8EE7B72F-EAF8-45D2-BE00-36A081DC086F}"/>
    <cellStyle name="Comma 9 2 3 2 2 2 2 2" xfId="26834" xr:uid="{5EEDC15A-7343-4035-9BD1-AAE35DD36180}"/>
    <cellStyle name="Comma 9 2 3 2 2 2 2 2 2" xfId="57074" xr:uid="{1F915887-A30D-43A5-BA0C-6B67F64E1585}"/>
    <cellStyle name="Comma 9 2 3 2 2 2 2 3" xfId="41954" xr:uid="{D156BF93-1C02-4101-A7A9-A3F3AA61BF5B}"/>
    <cellStyle name="Comma 9 2 3 2 2 2 3" xfId="17762" xr:uid="{97D7410A-E4F5-4AD1-A379-6FABF56B64DC}"/>
    <cellStyle name="Comma 9 2 3 2 2 2 3 2" xfId="48002" xr:uid="{CD62B568-2BB3-4BD9-9E6D-1A8F9A8649BE}"/>
    <cellStyle name="Comma 9 2 3 2 2 2 4" xfId="32882" xr:uid="{DCC06D97-BFB2-4B27-B745-97410295E221}"/>
    <cellStyle name="Comma 9 2 3 2 2 3" xfId="4154" xr:uid="{4499688D-507C-4507-9115-1EB714BEA535}"/>
    <cellStyle name="Comma 9 2 3 2 2 3 2" xfId="13226" xr:uid="{2320E508-FE9A-42FF-8369-99E28DDE1AFC}"/>
    <cellStyle name="Comma 9 2 3 2 2 3 2 2" xfId="28346" xr:uid="{B732FCF0-6254-48EA-87BD-DED92F668424}"/>
    <cellStyle name="Comma 9 2 3 2 2 3 2 2 2" xfId="58586" xr:uid="{04794620-4A66-4D3F-A08D-C61D73D285BF}"/>
    <cellStyle name="Comma 9 2 3 2 2 3 2 3" xfId="43466" xr:uid="{72741A6D-211B-4B9D-B1F3-F738A5EC46A8}"/>
    <cellStyle name="Comma 9 2 3 2 2 3 3" xfId="19274" xr:uid="{FE95D158-A45F-4939-BE7F-999E2BEC76A5}"/>
    <cellStyle name="Comma 9 2 3 2 2 3 3 2" xfId="49514" xr:uid="{AEA35EA0-F7E0-4FB7-8B0A-2958CE8F85DB}"/>
    <cellStyle name="Comma 9 2 3 2 2 3 4" xfId="34394" xr:uid="{6DB816A8-0A11-4D90-A875-385347C62041}"/>
    <cellStyle name="Comma 9 2 3 2 2 4" xfId="5666" xr:uid="{49C61B39-92CD-489E-AE29-85A9B247CD5F}"/>
    <cellStyle name="Comma 9 2 3 2 2 4 2" xfId="14738" xr:uid="{F4741DD8-CC56-4F96-832F-CA1588D2E325}"/>
    <cellStyle name="Comma 9 2 3 2 2 4 2 2" xfId="29858" xr:uid="{93AEC5BE-7743-458C-9389-1F5D13F182AA}"/>
    <cellStyle name="Comma 9 2 3 2 2 4 2 2 2" xfId="60098" xr:uid="{3692074D-6174-4BEB-99ED-08D5F20C205C}"/>
    <cellStyle name="Comma 9 2 3 2 2 4 2 3" xfId="44978" xr:uid="{D9784EE7-BFEF-4EDD-ACEB-6704CEC6A6DB}"/>
    <cellStyle name="Comma 9 2 3 2 2 4 3" xfId="20786" xr:uid="{FCB61AF8-4E2B-453A-B11B-71DF80A592F5}"/>
    <cellStyle name="Comma 9 2 3 2 2 4 3 2" xfId="51026" xr:uid="{60C9E7E6-95B1-4DB7-A507-B74C8C589271}"/>
    <cellStyle name="Comma 9 2 3 2 2 4 4" xfId="35906" xr:uid="{D9FBD372-92C5-4B25-B23F-9EA34C9E7796}"/>
    <cellStyle name="Comma 9 2 3 2 2 5" xfId="7178" xr:uid="{4CA5ECC9-5D4F-47F9-A82D-E8FA4C2BEDEA}"/>
    <cellStyle name="Comma 9 2 3 2 2 5 2" xfId="22298" xr:uid="{B2B3115B-E205-47F1-9698-5F5E97616E46}"/>
    <cellStyle name="Comma 9 2 3 2 2 5 2 2" xfId="52538" xr:uid="{CD9B3B69-982E-4DB3-8228-657FF9CF828E}"/>
    <cellStyle name="Comma 9 2 3 2 2 5 3" xfId="37418" xr:uid="{086C9BE3-CAA1-4828-BF79-D492AC23B1F3}"/>
    <cellStyle name="Comma 9 2 3 2 2 6" xfId="8690" xr:uid="{F7F905D8-DE2A-4106-9A88-79B3950C4853}"/>
    <cellStyle name="Comma 9 2 3 2 2 6 2" xfId="23810" xr:uid="{25315A57-406A-479E-AC17-8F5028205BEA}"/>
    <cellStyle name="Comma 9 2 3 2 2 6 2 2" xfId="54050" xr:uid="{8071C767-CFF0-4C82-A032-027700034449}"/>
    <cellStyle name="Comma 9 2 3 2 2 6 3" xfId="38930" xr:uid="{A0442967-4031-45BD-9AB8-560D5BF65FA0}"/>
    <cellStyle name="Comma 9 2 3 2 2 7" xfId="10202" xr:uid="{0118500F-94A2-4986-B292-8EAF1095863B}"/>
    <cellStyle name="Comma 9 2 3 2 2 7 2" xfId="25322" xr:uid="{AFB34D4D-316A-452A-B804-9DCF57EDF7C2}"/>
    <cellStyle name="Comma 9 2 3 2 2 7 2 2" xfId="55562" xr:uid="{58C875F9-BA63-49C3-8619-B33095465619}"/>
    <cellStyle name="Comma 9 2 3 2 2 7 3" xfId="40442" xr:uid="{F040D1A1-FE3F-40CF-AF69-21CEC812E928}"/>
    <cellStyle name="Comma 9 2 3 2 2 8" xfId="16250" xr:uid="{A3520897-3B8F-49C2-979A-1526E2827073}"/>
    <cellStyle name="Comma 9 2 3 2 2 8 2" xfId="46490" xr:uid="{DA5E2479-FA3F-450E-A53F-94C9D3DB7F5F}"/>
    <cellStyle name="Comma 9 2 3 2 2 9" xfId="31370" xr:uid="{B4356DCC-6258-4632-B149-5A9E30926039}"/>
    <cellStyle name="Comma 9 2 3 2 3" xfId="1886" xr:uid="{F1191259-7962-4B76-AEF1-50F1B3E17AEA}"/>
    <cellStyle name="Comma 9 2 3 2 3 2" xfId="10958" xr:uid="{76086D0C-7DE1-40C3-8B63-77401A5A6EE7}"/>
    <cellStyle name="Comma 9 2 3 2 3 2 2" xfId="26078" xr:uid="{BD0E0799-48CC-478D-A4EA-BBA467907051}"/>
    <cellStyle name="Comma 9 2 3 2 3 2 2 2" xfId="56318" xr:uid="{4D789331-A9A9-4C53-9DC5-25CA8BABF428}"/>
    <cellStyle name="Comma 9 2 3 2 3 2 3" xfId="41198" xr:uid="{47758D83-6CFB-46B9-9B8F-38B70A5EAB4B}"/>
    <cellStyle name="Comma 9 2 3 2 3 3" xfId="17006" xr:uid="{97BB1A99-7536-42E1-940F-AF2494E6C665}"/>
    <cellStyle name="Comma 9 2 3 2 3 3 2" xfId="47246" xr:uid="{16EC4E7F-CA1E-40BB-BF1E-59BA15DE6CFC}"/>
    <cellStyle name="Comma 9 2 3 2 3 4" xfId="32126" xr:uid="{B9A046C2-791D-4302-90F6-BFE5BBCE07E7}"/>
    <cellStyle name="Comma 9 2 3 2 4" xfId="3398" xr:uid="{62D86F79-259C-42B5-8356-CB4FFEC5E82E}"/>
    <cellStyle name="Comma 9 2 3 2 4 2" xfId="12470" xr:uid="{942CCF1C-ABC9-4D5B-BBDA-BAE8F7544B3E}"/>
    <cellStyle name="Comma 9 2 3 2 4 2 2" xfId="27590" xr:uid="{C9002287-071C-4EA3-ACDF-F0E3633ABC68}"/>
    <cellStyle name="Comma 9 2 3 2 4 2 2 2" xfId="57830" xr:uid="{9AB07D07-AFFB-41BD-B2B5-CDF26A4B293E}"/>
    <cellStyle name="Comma 9 2 3 2 4 2 3" xfId="42710" xr:uid="{D3837A3C-B3C5-43AA-98E1-F51C60EE7B71}"/>
    <cellStyle name="Comma 9 2 3 2 4 3" xfId="18518" xr:uid="{85B19AF4-5C31-4041-B5FE-FAF73C4C5361}"/>
    <cellStyle name="Comma 9 2 3 2 4 3 2" xfId="48758" xr:uid="{BF95A646-94E5-4B9C-A503-F363DB017E8D}"/>
    <cellStyle name="Comma 9 2 3 2 4 4" xfId="33638" xr:uid="{C78CBABC-B465-4068-9223-23CCBD8A5381}"/>
    <cellStyle name="Comma 9 2 3 2 5" xfId="4910" xr:uid="{EEB57D7E-E6BD-4498-BC56-3A86B3C87BF6}"/>
    <cellStyle name="Comma 9 2 3 2 5 2" xfId="13982" xr:uid="{2FB5E097-F98B-4BF1-AA2C-BBA475BFEC9D}"/>
    <cellStyle name="Comma 9 2 3 2 5 2 2" xfId="29102" xr:uid="{98DB6F05-0A5F-4AD3-818C-E2CE4981E0B3}"/>
    <cellStyle name="Comma 9 2 3 2 5 2 2 2" xfId="59342" xr:uid="{7CF1EA91-B72F-418C-B6F5-BA5577F524B8}"/>
    <cellStyle name="Comma 9 2 3 2 5 2 3" xfId="44222" xr:uid="{80D62F60-33BB-427F-AF79-DB8272899DCF}"/>
    <cellStyle name="Comma 9 2 3 2 5 3" xfId="20030" xr:uid="{2DFAF146-EEA0-467B-ABFB-DD37DA99C2EE}"/>
    <cellStyle name="Comma 9 2 3 2 5 3 2" xfId="50270" xr:uid="{E6B0BE04-62ED-4024-8C52-DB5D3A3BBE0D}"/>
    <cellStyle name="Comma 9 2 3 2 5 4" xfId="35150" xr:uid="{EDED5620-5CB5-4415-9315-D2DBBCFA722D}"/>
    <cellStyle name="Comma 9 2 3 2 6" xfId="6422" xr:uid="{4D7A68DE-E09E-40D8-BD6D-30798A930543}"/>
    <cellStyle name="Comma 9 2 3 2 6 2" xfId="21542" xr:uid="{B52E619C-64AF-4DB8-81BA-D039780C4C5C}"/>
    <cellStyle name="Comma 9 2 3 2 6 2 2" xfId="51782" xr:uid="{A8E1FD5D-C3EF-4A5B-8F48-E5E074F9437E}"/>
    <cellStyle name="Comma 9 2 3 2 6 3" xfId="36662" xr:uid="{CEBD7AF0-DA5A-46C4-BD43-112F7D77B64D}"/>
    <cellStyle name="Comma 9 2 3 2 7" xfId="7934" xr:uid="{F84B4048-8DC8-41AE-A7A0-0380EBAFE1F9}"/>
    <cellStyle name="Comma 9 2 3 2 7 2" xfId="23054" xr:uid="{F7D84145-1672-49B5-852E-02986B92A304}"/>
    <cellStyle name="Comma 9 2 3 2 7 2 2" xfId="53294" xr:uid="{955946A7-387E-4545-A678-3460E23D9857}"/>
    <cellStyle name="Comma 9 2 3 2 7 3" xfId="38174" xr:uid="{68E6F015-3B5F-44A8-95F0-136EF76FB6BA}"/>
    <cellStyle name="Comma 9 2 3 2 8" xfId="9446" xr:uid="{CC477D65-30FB-4AEF-93ED-86B992EB5210}"/>
    <cellStyle name="Comma 9 2 3 2 8 2" xfId="24566" xr:uid="{DFC14831-4BE8-49EC-8325-A4269285A435}"/>
    <cellStyle name="Comma 9 2 3 2 8 2 2" xfId="54806" xr:uid="{1D648717-CBCB-493F-8531-139B6FBCC7D3}"/>
    <cellStyle name="Comma 9 2 3 2 8 3" xfId="39686" xr:uid="{A78CEB31-BA3C-4E3C-B706-3CF1FB452377}"/>
    <cellStyle name="Comma 9 2 3 2 9" xfId="15494" xr:uid="{EC317E09-920A-45BE-9025-06AF23659DB8}"/>
    <cellStyle name="Comma 9 2 3 2 9 2" xfId="45734" xr:uid="{A332C94E-8F53-4AB0-B24D-D009308A03A0}"/>
    <cellStyle name="Comma 9 2 3 3" xfId="626" xr:uid="{3E15793F-0572-4E4D-BE1D-71CC89208975}"/>
    <cellStyle name="Comma 9 2 3 3 10" xfId="30866" xr:uid="{0D2DAD15-0414-40BC-9740-A8BBD6DBB1BF}"/>
    <cellStyle name="Comma 9 2 3 3 2" xfId="1382" xr:uid="{8290CE2E-D40E-4D00-840A-D7CBB063D803}"/>
    <cellStyle name="Comma 9 2 3 3 2 2" xfId="2894" xr:uid="{A103933E-8824-4896-B514-62CA83D36B47}"/>
    <cellStyle name="Comma 9 2 3 3 2 2 2" xfId="11966" xr:uid="{7619022D-1D52-467F-8996-9CB5109BA975}"/>
    <cellStyle name="Comma 9 2 3 3 2 2 2 2" xfId="27086" xr:uid="{099F635A-A085-407D-95A2-05FA2929BD38}"/>
    <cellStyle name="Comma 9 2 3 3 2 2 2 2 2" xfId="57326" xr:uid="{B1478B76-693A-4AE3-83D3-2C1063A315F8}"/>
    <cellStyle name="Comma 9 2 3 3 2 2 2 3" xfId="42206" xr:uid="{FFEA9B64-7929-4627-B773-DA5751368369}"/>
    <cellStyle name="Comma 9 2 3 3 2 2 3" xfId="18014" xr:uid="{5F7CEE63-98BE-457E-85D3-CA31AE93251A}"/>
    <cellStyle name="Comma 9 2 3 3 2 2 3 2" xfId="48254" xr:uid="{D69DD110-C5E6-446D-9D56-8DB236CEDEB2}"/>
    <cellStyle name="Comma 9 2 3 3 2 2 4" xfId="33134" xr:uid="{1D186775-F6E2-486D-B859-BFEA08398556}"/>
    <cellStyle name="Comma 9 2 3 3 2 3" xfId="4406" xr:uid="{F4B4469B-D9F3-4EA9-90DF-D3A38137B72B}"/>
    <cellStyle name="Comma 9 2 3 3 2 3 2" xfId="13478" xr:uid="{4BB56085-9B39-4CEB-B98A-A30E9853742D}"/>
    <cellStyle name="Comma 9 2 3 3 2 3 2 2" xfId="28598" xr:uid="{73459FD6-06B3-4DEE-A707-BD45F1CFE699}"/>
    <cellStyle name="Comma 9 2 3 3 2 3 2 2 2" xfId="58838" xr:uid="{C931AF34-BD0B-4021-AEF9-053DCDFDF197}"/>
    <cellStyle name="Comma 9 2 3 3 2 3 2 3" xfId="43718" xr:uid="{52E2D22E-6FE1-4BB8-B188-70BAFFEC1F02}"/>
    <cellStyle name="Comma 9 2 3 3 2 3 3" xfId="19526" xr:uid="{A866DFA3-86CC-473B-BCB8-E2C896452F7B}"/>
    <cellStyle name="Comma 9 2 3 3 2 3 3 2" xfId="49766" xr:uid="{1AE64B50-22C0-4B81-9602-567B8F21075A}"/>
    <cellStyle name="Comma 9 2 3 3 2 3 4" xfId="34646" xr:uid="{478D9989-78C0-40CE-BB46-844A97E30884}"/>
    <cellStyle name="Comma 9 2 3 3 2 4" xfId="5918" xr:uid="{D08444D2-678B-446F-AB4E-BD3B7FF638F7}"/>
    <cellStyle name="Comma 9 2 3 3 2 4 2" xfId="14990" xr:uid="{E0607A36-1493-46E3-89F3-1F0127D56614}"/>
    <cellStyle name="Comma 9 2 3 3 2 4 2 2" xfId="30110" xr:uid="{D2C89F6C-82E9-448F-BF33-47C9B1CAA856}"/>
    <cellStyle name="Comma 9 2 3 3 2 4 2 2 2" xfId="60350" xr:uid="{12FCDCD8-F136-4D84-A6B7-60C8306F9AAC}"/>
    <cellStyle name="Comma 9 2 3 3 2 4 2 3" xfId="45230" xr:uid="{DB87FA3A-7F2B-4326-86FE-8D5018906879}"/>
    <cellStyle name="Comma 9 2 3 3 2 4 3" xfId="21038" xr:uid="{BC1D729E-94B2-4397-9A4D-F3A5FA3415BD}"/>
    <cellStyle name="Comma 9 2 3 3 2 4 3 2" xfId="51278" xr:uid="{F53118C6-AD9D-4128-BB64-6878B6CACB4B}"/>
    <cellStyle name="Comma 9 2 3 3 2 4 4" xfId="36158" xr:uid="{4D4152C3-ACC2-4434-B97A-CDEDADCBE7F1}"/>
    <cellStyle name="Comma 9 2 3 3 2 5" xfId="7430" xr:uid="{1AF7EB87-294C-45E2-8C30-F621F5B37634}"/>
    <cellStyle name="Comma 9 2 3 3 2 5 2" xfId="22550" xr:uid="{7D77D4F6-70A0-42C2-8774-3BA9B44815BD}"/>
    <cellStyle name="Comma 9 2 3 3 2 5 2 2" xfId="52790" xr:uid="{55C8519D-511D-4922-8850-62BDA254FBA7}"/>
    <cellStyle name="Comma 9 2 3 3 2 5 3" xfId="37670" xr:uid="{ABD57D54-97A4-40EA-A415-967A129D65FD}"/>
    <cellStyle name="Comma 9 2 3 3 2 6" xfId="8942" xr:uid="{2ABB7A47-1E8C-45C5-93DC-AF8DFCA6E9DC}"/>
    <cellStyle name="Comma 9 2 3 3 2 6 2" xfId="24062" xr:uid="{6F8320F1-B6BD-465B-81FA-C950B996D87F}"/>
    <cellStyle name="Comma 9 2 3 3 2 6 2 2" xfId="54302" xr:uid="{7767DD42-FDAA-4FCD-8664-AE2E6887409B}"/>
    <cellStyle name="Comma 9 2 3 3 2 6 3" xfId="39182" xr:uid="{77AF19EB-0738-4F3C-BE2D-E815E18C16CF}"/>
    <cellStyle name="Comma 9 2 3 3 2 7" xfId="10454" xr:uid="{1C062D70-F64D-48BA-B014-6A07EAC02DBE}"/>
    <cellStyle name="Comma 9 2 3 3 2 7 2" xfId="25574" xr:uid="{A9902F76-1088-422B-880E-A27C9CB98A38}"/>
    <cellStyle name="Comma 9 2 3 3 2 7 2 2" xfId="55814" xr:uid="{A074565A-EE10-4C58-A21F-C55F6119E4EE}"/>
    <cellStyle name="Comma 9 2 3 3 2 7 3" xfId="40694" xr:uid="{9E71772C-87CB-4964-98F1-4B110662C53E}"/>
    <cellStyle name="Comma 9 2 3 3 2 8" xfId="16502" xr:uid="{9183EB76-7384-402A-A776-FCBA3F80392D}"/>
    <cellStyle name="Comma 9 2 3 3 2 8 2" xfId="46742" xr:uid="{CA4D0AD8-58CD-470A-927E-FF74A2B2283C}"/>
    <cellStyle name="Comma 9 2 3 3 2 9" xfId="31622" xr:uid="{CEFFA45B-AEC7-46C2-AB4D-A257BA3E6869}"/>
    <cellStyle name="Comma 9 2 3 3 3" xfId="2138" xr:uid="{72E7A89C-78A6-41C2-B120-8C3D69A63DFA}"/>
    <cellStyle name="Comma 9 2 3 3 3 2" xfId="11210" xr:uid="{F17F2C71-48B2-4C57-9EBA-30B359FCE8AE}"/>
    <cellStyle name="Comma 9 2 3 3 3 2 2" xfId="26330" xr:uid="{645D646D-0880-471C-A691-9467DF928AA4}"/>
    <cellStyle name="Comma 9 2 3 3 3 2 2 2" xfId="56570" xr:uid="{BC290936-6AB5-4AA6-9423-68CA7F44E2A1}"/>
    <cellStyle name="Comma 9 2 3 3 3 2 3" xfId="41450" xr:uid="{3E810CF4-E235-40C1-A86E-9069E2E7BAAA}"/>
    <cellStyle name="Comma 9 2 3 3 3 3" xfId="17258" xr:uid="{D7867C39-4126-4482-933D-45097C5D15D2}"/>
    <cellStyle name="Comma 9 2 3 3 3 3 2" xfId="47498" xr:uid="{AB5DFEB4-EFB3-4488-A566-E8B388E0108C}"/>
    <cellStyle name="Comma 9 2 3 3 3 4" xfId="32378" xr:uid="{449C4082-493A-4A34-BE2F-B87683D5DAF5}"/>
    <cellStyle name="Comma 9 2 3 3 4" xfId="3650" xr:uid="{FD013A05-9F20-4169-8343-9A0E8A4C2ABC}"/>
    <cellStyle name="Comma 9 2 3 3 4 2" xfId="12722" xr:uid="{591ED022-F304-4EEA-B210-29B63A45A968}"/>
    <cellStyle name="Comma 9 2 3 3 4 2 2" xfId="27842" xr:uid="{C10BA82B-36B5-4C67-AAB0-FE3CC37D6E29}"/>
    <cellStyle name="Comma 9 2 3 3 4 2 2 2" xfId="58082" xr:uid="{1F8B3039-C5D7-40DA-A3FD-DF165B14803A}"/>
    <cellStyle name="Comma 9 2 3 3 4 2 3" xfId="42962" xr:uid="{844DB7A8-A8B6-46AA-94EE-180357D83171}"/>
    <cellStyle name="Comma 9 2 3 3 4 3" xfId="18770" xr:uid="{C24A57B3-4298-4B1F-B99D-95D8077248A0}"/>
    <cellStyle name="Comma 9 2 3 3 4 3 2" xfId="49010" xr:uid="{A7040FEE-F91B-4C18-85FA-9F8027A3D612}"/>
    <cellStyle name="Comma 9 2 3 3 4 4" xfId="33890" xr:uid="{F916764E-0F5D-4B7E-9EE2-061259A65D23}"/>
    <cellStyle name="Comma 9 2 3 3 5" xfId="5162" xr:uid="{D72B6291-0733-4890-BD28-04D6F062315E}"/>
    <cellStyle name="Comma 9 2 3 3 5 2" xfId="14234" xr:uid="{C4CEE047-E2E4-490E-8CD8-C3EC1426475E}"/>
    <cellStyle name="Comma 9 2 3 3 5 2 2" xfId="29354" xr:uid="{FFF3E618-6660-46E6-B9D4-44A3AB79C7A7}"/>
    <cellStyle name="Comma 9 2 3 3 5 2 2 2" xfId="59594" xr:uid="{83C52886-4A63-429E-A0F8-B96287F1209E}"/>
    <cellStyle name="Comma 9 2 3 3 5 2 3" xfId="44474" xr:uid="{A1E680E5-45B8-483D-9C8B-AD415F7E3986}"/>
    <cellStyle name="Comma 9 2 3 3 5 3" xfId="20282" xr:uid="{C53A6364-F5BE-4D4E-8AB3-D678B8B35AB0}"/>
    <cellStyle name="Comma 9 2 3 3 5 3 2" xfId="50522" xr:uid="{DD6DB5A5-E8CD-41C1-BF15-30D80498F772}"/>
    <cellStyle name="Comma 9 2 3 3 5 4" xfId="35402" xr:uid="{65BDBB8B-8341-46C1-8D99-42B84DA4F733}"/>
    <cellStyle name="Comma 9 2 3 3 6" xfId="6674" xr:uid="{3C901517-6A2F-4AC0-9128-D16B1E1E96BB}"/>
    <cellStyle name="Comma 9 2 3 3 6 2" xfId="21794" xr:uid="{689EED58-B6E8-4C82-B9F8-CFC7A8227805}"/>
    <cellStyle name="Comma 9 2 3 3 6 2 2" xfId="52034" xr:uid="{B5E95A68-2633-40FC-9831-C15A6E4FD33F}"/>
    <cellStyle name="Comma 9 2 3 3 6 3" xfId="36914" xr:uid="{CC6A4CC2-B8AD-4C1F-B8DC-5735E32CF7A2}"/>
    <cellStyle name="Comma 9 2 3 3 7" xfId="8186" xr:uid="{7F333946-90AB-4086-AF62-0B626CDFCF62}"/>
    <cellStyle name="Comma 9 2 3 3 7 2" xfId="23306" xr:uid="{7F5813DB-12C0-45D0-B909-E73AA575354D}"/>
    <cellStyle name="Comma 9 2 3 3 7 2 2" xfId="53546" xr:uid="{C746A98F-8B75-41D6-A92F-219316337329}"/>
    <cellStyle name="Comma 9 2 3 3 7 3" xfId="38426" xr:uid="{41271BDC-CF81-499D-BD3C-C7CD88AE46F2}"/>
    <cellStyle name="Comma 9 2 3 3 8" xfId="9698" xr:uid="{93A4A76D-FB8A-420D-A01B-1C16DD059346}"/>
    <cellStyle name="Comma 9 2 3 3 8 2" xfId="24818" xr:uid="{44454923-9E60-471F-B198-7BCCCC3EB966}"/>
    <cellStyle name="Comma 9 2 3 3 8 2 2" xfId="55058" xr:uid="{2D64C214-45DF-4B60-BC67-2B3CD19D088B}"/>
    <cellStyle name="Comma 9 2 3 3 8 3" xfId="39938" xr:uid="{3390A9F3-8CD4-46C0-B9E7-73D30C261584}"/>
    <cellStyle name="Comma 9 2 3 3 9" xfId="15746" xr:uid="{DEF30D18-B285-410B-8084-4D07B5557524}"/>
    <cellStyle name="Comma 9 2 3 3 9 2" xfId="45986" xr:uid="{4F93BB2C-AF11-40A2-9658-0094447828B0}"/>
    <cellStyle name="Comma 9 2 3 4" xfId="878" xr:uid="{D7CA7B99-6A2F-4868-BECD-0A0F05642A15}"/>
    <cellStyle name="Comma 9 2 3 4 2" xfId="2390" xr:uid="{18F77B48-6A1E-4580-9034-6A6AC78BD7F8}"/>
    <cellStyle name="Comma 9 2 3 4 2 2" xfId="11462" xr:uid="{83CF4AC0-3223-41E1-AABB-4368DDE7F18C}"/>
    <cellStyle name="Comma 9 2 3 4 2 2 2" xfId="26582" xr:uid="{1B0F8045-E0AD-47F6-932A-7855296C7C02}"/>
    <cellStyle name="Comma 9 2 3 4 2 2 2 2" xfId="56822" xr:uid="{4C354DFA-288A-456A-B278-99A388065FC9}"/>
    <cellStyle name="Comma 9 2 3 4 2 2 3" xfId="41702" xr:uid="{8B7E1FFE-A332-4641-9D46-E620AAD6F107}"/>
    <cellStyle name="Comma 9 2 3 4 2 3" xfId="17510" xr:uid="{5D521E88-E85F-473E-9371-9E11A76FFF3A}"/>
    <cellStyle name="Comma 9 2 3 4 2 3 2" xfId="47750" xr:uid="{5D005339-470E-452C-83B5-351BEA872ED0}"/>
    <cellStyle name="Comma 9 2 3 4 2 4" xfId="32630" xr:uid="{8D005733-A10D-4951-964C-A2705A96AA7A}"/>
    <cellStyle name="Comma 9 2 3 4 3" xfId="3902" xr:uid="{276E1754-B81A-425E-BF1C-8A6AA76A10EB}"/>
    <cellStyle name="Comma 9 2 3 4 3 2" xfId="12974" xr:uid="{5EC2397B-E5EF-41FB-A5C3-B7D83C1FF882}"/>
    <cellStyle name="Comma 9 2 3 4 3 2 2" xfId="28094" xr:uid="{057C10C8-C704-458D-B751-468237CD60E0}"/>
    <cellStyle name="Comma 9 2 3 4 3 2 2 2" xfId="58334" xr:uid="{07D456D6-A7DC-411B-A240-87B495FD38A8}"/>
    <cellStyle name="Comma 9 2 3 4 3 2 3" xfId="43214" xr:uid="{68B64853-9120-47B8-8C34-AF5836D2F6B9}"/>
    <cellStyle name="Comma 9 2 3 4 3 3" xfId="19022" xr:uid="{28B3245B-36C8-4FD5-B3E4-AB1EC391DF66}"/>
    <cellStyle name="Comma 9 2 3 4 3 3 2" xfId="49262" xr:uid="{3B689635-0C1E-48A7-B15A-83BF5B018B14}"/>
    <cellStyle name="Comma 9 2 3 4 3 4" xfId="34142" xr:uid="{4ECCCA2D-807E-4315-AC56-6B179B64AB68}"/>
    <cellStyle name="Comma 9 2 3 4 4" xfId="5414" xr:uid="{840BA0B5-C041-4FBC-B32A-80CABE8622F2}"/>
    <cellStyle name="Comma 9 2 3 4 4 2" xfId="14486" xr:uid="{8D2DD7BD-6FBC-4B74-952C-3111E567923B}"/>
    <cellStyle name="Comma 9 2 3 4 4 2 2" xfId="29606" xr:uid="{CF3479D4-A929-479C-BF61-1430475B5C05}"/>
    <cellStyle name="Comma 9 2 3 4 4 2 2 2" xfId="59846" xr:uid="{12E042AE-BB5E-435E-9749-AF67ECCB1AEE}"/>
    <cellStyle name="Comma 9 2 3 4 4 2 3" xfId="44726" xr:uid="{4CE33A7B-98FA-41C9-BF99-1A7662A1EBA5}"/>
    <cellStyle name="Comma 9 2 3 4 4 3" xfId="20534" xr:uid="{FCB8A7CC-77AE-41F8-BB46-AA4D40F9FA59}"/>
    <cellStyle name="Comma 9 2 3 4 4 3 2" xfId="50774" xr:uid="{E6E3AFCF-7480-434B-8A37-0A5EDA664D5F}"/>
    <cellStyle name="Comma 9 2 3 4 4 4" xfId="35654" xr:uid="{35404E7D-022E-4A78-87BD-B1BBC5053952}"/>
    <cellStyle name="Comma 9 2 3 4 5" xfId="6926" xr:uid="{E55F5830-ABEC-4B69-ACC1-689AEB3B318D}"/>
    <cellStyle name="Comma 9 2 3 4 5 2" xfId="22046" xr:uid="{1A594D60-B335-451F-894D-6EB10968D64A}"/>
    <cellStyle name="Comma 9 2 3 4 5 2 2" xfId="52286" xr:uid="{9DFFA69F-2C43-4174-AC02-71B44517CFF6}"/>
    <cellStyle name="Comma 9 2 3 4 5 3" xfId="37166" xr:uid="{53B8F280-E027-48D4-B464-6A2B97F22170}"/>
    <cellStyle name="Comma 9 2 3 4 6" xfId="8438" xr:uid="{4A0597E5-8DD9-4B3F-80C5-05883585BC6E}"/>
    <cellStyle name="Comma 9 2 3 4 6 2" xfId="23558" xr:uid="{17A35A32-86DB-4651-BC93-F16AA657879C}"/>
    <cellStyle name="Comma 9 2 3 4 6 2 2" xfId="53798" xr:uid="{00535226-D1D9-473E-988D-C444E43C7E8B}"/>
    <cellStyle name="Comma 9 2 3 4 6 3" xfId="38678" xr:uid="{A105CA33-D4EF-4707-8695-2FE2A18EC225}"/>
    <cellStyle name="Comma 9 2 3 4 7" xfId="9950" xr:uid="{E6380709-C801-49EC-82CD-1897C054B467}"/>
    <cellStyle name="Comma 9 2 3 4 7 2" xfId="25070" xr:uid="{DB4B47B4-8192-4DF5-B02C-3A9DE88B9725}"/>
    <cellStyle name="Comma 9 2 3 4 7 2 2" xfId="55310" xr:uid="{B86762BE-FEC6-4881-9F9E-0392969B174E}"/>
    <cellStyle name="Comma 9 2 3 4 7 3" xfId="40190" xr:uid="{9D08E4F8-ABDB-44D9-8123-E919C4E16218}"/>
    <cellStyle name="Comma 9 2 3 4 8" xfId="15998" xr:uid="{A22ACC77-A9AD-4C85-BF26-B79588527308}"/>
    <cellStyle name="Comma 9 2 3 4 8 2" xfId="46238" xr:uid="{C09A9277-FD27-43F2-A956-E379BB8F7417}"/>
    <cellStyle name="Comma 9 2 3 4 9" xfId="31118" xr:uid="{0E0D8475-8DCC-4854-B456-314EB531BDB2}"/>
    <cellStyle name="Comma 9 2 3 5" xfId="1634" xr:uid="{173978ED-6514-4261-9B41-BF23F4188B10}"/>
    <cellStyle name="Comma 9 2 3 5 2" xfId="10706" xr:uid="{78BE7CF9-0544-43CB-B3FD-EEC79474685E}"/>
    <cellStyle name="Comma 9 2 3 5 2 2" xfId="25826" xr:uid="{FEE30C94-1F46-44DD-8A4A-711BC37CD718}"/>
    <cellStyle name="Comma 9 2 3 5 2 2 2" xfId="56066" xr:uid="{FF60F2A9-74FF-4110-83DF-487500A81AF6}"/>
    <cellStyle name="Comma 9 2 3 5 2 3" xfId="40946" xr:uid="{16B6DD39-C001-4171-A5E9-81CF213B3151}"/>
    <cellStyle name="Comma 9 2 3 5 3" xfId="16754" xr:uid="{38B2D2EC-9ABC-41B2-9E92-2DC4435DBF5D}"/>
    <cellStyle name="Comma 9 2 3 5 3 2" xfId="46994" xr:uid="{00FE672E-1711-4B62-A246-D8CA99311784}"/>
    <cellStyle name="Comma 9 2 3 5 4" xfId="31874" xr:uid="{B76BBEA0-F391-4B01-BF4D-001706017B40}"/>
    <cellStyle name="Comma 9 2 3 6" xfId="3146" xr:uid="{AB9A315D-8302-4C32-863B-DFE757BF06E9}"/>
    <cellStyle name="Comma 9 2 3 6 2" xfId="12218" xr:uid="{FCFE1DF3-4945-4377-81F0-7F1E4C670AA9}"/>
    <cellStyle name="Comma 9 2 3 6 2 2" xfId="27338" xr:uid="{E1D39F6D-E29E-436C-8411-C0CFED2ABF73}"/>
    <cellStyle name="Comma 9 2 3 6 2 2 2" xfId="57578" xr:uid="{98F251E9-C625-4847-B740-ED07555AA684}"/>
    <cellStyle name="Comma 9 2 3 6 2 3" xfId="42458" xr:uid="{515F9724-5DA4-4DCE-81F8-5C179DE61C9A}"/>
    <cellStyle name="Comma 9 2 3 6 3" xfId="18266" xr:uid="{B0242655-BA5C-4337-9E6D-C48C3D37490F}"/>
    <cellStyle name="Comma 9 2 3 6 3 2" xfId="48506" xr:uid="{95395210-3170-44B8-9906-0231883158FE}"/>
    <cellStyle name="Comma 9 2 3 6 4" xfId="33386" xr:uid="{4C592EF5-6A68-4478-B401-D19721EE7410}"/>
    <cellStyle name="Comma 9 2 3 7" xfId="4658" xr:uid="{46FC5C36-8AC4-4C59-BD7C-F4455E459B5F}"/>
    <cellStyle name="Comma 9 2 3 7 2" xfId="13730" xr:uid="{F4C4DDA4-78A8-4F2F-8602-C88298B3C0AE}"/>
    <cellStyle name="Comma 9 2 3 7 2 2" xfId="28850" xr:uid="{C462AE6E-E870-4086-AB95-8BFC89BF284A}"/>
    <cellStyle name="Comma 9 2 3 7 2 2 2" xfId="59090" xr:uid="{08BA9073-38A1-4EBF-9C5F-0D460E251BCD}"/>
    <cellStyle name="Comma 9 2 3 7 2 3" xfId="43970" xr:uid="{688BCC32-474E-4BBC-BF58-4CBDEB145CEE}"/>
    <cellStyle name="Comma 9 2 3 7 3" xfId="19778" xr:uid="{2B85917D-9668-4287-B968-BE6632348E99}"/>
    <cellStyle name="Comma 9 2 3 7 3 2" xfId="50018" xr:uid="{2508EB87-14F7-4A59-B5EB-661CF5FF2ED4}"/>
    <cellStyle name="Comma 9 2 3 7 4" xfId="34898" xr:uid="{B154CBEB-4C74-46B3-83FD-41C5A0E8E194}"/>
    <cellStyle name="Comma 9 2 3 8" xfId="6170" xr:uid="{C86F327F-E081-4F33-B6A2-CB7078FD5122}"/>
    <cellStyle name="Comma 9 2 3 8 2" xfId="21290" xr:uid="{6FB3B9AE-D5DB-4527-A96D-9104CF77792B}"/>
    <cellStyle name="Comma 9 2 3 8 2 2" xfId="51530" xr:uid="{4D6CD576-FE76-4376-8624-E3A5B4BA7396}"/>
    <cellStyle name="Comma 9 2 3 8 3" xfId="36410" xr:uid="{55CB5135-D205-45BD-8C1B-E1F86779E37C}"/>
    <cellStyle name="Comma 9 2 3 9" xfId="7682" xr:uid="{B0C8FA2A-9E21-466D-8664-430D56CCD707}"/>
    <cellStyle name="Comma 9 2 3 9 2" xfId="22802" xr:uid="{3BF109E2-BE83-45DF-A66C-EC2FB3CB719B}"/>
    <cellStyle name="Comma 9 2 3 9 2 2" xfId="53042" xr:uid="{005E9932-4E54-485C-8F4A-84001995F0A6}"/>
    <cellStyle name="Comma 9 2 3 9 3" xfId="37922" xr:uid="{FAE94777-9CB5-42A1-99B2-28F82EB9620C}"/>
    <cellStyle name="Comma 9 2 4" xfId="206" xr:uid="{5DB027F9-BD35-4D77-B695-B2DA75E93D1D}"/>
    <cellStyle name="Comma 9 2 4 10" xfId="9278" xr:uid="{527B7E1C-85B7-43DE-B7D4-12843213DD18}"/>
    <cellStyle name="Comma 9 2 4 10 2" xfId="24398" xr:uid="{933C493F-D5B1-4E7C-BC28-10832E97EF23}"/>
    <cellStyle name="Comma 9 2 4 10 2 2" xfId="54638" xr:uid="{646B51EC-E995-47DF-B984-66A64F0FF198}"/>
    <cellStyle name="Comma 9 2 4 10 3" xfId="39518" xr:uid="{9FB7B16B-2A19-417C-B8C2-42A8F7911170}"/>
    <cellStyle name="Comma 9 2 4 11" xfId="15326" xr:uid="{31B35F55-D261-43AF-8C81-EF0C54D2A906}"/>
    <cellStyle name="Comma 9 2 4 11 2" xfId="45566" xr:uid="{B580BEF9-452F-4FA6-9F78-23D96B12FD15}"/>
    <cellStyle name="Comma 9 2 4 12" xfId="30446" xr:uid="{E582CAB5-DE80-420B-AB7B-5314A579E136}"/>
    <cellStyle name="Comma 9 2 4 2" xfId="458" xr:uid="{AF0D6315-21DD-4733-A04F-96E8194E0EBB}"/>
    <cellStyle name="Comma 9 2 4 2 10" xfId="30698" xr:uid="{36F45443-3770-457E-8412-4D4C4F8554AB}"/>
    <cellStyle name="Comma 9 2 4 2 2" xfId="1214" xr:uid="{408727C8-E3E2-488B-AAF8-EFADC2FC884F}"/>
    <cellStyle name="Comma 9 2 4 2 2 2" xfId="2726" xr:uid="{DD4C40E8-ED16-47EE-AD6F-6DDB615AB633}"/>
    <cellStyle name="Comma 9 2 4 2 2 2 2" xfId="11798" xr:uid="{AD319A9B-37EA-42E6-B3C9-E98B0366F776}"/>
    <cellStyle name="Comma 9 2 4 2 2 2 2 2" xfId="26918" xr:uid="{DA0EF509-D1DE-4AB9-AAFE-A030CCBBA559}"/>
    <cellStyle name="Comma 9 2 4 2 2 2 2 2 2" xfId="57158" xr:uid="{8C75DDBC-841C-4605-AD9F-FFDE8E1614C7}"/>
    <cellStyle name="Comma 9 2 4 2 2 2 2 3" xfId="42038" xr:uid="{3EFCBBC3-20A5-4934-B8B7-6762447DE70A}"/>
    <cellStyle name="Comma 9 2 4 2 2 2 3" xfId="17846" xr:uid="{9E1B04A0-5C30-41A9-B94A-3DD940146759}"/>
    <cellStyle name="Comma 9 2 4 2 2 2 3 2" xfId="48086" xr:uid="{AE10672B-36B7-4775-94A3-870D8ABC894E}"/>
    <cellStyle name="Comma 9 2 4 2 2 2 4" xfId="32966" xr:uid="{EAE64F43-47E5-47F7-885B-16F63D66BB8D}"/>
    <cellStyle name="Comma 9 2 4 2 2 3" xfId="4238" xr:uid="{6CFB5829-FAF3-4E3B-B933-343AEF294111}"/>
    <cellStyle name="Comma 9 2 4 2 2 3 2" xfId="13310" xr:uid="{29F3D7C7-CA53-4763-9EDE-F7A255DCF59B}"/>
    <cellStyle name="Comma 9 2 4 2 2 3 2 2" xfId="28430" xr:uid="{79F89C95-3971-43B4-9370-990307EA0C70}"/>
    <cellStyle name="Comma 9 2 4 2 2 3 2 2 2" xfId="58670" xr:uid="{3F74589F-4038-4F1D-9A61-50A3E1435BBA}"/>
    <cellStyle name="Comma 9 2 4 2 2 3 2 3" xfId="43550" xr:uid="{2BAF9CDC-7C59-4D76-9547-F60D67AFAFB7}"/>
    <cellStyle name="Comma 9 2 4 2 2 3 3" xfId="19358" xr:uid="{7172B05D-BE77-413A-BB87-BF00BDA1D7AF}"/>
    <cellStyle name="Comma 9 2 4 2 2 3 3 2" xfId="49598" xr:uid="{FE5E1AC1-0CFC-4562-94D7-A9164AE336CD}"/>
    <cellStyle name="Comma 9 2 4 2 2 3 4" xfId="34478" xr:uid="{690591C0-9B30-4AAF-88D7-F4DB5FFD41DD}"/>
    <cellStyle name="Comma 9 2 4 2 2 4" xfId="5750" xr:uid="{D452D2EE-D48F-4DB4-92D5-21E2787DE4B9}"/>
    <cellStyle name="Comma 9 2 4 2 2 4 2" xfId="14822" xr:uid="{6A724789-3C09-4007-9C92-94172A9D57C3}"/>
    <cellStyle name="Comma 9 2 4 2 2 4 2 2" xfId="29942" xr:uid="{0ED0CDC3-B55F-4245-BA5B-9903F664B92E}"/>
    <cellStyle name="Comma 9 2 4 2 2 4 2 2 2" xfId="60182" xr:uid="{AB865D7D-20C1-46B5-96F8-C796629EA805}"/>
    <cellStyle name="Comma 9 2 4 2 2 4 2 3" xfId="45062" xr:uid="{A899BD95-D456-4E2D-B139-9CEE241E18F4}"/>
    <cellStyle name="Comma 9 2 4 2 2 4 3" xfId="20870" xr:uid="{F15D1DA6-D74A-4043-9CF6-6FAA229EE9DB}"/>
    <cellStyle name="Comma 9 2 4 2 2 4 3 2" xfId="51110" xr:uid="{1B7D8A7D-73F1-477F-B71F-649099935870}"/>
    <cellStyle name="Comma 9 2 4 2 2 4 4" xfId="35990" xr:uid="{2A75CB27-1867-4E0F-8884-5F0DCFB2E3B2}"/>
    <cellStyle name="Comma 9 2 4 2 2 5" xfId="7262" xr:uid="{44EB906C-B32E-4775-B3C6-5BD2FB49C677}"/>
    <cellStyle name="Comma 9 2 4 2 2 5 2" xfId="22382" xr:uid="{308FD316-4570-4752-83C4-253EC2F54786}"/>
    <cellStyle name="Comma 9 2 4 2 2 5 2 2" xfId="52622" xr:uid="{CA68B230-FD1C-4672-A0F1-20D2AA7886AC}"/>
    <cellStyle name="Comma 9 2 4 2 2 5 3" xfId="37502" xr:uid="{83547D90-E833-429C-9198-51616DFA1EDA}"/>
    <cellStyle name="Comma 9 2 4 2 2 6" xfId="8774" xr:uid="{E23B8050-2C11-4FD3-A3F4-ADE5A1340449}"/>
    <cellStyle name="Comma 9 2 4 2 2 6 2" xfId="23894" xr:uid="{CD011867-8299-4221-AC8B-D125E98876D0}"/>
    <cellStyle name="Comma 9 2 4 2 2 6 2 2" xfId="54134" xr:uid="{D5251C0D-0386-4A3D-8282-66C3D81833CE}"/>
    <cellStyle name="Comma 9 2 4 2 2 6 3" xfId="39014" xr:uid="{9BB53049-2E7F-4FF2-966F-9FD3D93AF142}"/>
    <cellStyle name="Comma 9 2 4 2 2 7" xfId="10286" xr:uid="{5A4D1142-1DCD-4B1E-86E8-3E670D537D33}"/>
    <cellStyle name="Comma 9 2 4 2 2 7 2" xfId="25406" xr:uid="{11947208-2148-4257-B926-D9762A86FF36}"/>
    <cellStyle name="Comma 9 2 4 2 2 7 2 2" xfId="55646" xr:uid="{0909C706-4978-46C5-B6BA-9A8D24F465EA}"/>
    <cellStyle name="Comma 9 2 4 2 2 7 3" xfId="40526" xr:uid="{C7185B99-FF98-4A4E-8A11-06FF7133BFC6}"/>
    <cellStyle name="Comma 9 2 4 2 2 8" xfId="16334" xr:uid="{2AA74397-CBE4-4C26-9194-74FCF3026AAA}"/>
    <cellStyle name="Comma 9 2 4 2 2 8 2" xfId="46574" xr:uid="{D01D6194-BE5F-47BF-8607-B5F603C9F92B}"/>
    <cellStyle name="Comma 9 2 4 2 2 9" xfId="31454" xr:uid="{D669A7B2-68A2-404D-A156-DCA53A1DAC43}"/>
    <cellStyle name="Comma 9 2 4 2 3" xfId="1970" xr:uid="{2A0D7274-EEB2-4449-9B7D-C49F7C2B3CD0}"/>
    <cellStyle name="Comma 9 2 4 2 3 2" xfId="11042" xr:uid="{BBEA422A-E21E-4C56-B2C9-5B86960BE48D}"/>
    <cellStyle name="Comma 9 2 4 2 3 2 2" xfId="26162" xr:uid="{BE410709-EB49-49B0-A3D7-361A5FAB840F}"/>
    <cellStyle name="Comma 9 2 4 2 3 2 2 2" xfId="56402" xr:uid="{A49B9DFE-FD11-4794-8A39-0FCAC582842D}"/>
    <cellStyle name="Comma 9 2 4 2 3 2 3" xfId="41282" xr:uid="{829A06BA-343F-404B-9C23-D35112926F29}"/>
    <cellStyle name="Comma 9 2 4 2 3 3" xfId="17090" xr:uid="{D1184D16-F402-4AF5-B355-BFB77CB91708}"/>
    <cellStyle name="Comma 9 2 4 2 3 3 2" xfId="47330" xr:uid="{4490A964-41CC-4EEA-819D-FCB6501FF9C2}"/>
    <cellStyle name="Comma 9 2 4 2 3 4" xfId="32210" xr:uid="{43FFCD10-B267-4A53-9D3A-DE69C0847AF9}"/>
    <cellStyle name="Comma 9 2 4 2 4" xfId="3482" xr:uid="{0FE33AF8-CF00-4309-B2E5-3AB0E4AF4CC9}"/>
    <cellStyle name="Comma 9 2 4 2 4 2" xfId="12554" xr:uid="{A09F8C3B-D8C7-4679-822A-3E3090F490DB}"/>
    <cellStyle name="Comma 9 2 4 2 4 2 2" xfId="27674" xr:uid="{EFBD1177-F011-461B-A966-7B4AB7488DAC}"/>
    <cellStyle name="Comma 9 2 4 2 4 2 2 2" xfId="57914" xr:uid="{BD1E077A-A120-4FC1-93F7-4E9781682CD6}"/>
    <cellStyle name="Comma 9 2 4 2 4 2 3" xfId="42794" xr:uid="{B2B37DCC-8D6E-4140-889F-01F1E9FA2671}"/>
    <cellStyle name="Comma 9 2 4 2 4 3" xfId="18602" xr:uid="{84817791-70E0-4B4E-B486-63D3EB706FF5}"/>
    <cellStyle name="Comma 9 2 4 2 4 3 2" xfId="48842" xr:uid="{F4EA7950-A643-4AAC-B771-0B584D934CE9}"/>
    <cellStyle name="Comma 9 2 4 2 4 4" xfId="33722" xr:uid="{1A569D0A-FD3B-43B0-B237-4955DF8A50BB}"/>
    <cellStyle name="Comma 9 2 4 2 5" xfId="4994" xr:uid="{EE730FC3-8AA8-4D9A-A070-00A13DF058DD}"/>
    <cellStyle name="Comma 9 2 4 2 5 2" xfId="14066" xr:uid="{BE2C59DB-61EE-4ED4-B153-8B39E4B7A038}"/>
    <cellStyle name="Comma 9 2 4 2 5 2 2" xfId="29186" xr:uid="{6E73BFFB-36CC-4B09-8EC1-2E318B8E96D8}"/>
    <cellStyle name="Comma 9 2 4 2 5 2 2 2" xfId="59426" xr:uid="{0DE5BFBB-6831-4A86-88C0-FE76C5B11F27}"/>
    <cellStyle name="Comma 9 2 4 2 5 2 3" xfId="44306" xr:uid="{0371B014-484F-4990-BFD4-67FC61C34B72}"/>
    <cellStyle name="Comma 9 2 4 2 5 3" xfId="20114" xr:uid="{4353297F-DC4E-40B2-A8A0-46E44FB088F0}"/>
    <cellStyle name="Comma 9 2 4 2 5 3 2" xfId="50354" xr:uid="{268E949B-C0C6-4021-9553-5968577906F7}"/>
    <cellStyle name="Comma 9 2 4 2 5 4" xfId="35234" xr:uid="{9BB43C04-493A-4071-9AD7-1A39F30E6269}"/>
    <cellStyle name="Comma 9 2 4 2 6" xfId="6506" xr:uid="{4EA05D03-0954-415A-8576-0545C0768F20}"/>
    <cellStyle name="Comma 9 2 4 2 6 2" xfId="21626" xr:uid="{F2D884CD-4BAD-4521-8E26-C1138283FF16}"/>
    <cellStyle name="Comma 9 2 4 2 6 2 2" xfId="51866" xr:uid="{7FF6843E-1EDD-44DF-9A3F-7B3A3CC7453E}"/>
    <cellStyle name="Comma 9 2 4 2 6 3" xfId="36746" xr:uid="{A60885C8-DE65-42F1-AEDF-647A6E3BCCB9}"/>
    <cellStyle name="Comma 9 2 4 2 7" xfId="8018" xr:uid="{EF1E4C71-9701-43AC-B8E4-9682FAA39DF9}"/>
    <cellStyle name="Comma 9 2 4 2 7 2" xfId="23138" xr:uid="{E1186532-4559-4695-ACE8-0E44EBE3A45C}"/>
    <cellStyle name="Comma 9 2 4 2 7 2 2" xfId="53378" xr:uid="{6C43E821-F9F2-4FF5-ACE3-16B16C697A08}"/>
    <cellStyle name="Comma 9 2 4 2 7 3" xfId="38258" xr:uid="{E1F914EB-CF7E-454F-BD99-219F4AA0EBE1}"/>
    <cellStyle name="Comma 9 2 4 2 8" xfId="9530" xr:uid="{51FE9B94-4A25-44A3-BDF5-3865C442DDDD}"/>
    <cellStyle name="Comma 9 2 4 2 8 2" xfId="24650" xr:uid="{AD280B55-AB77-46FE-9757-705F01CAA43A}"/>
    <cellStyle name="Comma 9 2 4 2 8 2 2" xfId="54890" xr:uid="{B1B39B56-50A8-4EC2-AFA2-490C08CB392D}"/>
    <cellStyle name="Comma 9 2 4 2 8 3" xfId="39770" xr:uid="{D7761BC3-F270-46D2-9C67-C28E55E201FC}"/>
    <cellStyle name="Comma 9 2 4 2 9" xfId="15578" xr:uid="{9EB1CEFE-0E1C-4B02-9FB0-E7E4E4320E9E}"/>
    <cellStyle name="Comma 9 2 4 2 9 2" xfId="45818" xr:uid="{13798C59-EC06-4A91-B27D-79223312D99B}"/>
    <cellStyle name="Comma 9 2 4 3" xfId="710" xr:uid="{B0F5C9E2-A1FB-4BAA-BFAD-213E8E87B44A}"/>
    <cellStyle name="Comma 9 2 4 3 10" xfId="30950" xr:uid="{B2589CDE-087E-4018-931E-5F47CE6DBE80}"/>
    <cellStyle name="Comma 9 2 4 3 2" xfId="1466" xr:uid="{30826286-78D4-4598-9F7F-6DE85589270F}"/>
    <cellStyle name="Comma 9 2 4 3 2 2" xfId="2978" xr:uid="{A346AE81-12D6-43A4-A5CD-B45447DBCAB9}"/>
    <cellStyle name="Comma 9 2 4 3 2 2 2" xfId="12050" xr:uid="{ACA31B19-EF7C-4B36-9320-8B594ACC5CE8}"/>
    <cellStyle name="Comma 9 2 4 3 2 2 2 2" xfId="27170" xr:uid="{E599E06C-11D5-4030-909C-D7D6371CE26C}"/>
    <cellStyle name="Comma 9 2 4 3 2 2 2 2 2" xfId="57410" xr:uid="{F38B55FA-CB58-49E8-9874-0CAC1C09B9EA}"/>
    <cellStyle name="Comma 9 2 4 3 2 2 2 3" xfId="42290" xr:uid="{2DB5A98D-9A4F-4FC4-A904-D1AEADF2B7CC}"/>
    <cellStyle name="Comma 9 2 4 3 2 2 3" xfId="18098" xr:uid="{59AAFF59-7086-4FC0-833A-905F64573FE7}"/>
    <cellStyle name="Comma 9 2 4 3 2 2 3 2" xfId="48338" xr:uid="{D05CE5CA-E6DC-435E-88CF-5580E2AD232C}"/>
    <cellStyle name="Comma 9 2 4 3 2 2 4" xfId="33218" xr:uid="{05A97375-1911-4C4E-A4B4-BB37435D0DE2}"/>
    <cellStyle name="Comma 9 2 4 3 2 3" xfId="4490" xr:uid="{C50F421C-54F8-4638-A1FA-3F66214BDEAE}"/>
    <cellStyle name="Comma 9 2 4 3 2 3 2" xfId="13562" xr:uid="{E4AF9DED-9E72-48EE-8B38-DE15F6BED23F}"/>
    <cellStyle name="Comma 9 2 4 3 2 3 2 2" xfId="28682" xr:uid="{8EB0FD52-684A-442E-BE1D-053541CF5D9D}"/>
    <cellStyle name="Comma 9 2 4 3 2 3 2 2 2" xfId="58922" xr:uid="{61E93204-7566-4D05-9BF5-D84B70CF3C4F}"/>
    <cellStyle name="Comma 9 2 4 3 2 3 2 3" xfId="43802" xr:uid="{97585B7B-B36F-417E-B326-26F27E53DACE}"/>
    <cellStyle name="Comma 9 2 4 3 2 3 3" xfId="19610" xr:uid="{EA6AB0F3-BFC6-4264-A453-268729ED6B0D}"/>
    <cellStyle name="Comma 9 2 4 3 2 3 3 2" xfId="49850" xr:uid="{CE9C92F9-E6C5-4FEA-A863-9BD609B36A09}"/>
    <cellStyle name="Comma 9 2 4 3 2 3 4" xfId="34730" xr:uid="{142A1A39-BDBF-44A4-87F1-AC553891BE31}"/>
    <cellStyle name="Comma 9 2 4 3 2 4" xfId="6002" xr:uid="{6A88844B-38CE-4F1F-BC36-F90C372B4526}"/>
    <cellStyle name="Comma 9 2 4 3 2 4 2" xfId="15074" xr:uid="{7A222A2C-16D2-4714-8D29-418EC3C715ED}"/>
    <cellStyle name="Comma 9 2 4 3 2 4 2 2" xfId="30194" xr:uid="{7BCE2789-694A-46CF-AAC1-934D394BBDDA}"/>
    <cellStyle name="Comma 9 2 4 3 2 4 2 2 2" xfId="60434" xr:uid="{8D6B58C2-EA7D-4CD9-B0A4-4AF5C9DF225A}"/>
    <cellStyle name="Comma 9 2 4 3 2 4 2 3" xfId="45314" xr:uid="{11A639E5-FB91-4A3C-8C30-719ECA2F23AD}"/>
    <cellStyle name="Comma 9 2 4 3 2 4 3" xfId="21122" xr:uid="{A9852F67-88C4-4547-801E-1B4DC2206EB6}"/>
    <cellStyle name="Comma 9 2 4 3 2 4 3 2" xfId="51362" xr:uid="{F8090383-F4A8-4EC4-9F25-CAE0A6623C79}"/>
    <cellStyle name="Comma 9 2 4 3 2 4 4" xfId="36242" xr:uid="{FD238D20-2808-4A9D-8E9B-B0AB93C1C30C}"/>
    <cellStyle name="Comma 9 2 4 3 2 5" xfId="7514" xr:uid="{4C19DDC1-472B-4311-A262-F2A6F23B31CF}"/>
    <cellStyle name="Comma 9 2 4 3 2 5 2" xfId="22634" xr:uid="{7EF4AC65-D033-4B8B-8559-C3338E3F3745}"/>
    <cellStyle name="Comma 9 2 4 3 2 5 2 2" xfId="52874" xr:uid="{00DAFFB0-5984-411B-9B1D-78BEF82E93DF}"/>
    <cellStyle name="Comma 9 2 4 3 2 5 3" xfId="37754" xr:uid="{47E0C1C3-5A5D-4CA0-BE1B-FCF5DB3C43A9}"/>
    <cellStyle name="Comma 9 2 4 3 2 6" xfId="9026" xr:uid="{6CB8B911-B0FA-4EDF-BC47-04DDBB00CDBB}"/>
    <cellStyle name="Comma 9 2 4 3 2 6 2" xfId="24146" xr:uid="{3451A4F2-5048-4E7B-9E71-94D2757744CB}"/>
    <cellStyle name="Comma 9 2 4 3 2 6 2 2" xfId="54386" xr:uid="{C1E086AA-A1C0-40C0-809E-EFA3DC363808}"/>
    <cellStyle name="Comma 9 2 4 3 2 6 3" xfId="39266" xr:uid="{47C04DD7-251C-4F50-96F0-FFBCCC7C9657}"/>
    <cellStyle name="Comma 9 2 4 3 2 7" xfId="10538" xr:uid="{4069DC09-7327-4204-BBFD-8CB5688FF9F9}"/>
    <cellStyle name="Comma 9 2 4 3 2 7 2" xfId="25658" xr:uid="{A7CC8E9B-FA61-4868-8523-B785635CD573}"/>
    <cellStyle name="Comma 9 2 4 3 2 7 2 2" xfId="55898" xr:uid="{2B47B16E-F6C8-4F65-98AD-82FE3573D8F6}"/>
    <cellStyle name="Comma 9 2 4 3 2 7 3" xfId="40778" xr:uid="{F8149639-19A1-4943-B25F-1D8638BF5E31}"/>
    <cellStyle name="Comma 9 2 4 3 2 8" xfId="16586" xr:uid="{73E1CCB7-8834-49C9-8233-0B7226DA0CC0}"/>
    <cellStyle name="Comma 9 2 4 3 2 8 2" xfId="46826" xr:uid="{ED83E0F1-1F7B-4CD9-89E3-179F2AF50C8B}"/>
    <cellStyle name="Comma 9 2 4 3 2 9" xfId="31706" xr:uid="{DBCB0E31-E86E-432B-A020-7E78141A8CD5}"/>
    <cellStyle name="Comma 9 2 4 3 3" xfId="2222" xr:uid="{03CDC354-71F6-4F53-8C73-3B1E5CAE8757}"/>
    <cellStyle name="Comma 9 2 4 3 3 2" xfId="11294" xr:uid="{AE32F630-B761-43B9-AACD-C94149CD0B62}"/>
    <cellStyle name="Comma 9 2 4 3 3 2 2" xfId="26414" xr:uid="{A733E311-637F-4BA7-BAD8-96494464044A}"/>
    <cellStyle name="Comma 9 2 4 3 3 2 2 2" xfId="56654" xr:uid="{DDC1C89C-839A-4BB1-A7DE-F177503DF421}"/>
    <cellStyle name="Comma 9 2 4 3 3 2 3" xfId="41534" xr:uid="{1197979B-30FB-44F5-9699-F63DF40185D3}"/>
    <cellStyle name="Comma 9 2 4 3 3 3" xfId="17342" xr:uid="{D033F910-4CE7-40F4-9A91-0D0F0B373254}"/>
    <cellStyle name="Comma 9 2 4 3 3 3 2" xfId="47582" xr:uid="{90387B6D-07DC-49D6-A689-2A8ABA427DDA}"/>
    <cellStyle name="Comma 9 2 4 3 3 4" xfId="32462" xr:uid="{7DB60A79-9787-44E2-80A3-1BB3BB6D2915}"/>
    <cellStyle name="Comma 9 2 4 3 4" xfId="3734" xr:uid="{B8A2E727-D7F1-43D7-AC9E-830AABE77C64}"/>
    <cellStyle name="Comma 9 2 4 3 4 2" xfId="12806" xr:uid="{97764678-8F9A-4ABB-B902-B48FC2887645}"/>
    <cellStyle name="Comma 9 2 4 3 4 2 2" xfId="27926" xr:uid="{EF23A855-5172-4EFF-9BB4-FC2472EC1B00}"/>
    <cellStyle name="Comma 9 2 4 3 4 2 2 2" xfId="58166" xr:uid="{8B7BD976-837E-45D5-9BEB-B8B598622138}"/>
    <cellStyle name="Comma 9 2 4 3 4 2 3" xfId="43046" xr:uid="{AC67DAF4-BA40-4972-A9B4-3283972EC6D0}"/>
    <cellStyle name="Comma 9 2 4 3 4 3" xfId="18854" xr:uid="{907A3911-625D-4B36-B7F5-234B0226DAEA}"/>
    <cellStyle name="Comma 9 2 4 3 4 3 2" xfId="49094" xr:uid="{3E1DFAFC-9218-4FCD-BED3-4B6A0DD48D51}"/>
    <cellStyle name="Comma 9 2 4 3 4 4" xfId="33974" xr:uid="{35042774-0CDC-4EE1-9A7D-46231E82C2B6}"/>
    <cellStyle name="Comma 9 2 4 3 5" xfId="5246" xr:uid="{26D08475-844E-4DD2-B6AE-912D12E65C1A}"/>
    <cellStyle name="Comma 9 2 4 3 5 2" xfId="14318" xr:uid="{8BB4610C-56FF-4761-BF81-07B528CE8AE5}"/>
    <cellStyle name="Comma 9 2 4 3 5 2 2" xfId="29438" xr:uid="{5F2A0F86-851B-4218-9D12-245879DF9328}"/>
    <cellStyle name="Comma 9 2 4 3 5 2 2 2" xfId="59678" xr:uid="{F41255B5-3531-4709-BFF0-207FD077F00E}"/>
    <cellStyle name="Comma 9 2 4 3 5 2 3" xfId="44558" xr:uid="{E373C4CB-4847-44D1-A952-AB503D1F9467}"/>
    <cellStyle name="Comma 9 2 4 3 5 3" xfId="20366" xr:uid="{07EF8B0B-B17A-459E-9076-3249731C1AEC}"/>
    <cellStyle name="Comma 9 2 4 3 5 3 2" xfId="50606" xr:uid="{68F8AA9B-0D40-4EC3-AF06-5292A884D25F}"/>
    <cellStyle name="Comma 9 2 4 3 5 4" xfId="35486" xr:uid="{D5CD608E-3CEC-4022-A2EE-184C2524BD35}"/>
    <cellStyle name="Comma 9 2 4 3 6" xfId="6758" xr:uid="{9C5F5F73-1DE5-43AF-A8C0-3B519117BE72}"/>
    <cellStyle name="Comma 9 2 4 3 6 2" xfId="21878" xr:uid="{B1A9D858-E584-4407-A80E-21BB8D885207}"/>
    <cellStyle name="Comma 9 2 4 3 6 2 2" xfId="52118" xr:uid="{B8C1E345-9608-4364-906C-3830197B7EAC}"/>
    <cellStyle name="Comma 9 2 4 3 6 3" xfId="36998" xr:uid="{771C85A0-944A-44B1-B2B2-35D2E383E186}"/>
    <cellStyle name="Comma 9 2 4 3 7" xfId="8270" xr:uid="{C2419B6A-6C8A-415E-A995-735BD8725507}"/>
    <cellStyle name="Comma 9 2 4 3 7 2" xfId="23390" xr:uid="{4B42A0D9-284E-4329-8D38-C5ABB82A4C64}"/>
    <cellStyle name="Comma 9 2 4 3 7 2 2" xfId="53630" xr:uid="{0E066831-384E-408C-8A5A-236BBC04EDC1}"/>
    <cellStyle name="Comma 9 2 4 3 7 3" xfId="38510" xr:uid="{C484429F-FB0B-45BF-8461-DA56493C103F}"/>
    <cellStyle name="Comma 9 2 4 3 8" xfId="9782" xr:uid="{24CB79E2-5B18-4703-8E59-255A1AD4C0DD}"/>
    <cellStyle name="Comma 9 2 4 3 8 2" xfId="24902" xr:uid="{65B6D8EE-4170-439E-8C8B-EDAF42EF5179}"/>
    <cellStyle name="Comma 9 2 4 3 8 2 2" xfId="55142" xr:uid="{311ED3A9-1A2A-4D88-8B84-A7440B91D706}"/>
    <cellStyle name="Comma 9 2 4 3 8 3" xfId="40022" xr:uid="{BBB37B5A-1DC2-4445-860E-51AB0AFF8868}"/>
    <cellStyle name="Comma 9 2 4 3 9" xfId="15830" xr:uid="{EFD9E158-84FE-4744-B792-0CE237ABA2E0}"/>
    <cellStyle name="Comma 9 2 4 3 9 2" xfId="46070" xr:uid="{30EEB071-CB16-4D3D-8A97-0BFBC15F833E}"/>
    <cellStyle name="Comma 9 2 4 4" xfId="962" xr:uid="{B4322CC1-F655-42DE-8AA5-944EBC248F32}"/>
    <cellStyle name="Comma 9 2 4 4 2" xfId="2474" xr:uid="{99708F33-B360-4490-B229-6431D986A7A6}"/>
    <cellStyle name="Comma 9 2 4 4 2 2" xfId="11546" xr:uid="{74AB268E-29A2-4BD3-90D7-AB20C3DCA73B}"/>
    <cellStyle name="Comma 9 2 4 4 2 2 2" xfId="26666" xr:uid="{8E7ACBB8-D44E-4E7D-87C2-D8D1EBDDCD41}"/>
    <cellStyle name="Comma 9 2 4 4 2 2 2 2" xfId="56906" xr:uid="{6A54183C-9127-492C-B778-341DD3C88DB3}"/>
    <cellStyle name="Comma 9 2 4 4 2 2 3" xfId="41786" xr:uid="{0DCB105C-8D7D-43C3-AD89-7B0238E7225F}"/>
    <cellStyle name="Comma 9 2 4 4 2 3" xfId="17594" xr:uid="{6484A978-22DD-473C-974C-6EB9922E38DD}"/>
    <cellStyle name="Comma 9 2 4 4 2 3 2" xfId="47834" xr:uid="{3A198C0A-B00C-4776-AEC4-56FBDDE42E6B}"/>
    <cellStyle name="Comma 9 2 4 4 2 4" xfId="32714" xr:uid="{8E4086CD-7426-436A-BF98-E4E129B80611}"/>
    <cellStyle name="Comma 9 2 4 4 3" xfId="3986" xr:uid="{6967627B-51CB-4FB1-93E9-01C718713938}"/>
    <cellStyle name="Comma 9 2 4 4 3 2" xfId="13058" xr:uid="{6E751823-9858-4ABC-B660-6A7FE493AA13}"/>
    <cellStyle name="Comma 9 2 4 4 3 2 2" xfId="28178" xr:uid="{3CA80907-0FB4-41A3-8AC3-35DDDC813D13}"/>
    <cellStyle name="Comma 9 2 4 4 3 2 2 2" xfId="58418" xr:uid="{15F5DF32-836F-4BFD-A611-CCD27A41F617}"/>
    <cellStyle name="Comma 9 2 4 4 3 2 3" xfId="43298" xr:uid="{8E6CF518-6A5A-43B2-83B1-E48DD64E6EFB}"/>
    <cellStyle name="Comma 9 2 4 4 3 3" xfId="19106" xr:uid="{82756450-F406-4C31-B151-9CDD8DDC69E2}"/>
    <cellStyle name="Comma 9 2 4 4 3 3 2" xfId="49346" xr:uid="{14E9AA26-460C-43CD-B8F6-3E2AC936A448}"/>
    <cellStyle name="Comma 9 2 4 4 3 4" xfId="34226" xr:uid="{915AD765-1BD9-47F6-8B60-5F6A5B9D94FD}"/>
    <cellStyle name="Comma 9 2 4 4 4" xfId="5498" xr:uid="{A4DB76CC-DD6B-450C-86C7-A6767BAFE5C8}"/>
    <cellStyle name="Comma 9 2 4 4 4 2" xfId="14570" xr:uid="{41ED9900-31DB-4F89-819C-B0B012A9DF73}"/>
    <cellStyle name="Comma 9 2 4 4 4 2 2" xfId="29690" xr:uid="{26D8C0E7-CD6E-413C-A881-0B1C57B96C8F}"/>
    <cellStyle name="Comma 9 2 4 4 4 2 2 2" xfId="59930" xr:uid="{E9C3A429-C9FA-4FE5-94F8-FA7A0627BD5F}"/>
    <cellStyle name="Comma 9 2 4 4 4 2 3" xfId="44810" xr:uid="{5B528826-A227-4A03-8B2A-2A6344C7BFA0}"/>
    <cellStyle name="Comma 9 2 4 4 4 3" xfId="20618" xr:uid="{5AD98AF4-DC47-463F-B7EF-7119B4F75096}"/>
    <cellStyle name="Comma 9 2 4 4 4 3 2" xfId="50858" xr:uid="{4A35A2CF-3BDA-4CB7-8BAE-FF57305D6232}"/>
    <cellStyle name="Comma 9 2 4 4 4 4" xfId="35738" xr:uid="{A669E4AF-51A0-497E-B96E-6D9187975483}"/>
    <cellStyle name="Comma 9 2 4 4 5" xfId="7010" xr:uid="{8B1E8E8C-6342-4343-876C-765C38CE09F1}"/>
    <cellStyle name="Comma 9 2 4 4 5 2" xfId="22130" xr:uid="{8025A195-769C-4068-A739-DB0B339140A6}"/>
    <cellStyle name="Comma 9 2 4 4 5 2 2" xfId="52370" xr:uid="{CD82CCCA-BCD3-42E8-9D06-5067C8C1AA59}"/>
    <cellStyle name="Comma 9 2 4 4 5 3" xfId="37250" xr:uid="{8D1AA951-FFA6-4C3C-99DD-A3EDFA0531B3}"/>
    <cellStyle name="Comma 9 2 4 4 6" xfId="8522" xr:uid="{90A48873-6143-47A7-A838-310FB776ECEC}"/>
    <cellStyle name="Comma 9 2 4 4 6 2" xfId="23642" xr:uid="{F633BAA7-BBB0-49C7-8147-4164B26C29DA}"/>
    <cellStyle name="Comma 9 2 4 4 6 2 2" xfId="53882" xr:uid="{8F0682BD-E458-45E7-81D6-85E4E8E9D531}"/>
    <cellStyle name="Comma 9 2 4 4 6 3" xfId="38762" xr:uid="{ED255982-443C-435C-9413-17DD564F0CC4}"/>
    <cellStyle name="Comma 9 2 4 4 7" xfId="10034" xr:uid="{EB666F74-6472-4DD1-B3BD-3D80C2AB65A0}"/>
    <cellStyle name="Comma 9 2 4 4 7 2" xfId="25154" xr:uid="{40CD5956-B5BA-48E2-8EE0-CCBC9DF0E98F}"/>
    <cellStyle name="Comma 9 2 4 4 7 2 2" xfId="55394" xr:uid="{975DEB41-15C1-4F69-89B8-F05C44FA4B3C}"/>
    <cellStyle name="Comma 9 2 4 4 7 3" xfId="40274" xr:uid="{1A810AEA-E7DB-4881-9AD1-B70EC18A0338}"/>
    <cellStyle name="Comma 9 2 4 4 8" xfId="16082" xr:uid="{6C0DC6D7-96C9-4E5F-8525-91B898C77BEC}"/>
    <cellStyle name="Comma 9 2 4 4 8 2" xfId="46322" xr:uid="{06752B70-E9DC-4A6B-BC5D-05AB62A72BAC}"/>
    <cellStyle name="Comma 9 2 4 4 9" xfId="31202" xr:uid="{0D3DBABD-D7E3-4CD4-A652-70BA8DBE1CBC}"/>
    <cellStyle name="Comma 9 2 4 5" xfId="1718" xr:uid="{DD7DF25D-3985-4EF7-9D42-552EE287160A}"/>
    <cellStyle name="Comma 9 2 4 5 2" xfId="10790" xr:uid="{E450DF0C-EEC7-4C2D-B58B-88A37ADD5CB9}"/>
    <cellStyle name="Comma 9 2 4 5 2 2" xfId="25910" xr:uid="{7B3DBF66-3641-4772-9BA9-B2D29CC1D078}"/>
    <cellStyle name="Comma 9 2 4 5 2 2 2" xfId="56150" xr:uid="{C865C527-337D-4967-8F39-A6F783989533}"/>
    <cellStyle name="Comma 9 2 4 5 2 3" xfId="41030" xr:uid="{671CE5A0-D291-4C1F-87B5-F5EFFB0C63A8}"/>
    <cellStyle name="Comma 9 2 4 5 3" xfId="16838" xr:uid="{884BCBFF-2CCC-44A7-BADB-AE7A1272621B}"/>
    <cellStyle name="Comma 9 2 4 5 3 2" xfId="47078" xr:uid="{4AF503FD-9B90-4DC9-8C26-DB2E9C00D53B}"/>
    <cellStyle name="Comma 9 2 4 5 4" xfId="31958" xr:uid="{0B0EA73B-1318-4F0F-88D0-BA47AFAD4210}"/>
    <cellStyle name="Comma 9 2 4 6" xfId="3230" xr:uid="{D79B92BD-043B-4AE1-A79B-DE3476D862F0}"/>
    <cellStyle name="Comma 9 2 4 6 2" xfId="12302" xr:uid="{3B298FAD-D8CB-417E-9D35-AF93D18DE51A}"/>
    <cellStyle name="Comma 9 2 4 6 2 2" xfId="27422" xr:uid="{111DE566-5C28-46EA-B79D-35B94E967D59}"/>
    <cellStyle name="Comma 9 2 4 6 2 2 2" xfId="57662" xr:uid="{435DBC90-34E2-4555-A885-070C0257EDA4}"/>
    <cellStyle name="Comma 9 2 4 6 2 3" xfId="42542" xr:uid="{8C67D500-26B4-4CD3-8D65-223B3D784498}"/>
    <cellStyle name="Comma 9 2 4 6 3" xfId="18350" xr:uid="{CF38AF74-DB1B-46CF-8435-F47B4EB2F2BD}"/>
    <cellStyle name="Comma 9 2 4 6 3 2" xfId="48590" xr:uid="{C279CE7D-4643-49CF-B645-2ED2C66F721B}"/>
    <cellStyle name="Comma 9 2 4 6 4" xfId="33470" xr:uid="{CE3804C3-4F22-455A-956F-04492C7D5B1C}"/>
    <cellStyle name="Comma 9 2 4 7" xfId="4742" xr:uid="{2711EB77-BB84-4A92-981E-0BEE0959CCC7}"/>
    <cellStyle name="Comma 9 2 4 7 2" xfId="13814" xr:uid="{159C7AF5-C418-49AC-AAA3-E369EC91DE5A}"/>
    <cellStyle name="Comma 9 2 4 7 2 2" xfId="28934" xr:uid="{CE8FB41C-562F-46AE-B550-2CA347267215}"/>
    <cellStyle name="Comma 9 2 4 7 2 2 2" xfId="59174" xr:uid="{5524EBE1-26DB-44E2-BBE9-20A0994D9994}"/>
    <cellStyle name="Comma 9 2 4 7 2 3" xfId="44054" xr:uid="{960EA462-B0D3-4A42-ADAA-0D9295D53E26}"/>
    <cellStyle name="Comma 9 2 4 7 3" xfId="19862" xr:uid="{B418749F-3F91-4F3A-9D40-553F3AB4D559}"/>
    <cellStyle name="Comma 9 2 4 7 3 2" xfId="50102" xr:uid="{5FF0867E-A559-46FF-9E38-B2355E354F42}"/>
    <cellStyle name="Comma 9 2 4 7 4" xfId="34982" xr:uid="{D5562D89-C039-46BE-8638-52600313F32E}"/>
    <cellStyle name="Comma 9 2 4 8" xfId="6254" xr:uid="{7EEC5934-F934-4AC0-B2D5-15D45852E8C3}"/>
    <cellStyle name="Comma 9 2 4 8 2" xfId="21374" xr:uid="{846F6F9A-1866-4C6F-B49E-08501A805674}"/>
    <cellStyle name="Comma 9 2 4 8 2 2" xfId="51614" xr:uid="{943FA317-0C20-4031-A173-15DFA90183C2}"/>
    <cellStyle name="Comma 9 2 4 8 3" xfId="36494" xr:uid="{ACA4CB02-547E-4A14-92A9-497527E36D3D}"/>
    <cellStyle name="Comma 9 2 4 9" xfId="7766" xr:uid="{1A788121-659E-4D83-AE17-6F0CFA3CAE1A}"/>
    <cellStyle name="Comma 9 2 4 9 2" xfId="22886" xr:uid="{43E4740F-2771-46EB-BE21-656485D7D1BF}"/>
    <cellStyle name="Comma 9 2 4 9 2 2" xfId="53126" xr:uid="{C9FDAEDA-B458-4B51-A826-DB8210F26586}"/>
    <cellStyle name="Comma 9 2 4 9 3" xfId="38006" xr:uid="{CA7826F1-D0B6-4ED0-9644-50DA134F9C81}"/>
    <cellStyle name="Comma 9 2 5" xfId="290" xr:uid="{4E7668DC-6333-48E7-99C7-0155DB81519D}"/>
    <cellStyle name="Comma 9 2 5 10" xfId="30530" xr:uid="{CEEC5CB2-2673-44A4-BB75-0735FFEC2806}"/>
    <cellStyle name="Comma 9 2 5 2" xfId="1046" xr:uid="{8480E957-45BD-4F9F-98E8-56BCD78F9E7E}"/>
    <cellStyle name="Comma 9 2 5 2 2" xfId="2558" xr:uid="{E56F622B-3833-4A7B-AC09-4965F860AD11}"/>
    <cellStyle name="Comma 9 2 5 2 2 2" xfId="11630" xr:uid="{A5DF4408-4317-4DF6-BF93-C3F18FCF2A3D}"/>
    <cellStyle name="Comma 9 2 5 2 2 2 2" xfId="26750" xr:uid="{BF55E5DC-C469-4585-B841-B91141DA71FC}"/>
    <cellStyle name="Comma 9 2 5 2 2 2 2 2" xfId="56990" xr:uid="{A341CD32-1588-481E-A3B7-CE6E14ADCA4E}"/>
    <cellStyle name="Comma 9 2 5 2 2 2 3" xfId="41870" xr:uid="{15CD62B3-99B6-4EC0-B9BE-5A33A9B64860}"/>
    <cellStyle name="Comma 9 2 5 2 2 3" xfId="17678" xr:uid="{226912B3-F7C9-4375-A4FF-7A576D18D8A0}"/>
    <cellStyle name="Comma 9 2 5 2 2 3 2" xfId="47918" xr:uid="{CAA2D7E8-9C2A-4F2C-A94C-7E4993846DA0}"/>
    <cellStyle name="Comma 9 2 5 2 2 4" xfId="32798" xr:uid="{29F48F79-9785-45D5-A9AC-309486DC333F}"/>
    <cellStyle name="Comma 9 2 5 2 3" xfId="4070" xr:uid="{D4344CE9-8B55-40A6-86F1-D2FE89437038}"/>
    <cellStyle name="Comma 9 2 5 2 3 2" xfId="13142" xr:uid="{8CFF138A-F6D1-468E-837D-E8826A723CE6}"/>
    <cellStyle name="Comma 9 2 5 2 3 2 2" xfId="28262" xr:uid="{E912489B-8F73-4BBA-9283-9496679DFD13}"/>
    <cellStyle name="Comma 9 2 5 2 3 2 2 2" xfId="58502" xr:uid="{A2D71560-D5D6-4256-9368-594C8ABDB5ED}"/>
    <cellStyle name="Comma 9 2 5 2 3 2 3" xfId="43382" xr:uid="{049FF831-5D72-4F25-B4F0-E928DB96EB69}"/>
    <cellStyle name="Comma 9 2 5 2 3 3" xfId="19190" xr:uid="{31BDE69B-4202-4625-BDD2-853AC4382636}"/>
    <cellStyle name="Comma 9 2 5 2 3 3 2" xfId="49430" xr:uid="{422C0792-12F3-419E-9213-69EDCD4FA532}"/>
    <cellStyle name="Comma 9 2 5 2 3 4" xfId="34310" xr:uid="{79E1DD6D-5AC5-4F1D-8055-077D9436256C}"/>
    <cellStyle name="Comma 9 2 5 2 4" xfId="5582" xr:uid="{7363B724-7207-4A9B-AE91-F33183F46C1B}"/>
    <cellStyle name="Comma 9 2 5 2 4 2" xfId="14654" xr:uid="{C3894C00-F75A-4A3F-80DD-C6D105AFA4F9}"/>
    <cellStyle name="Comma 9 2 5 2 4 2 2" xfId="29774" xr:uid="{27100168-DFBC-4349-AC8A-9EAB04D43B83}"/>
    <cellStyle name="Comma 9 2 5 2 4 2 2 2" xfId="60014" xr:uid="{482FE0D0-C5AB-4820-AA2F-4DA5E5BCFCEB}"/>
    <cellStyle name="Comma 9 2 5 2 4 2 3" xfId="44894" xr:uid="{9F0C93DE-CE81-46C3-A372-560909601196}"/>
    <cellStyle name="Comma 9 2 5 2 4 3" xfId="20702" xr:uid="{28F2EB95-2A52-4B15-BDE8-BECC786448B9}"/>
    <cellStyle name="Comma 9 2 5 2 4 3 2" xfId="50942" xr:uid="{2CAC575F-22FF-49BB-A914-54C5CF7AFB96}"/>
    <cellStyle name="Comma 9 2 5 2 4 4" xfId="35822" xr:uid="{97D4306B-4484-4988-A812-2B3CB71661AB}"/>
    <cellStyle name="Comma 9 2 5 2 5" xfId="7094" xr:uid="{104FEA9C-029A-47D6-AEC9-1E5B4F68D94F}"/>
    <cellStyle name="Comma 9 2 5 2 5 2" xfId="22214" xr:uid="{4C45DEE9-9079-49DB-9D6E-F4F351EC1D75}"/>
    <cellStyle name="Comma 9 2 5 2 5 2 2" xfId="52454" xr:uid="{3BF7BF13-0134-43C8-9D25-96BAAD1987F8}"/>
    <cellStyle name="Comma 9 2 5 2 5 3" xfId="37334" xr:uid="{5E909574-EDC7-4DBF-8695-2AEFE9A8725B}"/>
    <cellStyle name="Comma 9 2 5 2 6" xfId="8606" xr:uid="{DDF877C3-10C4-4D8B-9599-FCA24AF79F4A}"/>
    <cellStyle name="Comma 9 2 5 2 6 2" xfId="23726" xr:uid="{00DE9B79-B945-4B6A-86CB-8D176F7330CD}"/>
    <cellStyle name="Comma 9 2 5 2 6 2 2" xfId="53966" xr:uid="{8C79A3FF-7FD0-4DC0-9273-6AF2B6B72675}"/>
    <cellStyle name="Comma 9 2 5 2 6 3" xfId="38846" xr:uid="{D927E687-5D36-4860-97A0-D1F869E5EA8B}"/>
    <cellStyle name="Comma 9 2 5 2 7" xfId="10118" xr:uid="{2A345CF4-61E3-4633-B114-D00367427E49}"/>
    <cellStyle name="Comma 9 2 5 2 7 2" xfId="25238" xr:uid="{F74A1C68-C2CE-4C8D-97A1-933FDEEBD1E5}"/>
    <cellStyle name="Comma 9 2 5 2 7 2 2" xfId="55478" xr:uid="{0B5F282E-5F12-4110-9227-07B4D64CE2FB}"/>
    <cellStyle name="Comma 9 2 5 2 7 3" xfId="40358" xr:uid="{3D3723C5-2276-48DA-9BA1-F7D7EC01FF81}"/>
    <cellStyle name="Comma 9 2 5 2 8" xfId="16166" xr:uid="{A060265F-FF01-4EE6-A141-BEE8478F6248}"/>
    <cellStyle name="Comma 9 2 5 2 8 2" xfId="46406" xr:uid="{09A4DEC2-084E-4A26-8A53-235238EE3AAD}"/>
    <cellStyle name="Comma 9 2 5 2 9" xfId="31286" xr:uid="{15DBB2D8-E208-4D9D-AA3A-7157687FC4BF}"/>
    <cellStyle name="Comma 9 2 5 3" xfId="1802" xr:uid="{A9B31B2C-1290-468E-9D95-12233D4ABE10}"/>
    <cellStyle name="Comma 9 2 5 3 2" xfId="10874" xr:uid="{AE81B2B7-CC36-44E1-BDBC-536B3881237C}"/>
    <cellStyle name="Comma 9 2 5 3 2 2" xfId="25994" xr:uid="{C96A8798-6659-4635-BB89-40F8FF624888}"/>
    <cellStyle name="Comma 9 2 5 3 2 2 2" xfId="56234" xr:uid="{2EBE9314-9D7B-4722-979C-2D32D237ADE1}"/>
    <cellStyle name="Comma 9 2 5 3 2 3" xfId="41114" xr:uid="{7A750ABB-CF25-47AF-9E29-8E3027BE5E38}"/>
    <cellStyle name="Comma 9 2 5 3 3" xfId="16922" xr:uid="{EF38D2CB-8213-4C3F-8A41-4F4B06626D71}"/>
    <cellStyle name="Comma 9 2 5 3 3 2" xfId="47162" xr:uid="{462A6B2D-DE16-4C54-8982-2D9ED3F9A3B6}"/>
    <cellStyle name="Comma 9 2 5 3 4" xfId="32042" xr:uid="{FE08FD9D-2BE4-4020-B40C-7690A4B5FD0D}"/>
    <cellStyle name="Comma 9 2 5 4" xfId="3314" xr:uid="{58BDAED2-8180-4F30-A04A-8B8DB9E0907B}"/>
    <cellStyle name="Comma 9 2 5 4 2" xfId="12386" xr:uid="{8918A266-1890-489B-93C9-522F709C3777}"/>
    <cellStyle name="Comma 9 2 5 4 2 2" xfId="27506" xr:uid="{0CAD7176-6130-4356-AEA8-C76568277B05}"/>
    <cellStyle name="Comma 9 2 5 4 2 2 2" xfId="57746" xr:uid="{549EA1B2-D2D7-4518-908D-0A5D65168218}"/>
    <cellStyle name="Comma 9 2 5 4 2 3" xfId="42626" xr:uid="{8BFB43CD-B1B0-43A7-BDDD-1F6A582D7C93}"/>
    <cellStyle name="Comma 9 2 5 4 3" xfId="18434" xr:uid="{762ECD08-34B1-4E52-BDA3-81C4CA4F5662}"/>
    <cellStyle name="Comma 9 2 5 4 3 2" xfId="48674" xr:uid="{504F2A5A-AC48-466B-AF6F-118616B04EE4}"/>
    <cellStyle name="Comma 9 2 5 4 4" xfId="33554" xr:uid="{445DD518-E89C-475E-8DBA-EAB277C70080}"/>
    <cellStyle name="Comma 9 2 5 5" xfId="4826" xr:uid="{3AB08689-C566-4328-BA4C-D7F9EA95269F}"/>
    <cellStyle name="Comma 9 2 5 5 2" xfId="13898" xr:uid="{02D72CD5-CB17-4783-A831-2CA756718197}"/>
    <cellStyle name="Comma 9 2 5 5 2 2" xfId="29018" xr:uid="{A0170862-5551-47E6-AA32-11FB97EE8A9D}"/>
    <cellStyle name="Comma 9 2 5 5 2 2 2" xfId="59258" xr:uid="{8656CDA4-C212-48C8-8439-C0E2C427623C}"/>
    <cellStyle name="Comma 9 2 5 5 2 3" xfId="44138" xr:uid="{7778F987-924F-4FF9-BFF8-96C3E87CD8EA}"/>
    <cellStyle name="Comma 9 2 5 5 3" xfId="19946" xr:uid="{F8934345-FFD3-4BB7-82FB-A246A301FED0}"/>
    <cellStyle name="Comma 9 2 5 5 3 2" xfId="50186" xr:uid="{58806290-789C-4047-A4E6-750FF42B4856}"/>
    <cellStyle name="Comma 9 2 5 5 4" xfId="35066" xr:uid="{50D710FD-7D39-4168-8812-7C966505CB4C}"/>
    <cellStyle name="Comma 9 2 5 6" xfId="6338" xr:uid="{9ECAA2FD-71A3-4998-A358-3DBDD7C58135}"/>
    <cellStyle name="Comma 9 2 5 6 2" xfId="21458" xr:uid="{B0D33CD6-5C52-4933-A0CD-195049F14A1E}"/>
    <cellStyle name="Comma 9 2 5 6 2 2" xfId="51698" xr:uid="{DF53F883-EA06-4781-8417-218A6C2600E6}"/>
    <cellStyle name="Comma 9 2 5 6 3" xfId="36578" xr:uid="{BA8BB77C-1DD9-489F-B76F-0D0F5FCE2FB7}"/>
    <cellStyle name="Comma 9 2 5 7" xfId="7850" xr:uid="{BF5C2925-C116-429D-9190-B8DF310E2031}"/>
    <cellStyle name="Comma 9 2 5 7 2" xfId="22970" xr:uid="{614BD015-04DD-438B-A868-E37B1B5B3584}"/>
    <cellStyle name="Comma 9 2 5 7 2 2" xfId="53210" xr:uid="{1619D93F-5D44-40A0-AF90-408839447018}"/>
    <cellStyle name="Comma 9 2 5 7 3" xfId="38090" xr:uid="{891D20AD-CCA4-45FC-8903-1117E1629127}"/>
    <cellStyle name="Comma 9 2 5 8" xfId="9362" xr:uid="{086B5EFD-199A-490F-9A48-2A92F7F298A4}"/>
    <cellStyle name="Comma 9 2 5 8 2" xfId="24482" xr:uid="{BA1E1E46-BA2B-446D-89AF-7CB1C528BB76}"/>
    <cellStyle name="Comma 9 2 5 8 2 2" xfId="54722" xr:uid="{4213EBD7-7F20-4CEA-8FBC-7056E0B804FD}"/>
    <cellStyle name="Comma 9 2 5 8 3" xfId="39602" xr:uid="{8263828D-7484-4F84-A02E-D14CD9F7B0C7}"/>
    <cellStyle name="Comma 9 2 5 9" xfId="15410" xr:uid="{A07AB82D-0205-47F9-9551-78F97EBE11C0}"/>
    <cellStyle name="Comma 9 2 5 9 2" xfId="45650" xr:uid="{CFB666ED-0C6B-491D-B1CA-330E3B049727}"/>
    <cellStyle name="Comma 9 2 6" xfId="542" xr:uid="{D154EEAB-6DAA-4389-967A-7E35BF6F7BE3}"/>
    <cellStyle name="Comma 9 2 6 10" xfId="30782" xr:uid="{574E9905-3FF9-4BA1-8594-CBAA8C4FB8EC}"/>
    <cellStyle name="Comma 9 2 6 2" xfId="1298" xr:uid="{19359C58-D8BD-4D41-AC0E-391E5D93DDFD}"/>
    <cellStyle name="Comma 9 2 6 2 2" xfId="2810" xr:uid="{81E59431-CACC-4950-A1D0-5E4B5EC6F8F3}"/>
    <cellStyle name="Comma 9 2 6 2 2 2" xfId="11882" xr:uid="{82E6A103-C57D-4191-B77F-93BABF82C864}"/>
    <cellStyle name="Comma 9 2 6 2 2 2 2" xfId="27002" xr:uid="{68B53C09-16BD-4BFC-A636-6D68B902F7C8}"/>
    <cellStyle name="Comma 9 2 6 2 2 2 2 2" xfId="57242" xr:uid="{FD768537-BDC4-4791-851F-FEB18F572797}"/>
    <cellStyle name="Comma 9 2 6 2 2 2 3" xfId="42122" xr:uid="{4622B7BB-C115-4001-9A94-E3981618AE84}"/>
    <cellStyle name="Comma 9 2 6 2 2 3" xfId="17930" xr:uid="{DD3FF6B8-5AD3-4294-8DDB-D972F72E628B}"/>
    <cellStyle name="Comma 9 2 6 2 2 3 2" xfId="48170" xr:uid="{DB70BC93-2BA1-4568-8B3F-197FB824D0C6}"/>
    <cellStyle name="Comma 9 2 6 2 2 4" xfId="33050" xr:uid="{320489EE-40AD-46B4-830D-B0AAD46A2832}"/>
    <cellStyle name="Comma 9 2 6 2 3" xfId="4322" xr:uid="{0B877489-5F19-416B-903D-FC1BBBE5324E}"/>
    <cellStyle name="Comma 9 2 6 2 3 2" xfId="13394" xr:uid="{A37C6358-06E7-4C1A-89B4-3BCFC4A609D2}"/>
    <cellStyle name="Comma 9 2 6 2 3 2 2" xfId="28514" xr:uid="{4D2F806F-DF91-46C0-B705-2ECAA8966F62}"/>
    <cellStyle name="Comma 9 2 6 2 3 2 2 2" xfId="58754" xr:uid="{C965D33E-33EC-4A8A-9F84-3B34CB79D25F}"/>
    <cellStyle name="Comma 9 2 6 2 3 2 3" xfId="43634" xr:uid="{1737529E-A553-4BB4-95C4-07858DE446F3}"/>
    <cellStyle name="Comma 9 2 6 2 3 3" xfId="19442" xr:uid="{5CA3D1F1-BF14-4A34-82E6-389671D84771}"/>
    <cellStyle name="Comma 9 2 6 2 3 3 2" xfId="49682" xr:uid="{8124FB5A-2F15-4EAA-AAD1-020138E2B769}"/>
    <cellStyle name="Comma 9 2 6 2 3 4" xfId="34562" xr:uid="{D382CCBE-1B8B-4BF5-A886-4EC075F2E9D6}"/>
    <cellStyle name="Comma 9 2 6 2 4" xfId="5834" xr:uid="{02B2616A-9CD5-4F96-882F-BFC4AE731813}"/>
    <cellStyle name="Comma 9 2 6 2 4 2" xfId="14906" xr:uid="{1F850639-707D-4CC4-AC92-8A90F4735579}"/>
    <cellStyle name="Comma 9 2 6 2 4 2 2" xfId="30026" xr:uid="{A9ACF7AF-3A0F-40EC-AF9F-DD825B0EDCB8}"/>
    <cellStyle name="Comma 9 2 6 2 4 2 2 2" xfId="60266" xr:uid="{D661E7B3-7007-4869-BB12-4C2227690C3D}"/>
    <cellStyle name="Comma 9 2 6 2 4 2 3" xfId="45146" xr:uid="{C9D51BBC-7EE8-42AD-AD72-BDB25FE70B01}"/>
    <cellStyle name="Comma 9 2 6 2 4 3" xfId="20954" xr:uid="{C390C0E6-17A3-43E9-B735-6E0A6E0E1290}"/>
    <cellStyle name="Comma 9 2 6 2 4 3 2" xfId="51194" xr:uid="{8F23CFB8-68DC-41B6-A38E-C8E1FF8E0F51}"/>
    <cellStyle name="Comma 9 2 6 2 4 4" xfId="36074" xr:uid="{AFD138F8-4DF9-48B0-9902-977CB1F9BAB6}"/>
    <cellStyle name="Comma 9 2 6 2 5" xfId="7346" xr:uid="{785AA884-16B7-44B3-9BC2-4BE6DDE5D5BD}"/>
    <cellStyle name="Comma 9 2 6 2 5 2" xfId="22466" xr:uid="{B974C0F7-948D-46F4-9328-2EBD16059D70}"/>
    <cellStyle name="Comma 9 2 6 2 5 2 2" xfId="52706" xr:uid="{5B8475C9-F0D9-4439-87D9-C2EA57F2EB5E}"/>
    <cellStyle name="Comma 9 2 6 2 5 3" xfId="37586" xr:uid="{0EE180FA-D5DB-44A2-AFEC-C61354907DD6}"/>
    <cellStyle name="Comma 9 2 6 2 6" xfId="8858" xr:uid="{4E0999DF-FB8E-41AE-A1C3-295BD43C5F57}"/>
    <cellStyle name="Comma 9 2 6 2 6 2" xfId="23978" xr:uid="{BE1259BE-6EEE-460A-8CB7-DE4A65A113D3}"/>
    <cellStyle name="Comma 9 2 6 2 6 2 2" xfId="54218" xr:uid="{8CCFA52E-34DA-43AD-BAF5-E3F3DDCBF188}"/>
    <cellStyle name="Comma 9 2 6 2 6 3" xfId="39098" xr:uid="{79C32DDB-CEB5-4D6A-92CA-253CEA2C8224}"/>
    <cellStyle name="Comma 9 2 6 2 7" xfId="10370" xr:uid="{04B0D27D-7CFF-4D98-9F65-AE500478AEA2}"/>
    <cellStyle name="Comma 9 2 6 2 7 2" xfId="25490" xr:uid="{0DA4461C-9304-458D-B6E4-E8311EE13915}"/>
    <cellStyle name="Comma 9 2 6 2 7 2 2" xfId="55730" xr:uid="{6852C578-630F-467A-AB85-8433F43CECC0}"/>
    <cellStyle name="Comma 9 2 6 2 7 3" xfId="40610" xr:uid="{BDFCCA5F-CD5A-461F-AB78-5CBD06DCBFED}"/>
    <cellStyle name="Comma 9 2 6 2 8" xfId="16418" xr:uid="{41774121-95D0-48C6-B625-0CC7E7698762}"/>
    <cellStyle name="Comma 9 2 6 2 8 2" xfId="46658" xr:uid="{E2E9246A-2627-4423-ABE7-8008687F61B5}"/>
    <cellStyle name="Comma 9 2 6 2 9" xfId="31538" xr:uid="{CF41716F-6678-4A97-A38A-24229BA98EDC}"/>
    <cellStyle name="Comma 9 2 6 3" xfId="2054" xr:uid="{4C44509A-508E-474B-9760-EE5F53D94608}"/>
    <cellStyle name="Comma 9 2 6 3 2" xfId="11126" xr:uid="{EB2FBB05-0A4E-4AE1-8930-8D1AFD0801C8}"/>
    <cellStyle name="Comma 9 2 6 3 2 2" xfId="26246" xr:uid="{1ABA4334-81BF-49A0-B960-7EE07243EB1C}"/>
    <cellStyle name="Comma 9 2 6 3 2 2 2" xfId="56486" xr:uid="{C586B4E3-EF93-40C3-8895-3F0E4DC8C5C7}"/>
    <cellStyle name="Comma 9 2 6 3 2 3" xfId="41366" xr:uid="{8AA33578-1054-45A3-8EBE-8EA4E8CFB110}"/>
    <cellStyle name="Comma 9 2 6 3 3" xfId="17174" xr:uid="{9890BE14-02EE-4456-9C8C-84D022A0988A}"/>
    <cellStyle name="Comma 9 2 6 3 3 2" xfId="47414" xr:uid="{B711DBC5-9E49-45C4-9FCC-EBF0D138C240}"/>
    <cellStyle name="Comma 9 2 6 3 4" xfId="32294" xr:uid="{5C0BA682-7BCC-4F2B-89C3-22BC0E527505}"/>
    <cellStyle name="Comma 9 2 6 4" xfId="3566" xr:uid="{E759207D-6C6B-4356-BED0-D14919163CFB}"/>
    <cellStyle name="Comma 9 2 6 4 2" xfId="12638" xr:uid="{7BBCB075-FAF8-4EE5-B0A8-C52C59195828}"/>
    <cellStyle name="Comma 9 2 6 4 2 2" xfId="27758" xr:uid="{A4369873-F3D8-4663-A51A-283A590270F9}"/>
    <cellStyle name="Comma 9 2 6 4 2 2 2" xfId="57998" xr:uid="{BEB8FC33-9149-41C3-B918-30ED376A7F4D}"/>
    <cellStyle name="Comma 9 2 6 4 2 3" xfId="42878" xr:uid="{D26EB3BC-758D-4153-B102-384B8F4D877D}"/>
    <cellStyle name="Comma 9 2 6 4 3" xfId="18686" xr:uid="{3022D539-65C9-40A2-8CA9-6B2CEB6BFAA5}"/>
    <cellStyle name="Comma 9 2 6 4 3 2" xfId="48926" xr:uid="{B45CE959-10CB-4556-AFFB-27F409ED684F}"/>
    <cellStyle name="Comma 9 2 6 4 4" xfId="33806" xr:uid="{26A2F96D-2056-42D1-97D2-6294E8357788}"/>
    <cellStyle name="Comma 9 2 6 5" xfId="5078" xr:uid="{D3893CCB-990A-4EDD-AC76-55FBEEF526AF}"/>
    <cellStyle name="Comma 9 2 6 5 2" xfId="14150" xr:uid="{4B4121E7-D810-4AC6-9C24-1CB72EB39B27}"/>
    <cellStyle name="Comma 9 2 6 5 2 2" xfId="29270" xr:uid="{AC37B3E0-3BE8-4BCF-9CBB-E609D3B64C2E}"/>
    <cellStyle name="Comma 9 2 6 5 2 2 2" xfId="59510" xr:uid="{65A1E465-DEF0-4F66-9B67-804E13B24149}"/>
    <cellStyle name="Comma 9 2 6 5 2 3" xfId="44390" xr:uid="{3311AE33-F276-4BC7-A8CE-55C26544B648}"/>
    <cellStyle name="Comma 9 2 6 5 3" xfId="20198" xr:uid="{BBE53064-E28C-4665-A32D-888886D32EF7}"/>
    <cellStyle name="Comma 9 2 6 5 3 2" xfId="50438" xr:uid="{C516DED5-F2D5-4947-8EA0-9383D50CF24B}"/>
    <cellStyle name="Comma 9 2 6 5 4" xfId="35318" xr:uid="{F08AF54B-157E-48FB-B9E9-4D8CAF22FF34}"/>
    <cellStyle name="Comma 9 2 6 6" xfId="6590" xr:uid="{A18BF415-46AE-4817-A832-7DAF2424ED7A}"/>
    <cellStyle name="Comma 9 2 6 6 2" xfId="21710" xr:uid="{20612ECC-1342-4812-8D77-1BE61EF0C04F}"/>
    <cellStyle name="Comma 9 2 6 6 2 2" xfId="51950" xr:uid="{7DE3D9E0-8260-407A-8CFE-51A87B0A5C78}"/>
    <cellStyle name="Comma 9 2 6 6 3" xfId="36830" xr:uid="{B331CA1B-7161-4BD5-9223-542116783504}"/>
    <cellStyle name="Comma 9 2 6 7" xfId="8102" xr:uid="{23D084F5-50CC-401E-92C7-656B1A476CF3}"/>
    <cellStyle name="Comma 9 2 6 7 2" xfId="23222" xr:uid="{84452D4F-F65A-468C-A249-2C87CFA9BC5B}"/>
    <cellStyle name="Comma 9 2 6 7 2 2" xfId="53462" xr:uid="{2B4B3DE4-179D-469D-81CD-7FBF92C57964}"/>
    <cellStyle name="Comma 9 2 6 7 3" xfId="38342" xr:uid="{3CE505AA-5F03-4D38-BA31-1CE5F3B6DEB6}"/>
    <cellStyle name="Comma 9 2 6 8" xfId="9614" xr:uid="{1C81FC60-7A24-4AF1-834D-31284B2D4E3E}"/>
    <cellStyle name="Comma 9 2 6 8 2" xfId="24734" xr:uid="{8F335BCD-EAD6-428C-A1A5-9A439CFD93D1}"/>
    <cellStyle name="Comma 9 2 6 8 2 2" xfId="54974" xr:uid="{AE6207DC-75E1-43BC-BFB4-67A78C7B7B66}"/>
    <cellStyle name="Comma 9 2 6 8 3" xfId="39854" xr:uid="{30506E53-CA04-4985-808F-26146AA78360}"/>
    <cellStyle name="Comma 9 2 6 9" xfId="15662" xr:uid="{12D65437-856E-4E27-B30C-E231861B8D7B}"/>
    <cellStyle name="Comma 9 2 6 9 2" xfId="45902" xr:uid="{A73BF4D0-0FA0-474F-B23C-08A4BAE3085C}"/>
    <cellStyle name="Comma 9 2 7" xfId="794" xr:uid="{46D4B889-B84F-4AAB-A10B-56D6CEEBD057}"/>
    <cellStyle name="Comma 9 2 7 2" xfId="2306" xr:uid="{63E98590-61D7-433D-8274-3622812F6680}"/>
    <cellStyle name="Comma 9 2 7 2 2" xfId="11378" xr:uid="{4621ED34-AE29-4E76-827D-6BF8FA5DA162}"/>
    <cellStyle name="Comma 9 2 7 2 2 2" xfId="26498" xr:uid="{0A5F7CFE-B969-4378-8E97-9082ED39A975}"/>
    <cellStyle name="Comma 9 2 7 2 2 2 2" xfId="56738" xr:uid="{447C84B0-4BEC-43EF-9634-C323B96EA318}"/>
    <cellStyle name="Comma 9 2 7 2 2 3" xfId="41618" xr:uid="{90691C73-C0B9-4195-B068-A1735ED79F73}"/>
    <cellStyle name="Comma 9 2 7 2 3" xfId="17426" xr:uid="{60454996-E781-49EA-9F5D-73D9270CA8C6}"/>
    <cellStyle name="Comma 9 2 7 2 3 2" xfId="47666" xr:uid="{CD50AC6C-45F9-4BC8-91B6-0A3247458A77}"/>
    <cellStyle name="Comma 9 2 7 2 4" xfId="32546" xr:uid="{F8CD2294-D861-48DB-8EC3-5E2FFEF3E210}"/>
    <cellStyle name="Comma 9 2 7 3" xfId="3818" xr:uid="{187E2F9D-A75F-42DB-BD65-623F35C89866}"/>
    <cellStyle name="Comma 9 2 7 3 2" xfId="12890" xr:uid="{AB134B22-4EF5-4EC6-8E4A-7DD0A236BCB7}"/>
    <cellStyle name="Comma 9 2 7 3 2 2" xfId="28010" xr:uid="{148C5343-B923-476E-8D13-796A0DEF120A}"/>
    <cellStyle name="Comma 9 2 7 3 2 2 2" xfId="58250" xr:uid="{9D7D657B-896D-442E-BA64-6F6848B10CCF}"/>
    <cellStyle name="Comma 9 2 7 3 2 3" xfId="43130" xr:uid="{55B8CC47-C95C-456B-95FF-486441E3F347}"/>
    <cellStyle name="Comma 9 2 7 3 3" xfId="18938" xr:uid="{5F120FFC-39F0-4531-9879-0B0EC780CAAD}"/>
    <cellStyle name="Comma 9 2 7 3 3 2" xfId="49178" xr:uid="{E4041822-0F16-41BF-A269-BCB7F9F4348C}"/>
    <cellStyle name="Comma 9 2 7 3 4" xfId="34058" xr:uid="{7B6DCB56-927B-4A50-A546-DA5E3D273ECD}"/>
    <cellStyle name="Comma 9 2 7 4" xfId="5330" xr:uid="{35C8599C-55AB-4A73-A9FE-D96E186D26EF}"/>
    <cellStyle name="Comma 9 2 7 4 2" xfId="14402" xr:uid="{D7DFC910-6694-4553-838D-E61B26EDD4E9}"/>
    <cellStyle name="Comma 9 2 7 4 2 2" xfId="29522" xr:uid="{95D73B86-8FF6-4700-AA2D-32733FC1A4BD}"/>
    <cellStyle name="Comma 9 2 7 4 2 2 2" xfId="59762" xr:uid="{96B75864-EDE5-4E36-A8A4-9C8132288BF5}"/>
    <cellStyle name="Comma 9 2 7 4 2 3" xfId="44642" xr:uid="{DBB27909-8070-4E30-A14D-5914DC91BB50}"/>
    <cellStyle name="Comma 9 2 7 4 3" xfId="20450" xr:uid="{A0966277-849B-40F2-8E1E-05266FF91BA2}"/>
    <cellStyle name="Comma 9 2 7 4 3 2" xfId="50690" xr:uid="{6810C4B9-1FFE-42F3-A818-91207A459415}"/>
    <cellStyle name="Comma 9 2 7 4 4" xfId="35570" xr:uid="{A0025865-13A5-4173-971F-A5E3F79C457F}"/>
    <cellStyle name="Comma 9 2 7 5" xfId="6842" xr:uid="{487A9CE6-757E-497E-8168-330484CA9F44}"/>
    <cellStyle name="Comma 9 2 7 5 2" xfId="21962" xr:uid="{51DF32E0-3282-4C5A-96D4-0CD405CEE08F}"/>
    <cellStyle name="Comma 9 2 7 5 2 2" xfId="52202" xr:uid="{51F82C8E-C87A-4F0A-85FF-2721CFB077C7}"/>
    <cellStyle name="Comma 9 2 7 5 3" xfId="37082" xr:uid="{596DCC52-07D6-47F1-890C-3F7E9A92BAC3}"/>
    <cellStyle name="Comma 9 2 7 6" xfId="8354" xr:uid="{081E984D-9D93-4ABD-9643-945F64AB6E13}"/>
    <cellStyle name="Comma 9 2 7 6 2" xfId="23474" xr:uid="{17FFE559-CC82-41BC-AF49-0C9BAC160A42}"/>
    <cellStyle name="Comma 9 2 7 6 2 2" xfId="53714" xr:uid="{C391FFCC-C1EA-47C8-ADC4-405E2D1AB2B7}"/>
    <cellStyle name="Comma 9 2 7 6 3" xfId="38594" xr:uid="{E2FA7776-B480-4711-91A3-60ACC48E467F}"/>
    <cellStyle name="Comma 9 2 7 7" xfId="9866" xr:uid="{028DDEB7-12FC-4852-A40F-2DFD29FA1768}"/>
    <cellStyle name="Comma 9 2 7 7 2" xfId="24986" xr:uid="{CE44D307-67B3-4B74-9F28-E11224FF92E2}"/>
    <cellStyle name="Comma 9 2 7 7 2 2" xfId="55226" xr:uid="{ED3716CA-A468-4879-9637-7DF5678C19F2}"/>
    <cellStyle name="Comma 9 2 7 7 3" xfId="40106" xr:uid="{25FD1CF0-D8D4-4B03-81C1-ECC7ABF3C4BE}"/>
    <cellStyle name="Comma 9 2 7 8" xfId="15914" xr:uid="{F44CCF62-BA67-4EA9-BE20-CCA98385638A}"/>
    <cellStyle name="Comma 9 2 7 8 2" xfId="46154" xr:uid="{A997B223-7FD4-46D9-AE2B-9D42645B5119}"/>
    <cellStyle name="Comma 9 2 7 9" xfId="31034" xr:uid="{56F36370-E70E-4467-8196-3DDD0B1B717F}"/>
    <cellStyle name="Comma 9 2 8" xfId="1550" xr:uid="{C40A0361-413F-4A00-B15A-DAD3FAFA77F3}"/>
    <cellStyle name="Comma 9 2 8 2" xfId="10622" xr:uid="{8BAA7DD1-23EA-42BA-8543-E7B3914CA158}"/>
    <cellStyle name="Comma 9 2 8 2 2" xfId="25742" xr:uid="{956513EA-F1EF-459F-9C03-0A41A8F04E82}"/>
    <cellStyle name="Comma 9 2 8 2 2 2" xfId="55982" xr:uid="{E36D8EEC-E3B7-4427-B849-66F1BF82B5FB}"/>
    <cellStyle name="Comma 9 2 8 2 3" xfId="40862" xr:uid="{BE17B8DD-C8B9-4E79-87F3-CC9BD6373FC9}"/>
    <cellStyle name="Comma 9 2 8 3" xfId="16670" xr:uid="{980D9E16-2993-45FD-8D42-972112ACF2FF}"/>
    <cellStyle name="Comma 9 2 8 3 2" xfId="46910" xr:uid="{390C0992-A72B-482C-9741-DAB6A0576D97}"/>
    <cellStyle name="Comma 9 2 8 4" xfId="31790" xr:uid="{B4D93FC0-1E8A-427A-8704-F96C32F1C080}"/>
    <cellStyle name="Comma 9 2 9" xfId="3062" xr:uid="{F4616827-7184-41D8-9C0D-4CF351FC70CF}"/>
    <cellStyle name="Comma 9 2 9 2" xfId="12134" xr:uid="{2B9CD688-7E5E-4BAC-9B2F-2C6F89A68A5D}"/>
    <cellStyle name="Comma 9 2 9 2 2" xfId="27254" xr:uid="{E8B7B076-F4B8-4240-AD60-3A556EF98E97}"/>
    <cellStyle name="Comma 9 2 9 2 2 2" xfId="57494" xr:uid="{580638F6-040C-4897-8954-2B21D821C467}"/>
    <cellStyle name="Comma 9 2 9 2 3" xfId="42374" xr:uid="{B868F87F-3F12-48D9-83D8-BA7038AA6932}"/>
    <cellStyle name="Comma 9 2 9 3" xfId="18182" xr:uid="{FFEED44B-BFFA-4592-88B1-AA809067BD7F}"/>
    <cellStyle name="Comma 9 2 9 3 2" xfId="48422" xr:uid="{C4C323C0-C53F-470B-9624-7CB350932D32}"/>
    <cellStyle name="Comma 9 2 9 4" xfId="33302" xr:uid="{4D94B6BD-042C-4F2D-9590-CBA9389E3B0C}"/>
    <cellStyle name="Comma 9 3" xfId="52" xr:uid="{51B928EB-A671-494E-84AA-83ED187638BF}"/>
    <cellStyle name="Comma 9 3 10" xfId="4588" xr:uid="{5D1EBED4-88AA-4D94-B3DF-E99EA5132D1B}"/>
    <cellStyle name="Comma 9 3 10 2" xfId="13660" xr:uid="{D99DF8EC-53BC-45E0-B333-4DAD1299AFA4}"/>
    <cellStyle name="Comma 9 3 10 2 2" xfId="28780" xr:uid="{1C2A355E-204E-4C43-89EC-14A527634BC2}"/>
    <cellStyle name="Comma 9 3 10 2 2 2" xfId="59020" xr:uid="{B9993063-52E7-4EDA-8FF2-F1FBD59D5A88}"/>
    <cellStyle name="Comma 9 3 10 2 3" xfId="43900" xr:uid="{8C81673C-8C3E-4A66-8BBF-5E8547FA85A6}"/>
    <cellStyle name="Comma 9 3 10 3" xfId="19708" xr:uid="{ED392586-1E70-4B26-AFDF-ABDBF1701C51}"/>
    <cellStyle name="Comma 9 3 10 3 2" xfId="49948" xr:uid="{0898A286-0051-4CDD-94E5-6C19219284AE}"/>
    <cellStyle name="Comma 9 3 10 4" xfId="34828" xr:uid="{7225EDAA-6B9C-441D-BEB8-9647F2E0213E}"/>
    <cellStyle name="Comma 9 3 11" xfId="6100" xr:uid="{FFA3150C-3CD5-4216-A900-9A9AEB5BE5E6}"/>
    <cellStyle name="Comma 9 3 11 2" xfId="21220" xr:uid="{A28C733B-0F6F-4E25-9F7D-DE76F78D30B6}"/>
    <cellStyle name="Comma 9 3 11 2 2" xfId="51460" xr:uid="{A8BF7276-76ED-4A7A-A7B2-45DE10F61A9E}"/>
    <cellStyle name="Comma 9 3 11 3" xfId="36340" xr:uid="{CACB7202-A3EE-4EEF-A3FF-9CE38AFA058C}"/>
    <cellStyle name="Comma 9 3 12" xfId="7612" xr:uid="{E2D9FA4C-AD2B-426A-8218-238AD9363EC6}"/>
    <cellStyle name="Comma 9 3 12 2" xfId="22732" xr:uid="{EF0D39E7-BE5E-473A-9896-ECCAFE99EF4A}"/>
    <cellStyle name="Comma 9 3 12 2 2" xfId="52972" xr:uid="{64889AB0-404E-40D2-AE0F-DD32C04DD07D}"/>
    <cellStyle name="Comma 9 3 12 3" xfId="37852" xr:uid="{6AD44010-5690-4655-AD74-270E9F5B4973}"/>
    <cellStyle name="Comma 9 3 13" xfId="9124" xr:uid="{D6E71F9A-1C8E-4AE5-A38E-8AE17CBA98AA}"/>
    <cellStyle name="Comma 9 3 13 2" xfId="24244" xr:uid="{94662AE5-22F4-43FC-AB2D-9F379886E8E8}"/>
    <cellStyle name="Comma 9 3 13 2 2" xfId="54484" xr:uid="{B1D6E2A0-4F2C-4F93-AEF0-39279D570D20}"/>
    <cellStyle name="Comma 9 3 13 3" xfId="39364" xr:uid="{D061F977-126C-4060-A8AE-C97893D81682}"/>
    <cellStyle name="Comma 9 3 14" xfId="15172" xr:uid="{519679BE-282C-4356-833E-AD3C13AD1523}"/>
    <cellStyle name="Comma 9 3 14 2" xfId="45412" xr:uid="{5E019B79-A6B9-4007-8B1E-8F5A5CC3E6BC}"/>
    <cellStyle name="Comma 9 3 15" xfId="30292" xr:uid="{5FEF0ADE-2552-48E8-9687-43A54A62C0C7}"/>
    <cellStyle name="Comma 9 3 2" xfId="94" xr:uid="{D2B7DB21-129E-4A62-B936-8FC4385A0FCB}"/>
    <cellStyle name="Comma 9 3 2 10" xfId="6142" xr:uid="{5BF8C554-7D83-4089-A589-75D1A225A4A7}"/>
    <cellStyle name="Comma 9 3 2 10 2" xfId="21262" xr:uid="{5956948D-C91B-489E-B44E-D126FC76816B}"/>
    <cellStyle name="Comma 9 3 2 10 2 2" xfId="51502" xr:uid="{623D5B6A-8687-40AE-9EC9-B2082F85D171}"/>
    <cellStyle name="Comma 9 3 2 10 3" xfId="36382" xr:uid="{0248A7EF-FDED-4EF3-B5DF-2E35317F8116}"/>
    <cellStyle name="Comma 9 3 2 11" xfId="7654" xr:uid="{E6149D35-3A22-45FD-BBB9-47108FEA2921}"/>
    <cellStyle name="Comma 9 3 2 11 2" xfId="22774" xr:uid="{52A6306A-0719-4A06-BF2D-81EB08C55FC1}"/>
    <cellStyle name="Comma 9 3 2 11 2 2" xfId="53014" xr:uid="{5670806D-01A2-4AED-8DEC-C00F41F4CCB2}"/>
    <cellStyle name="Comma 9 3 2 11 3" xfId="37894" xr:uid="{5D51ACCD-871C-4CA4-90F7-87FE1B237E46}"/>
    <cellStyle name="Comma 9 3 2 12" xfId="9166" xr:uid="{5A0166AA-EED0-4FD2-B1C4-AC971FDA08AE}"/>
    <cellStyle name="Comma 9 3 2 12 2" xfId="24286" xr:uid="{AE3B4181-4BE9-414B-AE24-2D42E9E1DD09}"/>
    <cellStyle name="Comma 9 3 2 12 2 2" xfId="54526" xr:uid="{E4C12673-4059-46B9-BB4E-D69DE8F37C0C}"/>
    <cellStyle name="Comma 9 3 2 12 3" xfId="39406" xr:uid="{BA985C12-83D2-4099-A349-29DA48CA550D}"/>
    <cellStyle name="Comma 9 3 2 13" xfId="15214" xr:uid="{7F0E5983-16D5-4B83-B2C9-5895C571D9C7}"/>
    <cellStyle name="Comma 9 3 2 13 2" xfId="45454" xr:uid="{E633D399-0AD4-4ED3-AFAE-2ED3B790FA23}"/>
    <cellStyle name="Comma 9 3 2 14" xfId="30334" xr:uid="{3244A08D-47D6-4E83-A825-A5CA88157610}"/>
    <cellStyle name="Comma 9 3 2 2" xfId="178" xr:uid="{6DB05E61-127F-4259-82C0-18197485D952}"/>
    <cellStyle name="Comma 9 3 2 2 10" xfId="9250" xr:uid="{C1F27FB3-7367-424E-A06A-9D673601DD7C}"/>
    <cellStyle name="Comma 9 3 2 2 10 2" xfId="24370" xr:uid="{EA9E0F35-5DEE-4B93-9C99-19B826F01603}"/>
    <cellStyle name="Comma 9 3 2 2 10 2 2" xfId="54610" xr:uid="{CFA383CB-9FD9-45FC-BE99-938EB8682525}"/>
    <cellStyle name="Comma 9 3 2 2 10 3" xfId="39490" xr:uid="{301F51CA-BF8C-4159-8B8F-CA55933B572B}"/>
    <cellStyle name="Comma 9 3 2 2 11" xfId="15298" xr:uid="{92E91FC6-B48A-4688-B383-22F567BEF882}"/>
    <cellStyle name="Comma 9 3 2 2 11 2" xfId="45538" xr:uid="{EA156DD5-B5FB-4C29-8638-8EED483DE73E}"/>
    <cellStyle name="Comma 9 3 2 2 12" xfId="30418" xr:uid="{972EFBAA-A87F-4706-A150-3C4A1AC016F8}"/>
    <cellStyle name="Comma 9 3 2 2 2" xfId="430" xr:uid="{D02FF44A-FAB7-4063-B5EF-1DA8A3CB3305}"/>
    <cellStyle name="Comma 9 3 2 2 2 10" xfId="30670" xr:uid="{5C07E8DB-226E-455D-AE51-18044F9E283D}"/>
    <cellStyle name="Comma 9 3 2 2 2 2" xfId="1186" xr:uid="{CAC74BA1-11C5-432F-A353-68CEC6AC7AE9}"/>
    <cellStyle name="Comma 9 3 2 2 2 2 2" xfId="2698" xr:uid="{2595EF80-B25D-424F-8D8F-535706958B1E}"/>
    <cellStyle name="Comma 9 3 2 2 2 2 2 2" xfId="11770" xr:uid="{F7B9C9FE-B92A-4039-AA4E-B06215D5F979}"/>
    <cellStyle name="Comma 9 3 2 2 2 2 2 2 2" xfId="26890" xr:uid="{0F57402F-4AD7-4A94-8601-29F385526E30}"/>
    <cellStyle name="Comma 9 3 2 2 2 2 2 2 2 2" xfId="57130" xr:uid="{9B30A253-353E-4306-B212-7A139E190FC0}"/>
    <cellStyle name="Comma 9 3 2 2 2 2 2 2 3" xfId="42010" xr:uid="{7B2418B2-6978-46D1-BC27-5C8051BCF9B7}"/>
    <cellStyle name="Comma 9 3 2 2 2 2 2 3" xfId="17818" xr:uid="{88C96312-4857-4179-BB2B-8314D84D1F51}"/>
    <cellStyle name="Comma 9 3 2 2 2 2 2 3 2" xfId="48058" xr:uid="{D054CF4D-E78C-4FC9-BD81-7AA5D7C2C72D}"/>
    <cellStyle name="Comma 9 3 2 2 2 2 2 4" xfId="32938" xr:uid="{1496F13D-5F7A-4FBA-983F-B9F7C8B2187B}"/>
    <cellStyle name="Comma 9 3 2 2 2 2 3" xfId="4210" xr:uid="{90236C85-F797-4848-A9D4-523EAFECD3D7}"/>
    <cellStyle name="Comma 9 3 2 2 2 2 3 2" xfId="13282" xr:uid="{DA1DF896-CE93-4B18-8D19-DF92807EA6A7}"/>
    <cellStyle name="Comma 9 3 2 2 2 2 3 2 2" xfId="28402" xr:uid="{19B5D2A9-5B3F-4D97-B4C4-3F7C1F1F6331}"/>
    <cellStyle name="Comma 9 3 2 2 2 2 3 2 2 2" xfId="58642" xr:uid="{2ED0505A-8B8C-4E8C-80F3-6A571F81BDC0}"/>
    <cellStyle name="Comma 9 3 2 2 2 2 3 2 3" xfId="43522" xr:uid="{4E47A1D5-912B-4164-A0F3-DF22A8ED6B23}"/>
    <cellStyle name="Comma 9 3 2 2 2 2 3 3" xfId="19330" xr:uid="{EC1356A7-722B-4C70-9AD5-C23636F9B8C3}"/>
    <cellStyle name="Comma 9 3 2 2 2 2 3 3 2" xfId="49570" xr:uid="{8B5EBAA7-6049-4BF1-A99B-4C336D2D77BF}"/>
    <cellStyle name="Comma 9 3 2 2 2 2 3 4" xfId="34450" xr:uid="{48FDC09F-615D-404E-BC3A-C905DD716263}"/>
    <cellStyle name="Comma 9 3 2 2 2 2 4" xfId="5722" xr:uid="{5B2774EB-2D06-4F83-93CD-FC95ADAB768B}"/>
    <cellStyle name="Comma 9 3 2 2 2 2 4 2" xfId="14794" xr:uid="{88CAA133-2D32-4F19-937F-D4A250B440D2}"/>
    <cellStyle name="Comma 9 3 2 2 2 2 4 2 2" xfId="29914" xr:uid="{E7BB787B-ED83-4769-9B75-02CDED0593CA}"/>
    <cellStyle name="Comma 9 3 2 2 2 2 4 2 2 2" xfId="60154" xr:uid="{732E253F-B98B-42DD-84A2-54481A7E5C51}"/>
    <cellStyle name="Comma 9 3 2 2 2 2 4 2 3" xfId="45034" xr:uid="{F8607219-FE13-4EF3-AAE5-FE606A837132}"/>
    <cellStyle name="Comma 9 3 2 2 2 2 4 3" xfId="20842" xr:uid="{86E1235E-1797-4C6A-96FD-EF1D671E83DE}"/>
    <cellStyle name="Comma 9 3 2 2 2 2 4 3 2" xfId="51082" xr:uid="{78B94855-04AA-49FC-9934-75FAA4D9A4ED}"/>
    <cellStyle name="Comma 9 3 2 2 2 2 4 4" xfId="35962" xr:uid="{4E459FB2-B29B-40D5-B293-FCE5DB8CAEDE}"/>
    <cellStyle name="Comma 9 3 2 2 2 2 5" xfId="7234" xr:uid="{A677A8B9-DCE4-4B1A-B1BE-CC4312E5F5B8}"/>
    <cellStyle name="Comma 9 3 2 2 2 2 5 2" xfId="22354" xr:uid="{0A2A9438-E59B-4609-BFD8-3EB592A06197}"/>
    <cellStyle name="Comma 9 3 2 2 2 2 5 2 2" xfId="52594" xr:uid="{4213118B-925D-4D02-AEB8-433F6E6933F2}"/>
    <cellStyle name="Comma 9 3 2 2 2 2 5 3" xfId="37474" xr:uid="{1576ACF4-7735-493D-937A-68CFA8CD96BF}"/>
    <cellStyle name="Comma 9 3 2 2 2 2 6" xfId="8746" xr:uid="{1EE2FF9A-3827-458C-8324-A7A8B0DC12C3}"/>
    <cellStyle name="Comma 9 3 2 2 2 2 6 2" xfId="23866" xr:uid="{C138584A-FB0F-4094-8F67-16921C10BB5E}"/>
    <cellStyle name="Comma 9 3 2 2 2 2 6 2 2" xfId="54106" xr:uid="{E8E64C5C-A8DC-416B-9A31-7CE971A83B5A}"/>
    <cellStyle name="Comma 9 3 2 2 2 2 6 3" xfId="38986" xr:uid="{A93604C7-99A1-4660-8639-312B56A48292}"/>
    <cellStyle name="Comma 9 3 2 2 2 2 7" xfId="10258" xr:uid="{721404A6-190E-4CDE-BDD4-A03EDDDFC7F8}"/>
    <cellStyle name="Comma 9 3 2 2 2 2 7 2" xfId="25378" xr:uid="{F87B72BF-598E-42F4-AC91-DC3A075CD98A}"/>
    <cellStyle name="Comma 9 3 2 2 2 2 7 2 2" xfId="55618" xr:uid="{BDD8F95D-FCAC-4CBB-A875-10009900A3B0}"/>
    <cellStyle name="Comma 9 3 2 2 2 2 7 3" xfId="40498" xr:uid="{3640068F-2FAC-4D5A-955D-1D5F23410EAD}"/>
    <cellStyle name="Comma 9 3 2 2 2 2 8" xfId="16306" xr:uid="{E1994617-C751-415E-861E-7BF3F699CB3B}"/>
    <cellStyle name="Comma 9 3 2 2 2 2 8 2" xfId="46546" xr:uid="{CF88B849-085D-479F-BBD3-16224B355A2E}"/>
    <cellStyle name="Comma 9 3 2 2 2 2 9" xfId="31426" xr:uid="{88456E14-E84D-4D8A-BA01-2C81828085ED}"/>
    <cellStyle name="Comma 9 3 2 2 2 3" xfId="1942" xr:uid="{E2D4A826-6C44-44D5-B242-B16D682F187D}"/>
    <cellStyle name="Comma 9 3 2 2 2 3 2" xfId="11014" xr:uid="{A4570151-AA7A-43B8-B603-EB9BD6173EEF}"/>
    <cellStyle name="Comma 9 3 2 2 2 3 2 2" xfId="26134" xr:uid="{CA19D6C5-EA72-4876-A98B-431BEB1144F2}"/>
    <cellStyle name="Comma 9 3 2 2 2 3 2 2 2" xfId="56374" xr:uid="{1723539D-8621-492A-9ECB-150C3833559A}"/>
    <cellStyle name="Comma 9 3 2 2 2 3 2 3" xfId="41254" xr:uid="{C5D9C5DD-B2FF-4383-8349-BAC280F673C5}"/>
    <cellStyle name="Comma 9 3 2 2 2 3 3" xfId="17062" xr:uid="{EE092DE0-72EF-482C-A18A-E91E97DE56AD}"/>
    <cellStyle name="Comma 9 3 2 2 2 3 3 2" xfId="47302" xr:uid="{98EC5413-A6C4-4CB3-B768-9E9D1DFA90AD}"/>
    <cellStyle name="Comma 9 3 2 2 2 3 4" xfId="32182" xr:uid="{6D75DA75-F656-4610-B9A5-796226B034B0}"/>
    <cellStyle name="Comma 9 3 2 2 2 4" xfId="3454" xr:uid="{E7ECECB3-8180-4C27-B53D-1BE4F6498F58}"/>
    <cellStyle name="Comma 9 3 2 2 2 4 2" xfId="12526" xr:uid="{D0BBB380-38F5-4827-AF1A-955CD253C00B}"/>
    <cellStyle name="Comma 9 3 2 2 2 4 2 2" xfId="27646" xr:uid="{2203F9B8-CE9B-4FC1-AFD7-97D14D353609}"/>
    <cellStyle name="Comma 9 3 2 2 2 4 2 2 2" xfId="57886" xr:uid="{12D7060C-5B28-414D-BE27-912A6A8FFB43}"/>
    <cellStyle name="Comma 9 3 2 2 2 4 2 3" xfId="42766" xr:uid="{5CC3C291-5D66-4D02-B4CC-36278EFA8574}"/>
    <cellStyle name="Comma 9 3 2 2 2 4 3" xfId="18574" xr:uid="{3147C2AA-C6BC-4CEA-830F-5512C6B79A8B}"/>
    <cellStyle name="Comma 9 3 2 2 2 4 3 2" xfId="48814" xr:uid="{E86651C3-1394-45F8-B92A-E5367D6C6B6E}"/>
    <cellStyle name="Comma 9 3 2 2 2 4 4" xfId="33694" xr:uid="{85068D05-2069-4CA4-B3B6-FBF92B4FF58B}"/>
    <cellStyle name="Comma 9 3 2 2 2 5" xfId="4966" xr:uid="{D268244F-5E3B-48FD-A2DB-46C8F0B7B233}"/>
    <cellStyle name="Comma 9 3 2 2 2 5 2" xfId="14038" xr:uid="{7F464FD9-9481-4D18-9A28-CB576E8E0780}"/>
    <cellStyle name="Comma 9 3 2 2 2 5 2 2" xfId="29158" xr:uid="{1016458B-BDBC-4028-BCCB-6A4BB065C330}"/>
    <cellStyle name="Comma 9 3 2 2 2 5 2 2 2" xfId="59398" xr:uid="{2D477988-D892-46D7-9129-B821E4E84D9D}"/>
    <cellStyle name="Comma 9 3 2 2 2 5 2 3" xfId="44278" xr:uid="{09881C5C-0939-4CBD-A02A-68EBCBC436A6}"/>
    <cellStyle name="Comma 9 3 2 2 2 5 3" xfId="20086" xr:uid="{AF107AAB-EDC6-424D-B3EA-6E8845B959CD}"/>
    <cellStyle name="Comma 9 3 2 2 2 5 3 2" xfId="50326" xr:uid="{B5A20005-9AA7-4339-80BA-C9478D04793C}"/>
    <cellStyle name="Comma 9 3 2 2 2 5 4" xfId="35206" xr:uid="{629C61BC-352C-4D66-BD19-73E4F30FBCAC}"/>
    <cellStyle name="Comma 9 3 2 2 2 6" xfId="6478" xr:uid="{FB7B7BFD-B5EC-4886-952F-C73BCF24450E}"/>
    <cellStyle name="Comma 9 3 2 2 2 6 2" xfId="21598" xr:uid="{F4A91F08-15EC-4F16-9F22-66596C3E9588}"/>
    <cellStyle name="Comma 9 3 2 2 2 6 2 2" xfId="51838" xr:uid="{097080B1-6482-4E30-8193-4BD1D0919CF0}"/>
    <cellStyle name="Comma 9 3 2 2 2 6 3" xfId="36718" xr:uid="{E57417AB-9FAF-4B75-BF54-F176C24F043D}"/>
    <cellStyle name="Comma 9 3 2 2 2 7" xfId="7990" xr:uid="{731C9DBC-A442-4751-B58C-0CAD313D626A}"/>
    <cellStyle name="Comma 9 3 2 2 2 7 2" xfId="23110" xr:uid="{D4B2FB5E-5B41-427F-8261-8C234DC165B3}"/>
    <cellStyle name="Comma 9 3 2 2 2 7 2 2" xfId="53350" xr:uid="{5F106372-42C4-4231-96AD-0E7F30B75DF9}"/>
    <cellStyle name="Comma 9 3 2 2 2 7 3" xfId="38230" xr:uid="{3682F8FF-E2A1-4CB4-9CB9-9A45EA50FC70}"/>
    <cellStyle name="Comma 9 3 2 2 2 8" xfId="9502" xr:uid="{A039693A-FC2E-4E03-A1A5-DD58F82D3FE2}"/>
    <cellStyle name="Comma 9 3 2 2 2 8 2" xfId="24622" xr:uid="{15735A9C-54AC-4108-8B7D-D7EB9BA31C3A}"/>
    <cellStyle name="Comma 9 3 2 2 2 8 2 2" xfId="54862" xr:uid="{429542D0-7075-4D0D-84C9-395B8D0A8BE3}"/>
    <cellStyle name="Comma 9 3 2 2 2 8 3" xfId="39742" xr:uid="{87522FB6-007F-4920-B0BD-573E0BB52167}"/>
    <cellStyle name="Comma 9 3 2 2 2 9" xfId="15550" xr:uid="{DE81716D-4398-4508-B1D5-315584138115}"/>
    <cellStyle name="Comma 9 3 2 2 2 9 2" xfId="45790" xr:uid="{2BA0AE20-063A-47E3-B665-4BD9AC21D858}"/>
    <cellStyle name="Comma 9 3 2 2 3" xfId="682" xr:uid="{6D3EE14E-A077-4E79-9CE8-591E4FE1EB73}"/>
    <cellStyle name="Comma 9 3 2 2 3 10" xfId="30922" xr:uid="{007DA030-6F8D-4ACD-815A-86FDEE9FEA4A}"/>
    <cellStyle name="Comma 9 3 2 2 3 2" xfId="1438" xr:uid="{F14B0FB4-2BDB-4687-917E-40D129A0D5B6}"/>
    <cellStyle name="Comma 9 3 2 2 3 2 2" xfId="2950" xr:uid="{0B6AE9EB-0103-489C-A9F0-ABC6D5672155}"/>
    <cellStyle name="Comma 9 3 2 2 3 2 2 2" xfId="12022" xr:uid="{D4F5ABD9-E509-4543-B32E-11825A60E17E}"/>
    <cellStyle name="Comma 9 3 2 2 3 2 2 2 2" xfId="27142" xr:uid="{00DBBDB8-C45C-456A-8D6C-36EE3AA1B7A6}"/>
    <cellStyle name="Comma 9 3 2 2 3 2 2 2 2 2" xfId="57382" xr:uid="{E911E408-2845-4629-96DB-695846EEEB92}"/>
    <cellStyle name="Comma 9 3 2 2 3 2 2 2 3" xfId="42262" xr:uid="{04BEC798-DFCD-4B60-97A5-CD349796683F}"/>
    <cellStyle name="Comma 9 3 2 2 3 2 2 3" xfId="18070" xr:uid="{3C3F48F4-B0D2-4196-9969-C8C8727291D7}"/>
    <cellStyle name="Comma 9 3 2 2 3 2 2 3 2" xfId="48310" xr:uid="{6837AB28-DA21-4885-AC64-9227CD6214F2}"/>
    <cellStyle name="Comma 9 3 2 2 3 2 2 4" xfId="33190" xr:uid="{9C37B3DD-EFB4-4429-A882-C53709560FE8}"/>
    <cellStyle name="Comma 9 3 2 2 3 2 3" xfId="4462" xr:uid="{6C7DA018-8E79-44A2-8B8C-1D4F3171B3B1}"/>
    <cellStyle name="Comma 9 3 2 2 3 2 3 2" xfId="13534" xr:uid="{E78293CA-5A41-4126-B088-BF2EBD9E16AD}"/>
    <cellStyle name="Comma 9 3 2 2 3 2 3 2 2" xfId="28654" xr:uid="{0D52650B-E302-459C-93E4-C837BBEC2CE8}"/>
    <cellStyle name="Comma 9 3 2 2 3 2 3 2 2 2" xfId="58894" xr:uid="{EEFDBE4E-7BC7-4309-B68F-5E3DB6AEEA19}"/>
    <cellStyle name="Comma 9 3 2 2 3 2 3 2 3" xfId="43774" xr:uid="{B8AA5CB6-7C7A-4DB4-81A8-C61A841A42DB}"/>
    <cellStyle name="Comma 9 3 2 2 3 2 3 3" xfId="19582" xr:uid="{ACBD9EFD-CED8-44DE-BD29-3EB0F6B70672}"/>
    <cellStyle name="Comma 9 3 2 2 3 2 3 3 2" xfId="49822" xr:uid="{4E4DAA44-44F7-4773-BFB4-7E39C4836A38}"/>
    <cellStyle name="Comma 9 3 2 2 3 2 3 4" xfId="34702" xr:uid="{9E36B9D2-C744-4264-8364-684B6C04D173}"/>
    <cellStyle name="Comma 9 3 2 2 3 2 4" xfId="5974" xr:uid="{BF5DA301-7598-4D7B-9688-820FEEC84C5C}"/>
    <cellStyle name="Comma 9 3 2 2 3 2 4 2" xfId="15046" xr:uid="{021CFDA8-EB9F-40BD-A05B-8311E6318F43}"/>
    <cellStyle name="Comma 9 3 2 2 3 2 4 2 2" xfId="30166" xr:uid="{0FD4692B-F2D3-444C-9F8A-09EF36DF009C}"/>
    <cellStyle name="Comma 9 3 2 2 3 2 4 2 2 2" xfId="60406" xr:uid="{367467B4-06B6-47DF-B0C8-90B74D2B4B12}"/>
    <cellStyle name="Comma 9 3 2 2 3 2 4 2 3" xfId="45286" xr:uid="{1209B81B-173B-4D70-93AC-40AC5182C768}"/>
    <cellStyle name="Comma 9 3 2 2 3 2 4 3" xfId="21094" xr:uid="{554A2DEA-855C-4C7E-91B8-E7505AAF3988}"/>
    <cellStyle name="Comma 9 3 2 2 3 2 4 3 2" xfId="51334" xr:uid="{65D08A2D-8C90-4F5A-A40C-FFC58C3ABD09}"/>
    <cellStyle name="Comma 9 3 2 2 3 2 4 4" xfId="36214" xr:uid="{6855FD84-44C5-419E-A16D-6815530ECA85}"/>
    <cellStyle name="Comma 9 3 2 2 3 2 5" xfId="7486" xr:uid="{70CED045-B124-4975-AEAB-F5543EDAC048}"/>
    <cellStyle name="Comma 9 3 2 2 3 2 5 2" xfId="22606" xr:uid="{344523B9-8540-4590-8ABB-AF59C4782DC3}"/>
    <cellStyle name="Comma 9 3 2 2 3 2 5 2 2" xfId="52846" xr:uid="{04FDC998-A210-47C2-8F7A-773DE96BBE97}"/>
    <cellStyle name="Comma 9 3 2 2 3 2 5 3" xfId="37726" xr:uid="{48BA8D15-2E16-49C6-A61E-94B8CA1B49D9}"/>
    <cellStyle name="Comma 9 3 2 2 3 2 6" xfId="8998" xr:uid="{9B65DEB7-5547-445F-B671-E17232051E85}"/>
    <cellStyle name="Comma 9 3 2 2 3 2 6 2" xfId="24118" xr:uid="{53ABCEAC-E373-40DE-932F-29FA75AA85FF}"/>
    <cellStyle name="Comma 9 3 2 2 3 2 6 2 2" xfId="54358" xr:uid="{D8203F77-FDC4-4D75-B481-CB0342DACAFC}"/>
    <cellStyle name="Comma 9 3 2 2 3 2 6 3" xfId="39238" xr:uid="{D8912084-6A21-4357-B256-1283D0CCBD7D}"/>
    <cellStyle name="Comma 9 3 2 2 3 2 7" xfId="10510" xr:uid="{239CE523-DA16-4E8A-9F1B-4A500FC525ED}"/>
    <cellStyle name="Comma 9 3 2 2 3 2 7 2" xfId="25630" xr:uid="{A47E89AB-BA69-468D-B117-94C67F3D5F48}"/>
    <cellStyle name="Comma 9 3 2 2 3 2 7 2 2" xfId="55870" xr:uid="{8D13818E-87FF-4B55-8787-7356E0F4D821}"/>
    <cellStyle name="Comma 9 3 2 2 3 2 7 3" xfId="40750" xr:uid="{D6561247-18C1-4C5E-BAF9-13F1C7988419}"/>
    <cellStyle name="Comma 9 3 2 2 3 2 8" xfId="16558" xr:uid="{608AD4D2-825A-4161-ACE5-942D2E1D9DEA}"/>
    <cellStyle name="Comma 9 3 2 2 3 2 8 2" xfId="46798" xr:uid="{9E4FF409-3AA6-41E1-9B40-E0DC7D325D9B}"/>
    <cellStyle name="Comma 9 3 2 2 3 2 9" xfId="31678" xr:uid="{986AA854-810F-4708-A07C-45C1A1C69805}"/>
    <cellStyle name="Comma 9 3 2 2 3 3" xfId="2194" xr:uid="{74B3C1EC-33C2-4265-B6A9-A50157C7CD6C}"/>
    <cellStyle name="Comma 9 3 2 2 3 3 2" xfId="11266" xr:uid="{BD9B462F-DF90-4E00-B5AF-BDD4483EF5EC}"/>
    <cellStyle name="Comma 9 3 2 2 3 3 2 2" xfId="26386" xr:uid="{B61FAA84-5B6F-40E9-8750-378D8036C343}"/>
    <cellStyle name="Comma 9 3 2 2 3 3 2 2 2" xfId="56626" xr:uid="{77A0F5A4-FA31-41DE-9508-D7BA4E34ECD7}"/>
    <cellStyle name="Comma 9 3 2 2 3 3 2 3" xfId="41506" xr:uid="{C221D2D2-3DF8-456A-90DA-5DCEAFC1A07D}"/>
    <cellStyle name="Comma 9 3 2 2 3 3 3" xfId="17314" xr:uid="{CA0CED16-4B9A-4B95-A3CF-F6CDC954062C}"/>
    <cellStyle name="Comma 9 3 2 2 3 3 3 2" xfId="47554" xr:uid="{4267724E-2F7C-403A-A822-C68004F7F9FC}"/>
    <cellStyle name="Comma 9 3 2 2 3 3 4" xfId="32434" xr:uid="{1F81BF54-514D-474C-8F8D-6C6EAB934375}"/>
    <cellStyle name="Comma 9 3 2 2 3 4" xfId="3706" xr:uid="{FFD1BBD9-DC44-4A09-BD11-E79C24545A1F}"/>
    <cellStyle name="Comma 9 3 2 2 3 4 2" xfId="12778" xr:uid="{7B4CF69C-94C4-4C26-94D7-58F36075A9F0}"/>
    <cellStyle name="Comma 9 3 2 2 3 4 2 2" xfId="27898" xr:uid="{11C9468F-96AC-4452-A005-092D4A586781}"/>
    <cellStyle name="Comma 9 3 2 2 3 4 2 2 2" xfId="58138" xr:uid="{82A71D91-DFDD-4527-ACE4-91DED538ACFE}"/>
    <cellStyle name="Comma 9 3 2 2 3 4 2 3" xfId="43018" xr:uid="{048D139F-3EE2-4734-AE80-E1D1DBDD2314}"/>
    <cellStyle name="Comma 9 3 2 2 3 4 3" xfId="18826" xr:uid="{1437DBEC-C82D-4566-84DE-FB2CCA95097F}"/>
    <cellStyle name="Comma 9 3 2 2 3 4 3 2" xfId="49066" xr:uid="{644AC09B-A1F5-462B-AF92-7F3644E9EECC}"/>
    <cellStyle name="Comma 9 3 2 2 3 4 4" xfId="33946" xr:uid="{2D77E40D-1D2D-4E28-B50D-0A09539F74A1}"/>
    <cellStyle name="Comma 9 3 2 2 3 5" xfId="5218" xr:uid="{A9A75CD5-D36C-4FEB-BE99-ECA6B2B0B2BE}"/>
    <cellStyle name="Comma 9 3 2 2 3 5 2" xfId="14290" xr:uid="{6AFEFCF1-8C2C-4E3A-BE34-466CF46BC3CD}"/>
    <cellStyle name="Comma 9 3 2 2 3 5 2 2" xfId="29410" xr:uid="{3C3B20A8-4892-4590-B2E3-8C6C7827ED34}"/>
    <cellStyle name="Comma 9 3 2 2 3 5 2 2 2" xfId="59650" xr:uid="{B8B95494-9E68-4E65-A3D4-C6AA78C55DBD}"/>
    <cellStyle name="Comma 9 3 2 2 3 5 2 3" xfId="44530" xr:uid="{1D336CEE-84D5-454B-8F37-79EDFADE8E20}"/>
    <cellStyle name="Comma 9 3 2 2 3 5 3" xfId="20338" xr:uid="{BD3A3006-E0B2-4121-B67E-4CBC6A2A34E1}"/>
    <cellStyle name="Comma 9 3 2 2 3 5 3 2" xfId="50578" xr:uid="{F17A1BEF-5388-41F2-8D86-D7156FAF52EF}"/>
    <cellStyle name="Comma 9 3 2 2 3 5 4" xfId="35458" xr:uid="{9CA8355C-AD8C-4B5F-A1B0-8F9C4989A948}"/>
    <cellStyle name="Comma 9 3 2 2 3 6" xfId="6730" xr:uid="{4BF6A32D-AF9A-4744-9F69-A00757530825}"/>
    <cellStyle name="Comma 9 3 2 2 3 6 2" xfId="21850" xr:uid="{2DC874B4-E319-47E5-B8C6-CD729F05FA75}"/>
    <cellStyle name="Comma 9 3 2 2 3 6 2 2" xfId="52090" xr:uid="{95300685-8FD1-4B8C-82E9-9A9CBFBF7FD5}"/>
    <cellStyle name="Comma 9 3 2 2 3 6 3" xfId="36970" xr:uid="{88283C32-47D9-4665-BD09-FBE7C059BCE6}"/>
    <cellStyle name="Comma 9 3 2 2 3 7" xfId="8242" xr:uid="{8E0CC152-ADFB-4466-9F17-4F1058A94D54}"/>
    <cellStyle name="Comma 9 3 2 2 3 7 2" xfId="23362" xr:uid="{091F34C0-06F1-4D93-A79D-15EB5957E23B}"/>
    <cellStyle name="Comma 9 3 2 2 3 7 2 2" xfId="53602" xr:uid="{E9550260-1616-4F72-9885-5DB9F75D14B2}"/>
    <cellStyle name="Comma 9 3 2 2 3 7 3" xfId="38482" xr:uid="{AC0C893F-72EF-4F27-A1AA-6EC4B9B99F08}"/>
    <cellStyle name="Comma 9 3 2 2 3 8" xfId="9754" xr:uid="{7A799B6C-E959-4AF5-ABBB-1EF6DED8CB77}"/>
    <cellStyle name="Comma 9 3 2 2 3 8 2" xfId="24874" xr:uid="{CD9E10D6-91D6-48E4-A747-67AEE985F9EF}"/>
    <cellStyle name="Comma 9 3 2 2 3 8 2 2" xfId="55114" xr:uid="{85911799-B85C-4CDA-95C3-A4F9EBD9B7D4}"/>
    <cellStyle name="Comma 9 3 2 2 3 8 3" xfId="39994" xr:uid="{7D8F1451-6FAA-4BCB-B857-073B6F91F526}"/>
    <cellStyle name="Comma 9 3 2 2 3 9" xfId="15802" xr:uid="{BE8F285B-784A-4CF4-9827-552CCC3CA0EE}"/>
    <cellStyle name="Comma 9 3 2 2 3 9 2" xfId="46042" xr:uid="{6840D795-95A3-4F16-8DA8-560B31D43EEA}"/>
    <cellStyle name="Comma 9 3 2 2 4" xfId="934" xr:uid="{B0202FAD-867A-4E39-803B-109ADE9558FD}"/>
    <cellStyle name="Comma 9 3 2 2 4 2" xfId="2446" xr:uid="{3D6FB340-33FA-4F68-84CE-4B87B6D4485E}"/>
    <cellStyle name="Comma 9 3 2 2 4 2 2" xfId="11518" xr:uid="{8C6567B3-C2A6-4A6D-B902-8879995DC444}"/>
    <cellStyle name="Comma 9 3 2 2 4 2 2 2" xfId="26638" xr:uid="{07A3F007-1F7F-49F9-A029-6DF72F21CE9A}"/>
    <cellStyle name="Comma 9 3 2 2 4 2 2 2 2" xfId="56878" xr:uid="{4C7071A7-DA82-4AA0-9999-3257F69227D4}"/>
    <cellStyle name="Comma 9 3 2 2 4 2 2 3" xfId="41758" xr:uid="{28C96B28-4B11-43DF-80F0-2BA5B1CE5774}"/>
    <cellStyle name="Comma 9 3 2 2 4 2 3" xfId="17566" xr:uid="{C23F8450-B5B0-4D82-9280-6EFF9A49EB05}"/>
    <cellStyle name="Comma 9 3 2 2 4 2 3 2" xfId="47806" xr:uid="{8BC98456-EC6C-4899-94B4-42D355A7DD44}"/>
    <cellStyle name="Comma 9 3 2 2 4 2 4" xfId="32686" xr:uid="{5024BCE0-A208-4CA8-92F3-1CA7FA83138F}"/>
    <cellStyle name="Comma 9 3 2 2 4 3" xfId="3958" xr:uid="{B13AB173-FAFE-4F24-A127-8A00721B2322}"/>
    <cellStyle name="Comma 9 3 2 2 4 3 2" xfId="13030" xr:uid="{208182D6-B74A-49A2-BD28-F2F982A8B02C}"/>
    <cellStyle name="Comma 9 3 2 2 4 3 2 2" xfId="28150" xr:uid="{909335CF-60A6-4ACE-A046-BA2BD7FE7784}"/>
    <cellStyle name="Comma 9 3 2 2 4 3 2 2 2" xfId="58390" xr:uid="{3EC78094-132D-4BE1-9BB2-22D261447A87}"/>
    <cellStyle name="Comma 9 3 2 2 4 3 2 3" xfId="43270" xr:uid="{14712BE3-1449-4AEB-8402-B1F778ED2700}"/>
    <cellStyle name="Comma 9 3 2 2 4 3 3" xfId="19078" xr:uid="{B810E107-759E-4773-A0EC-EB956234A7C6}"/>
    <cellStyle name="Comma 9 3 2 2 4 3 3 2" xfId="49318" xr:uid="{28DDA6CF-D1AD-4D09-A36D-DDFD414D0ECE}"/>
    <cellStyle name="Comma 9 3 2 2 4 3 4" xfId="34198" xr:uid="{83329523-35DF-4DBC-8608-85D73005C575}"/>
    <cellStyle name="Comma 9 3 2 2 4 4" xfId="5470" xr:uid="{7B19A814-F2B8-4948-A6AB-8A16A1EF309E}"/>
    <cellStyle name="Comma 9 3 2 2 4 4 2" xfId="14542" xr:uid="{19E78997-136B-4AF7-BFD4-90C1C2FE4A50}"/>
    <cellStyle name="Comma 9 3 2 2 4 4 2 2" xfId="29662" xr:uid="{E57CA94E-4C79-4241-9E91-0C87A214B1D4}"/>
    <cellStyle name="Comma 9 3 2 2 4 4 2 2 2" xfId="59902" xr:uid="{81204C2E-E83A-454F-A4C9-33346B105ACD}"/>
    <cellStyle name="Comma 9 3 2 2 4 4 2 3" xfId="44782" xr:uid="{51FCC67A-6483-48EC-851F-BB4243529F18}"/>
    <cellStyle name="Comma 9 3 2 2 4 4 3" xfId="20590" xr:uid="{04309CFC-2A2B-4E37-A68D-9A46740A2E09}"/>
    <cellStyle name="Comma 9 3 2 2 4 4 3 2" xfId="50830" xr:uid="{1ED6FFC7-3921-4CB1-B8F9-25B4C929B745}"/>
    <cellStyle name="Comma 9 3 2 2 4 4 4" xfId="35710" xr:uid="{B2F3C717-5002-44B5-8568-ECF722B9D69C}"/>
    <cellStyle name="Comma 9 3 2 2 4 5" xfId="6982" xr:uid="{149D957D-9FC4-4508-95A1-7595D3196815}"/>
    <cellStyle name="Comma 9 3 2 2 4 5 2" xfId="22102" xr:uid="{D2DDB9C6-78B1-4897-8610-31EE6C7182E3}"/>
    <cellStyle name="Comma 9 3 2 2 4 5 2 2" xfId="52342" xr:uid="{7ABE60B7-FDA4-4F53-BDE7-B8855ABD88A6}"/>
    <cellStyle name="Comma 9 3 2 2 4 5 3" xfId="37222" xr:uid="{55887D63-FCF3-41AD-AD55-9EA988E60E74}"/>
    <cellStyle name="Comma 9 3 2 2 4 6" xfId="8494" xr:uid="{A5E5ABEE-25CB-4F65-9876-90587779749E}"/>
    <cellStyle name="Comma 9 3 2 2 4 6 2" xfId="23614" xr:uid="{51776FF2-BF88-4E29-ADC9-4D77DFFC25EA}"/>
    <cellStyle name="Comma 9 3 2 2 4 6 2 2" xfId="53854" xr:uid="{A75C28A2-7430-49BB-B021-727444DC1BCB}"/>
    <cellStyle name="Comma 9 3 2 2 4 6 3" xfId="38734" xr:uid="{D71C377B-B2F6-480F-B91F-C9220F4E8BD1}"/>
    <cellStyle name="Comma 9 3 2 2 4 7" xfId="10006" xr:uid="{BBEF0607-5379-4B33-9D64-7CA75BA9ABDD}"/>
    <cellStyle name="Comma 9 3 2 2 4 7 2" xfId="25126" xr:uid="{5D89E1D0-277B-4C0F-A979-D3919AB388EF}"/>
    <cellStyle name="Comma 9 3 2 2 4 7 2 2" xfId="55366" xr:uid="{276B4297-05C8-4DCE-AE90-C68E930B7F1E}"/>
    <cellStyle name="Comma 9 3 2 2 4 7 3" xfId="40246" xr:uid="{F0C86ED1-2AC0-4FC5-A95B-770C549CEFF9}"/>
    <cellStyle name="Comma 9 3 2 2 4 8" xfId="16054" xr:uid="{F3684935-0F49-4CB6-87E8-61FBF3AE921F}"/>
    <cellStyle name="Comma 9 3 2 2 4 8 2" xfId="46294" xr:uid="{920A96D4-5748-48BB-8124-BAEE13DB53CD}"/>
    <cellStyle name="Comma 9 3 2 2 4 9" xfId="31174" xr:uid="{DA72B146-A01F-4A15-9437-D215037F7836}"/>
    <cellStyle name="Comma 9 3 2 2 5" xfId="1690" xr:uid="{E6897717-6A97-4854-A401-A7E67CB987F6}"/>
    <cellStyle name="Comma 9 3 2 2 5 2" xfId="10762" xr:uid="{CBC44181-DF9B-4F7F-9ABE-6ADB31887F57}"/>
    <cellStyle name="Comma 9 3 2 2 5 2 2" xfId="25882" xr:uid="{2F031596-2496-47D0-AF84-C4F998CF296B}"/>
    <cellStyle name="Comma 9 3 2 2 5 2 2 2" xfId="56122" xr:uid="{3719FA17-DB71-4AB9-BF5E-327870EFDAEE}"/>
    <cellStyle name="Comma 9 3 2 2 5 2 3" xfId="41002" xr:uid="{95EBD5A4-8E7C-4B26-81AB-EF1886402A8F}"/>
    <cellStyle name="Comma 9 3 2 2 5 3" xfId="16810" xr:uid="{354F4BEA-7148-4C85-AD0A-10A33775CF09}"/>
    <cellStyle name="Comma 9 3 2 2 5 3 2" xfId="47050" xr:uid="{341BE37C-E32B-4371-8180-D5FF2A145841}"/>
    <cellStyle name="Comma 9 3 2 2 5 4" xfId="31930" xr:uid="{6718E1DD-984D-4C15-8DF4-F1AF0BCDE30E}"/>
    <cellStyle name="Comma 9 3 2 2 6" xfId="3202" xr:uid="{EAC5370D-B4EC-4853-BBFA-67712D7334BC}"/>
    <cellStyle name="Comma 9 3 2 2 6 2" xfId="12274" xr:uid="{5DC351A3-848A-4FB1-8C75-904447AD6DF4}"/>
    <cellStyle name="Comma 9 3 2 2 6 2 2" xfId="27394" xr:uid="{6B6AFE62-55F4-452E-8E4C-DBFE3B497176}"/>
    <cellStyle name="Comma 9 3 2 2 6 2 2 2" xfId="57634" xr:uid="{34789812-63D8-40A4-BA37-95DF18BCDE98}"/>
    <cellStyle name="Comma 9 3 2 2 6 2 3" xfId="42514" xr:uid="{A69BFB5B-858A-4896-AF9F-063AE2C043D3}"/>
    <cellStyle name="Comma 9 3 2 2 6 3" xfId="18322" xr:uid="{F0367EF0-8B6E-45E5-B541-79EDF9E4EF2C}"/>
    <cellStyle name="Comma 9 3 2 2 6 3 2" xfId="48562" xr:uid="{586AE081-1D20-43F0-B9B8-CEBA04582402}"/>
    <cellStyle name="Comma 9 3 2 2 6 4" xfId="33442" xr:uid="{6507D36A-8A48-4D97-B145-A8531DC23AB7}"/>
    <cellStyle name="Comma 9 3 2 2 7" xfId="4714" xr:uid="{EEDF5E22-D176-44C6-BFFD-C32BFE48C24E}"/>
    <cellStyle name="Comma 9 3 2 2 7 2" xfId="13786" xr:uid="{03B229C4-29AB-4BD3-ABD8-28F5A6403529}"/>
    <cellStyle name="Comma 9 3 2 2 7 2 2" xfId="28906" xr:uid="{A2420FC0-2021-443E-A176-4C52D642F4E1}"/>
    <cellStyle name="Comma 9 3 2 2 7 2 2 2" xfId="59146" xr:uid="{4D96699B-3568-4012-AD0F-F8D83EFDF164}"/>
    <cellStyle name="Comma 9 3 2 2 7 2 3" xfId="44026" xr:uid="{9A25F344-51C3-4EFD-9319-35E77C5E0E7E}"/>
    <cellStyle name="Comma 9 3 2 2 7 3" xfId="19834" xr:uid="{BBB9B2A8-B099-4C9F-928D-D7358BECB525}"/>
    <cellStyle name="Comma 9 3 2 2 7 3 2" xfId="50074" xr:uid="{1D75A5AA-FB90-4AF7-9018-89218EB151BD}"/>
    <cellStyle name="Comma 9 3 2 2 7 4" xfId="34954" xr:uid="{CB9E19A8-CA4C-416E-8A8E-626CA9364F65}"/>
    <cellStyle name="Comma 9 3 2 2 8" xfId="6226" xr:uid="{F6A3C136-4BD6-4F16-B6C9-BD03AE660214}"/>
    <cellStyle name="Comma 9 3 2 2 8 2" xfId="21346" xr:uid="{5EE9EF6F-5AF3-4A98-B969-84107040C9F8}"/>
    <cellStyle name="Comma 9 3 2 2 8 2 2" xfId="51586" xr:uid="{0C9CCBC6-2C36-45DA-9C8B-FD85BF485258}"/>
    <cellStyle name="Comma 9 3 2 2 8 3" xfId="36466" xr:uid="{27108D05-FC2C-4540-911F-F0DE850EA81E}"/>
    <cellStyle name="Comma 9 3 2 2 9" xfId="7738" xr:uid="{47F1CA08-04BE-47FE-A8FC-F1AEFD2EC5C5}"/>
    <cellStyle name="Comma 9 3 2 2 9 2" xfId="22858" xr:uid="{E76150F9-ED09-48CF-93DC-4F2F4B2AA0A7}"/>
    <cellStyle name="Comma 9 3 2 2 9 2 2" xfId="53098" xr:uid="{A4C39C1E-1E0E-42DB-AC9F-E15711B51A2A}"/>
    <cellStyle name="Comma 9 3 2 2 9 3" xfId="37978" xr:uid="{BBF7374E-8E00-4C80-A078-487C44C386A8}"/>
    <cellStyle name="Comma 9 3 2 3" xfId="262" xr:uid="{1EF9E924-FB67-42D2-A45D-2A6B235D86C6}"/>
    <cellStyle name="Comma 9 3 2 3 10" xfId="9334" xr:uid="{843498ED-27EE-460C-A97D-F88AC69BF603}"/>
    <cellStyle name="Comma 9 3 2 3 10 2" xfId="24454" xr:uid="{F6523896-F8D6-4F61-BDEF-CBD80930FB94}"/>
    <cellStyle name="Comma 9 3 2 3 10 2 2" xfId="54694" xr:uid="{BFEFE11D-ACB7-4FFE-BEB1-5E729ED338B5}"/>
    <cellStyle name="Comma 9 3 2 3 10 3" xfId="39574" xr:uid="{E2E22C61-3F24-458A-9BA0-C803A5A7F126}"/>
    <cellStyle name="Comma 9 3 2 3 11" xfId="15382" xr:uid="{15967271-881B-433D-B74E-7BBC2FCA5ECF}"/>
    <cellStyle name="Comma 9 3 2 3 11 2" xfId="45622" xr:uid="{0B9ACCED-D85B-4122-921E-5A0B7F33015C}"/>
    <cellStyle name="Comma 9 3 2 3 12" xfId="30502" xr:uid="{D4729FD1-DF1E-47DA-BD70-BB0DC59F63CC}"/>
    <cellStyle name="Comma 9 3 2 3 2" xfId="514" xr:uid="{CC5A9824-937E-4872-826A-A8CC8EB2BAA4}"/>
    <cellStyle name="Comma 9 3 2 3 2 10" xfId="30754" xr:uid="{6544F0F0-0198-4329-8C09-B3E93ECC350F}"/>
    <cellStyle name="Comma 9 3 2 3 2 2" xfId="1270" xr:uid="{73DBBE87-A53E-4FF6-9E9C-BA6ECE8530F2}"/>
    <cellStyle name="Comma 9 3 2 3 2 2 2" xfId="2782" xr:uid="{A6C5356B-A333-4070-8500-34ACC3280F54}"/>
    <cellStyle name="Comma 9 3 2 3 2 2 2 2" xfId="11854" xr:uid="{BB0735A9-4E32-48A1-9BC1-0BF67233E1F5}"/>
    <cellStyle name="Comma 9 3 2 3 2 2 2 2 2" xfId="26974" xr:uid="{194ABBB2-5114-449A-99CA-AF416400DFB3}"/>
    <cellStyle name="Comma 9 3 2 3 2 2 2 2 2 2" xfId="57214" xr:uid="{3B1C9AF2-2B46-41C0-BE56-40A5FCCA2B6A}"/>
    <cellStyle name="Comma 9 3 2 3 2 2 2 2 3" xfId="42094" xr:uid="{ADE9BAF5-30D7-4405-95ED-B80E5A3B6E17}"/>
    <cellStyle name="Comma 9 3 2 3 2 2 2 3" xfId="17902" xr:uid="{C9B1CBF9-5652-4381-90F2-812D3C59D431}"/>
    <cellStyle name="Comma 9 3 2 3 2 2 2 3 2" xfId="48142" xr:uid="{DDEE2916-80DB-4DFD-83EF-F02AC4293366}"/>
    <cellStyle name="Comma 9 3 2 3 2 2 2 4" xfId="33022" xr:uid="{12EAE8BD-0663-4FEC-B10B-B82CA9129BFA}"/>
    <cellStyle name="Comma 9 3 2 3 2 2 3" xfId="4294" xr:uid="{7D688AA7-CB7B-4754-A32E-AA2EF6D09810}"/>
    <cellStyle name="Comma 9 3 2 3 2 2 3 2" xfId="13366" xr:uid="{F4963F4C-7A5D-4480-8C7A-8E3BEB5C1478}"/>
    <cellStyle name="Comma 9 3 2 3 2 2 3 2 2" xfId="28486" xr:uid="{5F49B80B-48AA-4043-A4CB-894E6694CC19}"/>
    <cellStyle name="Comma 9 3 2 3 2 2 3 2 2 2" xfId="58726" xr:uid="{2C5120B4-BB13-48EC-90BE-A2B41001A946}"/>
    <cellStyle name="Comma 9 3 2 3 2 2 3 2 3" xfId="43606" xr:uid="{ABF54F26-09FA-4A48-9804-0A4E8C50C81A}"/>
    <cellStyle name="Comma 9 3 2 3 2 2 3 3" xfId="19414" xr:uid="{3F76EF79-9D77-4C1C-BD6E-1A0A76D797B9}"/>
    <cellStyle name="Comma 9 3 2 3 2 2 3 3 2" xfId="49654" xr:uid="{F1DF3FB6-0B71-4E1A-AC7F-199464FDFB41}"/>
    <cellStyle name="Comma 9 3 2 3 2 2 3 4" xfId="34534" xr:uid="{A03F1BDD-58C2-4BB5-A54A-7DDB42B590C5}"/>
    <cellStyle name="Comma 9 3 2 3 2 2 4" xfId="5806" xr:uid="{34649A25-E848-4D42-8EF6-82C26DB5D21F}"/>
    <cellStyle name="Comma 9 3 2 3 2 2 4 2" xfId="14878" xr:uid="{12089580-E7C3-405D-8710-C3FDCA04F0B4}"/>
    <cellStyle name="Comma 9 3 2 3 2 2 4 2 2" xfId="29998" xr:uid="{20520604-F54B-4358-8D45-E2247E0B474E}"/>
    <cellStyle name="Comma 9 3 2 3 2 2 4 2 2 2" xfId="60238" xr:uid="{DC26DD9E-35EB-4848-A6E9-2DAC02762506}"/>
    <cellStyle name="Comma 9 3 2 3 2 2 4 2 3" xfId="45118" xr:uid="{28EF70A9-19E1-412D-B415-D2F13C32A231}"/>
    <cellStyle name="Comma 9 3 2 3 2 2 4 3" xfId="20926" xr:uid="{85EBD626-0458-4F6C-92C3-82B53C29373C}"/>
    <cellStyle name="Comma 9 3 2 3 2 2 4 3 2" xfId="51166" xr:uid="{8DE0C752-0C2D-411F-851B-9EA839960805}"/>
    <cellStyle name="Comma 9 3 2 3 2 2 4 4" xfId="36046" xr:uid="{61A92790-2B37-42A2-9C8F-83E6654345AB}"/>
    <cellStyle name="Comma 9 3 2 3 2 2 5" xfId="7318" xr:uid="{98222C6C-43D5-4DFA-8926-1C770C1791C8}"/>
    <cellStyle name="Comma 9 3 2 3 2 2 5 2" xfId="22438" xr:uid="{79A42119-F457-4CCB-8B95-B11A04ED4869}"/>
    <cellStyle name="Comma 9 3 2 3 2 2 5 2 2" xfId="52678" xr:uid="{2268098A-5F61-4A8B-B696-8796D997DFEC}"/>
    <cellStyle name="Comma 9 3 2 3 2 2 5 3" xfId="37558" xr:uid="{D28BA940-E2A7-487D-9224-8BEA93BFC5A5}"/>
    <cellStyle name="Comma 9 3 2 3 2 2 6" xfId="8830" xr:uid="{92D73031-C5D2-4674-A19A-7158C5C05322}"/>
    <cellStyle name="Comma 9 3 2 3 2 2 6 2" xfId="23950" xr:uid="{14199E04-581A-4909-B474-D9CDCF2B0B4E}"/>
    <cellStyle name="Comma 9 3 2 3 2 2 6 2 2" xfId="54190" xr:uid="{E3AAEA59-1F74-4A43-8C71-DBDC9075DA72}"/>
    <cellStyle name="Comma 9 3 2 3 2 2 6 3" xfId="39070" xr:uid="{34C75FB6-AF22-427A-8624-05B17F55A3DE}"/>
    <cellStyle name="Comma 9 3 2 3 2 2 7" xfId="10342" xr:uid="{E1CF5A3E-5F51-4161-8A5C-2BFBBE01681E}"/>
    <cellStyle name="Comma 9 3 2 3 2 2 7 2" xfId="25462" xr:uid="{8A3C7190-08C4-4AF6-B9E5-DBCB0741B68F}"/>
    <cellStyle name="Comma 9 3 2 3 2 2 7 2 2" xfId="55702" xr:uid="{01C673F1-25DE-42D6-BCF1-BDCC67406D7F}"/>
    <cellStyle name="Comma 9 3 2 3 2 2 7 3" xfId="40582" xr:uid="{AAB3A765-6644-41BD-AC1D-A8093702578F}"/>
    <cellStyle name="Comma 9 3 2 3 2 2 8" xfId="16390" xr:uid="{67144DC1-CD8A-43C0-AADF-1DD1D46BB510}"/>
    <cellStyle name="Comma 9 3 2 3 2 2 8 2" xfId="46630" xr:uid="{93E4FC91-2054-4FBE-8AFD-DB620CCA3EAF}"/>
    <cellStyle name="Comma 9 3 2 3 2 2 9" xfId="31510" xr:uid="{A6688E9D-4692-46A7-82A1-7F6C310E22B5}"/>
    <cellStyle name="Comma 9 3 2 3 2 3" xfId="2026" xr:uid="{F602A112-203B-47B0-8582-66F1563C6C1F}"/>
    <cellStyle name="Comma 9 3 2 3 2 3 2" xfId="11098" xr:uid="{690170A9-2676-4BAA-AD38-13210C85AC63}"/>
    <cellStyle name="Comma 9 3 2 3 2 3 2 2" xfId="26218" xr:uid="{153C37EA-7980-4568-B93E-D5F4F9706A8C}"/>
    <cellStyle name="Comma 9 3 2 3 2 3 2 2 2" xfId="56458" xr:uid="{09312702-6ECB-42B3-BD84-C29494492E31}"/>
    <cellStyle name="Comma 9 3 2 3 2 3 2 3" xfId="41338" xr:uid="{99C3B160-A79E-4A4E-A60A-AC8CE669DC96}"/>
    <cellStyle name="Comma 9 3 2 3 2 3 3" xfId="17146" xr:uid="{92A7B649-714B-45CE-82A8-6781087AB589}"/>
    <cellStyle name="Comma 9 3 2 3 2 3 3 2" xfId="47386" xr:uid="{5732052E-D17B-4E6C-B9CB-EC2284D4B7D3}"/>
    <cellStyle name="Comma 9 3 2 3 2 3 4" xfId="32266" xr:uid="{0A2D0F71-2813-4751-AF3D-40FC8E58518C}"/>
    <cellStyle name="Comma 9 3 2 3 2 4" xfId="3538" xr:uid="{EB727D75-899A-46C9-A1C8-447646E25A66}"/>
    <cellStyle name="Comma 9 3 2 3 2 4 2" xfId="12610" xr:uid="{4D9B4391-6D9E-4946-A372-3AAF9DCF2E79}"/>
    <cellStyle name="Comma 9 3 2 3 2 4 2 2" xfId="27730" xr:uid="{29A9993A-F5D4-4EAC-A497-885B3CA6F7C4}"/>
    <cellStyle name="Comma 9 3 2 3 2 4 2 2 2" xfId="57970" xr:uid="{3B7EEDFD-ABFA-4D48-A659-6924DBE0A72E}"/>
    <cellStyle name="Comma 9 3 2 3 2 4 2 3" xfId="42850" xr:uid="{AF6ED747-2788-488A-9827-402D67BFFA2E}"/>
    <cellStyle name="Comma 9 3 2 3 2 4 3" xfId="18658" xr:uid="{E665EBDF-FC7B-4A6B-87FA-A8E6F8C6559A}"/>
    <cellStyle name="Comma 9 3 2 3 2 4 3 2" xfId="48898" xr:uid="{FD4CF60D-EEE3-46C7-92A7-75B6D3A611CE}"/>
    <cellStyle name="Comma 9 3 2 3 2 4 4" xfId="33778" xr:uid="{A07CA3BA-2FB4-4065-8842-D830012C3A97}"/>
    <cellStyle name="Comma 9 3 2 3 2 5" xfId="5050" xr:uid="{8AC62DB8-2A42-4449-AAB3-BF9178BE417E}"/>
    <cellStyle name="Comma 9 3 2 3 2 5 2" xfId="14122" xr:uid="{F97E20F2-4E98-4C9F-B4A1-8D8AEDD5D9D0}"/>
    <cellStyle name="Comma 9 3 2 3 2 5 2 2" xfId="29242" xr:uid="{678A9207-7930-4428-BD76-B80E24A0F4B4}"/>
    <cellStyle name="Comma 9 3 2 3 2 5 2 2 2" xfId="59482" xr:uid="{F1D0FEB3-8924-45BA-81BC-F8131FB24B23}"/>
    <cellStyle name="Comma 9 3 2 3 2 5 2 3" xfId="44362" xr:uid="{3AC1803D-450F-4B99-904B-AEF361038635}"/>
    <cellStyle name="Comma 9 3 2 3 2 5 3" xfId="20170" xr:uid="{0B449DEB-2FEE-47AD-AEA6-95E61015BD5D}"/>
    <cellStyle name="Comma 9 3 2 3 2 5 3 2" xfId="50410" xr:uid="{B787710E-CB45-4046-8CD6-CE36C2475754}"/>
    <cellStyle name="Comma 9 3 2 3 2 5 4" xfId="35290" xr:uid="{8A97948A-556F-4F42-B914-179FDC99A8A6}"/>
    <cellStyle name="Comma 9 3 2 3 2 6" xfId="6562" xr:uid="{1A425117-D5EB-4AA6-9D9C-8C94178B204B}"/>
    <cellStyle name="Comma 9 3 2 3 2 6 2" xfId="21682" xr:uid="{84743DF4-6F83-4AB3-ADEE-07FD2C989535}"/>
    <cellStyle name="Comma 9 3 2 3 2 6 2 2" xfId="51922" xr:uid="{6F2F74BC-C757-45D4-B7FF-F2BACDEC93E4}"/>
    <cellStyle name="Comma 9 3 2 3 2 6 3" xfId="36802" xr:uid="{C840DDE0-D147-4310-AA70-9050B0DB863C}"/>
    <cellStyle name="Comma 9 3 2 3 2 7" xfId="8074" xr:uid="{3C7FB259-CE94-45D7-A7B0-BFB11F5C3AD3}"/>
    <cellStyle name="Comma 9 3 2 3 2 7 2" xfId="23194" xr:uid="{F1C0CA69-EDEB-41B6-B77F-092F258C38A5}"/>
    <cellStyle name="Comma 9 3 2 3 2 7 2 2" xfId="53434" xr:uid="{579FBED0-E8E3-40CB-ACB9-E564DAB5660F}"/>
    <cellStyle name="Comma 9 3 2 3 2 7 3" xfId="38314" xr:uid="{24297F50-53F1-46A0-B8BD-7BD04CADCC98}"/>
    <cellStyle name="Comma 9 3 2 3 2 8" xfId="9586" xr:uid="{A98AA097-2372-4CA3-86EF-0E23B79EA14F}"/>
    <cellStyle name="Comma 9 3 2 3 2 8 2" xfId="24706" xr:uid="{4DDC590C-5110-4AC5-943C-8C4A00C9DEF8}"/>
    <cellStyle name="Comma 9 3 2 3 2 8 2 2" xfId="54946" xr:uid="{B24DE2F9-DE18-4619-9C26-0BC1B6FD0CEE}"/>
    <cellStyle name="Comma 9 3 2 3 2 8 3" xfId="39826" xr:uid="{4A376A00-AE5E-4D3C-AD42-AF2DA9D61207}"/>
    <cellStyle name="Comma 9 3 2 3 2 9" xfId="15634" xr:uid="{67D9D8CB-7A38-4C45-90AD-6B7E861EA104}"/>
    <cellStyle name="Comma 9 3 2 3 2 9 2" xfId="45874" xr:uid="{165CF251-96DD-42C4-9C6C-AFFF70281920}"/>
    <cellStyle name="Comma 9 3 2 3 3" xfId="766" xr:uid="{19F4CBE8-0CD8-4AA5-9006-277FC0B44A13}"/>
    <cellStyle name="Comma 9 3 2 3 3 10" xfId="31006" xr:uid="{C9585B56-0234-4FE0-9C24-F2CDA8E984FA}"/>
    <cellStyle name="Comma 9 3 2 3 3 2" xfId="1522" xr:uid="{EC7B5E5C-7859-48EC-8E85-8629868E229A}"/>
    <cellStyle name="Comma 9 3 2 3 3 2 2" xfId="3034" xr:uid="{5252BE76-7384-4F91-AE47-7095D9A80D79}"/>
    <cellStyle name="Comma 9 3 2 3 3 2 2 2" xfId="12106" xr:uid="{14AD0065-ACF6-4920-82CC-ECB15D80AA4C}"/>
    <cellStyle name="Comma 9 3 2 3 3 2 2 2 2" xfId="27226" xr:uid="{D78C851E-D046-4D25-918B-D35285F1D4D1}"/>
    <cellStyle name="Comma 9 3 2 3 3 2 2 2 2 2" xfId="57466" xr:uid="{F64567EB-F8CF-4BDD-A5B0-14D5E8A731C5}"/>
    <cellStyle name="Comma 9 3 2 3 3 2 2 2 3" xfId="42346" xr:uid="{70D1E5F5-EEED-43D6-AE6D-06611E951344}"/>
    <cellStyle name="Comma 9 3 2 3 3 2 2 3" xfId="18154" xr:uid="{F82447B9-61F6-4718-B740-C4D5AB0605E4}"/>
    <cellStyle name="Comma 9 3 2 3 3 2 2 3 2" xfId="48394" xr:uid="{54C70720-77D4-4855-BB16-78EC2B852A69}"/>
    <cellStyle name="Comma 9 3 2 3 3 2 2 4" xfId="33274" xr:uid="{93C791B3-5846-4BE2-9432-45CDC9261E37}"/>
    <cellStyle name="Comma 9 3 2 3 3 2 3" xfId="4546" xr:uid="{572EEA82-59FE-4077-8C60-C78C4831BC48}"/>
    <cellStyle name="Comma 9 3 2 3 3 2 3 2" xfId="13618" xr:uid="{1B318AB7-9738-416A-974F-FD116D02D706}"/>
    <cellStyle name="Comma 9 3 2 3 3 2 3 2 2" xfId="28738" xr:uid="{7A6E0A7F-6EA2-4BF4-B1D0-1805CDC5AAF5}"/>
    <cellStyle name="Comma 9 3 2 3 3 2 3 2 2 2" xfId="58978" xr:uid="{9D993981-C3F3-49A2-8CE6-C45890FE873D}"/>
    <cellStyle name="Comma 9 3 2 3 3 2 3 2 3" xfId="43858" xr:uid="{9429E6FF-1CF1-430E-A1FA-2240E8439AF7}"/>
    <cellStyle name="Comma 9 3 2 3 3 2 3 3" xfId="19666" xr:uid="{1CDEA8C1-307E-4231-9334-092BBCEC1135}"/>
    <cellStyle name="Comma 9 3 2 3 3 2 3 3 2" xfId="49906" xr:uid="{7694CF3F-31B6-48F8-84AE-612C8BCCEEC3}"/>
    <cellStyle name="Comma 9 3 2 3 3 2 3 4" xfId="34786" xr:uid="{BEA1D6F5-BA66-4945-9EBB-7656E2FE6B62}"/>
    <cellStyle name="Comma 9 3 2 3 3 2 4" xfId="6058" xr:uid="{4EA8A0E2-8274-4170-86B4-0FA67A3CA395}"/>
    <cellStyle name="Comma 9 3 2 3 3 2 4 2" xfId="15130" xr:uid="{72E12E4D-6C19-4276-A39C-FF1B07FAC7F5}"/>
    <cellStyle name="Comma 9 3 2 3 3 2 4 2 2" xfId="30250" xr:uid="{DFF01938-DD28-4795-80C9-E567B317A110}"/>
    <cellStyle name="Comma 9 3 2 3 3 2 4 2 2 2" xfId="60490" xr:uid="{378524ED-72DF-411B-A081-57E8278ED3BF}"/>
    <cellStyle name="Comma 9 3 2 3 3 2 4 2 3" xfId="45370" xr:uid="{1C0ADD36-D47E-4017-9182-C0FDB8C5D12F}"/>
    <cellStyle name="Comma 9 3 2 3 3 2 4 3" xfId="21178" xr:uid="{F3D7B67A-7A3D-4058-BE51-E384535EB623}"/>
    <cellStyle name="Comma 9 3 2 3 3 2 4 3 2" xfId="51418" xr:uid="{99369196-3D6F-481C-867D-922C317B6343}"/>
    <cellStyle name="Comma 9 3 2 3 3 2 4 4" xfId="36298" xr:uid="{1C434E48-BAA2-4B35-96F9-13D4E3DAB25F}"/>
    <cellStyle name="Comma 9 3 2 3 3 2 5" xfId="7570" xr:uid="{4B9E5084-8D09-4CE4-BAC1-33AEA077829F}"/>
    <cellStyle name="Comma 9 3 2 3 3 2 5 2" xfId="22690" xr:uid="{B2DE989E-E3BB-4DF2-92D0-F4E81C40A7B6}"/>
    <cellStyle name="Comma 9 3 2 3 3 2 5 2 2" xfId="52930" xr:uid="{B76922B6-0EDA-40F7-A0BA-00B00B7CE84D}"/>
    <cellStyle name="Comma 9 3 2 3 3 2 5 3" xfId="37810" xr:uid="{94AA9144-252C-4F8A-8DF7-ED26059BE614}"/>
    <cellStyle name="Comma 9 3 2 3 3 2 6" xfId="9082" xr:uid="{B17543B8-C5BE-4CE5-B4B0-2324AEE250A9}"/>
    <cellStyle name="Comma 9 3 2 3 3 2 6 2" xfId="24202" xr:uid="{E0E67749-162D-45E9-871E-ABC78CA536AF}"/>
    <cellStyle name="Comma 9 3 2 3 3 2 6 2 2" xfId="54442" xr:uid="{4514C722-23AA-4E9B-A05E-D39788B19AF6}"/>
    <cellStyle name="Comma 9 3 2 3 3 2 6 3" xfId="39322" xr:uid="{0FACF31D-1235-42D9-A63B-AD8833082E7F}"/>
    <cellStyle name="Comma 9 3 2 3 3 2 7" xfId="10594" xr:uid="{E1785737-F147-4E14-89F6-D6C645A814AE}"/>
    <cellStyle name="Comma 9 3 2 3 3 2 7 2" xfId="25714" xr:uid="{7432DC5F-5495-4FCE-8723-8A843A6517C2}"/>
    <cellStyle name="Comma 9 3 2 3 3 2 7 2 2" xfId="55954" xr:uid="{FEA18904-E45B-4777-AFD4-2AE59EB92209}"/>
    <cellStyle name="Comma 9 3 2 3 3 2 7 3" xfId="40834" xr:uid="{2411538B-CD6C-4A2A-8575-DA81F450BC53}"/>
    <cellStyle name="Comma 9 3 2 3 3 2 8" xfId="16642" xr:uid="{2A4BAA92-A45C-4566-9C25-21E5E15BC4D2}"/>
    <cellStyle name="Comma 9 3 2 3 3 2 8 2" xfId="46882" xr:uid="{9ED3D819-8DBD-436F-B8A3-2786F6A3FFDC}"/>
    <cellStyle name="Comma 9 3 2 3 3 2 9" xfId="31762" xr:uid="{9B9D0C3E-2B79-48EE-A425-69881122A590}"/>
    <cellStyle name="Comma 9 3 2 3 3 3" xfId="2278" xr:uid="{F6EF241F-5D42-42CE-9DCD-28B914730333}"/>
    <cellStyle name="Comma 9 3 2 3 3 3 2" xfId="11350" xr:uid="{9DAB9A82-CD7E-4B20-A4EB-7286B4924EC3}"/>
    <cellStyle name="Comma 9 3 2 3 3 3 2 2" xfId="26470" xr:uid="{CCCF6F74-5BAD-46F8-9E7A-3AE77124424D}"/>
    <cellStyle name="Comma 9 3 2 3 3 3 2 2 2" xfId="56710" xr:uid="{BD559082-74A4-46A6-8CED-57CD4B2939A5}"/>
    <cellStyle name="Comma 9 3 2 3 3 3 2 3" xfId="41590" xr:uid="{F544A4CC-527E-4015-BBA3-207750D73C53}"/>
    <cellStyle name="Comma 9 3 2 3 3 3 3" xfId="17398" xr:uid="{3796347D-879D-4AAB-8D52-C47A2468FBAE}"/>
    <cellStyle name="Comma 9 3 2 3 3 3 3 2" xfId="47638" xr:uid="{A3E0E941-BBB4-49F0-B9EC-F1F8ED6FFF0E}"/>
    <cellStyle name="Comma 9 3 2 3 3 3 4" xfId="32518" xr:uid="{DD99CBE8-CBE2-487A-A83B-3DF21C4C0D2E}"/>
    <cellStyle name="Comma 9 3 2 3 3 4" xfId="3790" xr:uid="{15277D52-F582-4816-9306-51171773E8F6}"/>
    <cellStyle name="Comma 9 3 2 3 3 4 2" xfId="12862" xr:uid="{A563AFF0-FB57-4648-81E2-BC8F080FDE81}"/>
    <cellStyle name="Comma 9 3 2 3 3 4 2 2" xfId="27982" xr:uid="{7140B091-1603-4073-8F21-655FB9646DE3}"/>
    <cellStyle name="Comma 9 3 2 3 3 4 2 2 2" xfId="58222" xr:uid="{FB2EA024-7F9E-4545-A022-DAEF75F268C8}"/>
    <cellStyle name="Comma 9 3 2 3 3 4 2 3" xfId="43102" xr:uid="{605F7FE7-5594-430A-9AB9-422B8C30C4A4}"/>
    <cellStyle name="Comma 9 3 2 3 3 4 3" xfId="18910" xr:uid="{690B193B-6771-42FE-9454-E81C9D4DA121}"/>
    <cellStyle name="Comma 9 3 2 3 3 4 3 2" xfId="49150" xr:uid="{F292F46F-02DC-4CC2-A850-6DB46712C327}"/>
    <cellStyle name="Comma 9 3 2 3 3 4 4" xfId="34030" xr:uid="{4281CC64-A16E-43A1-B7AD-29426F898FB5}"/>
    <cellStyle name="Comma 9 3 2 3 3 5" xfId="5302" xr:uid="{B45B5D87-2791-4F4F-82DE-921DD2F4765E}"/>
    <cellStyle name="Comma 9 3 2 3 3 5 2" xfId="14374" xr:uid="{12D9714F-C4FD-45DB-A710-D5766EAB3309}"/>
    <cellStyle name="Comma 9 3 2 3 3 5 2 2" xfId="29494" xr:uid="{167858F9-0648-4F8E-B080-5E9D1E6C512D}"/>
    <cellStyle name="Comma 9 3 2 3 3 5 2 2 2" xfId="59734" xr:uid="{6DF5201D-46F4-4852-BD4C-38A0636CA4E3}"/>
    <cellStyle name="Comma 9 3 2 3 3 5 2 3" xfId="44614" xr:uid="{16DF6A7C-BC53-415D-91A0-15B29B7BE70E}"/>
    <cellStyle name="Comma 9 3 2 3 3 5 3" xfId="20422" xr:uid="{ECD217B9-2938-409B-933A-94DFA5BDB41A}"/>
    <cellStyle name="Comma 9 3 2 3 3 5 3 2" xfId="50662" xr:uid="{6BE72AB5-4FAA-4871-B9D6-FE7AD1C159FA}"/>
    <cellStyle name="Comma 9 3 2 3 3 5 4" xfId="35542" xr:uid="{3CA4FB33-38C9-47CE-8EA4-A5E03FE57955}"/>
    <cellStyle name="Comma 9 3 2 3 3 6" xfId="6814" xr:uid="{8CC4F53F-D97C-43E5-A67A-B1BB177DCA15}"/>
    <cellStyle name="Comma 9 3 2 3 3 6 2" xfId="21934" xr:uid="{0BBA16B1-28C2-4D9B-933C-35D0D626F577}"/>
    <cellStyle name="Comma 9 3 2 3 3 6 2 2" xfId="52174" xr:uid="{01F45DCD-9413-4672-8377-F6165E8ECBE2}"/>
    <cellStyle name="Comma 9 3 2 3 3 6 3" xfId="37054" xr:uid="{38B9A00A-7F3C-4752-8D35-B627BCE4C792}"/>
    <cellStyle name="Comma 9 3 2 3 3 7" xfId="8326" xr:uid="{AA2B0159-AF73-42E1-81FE-E77139D7D0A6}"/>
    <cellStyle name="Comma 9 3 2 3 3 7 2" xfId="23446" xr:uid="{54812DB8-9C00-46D5-A4DA-6C95036E65BE}"/>
    <cellStyle name="Comma 9 3 2 3 3 7 2 2" xfId="53686" xr:uid="{2AAC5C5D-5B91-4F1F-A317-3CA7A10B05B5}"/>
    <cellStyle name="Comma 9 3 2 3 3 7 3" xfId="38566" xr:uid="{E42FC1DE-E2B6-457E-A8E9-CBC0DCBE69DF}"/>
    <cellStyle name="Comma 9 3 2 3 3 8" xfId="9838" xr:uid="{409D901B-2498-4551-8EF4-3CD030E0E505}"/>
    <cellStyle name="Comma 9 3 2 3 3 8 2" xfId="24958" xr:uid="{1BD48BD1-8F67-4E39-9662-66C72966033D}"/>
    <cellStyle name="Comma 9 3 2 3 3 8 2 2" xfId="55198" xr:uid="{79F3A411-6865-48E9-974F-4411B3718245}"/>
    <cellStyle name="Comma 9 3 2 3 3 8 3" xfId="40078" xr:uid="{A5154392-0E2F-4B58-89E6-0990663A3CEF}"/>
    <cellStyle name="Comma 9 3 2 3 3 9" xfId="15886" xr:uid="{415B5ADE-DFA0-4FD0-8E6F-4F9D48BA0FBA}"/>
    <cellStyle name="Comma 9 3 2 3 3 9 2" xfId="46126" xr:uid="{9FE5D36E-89D7-45AE-A5FE-5D5182011052}"/>
    <cellStyle name="Comma 9 3 2 3 4" xfId="1018" xr:uid="{A669268B-1A4C-45E3-92C4-EEF4C5242E15}"/>
    <cellStyle name="Comma 9 3 2 3 4 2" xfId="2530" xr:uid="{F0D7B7F5-610A-47B8-B1D4-3BD4E6075037}"/>
    <cellStyle name="Comma 9 3 2 3 4 2 2" xfId="11602" xr:uid="{25139B27-7F46-4B99-838B-26A4C2E7C5C7}"/>
    <cellStyle name="Comma 9 3 2 3 4 2 2 2" xfId="26722" xr:uid="{C5D7CAC8-E9CC-4219-821F-69744B476B83}"/>
    <cellStyle name="Comma 9 3 2 3 4 2 2 2 2" xfId="56962" xr:uid="{1441658C-D42D-4262-973E-48F032E7EF0A}"/>
    <cellStyle name="Comma 9 3 2 3 4 2 2 3" xfId="41842" xr:uid="{6A000815-6CD5-4CB8-9361-C383A06815B0}"/>
    <cellStyle name="Comma 9 3 2 3 4 2 3" xfId="17650" xr:uid="{1A0F409D-7FCC-4F9E-8889-F2C2A807F704}"/>
    <cellStyle name="Comma 9 3 2 3 4 2 3 2" xfId="47890" xr:uid="{4ED10CA8-6B14-476B-97C8-CD2E7B389780}"/>
    <cellStyle name="Comma 9 3 2 3 4 2 4" xfId="32770" xr:uid="{11BEB5B1-2B49-4BD7-82B3-32B28FC173F1}"/>
    <cellStyle name="Comma 9 3 2 3 4 3" xfId="4042" xr:uid="{C9B6B1B9-F7A6-4619-A694-65DB78AC5E4E}"/>
    <cellStyle name="Comma 9 3 2 3 4 3 2" xfId="13114" xr:uid="{3BE27D27-8E34-486F-893B-4E4B5D97FF3D}"/>
    <cellStyle name="Comma 9 3 2 3 4 3 2 2" xfId="28234" xr:uid="{F2D31E0E-3F81-4970-9CCA-A13B423517F6}"/>
    <cellStyle name="Comma 9 3 2 3 4 3 2 2 2" xfId="58474" xr:uid="{BD5B5659-404F-4B4B-B631-62173203A0AE}"/>
    <cellStyle name="Comma 9 3 2 3 4 3 2 3" xfId="43354" xr:uid="{F39A89FF-F202-4F0D-807B-446A1A1F00BF}"/>
    <cellStyle name="Comma 9 3 2 3 4 3 3" xfId="19162" xr:uid="{29D25111-2B38-4E46-BB08-C535976AF6C6}"/>
    <cellStyle name="Comma 9 3 2 3 4 3 3 2" xfId="49402" xr:uid="{942F84FC-6080-40FD-A64E-729BF0608871}"/>
    <cellStyle name="Comma 9 3 2 3 4 3 4" xfId="34282" xr:uid="{84EAF99C-DD67-4B0B-9DDE-E1D078CF9105}"/>
    <cellStyle name="Comma 9 3 2 3 4 4" xfId="5554" xr:uid="{7F592C18-682D-4230-826C-A806EAC3D968}"/>
    <cellStyle name="Comma 9 3 2 3 4 4 2" xfId="14626" xr:uid="{98BC8AA7-2700-4D1E-B858-AECB6E07A5E6}"/>
    <cellStyle name="Comma 9 3 2 3 4 4 2 2" xfId="29746" xr:uid="{CCF78225-412E-48F9-9FF6-767E140465BF}"/>
    <cellStyle name="Comma 9 3 2 3 4 4 2 2 2" xfId="59986" xr:uid="{F3717E60-3CC6-4F91-8505-B9E4B063F871}"/>
    <cellStyle name="Comma 9 3 2 3 4 4 2 3" xfId="44866" xr:uid="{7518CB47-A0D9-41E7-B461-B88D3C639F84}"/>
    <cellStyle name="Comma 9 3 2 3 4 4 3" xfId="20674" xr:uid="{D0AB0609-1716-48BE-86CC-7540EADF6487}"/>
    <cellStyle name="Comma 9 3 2 3 4 4 3 2" xfId="50914" xr:uid="{31584104-6485-4684-BA39-2C8D9DF0B309}"/>
    <cellStyle name="Comma 9 3 2 3 4 4 4" xfId="35794" xr:uid="{37D5D032-6666-4ECB-84C2-EAFC08BD293E}"/>
    <cellStyle name="Comma 9 3 2 3 4 5" xfId="7066" xr:uid="{A44F0A4B-298F-4EE2-8BAA-EF01425B2005}"/>
    <cellStyle name="Comma 9 3 2 3 4 5 2" xfId="22186" xr:uid="{BF4A375F-5F82-4CB6-A1A8-269F88ECE7D9}"/>
    <cellStyle name="Comma 9 3 2 3 4 5 2 2" xfId="52426" xr:uid="{213A5996-10F5-489A-B54B-446D346597C9}"/>
    <cellStyle name="Comma 9 3 2 3 4 5 3" xfId="37306" xr:uid="{D60C6C5D-0AE6-4274-8DAD-3E510CE227B0}"/>
    <cellStyle name="Comma 9 3 2 3 4 6" xfId="8578" xr:uid="{C19CDD40-7A5F-45EB-B17D-21EC9A8A17BE}"/>
    <cellStyle name="Comma 9 3 2 3 4 6 2" xfId="23698" xr:uid="{A582F6AE-50AC-45FB-953A-C96A8984FEDB}"/>
    <cellStyle name="Comma 9 3 2 3 4 6 2 2" xfId="53938" xr:uid="{1385FD98-2925-4A7C-BA25-2B70C1CDBDFF}"/>
    <cellStyle name="Comma 9 3 2 3 4 6 3" xfId="38818" xr:uid="{4CEFBE89-E556-4D4B-941C-03387532542B}"/>
    <cellStyle name="Comma 9 3 2 3 4 7" xfId="10090" xr:uid="{5455F830-6F37-4E2F-8B5B-B6B6604F4A2C}"/>
    <cellStyle name="Comma 9 3 2 3 4 7 2" xfId="25210" xr:uid="{228A936A-7196-4692-BE61-BC7F02200D3E}"/>
    <cellStyle name="Comma 9 3 2 3 4 7 2 2" xfId="55450" xr:uid="{7DB6AD7B-CDFB-4E93-870D-0CEF1E8E6C68}"/>
    <cellStyle name="Comma 9 3 2 3 4 7 3" xfId="40330" xr:uid="{8E75EDE9-5006-4E96-AAE8-0B9134E974EE}"/>
    <cellStyle name="Comma 9 3 2 3 4 8" xfId="16138" xr:uid="{4BB04BFE-A76B-4146-8A57-D42CD8D8FFB5}"/>
    <cellStyle name="Comma 9 3 2 3 4 8 2" xfId="46378" xr:uid="{DCD47ECF-50FE-4604-8C31-7022596E9313}"/>
    <cellStyle name="Comma 9 3 2 3 4 9" xfId="31258" xr:uid="{62D51DDD-2BD4-44FB-B429-5EC8F59C3112}"/>
    <cellStyle name="Comma 9 3 2 3 5" xfId="1774" xr:uid="{6BE24AEF-52FD-4F68-BE1D-348005989300}"/>
    <cellStyle name="Comma 9 3 2 3 5 2" xfId="10846" xr:uid="{592277C2-A826-4AB3-A621-E59A76E2482C}"/>
    <cellStyle name="Comma 9 3 2 3 5 2 2" xfId="25966" xr:uid="{CBB6FAB0-F8AB-4FBB-8E85-3F1E862A371A}"/>
    <cellStyle name="Comma 9 3 2 3 5 2 2 2" xfId="56206" xr:uid="{9C0FAF6E-1E0D-4483-9CE3-0422789B7402}"/>
    <cellStyle name="Comma 9 3 2 3 5 2 3" xfId="41086" xr:uid="{234D99E1-C464-4F8C-A81E-4B0FC41A4430}"/>
    <cellStyle name="Comma 9 3 2 3 5 3" xfId="16894" xr:uid="{D9ED85F8-189F-4508-B557-928F6345422B}"/>
    <cellStyle name="Comma 9 3 2 3 5 3 2" xfId="47134" xr:uid="{5733DEB2-DA77-4250-AD6B-8E9544E95075}"/>
    <cellStyle name="Comma 9 3 2 3 5 4" xfId="32014" xr:uid="{2B1EEDA5-411D-47B5-9B56-3B5E97DE0029}"/>
    <cellStyle name="Comma 9 3 2 3 6" xfId="3286" xr:uid="{69CEE01C-88D3-4DAA-B655-782A231CCECA}"/>
    <cellStyle name="Comma 9 3 2 3 6 2" xfId="12358" xr:uid="{5628F84C-95D9-4CDA-9832-A7C14C4FD528}"/>
    <cellStyle name="Comma 9 3 2 3 6 2 2" xfId="27478" xr:uid="{43C42129-71BF-4C1E-AE0D-F88FF21ABEA3}"/>
    <cellStyle name="Comma 9 3 2 3 6 2 2 2" xfId="57718" xr:uid="{5BAC555C-30F6-40A9-A69E-5D7ACB1BD2F9}"/>
    <cellStyle name="Comma 9 3 2 3 6 2 3" xfId="42598" xr:uid="{7A720F5E-029E-427C-8BB5-7D4863851017}"/>
    <cellStyle name="Comma 9 3 2 3 6 3" xfId="18406" xr:uid="{F931FC69-52EA-4867-89C0-85D1ECFE0343}"/>
    <cellStyle name="Comma 9 3 2 3 6 3 2" xfId="48646" xr:uid="{CA87584D-6DDD-490F-BEDE-741F070EBA07}"/>
    <cellStyle name="Comma 9 3 2 3 6 4" xfId="33526" xr:uid="{F6083F89-12E4-49DC-B2D6-979100312AD8}"/>
    <cellStyle name="Comma 9 3 2 3 7" xfId="4798" xr:uid="{41754EBE-2F3F-44D5-B91B-727F79072E23}"/>
    <cellStyle name="Comma 9 3 2 3 7 2" xfId="13870" xr:uid="{F192F687-8A3E-4123-A835-D71BA3133590}"/>
    <cellStyle name="Comma 9 3 2 3 7 2 2" xfId="28990" xr:uid="{887CA6C3-DA40-405F-8B92-5C7599692B80}"/>
    <cellStyle name="Comma 9 3 2 3 7 2 2 2" xfId="59230" xr:uid="{9C70CD49-F0D3-4E23-9FDA-DE73C50D37F9}"/>
    <cellStyle name="Comma 9 3 2 3 7 2 3" xfId="44110" xr:uid="{B5DD8EF0-8DCB-4BB0-B9BC-E0E1C79E7B1D}"/>
    <cellStyle name="Comma 9 3 2 3 7 3" xfId="19918" xr:uid="{EB68BBE8-133A-4CED-B576-A40DFAA88DBE}"/>
    <cellStyle name="Comma 9 3 2 3 7 3 2" xfId="50158" xr:uid="{AB1C6010-7B6D-41BD-AD04-D46B383B48DD}"/>
    <cellStyle name="Comma 9 3 2 3 7 4" xfId="35038" xr:uid="{4C440E3D-33AF-44BC-9C9E-326457A6B9F9}"/>
    <cellStyle name="Comma 9 3 2 3 8" xfId="6310" xr:uid="{FC1C3229-ED02-449C-AC39-203F2331CEF3}"/>
    <cellStyle name="Comma 9 3 2 3 8 2" xfId="21430" xr:uid="{45EE8E05-DF1F-418C-8890-38AB1FE4A64A}"/>
    <cellStyle name="Comma 9 3 2 3 8 2 2" xfId="51670" xr:uid="{169C911F-C1A1-4EBB-B61F-0CC2A79432AF}"/>
    <cellStyle name="Comma 9 3 2 3 8 3" xfId="36550" xr:uid="{F8EC50D0-2C2D-49E6-B3B1-8CA8280F2535}"/>
    <cellStyle name="Comma 9 3 2 3 9" xfId="7822" xr:uid="{BD80D30C-FBAB-4853-988E-ECDE7AC20B5C}"/>
    <cellStyle name="Comma 9 3 2 3 9 2" xfId="22942" xr:uid="{C04E0052-ECAE-4D00-A4FD-2D684763FF13}"/>
    <cellStyle name="Comma 9 3 2 3 9 2 2" xfId="53182" xr:uid="{71CE3A83-D3E8-4A88-837A-E6452CBAAC4E}"/>
    <cellStyle name="Comma 9 3 2 3 9 3" xfId="38062" xr:uid="{134F1BE7-7B60-4F38-8BF9-F457DCE1AB6D}"/>
    <cellStyle name="Comma 9 3 2 4" xfId="346" xr:uid="{B1271F97-6C1A-49F2-BE99-E0EBBFD2D48F}"/>
    <cellStyle name="Comma 9 3 2 4 10" xfId="30586" xr:uid="{D7DEDA5E-4ED8-4CD2-B5D1-B504D9A56E0B}"/>
    <cellStyle name="Comma 9 3 2 4 2" xfId="1102" xr:uid="{0EFC0929-E3AB-4865-8772-8892E65E8684}"/>
    <cellStyle name="Comma 9 3 2 4 2 2" xfId="2614" xr:uid="{724CC575-27DF-49A5-B398-F6DFFA8FEF15}"/>
    <cellStyle name="Comma 9 3 2 4 2 2 2" xfId="11686" xr:uid="{95194BFE-A30B-4F1F-86EF-155B8635DFB1}"/>
    <cellStyle name="Comma 9 3 2 4 2 2 2 2" xfId="26806" xr:uid="{0962E7C3-8A49-4D0D-A4B7-900E5AD9A4DF}"/>
    <cellStyle name="Comma 9 3 2 4 2 2 2 2 2" xfId="57046" xr:uid="{D08F0539-AA32-4130-95AF-FBF3EC0E2DAD}"/>
    <cellStyle name="Comma 9 3 2 4 2 2 2 3" xfId="41926" xr:uid="{6CDC69E8-320A-49B1-8916-0DBAA4DBF7E4}"/>
    <cellStyle name="Comma 9 3 2 4 2 2 3" xfId="17734" xr:uid="{77685DA4-D320-40D2-9ABF-60289097EABC}"/>
    <cellStyle name="Comma 9 3 2 4 2 2 3 2" xfId="47974" xr:uid="{68661E73-B9AD-410E-A3C0-F52074FA7084}"/>
    <cellStyle name="Comma 9 3 2 4 2 2 4" xfId="32854" xr:uid="{F26CF413-1C87-4DD7-BE3D-389488EF9295}"/>
    <cellStyle name="Comma 9 3 2 4 2 3" xfId="4126" xr:uid="{829B57E7-4249-4B50-8886-0A2ADD63B6CD}"/>
    <cellStyle name="Comma 9 3 2 4 2 3 2" xfId="13198" xr:uid="{85E5B41C-23A3-4A57-AD5B-9084F6853CBC}"/>
    <cellStyle name="Comma 9 3 2 4 2 3 2 2" xfId="28318" xr:uid="{1F880AC0-24A2-4836-A75A-591EABE95C95}"/>
    <cellStyle name="Comma 9 3 2 4 2 3 2 2 2" xfId="58558" xr:uid="{594CF029-D02B-4EC0-8B17-2075991578ED}"/>
    <cellStyle name="Comma 9 3 2 4 2 3 2 3" xfId="43438" xr:uid="{04235A7A-D8A2-43DF-A723-1AE9D64ACF70}"/>
    <cellStyle name="Comma 9 3 2 4 2 3 3" xfId="19246" xr:uid="{9EFB85A6-11FB-4623-AA43-F2FE486AFECA}"/>
    <cellStyle name="Comma 9 3 2 4 2 3 3 2" xfId="49486" xr:uid="{810B4C95-9DBB-4EB5-A56E-C55B3C24699C}"/>
    <cellStyle name="Comma 9 3 2 4 2 3 4" xfId="34366" xr:uid="{624E9FEA-284A-42F7-BC8D-A85F04D679D5}"/>
    <cellStyle name="Comma 9 3 2 4 2 4" xfId="5638" xr:uid="{9F5E3E3B-4A38-4828-A9DA-EE0AA67170DE}"/>
    <cellStyle name="Comma 9 3 2 4 2 4 2" xfId="14710" xr:uid="{B3433765-CA03-44BD-8DFD-D47AB137105D}"/>
    <cellStyle name="Comma 9 3 2 4 2 4 2 2" xfId="29830" xr:uid="{333A27B7-5862-4535-BF4D-D690092657A2}"/>
    <cellStyle name="Comma 9 3 2 4 2 4 2 2 2" xfId="60070" xr:uid="{CC7C51F0-EAF4-4F1A-B351-C3ABC7842B07}"/>
    <cellStyle name="Comma 9 3 2 4 2 4 2 3" xfId="44950" xr:uid="{BEFAC372-007B-45A1-B566-94CEB31143F4}"/>
    <cellStyle name="Comma 9 3 2 4 2 4 3" xfId="20758" xr:uid="{5963E5A7-16B3-4F19-82DE-17693FF1494E}"/>
    <cellStyle name="Comma 9 3 2 4 2 4 3 2" xfId="50998" xr:uid="{283D7459-B4A1-4C24-90D8-9F0DFA0D6918}"/>
    <cellStyle name="Comma 9 3 2 4 2 4 4" xfId="35878" xr:uid="{A8C5C127-F8B3-41B7-AC17-47BA58B4A3A7}"/>
    <cellStyle name="Comma 9 3 2 4 2 5" xfId="7150" xr:uid="{7574B95F-9C86-40E1-B206-9557A72FF9C9}"/>
    <cellStyle name="Comma 9 3 2 4 2 5 2" xfId="22270" xr:uid="{5B6FCD88-649D-4E34-86D8-9C916191C4F3}"/>
    <cellStyle name="Comma 9 3 2 4 2 5 2 2" xfId="52510" xr:uid="{20F30D6D-E4B5-4B24-A58F-F734991BF7DB}"/>
    <cellStyle name="Comma 9 3 2 4 2 5 3" xfId="37390" xr:uid="{7347688B-E4EB-403E-8029-FE641E993754}"/>
    <cellStyle name="Comma 9 3 2 4 2 6" xfId="8662" xr:uid="{1059154D-39BE-47AC-9515-B1A7231DA87A}"/>
    <cellStyle name="Comma 9 3 2 4 2 6 2" xfId="23782" xr:uid="{E24CE39F-3F12-4494-962D-FF7E420C22D3}"/>
    <cellStyle name="Comma 9 3 2 4 2 6 2 2" xfId="54022" xr:uid="{B751240B-3DEB-4E2B-8453-0FE98A4F8E03}"/>
    <cellStyle name="Comma 9 3 2 4 2 6 3" xfId="38902" xr:uid="{61C4844F-246C-4D27-ABE7-F0A6D721EB09}"/>
    <cellStyle name="Comma 9 3 2 4 2 7" xfId="10174" xr:uid="{070436FF-4930-443D-BE46-8A7BFC4B2F6B}"/>
    <cellStyle name="Comma 9 3 2 4 2 7 2" xfId="25294" xr:uid="{FF04F9F1-76FC-44D9-A082-AEF2165410EE}"/>
    <cellStyle name="Comma 9 3 2 4 2 7 2 2" xfId="55534" xr:uid="{D3EBAB34-0076-4768-8986-B8833A905B59}"/>
    <cellStyle name="Comma 9 3 2 4 2 7 3" xfId="40414" xr:uid="{3B688D42-5262-4629-A15B-0DD36B76276E}"/>
    <cellStyle name="Comma 9 3 2 4 2 8" xfId="16222" xr:uid="{EE83E25F-B3DA-4681-89FA-FFE28D60CDE1}"/>
    <cellStyle name="Comma 9 3 2 4 2 8 2" xfId="46462" xr:uid="{B3426DFD-1439-4599-9CFC-1AE4437FD8DC}"/>
    <cellStyle name="Comma 9 3 2 4 2 9" xfId="31342" xr:uid="{6C7FE128-E4BC-492D-B727-22953497CB6D}"/>
    <cellStyle name="Comma 9 3 2 4 3" xfId="1858" xr:uid="{C4B48343-199B-4AF1-9652-4C61B55EBCC9}"/>
    <cellStyle name="Comma 9 3 2 4 3 2" xfId="10930" xr:uid="{7C4BD847-681E-444A-916E-D48FCAD8C49C}"/>
    <cellStyle name="Comma 9 3 2 4 3 2 2" xfId="26050" xr:uid="{7E433442-7BCC-4007-82D8-731D831CBF1B}"/>
    <cellStyle name="Comma 9 3 2 4 3 2 2 2" xfId="56290" xr:uid="{792223B1-9F1D-4E46-BC5E-D2765A26256D}"/>
    <cellStyle name="Comma 9 3 2 4 3 2 3" xfId="41170" xr:uid="{B07E762E-075E-4778-A727-E1F884285B00}"/>
    <cellStyle name="Comma 9 3 2 4 3 3" xfId="16978" xr:uid="{EA76D104-A44D-4A73-9799-F4C368128509}"/>
    <cellStyle name="Comma 9 3 2 4 3 3 2" xfId="47218" xr:uid="{02925546-0202-4FB3-8E3C-6960D2A595BD}"/>
    <cellStyle name="Comma 9 3 2 4 3 4" xfId="32098" xr:uid="{13662063-34A2-457D-86EF-C57EF9463568}"/>
    <cellStyle name="Comma 9 3 2 4 4" xfId="3370" xr:uid="{6306E72B-6325-4C23-A305-3E5E18AB6929}"/>
    <cellStyle name="Comma 9 3 2 4 4 2" xfId="12442" xr:uid="{75E721E4-5BB8-4C09-86E9-4A2E217E520A}"/>
    <cellStyle name="Comma 9 3 2 4 4 2 2" xfId="27562" xr:uid="{B62F5982-CAE5-4943-8AE8-483FE3CE98D3}"/>
    <cellStyle name="Comma 9 3 2 4 4 2 2 2" xfId="57802" xr:uid="{82C27684-ACEA-4FA2-B27B-78030988DA0A}"/>
    <cellStyle name="Comma 9 3 2 4 4 2 3" xfId="42682" xr:uid="{5BC45DFE-304F-46A7-A8ED-9BAD31512D9D}"/>
    <cellStyle name="Comma 9 3 2 4 4 3" xfId="18490" xr:uid="{57827A1B-06D2-4AE7-BA52-26AD06D813E0}"/>
    <cellStyle name="Comma 9 3 2 4 4 3 2" xfId="48730" xr:uid="{9B7CF3BC-B218-4908-9F04-91170ABB1F30}"/>
    <cellStyle name="Comma 9 3 2 4 4 4" xfId="33610" xr:uid="{B676A7E1-E82A-429D-BAC6-9B2FE178A924}"/>
    <cellStyle name="Comma 9 3 2 4 5" xfId="4882" xr:uid="{DA0A2A9F-FB26-45E5-9866-C025D2D2E5E8}"/>
    <cellStyle name="Comma 9 3 2 4 5 2" xfId="13954" xr:uid="{793C4FCF-94E6-4E78-A0D5-56EE835A3495}"/>
    <cellStyle name="Comma 9 3 2 4 5 2 2" xfId="29074" xr:uid="{B0B4CB76-4D7B-44F3-BA2C-A1DA6B203650}"/>
    <cellStyle name="Comma 9 3 2 4 5 2 2 2" xfId="59314" xr:uid="{BA692995-E10D-4393-8CCE-3CD306B7BA71}"/>
    <cellStyle name="Comma 9 3 2 4 5 2 3" xfId="44194" xr:uid="{82599280-4E64-4F1D-9355-526631A8A7DA}"/>
    <cellStyle name="Comma 9 3 2 4 5 3" xfId="20002" xr:uid="{0D707B2C-151F-42CF-8263-726C5AB0EF8B}"/>
    <cellStyle name="Comma 9 3 2 4 5 3 2" xfId="50242" xr:uid="{10772796-7A6C-49ED-94BB-255FC8DAA52A}"/>
    <cellStyle name="Comma 9 3 2 4 5 4" xfId="35122" xr:uid="{07FB4929-5D95-4B21-8EF7-2CEE606BEB3D}"/>
    <cellStyle name="Comma 9 3 2 4 6" xfId="6394" xr:uid="{B71C25AA-6C07-4946-A6EC-72A382EAD078}"/>
    <cellStyle name="Comma 9 3 2 4 6 2" xfId="21514" xr:uid="{D6D45737-99ED-4BD4-AAE1-79A6F26E27CC}"/>
    <cellStyle name="Comma 9 3 2 4 6 2 2" xfId="51754" xr:uid="{13190027-34C2-466F-A88E-A90C8ADBF68C}"/>
    <cellStyle name="Comma 9 3 2 4 6 3" xfId="36634" xr:uid="{51258710-A62F-429F-860C-52F6ACFCDD4B}"/>
    <cellStyle name="Comma 9 3 2 4 7" xfId="7906" xr:uid="{EDB1CB1A-8426-4A91-A2B3-7A7BD93E82A9}"/>
    <cellStyle name="Comma 9 3 2 4 7 2" xfId="23026" xr:uid="{AC3A3858-57DC-4F20-BB3D-A20AD858CAFA}"/>
    <cellStyle name="Comma 9 3 2 4 7 2 2" xfId="53266" xr:uid="{E686FEE0-1210-4F25-87BC-B236869343E3}"/>
    <cellStyle name="Comma 9 3 2 4 7 3" xfId="38146" xr:uid="{EEC9EEA7-D34E-428D-A923-F8D331FA36B9}"/>
    <cellStyle name="Comma 9 3 2 4 8" xfId="9418" xr:uid="{FF98FA34-8774-487F-BC61-EB297B641EC2}"/>
    <cellStyle name="Comma 9 3 2 4 8 2" xfId="24538" xr:uid="{7D6E5BCD-2061-4AE0-8D2D-2E2F5AC5D1E9}"/>
    <cellStyle name="Comma 9 3 2 4 8 2 2" xfId="54778" xr:uid="{6C13119A-6280-4D5F-9152-D85BEF658FBB}"/>
    <cellStyle name="Comma 9 3 2 4 8 3" xfId="39658" xr:uid="{5C603D08-D129-4E30-995D-D5675479C18E}"/>
    <cellStyle name="Comma 9 3 2 4 9" xfId="15466" xr:uid="{CCABFE93-6FE2-476E-856F-72CAF4056B00}"/>
    <cellStyle name="Comma 9 3 2 4 9 2" xfId="45706" xr:uid="{3F4DC09B-5771-434C-8551-9D7B873B511F}"/>
    <cellStyle name="Comma 9 3 2 5" xfId="598" xr:uid="{93A6E08F-B06B-48F0-84AB-10FB2481E1B9}"/>
    <cellStyle name="Comma 9 3 2 5 10" xfId="30838" xr:uid="{9590365C-B4BB-4465-BD97-5C459F68E2AB}"/>
    <cellStyle name="Comma 9 3 2 5 2" xfId="1354" xr:uid="{645BACA3-0D7A-4100-B59A-91903C3F1537}"/>
    <cellStyle name="Comma 9 3 2 5 2 2" xfId="2866" xr:uid="{9A8405C0-494B-481B-B32A-67DF65EADF80}"/>
    <cellStyle name="Comma 9 3 2 5 2 2 2" xfId="11938" xr:uid="{A669E4BE-4C57-4692-8B30-1D88BDF0B0B6}"/>
    <cellStyle name="Comma 9 3 2 5 2 2 2 2" xfId="27058" xr:uid="{37A2F280-E900-497C-B155-2DEFB6C52881}"/>
    <cellStyle name="Comma 9 3 2 5 2 2 2 2 2" xfId="57298" xr:uid="{DA1A5AC3-F398-4CDE-B15F-E28320A42863}"/>
    <cellStyle name="Comma 9 3 2 5 2 2 2 3" xfId="42178" xr:uid="{775CDB1B-BCB9-43D8-A1B1-B0657373D983}"/>
    <cellStyle name="Comma 9 3 2 5 2 2 3" xfId="17986" xr:uid="{B33A47B2-6177-4AD6-A30A-B757B7137C9D}"/>
    <cellStyle name="Comma 9 3 2 5 2 2 3 2" xfId="48226" xr:uid="{C701E6BD-F3C7-43FD-B741-BFA7AFD745D4}"/>
    <cellStyle name="Comma 9 3 2 5 2 2 4" xfId="33106" xr:uid="{9EEBA3CB-E3DE-4BE7-80C6-D34444C5A292}"/>
    <cellStyle name="Comma 9 3 2 5 2 3" xfId="4378" xr:uid="{E1F6021D-DD91-4185-A748-B55D9553B983}"/>
    <cellStyle name="Comma 9 3 2 5 2 3 2" xfId="13450" xr:uid="{6230AB41-FF2F-40D0-BBF3-511DCCBA36C9}"/>
    <cellStyle name="Comma 9 3 2 5 2 3 2 2" xfId="28570" xr:uid="{31287665-7E71-4DDE-A53D-EBF86C457788}"/>
    <cellStyle name="Comma 9 3 2 5 2 3 2 2 2" xfId="58810" xr:uid="{2EF6E2CD-DD53-43DF-B40A-53600DD06C4C}"/>
    <cellStyle name="Comma 9 3 2 5 2 3 2 3" xfId="43690" xr:uid="{7C58B1DF-B940-498C-B723-59B753F33FF6}"/>
    <cellStyle name="Comma 9 3 2 5 2 3 3" xfId="19498" xr:uid="{5B803745-0968-49C4-A7B0-52C9D33D54F0}"/>
    <cellStyle name="Comma 9 3 2 5 2 3 3 2" xfId="49738" xr:uid="{9CEED68B-B66B-461B-8AFC-DCEB9C2A979A}"/>
    <cellStyle name="Comma 9 3 2 5 2 3 4" xfId="34618" xr:uid="{D05BEB7D-0752-4A70-A480-B7BE858887EF}"/>
    <cellStyle name="Comma 9 3 2 5 2 4" xfId="5890" xr:uid="{7B7A7A40-32D4-4DDD-8B70-3442C7E61686}"/>
    <cellStyle name="Comma 9 3 2 5 2 4 2" xfId="14962" xr:uid="{C5C0ECBF-519D-4336-A9CE-995AB2636144}"/>
    <cellStyle name="Comma 9 3 2 5 2 4 2 2" xfId="30082" xr:uid="{46258E05-454F-4458-85CD-0D36117CC162}"/>
    <cellStyle name="Comma 9 3 2 5 2 4 2 2 2" xfId="60322" xr:uid="{EC2233CE-1ADD-4426-ACD3-79F4267830E7}"/>
    <cellStyle name="Comma 9 3 2 5 2 4 2 3" xfId="45202" xr:uid="{FA54674C-2464-406B-B833-13120920BFF9}"/>
    <cellStyle name="Comma 9 3 2 5 2 4 3" xfId="21010" xr:uid="{2DC9E981-35C9-4A68-AC0A-807A8225E7B9}"/>
    <cellStyle name="Comma 9 3 2 5 2 4 3 2" xfId="51250" xr:uid="{94E9B917-46A0-4C42-A879-1C79151FDF9F}"/>
    <cellStyle name="Comma 9 3 2 5 2 4 4" xfId="36130" xr:uid="{BDB9A9D4-D697-4290-AE63-0920922675E2}"/>
    <cellStyle name="Comma 9 3 2 5 2 5" xfId="7402" xr:uid="{28E0B0EA-2FD9-4A2C-BD93-29B60CBF35CA}"/>
    <cellStyle name="Comma 9 3 2 5 2 5 2" xfId="22522" xr:uid="{2E66B0B0-F636-411C-A1E2-1837C2107F36}"/>
    <cellStyle name="Comma 9 3 2 5 2 5 2 2" xfId="52762" xr:uid="{19935AAE-66E4-4E5E-B10C-FD14FF975944}"/>
    <cellStyle name="Comma 9 3 2 5 2 5 3" xfId="37642" xr:uid="{6235C665-89FC-4FEB-92F3-54CA7F9FC48F}"/>
    <cellStyle name="Comma 9 3 2 5 2 6" xfId="8914" xr:uid="{44AEA6F6-123F-4023-B32B-E51629D491A5}"/>
    <cellStyle name="Comma 9 3 2 5 2 6 2" xfId="24034" xr:uid="{2E073FEB-AC37-4220-863F-41A872EC96EA}"/>
    <cellStyle name="Comma 9 3 2 5 2 6 2 2" xfId="54274" xr:uid="{DE74E9D8-17CF-4A84-BB36-E0D2E0AE18B6}"/>
    <cellStyle name="Comma 9 3 2 5 2 6 3" xfId="39154" xr:uid="{8C9C7C31-F6B6-414A-8B3D-A2CF0BCF7BB7}"/>
    <cellStyle name="Comma 9 3 2 5 2 7" xfId="10426" xr:uid="{9A71C285-7603-41F1-9D89-CF0A5153E77C}"/>
    <cellStyle name="Comma 9 3 2 5 2 7 2" xfId="25546" xr:uid="{8EF4D4BA-BA92-4E65-8EA3-E1A0E7009B35}"/>
    <cellStyle name="Comma 9 3 2 5 2 7 2 2" xfId="55786" xr:uid="{A001B815-F4BD-4361-9E70-87F10A976036}"/>
    <cellStyle name="Comma 9 3 2 5 2 7 3" xfId="40666" xr:uid="{7EB2E451-A7B3-4D21-B697-21CFDD235BA0}"/>
    <cellStyle name="Comma 9 3 2 5 2 8" xfId="16474" xr:uid="{2786DD01-31F3-4964-8AA2-0E3564FD3424}"/>
    <cellStyle name="Comma 9 3 2 5 2 8 2" xfId="46714" xr:uid="{5A68AA7F-366C-49FF-ABCA-9B5FA9FA4B11}"/>
    <cellStyle name="Comma 9 3 2 5 2 9" xfId="31594" xr:uid="{968F8DAA-1021-40E6-AAA9-0A25AEF10F96}"/>
    <cellStyle name="Comma 9 3 2 5 3" xfId="2110" xr:uid="{0A7C7986-D3D7-4CC1-A7C4-EC9007FF75D8}"/>
    <cellStyle name="Comma 9 3 2 5 3 2" xfId="11182" xr:uid="{01271606-C0EF-45AC-8F51-34C49E2B9CD8}"/>
    <cellStyle name="Comma 9 3 2 5 3 2 2" xfId="26302" xr:uid="{05A0739A-C925-4EE1-AA33-5715B0360C5A}"/>
    <cellStyle name="Comma 9 3 2 5 3 2 2 2" xfId="56542" xr:uid="{ADAA1A7B-ABB2-46FA-8D1D-691E35AC4776}"/>
    <cellStyle name="Comma 9 3 2 5 3 2 3" xfId="41422" xr:uid="{F991F936-64A0-41A2-A332-DD11CE909C6E}"/>
    <cellStyle name="Comma 9 3 2 5 3 3" xfId="17230" xr:uid="{192ABCB4-13EB-4D2C-B4DF-D92800A4DA81}"/>
    <cellStyle name="Comma 9 3 2 5 3 3 2" xfId="47470" xr:uid="{28D0BBFF-9063-4FED-9AFF-CFC5DEAFF4E8}"/>
    <cellStyle name="Comma 9 3 2 5 3 4" xfId="32350" xr:uid="{60E0EA11-3688-468D-AB8D-9B50B823B0A9}"/>
    <cellStyle name="Comma 9 3 2 5 4" xfId="3622" xr:uid="{AEBCC8CA-4080-4C05-907C-F06AA8D65EED}"/>
    <cellStyle name="Comma 9 3 2 5 4 2" xfId="12694" xr:uid="{950A02A1-4504-4E90-82DB-2CD5EE5F8D77}"/>
    <cellStyle name="Comma 9 3 2 5 4 2 2" xfId="27814" xr:uid="{5B6D2D4D-879F-4D97-A1E8-A6E309F5B282}"/>
    <cellStyle name="Comma 9 3 2 5 4 2 2 2" xfId="58054" xr:uid="{48E0D723-90B8-4591-A3AC-769688A49FF4}"/>
    <cellStyle name="Comma 9 3 2 5 4 2 3" xfId="42934" xr:uid="{692FA13F-5BCD-463C-9DF1-9C4CA2DD325A}"/>
    <cellStyle name="Comma 9 3 2 5 4 3" xfId="18742" xr:uid="{60557F08-9FC2-47A6-BD57-182A8E4C6970}"/>
    <cellStyle name="Comma 9 3 2 5 4 3 2" xfId="48982" xr:uid="{1FEFDB2D-60FB-493F-96C3-0124D26BB366}"/>
    <cellStyle name="Comma 9 3 2 5 4 4" xfId="33862" xr:uid="{A9BC3DC9-FA4E-4081-802C-DA157CB67DBD}"/>
    <cellStyle name="Comma 9 3 2 5 5" xfId="5134" xr:uid="{70CFAD73-7A90-4188-8739-F1266819DE8E}"/>
    <cellStyle name="Comma 9 3 2 5 5 2" xfId="14206" xr:uid="{73C31F86-8E4F-4D98-9F71-F5537383117A}"/>
    <cellStyle name="Comma 9 3 2 5 5 2 2" xfId="29326" xr:uid="{4D1CE61F-91A1-4689-BF62-C37D89310A8F}"/>
    <cellStyle name="Comma 9 3 2 5 5 2 2 2" xfId="59566" xr:uid="{D53C84BD-F4A0-4CD0-927B-AAA66C4594C3}"/>
    <cellStyle name="Comma 9 3 2 5 5 2 3" xfId="44446" xr:uid="{380A9FA2-E39F-4057-B7CF-6854A3BF4443}"/>
    <cellStyle name="Comma 9 3 2 5 5 3" xfId="20254" xr:uid="{469B1DBA-0373-43A5-AA20-8D4D039A7BD2}"/>
    <cellStyle name="Comma 9 3 2 5 5 3 2" xfId="50494" xr:uid="{E6760B60-2376-4F21-9CC8-D6B47F84FE3B}"/>
    <cellStyle name="Comma 9 3 2 5 5 4" xfId="35374" xr:uid="{F4CD3FFA-4577-4644-9C9D-D3EE1AC8B6AC}"/>
    <cellStyle name="Comma 9 3 2 5 6" xfId="6646" xr:uid="{465158E7-4E8E-4AB2-8703-AF5DE08FC57D}"/>
    <cellStyle name="Comma 9 3 2 5 6 2" xfId="21766" xr:uid="{41DE599A-103E-4BD1-8E08-C6DDF4FB31E6}"/>
    <cellStyle name="Comma 9 3 2 5 6 2 2" xfId="52006" xr:uid="{70B65D09-C372-4022-A1D4-C26531D885DC}"/>
    <cellStyle name="Comma 9 3 2 5 6 3" xfId="36886" xr:uid="{F1FE8F63-B187-4DA8-AC3D-184F04E42D5A}"/>
    <cellStyle name="Comma 9 3 2 5 7" xfId="8158" xr:uid="{A2CA84F4-1686-4C35-9BF7-0CCDFB8BBA7A}"/>
    <cellStyle name="Comma 9 3 2 5 7 2" xfId="23278" xr:uid="{CD1AB6CF-CE0B-4512-BC95-B81FFB232C5C}"/>
    <cellStyle name="Comma 9 3 2 5 7 2 2" xfId="53518" xr:uid="{AFBEBBBF-F9C7-41A8-B8A7-F96AB7700950}"/>
    <cellStyle name="Comma 9 3 2 5 7 3" xfId="38398" xr:uid="{32BADC2D-69C8-4921-9171-2CD292822F4B}"/>
    <cellStyle name="Comma 9 3 2 5 8" xfId="9670" xr:uid="{58251739-AFE1-48EF-B063-763A7A07CEEF}"/>
    <cellStyle name="Comma 9 3 2 5 8 2" xfId="24790" xr:uid="{6D19BB5B-3003-4E85-BC83-B302E4133C8B}"/>
    <cellStyle name="Comma 9 3 2 5 8 2 2" xfId="55030" xr:uid="{D2B6BE53-C1E4-4AAE-8C9B-E4A615019486}"/>
    <cellStyle name="Comma 9 3 2 5 8 3" xfId="39910" xr:uid="{65CB0025-7A7F-40E1-BEB1-BCBDBF83F9A9}"/>
    <cellStyle name="Comma 9 3 2 5 9" xfId="15718" xr:uid="{5792F2BA-18F7-43A9-B7CD-13D66069DBC8}"/>
    <cellStyle name="Comma 9 3 2 5 9 2" xfId="45958" xr:uid="{72BCCED5-3AD8-4C32-AD4C-6360F56417AE}"/>
    <cellStyle name="Comma 9 3 2 6" xfId="850" xr:uid="{CB9E2AE4-08C3-4682-B969-148933085B08}"/>
    <cellStyle name="Comma 9 3 2 6 2" xfId="2362" xr:uid="{C7B73059-09FC-460E-9FA7-37704396BDCD}"/>
    <cellStyle name="Comma 9 3 2 6 2 2" xfId="11434" xr:uid="{F8EC4F4B-C5B2-45FB-84BC-10C1EBA53FD5}"/>
    <cellStyle name="Comma 9 3 2 6 2 2 2" xfId="26554" xr:uid="{8FCEF2D5-A9C7-4AF9-91C2-C52E6DFB3C73}"/>
    <cellStyle name="Comma 9 3 2 6 2 2 2 2" xfId="56794" xr:uid="{A3AAF965-DA09-4C00-94A8-A7763B9F4229}"/>
    <cellStyle name="Comma 9 3 2 6 2 2 3" xfId="41674" xr:uid="{5C1D4DC9-7DF1-4558-9655-1560A64284EF}"/>
    <cellStyle name="Comma 9 3 2 6 2 3" xfId="17482" xr:uid="{33F4C711-EA03-4ACC-B846-F752B5A3E408}"/>
    <cellStyle name="Comma 9 3 2 6 2 3 2" xfId="47722" xr:uid="{9C52E5EC-40B9-486E-A7C4-169D21475734}"/>
    <cellStyle name="Comma 9 3 2 6 2 4" xfId="32602" xr:uid="{729397E2-1713-4BF3-B985-1DFA0A1B0E8C}"/>
    <cellStyle name="Comma 9 3 2 6 3" xfId="3874" xr:uid="{6AE3A23B-6FE3-4D98-97C4-095651166DE0}"/>
    <cellStyle name="Comma 9 3 2 6 3 2" xfId="12946" xr:uid="{8FC77408-5069-4D90-A5D1-AED8CD801DD9}"/>
    <cellStyle name="Comma 9 3 2 6 3 2 2" xfId="28066" xr:uid="{1C32B160-BF6B-4086-AA69-455E98765DCA}"/>
    <cellStyle name="Comma 9 3 2 6 3 2 2 2" xfId="58306" xr:uid="{67436943-C9B2-4EB3-9957-8DD2E508E572}"/>
    <cellStyle name="Comma 9 3 2 6 3 2 3" xfId="43186" xr:uid="{B7211093-71F6-426D-8CDE-343D1744582B}"/>
    <cellStyle name="Comma 9 3 2 6 3 3" xfId="18994" xr:uid="{A7DD4AB7-A6E5-4975-B5E9-CAE8EEB688DA}"/>
    <cellStyle name="Comma 9 3 2 6 3 3 2" xfId="49234" xr:uid="{F60D075C-47FB-44CB-A39C-1B9623C05EB1}"/>
    <cellStyle name="Comma 9 3 2 6 3 4" xfId="34114" xr:uid="{9CD5EDF4-7D6F-41AA-A4D5-368B5F046A8A}"/>
    <cellStyle name="Comma 9 3 2 6 4" xfId="5386" xr:uid="{B03F40D4-78CE-428B-B123-2173D1C653FB}"/>
    <cellStyle name="Comma 9 3 2 6 4 2" xfId="14458" xr:uid="{DEB9DBAF-5963-4337-8B6B-9642BEBDA3DD}"/>
    <cellStyle name="Comma 9 3 2 6 4 2 2" xfId="29578" xr:uid="{F3D02F5C-92DF-405E-8346-6B76BB5C3053}"/>
    <cellStyle name="Comma 9 3 2 6 4 2 2 2" xfId="59818" xr:uid="{007AD7AD-A158-4826-888E-4E36365C7E9C}"/>
    <cellStyle name="Comma 9 3 2 6 4 2 3" xfId="44698" xr:uid="{AC5D68B6-6B65-4333-8CB6-903FEFA35817}"/>
    <cellStyle name="Comma 9 3 2 6 4 3" xfId="20506" xr:uid="{867219FC-5FFC-44FC-B5EE-1EB7B9A1284D}"/>
    <cellStyle name="Comma 9 3 2 6 4 3 2" xfId="50746" xr:uid="{1D0BC002-F6EE-4865-8714-837D30290BDA}"/>
    <cellStyle name="Comma 9 3 2 6 4 4" xfId="35626" xr:uid="{08020B73-63DA-46EB-8AFC-46B3226569F1}"/>
    <cellStyle name="Comma 9 3 2 6 5" xfId="6898" xr:uid="{3756100D-B9AA-4886-9668-C2C34BDB3AAD}"/>
    <cellStyle name="Comma 9 3 2 6 5 2" xfId="22018" xr:uid="{7B51C378-4AD5-456E-9DF0-49254A68EBB2}"/>
    <cellStyle name="Comma 9 3 2 6 5 2 2" xfId="52258" xr:uid="{85135AFF-AABC-4628-BD7B-79769E72DAB7}"/>
    <cellStyle name="Comma 9 3 2 6 5 3" xfId="37138" xr:uid="{C52E89F6-8C37-4576-AEC3-885FD05CF773}"/>
    <cellStyle name="Comma 9 3 2 6 6" xfId="8410" xr:uid="{10A3C6DE-17A3-44B5-8095-31B46B93BF17}"/>
    <cellStyle name="Comma 9 3 2 6 6 2" xfId="23530" xr:uid="{F07BC4E0-C11F-4E45-B0BB-7C48AE6DDFDC}"/>
    <cellStyle name="Comma 9 3 2 6 6 2 2" xfId="53770" xr:uid="{2033C579-9B5E-4B35-93F4-7BB62AAE2A09}"/>
    <cellStyle name="Comma 9 3 2 6 6 3" xfId="38650" xr:uid="{7BE69F75-844B-4519-A063-BA8929E121AA}"/>
    <cellStyle name="Comma 9 3 2 6 7" xfId="9922" xr:uid="{EB2D192C-DD1A-4B7A-8CD4-427EE399A459}"/>
    <cellStyle name="Comma 9 3 2 6 7 2" xfId="25042" xr:uid="{95C943B2-D468-4314-9803-261BCB88F774}"/>
    <cellStyle name="Comma 9 3 2 6 7 2 2" xfId="55282" xr:uid="{4E51437F-1514-47F7-8A25-7BB73A00CB0B}"/>
    <cellStyle name="Comma 9 3 2 6 7 3" xfId="40162" xr:uid="{7A9AAE2E-D6D2-4F61-B902-2801B5367507}"/>
    <cellStyle name="Comma 9 3 2 6 8" xfId="15970" xr:uid="{0734F0EA-32F2-4DBB-A1C2-78CE8D1B6D73}"/>
    <cellStyle name="Comma 9 3 2 6 8 2" xfId="46210" xr:uid="{84210D6C-3ABA-4B13-AAAD-7F01151786D5}"/>
    <cellStyle name="Comma 9 3 2 6 9" xfId="31090" xr:uid="{1ECBEE46-AE01-4EE6-99A3-F5AB6F88A6BA}"/>
    <cellStyle name="Comma 9 3 2 7" xfId="1606" xr:uid="{B3461998-4C77-4663-935F-6018B8C9BD43}"/>
    <cellStyle name="Comma 9 3 2 7 2" xfId="10678" xr:uid="{9C61B21B-5AE3-4BFD-8AEC-7B2205C7EE77}"/>
    <cellStyle name="Comma 9 3 2 7 2 2" xfId="25798" xr:uid="{7B072D56-3C22-4499-AEA7-08AB61F85EB7}"/>
    <cellStyle name="Comma 9 3 2 7 2 2 2" xfId="56038" xr:uid="{9D57D76A-8359-4401-907C-9D752A0282AE}"/>
    <cellStyle name="Comma 9 3 2 7 2 3" xfId="40918" xr:uid="{C6990AEB-2F5B-40EF-A619-4BD5AAB943F1}"/>
    <cellStyle name="Comma 9 3 2 7 3" xfId="16726" xr:uid="{98205096-5BB1-404D-A158-8AF6A7E7E3C8}"/>
    <cellStyle name="Comma 9 3 2 7 3 2" xfId="46966" xr:uid="{76CB79D5-2217-4765-A5DB-45358D1EC68C}"/>
    <cellStyle name="Comma 9 3 2 7 4" xfId="31846" xr:uid="{131C98F2-C392-4C5B-BE47-94AE4660282C}"/>
    <cellStyle name="Comma 9 3 2 8" xfId="3118" xr:uid="{049EDB8F-4E51-4620-A41B-A8F89CE435C8}"/>
    <cellStyle name="Comma 9 3 2 8 2" xfId="12190" xr:uid="{D36E0822-97F6-4775-A56C-EBEF36933407}"/>
    <cellStyle name="Comma 9 3 2 8 2 2" xfId="27310" xr:uid="{D7CF47BC-9BD0-41FE-BF41-12DB0F10300F}"/>
    <cellStyle name="Comma 9 3 2 8 2 2 2" xfId="57550" xr:uid="{5D97A1A3-D827-4AFD-B106-671BDFC9ADE1}"/>
    <cellStyle name="Comma 9 3 2 8 2 3" xfId="42430" xr:uid="{5CC23BE7-542F-4C22-91D6-5D050C400215}"/>
    <cellStyle name="Comma 9 3 2 8 3" xfId="18238" xr:uid="{4307EEAC-5F47-4AFD-AAC3-F7082D40DBE0}"/>
    <cellStyle name="Comma 9 3 2 8 3 2" xfId="48478" xr:uid="{1A612D26-6166-4382-920D-DFB2FC72F6DA}"/>
    <cellStyle name="Comma 9 3 2 8 4" xfId="33358" xr:uid="{9C880D71-E959-455F-962E-6480E2228B90}"/>
    <cellStyle name="Comma 9 3 2 9" xfId="4630" xr:uid="{38DF5CF4-216D-487A-A14B-14F331914D02}"/>
    <cellStyle name="Comma 9 3 2 9 2" xfId="13702" xr:uid="{D589BB31-DEB4-42AC-8952-BF81694E2352}"/>
    <cellStyle name="Comma 9 3 2 9 2 2" xfId="28822" xr:uid="{C3ADD227-D5BE-49CB-ACC8-E9F4D6D0F3F7}"/>
    <cellStyle name="Comma 9 3 2 9 2 2 2" xfId="59062" xr:uid="{182CBE91-6995-446C-8836-D61A1E66B5BA}"/>
    <cellStyle name="Comma 9 3 2 9 2 3" xfId="43942" xr:uid="{57A49FEB-8319-48EF-AC2E-BFD62EF74D5A}"/>
    <cellStyle name="Comma 9 3 2 9 3" xfId="19750" xr:uid="{D35F03CB-15D4-4100-BEF1-C1A7578AD34C}"/>
    <cellStyle name="Comma 9 3 2 9 3 2" xfId="49990" xr:uid="{E63D0F15-EBF3-48B2-8F5C-4B3D8FBEB00C}"/>
    <cellStyle name="Comma 9 3 2 9 4" xfId="34870" xr:uid="{1CE36950-36D8-4750-ADB2-6AFF56168498}"/>
    <cellStyle name="Comma 9 3 3" xfId="136" xr:uid="{AD99BC90-9410-4872-82D8-28FC01F429D1}"/>
    <cellStyle name="Comma 9 3 3 10" xfId="9208" xr:uid="{DEBE87B4-2248-4FB5-A036-E9B4B9D75673}"/>
    <cellStyle name="Comma 9 3 3 10 2" xfId="24328" xr:uid="{7C8A48A2-B783-4883-B77C-6379B9DC2337}"/>
    <cellStyle name="Comma 9 3 3 10 2 2" xfId="54568" xr:uid="{6845ABA4-A71B-4310-835F-D51B671F4A11}"/>
    <cellStyle name="Comma 9 3 3 10 3" xfId="39448" xr:uid="{8D4951E2-E824-4E32-8583-F378D4038A4E}"/>
    <cellStyle name="Comma 9 3 3 11" xfId="15256" xr:uid="{97353FAE-CDA9-43C4-B625-A453389AE397}"/>
    <cellStyle name="Comma 9 3 3 11 2" xfId="45496" xr:uid="{A6FCBC27-2108-4CDB-9450-B0E9643616FB}"/>
    <cellStyle name="Comma 9 3 3 12" xfId="30376" xr:uid="{3875B457-B367-485F-8ABF-F6085FAD258D}"/>
    <cellStyle name="Comma 9 3 3 2" xfId="388" xr:uid="{14C5C10A-7048-4320-9C92-7235EBF65235}"/>
    <cellStyle name="Comma 9 3 3 2 10" xfId="30628" xr:uid="{FDDA891B-C7AF-4037-8103-81593787162A}"/>
    <cellStyle name="Comma 9 3 3 2 2" xfId="1144" xr:uid="{9609670B-F6ED-4F2D-AB74-79DD00F4242B}"/>
    <cellStyle name="Comma 9 3 3 2 2 2" xfId="2656" xr:uid="{BD9AFC58-25DD-4935-8AA2-9369166B5ADC}"/>
    <cellStyle name="Comma 9 3 3 2 2 2 2" xfId="11728" xr:uid="{6DD2503A-1D94-48F4-A072-0ACF55226D95}"/>
    <cellStyle name="Comma 9 3 3 2 2 2 2 2" xfId="26848" xr:uid="{8E867376-93AF-4FD9-907C-441E7A8D098A}"/>
    <cellStyle name="Comma 9 3 3 2 2 2 2 2 2" xfId="57088" xr:uid="{926931B6-F661-4CA4-9F83-54D2AD7CE457}"/>
    <cellStyle name="Comma 9 3 3 2 2 2 2 3" xfId="41968" xr:uid="{F138849F-CF8B-49DE-A0D8-04F35C32FE6A}"/>
    <cellStyle name="Comma 9 3 3 2 2 2 3" xfId="17776" xr:uid="{497C5548-C6FD-4B2B-A6E5-8E13B21EBBF9}"/>
    <cellStyle name="Comma 9 3 3 2 2 2 3 2" xfId="48016" xr:uid="{D4FEC291-FB90-4AE5-8C9C-C80528CFACC6}"/>
    <cellStyle name="Comma 9 3 3 2 2 2 4" xfId="32896" xr:uid="{C17FFEAB-CC9B-4856-AF73-0520C7746019}"/>
    <cellStyle name="Comma 9 3 3 2 2 3" xfId="4168" xr:uid="{4580E36E-FC1B-4E18-B695-DA6EF5AE1E1C}"/>
    <cellStyle name="Comma 9 3 3 2 2 3 2" xfId="13240" xr:uid="{42CAF4B1-E606-46B3-BD3B-F247355493D9}"/>
    <cellStyle name="Comma 9 3 3 2 2 3 2 2" xfId="28360" xr:uid="{AABCC073-DD6F-47A3-B37F-DF98AFD2DB86}"/>
    <cellStyle name="Comma 9 3 3 2 2 3 2 2 2" xfId="58600" xr:uid="{39DDEF65-3460-4BED-9ED3-0D0EAE24853F}"/>
    <cellStyle name="Comma 9 3 3 2 2 3 2 3" xfId="43480" xr:uid="{B6CB07AE-0745-40EC-9390-94E2D5CE930A}"/>
    <cellStyle name="Comma 9 3 3 2 2 3 3" xfId="19288" xr:uid="{B9F02AE1-8EA4-473C-9E27-E7783F56DCBD}"/>
    <cellStyle name="Comma 9 3 3 2 2 3 3 2" xfId="49528" xr:uid="{15662683-84AA-4D20-AAEB-06CBECB2D9E7}"/>
    <cellStyle name="Comma 9 3 3 2 2 3 4" xfId="34408" xr:uid="{7A5C05A7-B5D4-4BC1-B99B-F30DE8E67BC9}"/>
    <cellStyle name="Comma 9 3 3 2 2 4" xfId="5680" xr:uid="{8AD6A438-5063-405B-865D-629E0FEDEED7}"/>
    <cellStyle name="Comma 9 3 3 2 2 4 2" xfId="14752" xr:uid="{FEB773B3-3AC0-4637-8A35-87CCD7D1545B}"/>
    <cellStyle name="Comma 9 3 3 2 2 4 2 2" xfId="29872" xr:uid="{04E65E45-8529-4338-B0C3-D278A5E306F5}"/>
    <cellStyle name="Comma 9 3 3 2 2 4 2 2 2" xfId="60112" xr:uid="{1B0C6FF1-9FDA-41E2-B780-752594AECCC6}"/>
    <cellStyle name="Comma 9 3 3 2 2 4 2 3" xfId="44992" xr:uid="{C0CF7469-6925-4AEA-9A26-C05DB2915941}"/>
    <cellStyle name="Comma 9 3 3 2 2 4 3" xfId="20800" xr:uid="{1FF508D3-D869-4E1C-92B6-7440806EABEA}"/>
    <cellStyle name="Comma 9 3 3 2 2 4 3 2" xfId="51040" xr:uid="{F81A9835-92A1-46E2-8CEC-DA1589690455}"/>
    <cellStyle name="Comma 9 3 3 2 2 4 4" xfId="35920" xr:uid="{A5FD9B56-6BAC-4818-ADF0-F11B925FFDD0}"/>
    <cellStyle name="Comma 9 3 3 2 2 5" xfId="7192" xr:uid="{31DDBF27-0CD6-4CEE-983E-578D522D0E43}"/>
    <cellStyle name="Comma 9 3 3 2 2 5 2" xfId="22312" xr:uid="{E4778D1A-65C7-4C9E-889F-081FB6D15E29}"/>
    <cellStyle name="Comma 9 3 3 2 2 5 2 2" xfId="52552" xr:uid="{1CEF4D2F-3B22-4BE3-82EC-C5B98AD8DAC6}"/>
    <cellStyle name="Comma 9 3 3 2 2 5 3" xfId="37432" xr:uid="{D8F51BC3-E8D9-4F56-9A9C-4B45DBD7C7B2}"/>
    <cellStyle name="Comma 9 3 3 2 2 6" xfId="8704" xr:uid="{CD59CF05-2C8E-462D-AB1B-B236848E9C13}"/>
    <cellStyle name="Comma 9 3 3 2 2 6 2" xfId="23824" xr:uid="{FA6DE13F-0530-4EF7-B1FB-FC5E1E9E8FC2}"/>
    <cellStyle name="Comma 9 3 3 2 2 6 2 2" xfId="54064" xr:uid="{41140B9E-B2F1-4470-9908-7FAF23A138F4}"/>
    <cellStyle name="Comma 9 3 3 2 2 6 3" xfId="38944" xr:uid="{93DB017A-E74C-49F3-98D1-0F5BFAC9260F}"/>
    <cellStyle name="Comma 9 3 3 2 2 7" xfId="10216" xr:uid="{43E766B4-2549-47A2-B58E-B9C1DB8A7D58}"/>
    <cellStyle name="Comma 9 3 3 2 2 7 2" xfId="25336" xr:uid="{17FF4781-F873-45B7-BED1-3E19C5F847FA}"/>
    <cellStyle name="Comma 9 3 3 2 2 7 2 2" xfId="55576" xr:uid="{C1DB94C2-C748-4E4E-862E-2CF96527CAA6}"/>
    <cellStyle name="Comma 9 3 3 2 2 7 3" xfId="40456" xr:uid="{74CA4904-88EB-41B1-BE9C-3C039B7C87DF}"/>
    <cellStyle name="Comma 9 3 3 2 2 8" xfId="16264" xr:uid="{7BCFA59D-02F2-40F3-9264-E4CA692F7B88}"/>
    <cellStyle name="Comma 9 3 3 2 2 8 2" xfId="46504" xr:uid="{50C5B6ED-6BB5-46CA-AD1A-5085ADCA5F68}"/>
    <cellStyle name="Comma 9 3 3 2 2 9" xfId="31384" xr:uid="{01B2A863-72E7-405D-968A-EED7A609B81E}"/>
    <cellStyle name="Comma 9 3 3 2 3" xfId="1900" xr:uid="{A94B062C-D103-4994-9452-007E934274F3}"/>
    <cellStyle name="Comma 9 3 3 2 3 2" xfId="10972" xr:uid="{676E65B5-D420-44BF-A50F-B3D3B493CB47}"/>
    <cellStyle name="Comma 9 3 3 2 3 2 2" xfId="26092" xr:uid="{5CD4216D-D122-4B46-9DC2-CB9B65A24A35}"/>
    <cellStyle name="Comma 9 3 3 2 3 2 2 2" xfId="56332" xr:uid="{5002B11F-7D1D-4E24-94D0-FDC07547D026}"/>
    <cellStyle name="Comma 9 3 3 2 3 2 3" xfId="41212" xr:uid="{8B52F255-FE25-41CB-BF98-3B086E551B09}"/>
    <cellStyle name="Comma 9 3 3 2 3 3" xfId="17020" xr:uid="{C5B59DFB-DF69-4A56-90D2-FF9FBA7CDABF}"/>
    <cellStyle name="Comma 9 3 3 2 3 3 2" xfId="47260" xr:uid="{BC30C604-5E17-4571-8B64-03AF844A8237}"/>
    <cellStyle name="Comma 9 3 3 2 3 4" xfId="32140" xr:uid="{44392869-AFF7-4839-B51C-A354F320F4E6}"/>
    <cellStyle name="Comma 9 3 3 2 4" xfId="3412" xr:uid="{1DC24675-54A2-4330-B625-62193757C563}"/>
    <cellStyle name="Comma 9 3 3 2 4 2" xfId="12484" xr:uid="{FE674470-13EC-4C9B-99EC-2747B4CD69CC}"/>
    <cellStyle name="Comma 9 3 3 2 4 2 2" xfId="27604" xr:uid="{15F555F9-FC1B-4963-8D98-9CBC9E7EE18C}"/>
    <cellStyle name="Comma 9 3 3 2 4 2 2 2" xfId="57844" xr:uid="{F507C860-5A4F-4AB4-AAD2-BD450CB11B42}"/>
    <cellStyle name="Comma 9 3 3 2 4 2 3" xfId="42724" xr:uid="{64E1E019-0E7C-4852-AB4F-951DB6724506}"/>
    <cellStyle name="Comma 9 3 3 2 4 3" xfId="18532" xr:uid="{12B07941-8BB5-4B73-9CC9-B0B0F619643C}"/>
    <cellStyle name="Comma 9 3 3 2 4 3 2" xfId="48772" xr:uid="{004FE0AC-7109-43FA-863D-541334CD4703}"/>
    <cellStyle name="Comma 9 3 3 2 4 4" xfId="33652" xr:uid="{576C13F4-D72D-4B0E-8030-24A377750C4A}"/>
    <cellStyle name="Comma 9 3 3 2 5" xfId="4924" xr:uid="{965DD549-38C7-4E9F-8363-B68F9F02563B}"/>
    <cellStyle name="Comma 9 3 3 2 5 2" xfId="13996" xr:uid="{FF2A0FD5-D5FE-4DE1-A92D-66D9F5F1D830}"/>
    <cellStyle name="Comma 9 3 3 2 5 2 2" xfId="29116" xr:uid="{50EAB67E-A018-4AFE-9949-13A839B6A519}"/>
    <cellStyle name="Comma 9 3 3 2 5 2 2 2" xfId="59356" xr:uid="{1F2C8686-882D-4483-B95A-6E8CF8549A6D}"/>
    <cellStyle name="Comma 9 3 3 2 5 2 3" xfId="44236" xr:uid="{D0DC86D2-E89F-446D-AA2F-D212CBE25A13}"/>
    <cellStyle name="Comma 9 3 3 2 5 3" xfId="20044" xr:uid="{ABA57E75-BC71-441E-87B8-D911656C7DAE}"/>
    <cellStyle name="Comma 9 3 3 2 5 3 2" xfId="50284" xr:uid="{94DA08CF-72D9-4A24-81DE-32565DE5044F}"/>
    <cellStyle name="Comma 9 3 3 2 5 4" xfId="35164" xr:uid="{C511D2C7-7651-4B56-A01C-9714A539F100}"/>
    <cellStyle name="Comma 9 3 3 2 6" xfId="6436" xr:uid="{231776F0-3C9B-45CD-B51B-524950A99454}"/>
    <cellStyle name="Comma 9 3 3 2 6 2" xfId="21556" xr:uid="{BB3F717A-B748-4776-98AC-E323927FFC31}"/>
    <cellStyle name="Comma 9 3 3 2 6 2 2" xfId="51796" xr:uid="{CB8549EB-4535-4021-9372-01E7C37B55AD}"/>
    <cellStyle name="Comma 9 3 3 2 6 3" xfId="36676" xr:uid="{19312F7A-D8B7-4CD0-B39F-0B232F0E79B5}"/>
    <cellStyle name="Comma 9 3 3 2 7" xfId="7948" xr:uid="{D69D9CEC-268B-4B41-A6CB-7C9744E9A055}"/>
    <cellStyle name="Comma 9 3 3 2 7 2" xfId="23068" xr:uid="{0D7C0497-1180-4F59-A253-FD1DFAE35025}"/>
    <cellStyle name="Comma 9 3 3 2 7 2 2" xfId="53308" xr:uid="{4E022131-FADB-454D-83AA-87EC4380E2CC}"/>
    <cellStyle name="Comma 9 3 3 2 7 3" xfId="38188" xr:uid="{7D732365-245B-4876-A721-582117FA5F22}"/>
    <cellStyle name="Comma 9 3 3 2 8" xfId="9460" xr:uid="{DAEEF730-DBA8-43DF-81FC-E45B7054BA80}"/>
    <cellStyle name="Comma 9 3 3 2 8 2" xfId="24580" xr:uid="{A4A11C8C-CF3E-46D6-8B54-45F405B870A7}"/>
    <cellStyle name="Comma 9 3 3 2 8 2 2" xfId="54820" xr:uid="{9F0C29D9-D02F-46C2-8C1B-F2008F34CF1F}"/>
    <cellStyle name="Comma 9 3 3 2 8 3" xfId="39700" xr:uid="{14D6F673-0DF1-480F-9C29-08E06A0D59AD}"/>
    <cellStyle name="Comma 9 3 3 2 9" xfId="15508" xr:uid="{32717CAD-92E3-47A3-9D19-238CE721A8D8}"/>
    <cellStyle name="Comma 9 3 3 2 9 2" xfId="45748" xr:uid="{25CD4DF3-71C6-4DF8-9ACE-438875E3C53E}"/>
    <cellStyle name="Comma 9 3 3 3" xfId="640" xr:uid="{C9416420-9D97-44E0-9720-3D961EEB7D78}"/>
    <cellStyle name="Comma 9 3 3 3 10" xfId="30880" xr:uid="{EA28D216-3534-4ADC-88DB-542F7B23A7D7}"/>
    <cellStyle name="Comma 9 3 3 3 2" xfId="1396" xr:uid="{8EDBBB22-EA58-4DF2-8FB9-FFB0C5318230}"/>
    <cellStyle name="Comma 9 3 3 3 2 2" xfId="2908" xr:uid="{06845EF2-EF17-4D20-A774-3F3D543296C3}"/>
    <cellStyle name="Comma 9 3 3 3 2 2 2" xfId="11980" xr:uid="{2D14C5C2-CE45-40BC-A2AE-15EEB15683E8}"/>
    <cellStyle name="Comma 9 3 3 3 2 2 2 2" xfId="27100" xr:uid="{3B13D82E-FB4B-46B0-9173-C38CAEC16B7F}"/>
    <cellStyle name="Comma 9 3 3 3 2 2 2 2 2" xfId="57340" xr:uid="{FED87AE7-3CCD-454D-BCAF-DCAAF2A013C4}"/>
    <cellStyle name="Comma 9 3 3 3 2 2 2 3" xfId="42220" xr:uid="{7C07C8F5-2D97-4327-AEA6-CFFC7FF4ED44}"/>
    <cellStyle name="Comma 9 3 3 3 2 2 3" xfId="18028" xr:uid="{08F8188A-3771-4632-ABD1-073A0729F662}"/>
    <cellStyle name="Comma 9 3 3 3 2 2 3 2" xfId="48268" xr:uid="{A8C16ABA-D627-4FA3-88C5-E0D0D8B9860F}"/>
    <cellStyle name="Comma 9 3 3 3 2 2 4" xfId="33148" xr:uid="{11B09588-2754-4279-99A2-5C541ABEBB6B}"/>
    <cellStyle name="Comma 9 3 3 3 2 3" xfId="4420" xr:uid="{E829CAFA-AE49-4316-848B-E63915DCE289}"/>
    <cellStyle name="Comma 9 3 3 3 2 3 2" xfId="13492" xr:uid="{29F4187A-A1E1-44AE-9542-E7335EF8E404}"/>
    <cellStyle name="Comma 9 3 3 3 2 3 2 2" xfId="28612" xr:uid="{F3AC78AB-E280-408F-AE77-DC7FD2421625}"/>
    <cellStyle name="Comma 9 3 3 3 2 3 2 2 2" xfId="58852" xr:uid="{1EFC4AB5-13CC-4681-A4A5-2F81DEBD7AA1}"/>
    <cellStyle name="Comma 9 3 3 3 2 3 2 3" xfId="43732" xr:uid="{85770F97-D5EB-4B4B-BF6C-B9B5355DF6F7}"/>
    <cellStyle name="Comma 9 3 3 3 2 3 3" xfId="19540" xr:uid="{D9D4E98E-9550-4CB1-8F12-5CD374BBA1D3}"/>
    <cellStyle name="Comma 9 3 3 3 2 3 3 2" xfId="49780" xr:uid="{471194F0-6B82-447D-BC7E-2C15CA0D530B}"/>
    <cellStyle name="Comma 9 3 3 3 2 3 4" xfId="34660" xr:uid="{3E3CCD95-DFC5-47F1-84EC-3134CC4AF152}"/>
    <cellStyle name="Comma 9 3 3 3 2 4" xfId="5932" xr:uid="{5E4261BD-74B6-4695-81CE-6393FD12162A}"/>
    <cellStyle name="Comma 9 3 3 3 2 4 2" xfId="15004" xr:uid="{03D7C1E6-4799-40AF-8A95-C2437995842F}"/>
    <cellStyle name="Comma 9 3 3 3 2 4 2 2" xfId="30124" xr:uid="{D91F17FB-1992-4F79-B30D-0F75459A3B3F}"/>
    <cellStyle name="Comma 9 3 3 3 2 4 2 2 2" xfId="60364" xr:uid="{F7E241E7-6796-47AD-A387-B284701B273E}"/>
    <cellStyle name="Comma 9 3 3 3 2 4 2 3" xfId="45244" xr:uid="{CDA130F1-68E5-4871-AA37-5FD4EEB6E5A8}"/>
    <cellStyle name="Comma 9 3 3 3 2 4 3" xfId="21052" xr:uid="{33523FCA-82C5-4267-931A-26758BF63BD7}"/>
    <cellStyle name="Comma 9 3 3 3 2 4 3 2" xfId="51292" xr:uid="{CBAF8A45-C4D3-4348-AD7C-B4A8F6638E52}"/>
    <cellStyle name="Comma 9 3 3 3 2 4 4" xfId="36172" xr:uid="{3E47214A-1024-46BD-93EC-722F0E9971A0}"/>
    <cellStyle name="Comma 9 3 3 3 2 5" xfId="7444" xr:uid="{0AAC6194-C1EB-4EA5-B8DB-45E2A388FC97}"/>
    <cellStyle name="Comma 9 3 3 3 2 5 2" xfId="22564" xr:uid="{0BA7AE3B-ABE8-404D-8AB1-838E9533948E}"/>
    <cellStyle name="Comma 9 3 3 3 2 5 2 2" xfId="52804" xr:uid="{E4BEAAA0-FBFC-404F-86A2-FA9F58B65C78}"/>
    <cellStyle name="Comma 9 3 3 3 2 5 3" xfId="37684" xr:uid="{EB5B904B-CE2D-4E53-B1BF-18F2D3E6B4E4}"/>
    <cellStyle name="Comma 9 3 3 3 2 6" xfId="8956" xr:uid="{42853EB1-0E6A-4B5D-86DE-959420ABB367}"/>
    <cellStyle name="Comma 9 3 3 3 2 6 2" xfId="24076" xr:uid="{5F88E406-CE4E-45D6-8645-DC650549E168}"/>
    <cellStyle name="Comma 9 3 3 3 2 6 2 2" xfId="54316" xr:uid="{F5080FE6-47B4-490F-BBB6-88B39E04EFD9}"/>
    <cellStyle name="Comma 9 3 3 3 2 6 3" xfId="39196" xr:uid="{73FFFAC5-DA59-4FBF-81FF-6089C7670173}"/>
    <cellStyle name="Comma 9 3 3 3 2 7" xfId="10468" xr:uid="{E35B52AC-7B75-4813-BDDA-B4C524579F50}"/>
    <cellStyle name="Comma 9 3 3 3 2 7 2" xfId="25588" xr:uid="{206FA63A-5DCF-4A32-9E48-44126CE61785}"/>
    <cellStyle name="Comma 9 3 3 3 2 7 2 2" xfId="55828" xr:uid="{998A8FF4-D4F9-4079-AEDE-DB3870A35FF5}"/>
    <cellStyle name="Comma 9 3 3 3 2 7 3" xfId="40708" xr:uid="{BCC41B78-1D3F-4147-A58D-34018FC1931A}"/>
    <cellStyle name="Comma 9 3 3 3 2 8" xfId="16516" xr:uid="{ADA574E4-8D2C-4E03-B31D-709AC83318F1}"/>
    <cellStyle name="Comma 9 3 3 3 2 8 2" xfId="46756" xr:uid="{A175503F-B9FF-4FC3-8F84-FB31533BFD8B}"/>
    <cellStyle name="Comma 9 3 3 3 2 9" xfId="31636" xr:uid="{20D992A9-9BA4-41E1-A58C-B592488FAC0B}"/>
    <cellStyle name="Comma 9 3 3 3 3" xfId="2152" xr:uid="{E4355CF2-DF0F-47E2-968A-011E8F17BA6D}"/>
    <cellStyle name="Comma 9 3 3 3 3 2" xfId="11224" xr:uid="{E0220817-6A7F-4CAC-9DC5-424AD2055EA8}"/>
    <cellStyle name="Comma 9 3 3 3 3 2 2" xfId="26344" xr:uid="{1018C67A-43BD-4C36-B00B-D01D55994087}"/>
    <cellStyle name="Comma 9 3 3 3 3 2 2 2" xfId="56584" xr:uid="{1F783EFE-4960-4319-BB5F-946B5A4C8237}"/>
    <cellStyle name="Comma 9 3 3 3 3 2 3" xfId="41464" xr:uid="{A778C175-245F-4FFB-934F-6B40F079168B}"/>
    <cellStyle name="Comma 9 3 3 3 3 3" xfId="17272" xr:uid="{BAADE93D-F609-48B4-99FB-F1BB5E47FD47}"/>
    <cellStyle name="Comma 9 3 3 3 3 3 2" xfId="47512" xr:uid="{E93ABCDF-1C6E-457A-9E51-D66C6A5492DF}"/>
    <cellStyle name="Comma 9 3 3 3 3 4" xfId="32392" xr:uid="{74CA5F4B-2657-4B2C-97A4-8E78D42C76EF}"/>
    <cellStyle name="Comma 9 3 3 3 4" xfId="3664" xr:uid="{F82B90C6-C665-444D-BBB5-3455B9BE21ED}"/>
    <cellStyle name="Comma 9 3 3 3 4 2" xfId="12736" xr:uid="{A37E9AB0-CB6F-471D-8786-0257233941D1}"/>
    <cellStyle name="Comma 9 3 3 3 4 2 2" xfId="27856" xr:uid="{ED2694E5-F1C3-4C23-8195-11CEBEBF2D8A}"/>
    <cellStyle name="Comma 9 3 3 3 4 2 2 2" xfId="58096" xr:uid="{BDC352E9-8645-45BF-A6DD-66F09D116A44}"/>
    <cellStyle name="Comma 9 3 3 3 4 2 3" xfId="42976" xr:uid="{AEF8E2CD-CC9D-4BAD-9472-F6E6B8B233FA}"/>
    <cellStyle name="Comma 9 3 3 3 4 3" xfId="18784" xr:uid="{9DA972E0-D518-466B-9EFF-4CC2771A5EFB}"/>
    <cellStyle name="Comma 9 3 3 3 4 3 2" xfId="49024" xr:uid="{6170EE05-E403-449D-B0D3-86CA8ED80E83}"/>
    <cellStyle name="Comma 9 3 3 3 4 4" xfId="33904" xr:uid="{14BFE272-66BF-43CF-8A6A-951CDAC669F5}"/>
    <cellStyle name="Comma 9 3 3 3 5" xfId="5176" xr:uid="{F1555E60-20E6-4D7A-97D1-5D515DF6FC04}"/>
    <cellStyle name="Comma 9 3 3 3 5 2" xfId="14248" xr:uid="{FDD43E41-2D08-425F-8AA5-AE45A9970696}"/>
    <cellStyle name="Comma 9 3 3 3 5 2 2" xfId="29368" xr:uid="{944B371D-1EF9-408E-BE7D-0091F7FC582E}"/>
    <cellStyle name="Comma 9 3 3 3 5 2 2 2" xfId="59608" xr:uid="{95E36F7D-B291-4AC9-B6A0-64DF38EB5021}"/>
    <cellStyle name="Comma 9 3 3 3 5 2 3" xfId="44488" xr:uid="{37E41E2E-5E49-42B9-8718-046030F9091C}"/>
    <cellStyle name="Comma 9 3 3 3 5 3" xfId="20296" xr:uid="{2F08E12C-1236-43CC-A500-AC6EC3C80BCE}"/>
    <cellStyle name="Comma 9 3 3 3 5 3 2" xfId="50536" xr:uid="{FDB4282D-DEBF-4BDA-8D10-36C91BC39C8C}"/>
    <cellStyle name="Comma 9 3 3 3 5 4" xfId="35416" xr:uid="{D20391E9-DB2A-4F9A-9DB3-94A0E9703975}"/>
    <cellStyle name="Comma 9 3 3 3 6" xfId="6688" xr:uid="{3F20F025-DAB0-44FB-B95F-077252B2C107}"/>
    <cellStyle name="Comma 9 3 3 3 6 2" xfId="21808" xr:uid="{EF727515-6A0D-48AE-8ADB-900F61A70258}"/>
    <cellStyle name="Comma 9 3 3 3 6 2 2" xfId="52048" xr:uid="{28C14D77-8B82-488F-94FA-D0151DE5805C}"/>
    <cellStyle name="Comma 9 3 3 3 6 3" xfId="36928" xr:uid="{44A7F6FC-A329-4F0F-8F01-6258E3067A6A}"/>
    <cellStyle name="Comma 9 3 3 3 7" xfId="8200" xr:uid="{114C6036-F496-421D-BDE7-B52729167C39}"/>
    <cellStyle name="Comma 9 3 3 3 7 2" xfId="23320" xr:uid="{72BC60DE-8B6C-41A5-81F5-B362E26CAB63}"/>
    <cellStyle name="Comma 9 3 3 3 7 2 2" xfId="53560" xr:uid="{EDF67A23-51C5-43F0-A768-91CC573C7054}"/>
    <cellStyle name="Comma 9 3 3 3 7 3" xfId="38440" xr:uid="{614FB41E-49B3-4D6A-A29A-1FAB48082400}"/>
    <cellStyle name="Comma 9 3 3 3 8" xfId="9712" xr:uid="{DBF55EDB-7CC5-4293-83F7-7AEC0A8828EE}"/>
    <cellStyle name="Comma 9 3 3 3 8 2" xfId="24832" xr:uid="{025DAB5B-6AFC-4D30-9E0B-46877C332019}"/>
    <cellStyle name="Comma 9 3 3 3 8 2 2" xfId="55072" xr:uid="{14C8382D-AAFB-48E7-B2B3-E7854E970E57}"/>
    <cellStyle name="Comma 9 3 3 3 8 3" xfId="39952" xr:uid="{72C376DB-FB96-49E4-B138-B39E8D8BCBD1}"/>
    <cellStyle name="Comma 9 3 3 3 9" xfId="15760" xr:uid="{D6FA3AF8-7AAE-4225-BC22-AD9EF77703E5}"/>
    <cellStyle name="Comma 9 3 3 3 9 2" xfId="46000" xr:uid="{7400A1BA-9024-4FA9-A504-DAE2B1579A87}"/>
    <cellStyle name="Comma 9 3 3 4" xfId="892" xr:uid="{10A0F783-0D27-49E2-8AAD-B8DF18503E41}"/>
    <cellStyle name="Comma 9 3 3 4 2" xfId="2404" xr:uid="{C076C7B4-C5AF-4B63-9E7C-B1EA3FC62902}"/>
    <cellStyle name="Comma 9 3 3 4 2 2" xfId="11476" xr:uid="{A3F92A70-7079-4255-BBB5-817875B3AEC8}"/>
    <cellStyle name="Comma 9 3 3 4 2 2 2" xfId="26596" xr:uid="{332AE633-8CE2-477E-8987-042A11BF403A}"/>
    <cellStyle name="Comma 9 3 3 4 2 2 2 2" xfId="56836" xr:uid="{E89383C9-F99C-432C-859A-F2D2A9DA16E3}"/>
    <cellStyle name="Comma 9 3 3 4 2 2 3" xfId="41716" xr:uid="{3DA7F17D-530F-4437-93E4-04507EB31A33}"/>
    <cellStyle name="Comma 9 3 3 4 2 3" xfId="17524" xr:uid="{78C5DE27-A062-4CAA-8EAF-7A58AC9EB1E5}"/>
    <cellStyle name="Comma 9 3 3 4 2 3 2" xfId="47764" xr:uid="{65A6F771-56BA-4C7F-96F0-F8BB21E8B6EB}"/>
    <cellStyle name="Comma 9 3 3 4 2 4" xfId="32644" xr:uid="{15EB012E-BEE8-48B3-BDB9-A373F04C2FC3}"/>
    <cellStyle name="Comma 9 3 3 4 3" xfId="3916" xr:uid="{FDC6618F-AB02-404E-8F70-D653D1A3496A}"/>
    <cellStyle name="Comma 9 3 3 4 3 2" xfId="12988" xr:uid="{E5338E8E-FBA7-4DB4-A7B9-78974BDAABCF}"/>
    <cellStyle name="Comma 9 3 3 4 3 2 2" xfId="28108" xr:uid="{B92DE41B-2106-446E-BD41-0A1E09A6366D}"/>
    <cellStyle name="Comma 9 3 3 4 3 2 2 2" xfId="58348" xr:uid="{44B535E1-1DC1-4792-A3AF-2DF53758C649}"/>
    <cellStyle name="Comma 9 3 3 4 3 2 3" xfId="43228" xr:uid="{07F200FF-A71C-4FD5-9520-D31F00BC7E84}"/>
    <cellStyle name="Comma 9 3 3 4 3 3" xfId="19036" xr:uid="{C61ED9A4-A2FE-4DD1-BD2C-8FD593821DDD}"/>
    <cellStyle name="Comma 9 3 3 4 3 3 2" xfId="49276" xr:uid="{83DBF2A9-3D01-4E63-91C1-85C72B48F15D}"/>
    <cellStyle name="Comma 9 3 3 4 3 4" xfId="34156" xr:uid="{BF573A44-2791-4A12-A6E2-7A60126F1323}"/>
    <cellStyle name="Comma 9 3 3 4 4" xfId="5428" xr:uid="{207206D3-AEA7-4D9C-9E84-831B7E822C54}"/>
    <cellStyle name="Comma 9 3 3 4 4 2" xfId="14500" xr:uid="{D37A639D-94E0-4A93-842D-F6640785DC43}"/>
    <cellStyle name="Comma 9 3 3 4 4 2 2" xfId="29620" xr:uid="{B3A02325-3361-446E-8B31-D5129DB0F2D9}"/>
    <cellStyle name="Comma 9 3 3 4 4 2 2 2" xfId="59860" xr:uid="{DB20CBA3-6691-4512-8E00-6067F9D8940F}"/>
    <cellStyle name="Comma 9 3 3 4 4 2 3" xfId="44740" xr:uid="{661F3646-5634-4DB5-9CD2-2CCC8CB2B08B}"/>
    <cellStyle name="Comma 9 3 3 4 4 3" xfId="20548" xr:uid="{51DD7458-FA94-47CF-B5C9-3B79576A100F}"/>
    <cellStyle name="Comma 9 3 3 4 4 3 2" xfId="50788" xr:uid="{FA19D5F0-31B0-4123-908C-AC726DE220CA}"/>
    <cellStyle name="Comma 9 3 3 4 4 4" xfId="35668" xr:uid="{E923073C-8EBB-4B5A-A92E-B9570C8E2BFC}"/>
    <cellStyle name="Comma 9 3 3 4 5" xfId="6940" xr:uid="{8DA694FE-E11B-4488-BCAB-4EC338F9E192}"/>
    <cellStyle name="Comma 9 3 3 4 5 2" xfId="22060" xr:uid="{05AEDFB8-F629-4FC5-907D-EE949273EC8C}"/>
    <cellStyle name="Comma 9 3 3 4 5 2 2" xfId="52300" xr:uid="{F875EFB0-F1A0-4869-A67C-98FC001611E5}"/>
    <cellStyle name="Comma 9 3 3 4 5 3" xfId="37180" xr:uid="{87D52793-0948-47A2-84B6-58251957D268}"/>
    <cellStyle name="Comma 9 3 3 4 6" xfId="8452" xr:uid="{C6801952-FFFE-4165-AE20-D674AD28449A}"/>
    <cellStyle name="Comma 9 3 3 4 6 2" xfId="23572" xr:uid="{DB61C51A-AB7D-4824-A1E0-1BEF9E367BD0}"/>
    <cellStyle name="Comma 9 3 3 4 6 2 2" xfId="53812" xr:uid="{250B070C-D3CE-4A6D-8F4D-25765CDB77DE}"/>
    <cellStyle name="Comma 9 3 3 4 6 3" xfId="38692" xr:uid="{63F19441-11DA-4623-AD14-CC2A4D256563}"/>
    <cellStyle name="Comma 9 3 3 4 7" xfId="9964" xr:uid="{0B94D43E-555E-469C-9FDC-F08F066780E3}"/>
    <cellStyle name="Comma 9 3 3 4 7 2" xfId="25084" xr:uid="{A2567BD8-AA07-4A37-84B6-6A1760CC7805}"/>
    <cellStyle name="Comma 9 3 3 4 7 2 2" xfId="55324" xr:uid="{36EAABCF-8777-4811-96D3-D2EB953D49FB}"/>
    <cellStyle name="Comma 9 3 3 4 7 3" xfId="40204" xr:uid="{28D0E2AC-3867-4A18-A60C-540400ECC2DE}"/>
    <cellStyle name="Comma 9 3 3 4 8" xfId="16012" xr:uid="{DD6D87F8-7BBD-4C47-8D17-1BD1F2DEE236}"/>
    <cellStyle name="Comma 9 3 3 4 8 2" xfId="46252" xr:uid="{76DBA129-1539-42DD-A700-3F0BAF21E3DB}"/>
    <cellStyle name="Comma 9 3 3 4 9" xfId="31132" xr:uid="{43AA9388-4EE1-45CA-BE82-21EFCEC33796}"/>
    <cellStyle name="Comma 9 3 3 5" xfId="1648" xr:uid="{E2D087DB-8BF8-488D-92A6-268062480E47}"/>
    <cellStyle name="Comma 9 3 3 5 2" xfId="10720" xr:uid="{465E754B-B2E5-4F24-B8D8-D295B368B7D3}"/>
    <cellStyle name="Comma 9 3 3 5 2 2" xfId="25840" xr:uid="{96F1AE70-32F0-4325-B936-14BE1AD08F4B}"/>
    <cellStyle name="Comma 9 3 3 5 2 2 2" xfId="56080" xr:uid="{F004D563-1002-43C4-9D68-34D98F494D5C}"/>
    <cellStyle name="Comma 9 3 3 5 2 3" xfId="40960" xr:uid="{F4303DD4-465A-4293-A622-660B4971193B}"/>
    <cellStyle name="Comma 9 3 3 5 3" xfId="16768" xr:uid="{32573B25-A8FE-46A1-BA13-10B98D3BF6A2}"/>
    <cellStyle name="Comma 9 3 3 5 3 2" xfId="47008" xr:uid="{9F1DF211-739C-4AC8-9F2C-C7BC435C0689}"/>
    <cellStyle name="Comma 9 3 3 5 4" xfId="31888" xr:uid="{663C5090-B78C-4915-9C2B-33DA18718795}"/>
    <cellStyle name="Comma 9 3 3 6" xfId="3160" xr:uid="{3B3B37EE-A117-4711-BCA6-347C7B7ACE83}"/>
    <cellStyle name="Comma 9 3 3 6 2" xfId="12232" xr:uid="{3C697824-D84A-4197-953F-C693E247760A}"/>
    <cellStyle name="Comma 9 3 3 6 2 2" xfId="27352" xr:uid="{5D0EA11C-558C-4E16-9BC3-CFF5C57E1EA9}"/>
    <cellStyle name="Comma 9 3 3 6 2 2 2" xfId="57592" xr:uid="{C96FBC2C-4DBD-43BC-989A-9066C7536039}"/>
    <cellStyle name="Comma 9 3 3 6 2 3" xfId="42472" xr:uid="{6E77285E-4F34-469F-8DAE-2F7B70F36E3F}"/>
    <cellStyle name="Comma 9 3 3 6 3" xfId="18280" xr:uid="{BE6FA0F2-2EE1-40D0-80EA-887B99860D61}"/>
    <cellStyle name="Comma 9 3 3 6 3 2" xfId="48520" xr:uid="{8B0C7899-953A-462B-A6B9-84583651AF99}"/>
    <cellStyle name="Comma 9 3 3 6 4" xfId="33400" xr:uid="{2C7A23DF-0E44-4C0A-B78C-7B18C87C09E2}"/>
    <cellStyle name="Comma 9 3 3 7" xfId="4672" xr:uid="{BDED2187-527F-4A04-A52F-0914453BF9FB}"/>
    <cellStyle name="Comma 9 3 3 7 2" xfId="13744" xr:uid="{FD945FF0-496D-40D5-B710-66E5705C1FEE}"/>
    <cellStyle name="Comma 9 3 3 7 2 2" xfId="28864" xr:uid="{3E770008-349F-400C-8A59-115C5CB26D3A}"/>
    <cellStyle name="Comma 9 3 3 7 2 2 2" xfId="59104" xr:uid="{757301E0-D1DD-48F5-95DD-B3493393F404}"/>
    <cellStyle name="Comma 9 3 3 7 2 3" xfId="43984" xr:uid="{DFAF8FE0-C1A4-45C3-B520-1A88DA2C4F71}"/>
    <cellStyle name="Comma 9 3 3 7 3" xfId="19792" xr:uid="{EF5BE118-A98A-48CF-87C6-B012C21409A5}"/>
    <cellStyle name="Comma 9 3 3 7 3 2" xfId="50032" xr:uid="{4D9D0C96-5645-4EF3-B6AA-40502E3E752A}"/>
    <cellStyle name="Comma 9 3 3 7 4" xfId="34912" xr:uid="{A7B08BDF-9E05-47CA-96C1-266E60CD43BD}"/>
    <cellStyle name="Comma 9 3 3 8" xfId="6184" xr:uid="{1C3F8AF2-D323-422D-A94C-7509C9ADB1EE}"/>
    <cellStyle name="Comma 9 3 3 8 2" xfId="21304" xr:uid="{E613C9E4-E9D7-42B6-B0F9-6856E0854B5B}"/>
    <cellStyle name="Comma 9 3 3 8 2 2" xfId="51544" xr:uid="{5D40F545-1199-45EE-B929-7AF7F94E7361}"/>
    <cellStyle name="Comma 9 3 3 8 3" xfId="36424" xr:uid="{BBD2149D-C229-48F6-9493-C3B4535603A5}"/>
    <cellStyle name="Comma 9 3 3 9" xfId="7696" xr:uid="{ADBA0B33-1D9A-48F6-AAAB-D03F821EAC0A}"/>
    <cellStyle name="Comma 9 3 3 9 2" xfId="22816" xr:uid="{5FB3B888-B7E7-42EB-B662-ACD031C8FCCE}"/>
    <cellStyle name="Comma 9 3 3 9 2 2" xfId="53056" xr:uid="{547D694E-9AC8-43E5-A98E-06EF61855272}"/>
    <cellStyle name="Comma 9 3 3 9 3" xfId="37936" xr:uid="{E61F96CA-160E-4B6F-9A1B-B5D7E72B00AF}"/>
    <cellStyle name="Comma 9 3 4" xfId="220" xr:uid="{643D1195-E476-428D-B21E-9D6170748EC4}"/>
    <cellStyle name="Comma 9 3 4 10" xfId="9292" xr:uid="{1930CDBE-5C26-40DC-A68A-CEC0283F5084}"/>
    <cellStyle name="Comma 9 3 4 10 2" xfId="24412" xr:uid="{EE3AC23B-C1A0-4B6A-81E9-2FA9605F2C18}"/>
    <cellStyle name="Comma 9 3 4 10 2 2" xfId="54652" xr:uid="{62C190BF-D4CE-4FF6-BD4F-532D4F5C314A}"/>
    <cellStyle name="Comma 9 3 4 10 3" xfId="39532" xr:uid="{AB710183-4300-42B2-A367-97AD28AE3B03}"/>
    <cellStyle name="Comma 9 3 4 11" xfId="15340" xr:uid="{AE57FADD-12B3-43BB-8923-2E82FA3FCB6A}"/>
    <cellStyle name="Comma 9 3 4 11 2" xfId="45580" xr:uid="{03D60E20-1BE7-4DCC-97D8-36D09D9CAF9C}"/>
    <cellStyle name="Comma 9 3 4 12" xfId="30460" xr:uid="{045A07F6-E30E-4D7F-8475-17F1E5DA1242}"/>
    <cellStyle name="Comma 9 3 4 2" xfId="472" xr:uid="{F509383E-E801-4E0D-90BD-EDCA03E790B4}"/>
    <cellStyle name="Comma 9 3 4 2 10" xfId="30712" xr:uid="{88F5E0DE-CB4B-4F17-ADE1-7D43165CC474}"/>
    <cellStyle name="Comma 9 3 4 2 2" xfId="1228" xr:uid="{17967D3C-734A-4553-9767-1D9957901611}"/>
    <cellStyle name="Comma 9 3 4 2 2 2" xfId="2740" xr:uid="{ED7A8EE4-87A2-4FCF-A7EE-8EAFD786D796}"/>
    <cellStyle name="Comma 9 3 4 2 2 2 2" xfId="11812" xr:uid="{B8477588-DE17-4F5D-81CF-F9BF95C8BCD7}"/>
    <cellStyle name="Comma 9 3 4 2 2 2 2 2" xfId="26932" xr:uid="{A0358CC1-2387-4FB7-854F-A655FA260D7D}"/>
    <cellStyle name="Comma 9 3 4 2 2 2 2 2 2" xfId="57172" xr:uid="{297BE052-C6B8-43D0-83ED-C08A599AC55B}"/>
    <cellStyle name="Comma 9 3 4 2 2 2 2 3" xfId="42052" xr:uid="{7A3253D1-133C-4B81-B596-2B6B1BBB70FE}"/>
    <cellStyle name="Comma 9 3 4 2 2 2 3" xfId="17860" xr:uid="{A46EA687-8469-4194-B521-8E28F216C8E6}"/>
    <cellStyle name="Comma 9 3 4 2 2 2 3 2" xfId="48100" xr:uid="{59BF7C4D-EF75-4B34-9EDC-72574E6622A1}"/>
    <cellStyle name="Comma 9 3 4 2 2 2 4" xfId="32980" xr:uid="{4DC1DDFE-07CA-4D72-837E-2BA6B92309BB}"/>
    <cellStyle name="Comma 9 3 4 2 2 3" xfId="4252" xr:uid="{3328F0F3-A6F3-493C-8559-5E8EB71106B8}"/>
    <cellStyle name="Comma 9 3 4 2 2 3 2" xfId="13324" xr:uid="{ABA4D694-7DB8-4E8A-90EF-B1BF2B1166B4}"/>
    <cellStyle name="Comma 9 3 4 2 2 3 2 2" xfId="28444" xr:uid="{B0644B52-1BC1-437D-91B9-EF7C47812784}"/>
    <cellStyle name="Comma 9 3 4 2 2 3 2 2 2" xfId="58684" xr:uid="{9A23D7D5-7222-436F-9CFE-1BF553700CC2}"/>
    <cellStyle name="Comma 9 3 4 2 2 3 2 3" xfId="43564" xr:uid="{ACF114A3-B93E-460E-83EC-E3294F670657}"/>
    <cellStyle name="Comma 9 3 4 2 2 3 3" xfId="19372" xr:uid="{AFBE4593-1E7A-4B66-BC83-05FA68980E18}"/>
    <cellStyle name="Comma 9 3 4 2 2 3 3 2" xfId="49612" xr:uid="{63277F66-9CF4-4DD5-9498-318E22FBE73B}"/>
    <cellStyle name="Comma 9 3 4 2 2 3 4" xfId="34492" xr:uid="{F741EA86-85E5-47F6-BAC6-E8DB77360395}"/>
    <cellStyle name="Comma 9 3 4 2 2 4" xfId="5764" xr:uid="{C3F0888A-7F6B-4E7F-A857-013712210871}"/>
    <cellStyle name="Comma 9 3 4 2 2 4 2" xfId="14836" xr:uid="{25BD2C3D-0755-4841-B959-C619362E88F3}"/>
    <cellStyle name="Comma 9 3 4 2 2 4 2 2" xfId="29956" xr:uid="{1B3EAA43-B2F9-46CA-9C78-76DCAAF01D31}"/>
    <cellStyle name="Comma 9 3 4 2 2 4 2 2 2" xfId="60196" xr:uid="{5C1829C9-6162-4FA2-9E4B-CD5CBF54B69E}"/>
    <cellStyle name="Comma 9 3 4 2 2 4 2 3" xfId="45076" xr:uid="{64B4566A-805C-4E7A-9BBB-F61EC260C3EE}"/>
    <cellStyle name="Comma 9 3 4 2 2 4 3" xfId="20884" xr:uid="{298A994E-8970-4630-885D-4D575F64D39D}"/>
    <cellStyle name="Comma 9 3 4 2 2 4 3 2" xfId="51124" xr:uid="{0D14290C-A293-4C02-B61A-2C6D0D7D6258}"/>
    <cellStyle name="Comma 9 3 4 2 2 4 4" xfId="36004" xr:uid="{856490FB-7C64-43F3-AC61-5D3A7614000B}"/>
    <cellStyle name="Comma 9 3 4 2 2 5" xfId="7276" xr:uid="{B3F3F7A5-49F6-4F38-B061-DC9E59B7147E}"/>
    <cellStyle name="Comma 9 3 4 2 2 5 2" xfId="22396" xr:uid="{5A1E06DD-741F-4FF8-9608-88A7E7C3068D}"/>
    <cellStyle name="Comma 9 3 4 2 2 5 2 2" xfId="52636" xr:uid="{5411535C-C197-4FF2-A1CE-5532B81790DD}"/>
    <cellStyle name="Comma 9 3 4 2 2 5 3" xfId="37516" xr:uid="{BC47E159-C618-4196-9C14-B6502E8C2CE2}"/>
    <cellStyle name="Comma 9 3 4 2 2 6" xfId="8788" xr:uid="{25FE4FE0-6B39-4B77-A203-B7EE6A8161B0}"/>
    <cellStyle name="Comma 9 3 4 2 2 6 2" xfId="23908" xr:uid="{D7C39322-22C7-4207-95FA-BDD7EAEDDD4A}"/>
    <cellStyle name="Comma 9 3 4 2 2 6 2 2" xfId="54148" xr:uid="{B40417D4-76C3-4EDA-95BE-15F6F9EA4F75}"/>
    <cellStyle name="Comma 9 3 4 2 2 6 3" xfId="39028" xr:uid="{EB60C4D5-5CBC-4E96-A64A-1B24A865D853}"/>
    <cellStyle name="Comma 9 3 4 2 2 7" xfId="10300" xr:uid="{098FACCE-95FB-4219-A74E-F43459A062ED}"/>
    <cellStyle name="Comma 9 3 4 2 2 7 2" xfId="25420" xr:uid="{05C64A6C-3446-4273-A944-4512E6E703F3}"/>
    <cellStyle name="Comma 9 3 4 2 2 7 2 2" xfId="55660" xr:uid="{3E86721B-34BB-4C86-8E41-431D8E754EBD}"/>
    <cellStyle name="Comma 9 3 4 2 2 7 3" xfId="40540" xr:uid="{970ED888-8013-417F-AB80-63B93E60D7D1}"/>
    <cellStyle name="Comma 9 3 4 2 2 8" xfId="16348" xr:uid="{FE6F7A94-3011-4981-B5CC-21FE99BE290F}"/>
    <cellStyle name="Comma 9 3 4 2 2 8 2" xfId="46588" xr:uid="{4A8AC142-C556-46AF-9678-C4869E7AAF79}"/>
    <cellStyle name="Comma 9 3 4 2 2 9" xfId="31468" xr:uid="{3274CC4E-AEE2-4786-9E81-340012A9690B}"/>
    <cellStyle name="Comma 9 3 4 2 3" xfId="1984" xr:uid="{97E96681-8491-40E2-8307-02DCCDB9EC90}"/>
    <cellStyle name="Comma 9 3 4 2 3 2" xfId="11056" xr:uid="{E56AC8C3-D48C-4132-AA60-5611CBDF10AB}"/>
    <cellStyle name="Comma 9 3 4 2 3 2 2" xfId="26176" xr:uid="{A47BD94E-2B11-4026-9DB8-82AA62684643}"/>
    <cellStyle name="Comma 9 3 4 2 3 2 2 2" xfId="56416" xr:uid="{C059B036-6993-4003-A2AB-EB34F7B5DEB2}"/>
    <cellStyle name="Comma 9 3 4 2 3 2 3" xfId="41296" xr:uid="{C8F2B0CE-5176-40B2-B162-EACEBB0A5FE0}"/>
    <cellStyle name="Comma 9 3 4 2 3 3" xfId="17104" xr:uid="{D3976E3E-24F1-4561-AF57-F1678F95DB59}"/>
    <cellStyle name="Comma 9 3 4 2 3 3 2" xfId="47344" xr:uid="{7F64E51B-19F7-4140-8DF6-40BD0E57CEE2}"/>
    <cellStyle name="Comma 9 3 4 2 3 4" xfId="32224" xr:uid="{8267D2C8-4974-4C17-9C13-BF19C3281E21}"/>
    <cellStyle name="Comma 9 3 4 2 4" xfId="3496" xr:uid="{23063003-FB1D-485B-BCDD-6B73BAE7FE20}"/>
    <cellStyle name="Comma 9 3 4 2 4 2" xfId="12568" xr:uid="{704A510D-C9F4-49B4-8628-7DE23E1C2F55}"/>
    <cellStyle name="Comma 9 3 4 2 4 2 2" xfId="27688" xr:uid="{BCB2E7BC-8640-4883-B913-4AB7A05DA715}"/>
    <cellStyle name="Comma 9 3 4 2 4 2 2 2" xfId="57928" xr:uid="{C8651ADA-26CC-429F-A69F-223717BF38C4}"/>
    <cellStyle name="Comma 9 3 4 2 4 2 3" xfId="42808" xr:uid="{313AEB1C-E352-4A4C-B834-6B4845684746}"/>
    <cellStyle name="Comma 9 3 4 2 4 3" xfId="18616" xr:uid="{DB8FC214-51F5-4796-96F9-562252DD3D68}"/>
    <cellStyle name="Comma 9 3 4 2 4 3 2" xfId="48856" xr:uid="{17FDED88-93E9-4D98-923B-1591C798258E}"/>
    <cellStyle name="Comma 9 3 4 2 4 4" xfId="33736" xr:uid="{1E8427E6-521A-45F6-A672-AC344E0ACBE9}"/>
    <cellStyle name="Comma 9 3 4 2 5" xfId="5008" xr:uid="{9CAF72DA-4AC8-4694-9874-E8C108EB1ECE}"/>
    <cellStyle name="Comma 9 3 4 2 5 2" xfId="14080" xr:uid="{0F297899-7155-4B1F-80A0-BC3E19C294C7}"/>
    <cellStyle name="Comma 9 3 4 2 5 2 2" xfId="29200" xr:uid="{2A101FF4-0765-474D-9B92-F4A629F42C4A}"/>
    <cellStyle name="Comma 9 3 4 2 5 2 2 2" xfId="59440" xr:uid="{FC27EBF0-C2E9-4A2F-8D32-DEE23DC1997A}"/>
    <cellStyle name="Comma 9 3 4 2 5 2 3" xfId="44320" xr:uid="{4B9E6CBE-189F-4886-BC1B-7F29E5144FF2}"/>
    <cellStyle name="Comma 9 3 4 2 5 3" xfId="20128" xr:uid="{FFC6A301-F35F-41FF-8D6C-4B5E6930E12F}"/>
    <cellStyle name="Comma 9 3 4 2 5 3 2" xfId="50368" xr:uid="{90606082-9CBD-4B43-800A-5AACC27FD8FB}"/>
    <cellStyle name="Comma 9 3 4 2 5 4" xfId="35248" xr:uid="{A074A76E-C235-46B8-B772-B6BE6ED2B2B9}"/>
    <cellStyle name="Comma 9 3 4 2 6" xfId="6520" xr:uid="{04E8DC83-5280-4A78-8484-F66FDDF4C179}"/>
    <cellStyle name="Comma 9 3 4 2 6 2" xfId="21640" xr:uid="{4241CD15-BAE2-44C9-8881-F2B304AACB10}"/>
    <cellStyle name="Comma 9 3 4 2 6 2 2" xfId="51880" xr:uid="{ADEB767F-D681-4FD6-90BE-57D6A5114F0E}"/>
    <cellStyle name="Comma 9 3 4 2 6 3" xfId="36760" xr:uid="{BB590919-7A00-4D6B-A0AD-10D8BDDD580E}"/>
    <cellStyle name="Comma 9 3 4 2 7" xfId="8032" xr:uid="{4F03AE89-B607-499F-8711-75881F6C42EA}"/>
    <cellStyle name="Comma 9 3 4 2 7 2" xfId="23152" xr:uid="{33805CB6-05AE-473D-A8FF-15B51E7FAD15}"/>
    <cellStyle name="Comma 9 3 4 2 7 2 2" xfId="53392" xr:uid="{A21777F1-9E60-41A1-83E8-94BFB62DE873}"/>
    <cellStyle name="Comma 9 3 4 2 7 3" xfId="38272" xr:uid="{C23BDE10-F0F7-4E29-935B-3D9FB8C5B0F9}"/>
    <cellStyle name="Comma 9 3 4 2 8" xfId="9544" xr:uid="{2CA78C70-EECA-4F47-9831-CB0DBDD6640F}"/>
    <cellStyle name="Comma 9 3 4 2 8 2" xfId="24664" xr:uid="{5B168174-5DBF-4519-B84C-0AEAFA9F5757}"/>
    <cellStyle name="Comma 9 3 4 2 8 2 2" xfId="54904" xr:uid="{6AD14D8C-31DE-4A58-A549-9DEA75AB9904}"/>
    <cellStyle name="Comma 9 3 4 2 8 3" xfId="39784" xr:uid="{52CA66DA-D1DC-4F93-9945-FDF621050198}"/>
    <cellStyle name="Comma 9 3 4 2 9" xfId="15592" xr:uid="{8AB3CE7E-4E29-44D7-8007-243DC0A9A01B}"/>
    <cellStyle name="Comma 9 3 4 2 9 2" xfId="45832" xr:uid="{511382B4-4A85-4EF9-8C46-45531ADCA7E3}"/>
    <cellStyle name="Comma 9 3 4 3" xfId="724" xr:uid="{ADA5BC4E-8C9E-4FD1-B7B2-466265691A35}"/>
    <cellStyle name="Comma 9 3 4 3 10" xfId="30964" xr:uid="{9BD0032B-128E-4C93-BE79-42B39079122E}"/>
    <cellStyle name="Comma 9 3 4 3 2" xfId="1480" xr:uid="{A76304B3-D359-4A87-88A3-0439AB3DBB55}"/>
    <cellStyle name="Comma 9 3 4 3 2 2" xfId="2992" xr:uid="{42434214-A458-4147-82FF-71FBF0994786}"/>
    <cellStyle name="Comma 9 3 4 3 2 2 2" xfId="12064" xr:uid="{9FF34FC4-B7DA-40D3-9762-168535C05742}"/>
    <cellStyle name="Comma 9 3 4 3 2 2 2 2" xfId="27184" xr:uid="{8FAF731B-9886-4DF2-A973-269DA0B54288}"/>
    <cellStyle name="Comma 9 3 4 3 2 2 2 2 2" xfId="57424" xr:uid="{75D782CF-A7A0-4726-B2E4-63DD0D358A41}"/>
    <cellStyle name="Comma 9 3 4 3 2 2 2 3" xfId="42304" xr:uid="{F72CEA51-19C4-4C0C-9276-4EA67B4AFCE6}"/>
    <cellStyle name="Comma 9 3 4 3 2 2 3" xfId="18112" xr:uid="{7A56AC3E-E2C4-48F7-95F8-CB0A0C33755E}"/>
    <cellStyle name="Comma 9 3 4 3 2 2 3 2" xfId="48352" xr:uid="{7EED3D83-ADBF-4392-9893-BD2D85E3FC48}"/>
    <cellStyle name="Comma 9 3 4 3 2 2 4" xfId="33232" xr:uid="{ECD1A9A2-3585-45F9-B827-74A99D1C6B88}"/>
    <cellStyle name="Comma 9 3 4 3 2 3" xfId="4504" xr:uid="{080D943E-1F59-4942-946B-5C451DA0258E}"/>
    <cellStyle name="Comma 9 3 4 3 2 3 2" xfId="13576" xr:uid="{B46C8A1D-D44E-475E-B001-57190A9E4E24}"/>
    <cellStyle name="Comma 9 3 4 3 2 3 2 2" xfId="28696" xr:uid="{585A3AE6-BBA1-4117-82A5-8FCB066130B9}"/>
    <cellStyle name="Comma 9 3 4 3 2 3 2 2 2" xfId="58936" xr:uid="{A0B11CCE-8EE1-440D-A7EB-98DFD43EC976}"/>
    <cellStyle name="Comma 9 3 4 3 2 3 2 3" xfId="43816" xr:uid="{2B1A9B3C-9531-4D34-9F06-A634DB89A891}"/>
    <cellStyle name="Comma 9 3 4 3 2 3 3" xfId="19624" xr:uid="{82739F1F-8731-46DB-AA66-8A838412C60C}"/>
    <cellStyle name="Comma 9 3 4 3 2 3 3 2" xfId="49864" xr:uid="{53FF76C5-A102-457B-A309-084B3CD04920}"/>
    <cellStyle name="Comma 9 3 4 3 2 3 4" xfId="34744" xr:uid="{71CA4A8B-4A98-43D1-83AA-5B6DF32FEB33}"/>
    <cellStyle name="Comma 9 3 4 3 2 4" xfId="6016" xr:uid="{A0351C4E-6438-41B3-8CB5-C5345D64EA14}"/>
    <cellStyle name="Comma 9 3 4 3 2 4 2" xfId="15088" xr:uid="{C3B68C88-F7AF-4443-8619-DDDDDD90AF9C}"/>
    <cellStyle name="Comma 9 3 4 3 2 4 2 2" xfId="30208" xr:uid="{7EBB0B16-91FA-4754-B4E3-9001FC6B31D5}"/>
    <cellStyle name="Comma 9 3 4 3 2 4 2 2 2" xfId="60448" xr:uid="{652EC533-A935-4B38-A426-E614E594E850}"/>
    <cellStyle name="Comma 9 3 4 3 2 4 2 3" xfId="45328" xr:uid="{4168047B-ED1E-4A3A-9BCB-BA220F3A6EC0}"/>
    <cellStyle name="Comma 9 3 4 3 2 4 3" xfId="21136" xr:uid="{908CC6DC-2182-42C3-95CD-E2A88782A385}"/>
    <cellStyle name="Comma 9 3 4 3 2 4 3 2" xfId="51376" xr:uid="{3FF2014D-385F-4F7C-81F3-1FCEA33D83AA}"/>
    <cellStyle name="Comma 9 3 4 3 2 4 4" xfId="36256" xr:uid="{14EA3B92-FAD8-45D9-9B00-8CC875C367C9}"/>
    <cellStyle name="Comma 9 3 4 3 2 5" xfId="7528" xr:uid="{D82C1D93-98F9-4738-A2F5-8160577DFF75}"/>
    <cellStyle name="Comma 9 3 4 3 2 5 2" xfId="22648" xr:uid="{051F4395-57D5-4F09-B6E3-998F1943BE84}"/>
    <cellStyle name="Comma 9 3 4 3 2 5 2 2" xfId="52888" xr:uid="{570167F8-401F-4980-ADAD-7EDA29F96EBE}"/>
    <cellStyle name="Comma 9 3 4 3 2 5 3" xfId="37768" xr:uid="{1481795B-1AB7-4B0B-BF50-4812D5C2E698}"/>
    <cellStyle name="Comma 9 3 4 3 2 6" xfId="9040" xr:uid="{4C7013AC-C735-45F8-87CB-A86EFC3221A1}"/>
    <cellStyle name="Comma 9 3 4 3 2 6 2" xfId="24160" xr:uid="{9E57A2E2-8B79-4B41-90F5-A172B546894D}"/>
    <cellStyle name="Comma 9 3 4 3 2 6 2 2" xfId="54400" xr:uid="{691573DA-BBE5-475F-ADDD-A87EF40D785A}"/>
    <cellStyle name="Comma 9 3 4 3 2 6 3" xfId="39280" xr:uid="{26F97683-D17D-4C48-A6E5-AB1ED2BF8CB1}"/>
    <cellStyle name="Comma 9 3 4 3 2 7" xfId="10552" xr:uid="{65B15F0F-20DC-485E-AE54-F9EB71AD518E}"/>
    <cellStyle name="Comma 9 3 4 3 2 7 2" xfId="25672" xr:uid="{FA4E3E46-F367-46D9-9544-A2860C9199CE}"/>
    <cellStyle name="Comma 9 3 4 3 2 7 2 2" xfId="55912" xr:uid="{950BB8CB-B8D5-478C-9444-6B5248541815}"/>
    <cellStyle name="Comma 9 3 4 3 2 7 3" xfId="40792" xr:uid="{61A7EC14-34C5-4DFE-B58A-D8BB37BD8B61}"/>
    <cellStyle name="Comma 9 3 4 3 2 8" xfId="16600" xr:uid="{5FD42061-DD33-48E8-8F34-3825373E1871}"/>
    <cellStyle name="Comma 9 3 4 3 2 8 2" xfId="46840" xr:uid="{6B29C38E-702C-4C36-AAB3-825C7EEE4A75}"/>
    <cellStyle name="Comma 9 3 4 3 2 9" xfId="31720" xr:uid="{9A0F2B2A-5F03-40C3-B9EA-D5B79556EEF5}"/>
    <cellStyle name="Comma 9 3 4 3 3" xfId="2236" xr:uid="{5E469358-25E7-4A6B-A646-6E50FB8BA3D5}"/>
    <cellStyle name="Comma 9 3 4 3 3 2" xfId="11308" xr:uid="{95AE74E3-BB57-4B58-9587-E49109C1B33C}"/>
    <cellStyle name="Comma 9 3 4 3 3 2 2" xfId="26428" xr:uid="{1F1347FB-3579-450C-8B91-A937B4B1A740}"/>
    <cellStyle name="Comma 9 3 4 3 3 2 2 2" xfId="56668" xr:uid="{C86DDFBE-0198-4992-B472-1B2551F0D753}"/>
    <cellStyle name="Comma 9 3 4 3 3 2 3" xfId="41548" xr:uid="{F3BE55DE-9AB2-4277-8B50-CB3925F7C11B}"/>
    <cellStyle name="Comma 9 3 4 3 3 3" xfId="17356" xr:uid="{A3D89AE4-D347-4CB4-AC88-01021C928982}"/>
    <cellStyle name="Comma 9 3 4 3 3 3 2" xfId="47596" xr:uid="{0D718082-F32E-4EBA-BCB7-5FDDB2273463}"/>
    <cellStyle name="Comma 9 3 4 3 3 4" xfId="32476" xr:uid="{14BB09E2-C0B0-442B-A0F8-DC09E9B29C2F}"/>
    <cellStyle name="Comma 9 3 4 3 4" xfId="3748" xr:uid="{D0753187-0C9D-4315-968D-56DBCC5F5EE5}"/>
    <cellStyle name="Comma 9 3 4 3 4 2" xfId="12820" xr:uid="{455B10D3-8FFB-4CAB-97DE-CBE8DB0291E1}"/>
    <cellStyle name="Comma 9 3 4 3 4 2 2" xfId="27940" xr:uid="{C0CF3154-EB1C-4864-BA17-E69A07ED55E6}"/>
    <cellStyle name="Comma 9 3 4 3 4 2 2 2" xfId="58180" xr:uid="{362A9DA3-ACD6-4306-874D-1835E765C604}"/>
    <cellStyle name="Comma 9 3 4 3 4 2 3" xfId="43060" xr:uid="{E4438A04-FA28-4A64-95E7-F7AE5AFE55DC}"/>
    <cellStyle name="Comma 9 3 4 3 4 3" xfId="18868" xr:uid="{0CF646C3-767A-4345-BA55-626FCEEE23A9}"/>
    <cellStyle name="Comma 9 3 4 3 4 3 2" xfId="49108" xr:uid="{EFD12988-821D-4BD9-BD01-58EA6DCB033E}"/>
    <cellStyle name="Comma 9 3 4 3 4 4" xfId="33988" xr:uid="{E0208E1F-612A-4917-B291-326902E5F7DB}"/>
    <cellStyle name="Comma 9 3 4 3 5" xfId="5260" xr:uid="{EB316BF3-8DED-415A-AE4C-D6F318FAD6EE}"/>
    <cellStyle name="Comma 9 3 4 3 5 2" xfId="14332" xr:uid="{754EDA8F-E067-4CAE-9A8D-F516B7942934}"/>
    <cellStyle name="Comma 9 3 4 3 5 2 2" xfId="29452" xr:uid="{EE38412B-3BAF-4765-B458-2E5FBA69D077}"/>
    <cellStyle name="Comma 9 3 4 3 5 2 2 2" xfId="59692" xr:uid="{40E39B1B-4919-4945-B1B5-646184DE53D1}"/>
    <cellStyle name="Comma 9 3 4 3 5 2 3" xfId="44572" xr:uid="{81E90D25-A78E-4FAB-9EA0-DCE540347D50}"/>
    <cellStyle name="Comma 9 3 4 3 5 3" xfId="20380" xr:uid="{DBEB770D-9A91-4E34-8AC0-EBC97583D826}"/>
    <cellStyle name="Comma 9 3 4 3 5 3 2" xfId="50620" xr:uid="{E211024B-5790-46E4-87BB-E06D10637D51}"/>
    <cellStyle name="Comma 9 3 4 3 5 4" xfId="35500" xr:uid="{507C0017-850D-43D5-9AE9-5C95BCADDDB7}"/>
    <cellStyle name="Comma 9 3 4 3 6" xfId="6772" xr:uid="{5D220A92-0290-471A-AC77-EAF176304F9C}"/>
    <cellStyle name="Comma 9 3 4 3 6 2" xfId="21892" xr:uid="{BC76ABAB-4FCD-4E74-B614-919C8CB69223}"/>
    <cellStyle name="Comma 9 3 4 3 6 2 2" xfId="52132" xr:uid="{A7965405-72A9-4055-8CE3-8E17AF80E39C}"/>
    <cellStyle name="Comma 9 3 4 3 6 3" xfId="37012" xr:uid="{2CD00C6D-6342-4D37-90F6-1EAF4F793BD4}"/>
    <cellStyle name="Comma 9 3 4 3 7" xfId="8284" xr:uid="{0DA4B630-DF62-47CC-B19B-6D8D3A4F2754}"/>
    <cellStyle name="Comma 9 3 4 3 7 2" xfId="23404" xr:uid="{30F53830-3A36-4CB3-90BD-E624042AF395}"/>
    <cellStyle name="Comma 9 3 4 3 7 2 2" xfId="53644" xr:uid="{523C6D0F-EA2C-46E8-B803-2811FD814119}"/>
    <cellStyle name="Comma 9 3 4 3 7 3" xfId="38524" xr:uid="{51F2818F-F7AE-4BBE-93E3-908ABA4C84E2}"/>
    <cellStyle name="Comma 9 3 4 3 8" xfId="9796" xr:uid="{E4528FC4-06C8-4350-B35D-0F7928E5FBE9}"/>
    <cellStyle name="Comma 9 3 4 3 8 2" xfId="24916" xr:uid="{1E1C079E-410B-483C-8F3B-16A8E52449A7}"/>
    <cellStyle name="Comma 9 3 4 3 8 2 2" xfId="55156" xr:uid="{41AEC4C4-FDC5-4C60-B5F2-C4EECCA33B57}"/>
    <cellStyle name="Comma 9 3 4 3 8 3" xfId="40036" xr:uid="{0593C71C-9E27-4DD7-A82B-9AEC677622E7}"/>
    <cellStyle name="Comma 9 3 4 3 9" xfId="15844" xr:uid="{A8B11487-EC13-4511-A245-62206306AE94}"/>
    <cellStyle name="Comma 9 3 4 3 9 2" xfId="46084" xr:uid="{50DAA685-894E-43AA-B8B9-F49E9BE5316E}"/>
    <cellStyle name="Comma 9 3 4 4" xfId="976" xr:uid="{A46482EC-3B5F-4D36-9E73-B57DE87D3A35}"/>
    <cellStyle name="Comma 9 3 4 4 2" xfId="2488" xr:uid="{78AD5E73-B5D7-469A-AE99-A1ECCFE0065F}"/>
    <cellStyle name="Comma 9 3 4 4 2 2" xfId="11560" xr:uid="{D554B45F-6159-49D9-B967-2FE33BB2E9EE}"/>
    <cellStyle name="Comma 9 3 4 4 2 2 2" xfId="26680" xr:uid="{8528400D-E434-4EE6-A895-7A22D65887A5}"/>
    <cellStyle name="Comma 9 3 4 4 2 2 2 2" xfId="56920" xr:uid="{7BF983A8-95EB-472D-8B5E-81E1B06C9208}"/>
    <cellStyle name="Comma 9 3 4 4 2 2 3" xfId="41800" xr:uid="{C59A0847-100D-472C-8BF3-0C368699D241}"/>
    <cellStyle name="Comma 9 3 4 4 2 3" xfId="17608" xr:uid="{5DD44F9D-D73B-4FFC-8149-79D391DAD26A}"/>
    <cellStyle name="Comma 9 3 4 4 2 3 2" xfId="47848" xr:uid="{DAAA9605-1ED3-42CE-A315-39CE847E85E8}"/>
    <cellStyle name="Comma 9 3 4 4 2 4" xfId="32728" xr:uid="{C11D9D2C-D5DF-4465-912D-DF52DEFBA17C}"/>
    <cellStyle name="Comma 9 3 4 4 3" xfId="4000" xr:uid="{5AC375C3-C97C-42F0-BC7B-E13936C4EA08}"/>
    <cellStyle name="Comma 9 3 4 4 3 2" xfId="13072" xr:uid="{92E67EED-0EC1-4ED5-B962-059852897580}"/>
    <cellStyle name="Comma 9 3 4 4 3 2 2" xfId="28192" xr:uid="{382A0025-E9AB-4316-BD27-96EE05D97A36}"/>
    <cellStyle name="Comma 9 3 4 4 3 2 2 2" xfId="58432" xr:uid="{92138159-0225-472D-A11C-C31844D3107F}"/>
    <cellStyle name="Comma 9 3 4 4 3 2 3" xfId="43312" xr:uid="{E03E62EB-DD3F-43C4-A496-9B70972C0D4C}"/>
    <cellStyle name="Comma 9 3 4 4 3 3" xfId="19120" xr:uid="{461380C5-EA7A-4308-BB6E-4B1F2058243B}"/>
    <cellStyle name="Comma 9 3 4 4 3 3 2" xfId="49360" xr:uid="{51A4B1AA-9CF7-4A4C-B69D-126F6B2D8BCC}"/>
    <cellStyle name="Comma 9 3 4 4 3 4" xfId="34240" xr:uid="{1936A455-0418-4674-AF46-34D0BC13FEFD}"/>
    <cellStyle name="Comma 9 3 4 4 4" xfId="5512" xr:uid="{66ED0925-3D51-4910-80C3-D33562E2DCD4}"/>
    <cellStyle name="Comma 9 3 4 4 4 2" xfId="14584" xr:uid="{F3A4A573-FB3D-4675-92F6-4060324DA076}"/>
    <cellStyle name="Comma 9 3 4 4 4 2 2" xfId="29704" xr:uid="{CBC90236-A579-4183-8DB7-8C3467C0B78B}"/>
    <cellStyle name="Comma 9 3 4 4 4 2 2 2" xfId="59944" xr:uid="{17787419-ECB1-45A5-8586-D657B0645682}"/>
    <cellStyle name="Comma 9 3 4 4 4 2 3" xfId="44824" xr:uid="{827D8017-B81B-4D4F-96C3-512E7B8CBF2E}"/>
    <cellStyle name="Comma 9 3 4 4 4 3" xfId="20632" xr:uid="{1C1C902D-1EA6-4522-85B2-56AA74BAE6B3}"/>
    <cellStyle name="Comma 9 3 4 4 4 3 2" xfId="50872" xr:uid="{8B3D385D-D92A-4D4D-898E-53660685F05A}"/>
    <cellStyle name="Comma 9 3 4 4 4 4" xfId="35752" xr:uid="{8047C8F6-1F06-4FBB-AEB7-31B5181EF2C5}"/>
    <cellStyle name="Comma 9 3 4 4 5" xfId="7024" xr:uid="{2D64C100-A044-455C-A79E-B76AFC486640}"/>
    <cellStyle name="Comma 9 3 4 4 5 2" xfId="22144" xr:uid="{A71BFB89-C589-4806-A578-ED6F252094C4}"/>
    <cellStyle name="Comma 9 3 4 4 5 2 2" xfId="52384" xr:uid="{98EE7C85-2364-4D78-8563-7363B72F4DDB}"/>
    <cellStyle name="Comma 9 3 4 4 5 3" xfId="37264" xr:uid="{CD4D07A6-1747-4D20-B156-657B95C3305D}"/>
    <cellStyle name="Comma 9 3 4 4 6" xfId="8536" xr:uid="{B63D5C0F-1BD3-4E8A-ACE1-96A6F65AAF81}"/>
    <cellStyle name="Comma 9 3 4 4 6 2" xfId="23656" xr:uid="{B0C46C73-C352-4FD5-809B-C465FE422A0A}"/>
    <cellStyle name="Comma 9 3 4 4 6 2 2" xfId="53896" xr:uid="{50AB9D6E-FCED-44A5-A57D-F1925DE6263D}"/>
    <cellStyle name="Comma 9 3 4 4 6 3" xfId="38776" xr:uid="{B104BA46-6267-40EE-A570-499983A3AB78}"/>
    <cellStyle name="Comma 9 3 4 4 7" xfId="10048" xr:uid="{BF32067D-B295-4138-8219-CCAF6A1A6F71}"/>
    <cellStyle name="Comma 9 3 4 4 7 2" xfId="25168" xr:uid="{B5E34BDF-3954-4002-9DF1-0963B8D0992B}"/>
    <cellStyle name="Comma 9 3 4 4 7 2 2" xfId="55408" xr:uid="{198831B1-B91D-40D8-B38B-01D8A6EE8D87}"/>
    <cellStyle name="Comma 9 3 4 4 7 3" xfId="40288" xr:uid="{54BB678D-5A67-4064-9F9E-733552A73834}"/>
    <cellStyle name="Comma 9 3 4 4 8" xfId="16096" xr:uid="{B8D023D1-63BB-4BAC-BB6F-561844F1B179}"/>
    <cellStyle name="Comma 9 3 4 4 8 2" xfId="46336" xr:uid="{7B2F7A15-713B-48AD-838F-1B38F9BFCFAB}"/>
    <cellStyle name="Comma 9 3 4 4 9" xfId="31216" xr:uid="{B0816842-AF29-45F2-BE1D-C61EC9CF0B11}"/>
    <cellStyle name="Comma 9 3 4 5" xfId="1732" xr:uid="{4F5457BF-BFDF-42CC-9943-E8BEE3B4B126}"/>
    <cellStyle name="Comma 9 3 4 5 2" xfId="10804" xr:uid="{1CCD414F-B18C-4020-AB02-9AFB52CB2199}"/>
    <cellStyle name="Comma 9 3 4 5 2 2" xfId="25924" xr:uid="{BE51A2E9-CE64-4E72-9113-4A214F33777B}"/>
    <cellStyle name="Comma 9 3 4 5 2 2 2" xfId="56164" xr:uid="{561B09DE-5964-4D7D-903E-8EEEBA913136}"/>
    <cellStyle name="Comma 9 3 4 5 2 3" xfId="41044" xr:uid="{552ACAF2-10EA-422B-8959-B0B14557D638}"/>
    <cellStyle name="Comma 9 3 4 5 3" xfId="16852" xr:uid="{EF5630F8-CC20-49B6-BEAF-919F9A4D34E4}"/>
    <cellStyle name="Comma 9 3 4 5 3 2" xfId="47092" xr:uid="{C965B8B2-F2E0-45EA-A848-FFB2CE7B4981}"/>
    <cellStyle name="Comma 9 3 4 5 4" xfId="31972" xr:uid="{C325AF1B-1D8B-4515-8F85-86E681AC3A57}"/>
    <cellStyle name="Comma 9 3 4 6" xfId="3244" xr:uid="{85A3A6F6-E8CC-4235-A56B-521A31C042AF}"/>
    <cellStyle name="Comma 9 3 4 6 2" xfId="12316" xr:uid="{294B76A5-E57F-4FBF-96D4-E5C22480753B}"/>
    <cellStyle name="Comma 9 3 4 6 2 2" xfId="27436" xr:uid="{DAD77165-151D-4431-88A3-CD1EC7BC1741}"/>
    <cellStyle name="Comma 9 3 4 6 2 2 2" xfId="57676" xr:uid="{B869EB10-D178-4C20-A204-D7DB92855614}"/>
    <cellStyle name="Comma 9 3 4 6 2 3" xfId="42556" xr:uid="{59A5D5FA-2280-4707-82F3-31C3CBF11F04}"/>
    <cellStyle name="Comma 9 3 4 6 3" xfId="18364" xr:uid="{8DA17677-948F-4B7E-BD67-F7961B406B0D}"/>
    <cellStyle name="Comma 9 3 4 6 3 2" xfId="48604" xr:uid="{B7EEB155-3ECD-426B-BAC7-23B27C415644}"/>
    <cellStyle name="Comma 9 3 4 6 4" xfId="33484" xr:uid="{4B2254F0-C6F4-412A-B3A2-B4D9249966B2}"/>
    <cellStyle name="Comma 9 3 4 7" xfId="4756" xr:uid="{1F52FF5F-8C54-4C52-9291-FCE771A6D28B}"/>
    <cellStyle name="Comma 9 3 4 7 2" xfId="13828" xr:uid="{A82FD8A5-7078-46B3-8D37-611C51D346D2}"/>
    <cellStyle name="Comma 9 3 4 7 2 2" xfId="28948" xr:uid="{11A1BD61-0E43-49CB-A0F3-0A14927B32B3}"/>
    <cellStyle name="Comma 9 3 4 7 2 2 2" xfId="59188" xr:uid="{8BC1222A-5DC7-4270-8974-960E7450F1DC}"/>
    <cellStyle name="Comma 9 3 4 7 2 3" xfId="44068" xr:uid="{8E86EA96-CC5B-4AC1-8705-F4E7D95699D5}"/>
    <cellStyle name="Comma 9 3 4 7 3" xfId="19876" xr:uid="{A726B1F0-6201-4EC1-AF59-E550285B4112}"/>
    <cellStyle name="Comma 9 3 4 7 3 2" xfId="50116" xr:uid="{4E5ECFB5-9C82-40B2-9D75-88C1CF9F5682}"/>
    <cellStyle name="Comma 9 3 4 7 4" xfId="34996" xr:uid="{4862C469-DB65-4A80-A1E4-4F0B0BBEDCFC}"/>
    <cellStyle name="Comma 9 3 4 8" xfId="6268" xr:uid="{F8C39E7D-E7F1-4DC4-8E8D-E6EC1280F075}"/>
    <cellStyle name="Comma 9 3 4 8 2" xfId="21388" xr:uid="{D697B0B0-614F-48E9-BBA4-C02583F724AC}"/>
    <cellStyle name="Comma 9 3 4 8 2 2" xfId="51628" xr:uid="{F4506818-658C-47ED-827C-9B8E71C1C1BC}"/>
    <cellStyle name="Comma 9 3 4 8 3" xfId="36508" xr:uid="{FB9EF8C5-878A-44C9-AAB4-3E071F8139A3}"/>
    <cellStyle name="Comma 9 3 4 9" xfId="7780" xr:uid="{21178EC6-20D2-4105-A096-0014AA2DED6A}"/>
    <cellStyle name="Comma 9 3 4 9 2" xfId="22900" xr:uid="{4DC68BC9-1441-47A4-9294-B4D6A03B9A93}"/>
    <cellStyle name="Comma 9 3 4 9 2 2" xfId="53140" xr:uid="{2455DA36-F4EC-43F4-90CE-5AE29FBDC06F}"/>
    <cellStyle name="Comma 9 3 4 9 3" xfId="38020" xr:uid="{909AD88F-D42D-425A-9DB9-3B5BE697EE87}"/>
    <cellStyle name="Comma 9 3 5" xfId="304" xr:uid="{6817E746-54AE-4887-90C6-CC022C092F92}"/>
    <cellStyle name="Comma 9 3 5 10" xfId="30544" xr:uid="{0CDEBD37-42F2-4A39-AEA7-3A3138B3C547}"/>
    <cellStyle name="Comma 9 3 5 2" xfId="1060" xr:uid="{6FDA99F6-AB8B-4B28-A61C-DFA817F747B4}"/>
    <cellStyle name="Comma 9 3 5 2 2" xfId="2572" xr:uid="{332240FF-9D8A-4CF8-BCD7-59CE6F6DA050}"/>
    <cellStyle name="Comma 9 3 5 2 2 2" xfId="11644" xr:uid="{1D69572C-13F5-4C65-8118-E9DEF6FFB708}"/>
    <cellStyle name="Comma 9 3 5 2 2 2 2" xfId="26764" xr:uid="{EA512C8B-5C5C-4440-87B0-691DB608466D}"/>
    <cellStyle name="Comma 9 3 5 2 2 2 2 2" xfId="57004" xr:uid="{D1AC2241-D189-43FF-98B8-0B5077A4832F}"/>
    <cellStyle name="Comma 9 3 5 2 2 2 3" xfId="41884" xr:uid="{1E5067F5-9307-4C1A-9344-8297D96CCEB8}"/>
    <cellStyle name="Comma 9 3 5 2 2 3" xfId="17692" xr:uid="{7A32A4AF-83A3-4148-A20C-2AA6EF0D4685}"/>
    <cellStyle name="Comma 9 3 5 2 2 3 2" xfId="47932" xr:uid="{E644AF87-DFC0-4F9A-A286-491412AE5E82}"/>
    <cellStyle name="Comma 9 3 5 2 2 4" xfId="32812" xr:uid="{BCB81B32-70A1-48AC-BF89-628E5ADAA36A}"/>
    <cellStyle name="Comma 9 3 5 2 3" xfId="4084" xr:uid="{068C3F33-2642-408B-8CD8-A60730EBD1ED}"/>
    <cellStyle name="Comma 9 3 5 2 3 2" xfId="13156" xr:uid="{A7FADD5D-1800-4B6E-ACA5-1E415C99F02F}"/>
    <cellStyle name="Comma 9 3 5 2 3 2 2" xfId="28276" xr:uid="{CD82DB0A-A1E5-43E6-8C3F-BE022248F9F8}"/>
    <cellStyle name="Comma 9 3 5 2 3 2 2 2" xfId="58516" xr:uid="{83811DC5-5D5E-4AF7-8456-23DD6E71034C}"/>
    <cellStyle name="Comma 9 3 5 2 3 2 3" xfId="43396" xr:uid="{05F1B466-6FFC-4FB4-80BA-B1C6E66882FB}"/>
    <cellStyle name="Comma 9 3 5 2 3 3" xfId="19204" xr:uid="{E48DB728-0DD2-4640-8F08-1AB29A01D2EB}"/>
    <cellStyle name="Comma 9 3 5 2 3 3 2" xfId="49444" xr:uid="{4236225C-902F-48D2-A979-64D0B3F930C4}"/>
    <cellStyle name="Comma 9 3 5 2 3 4" xfId="34324" xr:uid="{521245FD-2349-4B8F-BE2F-14A92982ED83}"/>
    <cellStyle name="Comma 9 3 5 2 4" xfId="5596" xr:uid="{31496A6E-1F02-48BF-AC3E-30B25B7A2421}"/>
    <cellStyle name="Comma 9 3 5 2 4 2" xfId="14668" xr:uid="{6E0D9FCC-87A4-4F9A-A1DE-12930CD874E6}"/>
    <cellStyle name="Comma 9 3 5 2 4 2 2" xfId="29788" xr:uid="{6ADCA823-6130-415B-941B-BDDA2570C3B7}"/>
    <cellStyle name="Comma 9 3 5 2 4 2 2 2" xfId="60028" xr:uid="{0C3714F4-6077-4E01-9EA6-D02B017721B9}"/>
    <cellStyle name="Comma 9 3 5 2 4 2 3" xfId="44908" xr:uid="{5E28C1B1-7C4A-4207-8ED5-E1099DB8AD54}"/>
    <cellStyle name="Comma 9 3 5 2 4 3" xfId="20716" xr:uid="{0A4F9E1D-E367-47C6-ACE8-4B85DBEF244F}"/>
    <cellStyle name="Comma 9 3 5 2 4 3 2" xfId="50956" xr:uid="{7C42D219-C342-4E06-A5B0-20A6F5BAAE72}"/>
    <cellStyle name="Comma 9 3 5 2 4 4" xfId="35836" xr:uid="{0614F063-DD45-469C-9C56-45ED3B60D5C4}"/>
    <cellStyle name="Comma 9 3 5 2 5" xfId="7108" xr:uid="{1C39EEE9-6FD7-470B-B339-17D2252F9120}"/>
    <cellStyle name="Comma 9 3 5 2 5 2" xfId="22228" xr:uid="{B1D8EEC4-F667-48F1-A4E2-215D5D5B51CD}"/>
    <cellStyle name="Comma 9 3 5 2 5 2 2" xfId="52468" xr:uid="{F3FC3105-4C56-411F-AEA3-582E32AD0B56}"/>
    <cellStyle name="Comma 9 3 5 2 5 3" xfId="37348" xr:uid="{B8AD2D2B-A740-4223-A9E3-E2E55F98CC51}"/>
    <cellStyle name="Comma 9 3 5 2 6" xfId="8620" xr:uid="{FA0063E3-10D7-4D5A-BD71-CAC6371DC6D4}"/>
    <cellStyle name="Comma 9 3 5 2 6 2" xfId="23740" xr:uid="{7EC910BF-15E4-4C76-9018-98DB60DAE2EA}"/>
    <cellStyle name="Comma 9 3 5 2 6 2 2" xfId="53980" xr:uid="{847C9A72-4A1A-48FC-A7AE-DDED48E98E09}"/>
    <cellStyle name="Comma 9 3 5 2 6 3" xfId="38860" xr:uid="{269A8E91-2B0F-4C1A-8487-C38AB35FCDB9}"/>
    <cellStyle name="Comma 9 3 5 2 7" xfId="10132" xr:uid="{4A8A748E-D194-4D64-964F-6EBC33D5B553}"/>
    <cellStyle name="Comma 9 3 5 2 7 2" xfId="25252" xr:uid="{0E158394-789D-4553-90BF-DA9D4E87C187}"/>
    <cellStyle name="Comma 9 3 5 2 7 2 2" xfId="55492" xr:uid="{1ED27802-7FA6-4FAF-9F39-BAD426E35758}"/>
    <cellStyle name="Comma 9 3 5 2 7 3" xfId="40372" xr:uid="{81E69D32-4430-4864-A5E4-D9FA91D94B97}"/>
    <cellStyle name="Comma 9 3 5 2 8" xfId="16180" xr:uid="{090D53CE-EB9C-4396-96F0-E00F4A4F3267}"/>
    <cellStyle name="Comma 9 3 5 2 8 2" xfId="46420" xr:uid="{743AA0F1-B71C-43E2-93DC-524E5D2494DF}"/>
    <cellStyle name="Comma 9 3 5 2 9" xfId="31300" xr:uid="{FB4235FA-F25E-464C-918E-6FEB968068AB}"/>
    <cellStyle name="Comma 9 3 5 3" xfId="1816" xr:uid="{CAA9C205-EF24-4FC3-8560-9ADFF59CB871}"/>
    <cellStyle name="Comma 9 3 5 3 2" xfId="10888" xr:uid="{E9C710D3-FEA5-4740-98AF-3868843CBE24}"/>
    <cellStyle name="Comma 9 3 5 3 2 2" xfId="26008" xr:uid="{E2063F75-7C28-42C4-886B-2CE8D399F808}"/>
    <cellStyle name="Comma 9 3 5 3 2 2 2" xfId="56248" xr:uid="{AD92BD22-985F-4234-9F75-3410C6C05EF2}"/>
    <cellStyle name="Comma 9 3 5 3 2 3" xfId="41128" xr:uid="{51AC8AFF-E256-4EC2-AE2A-5095A13DE18A}"/>
    <cellStyle name="Comma 9 3 5 3 3" xfId="16936" xr:uid="{3EC5968C-16E3-44B4-A128-4842694F74E2}"/>
    <cellStyle name="Comma 9 3 5 3 3 2" xfId="47176" xr:uid="{2D75B8BF-6FDE-420B-AE26-2B3C087EBCDD}"/>
    <cellStyle name="Comma 9 3 5 3 4" xfId="32056" xr:uid="{AB8E3EC1-C5AA-45DC-8359-A8109915FE6E}"/>
    <cellStyle name="Comma 9 3 5 4" xfId="3328" xr:uid="{B4BF3451-1F16-48EE-8106-5584423939C6}"/>
    <cellStyle name="Comma 9 3 5 4 2" xfId="12400" xr:uid="{D10855C7-4C81-4A7B-AEC0-C4DDF34E1931}"/>
    <cellStyle name="Comma 9 3 5 4 2 2" xfId="27520" xr:uid="{A8E10BFC-C265-4A13-8A1F-89F57ED358CF}"/>
    <cellStyle name="Comma 9 3 5 4 2 2 2" xfId="57760" xr:uid="{DB54C43E-842A-4BA9-B216-739ABAE823EB}"/>
    <cellStyle name="Comma 9 3 5 4 2 3" xfId="42640" xr:uid="{B0418284-73BF-4443-ABF1-DF4949747559}"/>
    <cellStyle name="Comma 9 3 5 4 3" xfId="18448" xr:uid="{CDC172C0-9222-425E-8827-C4A374AFE9D3}"/>
    <cellStyle name="Comma 9 3 5 4 3 2" xfId="48688" xr:uid="{63ACE372-5498-4AE1-977A-0C295B6DA833}"/>
    <cellStyle name="Comma 9 3 5 4 4" xfId="33568" xr:uid="{73173388-0FC9-48D3-B114-0D5401C99923}"/>
    <cellStyle name="Comma 9 3 5 5" xfId="4840" xr:uid="{4A7791F6-4A59-4300-9128-9C43D83924FA}"/>
    <cellStyle name="Comma 9 3 5 5 2" xfId="13912" xr:uid="{638032BA-451A-4DFA-9247-CCE95CF52D50}"/>
    <cellStyle name="Comma 9 3 5 5 2 2" xfId="29032" xr:uid="{A3EF97D8-0597-4246-BB4A-DB6F44C4B3D2}"/>
    <cellStyle name="Comma 9 3 5 5 2 2 2" xfId="59272" xr:uid="{22288821-FAC3-4333-A3CB-64BD3DD5C83C}"/>
    <cellStyle name="Comma 9 3 5 5 2 3" xfId="44152" xr:uid="{187E42D2-2DE3-4D87-98D5-A1B92F24575F}"/>
    <cellStyle name="Comma 9 3 5 5 3" xfId="19960" xr:uid="{BAB22C6A-E795-48BD-87B7-7FDD008C65AE}"/>
    <cellStyle name="Comma 9 3 5 5 3 2" xfId="50200" xr:uid="{535B8CC0-7EC6-4E8E-98B4-505A56A5702A}"/>
    <cellStyle name="Comma 9 3 5 5 4" xfId="35080" xr:uid="{D9A0313C-DC88-4E5A-9168-8ABDC3C1B4EE}"/>
    <cellStyle name="Comma 9 3 5 6" xfId="6352" xr:uid="{305AA254-2F30-42E3-8151-1ACCFA7A61DF}"/>
    <cellStyle name="Comma 9 3 5 6 2" xfId="21472" xr:uid="{408A63A4-6277-44A9-B26F-4CA823AA17B2}"/>
    <cellStyle name="Comma 9 3 5 6 2 2" xfId="51712" xr:uid="{1CBD6D12-F83D-40A4-BD5C-F1FF8A643EAF}"/>
    <cellStyle name="Comma 9 3 5 6 3" xfId="36592" xr:uid="{7708106D-8DC9-4F9A-BCE0-251C887EB3AB}"/>
    <cellStyle name="Comma 9 3 5 7" xfId="7864" xr:uid="{98B2398D-A48D-446A-90F4-B0126B82C778}"/>
    <cellStyle name="Comma 9 3 5 7 2" xfId="22984" xr:uid="{5CE5E79D-6724-4093-8BE3-C79672DFE1A7}"/>
    <cellStyle name="Comma 9 3 5 7 2 2" xfId="53224" xr:uid="{10A2E68E-ACE4-4E3B-9D5F-3C338C01CF2C}"/>
    <cellStyle name="Comma 9 3 5 7 3" xfId="38104" xr:uid="{F9F0D7E1-6DE5-4FF1-A56E-172F0E42E6DD}"/>
    <cellStyle name="Comma 9 3 5 8" xfId="9376" xr:uid="{0B697F79-871F-42B5-9998-80680031A99A}"/>
    <cellStyle name="Comma 9 3 5 8 2" xfId="24496" xr:uid="{FB1B0DB9-4349-47E9-A126-DEB8EB0DA83D}"/>
    <cellStyle name="Comma 9 3 5 8 2 2" xfId="54736" xr:uid="{5F65DCD4-0F71-4CDF-9F7A-05E9F0428303}"/>
    <cellStyle name="Comma 9 3 5 8 3" xfId="39616" xr:uid="{204B9CCC-A936-4CF2-8C45-5EDF29900BDA}"/>
    <cellStyle name="Comma 9 3 5 9" xfId="15424" xr:uid="{C9376E7D-9509-4CBC-A6F0-66E36AE95B41}"/>
    <cellStyle name="Comma 9 3 5 9 2" xfId="45664" xr:uid="{36D71BF1-37AE-48F0-949D-F9EE913E0256}"/>
    <cellStyle name="Comma 9 3 6" xfId="556" xr:uid="{63D8C65D-8E6F-435A-98F1-B77CBD97F61A}"/>
    <cellStyle name="Comma 9 3 6 10" xfId="30796" xr:uid="{0D920F81-71A6-4DE7-B9C8-159D3A13CCFA}"/>
    <cellStyle name="Comma 9 3 6 2" xfId="1312" xr:uid="{7FE811B5-F5F2-411A-80C3-0E22602B0793}"/>
    <cellStyle name="Comma 9 3 6 2 2" xfId="2824" xr:uid="{46515EB4-606E-4B3A-9B1A-ED3735D641BF}"/>
    <cellStyle name="Comma 9 3 6 2 2 2" xfId="11896" xr:uid="{9F7C2AD5-0C42-4159-8D00-AE9511A0D3E5}"/>
    <cellStyle name="Comma 9 3 6 2 2 2 2" xfId="27016" xr:uid="{16EC29C8-29AB-434D-8FF7-407E5DDE6A65}"/>
    <cellStyle name="Comma 9 3 6 2 2 2 2 2" xfId="57256" xr:uid="{25D766AE-1D38-41E9-A1B4-3808F61F6EE9}"/>
    <cellStyle name="Comma 9 3 6 2 2 2 3" xfId="42136" xr:uid="{FCCD59D1-42D1-4234-BC9A-598A6DBA5521}"/>
    <cellStyle name="Comma 9 3 6 2 2 3" xfId="17944" xr:uid="{423ECF38-A6CE-42CE-A572-50E5A61B61F4}"/>
    <cellStyle name="Comma 9 3 6 2 2 3 2" xfId="48184" xr:uid="{6EC816DE-F4A7-467B-AAD8-954952A54C6A}"/>
    <cellStyle name="Comma 9 3 6 2 2 4" xfId="33064" xr:uid="{080F8A3B-6F8C-40C5-8648-C84FD53801ED}"/>
    <cellStyle name="Comma 9 3 6 2 3" xfId="4336" xr:uid="{C216E409-B8D8-48D9-A056-5508CC7CEED2}"/>
    <cellStyle name="Comma 9 3 6 2 3 2" xfId="13408" xr:uid="{80186B1E-FD0B-4F20-8C27-4331B7EDDA87}"/>
    <cellStyle name="Comma 9 3 6 2 3 2 2" xfId="28528" xr:uid="{CC5DA1BB-6E98-457D-BDF4-8592CEB16CDE}"/>
    <cellStyle name="Comma 9 3 6 2 3 2 2 2" xfId="58768" xr:uid="{E3CFEEAC-8938-41B5-9B0C-82A63071FDE3}"/>
    <cellStyle name="Comma 9 3 6 2 3 2 3" xfId="43648" xr:uid="{4A7E450A-01B8-433F-8E0B-C7EA98C2E33F}"/>
    <cellStyle name="Comma 9 3 6 2 3 3" xfId="19456" xr:uid="{4A66B85D-BDBE-498F-809D-B35B0E5AA888}"/>
    <cellStyle name="Comma 9 3 6 2 3 3 2" xfId="49696" xr:uid="{43CF6F5D-3B88-4876-8001-6730ABA6AEE9}"/>
    <cellStyle name="Comma 9 3 6 2 3 4" xfId="34576" xr:uid="{9BEC5F24-F479-46BD-9441-2AB1B8E889F9}"/>
    <cellStyle name="Comma 9 3 6 2 4" xfId="5848" xr:uid="{018AAD57-C733-44FC-9E2B-45DA9ADBCA28}"/>
    <cellStyle name="Comma 9 3 6 2 4 2" xfId="14920" xr:uid="{6C2CC208-980C-4E63-AF70-BFCAC601D30C}"/>
    <cellStyle name="Comma 9 3 6 2 4 2 2" xfId="30040" xr:uid="{401A48E0-6CF8-43B3-ACDE-4A7F608FD163}"/>
    <cellStyle name="Comma 9 3 6 2 4 2 2 2" xfId="60280" xr:uid="{C2A1BBBA-E24C-4AFB-A181-D863333DAF74}"/>
    <cellStyle name="Comma 9 3 6 2 4 2 3" xfId="45160" xr:uid="{F02D0F67-56F5-4FAF-8DC6-CEE0E2539D66}"/>
    <cellStyle name="Comma 9 3 6 2 4 3" xfId="20968" xr:uid="{045011E3-2C5A-4AE5-9080-02D7DC617734}"/>
    <cellStyle name="Comma 9 3 6 2 4 3 2" xfId="51208" xr:uid="{3A767E24-92FB-412D-972D-1CE2A2CDCE9E}"/>
    <cellStyle name="Comma 9 3 6 2 4 4" xfId="36088" xr:uid="{3AF29F53-7802-4C4B-BF45-91DFBC7C3D68}"/>
    <cellStyle name="Comma 9 3 6 2 5" xfId="7360" xr:uid="{A27E5B81-5E43-4A1A-B8A2-D950EA9B3183}"/>
    <cellStyle name="Comma 9 3 6 2 5 2" xfId="22480" xr:uid="{61596C50-2366-49C1-A15B-2C5C416DE34A}"/>
    <cellStyle name="Comma 9 3 6 2 5 2 2" xfId="52720" xr:uid="{BEB4B355-E675-4386-8B01-749033A11E70}"/>
    <cellStyle name="Comma 9 3 6 2 5 3" xfId="37600" xr:uid="{687BD36B-84FC-4DF1-84C4-9F8E34ADF2C7}"/>
    <cellStyle name="Comma 9 3 6 2 6" xfId="8872" xr:uid="{A0FA8F26-6011-44CA-A4BC-6097CD19F670}"/>
    <cellStyle name="Comma 9 3 6 2 6 2" xfId="23992" xr:uid="{068156A2-A092-4702-A87E-0877CF753654}"/>
    <cellStyle name="Comma 9 3 6 2 6 2 2" xfId="54232" xr:uid="{E23086CD-3673-47D4-B77E-2747F1C1888B}"/>
    <cellStyle name="Comma 9 3 6 2 6 3" xfId="39112" xr:uid="{206DBA8F-1188-4269-9B66-C0BAFA12333F}"/>
    <cellStyle name="Comma 9 3 6 2 7" xfId="10384" xr:uid="{6769BE0C-E7B7-4956-839B-B72CD10DC2F5}"/>
    <cellStyle name="Comma 9 3 6 2 7 2" xfId="25504" xr:uid="{B176A06E-9A9A-4127-BBB6-A9C7F59775FA}"/>
    <cellStyle name="Comma 9 3 6 2 7 2 2" xfId="55744" xr:uid="{6441DCFE-FDEE-499F-BD5C-288927ACD10C}"/>
    <cellStyle name="Comma 9 3 6 2 7 3" xfId="40624" xr:uid="{E83997ED-35A8-4B7A-9CEA-37FB3BBC27DA}"/>
    <cellStyle name="Comma 9 3 6 2 8" xfId="16432" xr:uid="{FE30A37B-1C91-4F84-B9C6-320AF584185D}"/>
    <cellStyle name="Comma 9 3 6 2 8 2" xfId="46672" xr:uid="{B0150438-D209-47A3-8CC8-1614F55681BF}"/>
    <cellStyle name="Comma 9 3 6 2 9" xfId="31552" xr:uid="{50685347-1885-4136-942D-2D123601A000}"/>
    <cellStyle name="Comma 9 3 6 3" xfId="2068" xr:uid="{C1F4A683-933C-4CFB-93F4-698CFB4CCA75}"/>
    <cellStyle name="Comma 9 3 6 3 2" xfId="11140" xr:uid="{A5F4D521-0A7A-41F3-B341-82788749F0B9}"/>
    <cellStyle name="Comma 9 3 6 3 2 2" xfId="26260" xr:uid="{83F7216D-F773-4FB5-B38A-1229DF4164F2}"/>
    <cellStyle name="Comma 9 3 6 3 2 2 2" xfId="56500" xr:uid="{DB7A4917-A246-4505-84F0-3E4843F45671}"/>
    <cellStyle name="Comma 9 3 6 3 2 3" xfId="41380" xr:uid="{A0085D96-D752-4E31-B2FF-79FB57EAC075}"/>
    <cellStyle name="Comma 9 3 6 3 3" xfId="17188" xr:uid="{0B25D247-7208-4BA9-A526-E6CCDD2E670B}"/>
    <cellStyle name="Comma 9 3 6 3 3 2" xfId="47428" xr:uid="{0CF9F411-3B9B-4E61-A6E8-E970FF0955A8}"/>
    <cellStyle name="Comma 9 3 6 3 4" xfId="32308" xr:uid="{658E3FA4-C448-4AEB-995E-2CE4E9A3C44C}"/>
    <cellStyle name="Comma 9 3 6 4" xfId="3580" xr:uid="{7CA7FA3C-36C3-45A7-81EF-6392F7A1ABC1}"/>
    <cellStyle name="Comma 9 3 6 4 2" xfId="12652" xr:uid="{E96322CB-85F2-4870-B9FF-593BB4DC47B4}"/>
    <cellStyle name="Comma 9 3 6 4 2 2" xfId="27772" xr:uid="{207F3BCA-9E4B-4F7D-ACDE-32D930265C99}"/>
    <cellStyle name="Comma 9 3 6 4 2 2 2" xfId="58012" xr:uid="{162344F7-C3B9-42C8-BD39-F8A12C095D05}"/>
    <cellStyle name="Comma 9 3 6 4 2 3" xfId="42892" xr:uid="{7A4B5E00-70A1-4947-841D-0F91122DA56E}"/>
    <cellStyle name="Comma 9 3 6 4 3" xfId="18700" xr:uid="{639D42C7-0735-4AEA-870D-AEDCA2C0E6F9}"/>
    <cellStyle name="Comma 9 3 6 4 3 2" xfId="48940" xr:uid="{FCF62438-8E7F-4E84-BE36-F5A4054A7213}"/>
    <cellStyle name="Comma 9 3 6 4 4" xfId="33820" xr:uid="{2213F12C-024F-4625-96F6-08A3DF1CD76E}"/>
    <cellStyle name="Comma 9 3 6 5" xfId="5092" xr:uid="{05BFF07C-33EA-4032-A08A-26C3716C15EE}"/>
    <cellStyle name="Comma 9 3 6 5 2" xfId="14164" xr:uid="{EC1D3F7B-451F-44CF-A8B2-EB88DF0AB5F3}"/>
    <cellStyle name="Comma 9 3 6 5 2 2" xfId="29284" xr:uid="{6FAAEE13-64D0-4999-AA34-635947BD42D8}"/>
    <cellStyle name="Comma 9 3 6 5 2 2 2" xfId="59524" xr:uid="{04DA83FF-A974-459C-9177-A3B9BDD8894C}"/>
    <cellStyle name="Comma 9 3 6 5 2 3" xfId="44404" xr:uid="{724F75BF-1D6D-4D84-92A4-411D5DE6C054}"/>
    <cellStyle name="Comma 9 3 6 5 3" xfId="20212" xr:uid="{7B1EBD32-7C17-41F7-86BA-F3D528FFEF2C}"/>
    <cellStyle name="Comma 9 3 6 5 3 2" xfId="50452" xr:uid="{E7A60D30-3B10-42D4-9B32-18882E95A150}"/>
    <cellStyle name="Comma 9 3 6 5 4" xfId="35332" xr:uid="{401D3226-EDD4-4E12-B78C-816510058C7F}"/>
    <cellStyle name="Comma 9 3 6 6" xfId="6604" xr:uid="{63800429-67DE-41BE-8B49-FE2B01DB049A}"/>
    <cellStyle name="Comma 9 3 6 6 2" xfId="21724" xr:uid="{FE3E37C1-A43D-483D-A8CB-F4ACE335F9F9}"/>
    <cellStyle name="Comma 9 3 6 6 2 2" xfId="51964" xr:uid="{04A9AF30-D6DA-40AE-A842-316D27A35933}"/>
    <cellStyle name="Comma 9 3 6 6 3" xfId="36844" xr:uid="{DEB5DD34-1D85-4C1F-AD32-99C3E9489B36}"/>
    <cellStyle name="Comma 9 3 6 7" xfId="8116" xr:uid="{F54C987D-E050-46E9-9130-93C8DF4EEC80}"/>
    <cellStyle name="Comma 9 3 6 7 2" xfId="23236" xr:uid="{D3FF8572-9DE8-4EB8-95F9-D46762D63940}"/>
    <cellStyle name="Comma 9 3 6 7 2 2" xfId="53476" xr:uid="{EFF06983-6B29-4077-BFC1-CF14C9C00536}"/>
    <cellStyle name="Comma 9 3 6 7 3" xfId="38356" xr:uid="{D6659CAF-8BC0-4634-B86A-0915133C194C}"/>
    <cellStyle name="Comma 9 3 6 8" xfId="9628" xr:uid="{9B061EAC-606E-4238-85EC-008962C64282}"/>
    <cellStyle name="Comma 9 3 6 8 2" xfId="24748" xr:uid="{B648D560-F33C-42C5-BCC8-69F4AF45534F}"/>
    <cellStyle name="Comma 9 3 6 8 2 2" xfId="54988" xr:uid="{8B15240E-1A0F-4187-8ACB-F51B57CEC5FA}"/>
    <cellStyle name="Comma 9 3 6 8 3" xfId="39868" xr:uid="{5AA1DB83-47FC-412C-B48C-BD2B71765B37}"/>
    <cellStyle name="Comma 9 3 6 9" xfId="15676" xr:uid="{986D4B78-37CB-42A8-A809-11FC2985A8D6}"/>
    <cellStyle name="Comma 9 3 6 9 2" xfId="45916" xr:uid="{CA8CC42E-3694-4B30-A0F1-316B4B8AF9EF}"/>
    <cellStyle name="Comma 9 3 7" xfId="808" xr:uid="{5C35C5DB-39B2-4BF5-A4EF-D2AE8F5B4864}"/>
    <cellStyle name="Comma 9 3 7 2" xfId="2320" xr:uid="{2FD90532-2F19-4355-880B-9DF8FE4D490F}"/>
    <cellStyle name="Comma 9 3 7 2 2" xfId="11392" xr:uid="{A51EDD23-9F32-46E5-AE50-D878C7F8DA31}"/>
    <cellStyle name="Comma 9 3 7 2 2 2" xfId="26512" xr:uid="{E0DF53F5-ECFB-4D15-8547-FF17BC54DFD4}"/>
    <cellStyle name="Comma 9 3 7 2 2 2 2" xfId="56752" xr:uid="{C545476E-1C9E-40CA-9D0E-4B51C3CA0654}"/>
    <cellStyle name="Comma 9 3 7 2 2 3" xfId="41632" xr:uid="{AA8173CC-8F8D-405E-A024-57A990479BFF}"/>
    <cellStyle name="Comma 9 3 7 2 3" xfId="17440" xr:uid="{D6B5C489-BC3D-48E4-B5ED-119AB09B9B1D}"/>
    <cellStyle name="Comma 9 3 7 2 3 2" xfId="47680" xr:uid="{6B19BA50-28A7-4C2A-ABD7-2B4EC3D49D08}"/>
    <cellStyle name="Comma 9 3 7 2 4" xfId="32560" xr:uid="{C4BF7850-EC0E-4354-86E1-DAD8139A53F1}"/>
    <cellStyle name="Comma 9 3 7 3" xfId="3832" xr:uid="{82461B40-2311-40BD-AE08-8CA721F4BC25}"/>
    <cellStyle name="Comma 9 3 7 3 2" xfId="12904" xr:uid="{7324E80B-44E0-4CF4-8322-F5A75776EA96}"/>
    <cellStyle name="Comma 9 3 7 3 2 2" xfId="28024" xr:uid="{C3C02FD5-C0A6-4125-91D6-04CA178417DA}"/>
    <cellStyle name="Comma 9 3 7 3 2 2 2" xfId="58264" xr:uid="{B65CBDC1-75DD-41FC-AE5B-7998226C6CE5}"/>
    <cellStyle name="Comma 9 3 7 3 2 3" xfId="43144" xr:uid="{1B779CC3-661F-4C96-8B88-EB0FE1142F14}"/>
    <cellStyle name="Comma 9 3 7 3 3" xfId="18952" xr:uid="{D94CFF9C-AD3D-4A27-9CB1-6C467A708D8D}"/>
    <cellStyle name="Comma 9 3 7 3 3 2" xfId="49192" xr:uid="{1016CD04-3E9C-4096-9BA8-7C0C951FF022}"/>
    <cellStyle name="Comma 9 3 7 3 4" xfId="34072" xr:uid="{BC3DA8D3-788D-45AA-BBA2-5B75DB2B4FBF}"/>
    <cellStyle name="Comma 9 3 7 4" xfId="5344" xr:uid="{665724CE-4A9E-4770-96C8-B6E6081943C3}"/>
    <cellStyle name="Comma 9 3 7 4 2" xfId="14416" xr:uid="{1A627522-2098-43BE-9AB9-E68D708A09C1}"/>
    <cellStyle name="Comma 9 3 7 4 2 2" xfId="29536" xr:uid="{27A04536-A125-4DBD-842F-F107095FF340}"/>
    <cellStyle name="Comma 9 3 7 4 2 2 2" xfId="59776" xr:uid="{393535F9-979B-4918-BFC7-C53816FDCDAA}"/>
    <cellStyle name="Comma 9 3 7 4 2 3" xfId="44656" xr:uid="{1B84B0F2-2153-4B39-823D-91C780B8FFBF}"/>
    <cellStyle name="Comma 9 3 7 4 3" xfId="20464" xr:uid="{33B28E7C-94AF-44A8-BD6E-579A3CA1E2C9}"/>
    <cellStyle name="Comma 9 3 7 4 3 2" xfId="50704" xr:uid="{F8915133-DEC1-4D8F-9C64-0CEBACB6B8F3}"/>
    <cellStyle name="Comma 9 3 7 4 4" xfId="35584" xr:uid="{71849C38-0A43-486B-B9F5-50DEB2178720}"/>
    <cellStyle name="Comma 9 3 7 5" xfId="6856" xr:uid="{D885A68E-4449-4F16-BAD6-06F078021065}"/>
    <cellStyle name="Comma 9 3 7 5 2" xfId="21976" xr:uid="{89D0A6E8-75B0-429A-A621-6F1D1423F420}"/>
    <cellStyle name="Comma 9 3 7 5 2 2" xfId="52216" xr:uid="{3B969BAD-2C11-42D1-8016-82A6EBDD417B}"/>
    <cellStyle name="Comma 9 3 7 5 3" xfId="37096" xr:uid="{4FD33F4C-B439-4DB1-AE12-0113D6F95AA7}"/>
    <cellStyle name="Comma 9 3 7 6" xfId="8368" xr:uid="{4F9CF7EE-00E9-42F1-BB11-70AE435A52AB}"/>
    <cellStyle name="Comma 9 3 7 6 2" xfId="23488" xr:uid="{2A3D5263-14A8-4EB5-A8AE-5F674BC41C02}"/>
    <cellStyle name="Comma 9 3 7 6 2 2" xfId="53728" xr:uid="{465455A4-8DF2-461F-B429-69A7AB37A12D}"/>
    <cellStyle name="Comma 9 3 7 6 3" xfId="38608" xr:uid="{C2449CAD-60B5-4337-97CC-E5F6D58A04BC}"/>
    <cellStyle name="Comma 9 3 7 7" xfId="9880" xr:uid="{72B12204-89B2-4DD4-A2E1-F4720323CCC7}"/>
    <cellStyle name="Comma 9 3 7 7 2" xfId="25000" xr:uid="{413BFDC0-7921-454E-BC7F-A3E1C533F65E}"/>
    <cellStyle name="Comma 9 3 7 7 2 2" xfId="55240" xr:uid="{7D7A14DF-6DA8-44B9-AD86-2D74620885BB}"/>
    <cellStyle name="Comma 9 3 7 7 3" xfId="40120" xr:uid="{94277DA1-279C-45D3-90E3-F47DCC06C810}"/>
    <cellStyle name="Comma 9 3 7 8" xfId="15928" xr:uid="{33C63FDE-23A2-41F6-819C-00CFF5455C08}"/>
    <cellStyle name="Comma 9 3 7 8 2" xfId="46168" xr:uid="{7CA09D90-78AC-4BE0-A1C6-FADE1AA074DC}"/>
    <cellStyle name="Comma 9 3 7 9" xfId="31048" xr:uid="{622F0207-6C41-4E7F-8B3A-71592F5E328F}"/>
    <cellStyle name="Comma 9 3 8" xfId="1564" xr:uid="{FF20EB3D-E0EE-4E7B-9D36-2D0916E69CF2}"/>
    <cellStyle name="Comma 9 3 8 2" xfId="10636" xr:uid="{E3ADE5A1-1774-4EF0-A34D-255E690E31BD}"/>
    <cellStyle name="Comma 9 3 8 2 2" xfId="25756" xr:uid="{8A155502-D2FE-4EF8-A8DC-8369C9AACE81}"/>
    <cellStyle name="Comma 9 3 8 2 2 2" xfId="55996" xr:uid="{BA03D264-2A83-4ED0-B3AD-775F638BDAF0}"/>
    <cellStyle name="Comma 9 3 8 2 3" xfId="40876" xr:uid="{4F0F0BCA-E138-4FFA-A106-A6A8506D1F6F}"/>
    <cellStyle name="Comma 9 3 8 3" xfId="16684" xr:uid="{1239940D-5175-4FF5-986C-52257CD1ACB3}"/>
    <cellStyle name="Comma 9 3 8 3 2" xfId="46924" xr:uid="{589B467F-6313-4923-A048-155B53E2FBCA}"/>
    <cellStyle name="Comma 9 3 8 4" xfId="31804" xr:uid="{118184B9-C2F1-493D-85DF-3A328979D312}"/>
    <cellStyle name="Comma 9 3 9" xfId="3076" xr:uid="{D80E7B21-4C57-444A-83BA-2F737E3F3D2D}"/>
    <cellStyle name="Comma 9 3 9 2" xfId="12148" xr:uid="{2EC2BBCF-559D-4B87-BF2F-752B440F4941}"/>
    <cellStyle name="Comma 9 3 9 2 2" xfId="27268" xr:uid="{E179A71C-108E-453E-8674-6FBB96E2F243}"/>
    <cellStyle name="Comma 9 3 9 2 2 2" xfId="57508" xr:uid="{A53F2D36-194F-4509-A4B5-C58CC918206A}"/>
    <cellStyle name="Comma 9 3 9 2 3" xfId="42388" xr:uid="{C05C1D98-2D33-4325-A61B-A9F2AF94CC2E}"/>
    <cellStyle name="Comma 9 3 9 3" xfId="18196" xr:uid="{5020C98A-2550-451D-8F22-F581D86531E8}"/>
    <cellStyle name="Comma 9 3 9 3 2" xfId="48436" xr:uid="{A226A66A-A732-4379-ABFA-AD93A12A806E}"/>
    <cellStyle name="Comma 9 3 9 4" xfId="33316" xr:uid="{25895C97-4941-40DE-8B7F-7C3D740DA172}"/>
    <cellStyle name="Comma 9 4" xfId="66" xr:uid="{1CCB89D5-11C8-4784-BD89-9DD8EDE72C89}"/>
    <cellStyle name="Comma 9 4 10" xfId="6114" xr:uid="{8C16DE09-5FEE-4AF7-9259-ADF8B9788CA5}"/>
    <cellStyle name="Comma 9 4 10 2" xfId="21234" xr:uid="{DAC4CF11-C730-4C7B-9A1E-9D6BFC7D67C3}"/>
    <cellStyle name="Comma 9 4 10 2 2" xfId="51474" xr:uid="{666456A1-DF94-4F48-BBE8-EFD3E59467C4}"/>
    <cellStyle name="Comma 9 4 10 3" xfId="36354" xr:uid="{8AED2975-E088-4629-A1E8-D2029D8DA6B6}"/>
    <cellStyle name="Comma 9 4 11" xfId="7626" xr:uid="{C11D2949-036B-421B-BAF5-1A1BD4FB0764}"/>
    <cellStyle name="Comma 9 4 11 2" xfId="22746" xr:uid="{11C3EC17-E793-4A7E-8FCC-C3545943E968}"/>
    <cellStyle name="Comma 9 4 11 2 2" xfId="52986" xr:uid="{26E8D6EB-B1D4-4299-8491-F07C66B67B72}"/>
    <cellStyle name="Comma 9 4 11 3" xfId="37866" xr:uid="{D3FBD182-5C09-4750-935F-685BB46D1187}"/>
    <cellStyle name="Comma 9 4 12" xfId="9138" xr:uid="{A449C8BE-F90F-49AC-9B7F-35C0EF7103F6}"/>
    <cellStyle name="Comma 9 4 12 2" xfId="24258" xr:uid="{D81269D6-0995-49D7-88DE-33347DD661FA}"/>
    <cellStyle name="Comma 9 4 12 2 2" xfId="54498" xr:uid="{3B60091B-510B-4840-B023-350B5747FABD}"/>
    <cellStyle name="Comma 9 4 12 3" xfId="39378" xr:uid="{EB502F09-87DE-4542-9D1D-E83E3A9AD5A8}"/>
    <cellStyle name="Comma 9 4 13" xfId="15186" xr:uid="{33E1F8FA-C6D8-4A42-A38A-1415AFB1A3F2}"/>
    <cellStyle name="Comma 9 4 13 2" xfId="45426" xr:uid="{4334E32E-F097-462F-BEBD-29BB03AD7DC4}"/>
    <cellStyle name="Comma 9 4 14" xfId="30306" xr:uid="{B6845A2F-1188-4C8A-8791-A64E3B8016C6}"/>
    <cellStyle name="Comma 9 4 2" xfId="150" xr:uid="{D89D3064-B435-4763-94BA-CFDD64D0AA6A}"/>
    <cellStyle name="Comma 9 4 2 10" xfId="9222" xr:uid="{AA3F9C88-E3F5-4C70-AC1F-5A40833BB6C0}"/>
    <cellStyle name="Comma 9 4 2 10 2" xfId="24342" xr:uid="{66AE39F1-3FF8-46F2-9F3E-9BD4C2AC07C5}"/>
    <cellStyle name="Comma 9 4 2 10 2 2" xfId="54582" xr:uid="{72FE72D4-5B6F-45C5-A1B5-C0D8426E8781}"/>
    <cellStyle name="Comma 9 4 2 10 3" xfId="39462" xr:uid="{A06519FC-C5A3-49BA-8CCA-88CB49DB67B0}"/>
    <cellStyle name="Comma 9 4 2 11" xfId="15270" xr:uid="{B75CA2A3-6632-4A6F-B7C8-2275A53348BF}"/>
    <cellStyle name="Comma 9 4 2 11 2" xfId="45510" xr:uid="{E9B0B77F-195A-4EA1-A472-1254FD84DC47}"/>
    <cellStyle name="Comma 9 4 2 12" xfId="30390" xr:uid="{B36B7214-62EB-4E9B-8CEE-DC13667E8677}"/>
    <cellStyle name="Comma 9 4 2 2" xfId="402" xr:uid="{CCFE1621-061D-4014-AD6C-B483A60D6268}"/>
    <cellStyle name="Comma 9 4 2 2 10" xfId="30642" xr:uid="{09D38A8A-4ABB-4A54-BAFB-E495AB861D07}"/>
    <cellStyle name="Comma 9 4 2 2 2" xfId="1158" xr:uid="{1307BA14-E2AB-41FE-B724-8CECDE41A881}"/>
    <cellStyle name="Comma 9 4 2 2 2 2" xfId="2670" xr:uid="{347BD4F6-47F1-4CE2-A266-284B8E6A7A13}"/>
    <cellStyle name="Comma 9 4 2 2 2 2 2" xfId="11742" xr:uid="{3E9A7D04-83BA-49FD-9421-C6F0870993B1}"/>
    <cellStyle name="Comma 9 4 2 2 2 2 2 2" xfId="26862" xr:uid="{CDFCFBE1-89DE-4D09-815A-59E640EC4238}"/>
    <cellStyle name="Comma 9 4 2 2 2 2 2 2 2" xfId="57102" xr:uid="{0E7F8CFB-3D89-4655-9121-DAA7059BBCDA}"/>
    <cellStyle name="Comma 9 4 2 2 2 2 2 3" xfId="41982" xr:uid="{125F8759-FC1A-4CE3-996D-2E40CF758D5E}"/>
    <cellStyle name="Comma 9 4 2 2 2 2 3" xfId="17790" xr:uid="{2B411559-EEEF-403F-BC7F-7A0E900867D2}"/>
    <cellStyle name="Comma 9 4 2 2 2 2 3 2" xfId="48030" xr:uid="{FBE8435C-314F-4F6B-8E50-43F94862A6EC}"/>
    <cellStyle name="Comma 9 4 2 2 2 2 4" xfId="32910" xr:uid="{E2F31556-DC3A-48ED-922D-E32CFBAD5331}"/>
    <cellStyle name="Comma 9 4 2 2 2 3" xfId="4182" xr:uid="{0E649CD0-9E41-49A3-ADF1-8FC80E95DE07}"/>
    <cellStyle name="Comma 9 4 2 2 2 3 2" xfId="13254" xr:uid="{DBD24638-A631-46A9-B9D5-0B09F180B468}"/>
    <cellStyle name="Comma 9 4 2 2 2 3 2 2" xfId="28374" xr:uid="{D811DE9D-3BB8-4235-9BF9-0A9EEDC6DE37}"/>
    <cellStyle name="Comma 9 4 2 2 2 3 2 2 2" xfId="58614" xr:uid="{AECC625B-DF99-42A7-AD18-4DAAA5342237}"/>
    <cellStyle name="Comma 9 4 2 2 2 3 2 3" xfId="43494" xr:uid="{F0F79F26-BC32-4C35-ACBB-F335F6C440A0}"/>
    <cellStyle name="Comma 9 4 2 2 2 3 3" xfId="19302" xr:uid="{B7D8287A-A55D-45B7-910B-D87D3E8F8460}"/>
    <cellStyle name="Comma 9 4 2 2 2 3 3 2" xfId="49542" xr:uid="{78D8F3A9-8696-4200-8F56-A1A8A2752DD1}"/>
    <cellStyle name="Comma 9 4 2 2 2 3 4" xfId="34422" xr:uid="{B0458DE9-A98A-4BDE-BD6B-5CFE9E5EE8C6}"/>
    <cellStyle name="Comma 9 4 2 2 2 4" xfId="5694" xr:uid="{7BF7BED6-FEAA-4A18-B9D8-3E927536A3E3}"/>
    <cellStyle name="Comma 9 4 2 2 2 4 2" xfId="14766" xr:uid="{165694C1-79CE-4155-ACC5-24A190535898}"/>
    <cellStyle name="Comma 9 4 2 2 2 4 2 2" xfId="29886" xr:uid="{071D283D-4224-47E5-BE4F-9CD963069DE2}"/>
    <cellStyle name="Comma 9 4 2 2 2 4 2 2 2" xfId="60126" xr:uid="{A5726F6B-0AF8-460E-A9F8-779FAA6E6A32}"/>
    <cellStyle name="Comma 9 4 2 2 2 4 2 3" xfId="45006" xr:uid="{8B9B8974-6FD6-43BE-A55E-262002B07D08}"/>
    <cellStyle name="Comma 9 4 2 2 2 4 3" xfId="20814" xr:uid="{C79D7353-776B-4B42-9C9A-728EEE439A65}"/>
    <cellStyle name="Comma 9 4 2 2 2 4 3 2" xfId="51054" xr:uid="{2A846686-896E-4DE3-8F47-2C8ADD794B00}"/>
    <cellStyle name="Comma 9 4 2 2 2 4 4" xfId="35934" xr:uid="{DCDDBAD0-42DA-47E9-B462-A92E1A4F0D0C}"/>
    <cellStyle name="Comma 9 4 2 2 2 5" xfId="7206" xr:uid="{D037B040-0D01-4FE4-9650-BACA3455E26F}"/>
    <cellStyle name="Comma 9 4 2 2 2 5 2" xfId="22326" xr:uid="{B6C7F725-22D2-4346-B003-62B27BC707A3}"/>
    <cellStyle name="Comma 9 4 2 2 2 5 2 2" xfId="52566" xr:uid="{A12ED27F-5F0B-405C-A0A8-187E5371B595}"/>
    <cellStyle name="Comma 9 4 2 2 2 5 3" xfId="37446" xr:uid="{EEAF92BA-F7AA-487F-9B4C-223F7932567F}"/>
    <cellStyle name="Comma 9 4 2 2 2 6" xfId="8718" xr:uid="{5A7B8AEB-3CD8-481B-8A8B-76D6DD78DDF6}"/>
    <cellStyle name="Comma 9 4 2 2 2 6 2" xfId="23838" xr:uid="{A8DB4AA7-5684-4A45-9CF6-C5B2737E73CF}"/>
    <cellStyle name="Comma 9 4 2 2 2 6 2 2" xfId="54078" xr:uid="{20D85BF1-9751-48F9-AB60-8E7859011B73}"/>
    <cellStyle name="Comma 9 4 2 2 2 6 3" xfId="38958" xr:uid="{1B115E37-C13B-4759-B673-A10E685FE74F}"/>
    <cellStyle name="Comma 9 4 2 2 2 7" xfId="10230" xr:uid="{A94E08A6-E2D4-4858-BF14-75D2F2870AB1}"/>
    <cellStyle name="Comma 9 4 2 2 2 7 2" xfId="25350" xr:uid="{E0D9CCE2-D4D2-4442-847D-79EC1E7F9BA6}"/>
    <cellStyle name="Comma 9 4 2 2 2 7 2 2" xfId="55590" xr:uid="{1A2D783A-C1A3-4641-8C78-C7D74B2A77CF}"/>
    <cellStyle name="Comma 9 4 2 2 2 7 3" xfId="40470" xr:uid="{7A1F6492-F174-486E-8112-6A0F8432E87A}"/>
    <cellStyle name="Comma 9 4 2 2 2 8" xfId="16278" xr:uid="{14C6B40B-7A14-4DB8-95E5-77ECEF1E6472}"/>
    <cellStyle name="Comma 9 4 2 2 2 8 2" xfId="46518" xr:uid="{A2C2488B-66C3-4576-AD3F-E6D8FF21D95E}"/>
    <cellStyle name="Comma 9 4 2 2 2 9" xfId="31398" xr:uid="{4D76BD62-7192-40DE-BDE5-ACB0EE77467F}"/>
    <cellStyle name="Comma 9 4 2 2 3" xfId="1914" xr:uid="{84CCFCC8-4C49-4AD3-AAE0-9BD269D8D478}"/>
    <cellStyle name="Comma 9 4 2 2 3 2" xfId="10986" xr:uid="{E63E2FBA-D991-4177-A508-06BABA826C44}"/>
    <cellStyle name="Comma 9 4 2 2 3 2 2" xfId="26106" xr:uid="{FA710EFF-2A0E-4DD0-8C51-84FD1EAE8087}"/>
    <cellStyle name="Comma 9 4 2 2 3 2 2 2" xfId="56346" xr:uid="{ACF8AD89-DEC5-41A2-8A3A-1234CA9946F7}"/>
    <cellStyle name="Comma 9 4 2 2 3 2 3" xfId="41226" xr:uid="{84CC0BF7-2123-4464-8955-10B084478646}"/>
    <cellStyle name="Comma 9 4 2 2 3 3" xfId="17034" xr:uid="{9EE63653-0AB4-4ABF-95B7-359F7A0C155D}"/>
    <cellStyle name="Comma 9 4 2 2 3 3 2" xfId="47274" xr:uid="{F476FF8A-D855-4092-AAE7-864A1F859094}"/>
    <cellStyle name="Comma 9 4 2 2 3 4" xfId="32154" xr:uid="{01CCAB2D-28C4-49B8-87C7-43A55D4D3EB0}"/>
    <cellStyle name="Comma 9 4 2 2 4" xfId="3426" xr:uid="{180E295C-9BCB-4F67-BBC2-3DB95D563957}"/>
    <cellStyle name="Comma 9 4 2 2 4 2" xfId="12498" xr:uid="{953FE80B-3EE8-494F-8E23-AE737F4C0DCC}"/>
    <cellStyle name="Comma 9 4 2 2 4 2 2" xfId="27618" xr:uid="{1F4B680E-6C29-47E0-8AC4-7694E2A0917D}"/>
    <cellStyle name="Comma 9 4 2 2 4 2 2 2" xfId="57858" xr:uid="{742FC9C0-A18D-417B-9EE5-249AB6FF0B98}"/>
    <cellStyle name="Comma 9 4 2 2 4 2 3" xfId="42738" xr:uid="{8E4D761F-1FE8-4D32-8FE1-97191CC70823}"/>
    <cellStyle name="Comma 9 4 2 2 4 3" xfId="18546" xr:uid="{22CCD2DE-9DAD-4ED0-96FD-C65AEF19165B}"/>
    <cellStyle name="Comma 9 4 2 2 4 3 2" xfId="48786" xr:uid="{9A679045-18CA-4522-B08F-2AE901F4F789}"/>
    <cellStyle name="Comma 9 4 2 2 4 4" xfId="33666" xr:uid="{0E01BF28-4793-44CB-8FBE-E5ACB0768F36}"/>
    <cellStyle name="Comma 9 4 2 2 5" xfId="4938" xr:uid="{4EA41903-81C5-4CD9-83DB-6F8DE9E5A95D}"/>
    <cellStyle name="Comma 9 4 2 2 5 2" xfId="14010" xr:uid="{1AB7CA10-A537-49EC-8826-7471FBB76776}"/>
    <cellStyle name="Comma 9 4 2 2 5 2 2" xfId="29130" xr:uid="{272EAF1F-9774-443D-A102-5F446EDEF404}"/>
    <cellStyle name="Comma 9 4 2 2 5 2 2 2" xfId="59370" xr:uid="{72DBFE34-AE81-42EA-90DB-8BCCABA794DD}"/>
    <cellStyle name="Comma 9 4 2 2 5 2 3" xfId="44250" xr:uid="{A2404513-1831-4FD3-B3D8-9063E164F5D3}"/>
    <cellStyle name="Comma 9 4 2 2 5 3" xfId="20058" xr:uid="{DDAC3F22-6827-44E7-B86C-5E23FE421BF7}"/>
    <cellStyle name="Comma 9 4 2 2 5 3 2" xfId="50298" xr:uid="{AF2C7CE8-60CE-4C2E-B088-69EA54C1E283}"/>
    <cellStyle name="Comma 9 4 2 2 5 4" xfId="35178" xr:uid="{43435FD6-E791-46CE-BBF0-941668B7964B}"/>
    <cellStyle name="Comma 9 4 2 2 6" xfId="6450" xr:uid="{1CCF59CE-D3CF-47E9-B716-883E6F4D65E1}"/>
    <cellStyle name="Comma 9 4 2 2 6 2" xfId="21570" xr:uid="{F5E28D59-D7AD-48A5-AF16-51D14D24FAD5}"/>
    <cellStyle name="Comma 9 4 2 2 6 2 2" xfId="51810" xr:uid="{4E8CA88F-F9FA-4A9C-BE85-B0B931719555}"/>
    <cellStyle name="Comma 9 4 2 2 6 3" xfId="36690" xr:uid="{0E3D7F4B-DAFE-4755-A586-A5406E98BA16}"/>
    <cellStyle name="Comma 9 4 2 2 7" xfId="7962" xr:uid="{97287FFD-9A29-4168-A6F1-BF77C74898AB}"/>
    <cellStyle name="Comma 9 4 2 2 7 2" xfId="23082" xr:uid="{BAD2931A-56B6-41DF-A564-3D4F9B2868E3}"/>
    <cellStyle name="Comma 9 4 2 2 7 2 2" xfId="53322" xr:uid="{7CCD23DF-5098-42CB-9FE5-239E57EC569C}"/>
    <cellStyle name="Comma 9 4 2 2 7 3" xfId="38202" xr:uid="{5096E355-2DF1-43E3-8421-03C4F44B96A1}"/>
    <cellStyle name="Comma 9 4 2 2 8" xfId="9474" xr:uid="{80DECAD1-07E0-43D5-B30E-30C0C367B853}"/>
    <cellStyle name="Comma 9 4 2 2 8 2" xfId="24594" xr:uid="{2F7FD7D3-8CEE-4B31-97D7-834C0EC06B8F}"/>
    <cellStyle name="Comma 9 4 2 2 8 2 2" xfId="54834" xr:uid="{11F992D5-9A61-467B-96DB-22D07B1FB2C5}"/>
    <cellStyle name="Comma 9 4 2 2 8 3" xfId="39714" xr:uid="{5B72B330-81AC-4A52-B7CA-A85A4F318C79}"/>
    <cellStyle name="Comma 9 4 2 2 9" xfId="15522" xr:uid="{934B815D-763D-418F-B544-2E3B4C11CF49}"/>
    <cellStyle name="Comma 9 4 2 2 9 2" xfId="45762" xr:uid="{29B5FA50-61E1-4461-8639-6AAADA4E7737}"/>
    <cellStyle name="Comma 9 4 2 3" xfId="654" xr:uid="{84343B38-68A8-41A2-BB69-B861BD67B434}"/>
    <cellStyle name="Comma 9 4 2 3 10" xfId="30894" xr:uid="{1707ACBD-1CC4-48D8-BB25-2DBC16B0D851}"/>
    <cellStyle name="Comma 9 4 2 3 2" xfId="1410" xr:uid="{B5504A24-DB08-41C7-86EA-6B53AA047861}"/>
    <cellStyle name="Comma 9 4 2 3 2 2" xfId="2922" xr:uid="{326C0403-F666-4561-BB4B-7D0771A0EAAA}"/>
    <cellStyle name="Comma 9 4 2 3 2 2 2" xfId="11994" xr:uid="{C8978AF8-DBD6-443A-BA57-713512D1DA72}"/>
    <cellStyle name="Comma 9 4 2 3 2 2 2 2" xfId="27114" xr:uid="{5D9F31A6-8E4F-47B5-87F6-DF06AE0EEB0F}"/>
    <cellStyle name="Comma 9 4 2 3 2 2 2 2 2" xfId="57354" xr:uid="{96C031CC-C379-4FAD-9951-E0B680CFAC4F}"/>
    <cellStyle name="Comma 9 4 2 3 2 2 2 3" xfId="42234" xr:uid="{A3124C31-BB85-4B18-9937-60AF947965C1}"/>
    <cellStyle name="Comma 9 4 2 3 2 2 3" xfId="18042" xr:uid="{6F884E72-F0CB-413B-931D-B195A352146F}"/>
    <cellStyle name="Comma 9 4 2 3 2 2 3 2" xfId="48282" xr:uid="{BDF3BECA-7CAE-484A-93B0-82E533A1A268}"/>
    <cellStyle name="Comma 9 4 2 3 2 2 4" xfId="33162" xr:uid="{F4AFDAD8-9D87-4C9F-ADD5-4CE672640239}"/>
    <cellStyle name="Comma 9 4 2 3 2 3" xfId="4434" xr:uid="{2F773EF9-F1F7-46B7-9129-C8546877447C}"/>
    <cellStyle name="Comma 9 4 2 3 2 3 2" xfId="13506" xr:uid="{3A2C6E93-AC1D-41C6-8B24-0677B802FBBC}"/>
    <cellStyle name="Comma 9 4 2 3 2 3 2 2" xfId="28626" xr:uid="{DE2E7B3A-F2C2-4446-B519-381B2BEBB9BB}"/>
    <cellStyle name="Comma 9 4 2 3 2 3 2 2 2" xfId="58866" xr:uid="{9F8C87B5-5BEC-476A-BFA9-12E328D82337}"/>
    <cellStyle name="Comma 9 4 2 3 2 3 2 3" xfId="43746" xr:uid="{49084B05-CA62-4363-A41D-E81007F65249}"/>
    <cellStyle name="Comma 9 4 2 3 2 3 3" xfId="19554" xr:uid="{AF0A49D2-DE3D-4DFD-BEF9-05335714E7A5}"/>
    <cellStyle name="Comma 9 4 2 3 2 3 3 2" xfId="49794" xr:uid="{04C91B13-C5A0-49D9-B4F6-9C82EFCB39A2}"/>
    <cellStyle name="Comma 9 4 2 3 2 3 4" xfId="34674" xr:uid="{C8E9FB61-BF57-4A23-890C-1124E55D104C}"/>
    <cellStyle name="Comma 9 4 2 3 2 4" xfId="5946" xr:uid="{647C49FA-B11B-4BDE-B350-1C6D4223BE53}"/>
    <cellStyle name="Comma 9 4 2 3 2 4 2" xfId="15018" xr:uid="{D912792E-4B5A-4C42-90E7-E3AA39EA7427}"/>
    <cellStyle name="Comma 9 4 2 3 2 4 2 2" xfId="30138" xr:uid="{C95B951D-A295-4B11-B38B-880587A613F9}"/>
    <cellStyle name="Comma 9 4 2 3 2 4 2 2 2" xfId="60378" xr:uid="{6D4017FF-37EF-49ED-8161-E1405BDF44AD}"/>
    <cellStyle name="Comma 9 4 2 3 2 4 2 3" xfId="45258" xr:uid="{B648173F-505E-42B1-A957-BD8773BF8F35}"/>
    <cellStyle name="Comma 9 4 2 3 2 4 3" xfId="21066" xr:uid="{9EA87585-49E7-41CC-9525-D97209C5ADC4}"/>
    <cellStyle name="Comma 9 4 2 3 2 4 3 2" xfId="51306" xr:uid="{C6B119C1-8A02-435F-BF5A-599135773564}"/>
    <cellStyle name="Comma 9 4 2 3 2 4 4" xfId="36186" xr:uid="{5780F351-A266-4195-AACE-CD2444DD8B46}"/>
    <cellStyle name="Comma 9 4 2 3 2 5" xfId="7458" xr:uid="{A101C0B2-338D-41B1-A547-CE6DEFF61CEA}"/>
    <cellStyle name="Comma 9 4 2 3 2 5 2" xfId="22578" xr:uid="{5C6028B0-36AB-4931-8453-11A5354CFD53}"/>
    <cellStyle name="Comma 9 4 2 3 2 5 2 2" xfId="52818" xr:uid="{6DE76A60-BE5C-410A-8932-44FF1B7E9E62}"/>
    <cellStyle name="Comma 9 4 2 3 2 5 3" xfId="37698" xr:uid="{BB1A30DE-D968-43BB-B6FE-746E6F429DA5}"/>
    <cellStyle name="Comma 9 4 2 3 2 6" xfId="8970" xr:uid="{8586C510-C139-4D69-8B89-0F9A69ACD561}"/>
    <cellStyle name="Comma 9 4 2 3 2 6 2" xfId="24090" xr:uid="{DA0A84F6-813C-4840-B3B8-D9B47A851988}"/>
    <cellStyle name="Comma 9 4 2 3 2 6 2 2" xfId="54330" xr:uid="{C6BB951A-A3EC-42B1-A492-CEA491E8B478}"/>
    <cellStyle name="Comma 9 4 2 3 2 6 3" xfId="39210" xr:uid="{2DB9C536-9B1D-49E7-AD31-676B03A12AC2}"/>
    <cellStyle name="Comma 9 4 2 3 2 7" xfId="10482" xr:uid="{8A1D4A7A-36D7-4B69-90B8-9D8E043EF4BF}"/>
    <cellStyle name="Comma 9 4 2 3 2 7 2" xfId="25602" xr:uid="{341C1D24-A852-413B-8D37-68CD90E44B87}"/>
    <cellStyle name="Comma 9 4 2 3 2 7 2 2" xfId="55842" xr:uid="{33E08E23-71CD-4A14-A059-37ED901BA452}"/>
    <cellStyle name="Comma 9 4 2 3 2 7 3" xfId="40722" xr:uid="{91711A10-86CA-484F-840B-7C0CD2A6DC41}"/>
    <cellStyle name="Comma 9 4 2 3 2 8" xfId="16530" xr:uid="{EB54FA93-1317-4B3B-AB7F-55F2655F5037}"/>
    <cellStyle name="Comma 9 4 2 3 2 8 2" xfId="46770" xr:uid="{CE7B7BAB-ED53-4D79-940F-119D8F3647BA}"/>
    <cellStyle name="Comma 9 4 2 3 2 9" xfId="31650" xr:uid="{285E8FDA-1EE5-486B-8BBB-8FB48AB46A10}"/>
    <cellStyle name="Comma 9 4 2 3 3" xfId="2166" xr:uid="{1CA73E03-5B21-4B5D-9D24-CEE1AE520C2A}"/>
    <cellStyle name="Comma 9 4 2 3 3 2" xfId="11238" xr:uid="{8AFD472E-1F1A-4258-91FB-F03DE93A728C}"/>
    <cellStyle name="Comma 9 4 2 3 3 2 2" xfId="26358" xr:uid="{687A10A9-4247-410E-9084-6AA4D14C5CA9}"/>
    <cellStyle name="Comma 9 4 2 3 3 2 2 2" xfId="56598" xr:uid="{7D74DCD1-24A4-469E-AFC0-66BA7DB5FCF3}"/>
    <cellStyle name="Comma 9 4 2 3 3 2 3" xfId="41478" xr:uid="{4064FBC9-05C5-420D-A7D1-F6EC030D52C3}"/>
    <cellStyle name="Comma 9 4 2 3 3 3" xfId="17286" xr:uid="{3585F42F-AB7A-48B0-8D7F-68FBCFBA7872}"/>
    <cellStyle name="Comma 9 4 2 3 3 3 2" xfId="47526" xr:uid="{903F3AFC-EFD1-475C-A9BD-274DC562F0BD}"/>
    <cellStyle name="Comma 9 4 2 3 3 4" xfId="32406" xr:uid="{F0A915E9-EA10-46B2-BEA0-29F31A4BC6AD}"/>
    <cellStyle name="Comma 9 4 2 3 4" xfId="3678" xr:uid="{C5F4BE21-7121-43D9-A4E4-AD73426FC634}"/>
    <cellStyle name="Comma 9 4 2 3 4 2" xfId="12750" xr:uid="{E2388DA4-5FF1-446A-BD41-E80A9B1CFF39}"/>
    <cellStyle name="Comma 9 4 2 3 4 2 2" xfId="27870" xr:uid="{9F370272-0A29-44F4-98A9-55A7E8ADBAD4}"/>
    <cellStyle name="Comma 9 4 2 3 4 2 2 2" xfId="58110" xr:uid="{C72321E8-D4C3-4B45-B3CF-B894CD1A6176}"/>
    <cellStyle name="Comma 9 4 2 3 4 2 3" xfId="42990" xr:uid="{4AED1B94-2EF7-48E8-8AF1-EF86965D7035}"/>
    <cellStyle name="Comma 9 4 2 3 4 3" xfId="18798" xr:uid="{DF3BB716-7705-4C16-9CDA-BE008D527945}"/>
    <cellStyle name="Comma 9 4 2 3 4 3 2" xfId="49038" xr:uid="{9518B016-29A8-4D62-B267-165C8A4A717C}"/>
    <cellStyle name="Comma 9 4 2 3 4 4" xfId="33918" xr:uid="{4053FA9A-5572-4AFC-BD2F-3665AC90ACFA}"/>
    <cellStyle name="Comma 9 4 2 3 5" xfId="5190" xr:uid="{7CBF1A89-96C3-4B2F-8F1E-A6AEDA1F4EC4}"/>
    <cellStyle name="Comma 9 4 2 3 5 2" xfId="14262" xr:uid="{6B5007D4-E549-4AF8-8969-E56B87808314}"/>
    <cellStyle name="Comma 9 4 2 3 5 2 2" xfId="29382" xr:uid="{F2606383-B8E8-46E4-BF3E-8BE0DF4491FF}"/>
    <cellStyle name="Comma 9 4 2 3 5 2 2 2" xfId="59622" xr:uid="{B1BE989C-5374-4981-A86B-F92899AAC615}"/>
    <cellStyle name="Comma 9 4 2 3 5 2 3" xfId="44502" xr:uid="{704BC6DF-D713-48D5-8360-37D42A11F4DB}"/>
    <cellStyle name="Comma 9 4 2 3 5 3" xfId="20310" xr:uid="{A0F775B3-C7FA-49D9-B846-554DB3A31980}"/>
    <cellStyle name="Comma 9 4 2 3 5 3 2" xfId="50550" xr:uid="{1FD3CD9A-3DE1-4D00-8118-6EDAA50214C1}"/>
    <cellStyle name="Comma 9 4 2 3 5 4" xfId="35430" xr:uid="{A31D628D-4230-4D18-8510-C56E3CB338B7}"/>
    <cellStyle name="Comma 9 4 2 3 6" xfId="6702" xr:uid="{AC8D8714-5D83-45B5-BEDA-63BC71997D78}"/>
    <cellStyle name="Comma 9 4 2 3 6 2" xfId="21822" xr:uid="{23047FE0-3323-47DE-9BCF-7CBE92FDC8F1}"/>
    <cellStyle name="Comma 9 4 2 3 6 2 2" xfId="52062" xr:uid="{5239D6FF-80D2-41D8-A666-61C9268112D8}"/>
    <cellStyle name="Comma 9 4 2 3 6 3" xfId="36942" xr:uid="{3CE9A114-5AA1-4AB0-92EF-CCBAD48E3D2E}"/>
    <cellStyle name="Comma 9 4 2 3 7" xfId="8214" xr:uid="{1CD8A5EB-D019-48AD-81AF-6308CF2C68F6}"/>
    <cellStyle name="Comma 9 4 2 3 7 2" xfId="23334" xr:uid="{09CBCFF1-E21C-4A81-94DB-F7506E7DE1C9}"/>
    <cellStyle name="Comma 9 4 2 3 7 2 2" xfId="53574" xr:uid="{6BA48CFF-5E20-4F36-AE7F-611C40FCE2EC}"/>
    <cellStyle name="Comma 9 4 2 3 7 3" xfId="38454" xr:uid="{E6318D9E-4F5A-439B-984C-CCC195B218DD}"/>
    <cellStyle name="Comma 9 4 2 3 8" xfId="9726" xr:uid="{B073F8A4-7EEB-4437-8676-D52842FF56D6}"/>
    <cellStyle name="Comma 9 4 2 3 8 2" xfId="24846" xr:uid="{D99F2D51-9046-45D0-B9A4-71B5F73F2BB1}"/>
    <cellStyle name="Comma 9 4 2 3 8 2 2" xfId="55086" xr:uid="{0C5B76DE-46A7-409C-B7AE-58512BA89B95}"/>
    <cellStyle name="Comma 9 4 2 3 8 3" xfId="39966" xr:uid="{AA2933D9-7997-42EC-A142-892830D90C8F}"/>
    <cellStyle name="Comma 9 4 2 3 9" xfId="15774" xr:uid="{1D7AA4B6-B430-415B-B9B9-D03814CFED99}"/>
    <cellStyle name="Comma 9 4 2 3 9 2" xfId="46014" xr:uid="{11C30D73-9748-48FB-AEC3-87F9083DBB50}"/>
    <cellStyle name="Comma 9 4 2 4" xfId="906" xr:uid="{34969A0D-E117-41F1-8C14-C286ED46830E}"/>
    <cellStyle name="Comma 9 4 2 4 2" xfId="2418" xr:uid="{056743F8-96FA-40C5-8E26-CE3701084FD3}"/>
    <cellStyle name="Comma 9 4 2 4 2 2" xfId="11490" xr:uid="{EB6DCB48-55DB-4473-AD92-B6963C5DBD09}"/>
    <cellStyle name="Comma 9 4 2 4 2 2 2" xfId="26610" xr:uid="{832557F3-8A6A-4A0A-B7D3-C828AC2032B7}"/>
    <cellStyle name="Comma 9 4 2 4 2 2 2 2" xfId="56850" xr:uid="{56240431-1940-4FFB-9507-9CEDE9AFEE08}"/>
    <cellStyle name="Comma 9 4 2 4 2 2 3" xfId="41730" xr:uid="{B03810A3-9DDB-4FF5-8982-4A4FFC07F2F2}"/>
    <cellStyle name="Comma 9 4 2 4 2 3" xfId="17538" xr:uid="{F32FBEFC-3BAE-4299-A315-B84E2B74E4B3}"/>
    <cellStyle name="Comma 9 4 2 4 2 3 2" xfId="47778" xr:uid="{5DB332E3-412E-482E-BD69-7ACB2688F344}"/>
    <cellStyle name="Comma 9 4 2 4 2 4" xfId="32658" xr:uid="{14A6D41C-BCDD-4DB1-8D13-E0649926A569}"/>
    <cellStyle name="Comma 9 4 2 4 3" xfId="3930" xr:uid="{FD076592-4DFC-4D9B-8656-BB0E7C212F5E}"/>
    <cellStyle name="Comma 9 4 2 4 3 2" xfId="13002" xr:uid="{DA8D11F7-249D-4C30-96C9-9F2A816307B8}"/>
    <cellStyle name="Comma 9 4 2 4 3 2 2" xfId="28122" xr:uid="{C8D20585-9790-4D2A-8203-B58B153B8158}"/>
    <cellStyle name="Comma 9 4 2 4 3 2 2 2" xfId="58362" xr:uid="{09F7A071-EF1D-4B25-9268-51676B9B0B6C}"/>
    <cellStyle name="Comma 9 4 2 4 3 2 3" xfId="43242" xr:uid="{E3BE803D-35AC-4F34-8812-A05E89AF4F72}"/>
    <cellStyle name="Comma 9 4 2 4 3 3" xfId="19050" xr:uid="{DD720256-2437-494F-BC5C-FFA9C0BF148E}"/>
    <cellStyle name="Comma 9 4 2 4 3 3 2" xfId="49290" xr:uid="{D0DE84CD-A35A-4DD5-B744-2EA8EBDE02AA}"/>
    <cellStyle name="Comma 9 4 2 4 3 4" xfId="34170" xr:uid="{28EEA443-F7DA-4328-B2A9-A7F1B8D96245}"/>
    <cellStyle name="Comma 9 4 2 4 4" xfId="5442" xr:uid="{8EA3DAA6-9548-4A53-8D99-0F1C4EE4E5FF}"/>
    <cellStyle name="Comma 9 4 2 4 4 2" xfId="14514" xr:uid="{335FC6AD-6E76-437E-82C9-95591B3C481A}"/>
    <cellStyle name="Comma 9 4 2 4 4 2 2" xfId="29634" xr:uid="{229BF575-6B6A-4927-8531-04D35C84536B}"/>
    <cellStyle name="Comma 9 4 2 4 4 2 2 2" xfId="59874" xr:uid="{E246834E-1594-4B72-B684-8C99F44DE7F6}"/>
    <cellStyle name="Comma 9 4 2 4 4 2 3" xfId="44754" xr:uid="{7E07AE2B-A3D0-4392-8452-2A5049C41906}"/>
    <cellStyle name="Comma 9 4 2 4 4 3" xfId="20562" xr:uid="{48587203-998C-4A59-94C1-0E92919F6B03}"/>
    <cellStyle name="Comma 9 4 2 4 4 3 2" xfId="50802" xr:uid="{050C3F16-01C4-4162-9C5B-28E385F5C361}"/>
    <cellStyle name="Comma 9 4 2 4 4 4" xfId="35682" xr:uid="{69BB4D4D-1BD7-45E7-8C59-EF0BB3E31F61}"/>
    <cellStyle name="Comma 9 4 2 4 5" xfId="6954" xr:uid="{0B245DA5-615B-4E8B-8C66-5ACF735D1135}"/>
    <cellStyle name="Comma 9 4 2 4 5 2" xfId="22074" xr:uid="{EB2FB929-0F38-4CD7-B996-BDB81DD27C99}"/>
    <cellStyle name="Comma 9 4 2 4 5 2 2" xfId="52314" xr:uid="{1A584E83-9A52-44C2-BFE2-7C22C0B3355D}"/>
    <cellStyle name="Comma 9 4 2 4 5 3" xfId="37194" xr:uid="{7B387D45-CAF4-40A7-8085-400B87032ACE}"/>
    <cellStyle name="Comma 9 4 2 4 6" xfId="8466" xr:uid="{A6BDD538-7A91-4407-B63A-1E1E00D12F62}"/>
    <cellStyle name="Comma 9 4 2 4 6 2" xfId="23586" xr:uid="{48023A36-7B9B-40FD-9E9C-1709CF0C51AF}"/>
    <cellStyle name="Comma 9 4 2 4 6 2 2" xfId="53826" xr:uid="{4B8653CD-E3C9-4035-B4B3-CDC9169284AD}"/>
    <cellStyle name="Comma 9 4 2 4 6 3" xfId="38706" xr:uid="{4A7A151A-3031-4BB0-9106-09DC891C56D5}"/>
    <cellStyle name="Comma 9 4 2 4 7" xfId="9978" xr:uid="{CD6E1095-2F2B-4903-A046-D7F9519973C0}"/>
    <cellStyle name="Comma 9 4 2 4 7 2" xfId="25098" xr:uid="{273DF905-9AEA-42BA-AF7D-CE8DC7653B3A}"/>
    <cellStyle name="Comma 9 4 2 4 7 2 2" xfId="55338" xr:uid="{DF4745E2-A962-40C4-939A-7900B80558AA}"/>
    <cellStyle name="Comma 9 4 2 4 7 3" xfId="40218" xr:uid="{0DFFB3F6-7556-420F-85EA-266761BE2A51}"/>
    <cellStyle name="Comma 9 4 2 4 8" xfId="16026" xr:uid="{0292504F-B946-43B7-8322-E09BCCEB596E}"/>
    <cellStyle name="Comma 9 4 2 4 8 2" xfId="46266" xr:uid="{BA325382-4CD3-4099-925D-67D6BA717DF7}"/>
    <cellStyle name="Comma 9 4 2 4 9" xfId="31146" xr:uid="{3AE56707-19D9-4B63-A61E-C9A9FC072E4B}"/>
    <cellStyle name="Comma 9 4 2 5" xfId="1662" xr:uid="{EF339C32-527E-4781-8454-E1B6E3ADD699}"/>
    <cellStyle name="Comma 9 4 2 5 2" xfId="10734" xr:uid="{9EDEBE78-F58A-43FB-8656-28B3512F9B10}"/>
    <cellStyle name="Comma 9 4 2 5 2 2" xfId="25854" xr:uid="{930C2C92-335D-48DB-89AA-F3AF17FEC4B9}"/>
    <cellStyle name="Comma 9 4 2 5 2 2 2" xfId="56094" xr:uid="{A691847C-E2A9-43EC-9836-D761CA8FF615}"/>
    <cellStyle name="Comma 9 4 2 5 2 3" xfId="40974" xr:uid="{6DE73446-51B0-432F-A381-CA5075A9685B}"/>
    <cellStyle name="Comma 9 4 2 5 3" xfId="16782" xr:uid="{8FF63CA7-5355-4ACA-9817-8B4330682951}"/>
    <cellStyle name="Comma 9 4 2 5 3 2" xfId="47022" xr:uid="{2F5525EE-56A4-4F87-9920-670DC5A39FD5}"/>
    <cellStyle name="Comma 9 4 2 5 4" xfId="31902" xr:uid="{AC7C6750-824D-4161-B306-871D943EEAE9}"/>
    <cellStyle name="Comma 9 4 2 6" xfId="3174" xr:uid="{0A538C4E-60FF-4B90-9C4B-C9D34ADD57F4}"/>
    <cellStyle name="Comma 9 4 2 6 2" xfId="12246" xr:uid="{F52E077B-5D49-4F14-983D-09DD1A3B4A3E}"/>
    <cellStyle name="Comma 9 4 2 6 2 2" xfId="27366" xr:uid="{749B7925-985C-4B4D-A230-37B2CBAA73A5}"/>
    <cellStyle name="Comma 9 4 2 6 2 2 2" xfId="57606" xr:uid="{7A589D8D-18F8-417D-AEAA-E81D4D81FD67}"/>
    <cellStyle name="Comma 9 4 2 6 2 3" xfId="42486" xr:uid="{EC24ADD8-04C1-4E47-A7F3-65FC1D4BA942}"/>
    <cellStyle name="Comma 9 4 2 6 3" xfId="18294" xr:uid="{6C2E83A9-B2C5-4D81-9DA0-531BA6EE7E4E}"/>
    <cellStyle name="Comma 9 4 2 6 3 2" xfId="48534" xr:uid="{300FBE5B-6965-4C11-94A1-A19E99578AE2}"/>
    <cellStyle name="Comma 9 4 2 6 4" xfId="33414" xr:uid="{3ED0BACD-B5A4-4C64-B051-EC4A9F637D45}"/>
    <cellStyle name="Comma 9 4 2 7" xfId="4686" xr:uid="{6E71BA25-7182-4274-85AB-F1865F3C85F1}"/>
    <cellStyle name="Comma 9 4 2 7 2" xfId="13758" xr:uid="{AFAD2224-B05A-4879-B015-7AA9847B9113}"/>
    <cellStyle name="Comma 9 4 2 7 2 2" xfId="28878" xr:uid="{34B9D831-9E6D-4CF9-A4ED-7644A1F0DDBE}"/>
    <cellStyle name="Comma 9 4 2 7 2 2 2" xfId="59118" xr:uid="{3EB41B3D-DB5C-4B3A-A93F-CC59F8D771C9}"/>
    <cellStyle name="Comma 9 4 2 7 2 3" xfId="43998" xr:uid="{AE790BCF-1F36-4569-9D96-067C802A4D06}"/>
    <cellStyle name="Comma 9 4 2 7 3" xfId="19806" xr:uid="{EC7F0A2A-9989-4FA9-A159-B112785AD5A8}"/>
    <cellStyle name="Comma 9 4 2 7 3 2" xfId="50046" xr:uid="{EAAEFD6C-1AC2-41A8-91F5-C732F8F21AE9}"/>
    <cellStyle name="Comma 9 4 2 7 4" xfId="34926" xr:uid="{6E34C479-AA62-4D6F-A8BA-DF017BE514E2}"/>
    <cellStyle name="Comma 9 4 2 8" xfId="6198" xr:uid="{9D7C8608-0B6A-4358-A810-AFB1220AC81A}"/>
    <cellStyle name="Comma 9 4 2 8 2" xfId="21318" xr:uid="{27EEB329-D154-420D-A1A9-0F9D5EBAF03E}"/>
    <cellStyle name="Comma 9 4 2 8 2 2" xfId="51558" xr:uid="{12B67ABE-1A2F-4403-A5CA-CDDE49DF44E5}"/>
    <cellStyle name="Comma 9 4 2 8 3" xfId="36438" xr:uid="{686A93EC-6807-4A74-9544-FEFE0F0542B6}"/>
    <cellStyle name="Comma 9 4 2 9" xfId="7710" xr:uid="{46BEA871-9347-4D10-B413-2209F7149A56}"/>
    <cellStyle name="Comma 9 4 2 9 2" xfId="22830" xr:uid="{596DD78A-8E85-4691-ACBE-5DAFC37AF4CB}"/>
    <cellStyle name="Comma 9 4 2 9 2 2" xfId="53070" xr:uid="{265722AA-9FC9-41BC-BE20-798CADB5247A}"/>
    <cellStyle name="Comma 9 4 2 9 3" xfId="37950" xr:uid="{174735CB-0DBC-46B7-97CC-99CAA57F10E5}"/>
    <cellStyle name="Comma 9 4 3" xfId="234" xr:uid="{837DA8AB-D7A8-44A8-BCC3-D7C26CE282DA}"/>
    <cellStyle name="Comma 9 4 3 10" xfId="9306" xr:uid="{180EFA9A-6737-4ABC-9128-FC72950808E1}"/>
    <cellStyle name="Comma 9 4 3 10 2" xfId="24426" xr:uid="{E0448FCF-8296-419B-9446-65A01F4579E9}"/>
    <cellStyle name="Comma 9 4 3 10 2 2" xfId="54666" xr:uid="{33038A30-05DF-41E4-AA1B-88B89D2BA290}"/>
    <cellStyle name="Comma 9 4 3 10 3" xfId="39546" xr:uid="{975A5D6F-BB19-4F16-ADC8-F0F7D20092E6}"/>
    <cellStyle name="Comma 9 4 3 11" xfId="15354" xr:uid="{BAC40FB6-991C-4DE2-9F31-9D2C76B3B38A}"/>
    <cellStyle name="Comma 9 4 3 11 2" xfId="45594" xr:uid="{E7B9469B-436E-4769-929F-4ECD3BEFFFF4}"/>
    <cellStyle name="Comma 9 4 3 12" xfId="30474" xr:uid="{08F003C2-8C69-4ADE-BC8D-8FEFBF3350AF}"/>
    <cellStyle name="Comma 9 4 3 2" xfId="486" xr:uid="{C49CB042-A7BE-419A-A498-FD22CBAA4DD7}"/>
    <cellStyle name="Comma 9 4 3 2 10" xfId="30726" xr:uid="{0D444137-8538-46C7-9DC6-1DCAA50F8369}"/>
    <cellStyle name="Comma 9 4 3 2 2" xfId="1242" xr:uid="{C2636576-49DD-4FBF-ADE5-677767AA1EA6}"/>
    <cellStyle name="Comma 9 4 3 2 2 2" xfId="2754" xr:uid="{627606E8-C359-4632-90A5-1A87A678EF5E}"/>
    <cellStyle name="Comma 9 4 3 2 2 2 2" xfId="11826" xr:uid="{5E72611C-660F-4B53-81AD-6EFF3320C9FD}"/>
    <cellStyle name="Comma 9 4 3 2 2 2 2 2" xfId="26946" xr:uid="{B52C1CBF-A8E3-4E81-B89D-5175B2C31E94}"/>
    <cellStyle name="Comma 9 4 3 2 2 2 2 2 2" xfId="57186" xr:uid="{C4E002C4-CB70-4B2C-B88F-AA77B8A13B28}"/>
    <cellStyle name="Comma 9 4 3 2 2 2 2 3" xfId="42066" xr:uid="{4E610FE8-16BF-463B-9D48-CFE951863C15}"/>
    <cellStyle name="Comma 9 4 3 2 2 2 3" xfId="17874" xr:uid="{8D77FD99-A292-43C5-B738-2292B5C7E8A9}"/>
    <cellStyle name="Comma 9 4 3 2 2 2 3 2" xfId="48114" xr:uid="{68B9CCCA-A4A0-48F7-BA9E-8F342BEA8B04}"/>
    <cellStyle name="Comma 9 4 3 2 2 2 4" xfId="32994" xr:uid="{A32D2F03-3C5F-4CD9-8FD2-2909B1A49FA3}"/>
    <cellStyle name="Comma 9 4 3 2 2 3" xfId="4266" xr:uid="{231E6A89-85AD-495C-94A2-9FFC2346FC9C}"/>
    <cellStyle name="Comma 9 4 3 2 2 3 2" xfId="13338" xr:uid="{53CC7B22-98C5-4609-8BAC-98C0AEA7AE39}"/>
    <cellStyle name="Comma 9 4 3 2 2 3 2 2" xfId="28458" xr:uid="{F02BC7D1-AC71-4B9D-BA69-ADDB84AD507A}"/>
    <cellStyle name="Comma 9 4 3 2 2 3 2 2 2" xfId="58698" xr:uid="{51034FCB-E753-4378-A6E8-D91251592248}"/>
    <cellStyle name="Comma 9 4 3 2 2 3 2 3" xfId="43578" xr:uid="{8CE52344-A1A3-45B7-8FDE-7146DEEA7CF9}"/>
    <cellStyle name="Comma 9 4 3 2 2 3 3" xfId="19386" xr:uid="{80B1824C-4C3E-4D22-A78C-13F8AC3DC0F5}"/>
    <cellStyle name="Comma 9 4 3 2 2 3 3 2" xfId="49626" xr:uid="{E9A90F73-BF54-4F08-AAEB-F358A90150AA}"/>
    <cellStyle name="Comma 9 4 3 2 2 3 4" xfId="34506" xr:uid="{D8063769-2BA0-40F5-814A-3B2B2286EC13}"/>
    <cellStyle name="Comma 9 4 3 2 2 4" xfId="5778" xr:uid="{8E7601DB-1C73-41F4-8C63-4ECCD4369D48}"/>
    <cellStyle name="Comma 9 4 3 2 2 4 2" xfId="14850" xr:uid="{85D192E1-DB88-465B-B9DF-BCB7909F16FC}"/>
    <cellStyle name="Comma 9 4 3 2 2 4 2 2" xfId="29970" xr:uid="{B7E2CC61-AF5A-4685-BC3D-89390C2E0947}"/>
    <cellStyle name="Comma 9 4 3 2 2 4 2 2 2" xfId="60210" xr:uid="{D1061DEE-C27B-4DC0-84E2-D4EBBAB38E9B}"/>
    <cellStyle name="Comma 9 4 3 2 2 4 2 3" xfId="45090" xr:uid="{395E19A1-D58C-40E7-AF6E-A1E1138DA915}"/>
    <cellStyle name="Comma 9 4 3 2 2 4 3" xfId="20898" xr:uid="{BC9D235C-C5DB-4643-B56F-7451FA03A782}"/>
    <cellStyle name="Comma 9 4 3 2 2 4 3 2" xfId="51138" xr:uid="{07BAF2D1-D3FD-428A-9C99-2ADA26DA73E5}"/>
    <cellStyle name="Comma 9 4 3 2 2 4 4" xfId="36018" xr:uid="{570C054D-DC8C-4D22-AF34-1D152748743A}"/>
    <cellStyle name="Comma 9 4 3 2 2 5" xfId="7290" xr:uid="{AE21FF87-C5CB-472D-8956-AF50B42D2E46}"/>
    <cellStyle name="Comma 9 4 3 2 2 5 2" xfId="22410" xr:uid="{9C594394-0F4A-40E5-8F62-36796D7EAF2A}"/>
    <cellStyle name="Comma 9 4 3 2 2 5 2 2" xfId="52650" xr:uid="{25C6B37F-2530-4F0A-8950-3D00A9D53482}"/>
    <cellStyle name="Comma 9 4 3 2 2 5 3" xfId="37530" xr:uid="{769C08D2-859B-44E4-A1BB-5DF400B31D95}"/>
    <cellStyle name="Comma 9 4 3 2 2 6" xfId="8802" xr:uid="{74702FA8-2098-4436-A5BF-03681966CF46}"/>
    <cellStyle name="Comma 9 4 3 2 2 6 2" xfId="23922" xr:uid="{361E6ACD-67BC-4D9D-8F4C-9B0B45A2D5C0}"/>
    <cellStyle name="Comma 9 4 3 2 2 6 2 2" xfId="54162" xr:uid="{C17B209C-EFB2-438B-B51E-9988B8DA27DA}"/>
    <cellStyle name="Comma 9 4 3 2 2 6 3" xfId="39042" xr:uid="{15BC050E-FE52-43A3-9B1E-34712128B4FA}"/>
    <cellStyle name="Comma 9 4 3 2 2 7" xfId="10314" xr:uid="{9556E759-5AB9-4C79-911C-96B5D9BCC885}"/>
    <cellStyle name="Comma 9 4 3 2 2 7 2" xfId="25434" xr:uid="{6F9E0F80-6436-4F20-AB08-3139AD157A39}"/>
    <cellStyle name="Comma 9 4 3 2 2 7 2 2" xfId="55674" xr:uid="{A594C0B6-298C-4A68-BB8B-E8E4222E728E}"/>
    <cellStyle name="Comma 9 4 3 2 2 7 3" xfId="40554" xr:uid="{640FED50-5847-4150-92B2-E3911FC72EFE}"/>
    <cellStyle name="Comma 9 4 3 2 2 8" xfId="16362" xr:uid="{86745D05-76D0-4349-ADD7-0525213DBB55}"/>
    <cellStyle name="Comma 9 4 3 2 2 8 2" xfId="46602" xr:uid="{CBCA390F-D7F7-4156-B7D8-86D899A61BA3}"/>
    <cellStyle name="Comma 9 4 3 2 2 9" xfId="31482" xr:uid="{4AA37D17-66FB-4837-9882-19A9367254F8}"/>
    <cellStyle name="Comma 9 4 3 2 3" xfId="1998" xr:uid="{DB54A22F-3DA4-4400-B261-C26CBEF6B24D}"/>
    <cellStyle name="Comma 9 4 3 2 3 2" xfId="11070" xr:uid="{4C3BF554-392B-42D0-AF76-9DD0C376603C}"/>
    <cellStyle name="Comma 9 4 3 2 3 2 2" xfId="26190" xr:uid="{E3C17136-5EBE-4B79-9371-4B739B94ECC5}"/>
    <cellStyle name="Comma 9 4 3 2 3 2 2 2" xfId="56430" xr:uid="{21D56335-436C-4384-A4D2-3F548E4987EA}"/>
    <cellStyle name="Comma 9 4 3 2 3 2 3" xfId="41310" xr:uid="{F43EF2CB-7548-472D-821E-1A82D751C9BA}"/>
    <cellStyle name="Comma 9 4 3 2 3 3" xfId="17118" xr:uid="{9A5EA886-DAA9-4C0F-AFBD-DA66F6B582E8}"/>
    <cellStyle name="Comma 9 4 3 2 3 3 2" xfId="47358" xr:uid="{8C6FFB9F-23C7-46A5-98A7-F0DB96E662A1}"/>
    <cellStyle name="Comma 9 4 3 2 3 4" xfId="32238" xr:uid="{3D4A5EC1-CEDC-46EC-A58D-EBC633FF170A}"/>
    <cellStyle name="Comma 9 4 3 2 4" xfId="3510" xr:uid="{754C2B62-12CA-4BB0-B03A-552B9C4C3DA2}"/>
    <cellStyle name="Comma 9 4 3 2 4 2" xfId="12582" xr:uid="{3861DCCA-D8E0-4C41-BACB-C219C868C92F}"/>
    <cellStyle name="Comma 9 4 3 2 4 2 2" xfId="27702" xr:uid="{4D2DDF70-1E61-4903-B0CE-802C8984DB78}"/>
    <cellStyle name="Comma 9 4 3 2 4 2 2 2" xfId="57942" xr:uid="{449C690F-67F1-4F82-A786-3FC28C1AA365}"/>
    <cellStyle name="Comma 9 4 3 2 4 2 3" xfId="42822" xr:uid="{28D37712-6C76-4172-A627-BCC4ADE2A430}"/>
    <cellStyle name="Comma 9 4 3 2 4 3" xfId="18630" xr:uid="{FFFE6B2E-6698-4F8F-BA34-2C586A4F072E}"/>
    <cellStyle name="Comma 9 4 3 2 4 3 2" xfId="48870" xr:uid="{D52243C9-3D60-4D57-93ED-69D7E0E92A68}"/>
    <cellStyle name="Comma 9 4 3 2 4 4" xfId="33750" xr:uid="{3CA75205-775A-4424-88A6-D6BA0C7FDCC6}"/>
    <cellStyle name="Comma 9 4 3 2 5" xfId="5022" xr:uid="{34B5A815-02CE-4BDF-B6D6-E0AEBBFB21C9}"/>
    <cellStyle name="Comma 9 4 3 2 5 2" xfId="14094" xr:uid="{2D604181-710B-4DF9-AE1B-E433FCB987AD}"/>
    <cellStyle name="Comma 9 4 3 2 5 2 2" xfId="29214" xr:uid="{8AC21A62-CE67-4ECD-A94C-F89CA7FED94F}"/>
    <cellStyle name="Comma 9 4 3 2 5 2 2 2" xfId="59454" xr:uid="{251F5A28-BDCE-4616-BCEC-A092A472C783}"/>
    <cellStyle name="Comma 9 4 3 2 5 2 3" xfId="44334" xr:uid="{BF5C1D5B-A3D9-4226-A809-F8A16E53E49D}"/>
    <cellStyle name="Comma 9 4 3 2 5 3" xfId="20142" xr:uid="{53A79928-C7E6-4B0B-9233-13B88BF6933D}"/>
    <cellStyle name="Comma 9 4 3 2 5 3 2" xfId="50382" xr:uid="{2A6C1D95-93B0-4A81-9124-D11456F54C50}"/>
    <cellStyle name="Comma 9 4 3 2 5 4" xfId="35262" xr:uid="{3B3DD0E2-7D48-46FE-AA1B-DCFA559A23D7}"/>
    <cellStyle name="Comma 9 4 3 2 6" xfId="6534" xr:uid="{91B946E5-7E8E-48D8-83DB-097EEB025FB8}"/>
    <cellStyle name="Comma 9 4 3 2 6 2" xfId="21654" xr:uid="{4BA39C10-FC5F-4E7A-9078-82E5D765ECA3}"/>
    <cellStyle name="Comma 9 4 3 2 6 2 2" xfId="51894" xr:uid="{5ED4423B-0A03-4495-8AEF-7061028D794B}"/>
    <cellStyle name="Comma 9 4 3 2 6 3" xfId="36774" xr:uid="{CE105A29-C8CE-4CE9-BD61-AA0F2B7C85D5}"/>
    <cellStyle name="Comma 9 4 3 2 7" xfId="8046" xr:uid="{92250F06-BC91-4E64-83DF-B24B0FFB7845}"/>
    <cellStyle name="Comma 9 4 3 2 7 2" xfId="23166" xr:uid="{01DD2BF7-EC66-457A-AC30-8E39499F2CCA}"/>
    <cellStyle name="Comma 9 4 3 2 7 2 2" xfId="53406" xr:uid="{1698F533-2212-4FE0-82BA-4841232BA249}"/>
    <cellStyle name="Comma 9 4 3 2 7 3" xfId="38286" xr:uid="{931E636C-FB61-4D34-8584-303D7AE60E5B}"/>
    <cellStyle name="Comma 9 4 3 2 8" xfId="9558" xr:uid="{99A47E81-6A50-4523-8538-25C8D4640F40}"/>
    <cellStyle name="Comma 9 4 3 2 8 2" xfId="24678" xr:uid="{A26ABA22-5A93-4D47-851A-B5F43FA33E64}"/>
    <cellStyle name="Comma 9 4 3 2 8 2 2" xfId="54918" xr:uid="{1F853669-FD8A-4BD0-91B1-24D189DB304C}"/>
    <cellStyle name="Comma 9 4 3 2 8 3" xfId="39798" xr:uid="{5A199597-5233-4048-ABAC-CE8DEBB2FCBF}"/>
    <cellStyle name="Comma 9 4 3 2 9" xfId="15606" xr:uid="{E1B7BB9C-31B0-4CC8-9A02-D983B3D61502}"/>
    <cellStyle name="Comma 9 4 3 2 9 2" xfId="45846" xr:uid="{09BC9467-E6DF-47EC-83F4-C2B35A04C177}"/>
    <cellStyle name="Comma 9 4 3 3" xfId="738" xr:uid="{E65C00C7-7C01-40F7-84E5-D6D1F60D1715}"/>
    <cellStyle name="Comma 9 4 3 3 10" xfId="30978" xr:uid="{B2D13082-C732-4FE8-9C9B-0952D607D992}"/>
    <cellStyle name="Comma 9 4 3 3 2" xfId="1494" xr:uid="{1DC52FA4-8B9E-4183-820A-9FB49F9356D2}"/>
    <cellStyle name="Comma 9 4 3 3 2 2" xfId="3006" xr:uid="{476A0DCA-C2D9-471A-8548-D6F6102798CC}"/>
    <cellStyle name="Comma 9 4 3 3 2 2 2" xfId="12078" xr:uid="{D37B3072-34D8-43E6-BA27-4F678BC453C4}"/>
    <cellStyle name="Comma 9 4 3 3 2 2 2 2" xfId="27198" xr:uid="{5CA7733B-5AC8-458D-A0D4-82391B8D329F}"/>
    <cellStyle name="Comma 9 4 3 3 2 2 2 2 2" xfId="57438" xr:uid="{7E51BD03-2B23-4D12-88F9-0DD37F6551CE}"/>
    <cellStyle name="Comma 9 4 3 3 2 2 2 3" xfId="42318" xr:uid="{42CD3013-EA1B-4E54-85B2-C0ABB36E0C07}"/>
    <cellStyle name="Comma 9 4 3 3 2 2 3" xfId="18126" xr:uid="{1D01D789-386D-4F51-A054-D441C1170830}"/>
    <cellStyle name="Comma 9 4 3 3 2 2 3 2" xfId="48366" xr:uid="{61E383BF-A025-4A55-8571-717280C778C8}"/>
    <cellStyle name="Comma 9 4 3 3 2 2 4" xfId="33246" xr:uid="{46FE6D92-3BC6-4F21-BC02-1CC31BFB202E}"/>
    <cellStyle name="Comma 9 4 3 3 2 3" xfId="4518" xr:uid="{E08B0263-5804-4835-89CD-5990C4A00891}"/>
    <cellStyle name="Comma 9 4 3 3 2 3 2" xfId="13590" xr:uid="{5E4A60D2-7B4F-4E12-AD9F-E2D97A571C22}"/>
    <cellStyle name="Comma 9 4 3 3 2 3 2 2" xfId="28710" xr:uid="{5891CB91-DC41-47C1-A817-248F74EFFAA7}"/>
    <cellStyle name="Comma 9 4 3 3 2 3 2 2 2" xfId="58950" xr:uid="{51291B4A-7C05-4A88-9A0E-576A2665B907}"/>
    <cellStyle name="Comma 9 4 3 3 2 3 2 3" xfId="43830" xr:uid="{AA157E8F-2CC7-40E5-8597-5314A6A6013C}"/>
    <cellStyle name="Comma 9 4 3 3 2 3 3" xfId="19638" xr:uid="{4E6207EA-7384-45EE-AF26-417C83A1C916}"/>
    <cellStyle name="Comma 9 4 3 3 2 3 3 2" xfId="49878" xr:uid="{95EBF284-7E47-47DC-9219-A9B674663C09}"/>
    <cellStyle name="Comma 9 4 3 3 2 3 4" xfId="34758" xr:uid="{4BA37656-ECBC-411D-8E8D-2B8740A4BE19}"/>
    <cellStyle name="Comma 9 4 3 3 2 4" xfId="6030" xr:uid="{DF4F3060-09F7-4263-9813-248CEB39134D}"/>
    <cellStyle name="Comma 9 4 3 3 2 4 2" xfId="15102" xr:uid="{E82B8563-7667-4CBE-9F8E-33C52BC71677}"/>
    <cellStyle name="Comma 9 4 3 3 2 4 2 2" xfId="30222" xr:uid="{A4299E84-F6D5-4313-AC82-D5D20A47537B}"/>
    <cellStyle name="Comma 9 4 3 3 2 4 2 2 2" xfId="60462" xr:uid="{B5B945E9-0087-4076-BE32-1921AF161C4A}"/>
    <cellStyle name="Comma 9 4 3 3 2 4 2 3" xfId="45342" xr:uid="{88C081A5-C6F2-49E4-AB2A-C0D206A7B54C}"/>
    <cellStyle name="Comma 9 4 3 3 2 4 3" xfId="21150" xr:uid="{43127E0E-2AA2-4DFC-89CE-99905CA99AC2}"/>
    <cellStyle name="Comma 9 4 3 3 2 4 3 2" xfId="51390" xr:uid="{60ABEC9F-45F8-41FD-B9AF-A5BF676F248A}"/>
    <cellStyle name="Comma 9 4 3 3 2 4 4" xfId="36270" xr:uid="{AB0FD4E9-F7A5-40FF-990F-6C36253ABA62}"/>
    <cellStyle name="Comma 9 4 3 3 2 5" xfId="7542" xr:uid="{9562B398-E0A9-4B37-8181-924B558EF382}"/>
    <cellStyle name="Comma 9 4 3 3 2 5 2" xfId="22662" xr:uid="{00C6D7C8-B261-4528-8F87-B8523C10241E}"/>
    <cellStyle name="Comma 9 4 3 3 2 5 2 2" xfId="52902" xr:uid="{1C16777A-D282-42CD-B1A9-A1D3563C73B7}"/>
    <cellStyle name="Comma 9 4 3 3 2 5 3" xfId="37782" xr:uid="{7C62FC80-ADCD-4C7F-B071-45B056C3FA40}"/>
    <cellStyle name="Comma 9 4 3 3 2 6" xfId="9054" xr:uid="{325254AC-F105-47D9-8BB5-7C2291986595}"/>
    <cellStyle name="Comma 9 4 3 3 2 6 2" xfId="24174" xr:uid="{57755FB4-E22F-479C-A59A-E91EE148630D}"/>
    <cellStyle name="Comma 9 4 3 3 2 6 2 2" xfId="54414" xr:uid="{FE01AD6D-F3E6-4C89-9D58-4F05F3E22F12}"/>
    <cellStyle name="Comma 9 4 3 3 2 6 3" xfId="39294" xr:uid="{DE1453FF-191F-4D64-80DC-BA606ED61297}"/>
    <cellStyle name="Comma 9 4 3 3 2 7" xfId="10566" xr:uid="{573B5334-4447-4195-9EC4-0B0A5964B466}"/>
    <cellStyle name="Comma 9 4 3 3 2 7 2" xfId="25686" xr:uid="{B0CFEEA2-747D-4060-9DAC-15BE1479491A}"/>
    <cellStyle name="Comma 9 4 3 3 2 7 2 2" xfId="55926" xr:uid="{C25B480A-DBB1-49D2-BBA2-11172437C49C}"/>
    <cellStyle name="Comma 9 4 3 3 2 7 3" xfId="40806" xr:uid="{49050509-5DFA-4C84-BF8C-965570CA2EE6}"/>
    <cellStyle name="Comma 9 4 3 3 2 8" xfId="16614" xr:uid="{C81C99B0-93AD-4C4A-BB0F-C68F30747A58}"/>
    <cellStyle name="Comma 9 4 3 3 2 8 2" xfId="46854" xr:uid="{8312FDFE-8AA8-4EB1-AD07-EDEDF19B252C}"/>
    <cellStyle name="Comma 9 4 3 3 2 9" xfId="31734" xr:uid="{FEC1483A-482A-413D-941B-6D57B5DAC6DB}"/>
    <cellStyle name="Comma 9 4 3 3 3" xfId="2250" xr:uid="{A2A791B4-041C-43F8-848D-BBADD25EA9F5}"/>
    <cellStyle name="Comma 9 4 3 3 3 2" xfId="11322" xr:uid="{F653B2D8-3FFF-42CC-BBD6-56A7ECE89E04}"/>
    <cellStyle name="Comma 9 4 3 3 3 2 2" xfId="26442" xr:uid="{E6349888-1D58-411A-832A-FE8B5CDFC757}"/>
    <cellStyle name="Comma 9 4 3 3 3 2 2 2" xfId="56682" xr:uid="{9028C9E2-DC07-4B4B-BBA5-5D8B0117B02C}"/>
    <cellStyle name="Comma 9 4 3 3 3 2 3" xfId="41562" xr:uid="{8F9078F4-5461-4C11-B10E-FA61AF305590}"/>
    <cellStyle name="Comma 9 4 3 3 3 3" xfId="17370" xr:uid="{38EBBF5C-0FEE-4641-AA12-7616C503D02F}"/>
    <cellStyle name="Comma 9 4 3 3 3 3 2" xfId="47610" xr:uid="{9BA82001-867B-470D-9416-590B44F5A062}"/>
    <cellStyle name="Comma 9 4 3 3 3 4" xfId="32490" xr:uid="{E12F7521-AF23-43A8-AA5B-901392F23849}"/>
    <cellStyle name="Comma 9 4 3 3 4" xfId="3762" xr:uid="{3F0B817E-8247-46AC-9519-6CF4BA446E86}"/>
    <cellStyle name="Comma 9 4 3 3 4 2" xfId="12834" xr:uid="{FA252664-6E18-4570-A07D-55B23164A5FF}"/>
    <cellStyle name="Comma 9 4 3 3 4 2 2" xfId="27954" xr:uid="{5D607CBD-555F-4082-B492-1B8BB516A8E4}"/>
    <cellStyle name="Comma 9 4 3 3 4 2 2 2" xfId="58194" xr:uid="{B807AFD2-8283-43FF-8E43-90DCE37F9D88}"/>
    <cellStyle name="Comma 9 4 3 3 4 2 3" xfId="43074" xr:uid="{AAB73F1E-ED68-4724-9F82-E38619F61B55}"/>
    <cellStyle name="Comma 9 4 3 3 4 3" xfId="18882" xr:uid="{1BAE1B05-EEBF-4585-9EFB-F32BD11F32B1}"/>
    <cellStyle name="Comma 9 4 3 3 4 3 2" xfId="49122" xr:uid="{F15BB20F-D9C1-4A4A-A131-8464B598918D}"/>
    <cellStyle name="Comma 9 4 3 3 4 4" xfId="34002" xr:uid="{C365EEA5-8253-464B-A2CB-E3E6A7932220}"/>
    <cellStyle name="Comma 9 4 3 3 5" xfId="5274" xr:uid="{C346345D-7581-452E-BD7A-E7F8989CEA3E}"/>
    <cellStyle name="Comma 9 4 3 3 5 2" xfId="14346" xr:uid="{BB9FBD4D-7656-47EA-B2D6-4DD2F94D3362}"/>
    <cellStyle name="Comma 9 4 3 3 5 2 2" xfId="29466" xr:uid="{8C8B170E-3788-4397-983F-2564FE90712B}"/>
    <cellStyle name="Comma 9 4 3 3 5 2 2 2" xfId="59706" xr:uid="{A5B37E6A-3AC8-4839-B1F1-54F9B61CF4FB}"/>
    <cellStyle name="Comma 9 4 3 3 5 2 3" xfId="44586" xr:uid="{05574C1A-42FA-43D0-B61A-A1586C59DEE3}"/>
    <cellStyle name="Comma 9 4 3 3 5 3" xfId="20394" xr:uid="{3055B1F1-77AC-4965-8364-79BB1195F5E1}"/>
    <cellStyle name="Comma 9 4 3 3 5 3 2" xfId="50634" xr:uid="{81903F89-F654-4F8E-A5A1-ACA7294C16AF}"/>
    <cellStyle name="Comma 9 4 3 3 5 4" xfId="35514" xr:uid="{B7A650F2-C8B9-4B91-8077-DE90ED7F3BAD}"/>
    <cellStyle name="Comma 9 4 3 3 6" xfId="6786" xr:uid="{D36B8649-B616-41D5-A4EF-1FD3011405C4}"/>
    <cellStyle name="Comma 9 4 3 3 6 2" xfId="21906" xr:uid="{12A7E785-D767-4FC2-8CC1-F91F5A2B5AE6}"/>
    <cellStyle name="Comma 9 4 3 3 6 2 2" xfId="52146" xr:uid="{A3BC0D32-2499-4594-8BFE-FB438D0BBB27}"/>
    <cellStyle name="Comma 9 4 3 3 6 3" xfId="37026" xr:uid="{80B375C5-806C-4E6E-8EF6-25BF3434F25F}"/>
    <cellStyle name="Comma 9 4 3 3 7" xfId="8298" xr:uid="{0635321D-25E7-430E-9792-37B575343312}"/>
    <cellStyle name="Comma 9 4 3 3 7 2" xfId="23418" xr:uid="{D59F234D-91CE-4B59-8936-36F1A7F7C762}"/>
    <cellStyle name="Comma 9 4 3 3 7 2 2" xfId="53658" xr:uid="{AD58A99D-0866-4382-B16E-5AED0D96560C}"/>
    <cellStyle name="Comma 9 4 3 3 7 3" xfId="38538" xr:uid="{26E3A9BC-6902-4F27-A465-73730AC6554D}"/>
    <cellStyle name="Comma 9 4 3 3 8" xfId="9810" xr:uid="{68A335F6-CEE1-4C5D-9333-AAB985FDD26E}"/>
    <cellStyle name="Comma 9 4 3 3 8 2" xfId="24930" xr:uid="{26B8D643-6644-49D0-B232-5A95A44CA707}"/>
    <cellStyle name="Comma 9 4 3 3 8 2 2" xfId="55170" xr:uid="{8BC42CEB-C420-4CCF-A4C6-DC47817B44FE}"/>
    <cellStyle name="Comma 9 4 3 3 8 3" xfId="40050" xr:uid="{04EADDA5-FE99-4816-829A-A42376158DFE}"/>
    <cellStyle name="Comma 9 4 3 3 9" xfId="15858" xr:uid="{BC1566F2-C83F-442E-AA8C-678CFA01ABC4}"/>
    <cellStyle name="Comma 9 4 3 3 9 2" xfId="46098" xr:uid="{C0988CD2-DB30-43DA-A537-AF8257846672}"/>
    <cellStyle name="Comma 9 4 3 4" xfId="990" xr:uid="{AFEC7E14-C5FD-4C00-BBDA-42E3FD26CD08}"/>
    <cellStyle name="Comma 9 4 3 4 2" xfId="2502" xr:uid="{C749BD07-F47A-4973-8012-D3E96DDA8EF7}"/>
    <cellStyle name="Comma 9 4 3 4 2 2" xfId="11574" xr:uid="{832EEDB7-53C8-46BB-B8EF-0B98D3FCC9B5}"/>
    <cellStyle name="Comma 9 4 3 4 2 2 2" xfId="26694" xr:uid="{DD26525A-6DFE-4AB6-AFD3-D14B84587F83}"/>
    <cellStyle name="Comma 9 4 3 4 2 2 2 2" xfId="56934" xr:uid="{49C0C8FB-F05A-4053-A1B7-67400130AD6B}"/>
    <cellStyle name="Comma 9 4 3 4 2 2 3" xfId="41814" xr:uid="{80FC127B-8C1E-413E-B332-D3102CA57CBC}"/>
    <cellStyle name="Comma 9 4 3 4 2 3" xfId="17622" xr:uid="{474F2242-32D4-4567-AF06-1F9AD854861D}"/>
    <cellStyle name="Comma 9 4 3 4 2 3 2" xfId="47862" xr:uid="{582AACA1-AB01-439E-940D-649EABF158C4}"/>
    <cellStyle name="Comma 9 4 3 4 2 4" xfId="32742" xr:uid="{6DDA3514-DB4F-4EE7-930E-03E56CABD0DA}"/>
    <cellStyle name="Comma 9 4 3 4 3" xfId="4014" xr:uid="{0E22C48A-2E84-4FC1-A03D-FF5B67B0A1C5}"/>
    <cellStyle name="Comma 9 4 3 4 3 2" xfId="13086" xr:uid="{D175656F-1CB3-4870-9DCC-B92D6BB08375}"/>
    <cellStyle name="Comma 9 4 3 4 3 2 2" xfId="28206" xr:uid="{BB4C8B43-58C4-4762-B95F-B74D70A233F3}"/>
    <cellStyle name="Comma 9 4 3 4 3 2 2 2" xfId="58446" xr:uid="{2BDF6735-500C-4EFE-B65E-6FF73382AB39}"/>
    <cellStyle name="Comma 9 4 3 4 3 2 3" xfId="43326" xr:uid="{1712F68D-38C5-4741-9127-77BADCB7CC1F}"/>
    <cellStyle name="Comma 9 4 3 4 3 3" xfId="19134" xr:uid="{B9E180AE-A4AB-4E20-B147-22311B1E74A6}"/>
    <cellStyle name="Comma 9 4 3 4 3 3 2" xfId="49374" xr:uid="{572E215C-31FF-4AB8-A609-3DCB4F76394F}"/>
    <cellStyle name="Comma 9 4 3 4 3 4" xfId="34254" xr:uid="{5996299E-C308-43A9-A1F3-7C2727BE7E42}"/>
    <cellStyle name="Comma 9 4 3 4 4" xfId="5526" xr:uid="{1D9F4C4B-04AB-463E-B788-883B3B4FE8C1}"/>
    <cellStyle name="Comma 9 4 3 4 4 2" xfId="14598" xr:uid="{56001325-7D44-4A77-8BCB-593AA00575CC}"/>
    <cellStyle name="Comma 9 4 3 4 4 2 2" xfId="29718" xr:uid="{8331605D-1D16-47F5-A39B-08AEF61FF649}"/>
    <cellStyle name="Comma 9 4 3 4 4 2 2 2" xfId="59958" xr:uid="{0967AF83-FEAF-4B36-BFDC-6B4D3D849086}"/>
    <cellStyle name="Comma 9 4 3 4 4 2 3" xfId="44838" xr:uid="{9EB38BD3-0FE1-4A39-A69B-9E70922BDAB1}"/>
    <cellStyle name="Comma 9 4 3 4 4 3" xfId="20646" xr:uid="{3EC1783D-2C2D-4F99-965F-D295F1D9CD37}"/>
    <cellStyle name="Comma 9 4 3 4 4 3 2" xfId="50886" xr:uid="{033FA18D-7D4B-4B5D-AFF7-0E1118E0E3D1}"/>
    <cellStyle name="Comma 9 4 3 4 4 4" xfId="35766" xr:uid="{03A10B56-70D5-4BAB-818B-3BD4FF957621}"/>
    <cellStyle name="Comma 9 4 3 4 5" xfId="7038" xr:uid="{4F2D1EFF-558B-46F4-A56F-036242CD0156}"/>
    <cellStyle name="Comma 9 4 3 4 5 2" xfId="22158" xr:uid="{00965E27-662E-4B05-AA88-F9B4F4534FCE}"/>
    <cellStyle name="Comma 9 4 3 4 5 2 2" xfId="52398" xr:uid="{3F30FEB4-9017-4F34-A493-22482DBD2C54}"/>
    <cellStyle name="Comma 9 4 3 4 5 3" xfId="37278" xr:uid="{03F8AFAB-AEDE-4D0F-B049-0AD9593D7E27}"/>
    <cellStyle name="Comma 9 4 3 4 6" xfId="8550" xr:uid="{57538DC1-88E6-4E49-AE35-513504B3BB85}"/>
    <cellStyle name="Comma 9 4 3 4 6 2" xfId="23670" xr:uid="{89FF3FDA-4ADE-462A-80A8-76650916178A}"/>
    <cellStyle name="Comma 9 4 3 4 6 2 2" xfId="53910" xr:uid="{9BD1BAF7-DE75-49B5-BFBD-751A4D9ADB53}"/>
    <cellStyle name="Comma 9 4 3 4 6 3" xfId="38790" xr:uid="{35E73D79-B8FF-4B1C-850F-20DAD5B91755}"/>
    <cellStyle name="Comma 9 4 3 4 7" xfId="10062" xr:uid="{28A97D51-785B-407C-9EB6-6245DB4E21C4}"/>
    <cellStyle name="Comma 9 4 3 4 7 2" xfId="25182" xr:uid="{76769D7D-80BB-4C67-A8C2-B78DE8CA6E22}"/>
    <cellStyle name="Comma 9 4 3 4 7 2 2" xfId="55422" xr:uid="{EC29EBA6-600D-429F-995F-AD32824E2D9E}"/>
    <cellStyle name="Comma 9 4 3 4 7 3" xfId="40302" xr:uid="{577AB33E-E0FA-4D37-8F35-EF58E9504C6A}"/>
    <cellStyle name="Comma 9 4 3 4 8" xfId="16110" xr:uid="{3B76FF57-A954-46F9-A32B-16B6D050741F}"/>
    <cellStyle name="Comma 9 4 3 4 8 2" xfId="46350" xr:uid="{3218BCE0-CF6D-4DEE-A603-E54ECE806234}"/>
    <cellStyle name="Comma 9 4 3 4 9" xfId="31230" xr:uid="{1712D066-C509-4FDF-97C3-7967C5A3CC02}"/>
    <cellStyle name="Comma 9 4 3 5" xfId="1746" xr:uid="{893C10CB-3D93-4BC6-87D5-AEB7BABFC1D2}"/>
    <cellStyle name="Comma 9 4 3 5 2" xfId="10818" xr:uid="{4969BECD-555E-403E-AB51-AA746475EF97}"/>
    <cellStyle name="Comma 9 4 3 5 2 2" xfId="25938" xr:uid="{9D19C38E-754F-47CE-BF4F-5CE8616702D3}"/>
    <cellStyle name="Comma 9 4 3 5 2 2 2" xfId="56178" xr:uid="{34055BA2-5C0F-4925-BDD5-0C4A0CC5AFCF}"/>
    <cellStyle name="Comma 9 4 3 5 2 3" xfId="41058" xr:uid="{18ECCF9D-8F5F-4FFE-898B-F0231919A3CE}"/>
    <cellStyle name="Comma 9 4 3 5 3" xfId="16866" xr:uid="{6A5E603C-AE61-4CE0-AA93-53248C0B34DA}"/>
    <cellStyle name="Comma 9 4 3 5 3 2" xfId="47106" xr:uid="{31F349E5-BD1F-4362-A319-C3D74627104E}"/>
    <cellStyle name="Comma 9 4 3 5 4" xfId="31986" xr:uid="{B205A816-DC4A-4B26-9563-E93C22E35BBE}"/>
    <cellStyle name="Comma 9 4 3 6" xfId="3258" xr:uid="{79320CD7-9D9A-44F4-A8D6-065792EEE8BD}"/>
    <cellStyle name="Comma 9 4 3 6 2" xfId="12330" xr:uid="{52143877-A9FF-4564-A0ED-FBB7A3030C64}"/>
    <cellStyle name="Comma 9 4 3 6 2 2" xfId="27450" xr:uid="{369B0191-3C8B-40F2-A9ED-A2D54882E4D0}"/>
    <cellStyle name="Comma 9 4 3 6 2 2 2" xfId="57690" xr:uid="{BC9D4BE4-5547-4EF1-967D-62537ADEFE83}"/>
    <cellStyle name="Comma 9 4 3 6 2 3" xfId="42570" xr:uid="{100F5209-8AD9-4FC4-A12C-66E467867906}"/>
    <cellStyle name="Comma 9 4 3 6 3" xfId="18378" xr:uid="{49F23C29-5195-4473-BFF1-50D7E3B0B8B7}"/>
    <cellStyle name="Comma 9 4 3 6 3 2" xfId="48618" xr:uid="{9447A8D5-363F-4A11-B8B4-66CC8F6162AC}"/>
    <cellStyle name="Comma 9 4 3 6 4" xfId="33498" xr:uid="{7CBF1BD3-E89D-4DD3-BC5A-1F110E66290A}"/>
    <cellStyle name="Comma 9 4 3 7" xfId="4770" xr:uid="{4B0C33EC-CF0A-472F-BF4E-9F143E62406B}"/>
    <cellStyle name="Comma 9 4 3 7 2" xfId="13842" xr:uid="{60ED33A5-7A61-4AB5-9671-AF87A1D4807E}"/>
    <cellStyle name="Comma 9 4 3 7 2 2" xfId="28962" xr:uid="{684567FC-1013-4B91-AD26-253446937D46}"/>
    <cellStyle name="Comma 9 4 3 7 2 2 2" xfId="59202" xr:uid="{EF947E7B-1749-4235-BFE6-6788A989087F}"/>
    <cellStyle name="Comma 9 4 3 7 2 3" xfId="44082" xr:uid="{7906EB07-3693-4A4C-BC00-F74880F5DD25}"/>
    <cellStyle name="Comma 9 4 3 7 3" xfId="19890" xr:uid="{F0A4224E-8272-460D-A3C1-3EC93F3305C9}"/>
    <cellStyle name="Comma 9 4 3 7 3 2" xfId="50130" xr:uid="{28BAF58A-E437-46AA-B2B4-61E84115CAD6}"/>
    <cellStyle name="Comma 9 4 3 7 4" xfId="35010" xr:uid="{A9504006-8824-4917-99BF-268CBAC285F5}"/>
    <cellStyle name="Comma 9 4 3 8" xfId="6282" xr:uid="{4BEF5604-E4A8-4D62-8835-24BD72C42040}"/>
    <cellStyle name="Comma 9 4 3 8 2" xfId="21402" xr:uid="{BB4E52B3-26FA-41F9-BC16-819D3C679752}"/>
    <cellStyle name="Comma 9 4 3 8 2 2" xfId="51642" xr:uid="{088C52D2-8D0B-448F-9278-379C7DAF4CB3}"/>
    <cellStyle name="Comma 9 4 3 8 3" xfId="36522" xr:uid="{A01D5F9F-A43B-46F7-824C-DAEA37455827}"/>
    <cellStyle name="Comma 9 4 3 9" xfId="7794" xr:uid="{D4EFE841-B899-45B9-BB73-B46E87BA2FE2}"/>
    <cellStyle name="Comma 9 4 3 9 2" xfId="22914" xr:uid="{EA50D2BA-2EFB-4108-B06F-1B19FC4DB115}"/>
    <cellStyle name="Comma 9 4 3 9 2 2" xfId="53154" xr:uid="{235CEC93-5E96-49C7-82FE-3E7AA9DB4763}"/>
    <cellStyle name="Comma 9 4 3 9 3" xfId="38034" xr:uid="{1B99A842-490B-40D5-81C2-3CAED71F75E4}"/>
    <cellStyle name="Comma 9 4 4" xfId="318" xr:uid="{52E85483-828D-43E2-ABD0-CD16DC6DEE24}"/>
    <cellStyle name="Comma 9 4 4 10" xfId="30558" xr:uid="{ECB1E812-288C-448C-BB9A-67C0CBE561FD}"/>
    <cellStyle name="Comma 9 4 4 2" xfId="1074" xr:uid="{AE2679E4-96D2-467F-9FA2-DF15F5355284}"/>
    <cellStyle name="Comma 9 4 4 2 2" xfId="2586" xr:uid="{5FE1CD9E-EB1A-4BC3-AECE-DF71320BF728}"/>
    <cellStyle name="Comma 9 4 4 2 2 2" xfId="11658" xr:uid="{210711B5-EC02-4372-ABF1-4277EAB3BD65}"/>
    <cellStyle name="Comma 9 4 4 2 2 2 2" xfId="26778" xr:uid="{3C2557A1-4349-458B-8298-02AEA4BBA8BC}"/>
    <cellStyle name="Comma 9 4 4 2 2 2 2 2" xfId="57018" xr:uid="{DC3F23BD-1A7C-4AC8-B560-126DC8C05AAB}"/>
    <cellStyle name="Comma 9 4 4 2 2 2 3" xfId="41898" xr:uid="{6CE05CD9-8D77-4ED6-9033-D9117CC278E1}"/>
    <cellStyle name="Comma 9 4 4 2 2 3" xfId="17706" xr:uid="{82B4C8C5-F0BA-4D95-A9FB-904737BCD790}"/>
    <cellStyle name="Comma 9 4 4 2 2 3 2" xfId="47946" xr:uid="{39E8833F-EB36-49A8-8D5B-6819253DFBE7}"/>
    <cellStyle name="Comma 9 4 4 2 2 4" xfId="32826" xr:uid="{A56DE188-5CC0-49F1-B1BC-BD58D303EF94}"/>
    <cellStyle name="Comma 9 4 4 2 3" xfId="4098" xr:uid="{649FEA14-9131-4E21-8A9D-B3D7217EF9FF}"/>
    <cellStyle name="Comma 9 4 4 2 3 2" xfId="13170" xr:uid="{0A6EC847-9672-489B-84C0-01E917978FA6}"/>
    <cellStyle name="Comma 9 4 4 2 3 2 2" xfId="28290" xr:uid="{6B5F6E06-3AE3-460B-AC1D-4363D4A2760C}"/>
    <cellStyle name="Comma 9 4 4 2 3 2 2 2" xfId="58530" xr:uid="{93B69F5E-1DC8-4FBC-A60C-BF00CE8E96EF}"/>
    <cellStyle name="Comma 9 4 4 2 3 2 3" xfId="43410" xr:uid="{3C8B003B-A0C7-41DB-9EDC-8B52C67FEED0}"/>
    <cellStyle name="Comma 9 4 4 2 3 3" xfId="19218" xr:uid="{B435DDC0-7A53-4B84-B454-596E4BE10816}"/>
    <cellStyle name="Comma 9 4 4 2 3 3 2" xfId="49458" xr:uid="{F6FC2E31-3C56-4FDA-AC48-101A34F10D24}"/>
    <cellStyle name="Comma 9 4 4 2 3 4" xfId="34338" xr:uid="{2C6F51AE-1831-4668-A88E-2DCC751BF411}"/>
    <cellStyle name="Comma 9 4 4 2 4" xfId="5610" xr:uid="{7D66A2FE-8351-450A-92EA-8D05EB52A1F1}"/>
    <cellStyle name="Comma 9 4 4 2 4 2" xfId="14682" xr:uid="{740495FC-99AF-4C24-98A0-887AB49A84DF}"/>
    <cellStyle name="Comma 9 4 4 2 4 2 2" xfId="29802" xr:uid="{547EFA41-376B-4F09-9D79-0D70EBA286B5}"/>
    <cellStyle name="Comma 9 4 4 2 4 2 2 2" xfId="60042" xr:uid="{1D7FC673-4BC5-4B46-B7C8-D085E8FD826A}"/>
    <cellStyle name="Comma 9 4 4 2 4 2 3" xfId="44922" xr:uid="{04D9E628-284A-4C94-8047-7BE7A33647FF}"/>
    <cellStyle name="Comma 9 4 4 2 4 3" xfId="20730" xr:uid="{9D601037-5DF7-40D0-8E00-935BF4BD7A88}"/>
    <cellStyle name="Comma 9 4 4 2 4 3 2" xfId="50970" xr:uid="{114677AF-6126-452D-B23B-3D7EAE180854}"/>
    <cellStyle name="Comma 9 4 4 2 4 4" xfId="35850" xr:uid="{004DB605-60FB-4916-AB74-97FCCC5477AD}"/>
    <cellStyle name="Comma 9 4 4 2 5" xfId="7122" xr:uid="{723D8FCE-D5DA-41F9-B45C-5D8D207CC09B}"/>
    <cellStyle name="Comma 9 4 4 2 5 2" xfId="22242" xr:uid="{D92F779A-F907-4560-9CFF-F133830F4414}"/>
    <cellStyle name="Comma 9 4 4 2 5 2 2" xfId="52482" xr:uid="{82008CBA-7A34-417B-A877-DE1CA4A2338B}"/>
    <cellStyle name="Comma 9 4 4 2 5 3" xfId="37362" xr:uid="{7278F706-EEF5-4C6A-B6AB-8667509FC117}"/>
    <cellStyle name="Comma 9 4 4 2 6" xfId="8634" xr:uid="{441EBD5A-98F2-410E-BEE2-9046FB0A7452}"/>
    <cellStyle name="Comma 9 4 4 2 6 2" xfId="23754" xr:uid="{DFF567A9-C7D9-4EB0-A9F9-6275AD77AFFA}"/>
    <cellStyle name="Comma 9 4 4 2 6 2 2" xfId="53994" xr:uid="{403C7E7C-FE3D-4F98-8D86-77A4E9C5AB09}"/>
    <cellStyle name="Comma 9 4 4 2 6 3" xfId="38874" xr:uid="{5E519151-D060-4FCD-A28A-74B7357A4B85}"/>
    <cellStyle name="Comma 9 4 4 2 7" xfId="10146" xr:uid="{44FD088C-62BB-42C4-8797-7EACE1E89103}"/>
    <cellStyle name="Comma 9 4 4 2 7 2" xfId="25266" xr:uid="{E5653A16-27F7-4942-B6C9-F8D821F0E3F7}"/>
    <cellStyle name="Comma 9 4 4 2 7 2 2" xfId="55506" xr:uid="{F84529F6-88F3-493D-BBD9-0091BF91EAFB}"/>
    <cellStyle name="Comma 9 4 4 2 7 3" xfId="40386" xr:uid="{2E65238C-50DC-474D-AD24-6E4CAA196395}"/>
    <cellStyle name="Comma 9 4 4 2 8" xfId="16194" xr:uid="{D23E35F6-678F-40AB-AA27-62E8B8E55DD1}"/>
    <cellStyle name="Comma 9 4 4 2 8 2" xfId="46434" xr:uid="{7A9FE581-1F72-45F5-9044-01E55D3E37AC}"/>
    <cellStyle name="Comma 9 4 4 2 9" xfId="31314" xr:uid="{07F1EE77-681B-4790-8CBD-C5D320A2FA78}"/>
    <cellStyle name="Comma 9 4 4 3" xfId="1830" xr:uid="{C640A8AD-3BF4-46B9-AB59-0470A566F045}"/>
    <cellStyle name="Comma 9 4 4 3 2" xfId="10902" xr:uid="{3C06EEED-06CD-4221-A8F4-FCAF0C055505}"/>
    <cellStyle name="Comma 9 4 4 3 2 2" xfId="26022" xr:uid="{A933984D-7711-4A34-B4E3-6EC92631A1FB}"/>
    <cellStyle name="Comma 9 4 4 3 2 2 2" xfId="56262" xr:uid="{AC8D8D0A-A864-4B02-BF08-F1CD45F5183C}"/>
    <cellStyle name="Comma 9 4 4 3 2 3" xfId="41142" xr:uid="{031D69F4-8724-422F-A1BA-D6800F4ED40F}"/>
    <cellStyle name="Comma 9 4 4 3 3" xfId="16950" xr:uid="{6F718834-044B-44A5-A90C-ACA0E37718FB}"/>
    <cellStyle name="Comma 9 4 4 3 3 2" xfId="47190" xr:uid="{FD155567-3181-4933-AA4B-A6390976FD1D}"/>
    <cellStyle name="Comma 9 4 4 3 4" xfId="32070" xr:uid="{B45D3E3D-1D56-4D81-A75C-34546CA7D49C}"/>
    <cellStyle name="Comma 9 4 4 4" xfId="3342" xr:uid="{8A0B4BF1-8701-4EC3-9F25-C2CED9B433E0}"/>
    <cellStyle name="Comma 9 4 4 4 2" xfId="12414" xr:uid="{1B3D938A-13A5-4D4F-9564-EC11BA378D73}"/>
    <cellStyle name="Comma 9 4 4 4 2 2" xfId="27534" xr:uid="{4F444336-7D6F-424D-A434-F114DA527B97}"/>
    <cellStyle name="Comma 9 4 4 4 2 2 2" xfId="57774" xr:uid="{C570378D-666A-4959-A66D-6DDDBE87689E}"/>
    <cellStyle name="Comma 9 4 4 4 2 3" xfId="42654" xr:uid="{8CF98949-1FDD-4BFF-9CE0-A509C24F89CC}"/>
    <cellStyle name="Comma 9 4 4 4 3" xfId="18462" xr:uid="{9E41BB59-EC38-450D-8A14-195090A115DC}"/>
    <cellStyle name="Comma 9 4 4 4 3 2" xfId="48702" xr:uid="{76B6BB0C-4191-4819-8080-D1AFDF6AC318}"/>
    <cellStyle name="Comma 9 4 4 4 4" xfId="33582" xr:uid="{DC8FEAB0-761A-4220-8A70-B944A0A3DCB3}"/>
    <cellStyle name="Comma 9 4 4 5" xfId="4854" xr:uid="{F964D3E9-4878-45B5-B037-CBEBAC526C27}"/>
    <cellStyle name="Comma 9 4 4 5 2" xfId="13926" xr:uid="{7DD8756E-9E88-4BFE-9B44-B6D81370E29F}"/>
    <cellStyle name="Comma 9 4 4 5 2 2" xfId="29046" xr:uid="{5171C2F8-AC5C-48B0-A629-0B8BCACDC531}"/>
    <cellStyle name="Comma 9 4 4 5 2 2 2" xfId="59286" xr:uid="{EDEB0219-B0B3-4949-BDB7-294B54A78CAB}"/>
    <cellStyle name="Comma 9 4 4 5 2 3" xfId="44166" xr:uid="{98064CF9-6F37-4078-8AFA-EC7E7CD696DB}"/>
    <cellStyle name="Comma 9 4 4 5 3" xfId="19974" xr:uid="{F640C2A1-2C03-41BC-90DE-7665E627DE49}"/>
    <cellStyle name="Comma 9 4 4 5 3 2" xfId="50214" xr:uid="{69F151B3-EC68-4138-A956-7DA15E78F6DC}"/>
    <cellStyle name="Comma 9 4 4 5 4" xfId="35094" xr:uid="{8EC6B640-C634-44D8-AB13-714DF302B23E}"/>
    <cellStyle name="Comma 9 4 4 6" xfId="6366" xr:uid="{7B395782-D7F2-49CD-91A5-9066BD9895D0}"/>
    <cellStyle name="Comma 9 4 4 6 2" xfId="21486" xr:uid="{E60D88AA-8FD5-4B83-A68D-A6A1FC6E2537}"/>
    <cellStyle name="Comma 9 4 4 6 2 2" xfId="51726" xr:uid="{D64EBED5-739B-4C9F-BDBD-00E0F2790D3D}"/>
    <cellStyle name="Comma 9 4 4 6 3" xfId="36606" xr:uid="{DFBF80BC-4186-4F9F-A0F0-091112DEB472}"/>
    <cellStyle name="Comma 9 4 4 7" xfId="7878" xr:uid="{986D0727-746D-4E5A-BCAB-A7AFA7683E60}"/>
    <cellStyle name="Comma 9 4 4 7 2" xfId="22998" xr:uid="{F511CC6B-AD56-48F7-98B5-F2ACDC952247}"/>
    <cellStyle name="Comma 9 4 4 7 2 2" xfId="53238" xr:uid="{FB4687C3-C0F1-45D4-90DC-183BD5DDD8E0}"/>
    <cellStyle name="Comma 9 4 4 7 3" xfId="38118" xr:uid="{36992C6F-8FBD-4F51-8020-1B9F50A8A774}"/>
    <cellStyle name="Comma 9 4 4 8" xfId="9390" xr:uid="{A881A0FF-4F03-4F0A-9E36-134E0AA938FB}"/>
    <cellStyle name="Comma 9 4 4 8 2" xfId="24510" xr:uid="{EE81BA17-7474-4831-AB82-A3ED344AE33F}"/>
    <cellStyle name="Comma 9 4 4 8 2 2" xfId="54750" xr:uid="{DF6D98CA-525A-4000-B7F2-5D5C0E75BECF}"/>
    <cellStyle name="Comma 9 4 4 8 3" xfId="39630" xr:uid="{74D13C97-0C5A-4B52-AA0B-BD34B3394BC0}"/>
    <cellStyle name="Comma 9 4 4 9" xfId="15438" xr:uid="{50DFC466-A4C9-4118-801C-1127BED21D85}"/>
    <cellStyle name="Comma 9 4 4 9 2" xfId="45678" xr:uid="{6274E34A-5054-4D80-AE5C-D83A1BDDD448}"/>
    <cellStyle name="Comma 9 4 5" xfId="570" xr:uid="{00275A1E-ACDB-4C8D-ADFD-F5AE8D253D6A}"/>
    <cellStyle name="Comma 9 4 5 10" xfId="30810" xr:uid="{C3B00640-EC94-492D-AE7B-65036C545246}"/>
    <cellStyle name="Comma 9 4 5 2" xfId="1326" xr:uid="{B042F728-75DE-4935-AD1B-2466E5687888}"/>
    <cellStyle name="Comma 9 4 5 2 2" xfId="2838" xr:uid="{741FE972-E97B-4954-9E30-5CD7B865C9BA}"/>
    <cellStyle name="Comma 9 4 5 2 2 2" xfId="11910" xr:uid="{DCBB0BFA-34C9-4C9E-A117-684004BF9AE6}"/>
    <cellStyle name="Comma 9 4 5 2 2 2 2" xfId="27030" xr:uid="{1CB8FFD5-5E32-4DD1-B5FC-0855E9A117EE}"/>
    <cellStyle name="Comma 9 4 5 2 2 2 2 2" xfId="57270" xr:uid="{93E8D0B9-D232-4DBE-A827-04A6F0A2FA86}"/>
    <cellStyle name="Comma 9 4 5 2 2 2 3" xfId="42150" xr:uid="{7A1EA948-20C5-42A6-BCF3-08BE377E1603}"/>
    <cellStyle name="Comma 9 4 5 2 2 3" xfId="17958" xr:uid="{6324B778-420E-4D1B-83C6-F21DB350F482}"/>
    <cellStyle name="Comma 9 4 5 2 2 3 2" xfId="48198" xr:uid="{7EAC2BC8-5C2D-49E4-A9AC-AEA60ED67A14}"/>
    <cellStyle name="Comma 9 4 5 2 2 4" xfId="33078" xr:uid="{61B4B3EB-5F2A-4408-9D32-2B149BE2881B}"/>
    <cellStyle name="Comma 9 4 5 2 3" xfId="4350" xr:uid="{3EE3EB8A-3C04-4918-972B-F10BFAA17D49}"/>
    <cellStyle name="Comma 9 4 5 2 3 2" xfId="13422" xr:uid="{79E55946-9D3F-454E-8135-6AF60E83ACED}"/>
    <cellStyle name="Comma 9 4 5 2 3 2 2" xfId="28542" xr:uid="{971E0F24-7DCA-4857-AA7D-5A6691FDB66A}"/>
    <cellStyle name="Comma 9 4 5 2 3 2 2 2" xfId="58782" xr:uid="{E39C6CA3-ED4B-4F21-8669-6F6BCBBF00F0}"/>
    <cellStyle name="Comma 9 4 5 2 3 2 3" xfId="43662" xr:uid="{D173E697-6FE6-46AF-BBC8-96BA4A6AAC7C}"/>
    <cellStyle name="Comma 9 4 5 2 3 3" xfId="19470" xr:uid="{327DB47C-1A3E-45AF-9A3E-B008CDECA9A7}"/>
    <cellStyle name="Comma 9 4 5 2 3 3 2" xfId="49710" xr:uid="{094185C4-2CD6-40AF-8CED-B9AFE14EA3CD}"/>
    <cellStyle name="Comma 9 4 5 2 3 4" xfId="34590" xr:uid="{66B1586C-8544-41C2-9092-9CD2B908E2DE}"/>
    <cellStyle name="Comma 9 4 5 2 4" xfId="5862" xr:uid="{C3FC2455-C191-44C2-B37E-3EC123924D0A}"/>
    <cellStyle name="Comma 9 4 5 2 4 2" xfId="14934" xr:uid="{73D77CBD-27DA-49B9-8BD5-695A4A8307B9}"/>
    <cellStyle name="Comma 9 4 5 2 4 2 2" xfId="30054" xr:uid="{621584B3-6BF8-4ADC-8CE4-3741084B3ADB}"/>
    <cellStyle name="Comma 9 4 5 2 4 2 2 2" xfId="60294" xr:uid="{2555A1BB-5BB7-4BC5-BD64-9564F22C1378}"/>
    <cellStyle name="Comma 9 4 5 2 4 2 3" xfId="45174" xr:uid="{992B05ED-86A7-4487-BB91-9F34E7275468}"/>
    <cellStyle name="Comma 9 4 5 2 4 3" xfId="20982" xr:uid="{9F7B2B95-D0D3-40C6-96D8-7EEB11676A49}"/>
    <cellStyle name="Comma 9 4 5 2 4 3 2" xfId="51222" xr:uid="{03648A08-9239-4863-A770-1CCC2672825F}"/>
    <cellStyle name="Comma 9 4 5 2 4 4" xfId="36102" xr:uid="{A3A7949D-3EE1-4F46-BD47-BAD1EE1F020E}"/>
    <cellStyle name="Comma 9 4 5 2 5" xfId="7374" xr:uid="{3BC230F0-7A1F-4AAA-92F1-2CF6470CB330}"/>
    <cellStyle name="Comma 9 4 5 2 5 2" xfId="22494" xr:uid="{AE4F0CD0-0A3E-4D72-B3E1-62F863E74D57}"/>
    <cellStyle name="Comma 9 4 5 2 5 2 2" xfId="52734" xr:uid="{9A55DB96-7136-438E-B7BC-3B5CC0648F01}"/>
    <cellStyle name="Comma 9 4 5 2 5 3" xfId="37614" xr:uid="{6DAD0F78-2468-4811-A2EE-07D6DCB7F596}"/>
    <cellStyle name="Comma 9 4 5 2 6" xfId="8886" xr:uid="{9BC534F5-0F74-4844-B6B6-10865C04C4CA}"/>
    <cellStyle name="Comma 9 4 5 2 6 2" xfId="24006" xr:uid="{D08CCE87-4065-4696-8653-ABCA3917DDCD}"/>
    <cellStyle name="Comma 9 4 5 2 6 2 2" xfId="54246" xr:uid="{4959696B-BBBA-43D9-A20A-2112D2944BFB}"/>
    <cellStyle name="Comma 9 4 5 2 6 3" xfId="39126" xr:uid="{D47858F7-AC92-4E24-B073-08D9736FF973}"/>
    <cellStyle name="Comma 9 4 5 2 7" xfId="10398" xr:uid="{79563EAE-E748-4B73-A2B2-FD251E0B5B88}"/>
    <cellStyle name="Comma 9 4 5 2 7 2" xfId="25518" xr:uid="{05950CDB-75A5-4AD0-8750-372B6E15363B}"/>
    <cellStyle name="Comma 9 4 5 2 7 2 2" xfId="55758" xr:uid="{42E8D4AF-D368-4062-A29C-5F05830E4FBA}"/>
    <cellStyle name="Comma 9 4 5 2 7 3" xfId="40638" xr:uid="{CD6D9493-0F0D-4CB5-846C-277EC0A88625}"/>
    <cellStyle name="Comma 9 4 5 2 8" xfId="16446" xr:uid="{46D793DC-08A9-4FE1-93E6-940D61E49D98}"/>
    <cellStyle name="Comma 9 4 5 2 8 2" xfId="46686" xr:uid="{D4088DBB-FC6E-40F8-BA21-79801D31CCA7}"/>
    <cellStyle name="Comma 9 4 5 2 9" xfId="31566" xr:uid="{D30A195A-7969-4281-B1AD-BBB317CD0A14}"/>
    <cellStyle name="Comma 9 4 5 3" xfId="2082" xr:uid="{078FDF54-A30A-43BE-9580-B460DD76BCF0}"/>
    <cellStyle name="Comma 9 4 5 3 2" xfId="11154" xr:uid="{53F4DC03-B1DF-462E-A98E-CC59C0674BA4}"/>
    <cellStyle name="Comma 9 4 5 3 2 2" xfId="26274" xr:uid="{DBBA1797-8EF1-4FE1-8D3F-489706188659}"/>
    <cellStyle name="Comma 9 4 5 3 2 2 2" xfId="56514" xr:uid="{E6DD841E-2A9B-4FC8-81DA-57BD7FE2404C}"/>
    <cellStyle name="Comma 9 4 5 3 2 3" xfId="41394" xr:uid="{E8712D65-E341-4616-8B61-919FB15BE2FE}"/>
    <cellStyle name="Comma 9 4 5 3 3" xfId="17202" xr:uid="{C94D562A-E258-4A46-990F-EB4A49931784}"/>
    <cellStyle name="Comma 9 4 5 3 3 2" xfId="47442" xr:uid="{F5C2E6A9-CF16-4891-883D-A9B5766BD6C9}"/>
    <cellStyle name="Comma 9 4 5 3 4" xfId="32322" xr:uid="{9A8A5509-758F-4053-8374-ECF6E9E6F70C}"/>
    <cellStyle name="Comma 9 4 5 4" xfId="3594" xr:uid="{B1BDDDF6-DD79-40DF-8FF0-F0EBB8C6511C}"/>
    <cellStyle name="Comma 9 4 5 4 2" xfId="12666" xr:uid="{AED60272-7947-408E-913D-44E2813722E2}"/>
    <cellStyle name="Comma 9 4 5 4 2 2" xfId="27786" xr:uid="{26347F42-E54B-4F1D-9776-ACD68A9FA27B}"/>
    <cellStyle name="Comma 9 4 5 4 2 2 2" xfId="58026" xr:uid="{1C12D676-F241-4F57-B2C7-F19C8F5E6BFC}"/>
    <cellStyle name="Comma 9 4 5 4 2 3" xfId="42906" xr:uid="{8A057BBA-E35F-410F-809B-79C88213AE32}"/>
    <cellStyle name="Comma 9 4 5 4 3" xfId="18714" xr:uid="{736D33BA-E351-418A-AC68-A0865A2B2129}"/>
    <cellStyle name="Comma 9 4 5 4 3 2" xfId="48954" xr:uid="{32893462-1461-41CA-B887-83626786610D}"/>
    <cellStyle name="Comma 9 4 5 4 4" xfId="33834" xr:uid="{F678DCEA-BA2E-4D64-B3CA-6858FCB807FA}"/>
    <cellStyle name="Comma 9 4 5 5" xfId="5106" xr:uid="{AE4DF6AA-C2D7-457B-B99C-AA8EE3885C6E}"/>
    <cellStyle name="Comma 9 4 5 5 2" xfId="14178" xr:uid="{45197160-A9EB-4191-B00E-B7137D43731B}"/>
    <cellStyle name="Comma 9 4 5 5 2 2" xfId="29298" xr:uid="{81DEEB3C-3A32-4ABB-A2FE-B23427A8B816}"/>
    <cellStyle name="Comma 9 4 5 5 2 2 2" xfId="59538" xr:uid="{E1CEB48F-9BF5-4E8D-BED4-E2CD5CE53BAB}"/>
    <cellStyle name="Comma 9 4 5 5 2 3" xfId="44418" xr:uid="{00B2B071-265C-4663-BE0B-DC8EA68313C4}"/>
    <cellStyle name="Comma 9 4 5 5 3" xfId="20226" xr:uid="{1E23E313-ED25-4A08-ADA8-4515A5749C41}"/>
    <cellStyle name="Comma 9 4 5 5 3 2" xfId="50466" xr:uid="{E6FBAAC3-D97B-429A-9055-57BD5404730E}"/>
    <cellStyle name="Comma 9 4 5 5 4" xfId="35346" xr:uid="{B82F57DD-A8DF-4575-A47B-7AAFF667568B}"/>
    <cellStyle name="Comma 9 4 5 6" xfId="6618" xr:uid="{CD12C35D-748D-4DDF-A2F5-55EB93B9FCD6}"/>
    <cellStyle name="Comma 9 4 5 6 2" xfId="21738" xr:uid="{5470E855-6B8C-40FC-901E-EB34A1BB08A3}"/>
    <cellStyle name="Comma 9 4 5 6 2 2" xfId="51978" xr:uid="{4F0A6766-5BC0-4F89-A62E-B4AC586D93A2}"/>
    <cellStyle name="Comma 9 4 5 6 3" xfId="36858" xr:uid="{792031EA-6F1C-40F9-9024-0C544C4956A2}"/>
    <cellStyle name="Comma 9 4 5 7" xfId="8130" xr:uid="{9BCDE216-C6EE-4DAC-BA82-EED164CA1369}"/>
    <cellStyle name="Comma 9 4 5 7 2" xfId="23250" xr:uid="{7DB5F8F7-86EA-4EF5-A409-BB8BCF150F39}"/>
    <cellStyle name="Comma 9 4 5 7 2 2" xfId="53490" xr:uid="{C864642E-2E26-4060-A3B0-CC1FD358EC62}"/>
    <cellStyle name="Comma 9 4 5 7 3" xfId="38370" xr:uid="{FF5D6337-365C-457C-9047-2F927B363219}"/>
    <cellStyle name="Comma 9 4 5 8" xfId="9642" xr:uid="{A1EDE1CA-2AC4-405D-8121-425BAF60A24D}"/>
    <cellStyle name="Comma 9 4 5 8 2" xfId="24762" xr:uid="{914914E3-9137-4C2A-B3B0-59F2AD3E0DCE}"/>
    <cellStyle name="Comma 9 4 5 8 2 2" xfId="55002" xr:uid="{9A91E7F6-30F8-4E22-AAEB-D59DC8594AB2}"/>
    <cellStyle name="Comma 9 4 5 8 3" xfId="39882" xr:uid="{B093F345-140D-4F02-AC43-D1418516857F}"/>
    <cellStyle name="Comma 9 4 5 9" xfId="15690" xr:uid="{E00DF2AB-487B-4F8E-8D3D-B4B8C90E114E}"/>
    <cellStyle name="Comma 9 4 5 9 2" xfId="45930" xr:uid="{7AD5DD3B-2D5C-41D3-84DB-8C851CD8734D}"/>
    <cellStyle name="Comma 9 4 6" xfId="822" xr:uid="{F7ACCC03-047C-471B-BD2F-B78C231E3949}"/>
    <cellStyle name="Comma 9 4 6 2" xfId="2334" xr:uid="{0DB6C740-B9ED-4F41-88E1-BA01F40FB7C5}"/>
    <cellStyle name="Comma 9 4 6 2 2" xfId="11406" xr:uid="{52D78139-A136-47DA-A9C9-C2E0AD11093F}"/>
    <cellStyle name="Comma 9 4 6 2 2 2" xfId="26526" xr:uid="{33373090-53A5-42BA-A49E-C60FD4E0164F}"/>
    <cellStyle name="Comma 9 4 6 2 2 2 2" xfId="56766" xr:uid="{9B298661-1210-433F-B683-266EF3627067}"/>
    <cellStyle name="Comma 9 4 6 2 2 3" xfId="41646" xr:uid="{E13E0A98-8528-4F28-9DE1-5E410760A021}"/>
    <cellStyle name="Comma 9 4 6 2 3" xfId="17454" xr:uid="{1D157EDE-FF3A-4471-9D8C-8272E971E010}"/>
    <cellStyle name="Comma 9 4 6 2 3 2" xfId="47694" xr:uid="{A118FF88-EAE6-42DF-A417-F7A6FB432DA9}"/>
    <cellStyle name="Comma 9 4 6 2 4" xfId="32574" xr:uid="{2AB5919F-9656-43AB-9822-D4F63CCDF70F}"/>
    <cellStyle name="Comma 9 4 6 3" xfId="3846" xr:uid="{B0DC954C-9B60-4F82-94CD-F7D5A096A658}"/>
    <cellStyle name="Comma 9 4 6 3 2" xfId="12918" xr:uid="{301D8800-9BEC-4791-B8CC-34468C748CED}"/>
    <cellStyle name="Comma 9 4 6 3 2 2" xfId="28038" xr:uid="{119FA675-2E11-4F2B-B116-C3D7BFBC7181}"/>
    <cellStyle name="Comma 9 4 6 3 2 2 2" xfId="58278" xr:uid="{59967BBA-723E-4751-8F5A-E85CCEB47855}"/>
    <cellStyle name="Comma 9 4 6 3 2 3" xfId="43158" xr:uid="{0467EF16-D588-4182-81F2-2AA121B312AE}"/>
    <cellStyle name="Comma 9 4 6 3 3" xfId="18966" xr:uid="{2B181BFB-F2B6-47A8-941A-035CD744BF0A}"/>
    <cellStyle name="Comma 9 4 6 3 3 2" xfId="49206" xr:uid="{16FD6683-4CD8-4AB0-AC5C-593E6C8EBE08}"/>
    <cellStyle name="Comma 9 4 6 3 4" xfId="34086" xr:uid="{765752A4-9710-447F-8E9C-3D77D039DEA6}"/>
    <cellStyle name="Comma 9 4 6 4" xfId="5358" xr:uid="{87564A98-A2C6-46F1-ACD0-C11B89C46E40}"/>
    <cellStyle name="Comma 9 4 6 4 2" xfId="14430" xr:uid="{45402CFD-BA0B-4929-B3FC-0CD0328B52F2}"/>
    <cellStyle name="Comma 9 4 6 4 2 2" xfId="29550" xr:uid="{3202BF17-DCC5-467B-9630-E8DA34E469DA}"/>
    <cellStyle name="Comma 9 4 6 4 2 2 2" xfId="59790" xr:uid="{1BCF3E1B-9400-451F-AA57-CAAF92F7C4F1}"/>
    <cellStyle name="Comma 9 4 6 4 2 3" xfId="44670" xr:uid="{5BB2BCF5-982F-42A5-A1D6-7D842846CD8C}"/>
    <cellStyle name="Comma 9 4 6 4 3" xfId="20478" xr:uid="{BB83D572-7C8B-42C1-97CA-1DA986B970EC}"/>
    <cellStyle name="Comma 9 4 6 4 3 2" xfId="50718" xr:uid="{DB2D1097-0159-4135-8E72-171CBEEC7012}"/>
    <cellStyle name="Comma 9 4 6 4 4" xfId="35598" xr:uid="{CA235360-013C-4016-A8B6-228C9660E099}"/>
    <cellStyle name="Comma 9 4 6 5" xfId="6870" xr:uid="{BC6CA09B-21F3-4773-A648-36E7D05ACFE1}"/>
    <cellStyle name="Comma 9 4 6 5 2" xfId="21990" xr:uid="{0D83313E-A451-4E5D-89D5-19B5905194DE}"/>
    <cellStyle name="Comma 9 4 6 5 2 2" xfId="52230" xr:uid="{F300B168-34A0-484F-A632-800D0754F15E}"/>
    <cellStyle name="Comma 9 4 6 5 3" xfId="37110" xr:uid="{CDD251C6-8634-44E9-81CF-49AA81A7E6B2}"/>
    <cellStyle name="Comma 9 4 6 6" xfId="8382" xr:uid="{A49B6031-AEFC-4FA1-9B95-397C81D13BB0}"/>
    <cellStyle name="Comma 9 4 6 6 2" xfId="23502" xr:uid="{6B896CCC-C744-43C7-85F5-F4906A7A336A}"/>
    <cellStyle name="Comma 9 4 6 6 2 2" xfId="53742" xr:uid="{7C99F7C5-5BEA-4C93-A397-8E249AB1C8AD}"/>
    <cellStyle name="Comma 9 4 6 6 3" xfId="38622" xr:uid="{E5ADBB85-E6CD-4D94-9177-B4FEFCD03CC1}"/>
    <cellStyle name="Comma 9 4 6 7" xfId="9894" xr:uid="{F21852D6-A020-479A-9723-7B946A95EA29}"/>
    <cellStyle name="Comma 9 4 6 7 2" xfId="25014" xr:uid="{B99CA93E-AD64-480A-A1F4-B9ED43904C6F}"/>
    <cellStyle name="Comma 9 4 6 7 2 2" xfId="55254" xr:uid="{A5DBE6DE-9A20-4A24-BCF8-E69749D3E85C}"/>
    <cellStyle name="Comma 9 4 6 7 3" xfId="40134" xr:uid="{FEB2BD9B-B249-4161-9031-DECB24EEAD05}"/>
    <cellStyle name="Comma 9 4 6 8" xfId="15942" xr:uid="{42BF3F82-D68A-40B0-9F34-FF0473969AF4}"/>
    <cellStyle name="Comma 9 4 6 8 2" xfId="46182" xr:uid="{8F09E1BA-020D-4E02-BC42-A4F461C046A2}"/>
    <cellStyle name="Comma 9 4 6 9" xfId="31062" xr:uid="{22EF3700-81D8-4A30-89F7-0DE4B652B11C}"/>
    <cellStyle name="Comma 9 4 7" xfId="1578" xr:uid="{6B483260-6AC0-401F-8873-21F3B4D3642E}"/>
    <cellStyle name="Comma 9 4 7 2" xfId="10650" xr:uid="{C4E95B7D-DAB1-43E3-AD54-F58D068DB7B2}"/>
    <cellStyle name="Comma 9 4 7 2 2" xfId="25770" xr:uid="{F430C89E-A58E-4CF0-8C75-F26FBD8383D7}"/>
    <cellStyle name="Comma 9 4 7 2 2 2" xfId="56010" xr:uid="{9269C99C-CF41-4FEF-86EE-63D393853E11}"/>
    <cellStyle name="Comma 9 4 7 2 3" xfId="40890" xr:uid="{F81562A7-61E4-47EC-98F7-7A9BDD064D38}"/>
    <cellStyle name="Comma 9 4 7 3" xfId="16698" xr:uid="{36CEB699-4A54-472B-859A-1DF01B5C270C}"/>
    <cellStyle name="Comma 9 4 7 3 2" xfId="46938" xr:uid="{CC1E78BA-8FA6-400F-A6F5-3CD716EE36D6}"/>
    <cellStyle name="Comma 9 4 7 4" xfId="31818" xr:uid="{FF26CE12-683A-4E28-8991-B64390AF3AE8}"/>
    <cellStyle name="Comma 9 4 8" xfId="3090" xr:uid="{1474D014-075C-461C-A0D7-46F704F9DD0C}"/>
    <cellStyle name="Comma 9 4 8 2" xfId="12162" xr:uid="{5DEC7CCC-C110-468F-8E30-018B07BCEB36}"/>
    <cellStyle name="Comma 9 4 8 2 2" xfId="27282" xr:uid="{D4446C6A-7E41-47B0-9DFC-F72A312425CF}"/>
    <cellStyle name="Comma 9 4 8 2 2 2" xfId="57522" xr:uid="{9795781F-8AD0-4BEB-9BAB-FCE417EC8ABC}"/>
    <cellStyle name="Comma 9 4 8 2 3" xfId="42402" xr:uid="{8D92528D-7913-4F68-9D57-CC4568A23B26}"/>
    <cellStyle name="Comma 9 4 8 3" xfId="18210" xr:uid="{F27864DB-0387-4966-9730-0FF0EC5427E3}"/>
    <cellStyle name="Comma 9 4 8 3 2" xfId="48450" xr:uid="{BF1F386A-6CE0-4366-968F-D490B01454D2}"/>
    <cellStyle name="Comma 9 4 8 4" xfId="33330" xr:uid="{3D0D30C3-74C6-4963-BBFA-78A042CBD07F}"/>
    <cellStyle name="Comma 9 4 9" xfId="4602" xr:uid="{6840D389-04FC-4ED3-8DE7-FECD035C3233}"/>
    <cellStyle name="Comma 9 4 9 2" xfId="13674" xr:uid="{0B379B69-A07A-4755-B74B-C04F251C61C8}"/>
    <cellStyle name="Comma 9 4 9 2 2" xfId="28794" xr:uid="{9767CC0C-C821-4C01-B8D4-D1FCE1A1E35C}"/>
    <cellStyle name="Comma 9 4 9 2 2 2" xfId="59034" xr:uid="{373F0129-D1AF-4A1D-AA70-0AE63B42F59E}"/>
    <cellStyle name="Comma 9 4 9 2 3" xfId="43914" xr:uid="{3FDE6463-401F-44E8-85A0-C0926A3EE32F}"/>
    <cellStyle name="Comma 9 4 9 3" xfId="19722" xr:uid="{7321B826-2B26-49A1-A170-7E7D784DCC38}"/>
    <cellStyle name="Comma 9 4 9 3 2" xfId="49962" xr:uid="{F4A0B27A-E4F3-4211-9BED-FE0ED3557006}"/>
    <cellStyle name="Comma 9 4 9 4" xfId="34842" xr:uid="{EF6AFADB-ABEF-4D5F-AC35-B46C902206AB}"/>
    <cellStyle name="Comma 9 5" xfId="108" xr:uid="{7C4E78A4-7FC6-4114-B697-AD8D0F67995E}"/>
    <cellStyle name="Comma 9 5 10" xfId="9180" xr:uid="{3D3F40D8-0FAD-427A-AB42-9A18EE6E110F}"/>
    <cellStyle name="Comma 9 5 10 2" xfId="24300" xr:uid="{CC0D24AC-86BF-4A71-AB45-F80E326E17FF}"/>
    <cellStyle name="Comma 9 5 10 2 2" xfId="54540" xr:uid="{DE2F9E86-2B27-49EF-BBB2-1AF33809249B}"/>
    <cellStyle name="Comma 9 5 10 3" xfId="39420" xr:uid="{05A9DD78-8B98-4F27-810E-00FC4979B933}"/>
    <cellStyle name="Comma 9 5 11" xfId="15228" xr:uid="{871F7DBE-B854-4791-BCE3-0099D6935748}"/>
    <cellStyle name="Comma 9 5 11 2" xfId="45468" xr:uid="{11C53C71-70AE-4937-88A2-597AE92F9FBB}"/>
    <cellStyle name="Comma 9 5 12" xfId="30348" xr:uid="{220CEECE-3BF5-4B70-A386-B58596204CC9}"/>
    <cellStyle name="Comma 9 5 2" xfId="360" xr:uid="{834D4303-929A-4BC2-9B90-594D8C8563A0}"/>
    <cellStyle name="Comma 9 5 2 10" xfId="30600" xr:uid="{D1946482-7F01-4B6A-924D-F54599C55FE8}"/>
    <cellStyle name="Comma 9 5 2 2" xfId="1116" xr:uid="{E66F28C5-8F90-4DF9-B1D1-035AA3B8BD67}"/>
    <cellStyle name="Comma 9 5 2 2 2" xfId="2628" xr:uid="{2CD79E6E-428F-4A0F-962B-2A3732D5DC76}"/>
    <cellStyle name="Comma 9 5 2 2 2 2" xfId="11700" xr:uid="{38C68737-3026-4B2A-B48C-22B21E517EA6}"/>
    <cellStyle name="Comma 9 5 2 2 2 2 2" xfId="26820" xr:uid="{44FCC100-7714-41C3-9B86-FAB5B7DF80AE}"/>
    <cellStyle name="Comma 9 5 2 2 2 2 2 2" xfId="57060" xr:uid="{02418718-1C21-48ED-80DD-EC1A90DA74CC}"/>
    <cellStyle name="Comma 9 5 2 2 2 2 3" xfId="41940" xr:uid="{9EBA89CB-03F3-4CC9-82BA-A2F1C190B63C}"/>
    <cellStyle name="Comma 9 5 2 2 2 3" xfId="17748" xr:uid="{72F1D4FA-BAD1-4B09-88BB-C1E6841DC998}"/>
    <cellStyle name="Comma 9 5 2 2 2 3 2" xfId="47988" xr:uid="{90BE7415-DB38-4EBC-B63F-46E7F62144A0}"/>
    <cellStyle name="Comma 9 5 2 2 2 4" xfId="32868" xr:uid="{FF28F8A2-712A-4F65-86B2-F968DBD5536C}"/>
    <cellStyle name="Comma 9 5 2 2 3" xfId="4140" xr:uid="{117516CC-5008-450B-9F84-CE8FF3E6285F}"/>
    <cellStyle name="Comma 9 5 2 2 3 2" xfId="13212" xr:uid="{8C4DA3C7-FF54-41A3-B151-BECC9EC71CAF}"/>
    <cellStyle name="Comma 9 5 2 2 3 2 2" xfId="28332" xr:uid="{B3F0CA2A-199B-4F4E-9870-0691A69340CA}"/>
    <cellStyle name="Comma 9 5 2 2 3 2 2 2" xfId="58572" xr:uid="{429E37E7-26A6-4D5A-A07A-A440856321C3}"/>
    <cellStyle name="Comma 9 5 2 2 3 2 3" xfId="43452" xr:uid="{F4536CAA-ED49-451D-8C36-746D52B3B92E}"/>
    <cellStyle name="Comma 9 5 2 2 3 3" xfId="19260" xr:uid="{FE3F1F9E-375E-41B3-9551-9C7633ABF0E7}"/>
    <cellStyle name="Comma 9 5 2 2 3 3 2" xfId="49500" xr:uid="{24A09908-710B-4C6D-8B09-8DFD5F2A01D3}"/>
    <cellStyle name="Comma 9 5 2 2 3 4" xfId="34380" xr:uid="{8E1266D9-4B36-4B43-B079-62D74D51BC88}"/>
    <cellStyle name="Comma 9 5 2 2 4" xfId="5652" xr:uid="{8101B738-5592-4230-98BF-0224E0DA897A}"/>
    <cellStyle name="Comma 9 5 2 2 4 2" xfId="14724" xr:uid="{C36665A8-84FC-4747-8587-BABFA993E42A}"/>
    <cellStyle name="Comma 9 5 2 2 4 2 2" xfId="29844" xr:uid="{C9153A12-E16F-4C79-A2A9-DD994A3C8386}"/>
    <cellStyle name="Comma 9 5 2 2 4 2 2 2" xfId="60084" xr:uid="{85FEC992-A531-4920-B567-6240AD7AAE7D}"/>
    <cellStyle name="Comma 9 5 2 2 4 2 3" xfId="44964" xr:uid="{12473149-93A0-44BA-81A3-78C034BBF6C8}"/>
    <cellStyle name="Comma 9 5 2 2 4 3" xfId="20772" xr:uid="{C4FADD61-EA00-4E36-8E6E-77251D284724}"/>
    <cellStyle name="Comma 9 5 2 2 4 3 2" xfId="51012" xr:uid="{E35F6607-0B59-4DAF-8662-816C875854E4}"/>
    <cellStyle name="Comma 9 5 2 2 4 4" xfId="35892" xr:uid="{A1C5B44D-B87E-4EE4-A444-06FDFFCAFFFD}"/>
    <cellStyle name="Comma 9 5 2 2 5" xfId="7164" xr:uid="{FB65B343-E19C-4411-B675-0AB4C3B37292}"/>
    <cellStyle name="Comma 9 5 2 2 5 2" xfId="22284" xr:uid="{C14A42DC-448D-43B8-A53A-D68A07227368}"/>
    <cellStyle name="Comma 9 5 2 2 5 2 2" xfId="52524" xr:uid="{30652AA6-ABE2-4F05-BC60-8EBB73432F86}"/>
    <cellStyle name="Comma 9 5 2 2 5 3" xfId="37404" xr:uid="{3BAF63F4-777C-4B98-B666-1A8927986642}"/>
    <cellStyle name="Comma 9 5 2 2 6" xfId="8676" xr:uid="{7D55BF2D-ACC0-45D8-9AC5-31AF1150700E}"/>
    <cellStyle name="Comma 9 5 2 2 6 2" xfId="23796" xr:uid="{C5B3F9E5-7440-4733-A98E-B87BD9252FEB}"/>
    <cellStyle name="Comma 9 5 2 2 6 2 2" xfId="54036" xr:uid="{A1203218-5570-4611-A679-0B829725510F}"/>
    <cellStyle name="Comma 9 5 2 2 6 3" xfId="38916" xr:uid="{8021D0A9-FD12-42EB-B7E2-65A54F0DFDF8}"/>
    <cellStyle name="Comma 9 5 2 2 7" xfId="10188" xr:uid="{800F69B3-4CAC-4E16-B135-816BC94FE8E0}"/>
    <cellStyle name="Comma 9 5 2 2 7 2" xfId="25308" xr:uid="{13CBF4CB-01A1-4532-84EA-0EE8C8D35995}"/>
    <cellStyle name="Comma 9 5 2 2 7 2 2" xfId="55548" xr:uid="{39F51D1A-E155-42EC-9A2E-E14DF7C921A8}"/>
    <cellStyle name="Comma 9 5 2 2 7 3" xfId="40428" xr:uid="{AC3F2280-66E4-4A3F-AEF9-BC9457E98FA2}"/>
    <cellStyle name="Comma 9 5 2 2 8" xfId="16236" xr:uid="{84772474-B2CA-457B-BBB4-6E8CDAEDCCCF}"/>
    <cellStyle name="Comma 9 5 2 2 8 2" xfId="46476" xr:uid="{FBBDF6F3-DFE0-4B2C-9060-B6D43DE56ECF}"/>
    <cellStyle name="Comma 9 5 2 2 9" xfId="31356" xr:uid="{7AC3F29D-DC66-4A71-8D56-229BEC3B1243}"/>
    <cellStyle name="Comma 9 5 2 3" xfId="1872" xr:uid="{D71706DF-7C52-4744-A276-602C76397162}"/>
    <cellStyle name="Comma 9 5 2 3 2" xfId="10944" xr:uid="{453B9DD8-0EBD-48E8-8591-12AE62B5EA12}"/>
    <cellStyle name="Comma 9 5 2 3 2 2" xfId="26064" xr:uid="{354BB48C-8167-44FB-840C-355A5B2AD6F6}"/>
    <cellStyle name="Comma 9 5 2 3 2 2 2" xfId="56304" xr:uid="{8C747286-5250-47D5-BCA8-6AF2B465D880}"/>
    <cellStyle name="Comma 9 5 2 3 2 3" xfId="41184" xr:uid="{A86FB115-DDD3-43BD-8778-5782AC308331}"/>
    <cellStyle name="Comma 9 5 2 3 3" xfId="16992" xr:uid="{49D26954-A709-425E-B8DF-7EB2DAE97848}"/>
    <cellStyle name="Comma 9 5 2 3 3 2" xfId="47232" xr:uid="{B7E783F3-5BC0-4AB0-B682-5AF59CBE8836}"/>
    <cellStyle name="Comma 9 5 2 3 4" xfId="32112" xr:uid="{09A150CC-5519-4086-A014-D38D27A3590B}"/>
    <cellStyle name="Comma 9 5 2 4" xfId="3384" xr:uid="{EE04A685-365F-42EB-972A-496C78C36317}"/>
    <cellStyle name="Comma 9 5 2 4 2" xfId="12456" xr:uid="{D5BE0ADF-11D5-47A3-ABB8-2F2672678C1E}"/>
    <cellStyle name="Comma 9 5 2 4 2 2" xfId="27576" xr:uid="{8E74E959-052B-4B04-940F-505C7F157A6C}"/>
    <cellStyle name="Comma 9 5 2 4 2 2 2" xfId="57816" xr:uid="{E81F74F9-EE4A-4B43-A850-084E2C16513E}"/>
    <cellStyle name="Comma 9 5 2 4 2 3" xfId="42696" xr:uid="{9CF1241A-26E7-41AD-8939-ADB0A9FEAB95}"/>
    <cellStyle name="Comma 9 5 2 4 3" xfId="18504" xr:uid="{0F844603-09C1-41EE-BAEB-E2BA15F4EFC1}"/>
    <cellStyle name="Comma 9 5 2 4 3 2" xfId="48744" xr:uid="{F8F3FE20-6B48-488C-B612-25A3727373B9}"/>
    <cellStyle name="Comma 9 5 2 4 4" xfId="33624" xr:uid="{022F6D71-4FC7-4921-987E-3E24C70BDC37}"/>
    <cellStyle name="Comma 9 5 2 5" xfId="4896" xr:uid="{FECC1EFF-E781-4AF8-8B80-2228013CD1B1}"/>
    <cellStyle name="Comma 9 5 2 5 2" xfId="13968" xr:uid="{FA666F77-473C-49CA-9E32-9C6DCAB767D5}"/>
    <cellStyle name="Comma 9 5 2 5 2 2" xfId="29088" xr:uid="{61F9A773-21F4-4BF7-92A4-2BAEC4EBC6F8}"/>
    <cellStyle name="Comma 9 5 2 5 2 2 2" xfId="59328" xr:uid="{A8900147-C638-4CAD-8F32-8270B7AA71CF}"/>
    <cellStyle name="Comma 9 5 2 5 2 3" xfId="44208" xr:uid="{CA96307C-A27E-4C84-B5C3-2DF59E5DFB04}"/>
    <cellStyle name="Comma 9 5 2 5 3" xfId="20016" xr:uid="{E1648094-25E2-4E4E-BB75-B45229A387A7}"/>
    <cellStyle name="Comma 9 5 2 5 3 2" xfId="50256" xr:uid="{37B30D71-B5CF-4E23-B670-874BA7D1AD11}"/>
    <cellStyle name="Comma 9 5 2 5 4" xfId="35136" xr:uid="{1C2628C0-5B09-43F8-8956-3BC6EF9DFBF6}"/>
    <cellStyle name="Comma 9 5 2 6" xfId="6408" xr:uid="{21A733D1-4621-4273-BBDF-816D26C3EC2C}"/>
    <cellStyle name="Comma 9 5 2 6 2" xfId="21528" xr:uid="{5A8101A1-5F6A-4C9B-899D-1DF5C890E962}"/>
    <cellStyle name="Comma 9 5 2 6 2 2" xfId="51768" xr:uid="{93397B67-CF84-4FC4-830D-C4049368FA1D}"/>
    <cellStyle name="Comma 9 5 2 6 3" xfId="36648" xr:uid="{6C1E9E17-978A-42DC-B48F-5B369EF7F811}"/>
    <cellStyle name="Comma 9 5 2 7" xfId="7920" xr:uid="{AF758E48-22A3-4443-92CA-6AED9D9B938F}"/>
    <cellStyle name="Comma 9 5 2 7 2" xfId="23040" xr:uid="{E138B611-0B19-47D0-800C-3A5EE6E177C0}"/>
    <cellStyle name="Comma 9 5 2 7 2 2" xfId="53280" xr:uid="{09E9836D-5943-4314-A6F6-E17F314D6FB5}"/>
    <cellStyle name="Comma 9 5 2 7 3" xfId="38160" xr:uid="{010A1AC5-CFDC-4995-90CC-9F673B3D7BC8}"/>
    <cellStyle name="Comma 9 5 2 8" xfId="9432" xr:uid="{CCEA18E0-5671-4BC7-8B25-07920591C978}"/>
    <cellStyle name="Comma 9 5 2 8 2" xfId="24552" xr:uid="{2D4A61DE-87EB-42EE-B86E-B09214DB0913}"/>
    <cellStyle name="Comma 9 5 2 8 2 2" xfId="54792" xr:uid="{49808445-D7CA-4818-847F-F1F7238EE636}"/>
    <cellStyle name="Comma 9 5 2 8 3" xfId="39672" xr:uid="{76E629CF-A0AE-46BC-8F39-8BC3AFF37C65}"/>
    <cellStyle name="Comma 9 5 2 9" xfId="15480" xr:uid="{049EC80B-CBB2-4934-9952-D16E77674A39}"/>
    <cellStyle name="Comma 9 5 2 9 2" xfId="45720" xr:uid="{6B761628-FD1D-49FC-915C-E54953101A8E}"/>
    <cellStyle name="Comma 9 5 3" xfId="612" xr:uid="{AC0EA34F-0C4B-420F-9C94-EFE5D65E5022}"/>
    <cellStyle name="Comma 9 5 3 10" xfId="30852" xr:uid="{658F3E8E-7F5D-4836-AB61-67D27317F267}"/>
    <cellStyle name="Comma 9 5 3 2" xfId="1368" xr:uid="{C3A1EF2D-B417-489B-BB2A-023F81942025}"/>
    <cellStyle name="Comma 9 5 3 2 2" xfId="2880" xr:uid="{A813D53A-DC75-43E7-AC94-6695737656C8}"/>
    <cellStyle name="Comma 9 5 3 2 2 2" xfId="11952" xr:uid="{4B4B899D-1074-42B8-9A81-29CC2D85C032}"/>
    <cellStyle name="Comma 9 5 3 2 2 2 2" xfId="27072" xr:uid="{8F5BA1C6-E254-46A8-963D-2078865DA8E7}"/>
    <cellStyle name="Comma 9 5 3 2 2 2 2 2" xfId="57312" xr:uid="{AC453C6A-8358-4C81-AF08-5952808EE324}"/>
    <cellStyle name="Comma 9 5 3 2 2 2 3" xfId="42192" xr:uid="{C90F3F20-D1E7-42F5-8CAC-0EA6EDD813D1}"/>
    <cellStyle name="Comma 9 5 3 2 2 3" xfId="18000" xr:uid="{E570F1D7-A667-4451-BDB2-04CE5003C559}"/>
    <cellStyle name="Comma 9 5 3 2 2 3 2" xfId="48240" xr:uid="{095D1BFE-43CA-49F8-846E-1248172F8172}"/>
    <cellStyle name="Comma 9 5 3 2 2 4" xfId="33120" xr:uid="{CB43763B-660B-4EE5-BFEE-E8DEF6BA8325}"/>
    <cellStyle name="Comma 9 5 3 2 3" xfId="4392" xr:uid="{9A1D95F6-1EB2-4E98-9614-6CCD9A3402C4}"/>
    <cellStyle name="Comma 9 5 3 2 3 2" xfId="13464" xr:uid="{57B75CFB-29FF-4BBB-8402-4E890CF7D8DA}"/>
    <cellStyle name="Comma 9 5 3 2 3 2 2" xfId="28584" xr:uid="{F617FB90-3B98-48D6-8150-2385E9F8E25D}"/>
    <cellStyle name="Comma 9 5 3 2 3 2 2 2" xfId="58824" xr:uid="{F7D39CB8-F50B-4584-A5BA-96567032694C}"/>
    <cellStyle name="Comma 9 5 3 2 3 2 3" xfId="43704" xr:uid="{04014D21-40B5-49C4-9FC7-B1F2EFC53CDB}"/>
    <cellStyle name="Comma 9 5 3 2 3 3" xfId="19512" xr:uid="{F69031C3-CB88-42DA-B292-FD282FC067D7}"/>
    <cellStyle name="Comma 9 5 3 2 3 3 2" xfId="49752" xr:uid="{9E50AC5D-CF64-44DF-8D6D-F0D90FCBD2CB}"/>
    <cellStyle name="Comma 9 5 3 2 3 4" xfId="34632" xr:uid="{4436FC03-225E-4BDA-979A-82979712ACB3}"/>
    <cellStyle name="Comma 9 5 3 2 4" xfId="5904" xr:uid="{FF271863-B5EE-4525-9BA9-D56536709A34}"/>
    <cellStyle name="Comma 9 5 3 2 4 2" xfId="14976" xr:uid="{D6469D43-07E4-481A-8B03-AFE2E4DE19B4}"/>
    <cellStyle name="Comma 9 5 3 2 4 2 2" xfId="30096" xr:uid="{A6A029F0-DFE3-4F00-B339-26F1CE912559}"/>
    <cellStyle name="Comma 9 5 3 2 4 2 2 2" xfId="60336" xr:uid="{3BC76F89-6AB2-4E46-A0FA-2B046E38E267}"/>
    <cellStyle name="Comma 9 5 3 2 4 2 3" xfId="45216" xr:uid="{0373EF74-6CC8-4DD5-BE36-F2B2405D3DA8}"/>
    <cellStyle name="Comma 9 5 3 2 4 3" xfId="21024" xr:uid="{529B4A2C-EA7C-4099-A2B4-7E907DFF2124}"/>
    <cellStyle name="Comma 9 5 3 2 4 3 2" xfId="51264" xr:uid="{605A8CB5-CA61-49F6-9098-3D8828C82794}"/>
    <cellStyle name="Comma 9 5 3 2 4 4" xfId="36144" xr:uid="{EF47018F-554B-421A-98D9-2D56B011CA45}"/>
    <cellStyle name="Comma 9 5 3 2 5" xfId="7416" xr:uid="{B6EE0ED6-3F71-4814-8F6E-63D3E5D78420}"/>
    <cellStyle name="Comma 9 5 3 2 5 2" xfId="22536" xr:uid="{CD1F48AB-DAAD-4BBD-B291-5C2F9C6834B5}"/>
    <cellStyle name="Comma 9 5 3 2 5 2 2" xfId="52776" xr:uid="{F56C8AD1-3C74-49D5-A4A8-3C8CA54E5CA2}"/>
    <cellStyle name="Comma 9 5 3 2 5 3" xfId="37656" xr:uid="{C481B264-385D-4535-81E9-72800DF37B0F}"/>
    <cellStyle name="Comma 9 5 3 2 6" xfId="8928" xr:uid="{1E2E4F63-BB78-4D59-9F69-7DE8036FB6CC}"/>
    <cellStyle name="Comma 9 5 3 2 6 2" xfId="24048" xr:uid="{902D8DBA-BBE3-461D-B138-71E2A7964E37}"/>
    <cellStyle name="Comma 9 5 3 2 6 2 2" xfId="54288" xr:uid="{A9E3DCA6-CDBB-4A76-81A9-7593B0192F4B}"/>
    <cellStyle name="Comma 9 5 3 2 6 3" xfId="39168" xr:uid="{92D5A0A7-3B9F-453E-AA87-511034E957BF}"/>
    <cellStyle name="Comma 9 5 3 2 7" xfId="10440" xr:uid="{AD4601F3-42D1-4096-9B54-E3D7854321D0}"/>
    <cellStyle name="Comma 9 5 3 2 7 2" xfId="25560" xr:uid="{3F02311E-83DC-479B-BDF7-875D86A9AC53}"/>
    <cellStyle name="Comma 9 5 3 2 7 2 2" xfId="55800" xr:uid="{79168613-893F-4143-8AE5-96DADB732186}"/>
    <cellStyle name="Comma 9 5 3 2 7 3" xfId="40680" xr:uid="{6DF8455C-97D8-4D0E-93AA-F532A2C50820}"/>
    <cellStyle name="Comma 9 5 3 2 8" xfId="16488" xr:uid="{4B472C67-0EBB-4569-A269-2C7A9C8DAACD}"/>
    <cellStyle name="Comma 9 5 3 2 8 2" xfId="46728" xr:uid="{E0245563-3685-4DE8-8C93-A85B455A14BA}"/>
    <cellStyle name="Comma 9 5 3 2 9" xfId="31608" xr:uid="{1A9D5C8A-00C5-45B5-9E3F-B17E06311742}"/>
    <cellStyle name="Comma 9 5 3 3" xfId="2124" xr:uid="{9932743B-651C-4E9A-B08D-37F402BA12AB}"/>
    <cellStyle name="Comma 9 5 3 3 2" xfId="11196" xr:uid="{E9B873F6-AE7C-4E46-9E24-E93C57219FE9}"/>
    <cellStyle name="Comma 9 5 3 3 2 2" xfId="26316" xr:uid="{D2FEC3B5-C8E0-4250-A0FB-D8A235D02674}"/>
    <cellStyle name="Comma 9 5 3 3 2 2 2" xfId="56556" xr:uid="{B2F8F2C7-2DE8-4A46-B6C4-C781DC8347AF}"/>
    <cellStyle name="Comma 9 5 3 3 2 3" xfId="41436" xr:uid="{7884468F-4601-4083-ABC7-D8A47CB560E7}"/>
    <cellStyle name="Comma 9 5 3 3 3" xfId="17244" xr:uid="{E588AAD6-EB21-44B8-9058-E056A132E0D9}"/>
    <cellStyle name="Comma 9 5 3 3 3 2" xfId="47484" xr:uid="{6FEA38F6-8C88-47A0-AA97-DED818F6C71B}"/>
    <cellStyle name="Comma 9 5 3 3 4" xfId="32364" xr:uid="{B023ECAF-A8F0-4901-88E4-B3333EA31BFE}"/>
    <cellStyle name="Comma 9 5 3 4" xfId="3636" xr:uid="{881D6A67-0DCD-425D-9E8F-1BCB3197E8DB}"/>
    <cellStyle name="Comma 9 5 3 4 2" xfId="12708" xr:uid="{548F8B0E-B891-4957-82E5-07AD75D7B78A}"/>
    <cellStyle name="Comma 9 5 3 4 2 2" xfId="27828" xr:uid="{7162B3A9-DA3A-4124-87A6-BEA45E4A89E8}"/>
    <cellStyle name="Comma 9 5 3 4 2 2 2" xfId="58068" xr:uid="{1E6003DD-E33C-46E2-A197-59D074764C93}"/>
    <cellStyle name="Comma 9 5 3 4 2 3" xfId="42948" xr:uid="{CF470C12-1587-46F3-A62A-E556421B46A4}"/>
    <cellStyle name="Comma 9 5 3 4 3" xfId="18756" xr:uid="{6037F0F9-1E90-477F-AAA7-6AB05E408D05}"/>
    <cellStyle name="Comma 9 5 3 4 3 2" xfId="48996" xr:uid="{917D6EC4-82EB-4C02-938E-AA7229B51FB9}"/>
    <cellStyle name="Comma 9 5 3 4 4" xfId="33876" xr:uid="{45F97FC5-CC20-4C9A-B624-61CCFC1AF32B}"/>
    <cellStyle name="Comma 9 5 3 5" xfId="5148" xr:uid="{EBF17723-7226-46F0-A76F-58D31FC5E649}"/>
    <cellStyle name="Comma 9 5 3 5 2" xfId="14220" xr:uid="{217A7512-5C70-4F89-8267-168B76BB7F77}"/>
    <cellStyle name="Comma 9 5 3 5 2 2" xfId="29340" xr:uid="{DABA65AC-0B1A-4741-A9F2-5141362A265E}"/>
    <cellStyle name="Comma 9 5 3 5 2 2 2" xfId="59580" xr:uid="{F8DD0321-125B-4CDC-986E-C4FEC5E55EC2}"/>
    <cellStyle name="Comma 9 5 3 5 2 3" xfId="44460" xr:uid="{198C5FCE-736E-4EDB-83B8-1CA5552563EB}"/>
    <cellStyle name="Comma 9 5 3 5 3" xfId="20268" xr:uid="{C287653B-4E59-425C-8121-D9330C30F234}"/>
    <cellStyle name="Comma 9 5 3 5 3 2" xfId="50508" xr:uid="{AEEDB781-5ADA-489F-A81A-70835B0247DE}"/>
    <cellStyle name="Comma 9 5 3 5 4" xfId="35388" xr:uid="{5185ACFD-F793-47C4-AA62-110CCF686010}"/>
    <cellStyle name="Comma 9 5 3 6" xfId="6660" xr:uid="{70985E18-D48E-4274-91BB-B98872B30F9D}"/>
    <cellStyle name="Comma 9 5 3 6 2" xfId="21780" xr:uid="{F1B588BF-9903-4764-9307-2383A4E00F1B}"/>
    <cellStyle name="Comma 9 5 3 6 2 2" xfId="52020" xr:uid="{C07741E0-592E-40D6-99AE-BB01072BC0EB}"/>
    <cellStyle name="Comma 9 5 3 6 3" xfId="36900" xr:uid="{3083A53B-11DD-4A69-AD67-CC7D1546515A}"/>
    <cellStyle name="Comma 9 5 3 7" xfId="8172" xr:uid="{956D176B-9F84-43F9-9404-20FCD5068397}"/>
    <cellStyle name="Comma 9 5 3 7 2" xfId="23292" xr:uid="{E9A2E172-4A46-48A4-B133-D479D13FE40E}"/>
    <cellStyle name="Comma 9 5 3 7 2 2" xfId="53532" xr:uid="{8840F3AB-2F60-4D72-BC59-7EC8E95F1961}"/>
    <cellStyle name="Comma 9 5 3 7 3" xfId="38412" xr:uid="{600101A0-8EE0-4EAE-94E1-1EF387D1DC31}"/>
    <cellStyle name="Comma 9 5 3 8" xfId="9684" xr:uid="{AC0C9938-D6CD-40A9-8328-884AA0D52FC7}"/>
    <cellStyle name="Comma 9 5 3 8 2" xfId="24804" xr:uid="{A3006A1A-0FBD-4B09-9617-6384989E9DB6}"/>
    <cellStyle name="Comma 9 5 3 8 2 2" xfId="55044" xr:uid="{AC809C75-7844-4ACE-B13F-64B674B5553F}"/>
    <cellStyle name="Comma 9 5 3 8 3" xfId="39924" xr:uid="{1F47E1BF-CAF6-42A9-8EF7-B2221BBB684E}"/>
    <cellStyle name="Comma 9 5 3 9" xfId="15732" xr:uid="{612B0116-4BA9-4D30-8CF6-F72A8DC52BCA}"/>
    <cellStyle name="Comma 9 5 3 9 2" xfId="45972" xr:uid="{0CA37804-02EF-4687-8E68-421F26F93585}"/>
    <cellStyle name="Comma 9 5 4" xfId="864" xr:uid="{6B2B5EC3-813C-4294-8B0D-6BA179CC3C17}"/>
    <cellStyle name="Comma 9 5 4 2" xfId="2376" xr:uid="{D2581573-C535-472C-BA98-CD92C567AA31}"/>
    <cellStyle name="Comma 9 5 4 2 2" xfId="11448" xr:uid="{09574992-C4D7-49DD-8E01-2B0498A38E59}"/>
    <cellStyle name="Comma 9 5 4 2 2 2" xfId="26568" xr:uid="{F78003EC-AB00-43CA-83B9-8826610B11AD}"/>
    <cellStyle name="Comma 9 5 4 2 2 2 2" xfId="56808" xr:uid="{C21560B1-1DAF-4435-AC51-980F81698207}"/>
    <cellStyle name="Comma 9 5 4 2 2 3" xfId="41688" xr:uid="{0C11BD23-D50E-4101-ACF7-66D1CECCE8DE}"/>
    <cellStyle name="Comma 9 5 4 2 3" xfId="17496" xr:uid="{807407A6-4D4D-4E6A-B7C3-7AF813E9FA74}"/>
    <cellStyle name="Comma 9 5 4 2 3 2" xfId="47736" xr:uid="{07E3C10E-DC92-4027-B034-B84178AA4578}"/>
    <cellStyle name="Comma 9 5 4 2 4" xfId="32616" xr:uid="{6F3555CA-B04D-4C5F-B670-518942A3FE3D}"/>
    <cellStyle name="Comma 9 5 4 3" xfId="3888" xr:uid="{592F7820-770A-4A75-806C-4894C41F22D4}"/>
    <cellStyle name="Comma 9 5 4 3 2" xfId="12960" xr:uid="{B268DB7E-3919-4C15-A6EA-0C6DC4042181}"/>
    <cellStyle name="Comma 9 5 4 3 2 2" xfId="28080" xr:uid="{B738BD05-4607-4862-BB01-076E6329D9A2}"/>
    <cellStyle name="Comma 9 5 4 3 2 2 2" xfId="58320" xr:uid="{5E01D372-C16E-4FD7-BEC7-7AEE02E34FE8}"/>
    <cellStyle name="Comma 9 5 4 3 2 3" xfId="43200" xr:uid="{47FD38B0-4C5E-4D76-A650-2BF24BA59FF9}"/>
    <cellStyle name="Comma 9 5 4 3 3" xfId="19008" xr:uid="{6ADF05D3-BAC7-4CEF-98D8-BCFF758A926B}"/>
    <cellStyle name="Comma 9 5 4 3 3 2" xfId="49248" xr:uid="{3A2F789C-9B11-46C0-88B3-D5A1752927C2}"/>
    <cellStyle name="Comma 9 5 4 3 4" xfId="34128" xr:uid="{C6602D8A-863C-4CB8-802F-7AB65E3962FA}"/>
    <cellStyle name="Comma 9 5 4 4" xfId="5400" xr:uid="{CB381152-D088-473A-9A5C-602876904D7F}"/>
    <cellStyle name="Comma 9 5 4 4 2" xfId="14472" xr:uid="{8FB7DE6F-7965-4844-97B3-64870B437B21}"/>
    <cellStyle name="Comma 9 5 4 4 2 2" xfId="29592" xr:uid="{5E7601A1-BDC5-4C21-8C25-C261C2E0BF15}"/>
    <cellStyle name="Comma 9 5 4 4 2 2 2" xfId="59832" xr:uid="{8BF838BC-8BAD-4493-BB48-A38C14552F78}"/>
    <cellStyle name="Comma 9 5 4 4 2 3" xfId="44712" xr:uid="{9AD862D1-DE3D-49F1-83EC-590F861A14F2}"/>
    <cellStyle name="Comma 9 5 4 4 3" xfId="20520" xr:uid="{5FBFABE8-63E8-4538-9058-AFC7DC1D839B}"/>
    <cellStyle name="Comma 9 5 4 4 3 2" xfId="50760" xr:uid="{EFA446EA-6246-4D29-86F3-77ED35B9AC2F}"/>
    <cellStyle name="Comma 9 5 4 4 4" xfId="35640" xr:uid="{14B6B151-7BC6-49D4-A31C-2E0C1217D28A}"/>
    <cellStyle name="Comma 9 5 4 5" xfId="6912" xr:uid="{F2942957-6785-48CD-B748-87C58CA724A5}"/>
    <cellStyle name="Comma 9 5 4 5 2" xfId="22032" xr:uid="{7A76667F-17AF-4E35-BA86-69CD6F00B34A}"/>
    <cellStyle name="Comma 9 5 4 5 2 2" xfId="52272" xr:uid="{754DBCA3-A2B3-48EE-8624-4D74705FD730}"/>
    <cellStyle name="Comma 9 5 4 5 3" xfId="37152" xr:uid="{2EF7D760-D3C4-4C3A-BAAB-0C0B70469840}"/>
    <cellStyle name="Comma 9 5 4 6" xfId="8424" xr:uid="{F3652918-2A20-445E-A7C3-60527800361D}"/>
    <cellStyle name="Comma 9 5 4 6 2" xfId="23544" xr:uid="{8B97ED4D-6315-4C95-A3A1-ABF2BE2CB93F}"/>
    <cellStyle name="Comma 9 5 4 6 2 2" xfId="53784" xr:uid="{C6810551-94F7-4127-98FA-CA9487A37251}"/>
    <cellStyle name="Comma 9 5 4 6 3" xfId="38664" xr:uid="{D8257718-3024-48B3-94C3-513ECAE16F15}"/>
    <cellStyle name="Comma 9 5 4 7" xfId="9936" xr:uid="{ADF2D059-48E2-4A70-BB5C-06755F8BC113}"/>
    <cellStyle name="Comma 9 5 4 7 2" xfId="25056" xr:uid="{133D8E82-E69F-4460-AE51-D9E6C11BAE76}"/>
    <cellStyle name="Comma 9 5 4 7 2 2" xfId="55296" xr:uid="{739FC803-7E27-462B-AFA8-D712F70C7134}"/>
    <cellStyle name="Comma 9 5 4 7 3" xfId="40176" xr:uid="{690CD229-AD37-494F-B093-087C7ED12C59}"/>
    <cellStyle name="Comma 9 5 4 8" xfId="15984" xr:uid="{B297D703-113F-4888-A88B-0FB99DF29DDF}"/>
    <cellStyle name="Comma 9 5 4 8 2" xfId="46224" xr:uid="{8B962645-9987-430C-8889-6AE46953818A}"/>
    <cellStyle name="Comma 9 5 4 9" xfId="31104" xr:uid="{6C88E9C5-1636-48B7-AD9A-2472B88EE7F5}"/>
    <cellStyle name="Comma 9 5 5" xfId="1620" xr:uid="{D9535319-25F8-4658-8F5F-8AD0CD18F3EE}"/>
    <cellStyle name="Comma 9 5 5 2" xfId="10692" xr:uid="{4341267C-9882-4322-847D-859120C2D5CA}"/>
    <cellStyle name="Comma 9 5 5 2 2" xfId="25812" xr:uid="{D456649F-ED3C-4CF7-958E-F22371602F48}"/>
    <cellStyle name="Comma 9 5 5 2 2 2" xfId="56052" xr:uid="{9D300EAB-2545-454A-982E-CB5A3D4A3FC8}"/>
    <cellStyle name="Comma 9 5 5 2 3" xfId="40932" xr:uid="{7845DED2-21C5-4B18-B5F3-EF279AF885BE}"/>
    <cellStyle name="Comma 9 5 5 3" xfId="16740" xr:uid="{EF14D37E-F769-41FA-87DA-BEFF07079E88}"/>
    <cellStyle name="Comma 9 5 5 3 2" xfId="46980" xr:uid="{674F8855-D381-4C65-B6C0-5B651579924E}"/>
    <cellStyle name="Comma 9 5 5 4" xfId="31860" xr:uid="{00754E05-32D3-4992-88C9-3401DB4E2A0D}"/>
    <cellStyle name="Comma 9 5 6" xfId="3132" xr:uid="{BB40548A-03A8-47AB-A921-E98D5C9BDC2B}"/>
    <cellStyle name="Comma 9 5 6 2" xfId="12204" xr:uid="{89CE3DBF-1A9C-4562-B17C-7DB8FAF6CD22}"/>
    <cellStyle name="Comma 9 5 6 2 2" xfId="27324" xr:uid="{8F838218-6406-4C12-A8F0-CC9B4A0DFB24}"/>
    <cellStyle name="Comma 9 5 6 2 2 2" xfId="57564" xr:uid="{85667634-7693-407D-84C0-EB8F9BD9DA5A}"/>
    <cellStyle name="Comma 9 5 6 2 3" xfId="42444" xr:uid="{57D91217-16CD-4930-801F-EB8BD574CCCE}"/>
    <cellStyle name="Comma 9 5 6 3" xfId="18252" xr:uid="{A4D60F1B-1834-471D-9F22-003C46190758}"/>
    <cellStyle name="Comma 9 5 6 3 2" xfId="48492" xr:uid="{C03CCAB7-F2F4-4A46-8C9A-28C0FEC5AB13}"/>
    <cellStyle name="Comma 9 5 6 4" xfId="33372" xr:uid="{37C6750C-5FF7-4969-B11A-E08C7F570268}"/>
    <cellStyle name="Comma 9 5 7" xfId="4644" xr:uid="{EF7365C1-C218-4B09-A71F-E30ED37928A3}"/>
    <cellStyle name="Comma 9 5 7 2" xfId="13716" xr:uid="{52ADE095-E08B-40A5-BD79-13DD1BDFDC26}"/>
    <cellStyle name="Comma 9 5 7 2 2" xfId="28836" xr:uid="{BC5C813B-4F83-458D-A649-47236A20B16A}"/>
    <cellStyle name="Comma 9 5 7 2 2 2" xfId="59076" xr:uid="{D27810B2-D082-4DC4-B67A-0EE360A3A177}"/>
    <cellStyle name="Comma 9 5 7 2 3" xfId="43956" xr:uid="{8B21C4DD-6D84-480F-9B07-643DD04543C7}"/>
    <cellStyle name="Comma 9 5 7 3" xfId="19764" xr:uid="{7504F87A-CE3A-4D0F-9963-6A17BD6EBE91}"/>
    <cellStyle name="Comma 9 5 7 3 2" xfId="50004" xr:uid="{4F035902-BF9F-42AE-B4A7-0B03D86E1C00}"/>
    <cellStyle name="Comma 9 5 7 4" xfId="34884" xr:uid="{40E070B0-539A-48DC-863A-6082527C105B}"/>
    <cellStyle name="Comma 9 5 8" xfId="6156" xr:uid="{965154B0-9851-468F-95DF-B1A61FF94B6D}"/>
    <cellStyle name="Comma 9 5 8 2" xfId="21276" xr:uid="{4D083306-466B-4B3C-B22E-4763A955CDF0}"/>
    <cellStyle name="Comma 9 5 8 2 2" xfId="51516" xr:uid="{CEA0AB81-AD0A-4715-8CF8-22AC7AB8D2CE}"/>
    <cellStyle name="Comma 9 5 8 3" xfId="36396" xr:uid="{2D1E455F-DC7E-4708-AB23-115A836E54F3}"/>
    <cellStyle name="Comma 9 5 9" xfId="7668" xr:uid="{F49ED233-D673-4BF6-9F6F-BB25A09A67F9}"/>
    <cellStyle name="Comma 9 5 9 2" xfId="22788" xr:uid="{C23D9A4E-9876-48BC-A764-170EB8D42A57}"/>
    <cellStyle name="Comma 9 5 9 2 2" xfId="53028" xr:uid="{697DE78B-1D2A-4C4F-88AD-624C43643273}"/>
    <cellStyle name="Comma 9 5 9 3" xfId="37908" xr:uid="{972DAFC7-6C9F-4231-B91E-634626692E32}"/>
    <cellStyle name="Comma 9 6" xfId="192" xr:uid="{13166892-A55F-4C78-B61D-8051E327FEFE}"/>
    <cellStyle name="Comma 9 6 10" xfId="9264" xr:uid="{14C1D59F-F05A-4B94-9104-D57029A7EF38}"/>
    <cellStyle name="Comma 9 6 10 2" xfId="24384" xr:uid="{72877286-6337-4E94-AA8D-4770C3EB2588}"/>
    <cellStyle name="Comma 9 6 10 2 2" xfId="54624" xr:uid="{D06F7ECF-AB94-4CDF-9830-B2518C2CA896}"/>
    <cellStyle name="Comma 9 6 10 3" xfId="39504" xr:uid="{257C6B8D-1844-4A50-A3C3-6081674B3E5A}"/>
    <cellStyle name="Comma 9 6 11" xfId="15312" xr:uid="{A9D1A4C2-1C26-4527-95CC-1298AFEC0A4F}"/>
    <cellStyle name="Comma 9 6 11 2" xfId="45552" xr:uid="{14E2AD40-6E14-4A8D-9AC2-F758A6ED690A}"/>
    <cellStyle name="Comma 9 6 12" xfId="30432" xr:uid="{2CEE0DEC-50EC-440D-909B-F43031B905FE}"/>
    <cellStyle name="Comma 9 6 2" xfId="444" xr:uid="{08FFC1F6-4779-44BD-851A-D156097C38FB}"/>
    <cellStyle name="Comma 9 6 2 10" xfId="30684" xr:uid="{82CC1856-44B5-4E5B-BA94-A8877E662991}"/>
    <cellStyle name="Comma 9 6 2 2" xfId="1200" xr:uid="{7AEED567-C9F6-455B-AE8C-EDEF645ECF14}"/>
    <cellStyle name="Comma 9 6 2 2 2" xfId="2712" xr:uid="{E3D9D8D4-5276-4492-971C-5D4BB5EAA53D}"/>
    <cellStyle name="Comma 9 6 2 2 2 2" xfId="11784" xr:uid="{E0C82BAA-B863-44AB-87E5-65C31987E298}"/>
    <cellStyle name="Comma 9 6 2 2 2 2 2" xfId="26904" xr:uid="{DED5700F-0620-4A7E-A1D0-AB5501086DDA}"/>
    <cellStyle name="Comma 9 6 2 2 2 2 2 2" xfId="57144" xr:uid="{470ACA4A-84A2-4960-9C45-D50E510D4627}"/>
    <cellStyle name="Comma 9 6 2 2 2 2 3" xfId="42024" xr:uid="{05E09E21-8B99-4980-9A7E-9EEB00BAB996}"/>
    <cellStyle name="Comma 9 6 2 2 2 3" xfId="17832" xr:uid="{DE3FF567-9529-4FDC-A23C-FD77536E3985}"/>
    <cellStyle name="Comma 9 6 2 2 2 3 2" xfId="48072" xr:uid="{074C1654-B054-4C1B-A231-E38F202874B8}"/>
    <cellStyle name="Comma 9 6 2 2 2 4" xfId="32952" xr:uid="{314DAABB-8AD9-4019-9EDD-2C378B1ADDDF}"/>
    <cellStyle name="Comma 9 6 2 2 3" xfId="4224" xr:uid="{0001A1F0-7F5B-434F-B3F3-AEF7E285553F}"/>
    <cellStyle name="Comma 9 6 2 2 3 2" xfId="13296" xr:uid="{BE11B341-11E6-4EA4-B8E8-81F84A9C8210}"/>
    <cellStyle name="Comma 9 6 2 2 3 2 2" xfId="28416" xr:uid="{0228FED0-B738-4773-B880-98894EE9563A}"/>
    <cellStyle name="Comma 9 6 2 2 3 2 2 2" xfId="58656" xr:uid="{FAADA72C-33F0-4511-AFE8-D073CE41A0D2}"/>
    <cellStyle name="Comma 9 6 2 2 3 2 3" xfId="43536" xr:uid="{17D53B3F-792F-43A5-B950-E8B85337AA88}"/>
    <cellStyle name="Comma 9 6 2 2 3 3" xfId="19344" xr:uid="{B9A4CA47-29AB-40E3-8F5D-41F2D76B1213}"/>
    <cellStyle name="Comma 9 6 2 2 3 3 2" xfId="49584" xr:uid="{D96762ED-B75C-4710-ADE0-536492DF711B}"/>
    <cellStyle name="Comma 9 6 2 2 3 4" xfId="34464" xr:uid="{9F0F16EA-7316-450C-AE8A-251B5377191B}"/>
    <cellStyle name="Comma 9 6 2 2 4" xfId="5736" xr:uid="{16EC2A98-698C-43BD-B86B-2AF0CDA1CFFE}"/>
    <cellStyle name="Comma 9 6 2 2 4 2" xfId="14808" xr:uid="{C7BFA4C9-7557-4268-BAFD-2A15AE838EB8}"/>
    <cellStyle name="Comma 9 6 2 2 4 2 2" xfId="29928" xr:uid="{B7919382-4130-4E39-A41E-92A62AACC47A}"/>
    <cellStyle name="Comma 9 6 2 2 4 2 2 2" xfId="60168" xr:uid="{B45FF8B5-705B-4E7D-A134-62538AEDDD62}"/>
    <cellStyle name="Comma 9 6 2 2 4 2 3" xfId="45048" xr:uid="{4145FEC0-B58A-4F4F-8349-62FFA06A02F0}"/>
    <cellStyle name="Comma 9 6 2 2 4 3" xfId="20856" xr:uid="{481C3D10-0983-435D-814F-A7BDEBCA14B2}"/>
    <cellStyle name="Comma 9 6 2 2 4 3 2" xfId="51096" xr:uid="{55AE1B55-E66A-42EB-BFF3-8A3B4063A00F}"/>
    <cellStyle name="Comma 9 6 2 2 4 4" xfId="35976" xr:uid="{68B700BC-8186-4E80-AD41-7E9419310AD2}"/>
    <cellStyle name="Comma 9 6 2 2 5" xfId="7248" xr:uid="{8BD4398E-B061-4184-830F-BD110369F0DE}"/>
    <cellStyle name="Comma 9 6 2 2 5 2" xfId="22368" xr:uid="{0CE45ED7-F2EC-4411-9FA8-EF68978ED915}"/>
    <cellStyle name="Comma 9 6 2 2 5 2 2" xfId="52608" xr:uid="{7EBC6017-6E3B-47C2-A381-7F1D259AD8C0}"/>
    <cellStyle name="Comma 9 6 2 2 5 3" xfId="37488" xr:uid="{36B6FE85-7519-44D6-A460-FB6181D8BB0C}"/>
    <cellStyle name="Comma 9 6 2 2 6" xfId="8760" xr:uid="{6B9257C2-7153-4224-9854-BDF39A95F103}"/>
    <cellStyle name="Comma 9 6 2 2 6 2" xfId="23880" xr:uid="{7DCCBDA4-4D87-44F2-B546-C90A7C7D81E5}"/>
    <cellStyle name="Comma 9 6 2 2 6 2 2" xfId="54120" xr:uid="{32848F36-3356-4DFA-9DFD-B2126FC1ACF6}"/>
    <cellStyle name="Comma 9 6 2 2 6 3" xfId="39000" xr:uid="{13CFD483-92AA-445F-9213-72680A9C41C5}"/>
    <cellStyle name="Comma 9 6 2 2 7" xfId="10272" xr:uid="{B9DF5CE5-923F-460A-AAC6-9948C47D1A6B}"/>
    <cellStyle name="Comma 9 6 2 2 7 2" xfId="25392" xr:uid="{C8458B7E-B8BA-45BE-8CA3-14E5C2C0E423}"/>
    <cellStyle name="Comma 9 6 2 2 7 2 2" xfId="55632" xr:uid="{AA5DF507-B291-4541-BBB3-E663D7B3C88A}"/>
    <cellStyle name="Comma 9 6 2 2 7 3" xfId="40512" xr:uid="{49318B29-901E-4D3B-9A5A-373980A6D08E}"/>
    <cellStyle name="Comma 9 6 2 2 8" xfId="16320" xr:uid="{BCB1B84C-74FA-4A47-9B4F-61FEB2CB73E4}"/>
    <cellStyle name="Comma 9 6 2 2 8 2" xfId="46560" xr:uid="{CEA10421-A23D-4269-AC65-E13DEB7EA130}"/>
    <cellStyle name="Comma 9 6 2 2 9" xfId="31440" xr:uid="{2FD03F94-E5DE-43F4-9F7C-D8EDC5CD127C}"/>
    <cellStyle name="Comma 9 6 2 3" xfId="1956" xr:uid="{66DC63A2-70F5-41D0-9540-4177639E8CDB}"/>
    <cellStyle name="Comma 9 6 2 3 2" xfId="11028" xr:uid="{0F934DB5-2661-4F6E-A898-5DD98748A025}"/>
    <cellStyle name="Comma 9 6 2 3 2 2" xfId="26148" xr:uid="{876DE28D-8AF7-44E1-8476-19494458634E}"/>
    <cellStyle name="Comma 9 6 2 3 2 2 2" xfId="56388" xr:uid="{F127DA1A-29AB-4C87-8B79-02D8F1458F24}"/>
    <cellStyle name="Comma 9 6 2 3 2 3" xfId="41268" xr:uid="{66664A7F-B465-44AB-A3FB-AAF9161F546F}"/>
    <cellStyle name="Comma 9 6 2 3 3" xfId="17076" xr:uid="{4A473D47-A4D9-4669-8393-6436601E81B2}"/>
    <cellStyle name="Comma 9 6 2 3 3 2" xfId="47316" xr:uid="{B6E05C8E-099E-4491-8068-16B31AF32A80}"/>
    <cellStyle name="Comma 9 6 2 3 4" xfId="32196" xr:uid="{2BD9ED9E-7E43-4E5B-A068-DE0787438F6A}"/>
    <cellStyle name="Comma 9 6 2 4" xfId="3468" xr:uid="{DC34DC26-34F9-4F83-8367-30DC0AAFE198}"/>
    <cellStyle name="Comma 9 6 2 4 2" xfId="12540" xr:uid="{EAEAF3FD-334E-4641-B323-0D6EFBFBCC5B}"/>
    <cellStyle name="Comma 9 6 2 4 2 2" xfId="27660" xr:uid="{3FFAE3E1-9559-4C64-808D-7C2BB04E6FA5}"/>
    <cellStyle name="Comma 9 6 2 4 2 2 2" xfId="57900" xr:uid="{518051A9-585D-40DA-8D26-74FC5080D0EF}"/>
    <cellStyle name="Comma 9 6 2 4 2 3" xfId="42780" xr:uid="{C4CF2D2B-4081-4271-9CB3-9BD46213A473}"/>
    <cellStyle name="Comma 9 6 2 4 3" xfId="18588" xr:uid="{0D4D44B7-704E-4A81-8E70-DE4BCBC852F9}"/>
    <cellStyle name="Comma 9 6 2 4 3 2" xfId="48828" xr:uid="{D1DAB869-257C-4389-BE7B-0A1D8DF933C8}"/>
    <cellStyle name="Comma 9 6 2 4 4" xfId="33708" xr:uid="{57A7820C-7F5B-497D-A662-1266F2FD9DDB}"/>
    <cellStyle name="Comma 9 6 2 5" xfId="4980" xr:uid="{0DA241C5-E374-4F00-B541-3FF9EDF776A0}"/>
    <cellStyle name="Comma 9 6 2 5 2" xfId="14052" xr:uid="{683700CE-C3D6-4F0B-8986-E37FB9A89977}"/>
    <cellStyle name="Comma 9 6 2 5 2 2" xfId="29172" xr:uid="{7B248F54-A689-4876-9A97-AE55A7D6FEF7}"/>
    <cellStyle name="Comma 9 6 2 5 2 2 2" xfId="59412" xr:uid="{011D608C-B826-4810-BF0D-EC670FFC5026}"/>
    <cellStyle name="Comma 9 6 2 5 2 3" xfId="44292" xr:uid="{F1E06487-4B3E-4D0B-82B2-36D482C7E43A}"/>
    <cellStyle name="Comma 9 6 2 5 3" xfId="20100" xr:uid="{F301FADC-5770-46AE-B27C-B996F9F0A465}"/>
    <cellStyle name="Comma 9 6 2 5 3 2" xfId="50340" xr:uid="{6378718F-77D9-4491-9FC9-F35782E9A2FC}"/>
    <cellStyle name="Comma 9 6 2 5 4" xfId="35220" xr:uid="{FC29506E-B463-4234-9DC6-08BB19F6BC08}"/>
    <cellStyle name="Comma 9 6 2 6" xfId="6492" xr:uid="{0CE9D47F-0202-4E05-B053-C6A5D46FD64D}"/>
    <cellStyle name="Comma 9 6 2 6 2" xfId="21612" xr:uid="{E628AE72-9F72-4AF9-8827-F4CDC0877CDF}"/>
    <cellStyle name="Comma 9 6 2 6 2 2" xfId="51852" xr:uid="{6D510040-12AF-4039-A6C9-60AAF3E3F1C2}"/>
    <cellStyle name="Comma 9 6 2 6 3" xfId="36732" xr:uid="{7747486C-2678-4A89-BABD-50ED9C952488}"/>
    <cellStyle name="Comma 9 6 2 7" xfId="8004" xr:uid="{B059DB2B-A779-497A-A0EA-669273BFEB8A}"/>
    <cellStyle name="Comma 9 6 2 7 2" xfId="23124" xr:uid="{C57B4138-F859-42CD-9394-2D11E1915110}"/>
    <cellStyle name="Comma 9 6 2 7 2 2" xfId="53364" xr:uid="{B103DA17-00EE-44D7-B19B-6E291A3263BC}"/>
    <cellStyle name="Comma 9 6 2 7 3" xfId="38244" xr:uid="{E53C0058-7CCC-49DB-A234-A051506C387B}"/>
    <cellStyle name="Comma 9 6 2 8" xfId="9516" xr:uid="{854DA27A-6C81-4F41-ACA5-EC58C20EDB6A}"/>
    <cellStyle name="Comma 9 6 2 8 2" xfId="24636" xr:uid="{42AF15CF-DE34-4ACD-81D8-096738DD141F}"/>
    <cellStyle name="Comma 9 6 2 8 2 2" xfId="54876" xr:uid="{89180769-0156-4046-B2C6-C1DB5A574D50}"/>
    <cellStyle name="Comma 9 6 2 8 3" xfId="39756" xr:uid="{1525126D-8394-4ED9-A1AE-BE7462AFF604}"/>
    <cellStyle name="Comma 9 6 2 9" xfId="15564" xr:uid="{8A86247F-73AD-4E8F-8E40-B72D3CFC8A35}"/>
    <cellStyle name="Comma 9 6 2 9 2" xfId="45804" xr:uid="{F267D5CD-C4B8-47A6-B61C-B6C10D38B70C}"/>
    <cellStyle name="Comma 9 6 3" xfId="696" xr:uid="{61D09E13-853F-4D78-A0A6-781400FF5842}"/>
    <cellStyle name="Comma 9 6 3 10" xfId="30936" xr:uid="{225DDF42-E18A-4DF8-8F5F-AB0B34800562}"/>
    <cellStyle name="Comma 9 6 3 2" xfId="1452" xr:uid="{A2482368-B821-44F1-956E-160C2854C97F}"/>
    <cellStyle name="Comma 9 6 3 2 2" xfId="2964" xr:uid="{EF2258BF-DD09-4CE8-97F8-369772DC9846}"/>
    <cellStyle name="Comma 9 6 3 2 2 2" xfId="12036" xr:uid="{E00170FF-57A2-49A2-9B28-3B3997451618}"/>
    <cellStyle name="Comma 9 6 3 2 2 2 2" xfId="27156" xr:uid="{D0F8F5ED-7C6E-4B61-9960-81E4351C9804}"/>
    <cellStyle name="Comma 9 6 3 2 2 2 2 2" xfId="57396" xr:uid="{43D11D71-113C-45EE-AD9F-8F4567BDE38E}"/>
    <cellStyle name="Comma 9 6 3 2 2 2 3" xfId="42276" xr:uid="{F932CCD3-ECBC-448C-9B95-46C5184F2B9D}"/>
    <cellStyle name="Comma 9 6 3 2 2 3" xfId="18084" xr:uid="{8A7246B2-F32A-46A2-8EC9-3724A8E4A1CC}"/>
    <cellStyle name="Comma 9 6 3 2 2 3 2" xfId="48324" xr:uid="{C9962FC1-D786-4129-BDCE-3847D9162B2B}"/>
    <cellStyle name="Comma 9 6 3 2 2 4" xfId="33204" xr:uid="{777C5347-7AEF-474C-97CD-06143C66B3F9}"/>
    <cellStyle name="Comma 9 6 3 2 3" xfId="4476" xr:uid="{70DA5573-1FCD-4322-8E04-121853A1D7B3}"/>
    <cellStyle name="Comma 9 6 3 2 3 2" xfId="13548" xr:uid="{93B29C31-E954-4CB1-B117-C046C1D184F8}"/>
    <cellStyle name="Comma 9 6 3 2 3 2 2" xfId="28668" xr:uid="{D21E0F1B-C948-403D-A6C2-6C408A69EB16}"/>
    <cellStyle name="Comma 9 6 3 2 3 2 2 2" xfId="58908" xr:uid="{3926A152-25B8-4A6F-80E3-022238498119}"/>
    <cellStyle name="Comma 9 6 3 2 3 2 3" xfId="43788" xr:uid="{3223EACF-04F0-40F7-A250-CD001F77ED14}"/>
    <cellStyle name="Comma 9 6 3 2 3 3" xfId="19596" xr:uid="{AA478CF2-2FFC-45CD-9B73-D42F9CEF3BBF}"/>
    <cellStyle name="Comma 9 6 3 2 3 3 2" xfId="49836" xr:uid="{509F9998-3A6D-40DA-9FD9-BC2246CB4942}"/>
    <cellStyle name="Comma 9 6 3 2 3 4" xfId="34716" xr:uid="{633C9032-765A-4701-A941-C52C1A582B92}"/>
    <cellStyle name="Comma 9 6 3 2 4" xfId="5988" xr:uid="{4ECF00C1-BC35-41F8-A9F5-8F7BD3127A25}"/>
    <cellStyle name="Comma 9 6 3 2 4 2" xfId="15060" xr:uid="{DD94705B-77F5-4658-B4A4-6FFE77E66A2E}"/>
    <cellStyle name="Comma 9 6 3 2 4 2 2" xfId="30180" xr:uid="{A2D6834A-55E0-468D-A13F-90E9C1990C0D}"/>
    <cellStyle name="Comma 9 6 3 2 4 2 2 2" xfId="60420" xr:uid="{51F44D93-2222-42C9-B24C-F1895A9BB43D}"/>
    <cellStyle name="Comma 9 6 3 2 4 2 3" xfId="45300" xr:uid="{03AD34A9-E75E-4AEB-A33A-FFEC1A80E053}"/>
    <cellStyle name="Comma 9 6 3 2 4 3" xfId="21108" xr:uid="{EEB21497-F614-4C51-B49F-F26ABC1E11D4}"/>
    <cellStyle name="Comma 9 6 3 2 4 3 2" xfId="51348" xr:uid="{81332FFF-3DC1-4C1B-B1ED-D1EC458746F4}"/>
    <cellStyle name="Comma 9 6 3 2 4 4" xfId="36228" xr:uid="{3E713532-5F61-44B3-B282-530E4EE713FC}"/>
    <cellStyle name="Comma 9 6 3 2 5" xfId="7500" xr:uid="{54A210AC-204E-4441-AA87-AFB3D26AEA72}"/>
    <cellStyle name="Comma 9 6 3 2 5 2" xfId="22620" xr:uid="{234918C2-0CAE-4F97-A3A7-7C909A3EF244}"/>
    <cellStyle name="Comma 9 6 3 2 5 2 2" xfId="52860" xr:uid="{72E34318-77AB-4AD6-95F8-2F161968CB69}"/>
    <cellStyle name="Comma 9 6 3 2 5 3" xfId="37740" xr:uid="{EA39067E-ABD5-452E-8E7F-C6A2AB1485C4}"/>
    <cellStyle name="Comma 9 6 3 2 6" xfId="9012" xr:uid="{143AC255-76B9-4108-A54B-BD79DF7893C5}"/>
    <cellStyle name="Comma 9 6 3 2 6 2" xfId="24132" xr:uid="{9FD11899-6CFD-4A95-BAFB-FF19B4B11B7C}"/>
    <cellStyle name="Comma 9 6 3 2 6 2 2" xfId="54372" xr:uid="{B10D01B7-03A0-45D0-AE66-2053F46D0890}"/>
    <cellStyle name="Comma 9 6 3 2 6 3" xfId="39252" xr:uid="{F2272238-9AF5-4353-8B5C-82750D8C1CE5}"/>
    <cellStyle name="Comma 9 6 3 2 7" xfId="10524" xr:uid="{19CE1903-51CF-4F79-B8FB-831A931BF666}"/>
    <cellStyle name="Comma 9 6 3 2 7 2" xfId="25644" xr:uid="{7E8E84BA-D327-4122-8EF0-96851DABE10B}"/>
    <cellStyle name="Comma 9 6 3 2 7 2 2" xfId="55884" xr:uid="{F5AC0384-AEEB-4DDC-826F-2BE4F4F10349}"/>
    <cellStyle name="Comma 9 6 3 2 7 3" xfId="40764" xr:uid="{DBE27E51-1775-4E7D-A9D3-ABE0DB9973A6}"/>
    <cellStyle name="Comma 9 6 3 2 8" xfId="16572" xr:uid="{DD385FD4-56A6-48D3-A90B-F6DCA55F14A9}"/>
    <cellStyle name="Comma 9 6 3 2 8 2" xfId="46812" xr:uid="{CD301872-320E-43BE-B656-79D3871AD12D}"/>
    <cellStyle name="Comma 9 6 3 2 9" xfId="31692" xr:uid="{E084D2B7-056E-4015-BC66-7581B14A5367}"/>
    <cellStyle name="Comma 9 6 3 3" xfId="2208" xr:uid="{26D9AABB-E7D7-4E0F-9089-DFA73F9D954E}"/>
    <cellStyle name="Comma 9 6 3 3 2" xfId="11280" xr:uid="{B0829E47-B251-47B3-A97F-D51FBDA6D788}"/>
    <cellStyle name="Comma 9 6 3 3 2 2" xfId="26400" xr:uid="{CCF4871C-564C-4C30-884B-B9792E948547}"/>
    <cellStyle name="Comma 9 6 3 3 2 2 2" xfId="56640" xr:uid="{DBF2F8BE-6475-4991-A99F-DCA96DA4F3BF}"/>
    <cellStyle name="Comma 9 6 3 3 2 3" xfId="41520" xr:uid="{24EB7AB8-0DD3-436C-BD33-7B0F889A83B4}"/>
    <cellStyle name="Comma 9 6 3 3 3" xfId="17328" xr:uid="{4929343C-932F-4D94-9E40-6B6E1D8CA437}"/>
    <cellStyle name="Comma 9 6 3 3 3 2" xfId="47568" xr:uid="{6D1A3CF5-CA3E-4FA2-A3C0-46A0FE56E2FC}"/>
    <cellStyle name="Comma 9 6 3 3 4" xfId="32448" xr:uid="{CCA98A67-BE83-4A74-9A19-E161EB75CEBD}"/>
    <cellStyle name="Comma 9 6 3 4" xfId="3720" xr:uid="{BF0D7593-A588-45EC-9B08-19D7E2378AA2}"/>
    <cellStyle name="Comma 9 6 3 4 2" xfId="12792" xr:uid="{A1C96F5E-C915-421C-BA0E-EC14E2FC102D}"/>
    <cellStyle name="Comma 9 6 3 4 2 2" xfId="27912" xr:uid="{254BA47F-77B6-4DAA-8156-A1BC9201B17A}"/>
    <cellStyle name="Comma 9 6 3 4 2 2 2" xfId="58152" xr:uid="{823CEA54-7469-4BB7-B04D-8D14A19BD815}"/>
    <cellStyle name="Comma 9 6 3 4 2 3" xfId="43032" xr:uid="{0B0BFAAD-C4AF-4E39-9456-5356345B995B}"/>
    <cellStyle name="Comma 9 6 3 4 3" xfId="18840" xr:uid="{6651E471-1CD9-4A28-A21B-B938EF4D5489}"/>
    <cellStyle name="Comma 9 6 3 4 3 2" xfId="49080" xr:uid="{9FEA8AC5-BBD9-4B96-B784-AC9003C731D1}"/>
    <cellStyle name="Comma 9 6 3 4 4" xfId="33960" xr:uid="{55E62DD1-B946-4EC2-A7C7-64BA0CE74FB9}"/>
    <cellStyle name="Comma 9 6 3 5" xfId="5232" xr:uid="{72D89F59-1CFA-4164-8D42-A7F926BDFC49}"/>
    <cellStyle name="Comma 9 6 3 5 2" xfId="14304" xr:uid="{586AC969-E6F9-4764-9D5D-488E0304C6E1}"/>
    <cellStyle name="Comma 9 6 3 5 2 2" xfId="29424" xr:uid="{08CE6782-E97E-4047-9A00-3C5762DA2C56}"/>
    <cellStyle name="Comma 9 6 3 5 2 2 2" xfId="59664" xr:uid="{5A03D578-8139-4901-832F-A53FD30215BE}"/>
    <cellStyle name="Comma 9 6 3 5 2 3" xfId="44544" xr:uid="{EE3AB585-6763-42D3-9EC5-781B50FA6D20}"/>
    <cellStyle name="Comma 9 6 3 5 3" xfId="20352" xr:uid="{2C76D1B4-5EC3-4C24-8D0F-0E0D0832DB29}"/>
    <cellStyle name="Comma 9 6 3 5 3 2" xfId="50592" xr:uid="{F173DF51-7834-45C2-A533-8BD1F52368CB}"/>
    <cellStyle name="Comma 9 6 3 5 4" xfId="35472" xr:uid="{99CCB604-3A5A-4BEB-B78F-7C7B2A431D87}"/>
    <cellStyle name="Comma 9 6 3 6" xfId="6744" xr:uid="{A7FDCEDF-AA49-4E41-8B9E-9CD0D0AB3643}"/>
    <cellStyle name="Comma 9 6 3 6 2" xfId="21864" xr:uid="{DA01A90D-04CC-475C-94DC-3526FD1EBC29}"/>
    <cellStyle name="Comma 9 6 3 6 2 2" xfId="52104" xr:uid="{E1654B7A-9955-48B3-B9FC-EE1AB8C5F823}"/>
    <cellStyle name="Comma 9 6 3 6 3" xfId="36984" xr:uid="{90E98A0F-09E7-4572-B85E-CB923783ECC8}"/>
    <cellStyle name="Comma 9 6 3 7" xfId="8256" xr:uid="{A714C623-13EA-45BA-B635-81575107817E}"/>
    <cellStyle name="Comma 9 6 3 7 2" xfId="23376" xr:uid="{460E496E-64F1-4C00-9D05-FF9CF7C3BA5C}"/>
    <cellStyle name="Comma 9 6 3 7 2 2" xfId="53616" xr:uid="{20F39DA6-CA6B-4EEA-8A4A-D281687230B0}"/>
    <cellStyle name="Comma 9 6 3 7 3" xfId="38496" xr:uid="{40046228-700E-42D1-B20C-46053DD71CB5}"/>
    <cellStyle name="Comma 9 6 3 8" xfId="9768" xr:uid="{FE3A47EF-D373-4DD7-A59F-D0DA3B267EB6}"/>
    <cellStyle name="Comma 9 6 3 8 2" xfId="24888" xr:uid="{20168B93-2C6C-4150-B1E2-68C1CE97A7F5}"/>
    <cellStyle name="Comma 9 6 3 8 2 2" xfId="55128" xr:uid="{D11E3AD4-8AA0-4C4F-B508-177C3B4C0EA7}"/>
    <cellStyle name="Comma 9 6 3 8 3" xfId="40008" xr:uid="{DFB1300D-15CB-46A2-8A2E-C5AC2A0B2310}"/>
    <cellStyle name="Comma 9 6 3 9" xfId="15816" xr:uid="{7F410631-9767-4F66-ABE5-EAEF5B4CA497}"/>
    <cellStyle name="Comma 9 6 3 9 2" xfId="46056" xr:uid="{5531B53E-19FC-4747-BE24-003995599131}"/>
    <cellStyle name="Comma 9 6 4" xfId="948" xr:uid="{3C63C815-8751-4B82-80E0-95D0F7BF1803}"/>
    <cellStyle name="Comma 9 6 4 2" xfId="2460" xr:uid="{F8ED85CB-7F9A-4805-A82C-63609F4CE633}"/>
    <cellStyle name="Comma 9 6 4 2 2" xfId="11532" xr:uid="{4753979B-07AC-4D5E-B5D9-8306C6FFBA5F}"/>
    <cellStyle name="Comma 9 6 4 2 2 2" xfId="26652" xr:uid="{9BFA2D15-CF73-4C49-B307-6422A5CF408F}"/>
    <cellStyle name="Comma 9 6 4 2 2 2 2" xfId="56892" xr:uid="{9DB7BC09-B56E-4828-A9CB-1A9149D22F63}"/>
    <cellStyle name="Comma 9 6 4 2 2 3" xfId="41772" xr:uid="{4E4FAABF-A0E1-466D-8042-7C2D5D32B02F}"/>
    <cellStyle name="Comma 9 6 4 2 3" xfId="17580" xr:uid="{6F464B6D-EAB3-415C-9DC4-7C3161980179}"/>
    <cellStyle name="Comma 9 6 4 2 3 2" xfId="47820" xr:uid="{0C1F82AC-0E47-43B7-971F-213D8F70BE59}"/>
    <cellStyle name="Comma 9 6 4 2 4" xfId="32700" xr:uid="{D20627E8-B373-4B0F-88DC-F28E84656429}"/>
    <cellStyle name="Comma 9 6 4 3" xfId="3972" xr:uid="{FDFA5174-E39F-4E1E-B089-88DB4CDBC0FD}"/>
    <cellStyle name="Comma 9 6 4 3 2" xfId="13044" xr:uid="{69C48D2D-2909-47BF-9C38-18A59C1409AB}"/>
    <cellStyle name="Comma 9 6 4 3 2 2" xfId="28164" xr:uid="{241BC339-7356-4A22-BEE4-95E9593CBF65}"/>
    <cellStyle name="Comma 9 6 4 3 2 2 2" xfId="58404" xr:uid="{04BCFA17-F133-40FD-BCDF-DF8874248252}"/>
    <cellStyle name="Comma 9 6 4 3 2 3" xfId="43284" xr:uid="{78347DC0-26A3-4C2E-A466-DC2BC1CAF218}"/>
    <cellStyle name="Comma 9 6 4 3 3" xfId="19092" xr:uid="{0E77A9D7-4679-434C-B1B7-52148891E53B}"/>
    <cellStyle name="Comma 9 6 4 3 3 2" xfId="49332" xr:uid="{CAD4C22E-B590-471E-A2D8-22059B17EFBD}"/>
    <cellStyle name="Comma 9 6 4 3 4" xfId="34212" xr:uid="{FDD163E2-D661-4C20-B822-62858EFEACE2}"/>
    <cellStyle name="Comma 9 6 4 4" xfId="5484" xr:uid="{8F88FEA6-B7B8-44C7-B04D-8ED33381C8C6}"/>
    <cellStyle name="Comma 9 6 4 4 2" xfId="14556" xr:uid="{D3C38A35-5D96-4414-B090-F1459EDAD1CB}"/>
    <cellStyle name="Comma 9 6 4 4 2 2" xfId="29676" xr:uid="{BD2122A1-2788-4719-92EB-415977304EF1}"/>
    <cellStyle name="Comma 9 6 4 4 2 2 2" xfId="59916" xr:uid="{326DC91A-6D31-4A44-A56F-B7B041730CB0}"/>
    <cellStyle name="Comma 9 6 4 4 2 3" xfId="44796" xr:uid="{0623B057-4F60-4BBB-AED7-6E2BD2E00A02}"/>
    <cellStyle name="Comma 9 6 4 4 3" xfId="20604" xr:uid="{21E3D009-B105-4383-BC2A-C11A1B9C26FF}"/>
    <cellStyle name="Comma 9 6 4 4 3 2" xfId="50844" xr:uid="{A6BA755B-6F45-4601-8825-30E3F3F0AA27}"/>
    <cellStyle name="Comma 9 6 4 4 4" xfId="35724" xr:uid="{A151A3B8-85E0-4F62-8A04-CC73D6389366}"/>
    <cellStyle name="Comma 9 6 4 5" xfId="6996" xr:uid="{583EF53E-2E0C-4D4F-A4B9-8E8E1DBBBB45}"/>
    <cellStyle name="Comma 9 6 4 5 2" xfId="22116" xr:uid="{F9B37795-1E17-4DF0-B129-282EB12730B3}"/>
    <cellStyle name="Comma 9 6 4 5 2 2" xfId="52356" xr:uid="{9E6C371A-C0AC-44F9-B4EE-6BAC55388D53}"/>
    <cellStyle name="Comma 9 6 4 5 3" xfId="37236" xr:uid="{C314D7B4-9E5E-4F3D-BCFF-0CF1746D8B79}"/>
    <cellStyle name="Comma 9 6 4 6" xfId="8508" xr:uid="{0ABB1E20-5919-4C12-832A-6D10F28F8FC8}"/>
    <cellStyle name="Comma 9 6 4 6 2" xfId="23628" xr:uid="{1E1BEFB2-4074-4132-B422-D02D17C6B2D2}"/>
    <cellStyle name="Comma 9 6 4 6 2 2" xfId="53868" xr:uid="{D272B536-F73E-4266-8C75-AF4A36B66BF4}"/>
    <cellStyle name="Comma 9 6 4 6 3" xfId="38748" xr:uid="{B9D6A43B-FA49-4C94-A105-1E2424A91823}"/>
    <cellStyle name="Comma 9 6 4 7" xfId="10020" xr:uid="{F6C86968-2388-403D-831F-8C05EAB40E9E}"/>
    <cellStyle name="Comma 9 6 4 7 2" xfId="25140" xr:uid="{8EAE0911-255E-4ECE-B5E9-6FD4D2E3FBF3}"/>
    <cellStyle name="Comma 9 6 4 7 2 2" xfId="55380" xr:uid="{66B3EFE8-61F1-4859-AEE0-17793CB8B8D0}"/>
    <cellStyle name="Comma 9 6 4 7 3" xfId="40260" xr:uid="{C7F4F050-DDB1-41A8-89A4-3CCF8186E101}"/>
    <cellStyle name="Comma 9 6 4 8" xfId="16068" xr:uid="{AB3C3178-BA8A-47DD-B1EE-ED3EA7902A6C}"/>
    <cellStyle name="Comma 9 6 4 8 2" xfId="46308" xr:uid="{3CBF2242-51FE-44EF-9C92-DE0384E8A723}"/>
    <cellStyle name="Comma 9 6 4 9" xfId="31188" xr:uid="{CA56C520-3F07-4BD1-86F8-B625B418BDA9}"/>
    <cellStyle name="Comma 9 6 5" xfId="1704" xr:uid="{36E3F5EA-EC44-4971-8E04-4FD1E7DECA5D}"/>
    <cellStyle name="Comma 9 6 5 2" xfId="10776" xr:uid="{371499A6-370E-4471-AC8A-19F9C17F9849}"/>
    <cellStyle name="Comma 9 6 5 2 2" xfId="25896" xr:uid="{82B6BF96-8B7E-4F6D-8199-5C084AE3CE4B}"/>
    <cellStyle name="Comma 9 6 5 2 2 2" xfId="56136" xr:uid="{CC93C7B3-9666-4CFF-9137-87D83B595353}"/>
    <cellStyle name="Comma 9 6 5 2 3" xfId="41016" xr:uid="{D0771449-62C2-4A95-8086-F5DD3BAFD7E6}"/>
    <cellStyle name="Comma 9 6 5 3" xfId="16824" xr:uid="{56A3E63C-4AF0-45F0-A9DC-7285EB69DF20}"/>
    <cellStyle name="Comma 9 6 5 3 2" xfId="47064" xr:uid="{2D506348-88C0-4E34-9C49-D2B79FDDEC03}"/>
    <cellStyle name="Comma 9 6 5 4" xfId="31944" xr:uid="{75C11343-4E49-4E5C-A7BD-527D0F68D1E3}"/>
    <cellStyle name="Comma 9 6 6" xfId="3216" xr:uid="{8554F43F-70BA-4C4E-98C9-2B7BC83ED3E1}"/>
    <cellStyle name="Comma 9 6 6 2" xfId="12288" xr:uid="{D0518A43-042D-47D7-ADB2-FC320EB6C781}"/>
    <cellStyle name="Comma 9 6 6 2 2" xfId="27408" xr:uid="{98B3BC26-2951-4959-9955-1F603F9681B8}"/>
    <cellStyle name="Comma 9 6 6 2 2 2" xfId="57648" xr:uid="{3823C7E2-9072-40D8-BD9F-C18CA5CE6DCB}"/>
    <cellStyle name="Comma 9 6 6 2 3" xfId="42528" xr:uid="{AD9E3E6C-F4A2-4FAF-ACED-169C4BE45FFC}"/>
    <cellStyle name="Comma 9 6 6 3" xfId="18336" xr:uid="{B9AB1005-DD23-4BFC-82C9-2E3971190488}"/>
    <cellStyle name="Comma 9 6 6 3 2" xfId="48576" xr:uid="{D809047C-46F3-46A7-B866-3EA2722A148B}"/>
    <cellStyle name="Comma 9 6 6 4" xfId="33456" xr:uid="{2B53DF64-DDAA-44D5-ACB2-AD45B7E31EF4}"/>
    <cellStyle name="Comma 9 6 7" xfId="4728" xr:uid="{58659A9F-9C94-4111-9A23-EC60A873AFF1}"/>
    <cellStyle name="Comma 9 6 7 2" xfId="13800" xr:uid="{DAD31E5E-499D-4542-87B3-361A45D9D2A1}"/>
    <cellStyle name="Comma 9 6 7 2 2" xfId="28920" xr:uid="{29C3F83D-06F5-4507-857A-1A8BD1117641}"/>
    <cellStyle name="Comma 9 6 7 2 2 2" xfId="59160" xr:uid="{E33CCF47-38B4-4F53-89DC-61177B56B28C}"/>
    <cellStyle name="Comma 9 6 7 2 3" xfId="44040" xr:uid="{7DEE8C27-03A1-4F10-A391-40C021DF609F}"/>
    <cellStyle name="Comma 9 6 7 3" xfId="19848" xr:uid="{71A3B715-9DB5-4720-B637-D6DEB5CD989A}"/>
    <cellStyle name="Comma 9 6 7 3 2" xfId="50088" xr:uid="{45291676-41BC-4D84-B432-FB824E77F8B3}"/>
    <cellStyle name="Comma 9 6 7 4" xfId="34968" xr:uid="{BD02F838-7CBF-42E5-91B8-6C6E8F297460}"/>
    <cellStyle name="Comma 9 6 8" xfId="6240" xr:uid="{8D2B64E4-2B6A-421C-97AD-04A13AE1E0EE}"/>
    <cellStyle name="Comma 9 6 8 2" xfId="21360" xr:uid="{03C81496-EAF5-49F1-97B5-A40F45CDA950}"/>
    <cellStyle name="Comma 9 6 8 2 2" xfId="51600" xr:uid="{38ED1FFA-4F7A-46D7-A080-F7CABCDC04FC}"/>
    <cellStyle name="Comma 9 6 8 3" xfId="36480" xr:uid="{24952BAA-85BB-45A8-B344-883A217E7ECD}"/>
    <cellStyle name="Comma 9 6 9" xfId="7752" xr:uid="{64B6C97C-3F03-461F-850B-F72021BA1805}"/>
    <cellStyle name="Comma 9 6 9 2" xfId="22872" xr:uid="{87825754-EE88-4D0E-BA5D-1EA4CEB408A6}"/>
    <cellStyle name="Comma 9 6 9 2 2" xfId="53112" xr:uid="{52123285-9DDC-481E-A0C9-3E803E731D9D}"/>
    <cellStyle name="Comma 9 6 9 3" xfId="37992" xr:uid="{1718CA33-AE6A-4A7A-AA57-438E437BD1DD}"/>
    <cellStyle name="Comma 9 7" xfId="276" xr:uid="{856615DD-7B9C-4963-B772-F3AAEF40890F}"/>
    <cellStyle name="Comma 9 7 10" xfId="30516" xr:uid="{0DB79F5E-6F6B-4BE6-A6A9-2ABBE999F130}"/>
    <cellStyle name="Comma 9 7 2" xfId="1032" xr:uid="{4CDC9561-D4F8-42D3-874C-D66E06BFF7A9}"/>
    <cellStyle name="Comma 9 7 2 2" xfId="2544" xr:uid="{C8D1A3A9-A880-4468-863E-5A87B718912F}"/>
    <cellStyle name="Comma 9 7 2 2 2" xfId="11616" xr:uid="{2AB3AFDA-BD04-46E4-A4F7-74663F07D2BC}"/>
    <cellStyle name="Comma 9 7 2 2 2 2" xfId="26736" xr:uid="{D19316E0-E8AD-49F4-B1F6-E59494AF85D4}"/>
    <cellStyle name="Comma 9 7 2 2 2 2 2" xfId="56976" xr:uid="{20499F7D-F443-4616-837B-02F31D239C14}"/>
    <cellStyle name="Comma 9 7 2 2 2 3" xfId="41856" xr:uid="{6FF212F9-BE91-4849-922A-4E037EE5311A}"/>
    <cellStyle name="Comma 9 7 2 2 3" xfId="17664" xr:uid="{907ACC8F-5306-43E1-8913-FD00C7C554A2}"/>
    <cellStyle name="Comma 9 7 2 2 3 2" xfId="47904" xr:uid="{0A29BD22-404A-4579-A065-6CF96A9FBE5B}"/>
    <cellStyle name="Comma 9 7 2 2 4" xfId="32784" xr:uid="{5BB9E1ED-1D27-4B43-B0DC-AB05D21DF8F9}"/>
    <cellStyle name="Comma 9 7 2 3" xfId="4056" xr:uid="{36AE97D7-6ED3-49D8-A3A4-6A92FD769D74}"/>
    <cellStyle name="Comma 9 7 2 3 2" xfId="13128" xr:uid="{F8151AB5-D06F-4693-B4BF-B93EAA0DBCA2}"/>
    <cellStyle name="Comma 9 7 2 3 2 2" xfId="28248" xr:uid="{38FF870C-AEE0-4807-AAA0-675BA36A7E2F}"/>
    <cellStyle name="Comma 9 7 2 3 2 2 2" xfId="58488" xr:uid="{81D6B106-D1C4-43F6-935B-FA2575A0DF43}"/>
    <cellStyle name="Comma 9 7 2 3 2 3" xfId="43368" xr:uid="{2B33528B-EA31-421D-8E9B-319C9DC7F14E}"/>
    <cellStyle name="Comma 9 7 2 3 3" xfId="19176" xr:uid="{62D1AEC2-2AE7-415B-9A63-FDF90A347545}"/>
    <cellStyle name="Comma 9 7 2 3 3 2" xfId="49416" xr:uid="{446EC490-5117-4FA9-8D1A-5829206A60AE}"/>
    <cellStyle name="Comma 9 7 2 3 4" xfId="34296" xr:uid="{DD2FCD1D-7C68-42AC-9E7F-1CB147D1E6CA}"/>
    <cellStyle name="Comma 9 7 2 4" xfId="5568" xr:uid="{19BA9366-4358-49FE-A46C-F9D7E939725E}"/>
    <cellStyle name="Comma 9 7 2 4 2" xfId="14640" xr:uid="{A1D8680F-BB07-441B-B3DD-7BE58056C0D2}"/>
    <cellStyle name="Comma 9 7 2 4 2 2" xfId="29760" xr:uid="{5C99A267-EED4-4833-BBC8-AEE8B4C19B8F}"/>
    <cellStyle name="Comma 9 7 2 4 2 2 2" xfId="60000" xr:uid="{98BD86A8-674B-4E8E-BD8A-B348376BDB3B}"/>
    <cellStyle name="Comma 9 7 2 4 2 3" xfId="44880" xr:uid="{3684FF1E-60C2-445F-86AF-574AA170A9D0}"/>
    <cellStyle name="Comma 9 7 2 4 3" xfId="20688" xr:uid="{B1BAF56A-FFC9-4613-9DF8-3DFF28BF889D}"/>
    <cellStyle name="Comma 9 7 2 4 3 2" xfId="50928" xr:uid="{7519F920-89FB-40CB-9E35-2DDDFBB9958A}"/>
    <cellStyle name="Comma 9 7 2 4 4" xfId="35808" xr:uid="{E0C9F135-D1C9-4C03-90F8-07AA5862C6B3}"/>
    <cellStyle name="Comma 9 7 2 5" xfId="7080" xr:uid="{3B109C22-96D5-47A8-8F8B-308E7509E7BA}"/>
    <cellStyle name="Comma 9 7 2 5 2" xfId="22200" xr:uid="{4B6F2FA0-5211-4315-98E1-58CF65AC00FB}"/>
    <cellStyle name="Comma 9 7 2 5 2 2" xfId="52440" xr:uid="{E605AAC5-48E3-4EF7-AD67-75E299D50233}"/>
    <cellStyle name="Comma 9 7 2 5 3" xfId="37320" xr:uid="{8C3207C3-919C-449C-896D-FE0F66860C44}"/>
    <cellStyle name="Comma 9 7 2 6" xfId="8592" xr:uid="{0239C4D9-5A4C-4CC8-B30A-09DE326C974C}"/>
    <cellStyle name="Comma 9 7 2 6 2" xfId="23712" xr:uid="{54A1C5F5-CA04-4E1E-8A02-FA4656AF8FED}"/>
    <cellStyle name="Comma 9 7 2 6 2 2" xfId="53952" xr:uid="{2551E41D-C7D5-4E2B-BC41-69B3E8A729A4}"/>
    <cellStyle name="Comma 9 7 2 6 3" xfId="38832" xr:uid="{5C9789F0-6071-4B3F-B52A-1EA529C90AAA}"/>
    <cellStyle name="Comma 9 7 2 7" xfId="10104" xr:uid="{466017B9-2486-4F4C-8DEB-3D143B71CCB8}"/>
    <cellStyle name="Comma 9 7 2 7 2" xfId="25224" xr:uid="{86608EAE-7004-4ECE-AC00-BB7C21F4B4D4}"/>
    <cellStyle name="Comma 9 7 2 7 2 2" xfId="55464" xr:uid="{0040F0BC-9751-422D-A31F-E738952235DF}"/>
    <cellStyle name="Comma 9 7 2 7 3" xfId="40344" xr:uid="{E03B9DA6-B7E9-4EF0-B3BE-3C552765DDE6}"/>
    <cellStyle name="Comma 9 7 2 8" xfId="16152" xr:uid="{4EA2204E-DC62-4909-B4FD-1AE02FDA9604}"/>
    <cellStyle name="Comma 9 7 2 8 2" xfId="46392" xr:uid="{EDFD0694-2ED3-4E6B-9C03-AAA3583A4559}"/>
    <cellStyle name="Comma 9 7 2 9" xfId="31272" xr:uid="{28239F86-D25C-4582-8E38-7A887F49A391}"/>
    <cellStyle name="Comma 9 7 3" xfId="1788" xr:uid="{E7B82EF1-366D-432F-852A-393CF143D64D}"/>
    <cellStyle name="Comma 9 7 3 2" xfId="10860" xr:uid="{08EFA0C6-89B6-425F-9BA4-45CAF7E7F370}"/>
    <cellStyle name="Comma 9 7 3 2 2" xfId="25980" xr:uid="{A58BB6DC-A157-4772-AA55-750AFCCB9056}"/>
    <cellStyle name="Comma 9 7 3 2 2 2" xfId="56220" xr:uid="{7524D4FC-265A-4168-BC86-344CFDF00950}"/>
    <cellStyle name="Comma 9 7 3 2 3" xfId="41100" xr:uid="{096655EC-944F-4960-A628-200264A2E4F3}"/>
    <cellStyle name="Comma 9 7 3 3" xfId="16908" xr:uid="{F9DABB92-2C70-4073-B482-1DEB89419BC6}"/>
    <cellStyle name="Comma 9 7 3 3 2" xfId="47148" xr:uid="{3A6104E9-4F64-4D2E-9DD7-0BBCA1A300BC}"/>
    <cellStyle name="Comma 9 7 3 4" xfId="32028" xr:uid="{02C523F6-B87D-41F5-9C62-FDDB86B10528}"/>
    <cellStyle name="Comma 9 7 4" xfId="3300" xr:uid="{183CCD7C-4FC0-4AAB-B6B0-784662BC23A6}"/>
    <cellStyle name="Comma 9 7 4 2" xfId="12372" xr:uid="{009F9C61-F61C-4638-B0F2-736A66CA339E}"/>
    <cellStyle name="Comma 9 7 4 2 2" xfId="27492" xr:uid="{41546AE5-75A2-44D3-B3C3-53E86677935C}"/>
    <cellStyle name="Comma 9 7 4 2 2 2" xfId="57732" xr:uid="{53286AD1-37E1-4565-B1F6-1BA05B15E80D}"/>
    <cellStyle name="Comma 9 7 4 2 3" xfId="42612" xr:uid="{45805070-8ABC-4833-BF25-5DB9B731B875}"/>
    <cellStyle name="Comma 9 7 4 3" xfId="18420" xr:uid="{DD2AAE8B-7A9F-470B-9A7D-2D706F1C84C4}"/>
    <cellStyle name="Comma 9 7 4 3 2" xfId="48660" xr:uid="{6750E06C-1F75-4BAA-A307-E62616926E19}"/>
    <cellStyle name="Comma 9 7 4 4" xfId="33540" xr:uid="{4DAEE745-E8DB-419A-ADAE-4FC317F4D488}"/>
    <cellStyle name="Comma 9 7 5" xfId="4812" xr:uid="{C5AF7022-18F5-43B7-926D-FD73EC8D0EA7}"/>
    <cellStyle name="Comma 9 7 5 2" xfId="13884" xr:uid="{3FEF28BA-42D0-4EB7-8A29-7330EBBE88AF}"/>
    <cellStyle name="Comma 9 7 5 2 2" xfId="29004" xr:uid="{03E1B723-C4D8-4E98-A8C8-823CAA1C901A}"/>
    <cellStyle name="Comma 9 7 5 2 2 2" xfId="59244" xr:uid="{2A5B8D69-F28A-441F-AF97-AFFEABB24895}"/>
    <cellStyle name="Comma 9 7 5 2 3" xfId="44124" xr:uid="{4337C871-6AD8-4EC1-8CF2-9B78309487C0}"/>
    <cellStyle name="Comma 9 7 5 3" xfId="19932" xr:uid="{E72A8E5B-252B-4615-97E4-1F9EE4B6D29E}"/>
    <cellStyle name="Comma 9 7 5 3 2" xfId="50172" xr:uid="{D9424F3A-0C68-44D4-BD22-C89C653C078C}"/>
    <cellStyle name="Comma 9 7 5 4" xfId="35052" xr:uid="{D8E8481C-2404-42EE-9B5A-B2E55B2A0159}"/>
    <cellStyle name="Comma 9 7 6" xfId="6324" xr:uid="{E7D61173-F3E0-4B81-AA12-FC762C914B71}"/>
    <cellStyle name="Comma 9 7 6 2" xfId="21444" xr:uid="{5B786E8A-B87D-4B4A-BA6A-15D63BAA60D0}"/>
    <cellStyle name="Comma 9 7 6 2 2" xfId="51684" xr:uid="{EFEEF22E-2FE5-4F23-B377-D748211ED299}"/>
    <cellStyle name="Comma 9 7 6 3" xfId="36564" xr:uid="{67BCF64A-8A41-4027-92A4-4D310C8BEFEC}"/>
    <cellStyle name="Comma 9 7 7" xfId="7836" xr:uid="{5E007930-F4E9-430F-A298-1811B3B1F1C6}"/>
    <cellStyle name="Comma 9 7 7 2" xfId="22956" xr:uid="{0685B8A9-D7ED-4160-841F-B76C323E2346}"/>
    <cellStyle name="Comma 9 7 7 2 2" xfId="53196" xr:uid="{46503294-D955-40CD-B6F0-6DDF24CDAC24}"/>
    <cellStyle name="Comma 9 7 7 3" xfId="38076" xr:uid="{1E80BA8F-71A4-48FE-AFC2-A28B925C9134}"/>
    <cellStyle name="Comma 9 7 8" xfId="9348" xr:uid="{BCF279C2-9845-4F5D-BB6E-ABAF30EF1C4F}"/>
    <cellStyle name="Comma 9 7 8 2" xfId="24468" xr:uid="{A0DA349D-0CB0-4A6C-A989-8705EA611D43}"/>
    <cellStyle name="Comma 9 7 8 2 2" xfId="54708" xr:uid="{894BC148-3E7B-4610-9972-CA9E45C47C5E}"/>
    <cellStyle name="Comma 9 7 8 3" xfId="39588" xr:uid="{1749FE2D-E7A4-4919-84FB-8472ADFED9CC}"/>
    <cellStyle name="Comma 9 7 9" xfId="15396" xr:uid="{F43BE010-148C-403E-A9FE-AB94181FF68F}"/>
    <cellStyle name="Comma 9 7 9 2" xfId="45636" xr:uid="{BB29107A-9FAC-4533-BE39-0D8A7C4C4381}"/>
    <cellStyle name="Comma 9 8" xfId="528" xr:uid="{E2B7F728-C9D2-4ED9-B6E2-91E22618A05E}"/>
    <cellStyle name="Comma 9 8 10" xfId="30768" xr:uid="{DAAB08B5-416E-40C7-874B-F7D9B63922B9}"/>
    <cellStyle name="Comma 9 8 2" xfId="1284" xr:uid="{817F1C47-3FFB-459E-94E4-688FA1B6ECDB}"/>
    <cellStyle name="Comma 9 8 2 2" xfId="2796" xr:uid="{FE184AC7-2689-4842-BA43-18465E7010F4}"/>
    <cellStyle name="Comma 9 8 2 2 2" xfId="11868" xr:uid="{DDB4236D-063E-4874-B1D9-1F346BF119E8}"/>
    <cellStyle name="Comma 9 8 2 2 2 2" xfId="26988" xr:uid="{D1EF5953-484C-46BF-A95B-FEFF71E801D0}"/>
    <cellStyle name="Comma 9 8 2 2 2 2 2" xfId="57228" xr:uid="{2E5743C3-3106-4D89-AECA-DFDB075BCABD}"/>
    <cellStyle name="Comma 9 8 2 2 2 3" xfId="42108" xr:uid="{042E39A3-8AE2-4678-B739-290D2CCD5E3B}"/>
    <cellStyle name="Comma 9 8 2 2 3" xfId="17916" xr:uid="{E375C3CA-3873-4DA4-8F7F-3A6B1307EEEF}"/>
    <cellStyle name="Comma 9 8 2 2 3 2" xfId="48156" xr:uid="{23542B0A-CF36-45BD-84C1-ED0466CA6D1F}"/>
    <cellStyle name="Comma 9 8 2 2 4" xfId="33036" xr:uid="{210AF207-AB05-4734-A8F2-4DE0C522B4AA}"/>
    <cellStyle name="Comma 9 8 2 3" xfId="4308" xr:uid="{50AAEB82-C118-4682-A413-E150132F25D0}"/>
    <cellStyle name="Comma 9 8 2 3 2" xfId="13380" xr:uid="{B076D979-25C8-47E4-A8CF-A638C4D9C5FA}"/>
    <cellStyle name="Comma 9 8 2 3 2 2" xfId="28500" xr:uid="{F7B75252-9DDF-418B-AEDC-505D57237513}"/>
    <cellStyle name="Comma 9 8 2 3 2 2 2" xfId="58740" xr:uid="{DEEAB315-34BA-4537-9AEF-FFAEF8A40FEC}"/>
    <cellStyle name="Comma 9 8 2 3 2 3" xfId="43620" xr:uid="{36641C1F-C619-4B35-99AC-A5F916C7C48B}"/>
    <cellStyle name="Comma 9 8 2 3 3" xfId="19428" xr:uid="{AD3E217C-E6AE-4B5A-8D6E-4FA643DB45A7}"/>
    <cellStyle name="Comma 9 8 2 3 3 2" xfId="49668" xr:uid="{74A9DF58-7D76-4538-84AF-2B04D3521D07}"/>
    <cellStyle name="Comma 9 8 2 3 4" xfId="34548" xr:uid="{5D5DF2A3-CAE9-4972-B420-D3731B0C8121}"/>
    <cellStyle name="Comma 9 8 2 4" xfId="5820" xr:uid="{0E359D72-E78F-4C1E-913A-521E85D30F25}"/>
    <cellStyle name="Comma 9 8 2 4 2" xfId="14892" xr:uid="{B38833DD-F50D-4D33-A6DF-2F7E9EB7A11C}"/>
    <cellStyle name="Comma 9 8 2 4 2 2" xfId="30012" xr:uid="{33CC5280-4B23-416B-90FC-CBDC46750156}"/>
    <cellStyle name="Comma 9 8 2 4 2 2 2" xfId="60252" xr:uid="{865BCE35-278E-415C-889C-F77F300BE295}"/>
    <cellStyle name="Comma 9 8 2 4 2 3" xfId="45132" xr:uid="{7B534DA5-C3EC-4D22-A043-4F49404065A7}"/>
    <cellStyle name="Comma 9 8 2 4 3" xfId="20940" xr:uid="{ADEB0B06-981B-4039-A73F-95470727F419}"/>
    <cellStyle name="Comma 9 8 2 4 3 2" xfId="51180" xr:uid="{3B76D927-91F5-4084-9AFB-C873DC5065B7}"/>
    <cellStyle name="Comma 9 8 2 4 4" xfId="36060" xr:uid="{D9A879B2-4D48-48E0-A646-D0B03B9A020F}"/>
    <cellStyle name="Comma 9 8 2 5" xfId="7332" xr:uid="{C39EFB6B-1555-45A8-8288-A568B691ED09}"/>
    <cellStyle name="Comma 9 8 2 5 2" xfId="22452" xr:uid="{0DB4F531-E3EF-4DFE-BBE0-BC9DC17B075E}"/>
    <cellStyle name="Comma 9 8 2 5 2 2" xfId="52692" xr:uid="{C586E950-1171-4544-A9C1-506EC7CB847D}"/>
    <cellStyle name="Comma 9 8 2 5 3" xfId="37572" xr:uid="{F933ADB0-1373-4EDA-BE93-72E67E001CD0}"/>
    <cellStyle name="Comma 9 8 2 6" xfId="8844" xr:uid="{A7A626C4-7F93-48D9-AE84-77B19E8DB06F}"/>
    <cellStyle name="Comma 9 8 2 6 2" xfId="23964" xr:uid="{268F7C9C-68DE-4716-9225-374FC1313E0B}"/>
    <cellStyle name="Comma 9 8 2 6 2 2" xfId="54204" xr:uid="{5C30E6C5-A723-4E0B-AAE4-8F59E4AD8270}"/>
    <cellStyle name="Comma 9 8 2 6 3" xfId="39084" xr:uid="{846C6524-8396-40BE-8C40-119E1C58634D}"/>
    <cellStyle name="Comma 9 8 2 7" xfId="10356" xr:uid="{ADE57AE5-7A48-4C92-B7E5-ED254818E69B}"/>
    <cellStyle name="Comma 9 8 2 7 2" xfId="25476" xr:uid="{78850B1D-AC11-4227-AA21-61E2FA586F04}"/>
    <cellStyle name="Comma 9 8 2 7 2 2" xfId="55716" xr:uid="{46FD8284-E995-45D0-B267-1FB15A3CD729}"/>
    <cellStyle name="Comma 9 8 2 7 3" xfId="40596" xr:uid="{5C2505BA-C058-4642-AFE2-E37B016CC369}"/>
    <cellStyle name="Comma 9 8 2 8" xfId="16404" xr:uid="{E649418A-B702-4353-A518-33BDC434D6BB}"/>
    <cellStyle name="Comma 9 8 2 8 2" xfId="46644" xr:uid="{4CBACEBA-6982-435B-91C2-038E73EAEE28}"/>
    <cellStyle name="Comma 9 8 2 9" xfId="31524" xr:uid="{0D288860-9357-4383-B8F4-52D34A692B7E}"/>
    <cellStyle name="Comma 9 8 3" xfId="2040" xr:uid="{15121F8A-15E4-4196-8011-65546EB70BF5}"/>
    <cellStyle name="Comma 9 8 3 2" xfId="11112" xr:uid="{0F8C686F-7661-4609-B5BE-431C5399C8AA}"/>
    <cellStyle name="Comma 9 8 3 2 2" xfId="26232" xr:uid="{3E5256F0-A869-49C9-9FCE-AA4852233344}"/>
    <cellStyle name="Comma 9 8 3 2 2 2" xfId="56472" xr:uid="{00444E2E-698A-409F-886E-B827A69798FD}"/>
    <cellStyle name="Comma 9 8 3 2 3" xfId="41352" xr:uid="{E5251725-BE84-4ACD-B71F-135FFE7D9471}"/>
    <cellStyle name="Comma 9 8 3 3" xfId="17160" xr:uid="{3D346D4D-78C9-4F6B-A368-F57C4B350C6E}"/>
    <cellStyle name="Comma 9 8 3 3 2" xfId="47400" xr:uid="{83138F03-67D9-498F-A6B3-08369649B12D}"/>
    <cellStyle name="Comma 9 8 3 4" xfId="32280" xr:uid="{057E477A-402E-401E-AD84-006A05F94D0E}"/>
    <cellStyle name="Comma 9 8 4" xfId="3552" xr:uid="{EA5625A3-7BD9-44F5-9799-DA7A6CFE6EFF}"/>
    <cellStyle name="Comma 9 8 4 2" xfId="12624" xr:uid="{29629EBF-206F-4DF1-8457-733A4B47A56F}"/>
    <cellStyle name="Comma 9 8 4 2 2" xfId="27744" xr:uid="{8F2B9492-D349-4B0D-A0AC-25041FCA9CC8}"/>
    <cellStyle name="Comma 9 8 4 2 2 2" xfId="57984" xr:uid="{9CBF0E75-5471-43BD-A3A0-3374969FA989}"/>
    <cellStyle name="Comma 9 8 4 2 3" xfId="42864" xr:uid="{D5670126-0417-4048-B3BE-37307B99BB2A}"/>
    <cellStyle name="Comma 9 8 4 3" xfId="18672" xr:uid="{93ADA0E7-9324-4BC5-9202-25871EF7D4CF}"/>
    <cellStyle name="Comma 9 8 4 3 2" xfId="48912" xr:uid="{30804B0A-314E-47D4-9CAB-90C44B8B3281}"/>
    <cellStyle name="Comma 9 8 4 4" xfId="33792" xr:uid="{FB94EF0A-0484-4CB5-A162-D70913CDFD7D}"/>
    <cellStyle name="Comma 9 8 5" xfId="5064" xr:uid="{CDD08241-B1E6-4496-80B8-FC01535B744E}"/>
    <cellStyle name="Comma 9 8 5 2" xfId="14136" xr:uid="{971B1295-4E8C-403D-866F-C628979A6DC1}"/>
    <cellStyle name="Comma 9 8 5 2 2" xfId="29256" xr:uid="{414C8BA4-D54E-4AB7-9344-8335A61356FE}"/>
    <cellStyle name="Comma 9 8 5 2 2 2" xfId="59496" xr:uid="{B7F08F65-E12C-4E9D-8608-0ED0E37B4EC8}"/>
    <cellStyle name="Comma 9 8 5 2 3" xfId="44376" xr:uid="{33BE42C2-3CD0-4455-9309-684D46E58437}"/>
    <cellStyle name="Comma 9 8 5 3" xfId="20184" xr:uid="{20A8CC68-A861-414A-9756-6046B74C3ADF}"/>
    <cellStyle name="Comma 9 8 5 3 2" xfId="50424" xr:uid="{1B4EC030-9229-4814-BA59-8E062D2F1134}"/>
    <cellStyle name="Comma 9 8 5 4" xfId="35304" xr:uid="{E9B1CAF7-5386-46FA-BC2E-5DF282D49FA9}"/>
    <cellStyle name="Comma 9 8 6" xfId="6576" xr:uid="{2B0485A3-7F95-4FCB-8C22-8D0D841919DD}"/>
    <cellStyle name="Comma 9 8 6 2" xfId="21696" xr:uid="{86F34452-B0EC-476C-9365-59224BB21DE3}"/>
    <cellStyle name="Comma 9 8 6 2 2" xfId="51936" xr:uid="{75A1020F-5F83-46DD-AF95-B4F02596E1A6}"/>
    <cellStyle name="Comma 9 8 6 3" xfId="36816" xr:uid="{D9A18DA3-C8F4-4024-9065-49418AA3671B}"/>
    <cellStyle name="Comma 9 8 7" xfId="8088" xr:uid="{FE8DED0C-627A-43F7-97FB-3FCFE7E031CB}"/>
    <cellStyle name="Comma 9 8 7 2" xfId="23208" xr:uid="{39BA4042-25A9-42D0-A237-46B57F50F81E}"/>
    <cellStyle name="Comma 9 8 7 2 2" xfId="53448" xr:uid="{904334F6-7DF8-4A79-AB16-256237E5B902}"/>
    <cellStyle name="Comma 9 8 7 3" xfId="38328" xr:uid="{0CB5691F-5F2B-485B-9082-E6786C50F679}"/>
    <cellStyle name="Comma 9 8 8" xfId="9600" xr:uid="{DA5882A1-7E9E-45B3-805B-B0A7AC6D9DA4}"/>
    <cellStyle name="Comma 9 8 8 2" xfId="24720" xr:uid="{5EE2B269-54F2-4531-96C3-EB7FB5229C8E}"/>
    <cellStyle name="Comma 9 8 8 2 2" xfId="54960" xr:uid="{B46C7C01-9345-465D-9C8D-30192F00C339}"/>
    <cellStyle name="Comma 9 8 8 3" xfId="39840" xr:uid="{AC6BF775-BFF4-43BA-8D98-CEDBB2574B46}"/>
    <cellStyle name="Comma 9 8 9" xfId="15648" xr:uid="{18A384DF-21BC-4E28-98AE-BD626B815613}"/>
    <cellStyle name="Comma 9 8 9 2" xfId="45888" xr:uid="{33CA1D58-97EA-450F-96C5-A1A128B7D1E5}"/>
    <cellStyle name="Comma 9 9" xfId="780" xr:uid="{533E5503-3B0B-49CE-BB71-F183C5EADFDC}"/>
    <cellStyle name="Comma 9 9 2" xfId="2292" xr:uid="{B13168B2-A573-4138-B7CF-1FF2D5CEE19C}"/>
    <cellStyle name="Comma 9 9 2 2" xfId="11364" xr:uid="{992DF064-D4F3-47BC-87AB-BCE8EA1135AE}"/>
    <cellStyle name="Comma 9 9 2 2 2" xfId="26484" xr:uid="{29243F4A-16E7-4838-B81E-6CB6BD10CF68}"/>
    <cellStyle name="Comma 9 9 2 2 2 2" xfId="56724" xr:uid="{781961E7-F8CC-4A80-B3BF-CB0BCFA0189D}"/>
    <cellStyle name="Comma 9 9 2 2 3" xfId="41604" xr:uid="{93A54DF9-056C-4304-8C4D-2AC9035DFF0B}"/>
    <cellStyle name="Comma 9 9 2 3" xfId="17412" xr:uid="{A9B8EFE8-A1D7-4B35-B75E-6992FC119CA7}"/>
    <cellStyle name="Comma 9 9 2 3 2" xfId="47652" xr:uid="{9A1A3093-E7D7-4A9A-B9D7-24056751B075}"/>
    <cellStyle name="Comma 9 9 2 4" xfId="32532" xr:uid="{B622DC08-A438-4BA4-8BD8-9CC87CEBC1CE}"/>
    <cellStyle name="Comma 9 9 3" xfId="3804" xr:uid="{D7F9DA06-16A3-466B-ACFF-F6BC6592CB1F}"/>
    <cellStyle name="Comma 9 9 3 2" xfId="12876" xr:uid="{973E0118-70FE-48EB-AF29-5A7C644548F6}"/>
    <cellStyle name="Comma 9 9 3 2 2" xfId="27996" xr:uid="{3CA100FB-1579-434E-B1E3-FB6D9C66C5A5}"/>
    <cellStyle name="Comma 9 9 3 2 2 2" xfId="58236" xr:uid="{670EE38A-B5C7-416A-BD94-0CEAA16322F7}"/>
    <cellStyle name="Comma 9 9 3 2 3" xfId="43116" xr:uid="{DB79E860-9EDE-4F48-BAAC-B249EB70A564}"/>
    <cellStyle name="Comma 9 9 3 3" xfId="18924" xr:uid="{94268E90-BAE3-4AFB-ADA8-0FA379BB55CA}"/>
    <cellStyle name="Comma 9 9 3 3 2" xfId="49164" xr:uid="{20DC36FE-0570-4A9F-9C00-A98D3627B0DE}"/>
    <cellStyle name="Comma 9 9 3 4" xfId="34044" xr:uid="{E817CF0D-A2A8-4B4C-8AF9-C5BE7232D137}"/>
    <cellStyle name="Comma 9 9 4" xfId="5316" xr:uid="{E251F87B-37E3-4B62-9A32-C79E1079EBF9}"/>
    <cellStyle name="Comma 9 9 4 2" xfId="14388" xr:uid="{6472C173-A5D2-4679-B908-B55FFEB0F32B}"/>
    <cellStyle name="Comma 9 9 4 2 2" xfId="29508" xr:uid="{15B02A32-8AE3-4952-9E08-E520478B71C1}"/>
    <cellStyle name="Comma 9 9 4 2 2 2" xfId="59748" xr:uid="{6CDFCA9A-62FE-40D8-B35B-0AF73920451C}"/>
    <cellStyle name="Comma 9 9 4 2 3" xfId="44628" xr:uid="{8B1F9482-B256-4681-92C8-C3E8A3B7098C}"/>
    <cellStyle name="Comma 9 9 4 3" xfId="20436" xr:uid="{BDFD2B1A-2411-4758-8314-BEC6C3A574A0}"/>
    <cellStyle name="Comma 9 9 4 3 2" xfId="50676" xr:uid="{08C72C3B-E800-4291-BAA9-8A178929AF20}"/>
    <cellStyle name="Comma 9 9 4 4" xfId="35556" xr:uid="{D6FD94A2-BE19-400A-8097-8D1E396380A8}"/>
    <cellStyle name="Comma 9 9 5" xfId="6828" xr:uid="{486C13F8-093C-4DBC-9D28-3FC99C22E25A}"/>
    <cellStyle name="Comma 9 9 5 2" xfId="21948" xr:uid="{31A776B0-3BF5-4A7A-BBC5-16B2BF88C552}"/>
    <cellStyle name="Comma 9 9 5 2 2" xfId="52188" xr:uid="{D6C44785-98C1-435E-B446-C4309A3C556C}"/>
    <cellStyle name="Comma 9 9 5 3" xfId="37068" xr:uid="{858BA74E-78C4-40DA-9912-088E53E8D938}"/>
    <cellStyle name="Comma 9 9 6" xfId="8340" xr:uid="{A60893C0-1214-469B-88CC-4E8BA904579A}"/>
    <cellStyle name="Comma 9 9 6 2" xfId="23460" xr:uid="{9F489954-4A8B-412C-B803-5097CFB035A3}"/>
    <cellStyle name="Comma 9 9 6 2 2" xfId="53700" xr:uid="{49C26B6F-EFAA-48B0-9345-A83092AF2864}"/>
    <cellStyle name="Comma 9 9 6 3" xfId="38580" xr:uid="{4C7D6AFD-A2AA-42C2-9F83-5A6F46433C3B}"/>
    <cellStyle name="Comma 9 9 7" xfId="9852" xr:uid="{FA41EFF3-899C-43C1-A19B-2851E3E6B145}"/>
    <cellStyle name="Comma 9 9 7 2" xfId="24972" xr:uid="{634F6283-5720-42AB-9B33-EEE07A6D1ACA}"/>
    <cellStyle name="Comma 9 9 7 2 2" xfId="55212" xr:uid="{48F2C91E-1D7D-491B-BDA3-02072B80F5A1}"/>
    <cellStyle name="Comma 9 9 7 3" xfId="40092" xr:uid="{F9BE3064-9307-41B7-ACDB-B2D05F568392}"/>
    <cellStyle name="Comma 9 9 8" xfId="15900" xr:uid="{11C7F5A9-9156-4D79-9C1D-1F3D7AF6F2F7}"/>
    <cellStyle name="Comma 9 9 8 2" xfId="46140" xr:uid="{F093796E-97BF-47ED-AF8F-9AB2878B5CA0}"/>
    <cellStyle name="Comma 9 9 9" xfId="31020" xr:uid="{5B1B0A48-972E-43A1-A8A7-612B4D167891}"/>
    <cellStyle name="Normal" xfId="0" builtinId="0"/>
    <cellStyle name="Normal 13" xfId="60508" xr:uid="{545DF21F-00B7-4FEC-9431-F6A6A884A675}"/>
    <cellStyle name="Normal 2" xfId="1" xr:uid="{00000000-0005-0000-0000-000002000000}"/>
    <cellStyle name="Normal 2 2" xfId="19" xr:uid="{706132AF-E6D9-482A-AAFD-2AAD419FBB53}"/>
    <cellStyle name="Normal 2 3" xfId="60497" xr:uid="{D6522197-0326-4943-9114-F8C5D1762D50}"/>
    <cellStyle name="Normal 2 4" xfId="9" xr:uid="{EFE520E0-B63A-45DA-8C77-D73B51B0054C}"/>
    <cellStyle name="Normal 3" xfId="60494" xr:uid="{940524D5-D89F-4D3D-B909-096DEBA77EE7}"/>
    <cellStyle name="Normal 4" xfId="60500" xr:uid="{552B8104-C86A-4D05-BDFF-D6CA98DEBD41}"/>
    <cellStyle name="Normal 5" xfId="60504" xr:uid="{FC0A953A-D8F7-498A-B52F-D2E46D7D9C71}"/>
    <cellStyle name="Percent" xfId="4" builtinId="5"/>
    <cellStyle name="Percent 2" xfId="3" xr:uid="{00000000-0005-0000-0000-000003000000}"/>
    <cellStyle name="Style 1" xfId="10" xr:uid="{42654CD6-BEA7-4B23-87FE-4A251C8F8470}"/>
    <cellStyle name="Style 1 2" xfId="60498" xr:uid="{30B0181A-A21F-42C9-82A0-FEFFA67220CE}"/>
  </cellStyles>
  <dxfs count="56"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[$-409]mmm/yy;@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4" formatCode="0.00%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2" formatCode="0.00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[$-409]mmm/yy;@"/>
      <alignment horizontal="center" vertical="center" textRotation="0" wrapText="0" indent="0" justifyLastLine="0" shrinkToFit="0" readingOrder="0"/>
      <border diagonalUp="0" diagonalDown="0" outline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rgb="FFFFFF00"/>
        </patternFill>
      </fill>
      <alignment horizontal="center" vertical="center" textRotation="0" wrapText="1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5A5A6424-3BA1-4FD5-9550-9CA17ACBE4D6}">
      <tableStyleElement type="wholeTable" dxfId="55"/>
      <tableStyleElement type="headerRow" dxfId="5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Waterfall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fr-FR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Waterfall Chart</a:t>
          </a:r>
        </a:p>
      </cx:txPr>
    </cx:title>
    <cx:plotArea>
      <cx:plotAreaRegion>
        <cx:series layoutId="waterfall" uniqueId="{01570363-8D06-4003-BEC1-A32FA6EA19CA}">
          <cx:spPr>
            <a:solidFill>
              <a:srgbClr val="F79646"/>
            </a:solidFill>
          </cx:spPr>
          <cx:dataPt idx="8">
            <cx:spPr>
              <a:solidFill>
                <a:sysClr val="windowText" lastClr="000000"/>
              </a:solidFill>
            </cx:spPr>
          </cx:dataPt>
          <cx:dataLabels pos="out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b="1">
                    <a:solidFill>
                      <a:schemeClr val="tx1"/>
                    </a:solidFill>
                  </a:defRPr>
                </a:pPr>
                <a:endParaRPr lang="en-US" sz="900" b="1" i="0" u="none" strike="noStrike" baseline="0">
                  <a:solidFill>
                    <a:schemeClr val="tx1"/>
                  </a:solidFill>
                  <a:latin typeface="Calibri" panose="020F0502020204030204"/>
                </a:endParaRPr>
              </a:p>
            </cx:txPr>
            <cx:visibility seriesName="0" categoryName="0" value="1"/>
            <cx:separator>, </cx:separator>
            <cx:dataLabel idx="8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>
                      <a:solidFill>
                        <a:schemeClr val="bg1"/>
                      </a:solidFill>
                    </a:defRPr>
                  </a:pPr>
                  <a:r>
                    <a:rPr lang="en-US" sz="900" b="1" i="0" u="none" strike="noStrike" baseline="0">
                      <a:solidFill>
                        <a:schemeClr val="bg1"/>
                      </a:solidFill>
                      <a:latin typeface="Calibri" panose="020F0502020204030204"/>
                    </a:rPr>
                    <a:t>-100.0%</a:t>
                  </a:r>
                </a:p>
              </cx:txPr>
            </cx:dataLabel>
          </cx:dataLabels>
          <cx:dataId val="0"/>
          <cx:layoutPr>
            <cx:visibility connectorLines="0"/>
            <cx:subtotals/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800" b="1">
                <a:solidFill>
                  <a:sysClr val="windowText" lastClr="000000"/>
                </a:solidFill>
              </a:defRPr>
            </a:pPr>
            <a:endParaRPr lang="en-US" sz="800" b="1" i="0" u="none" strike="noStrike" baseline="0">
              <a:solidFill>
                <a:sysClr val="windowText" lastClr="000000"/>
              </a:solidFill>
              <a:latin typeface="Calibri" panose="020F0502020204030204"/>
            </a:endParaRPr>
          </a:p>
        </cx:txPr>
      </cx:axis>
      <cx:axis id="1">
        <cx:valScaling max="1" min="0.60000000000000009"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/>
            </a:pPr>
            <a:endParaRPr lang="en-US" sz="900" b="1" i="0" u="none" strike="noStrike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8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313765</xdr:colOff>
      <xdr:row>16</xdr:row>
      <xdr:rowOff>403413</xdr:rowOff>
    </xdr:from>
    <xdr:to>
      <xdr:col>6</xdr:col>
      <xdr:colOff>2342031</xdr:colOff>
      <xdr:row>27</xdr:row>
      <xdr:rowOff>246529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phique 6">
              <a:extLst>
                <a:ext uri="{FF2B5EF4-FFF2-40B4-BE49-F238E27FC236}">
                  <a16:creationId xmlns:a16="http://schemas.microsoft.com/office/drawing/2014/main" id="{A9C667DF-BBE8-47D6-94B2-20542EE15B4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3365" y="3784788"/>
              <a:ext cx="9238691" cy="473896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E:\Rawal%20sir%20data\D%20Drive\Main%20Data\All%20Data\Uttarakand%2060MW\Monthly%20Data\CEO%20Files%201\2023\190812%20-%20UTT%20-%20Generation%20Data%20from%20COD%20(002).XLSX" TargetMode="External"/><Relationship Id="rId1" Type="http://schemas.openxmlformats.org/officeDocument/2006/relationships/externalLinkPath" Target="190812%20-%20UTT%20-%20Generation%20Data%20from%20COD%20(00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UTT%20%20Plant%20avaibility%20record%20-%20March-%202022%20(002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ist"/>
      <sheetName val="Database"/>
      <sheetName val="Lenders UTT1"/>
      <sheetName val="Lenders UTT2"/>
      <sheetName val="Summary Generation"/>
      <sheetName val="Generation chart"/>
      <sheetName val="Summary Invoicing"/>
      <sheetName val="Invoicing chart"/>
    </sheetNames>
    <sheetDataSet>
      <sheetData sheetId="0" refreshError="1"/>
      <sheetData sheetId="1" refreshError="1">
        <row r="424">
          <cell r="I424">
            <v>1540152</v>
          </cell>
        </row>
        <row r="425">
          <cell r="I425">
            <v>772098</v>
          </cell>
        </row>
        <row r="426">
          <cell r="I426">
            <v>777894</v>
          </cell>
        </row>
        <row r="427">
          <cell r="I427">
            <v>1543392</v>
          </cell>
        </row>
        <row r="428">
          <cell r="I428">
            <v>1557162</v>
          </cell>
        </row>
        <row r="429">
          <cell r="I429">
            <v>1553736</v>
          </cell>
        </row>
        <row r="430">
          <cell r="I430">
            <v>1546296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TT "/>
      <sheetName val="Sheet1"/>
    </sheetNames>
    <sheetDataSet>
      <sheetData sheetId="0" refreshError="1">
        <row r="7">
          <cell r="II7">
            <v>0.96750000000000003</v>
          </cell>
        </row>
        <row r="10">
          <cell r="II10">
            <v>0.94240000000000002</v>
          </cell>
        </row>
      </sheetData>
      <sheetData sheetId="1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C856F0-CD67-4B07-ADB3-CDA9281877B4}" name="Table1" displayName="Table1" ref="B1:Y692" totalsRowShown="0" headerRowDxfId="53" dataDxfId="52" tableBorderDxfId="51">
  <autoFilter ref="B1:Y692" xr:uid="{0FC856F0-CD67-4B07-ADB3-CDA9281877B4}"/>
  <tableColumns count="24">
    <tableColumn id="1" xr3:uid="{AA66BC8D-C301-45E8-AF75-A27A5CBE2B64}" name="Plant" dataDxfId="50"/>
    <tableColumn id="2" xr3:uid="{218CD5BD-4DD2-4C33-AF31-629AFDEB0283}" name="SPV" dataDxfId="49"/>
    <tableColumn id="3" xr3:uid="{3C424452-1500-4AAD-B469-70684DD0AAE8}" name="AC Capacity (MW)" dataDxfId="48"/>
    <tableColumn id="4" xr3:uid="{FC4A0C22-9279-46C9-8B7A-31874239C8DD}" name="Connected DC Capacity (MWp)" dataDxfId="47"/>
    <tableColumn id="5" xr3:uid="{1EE92D3A-07A7-4398-A77E-09DC42F8CA52}" name="Months" dataDxfId="46">
      <calculatedColumnFormula>EOMONTH(F1,1)</calculatedColumnFormula>
    </tableColumn>
    <tableColumn id="6" xr3:uid="{5C9F4F06-CB27-4431-9E90-34C936980C9C}" name="Budget  Gen_x000a_(MWHr)" dataDxfId="45">
      <calculatedColumnFormula>UTT!Y51</calculatedColumnFormula>
    </tableColumn>
    <tableColumn id="7" xr3:uid="{8D1B4D0E-42C5-459F-982D-2B0B23DF66FB}" name="Actual  Gen_x000a_(MWHr)" dataDxfId="44">
      <calculatedColumnFormula>UTT!Z51</calculatedColumnFormula>
    </tableColumn>
    <tableColumn id="8" xr3:uid="{5D3AFFEA-8E63-45BC-8695-92C323AE465C}" name="Budget GHI_x000a_(KWHr/m2)" dataDxfId="43">
      <calculatedColumnFormula>UTT!AA51</calculatedColumnFormula>
    </tableColumn>
    <tableColumn id="9" xr3:uid="{953A1A91-98C5-46E8-908A-BDBE4DD7CE7E}" name="Actual GHI_x000a_(KWHr/m2)" dataDxfId="42">
      <calculatedColumnFormula>UTT!AB51</calculatedColumnFormula>
    </tableColumn>
    <tableColumn id="10" xr3:uid="{6B6CDC53-2D1A-4935-A133-855D9E3004BD}" name="Budget GTI_x000a_(KWHr/m2)" dataDxfId="41">
      <calculatedColumnFormula>UTT!AC51</calculatedColumnFormula>
    </tableColumn>
    <tableColumn id="11" xr3:uid="{461C3DC0-C30E-4488-9B78-5E4DC380EECF}" name="Actual GTI_x000a_(KWHr/m2)" dataDxfId="40">
      <calculatedColumnFormula>UTT!AD51</calculatedColumnFormula>
    </tableColumn>
    <tableColumn id="12" xr3:uid="{7A37691C-552E-440A-B622-9B24BF4AFD8A}" name="PR Budgeted(%)" dataDxfId="39" dataCellStyle="Percent">
      <calculatedColumnFormula>G2/E2/K2/Q2</calculatedColumnFormula>
    </tableColumn>
    <tableColumn id="13" xr3:uid="{016580F9-85B0-4118-9279-24CBCBD8927B}" name="PR Achieved(%)" dataDxfId="38" dataCellStyle="Percent">
      <calculatedColumnFormula>H2/E2/L2/R2</calculatedColumnFormula>
    </tableColumn>
    <tableColumn id="14" xr3:uid="{A003A1FC-A6EB-44A3-8FAF-03FE8302A007}" name="CUF Budgeted_x000a_(%)" dataDxfId="37" dataCellStyle="Percent">
      <calculatedColumnFormula>G2/24/DAY(F2)/D2</calculatedColumnFormula>
    </tableColumn>
    <tableColumn id="15" xr3:uid="{4F438F12-391E-41DC-AAE3-CA2922141ECF}" name="CUF Achieved_x000a_(%)" dataDxfId="36" dataCellStyle="Percent">
      <calculatedColumnFormula>H2/24/DAY(F2)/D2</calculatedColumnFormula>
    </tableColumn>
    <tableColumn id="16" xr3:uid="{E775D48B-4AF9-47A2-867F-F66ECD74E5E1}" name="Budgeted Plant Av(%)" dataDxfId="35" dataCellStyle="Percent">
      <calculatedColumnFormula>UTT!AI51</calculatedColumnFormula>
    </tableColumn>
    <tableColumn id="17" xr3:uid="{8B231E1B-8857-4FA5-BA62-7F25712908B1}" name="Actual Plant Av(%)" dataDxfId="34" dataCellStyle="Percent">
      <calculatedColumnFormula>UTT!AJ51</calculatedColumnFormula>
    </tableColumn>
    <tableColumn id="18" xr3:uid="{F6678EAC-B27B-4612-8961-003FA327E9A2}" name="Budgeted Grid Av(%)" dataDxfId="33" dataCellStyle="Percent">
      <calculatedColumnFormula>UTT!AK51</calculatedColumnFormula>
    </tableColumn>
    <tableColumn id="19" xr3:uid="{AFC92FEC-0830-4A67-8858-2D912AC309A2}" name="Actual Grid Av(%)" dataDxfId="32" dataCellStyle="Percent">
      <calculatedColumnFormula>UTT!AL51</calculatedColumnFormula>
    </tableColumn>
    <tableColumn id="20" xr3:uid="{22EAFE10-B51A-484A-848D-F153DCFC0896}" name="Budgeted Soil loss%" dataDxfId="31"/>
    <tableColumn id="21" xr3:uid="{3B78A5B8-AAA0-404D-95BE-0CE4C5599FBF}" name="Actaul Soil Loss(%)" dataDxfId="30" dataCellStyle="Percent">
      <calculatedColumnFormula>UTT!AR51</calculatedColumnFormula>
    </tableColumn>
    <tableColumn id="22" xr3:uid="{12DE4E86-CB3F-490A-BCE4-CEBDEAD0FB30}" name="Budgeted Grid Compliance%" dataDxfId="29"/>
    <tableColumn id="23" xr3:uid="{6F693A9D-0DEB-467B-BD28-1A518CAE9A6C}" name="Actual Grid Compliacne %" dataDxfId="28" dataCellStyle="Percent"/>
    <tableColumn id="24" xr3:uid="{15CBC431-BF9D-4318-BD7F-5119691BD392}" name="Performance gap" dataDxfId="27" dataCellStyle="Percent">
      <calculatedColumnFormula>(H2/G2-1)-(L2/K2-1)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9E5F81D5-95A1-4AF1-8922-1C60B1BD52A6}" name="Data" displayName="Data" ref="A1:X692" totalsRowShown="0" headerRowDxfId="26" dataDxfId="25" tableBorderDxfId="24">
  <autoFilter ref="A1:X692" xr:uid="{9E5F81D5-95A1-4AF1-8922-1C60B1BD52A6}"/>
  <tableColumns count="24">
    <tableColumn id="1" xr3:uid="{5CA88A26-C2B1-463F-B616-3E0C5EEB37B6}" name="Plant" dataDxfId="23"/>
    <tableColumn id="2" xr3:uid="{CB4EE843-1568-4CB4-AC6B-F600D1B30483}" name="SPV" dataDxfId="22"/>
    <tableColumn id="3" xr3:uid="{68EEABF0-7422-4140-B6A8-0D08C4BDA1E5}" name="AC Capacity (MW)" dataDxfId="21"/>
    <tableColumn id="4" xr3:uid="{03B122C8-AF61-431B-AB08-109385E10E85}" name="Connected DC Capacity (MWp)" dataDxfId="20"/>
    <tableColumn id="5" xr3:uid="{2BB57073-ED0B-46FF-B5E5-60181F7DF517}" name="Months" dataDxfId="19">
      <calculatedColumnFormula>EOMONTH(E1,1)</calculatedColumnFormula>
    </tableColumn>
    <tableColumn id="6" xr3:uid="{5A0621F4-2EEE-4040-80CC-8C7F70A9A582}" name="Budget  Gen_x000a_(MWHr)" dataDxfId="18">
      <calculatedColumnFormula>UTT!X51</calculatedColumnFormula>
    </tableColumn>
    <tableColumn id="7" xr3:uid="{F1CF37B3-8283-4C53-9AC6-0D8D84E41D81}" name="Actual  Gen_x000a_(MWHr)" dataDxfId="17">
      <calculatedColumnFormula>UTT!Y51</calculatedColumnFormula>
    </tableColumn>
    <tableColumn id="8" xr3:uid="{709C44D3-D7BF-44E1-AA64-9C4CE387BABA}" name="Budget GHI_x000a_(KWHr/m2)" dataDxfId="16">
      <calculatedColumnFormula>UTT!Z51</calculatedColumnFormula>
    </tableColumn>
    <tableColumn id="9" xr3:uid="{CA1FCE50-0AC2-4940-86EB-67CA4D802BF5}" name="Actual GHI_x000a_(KWHr/m2)" dataDxfId="15">
      <calculatedColumnFormula>UTT!AA51</calculatedColumnFormula>
    </tableColumn>
    <tableColumn id="10" xr3:uid="{CF642CF4-67E6-4073-BEFB-021795E19686}" name="Budget GTI_x000a_(KWHr/m2)" dataDxfId="14">
      <calculatedColumnFormula>UTT!AB51</calculatedColumnFormula>
    </tableColumn>
    <tableColumn id="11" xr3:uid="{A11A5226-3E9F-4BC0-B278-B68D4CC9B00C}" name="Actual GTI_x000a_(KWHr/m2)" dataDxfId="13">
      <calculatedColumnFormula>UTT!AC51</calculatedColumnFormula>
    </tableColumn>
    <tableColumn id="12" xr3:uid="{CDCCFFF0-1F7E-47AA-A2F3-D3E70CE804E2}" name="PR Budgeted(%)" dataDxfId="12" dataCellStyle="Percent">
      <calculatedColumnFormula>F2/D2/J2/P2</calculatedColumnFormula>
    </tableColumn>
    <tableColumn id="13" xr3:uid="{1ADBE182-F0E3-47B3-B2A5-C388876C7C89}" name="PR Achieved(%)" dataDxfId="11" dataCellStyle="Percent">
      <calculatedColumnFormula>G2/D2/K2/Q2</calculatedColumnFormula>
    </tableColumn>
    <tableColumn id="14" xr3:uid="{3530D15E-AB4D-4800-A391-490BC1FBC1BD}" name="CUF Budgeted_x000a_(%)" dataDxfId="10" dataCellStyle="Percent">
      <calculatedColumnFormula>F2/24/DAY(E2)/C2</calculatedColumnFormula>
    </tableColumn>
    <tableColumn id="15" xr3:uid="{F1B2ADC7-51E5-473F-BC33-D23DE80CEF0F}" name="CUF Achieved_x000a_(%)" dataDxfId="9" dataCellStyle="Percent">
      <calculatedColumnFormula>G2/24/DAY(E2)/C2</calculatedColumnFormula>
    </tableColumn>
    <tableColumn id="16" xr3:uid="{9D0CD678-2639-4CB1-B650-C1AE5DC190C0}" name="Budgeted Plant Av(%)" dataDxfId="8" dataCellStyle="Percent">
      <calculatedColumnFormula>UTT!AH51</calculatedColumnFormula>
    </tableColumn>
    <tableColumn id="17" xr3:uid="{0ACE7C78-A30B-451E-9B38-82C8FB0B9FE4}" name="Actual Plant Av(%)" dataDxfId="7" dataCellStyle="Percent">
      <calculatedColumnFormula>UTT!AI51</calculatedColumnFormula>
    </tableColumn>
    <tableColumn id="18" xr3:uid="{29B3A539-43C3-49C1-A343-637F19BCD94E}" name="Budgeted Grid Av(%)" dataDxfId="6" dataCellStyle="Percent">
      <calculatedColumnFormula>UTT!AJ51</calculatedColumnFormula>
    </tableColumn>
    <tableColumn id="19" xr3:uid="{E448D8A2-D8FE-44EF-A49A-B467F3DF2C95}" name="Actual Grid Av(%)" dataDxfId="5" dataCellStyle="Percent">
      <calculatedColumnFormula>UTT!AK51</calculatedColumnFormula>
    </tableColumn>
    <tableColumn id="20" xr3:uid="{0C59DE38-7250-4A20-AA49-352DC71F4230}" name="Budgeted Soil loss%" dataDxfId="4"/>
    <tableColumn id="21" xr3:uid="{E74F2131-811B-4B94-89FB-2CFE7AE580B2}" name="Actaul Soil Loss(%)" dataDxfId="3" dataCellStyle="Percent">
      <calculatedColumnFormula>UTT!AQ51</calculatedColumnFormula>
    </tableColumn>
    <tableColumn id="22" xr3:uid="{39563BE3-CE88-455E-9DEF-63FB63D32764}" name="Budgeted Grid Compliance%" dataDxfId="2"/>
    <tableColumn id="23" xr3:uid="{4DBBCE23-3B4D-4124-B71B-4AAF5298EB69}" name="Actual Grid Compliacne %" dataDxfId="1" dataCellStyle="Percent"/>
    <tableColumn id="24" xr3:uid="{73AC4756-2D52-4F70-BE23-AC845B8A97B1}" name="Performance gap" dataDxfId="0" dataCellStyle="Percent">
      <calculatedColumnFormula>(G2/F2-1)-(K2/J2-1)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4264B-2930-4502-8382-87C73253C50A}">
  <dimension ref="A1:CJ772"/>
  <sheetViews>
    <sheetView topLeftCell="A458" zoomScale="55" zoomScaleNormal="55" workbookViewId="0">
      <selection activeCell="K480" sqref="K480"/>
    </sheetView>
  </sheetViews>
  <sheetFormatPr defaultColWidth="8.7109375" defaultRowHeight="15"/>
  <cols>
    <col min="1" max="1" width="8.7109375" style="76"/>
    <col min="2" max="2" width="15.7109375" style="1" customWidth="1"/>
    <col min="3" max="3" width="12.28515625" style="1" customWidth="1"/>
    <col min="4" max="4" width="12.7109375" style="1" customWidth="1"/>
    <col min="5" max="5" width="10.5703125" style="76" customWidth="1"/>
    <col min="6" max="6" width="10.7109375" style="76" customWidth="1"/>
    <col min="7" max="7" width="10.42578125" style="76" customWidth="1"/>
    <col min="8" max="9" width="10.5703125" style="76" customWidth="1"/>
    <col min="10" max="10" width="10.5703125" style="1" customWidth="1"/>
    <col min="11" max="11" width="12.5703125" style="76" customWidth="1"/>
    <col min="12" max="16" width="10.5703125" style="76" customWidth="1"/>
    <col min="17" max="17" width="8" style="1" bestFit="1" customWidth="1"/>
    <col min="18" max="18" width="10.7109375" style="76" customWidth="1"/>
    <col min="19" max="19" width="10.42578125" style="76" customWidth="1"/>
    <col min="20" max="21" width="9.7109375" style="76" customWidth="1"/>
    <col min="22" max="22" width="9.5703125" style="76" bestFit="1" customWidth="1"/>
    <col min="23" max="23" width="8.7109375" style="76" customWidth="1"/>
    <col min="24" max="24" width="12.42578125" style="76" bestFit="1" customWidth="1"/>
    <col min="25" max="26" width="12.28515625" style="76" bestFit="1" customWidth="1"/>
    <col min="27" max="27" width="10.5703125" style="76" customWidth="1"/>
    <col min="28" max="28" width="10.7109375" style="76" customWidth="1"/>
    <col min="29" max="29" width="10.42578125" style="76" customWidth="1"/>
    <col min="30" max="38" width="10.5703125" style="76" customWidth="1"/>
    <col min="39" max="39" width="8.7109375" style="76"/>
    <col min="40" max="42" width="11.28515625" style="76" bestFit="1" customWidth="1"/>
    <col min="43" max="44" width="8.7109375" style="76"/>
    <col min="45" max="45" width="11.28515625" style="76" bestFit="1" customWidth="1"/>
    <col min="46" max="46" width="9.7109375" style="76" customWidth="1"/>
    <col min="47" max="47" width="14.42578125" style="76" bestFit="1" customWidth="1"/>
    <col min="48" max="48" width="10.5703125" style="76" customWidth="1"/>
    <col min="49" max="49" width="10.7109375" style="76" customWidth="1"/>
    <col min="50" max="50" width="10.42578125" style="76" customWidth="1"/>
    <col min="51" max="59" width="10.5703125" style="76" customWidth="1"/>
    <col min="60" max="60" width="8.7109375" style="76"/>
    <col min="61" max="63" width="11.28515625" style="76" bestFit="1" customWidth="1"/>
    <col min="64" max="64" width="8.7109375" style="76"/>
    <col min="65" max="65" width="9.7109375" style="76" customWidth="1"/>
    <col min="66" max="66" width="9.28515625" style="76" customWidth="1"/>
    <col min="67" max="67" width="11.28515625" style="76" customWidth="1"/>
    <col min="68" max="68" width="13.7109375" style="76" bestFit="1" customWidth="1"/>
    <col min="69" max="69" width="14.7109375" style="76" bestFit="1" customWidth="1"/>
    <col min="70" max="70" width="10.5703125" style="76" customWidth="1"/>
    <col min="71" max="71" width="10.7109375" style="76" customWidth="1"/>
    <col min="72" max="72" width="10.42578125" style="76" customWidth="1"/>
    <col min="73" max="73" width="10.42578125" style="76" bestFit="1" customWidth="1"/>
    <col min="74" max="74" width="10.5703125" style="76" customWidth="1"/>
    <col min="75" max="75" width="13.7109375" style="76" bestFit="1" customWidth="1"/>
    <col min="76" max="81" width="10.5703125" style="76" customWidth="1"/>
    <col min="82" max="82" width="8.7109375" style="76"/>
    <col min="83" max="85" width="11.28515625" style="76" bestFit="1" customWidth="1"/>
    <col min="86" max="16384" width="8.7109375" style="76"/>
  </cols>
  <sheetData>
    <row r="1" spans="2:22" ht="15.75" thickBot="1">
      <c r="B1" s="224" t="s">
        <v>15</v>
      </c>
      <c r="C1" s="225"/>
      <c r="D1" s="225"/>
      <c r="E1" s="225"/>
      <c r="F1" s="225"/>
      <c r="G1" s="225"/>
      <c r="H1" s="225"/>
      <c r="I1" s="225"/>
      <c r="J1" s="225"/>
      <c r="K1" s="225"/>
      <c r="L1" s="225"/>
      <c r="M1" s="225"/>
      <c r="N1" s="225"/>
      <c r="O1" s="225"/>
      <c r="P1" s="226"/>
      <c r="R1" s="215" t="s">
        <v>37</v>
      </c>
      <c r="S1" s="216"/>
      <c r="T1" s="216"/>
      <c r="U1" s="216"/>
      <c r="V1" s="217"/>
    </row>
    <row r="2" spans="2:22" ht="60">
      <c r="B2" s="7" t="s">
        <v>0</v>
      </c>
      <c r="C2" s="6" t="s">
        <v>16</v>
      </c>
      <c r="D2" s="6" t="s">
        <v>2</v>
      </c>
      <c r="E2" s="6" t="s">
        <v>4</v>
      </c>
      <c r="F2" s="6" t="s">
        <v>3</v>
      </c>
      <c r="G2" s="6" t="s">
        <v>5</v>
      </c>
      <c r="H2" s="6" t="s">
        <v>6</v>
      </c>
      <c r="I2" s="6" t="s">
        <v>19</v>
      </c>
      <c r="J2" s="6" t="s">
        <v>18</v>
      </c>
      <c r="K2" s="6" t="s">
        <v>41</v>
      </c>
      <c r="L2" s="6" t="s">
        <v>24</v>
      </c>
      <c r="M2" s="6" t="s">
        <v>20</v>
      </c>
      <c r="N2" s="6" t="s">
        <v>21</v>
      </c>
      <c r="O2" s="6" t="s">
        <v>22</v>
      </c>
      <c r="P2" s="109" t="s">
        <v>23</v>
      </c>
      <c r="R2" s="66" t="s">
        <v>25</v>
      </c>
      <c r="S2" s="67" t="s">
        <v>26</v>
      </c>
      <c r="T2" s="67" t="s">
        <v>27</v>
      </c>
      <c r="U2" s="67" t="s">
        <v>28</v>
      </c>
      <c r="V2" s="68" t="s">
        <v>40</v>
      </c>
    </row>
    <row r="3" spans="2:22">
      <c r="B3" s="5">
        <v>42766</v>
      </c>
      <c r="C3" s="2">
        <f t="shared" ref="C3:C34" si="0">SUM(C132,Y132)</f>
        <v>99</v>
      </c>
      <c r="D3" s="2">
        <f t="shared" ref="D3:D34" si="1">SUM(D132,Z132)</f>
        <v>0</v>
      </c>
      <c r="E3" s="2">
        <f t="shared" ref="E3:E28" si="2">AVERAGE(E260,E389,E518,AA389,AA260,AA647,AA518)</f>
        <v>79.600000000000009</v>
      </c>
      <c r="F3" s="2" t="e">
        <f t="shared" ref="F3:F28" si="3">AVERAGE(F260,F389,F518,AB389,AB260,AB647,AB518)</f>
        <v>#DIV/0!</v>
      </c>
      <c r="G3" s="2">
        <f t="shared" ref="G3:G28" si="4">AVERAGE(G260,G389,G518,AC389,AC260,AC647,AC518)</f>
        <v>103.20000000000002</v>
      </c>
      <c r="H3" s="2" t="e">
        <f t="shared" ref="H3:H28" si="5">AVERAGE(H260,H389,H518,AD389,AD260,AD647,AD518)</f>
        <v>#DIV/0!</v>
      </c>
      <c r="I3" s="10">
        <f t="shared" ref="I3:I28" si="6">AVERAGE(I260,I389,I518,AE389,AE260,AE647,AE518)</f>
        <v>0.82984155386333824</v>
      </c>
      <c r="J3" s="10" t="e">
        <f t="shared" ref="J3:J28" si="7">AVERAGE(J260,J389,J518,AF389,AF260,AF647,AF518)</f>
        <v>#DIV/0!</v>
      </c>
      <c r="K3" s="10" t="e">
        <f t="shared" ref="K3:K28" si="8">AVERAGE(K260,K389,K518,AG389,AG260,AG647,AG518)</f>
        <v>#DIV/0!</v>
      </c>
      <c r="L3" s="10" t="e">
        <f t="shared" ref="L3:L28" si="9">AVERAGE(L260,L389,L518,AH389,AH260,AH647,AH518)</f>
        <v>#DIV/0!</v>
      </c>
      <c r="M3" s="10">
        <f t="shared" ref="M3:M28" si="10">AVERAGE(M260,M389,M518,AI389,AI260,AI647,AI518)</f>
        <v>0.9850000000000001</v>
      </c>
      <c r="N3" s="10" t="e">
        <f t="shared" ref="N3:N28" si="11">AVERAGE(N260,N389,N518,AJ389,AJ260,AJ647,AJ518)</f>
        <v>#DIV/0!</v>
      </c>
      <c r="O3" s="10">
        <f t="shared" ref="O3:O28" si="12">AVERAGE(O260,O389,O518,AK389,AK260,AK647,AK518)</f>
        <v>0.9900000000000001</v>
      </c>
      <c r="P3" s="23" t="e">
        <f t="shared" ref="P3:P28" si="13">AVERAGE(P260,P389,P518,AL389,AL260,AL647,AL518)</f>
        <v>#DIV/0!</v>
      </c>
      <c r="R3" s="77"/>
      <c r="S3" s="78"/>
      <c r="T3" s="78"/>
      <c r="U3" s="78"/>
      <c r="V3" s="79"/>
    </row>
    <row r="4" spans="2:22">
      <c r="B4" s="5">
        <v>42794</v>
      </c>
      <c r="C4" s="2">
        <f t="shared" si="0"/>
        <v>0</v>
      </c>
      <c r="D4" s="2">
        <f t="shared" si="1"/>
        <v>129.44499999999999</v>
      </c>
      <c r="E4" s="2">
        <f t="shared" si="2"/>
        <v>108.10000000000001</v>
      </c>
      <c r="F4" s="2" t="e">
        <f t="shared" si="3"/>
        <v>#DIV/0!</v>
      </c>
      <c r="G4" s="2">
        <f t="shared" si="4"/>
        <v>137.5</v>
      </c>
      <c r="H4" s="2" t="e">
        <f t="shared" si="5"/>
        <v>#DIV/0!</v>
      </c>
      <c r="I4" s="10">
        <f t="shared" si="6"/>
        <v>0.81669009051730057</v>
      </c>
      <c r="J4" s="10" t="e">
        <f t="shared" si="7"/>
        <v>#DIV/0!</v>
      </c>
      <c r="K4" s="10" t="e">
        <f t="shared" si="8"/>
        <v>#DIV/0!</v>
      </c>
      <c r="L4" s="10" t="e">
        <f t="shared" si="9"/>
        <v>#DIV/0!</v>
      </c>
      <c r="M4" s="10">
        <f t="shared" si="10"/>
        <v>0.9850000000000001</v>
      </c>
      <c r="N4" s="10" t="e">
        <f t="shared" si="11"/>
        <v>#DIV/0!</v>
      </c>
      <c r="O4" s="10">
        <f t="shared" si="12"/>
        <v>0.9900000000000001</v>
      </c>
      <c r="P4" s="23" t="e">
        <f t="shared" si="13"/>
        <v>#DIV/0!</v>
      </c>
      <c r="R4" s="77"/>
      <c r="S4" s="78"/>
      <c r="T4" s="78"/>
      <c r="U4" s="78"/>
      <c r="V4" s="79"/>
    </row>
    <row r="5" spans="2:22">
      <c r="B5" s="5">
        <v>42825</v>
      </c>
      <c r="C5" s="2">
        <f t="shared" si="0"/>
        <v>3611.0415312206378</v>
      </c>
      <c r="D5" s="2">
        <f t="shared" si="1"/>
        <v>1837.6350000000002</v>
      </c>
      <c r="E5" s="2">
        <f t="shared" si="2"/>
        <v>161.4</v>
      </c>
      <c r="F5" s="2" t="e">
        <f t="shared" si="3"/>
        <v>#DIV/0!</v>
      </c>
      <c r="G5" s="2">
        <f t="shared" si="4"/>
        <v>187.79999999999998</v>
      </c>
      <c r="H5" s="2" t="e">
        <f t="shared" si="5"/>
        <v>#DIV/0!</v>
      </c>
      <c r="I5" s="10">
        <f t="shared" si="6"/>
        <v>0.80107800271355523</v>
      </c>
      <c r="J5" s="10" t="e">
        <f t="shared" si="7"/>
        <v>#DIV/0!</v>
      </c>
      <c r="K5" s="10" t="e">
        <f t="shared" si="8"/>
        <v>#DIV/0!</v>
      </c>
      <c r="L5" s="10" t="e">
        <f t="shared" si="9"/>
        <v>#DIV/0!</v>
      </c>
      <c r="M5" s="10">
        <f t="shared" si="10"/>
        <v>0.9850000000000001</v>
      </c>
      <c r="N5" s="10" t="e">
        <f t="shared" si="11"/>
        <v>#DIV/0!</v>
      </c>
      <c r="O5" s="10">
        <f t="shared" si="12"/>
        <v>0.9900000000000001</v>
      </c>
      <c r="P5" s="23" t="e">
        <f t="shared" si="13"/>
        <v>#DIV/0!</v>
      </c>
      <c r="R5" s="81">
        <f>D5/C5-1</f>
        <v>-0.49110665604036252</v>
      </c>
      <c r="S5" s="78"/>
      <c r="T5" s="78"/>
      <c r="U5" s="78"/>
      <c r="V5" s="79"/>
    </row>
    <row r="6" spans="2:22">
      <c r="B6" s="5">
        <v>42855</v>
      </c>
      <c r="C6" s="2">
        <f t="shared" si="0"/>
        <v>11200.361461132132</v>
      </c>
      <c r="D6" s="2">
        <f t="shared" si="1"/>
        <v>5329.5329999999994</v>
      </c>
      <c r="E6" s="2">
        <f t="shared" si="2"/>
        <v>190.20000000000002</v>
      </c>
      <c r="F6" s="2" t="e">
        <f t="shared" si="3"/>
        <v>#DIV/0!</v>
      </c>
      <c r="G6" s="2">
        <f t="shared" si="4"/>
        <v>194</v>
      </c>
      <c r="H6" s="2" t="e">
        <f t="shared" si="5"/>
        <v>#DIV/0!</v>
      </c>
      <c r="I6" s="10">
        <f t="shared" si="6"/>
        <v>0.80179407161490968</v>
      </c>
      <c r="J6" s="10" t="e">
        <f t="shared" si="7"/>
        <v>#DIV/0!</v>
      </c>
      <c r="K6" s="10">
        <f t="shared" si="8"/>
        <v>0.25926262945759443</v>
      </c>
      <c r="L6" s="10">
        <f t="shared" si="9"/>
        <v>0.11765</v>
      </c>
      <c r="M6" s="10">
        <f t="shared" si="10"/>
        <v>0.9850000000000001</v>
      </c>
      <c r="N6" s="10" t="e">
        <f t="shared" si="11"/>
        <v>#DIV/0!</v>
      </c>
      <c r="O6" s="10">
        <f t="shared" si="12"/>
        <v>0.9900000000000001</v>
      </c>
      <c r="P6" s="23" t="e">
        <f t="shared" si="13"/>
        <v>#DIV/0!</v>
      </c>
      <c r="R6" s="81">
        <f t="shared" ref="R6:R122" si="14">D6/C6-1</f>
        <v>-0.5241641960846779</v>
      </c>
      <c r="S6" s="78"/>
      <c r="T6" s="78"/>
      <c r="U6" s="78"/>
      <c r="V6" s="79"/>
    </row>
    <row r="7" spans="2:22">
      <c r="B7" s="5">
        <v>42886</v>
      </c>
      <c r="C7" s="2">
        <f t="shared" si="0"/>
        <v>11347.499733042923</v>
      </c>
      <c r="D7" s="2">
        <f t="shared" si="1"/>
        <v>6949.0259999999998</v>
      </c>
      <c r="E7" s="2">
        <f t="shared" si="2"/>
        <v>197</v>
      </c>
      <c r="F7" s="2" t="e">
        <f t="shared" si="3"/>
        <v>#DIV/0!</v>
      </c>
      <c r="G7" s="2">
        <f t="shared" si="4"/>
        <v>197.70000000000002</v>
      </c>
      <c r="H7" s="2" t="e">
        <f t="shared" si="5"/>
        <v>#DIV/0!</v>
      </c>
      <c r="I7" s="10">
        <f t="shared" si="6"/>
        <v>0.7971127688550449</v>
      </c>
      <c r="J7" s="10" t="e">
        <f t="shared" si="7"/>
        <v>#DIV/0!</v>
      </c>
      <c r="K7" s="10">
        <f t="shared" si="8"/>
        <v>0.23604065568336408</v>
      </c>
      <c r="L7" s="10">
        <f t="shared" si="9"/>
        <v>0.14541705069124425</v>
      </c>
      <c r="M7" s="10">
        <f t="shared" si="10"/>
        <v>0.9850000000000001</v>
      </c>
      <c r="N7" s="10" t="e">
        <f t="shared" si="11"/>
        <v>#DIV/0!</v>
      </c>
      <c r="O7" s="10">
        <f t="shared" si="12"/>
        <v>0.9900000000000001</v>
      </c>
      <c r="P7" s="23" t="e">
        <f t="shared" si="13"/>
        <v>#DIV/0!</v>
      </c>
      <c r="R7" s="81">
        <f t="shared" si="14"/>
        <v>-0.38761611249348205</v>
      </c>
      <c r="S7" s="78"/>
      <c r="T7" s="78"/>
      <c r="U7" s="78"/>
      <c r="V7" s="79"/>
    </row>
    <row r="8" spans="2:22">
      <c r="B8" s="5">
        <v>42916</v>
      </c>
      <c r="C8" s="2">
        <f t="shared" si="0"/>
        <v>10196.879483124583</v>
      </c>
      <c r="D8" s="2">
        <f t="shared" si="1"/>
        <v>7426.5239999999994</v>
      </c>
      <c r="E8" s="2">
        <f t="shared" si="2"/>
        <v>178.90000000000003</v>
      </c>
      <c r="F8" s="2">
        <f t="shared" si="3"/>
        <v>153.80714285714288</v>
      </c>
      <c r="G8" s="2">
        <f t="shared" si="4"/>
        <v>177.20000000000002</v>
      </c>
      <c r="H8" s="2">
        <f t="shared" si="5"/>
        <v>146.8042857142857</v>
      </c>
      <c r="I8" s="10">
        <f t="shared" si="6"/>
        <v>0.79909192249781957</v>
      </c>
      <c r="J8" s="10">
        <f t="shared" si="7"/>
        <v>0.7041715998102186</v>
      </c>
      <c r="K8" s="10">
        <f t="shared" si="8"/>
        <v>0.23600507543808852</v>
      </c>
      <c r="L8" s="10">
        <f t="shared" si="9"/>
        <v>0.1723004761904762</v>
      </c>
      <c r="M8" s="10">
        <f t="shared" si="10"/>
        <v>0.9850000000000001</v>
      </c>
      <c r="N8" s="10">
        <f t="shared" si="11"/>
        <v>0.80416482285714286</v>
      </c>
      <c r="O8" s="10">
        <f t="shared" si="12"/>
        <v>0.9900000000000001</v>
      </c>
      <c r="P8" s="23">
        <f t="shared" si="13"/>
        <v>0.99871428571428567</v>
      </c>
      <c r="Q8" s="112">
        <f t="shared" ref="Q8" si="15">R8-S8</f>
        <v>-0.10015322031039409</v>
      </c>
      <c r="R8" s="81">
        <f t="shared" si="14"/>
        <v>-0.27168659664061034</v>
      </c>
      <c r="S8" s="10">
        <f>H8/G8-1</f>
        <v>-0.17153337633021626</v>
      </c>
      <c r="T8" s="10">
        <f>N8-M8</f>
        <v>-0.18083517714285724</v>
      </c>
      <c r="U8" s="10">
        <f>P8-O8</f>
        <v>8.7142857142855634E-3</v>
      </c>
      <c r="V8" s="23"/>
    </row>
    <row r="9" spans="2:22">
      <c r="B9" s="5">
        <v>42947</v>
      </c>
      <c r="C9" s="2">
        <f t="shared" si="0"/>
        <v>9034.4881714533803</v>
      </c>
      <c r="D9" s="2">
        <f t="shared" si="1"/>
        <v>5600.0579999999991</v>
      </c>
      <c r="E9" s="2">
        <f t="shared" si="2"/>
        <v>155.5</v>
      </c>
      <c r="F9" s="2">
        <f t="shared" si="3"/>
        <v>155.63857142857142</v>
      </c>
      <c r="G9" s="2">
        <f t="shared" si="4"/>
        <v>154.6</v>
      </c>
      <c r="H9" s="2">
        <f t="shared" si="5"/>
        <v>153.6385714285714</v>
      </c>
      <c r="I9" s="10">
        <f t="shared" si="6"/>
        <v>0.81132759609929239</v>
      </c>
      <c r="J9" s="10">
        <f t="shared" si="7"/>
        <v>0.49498941751263531</v>
      </c>
      <c r="K9" s="10">
        <f t="shared" si="8"/>
        <v>0.20232496094779509</v>
      </c>
      <c r="L9" s="10">
        <f t="shared" si="9"/>
        <v>0.12273847926267283</v>
      </c>
      <c r="M9" s="10">
        <f t="shared" si="10"/>
        <v>0.9850000000000001</v>
      </c>
      <c r="N9" s="10">
        <f t="shared" si="11"/>
        <v>0.70281796285714282</v>
      </c>
      <c r="O9" s="10">
        <f t="shared" si="12"/>
        <v>0.9900000000000001</v>
      </c>
      <c r="P9" s="23">
        <f t="shared" si="13"/>
        <v>0.99187142857142863</v>
      </c>
      <c r="R9" s="81">
        <f t="shared" si="14"/>
        <v>-0.38014662328135895</v>
      </c>
      <c r="S9" s="10">
        <f t="shared" ref="S9:S13" si="16">H9/G9-1</f>
        <v>-6.21881352799869E-3</v>
      </c>
      <c r="T9" s="10">
        <f t="shared" ref="T9:T122" si="17">N9-M9</f>
        <v>-0.28218203714285728</v>
      </c>
      <c r="U9" s="10">
        <f t="shared" ref="U9:U122" si="18">P9-O9</f>
        <v>1.8714285714285239E-3</v>
      </c>
      <c r="V9" s="23"/>
    </row>
    <row r="10" spans="2:22">
      <c r="B10" s="5">
        <v>42978</v>
      </c>
      <c r="C10" s="2">
        <f t="shared" si="0"/>
        <v>8581.3022939681359</v>
      </c>
      <c r="D10" s="2">
        <f t="shared" si="1"/>
        <v>6576.8819999999996</v>
      </c>
      <c r="E10" s="2">
        <f t="shared" si="2"/>
        <v>145.4</v>
      </c>
      <c r="F10" s="2">
        <f t="shared" si="3"/>
        <v>129.20428571428573</v>
      </c>
      <c r="G10" s="2">
        <f t="shared" si="4"/>
        <v>146.29999999999998</v>
      </c>
      <c r="H10" s="2">
        <f t="shared" si="5"/>
        <v>129.94571428571427</v>
      </c>
      <c r="I10" s="10">
        <f t="shared" si="6"/>
        <v>0.81446447407890776</v>
      </c>
      <c r="J10" s="10">
        <f t="shared" si="7"/>
        <v>0.6955449922592688</v>
      </c>
      <c r="K10" s="10">
        <f t="shared" si="8"/>
        <v>0.19217311782409235</v>
      </c>
      <c r="L10" s="10">
        <f t="shared" si="9"/>
        <v>0.14582361751152076</v>
      </c>
      <c r="M10" s="10">
        <f t="shared" si="10"/>
        <v>0.9850000000000001</v>
      </c>
      <c r="N10" s="10">
        <f t="shared" si="11"/>
        <v>0.88598408857142863</v>
      </c>
      <c r="O10" s="10">
        <f t="shared" si="12"/>
        <v>0.9900000000000001</v>
      </c>
      <c r="P10" s="23">
        <f t="shared" si="13"/>
        <v>0.99211428571428573</v>
      </c>
      <c r="R10" s="81">
        <f t="shared" si="14"/>
        <v>-0.23357996552307203</v>
      </c>
      <c r="S10" s="10">
        <f t="shared" si="16"/>
        <v>-0.11178595840249972</v>
      </c>
      <c r="T10" s="10">
        <f t="shared" si="17"/>
        <v>-9.9015911428571468E-2</v>
      </c>
      <c r="U10" s="10">
        <f t="shared" si="18"/>
        <v>2.1142857142856242E-3</v>
      </c>
      <c r="V10" s="23"/>
    </row>
    <row r="11" spans="2:22">
      <c r="B11" s="5">
        <v>43008</v>
      </c>
      <c r="C11" s="2">
        <f t="shared" si="0"/>
        <v>8546.9696191984658</v>
      </c>
      <c r="D11" s="2">
        <f t="shared" si="1"/>
        <v>6954.6419999999998</v>
      </c>
      <c r="E11" s="2">
        <f t="shared" si="2"/>
        <v>141.6</v>
      </c>
      <c r="F11" s="2">
        <f t="shared" si="3"/>
        <v>123.42</v>
      </c>
      <c r="G11" s="2">
        <f t="shared" si="4"/>
        <v>145.5</v>
      </c>
      <c r="H11" s="2">
        <f t="shared" si="5"/>
        <v>126.12857142857142</v>
      </c>
      <c r="I11" s="10">
        <f t="shared" si="6"/>
        <v>0.81571511335608771</v>
      </c>
      <c r="J11" s="10">
        <f t="shared" si="7"/>
        <v>0.76768352272776197</v>
      </c>
      <c r="K11" s="10">
        <f t="shared" si="8"/>
        <v>0.19780038230628008</v>
      </c>
      <c r="L11" s="10">
        <f t="shared" si="9"/>
        <v>0.16138249999999998</v>
      </c>
      <c r="M11" s="10">
        <f t="shared" si="10"/>
        <v>0.9850000000000001</v>
      </c>
      <c r="N11" s="10">
        <f t="shared" si="11"/>
        <v>0.95426341428571426</v>
      </c>
      <c r="O11" s="10">
        <f t="shared" si="12"/>
        <v>0.9900000000000001</v>
      </c>
      <c r="P11" s="23">
        <f t="shared" si="13"/>
        <v>0.99144285714285707</v>
      </c>
      <c r="R11" s="81">
        <f t="shared" si="14"/>
        <v>-0.18630317997407297</v>
      </c>
      <c r="S11" s="10">
        <f t="shared" si="16"/>
        <v>-0.13313696612665693</v>
      </c>
      <c r="T11" s="10">
        <f t="shared" si="17"/>
        <v>-3.0736585714285836E-2</v>
      </c>
      <c r="U11" s="10">
        <f t="shared" si="18"/>
        <v>1.4428571428569681E-3</v>
      </c>
      <c r="V11" s="23"/>
    </row>
    <row r="12" spans="2:22">
      <c r="B12" s="5">
        <v>43039</v>
      </c>
      <c r="C12" s="2">
        <f t="shared" si="0"/>
        <v>9784.8916308249827</v>
      </c>
      <c r="D12" s="2">
        <f t="shared" si="1"/>
        <v>8307.4199999999983</v>
      </c>
      <c r="E12" s="2">
        <f t="shared" si="2"/>
        <v>139.1</v>
      </c>
      <c r="F12" s="2">
        <f t="shared" si="3"/>
        <v>123.62857142857142</v>
      </c>
      <c r="G12" s="2">
        <f t="shared" si="4"/>
        <v>172.20000000000002</v>
      </c>
      <c r="H12" s="2">
        <f t="shared" si="5"/>
        <v>151.82</v>
      </c>
      <c r="I12" s="10">
        <f t="shared" si="6"/>
        <v>0.78920283990474294</v>
      </c>
      <c r="J12" s="10">
        <f t="shared" si="7"/>
        <v>0.75897228677928752</v>
      </c>
      <c r="K12" s="10">
        <f t="shared" si="8"/>
        <v>0.2191818796201794</v>
      </c>
      <c r="L12" s="10">
        <f t="shared" si="9"/>
        <v>0.18582649769585252</v>
      </c>
      <c r="M12" s="10">
        <f t="shared" si="10"/>
        <v>0.9850000000000001</v>
      </c>
      <c r="N12" s="10">
        <f t="shared" si="11"/>
        <v>0.9694361142857143</v>
      </c>
      <c r="O12" s="10">
        <f t="shared" si="12"/>
        <v>0.9900000000000001</v>
      </c>
      <c r="P12" s="23">
        <f t="shared" si="13"/>
        <v>0.97400000000000009</v>
      </c>
      <c r="R12" s="81">
        <f t="shared" si="14"/>
        <v>-0.15099519612159629</v>
      </c>
      <c r="S12" s="10">
        <f t="shared" si="16"/>
        <v>-0.11835075493612091</v>
      </c>
      <c r="T12" s="10">
        <f t="shared" si="17"/>
        <v>-1.5563885714285797E-2</v>
      </c>
      <c r="U12" s="10">
        <f t="shared" si="18"/>
        <v>-1.6000000000000014E-2</v>
      </c>
      <c r="V12" s="23"/>
    </row>
    <row r="13" spans="2:22">
      <c r="B13" s="5">
        <v>43069</v>
      </c>
      <c r="C13" s="2">
        <f t="shared" si="0"/>
        <v>8665.6607472160231</v>
      </c>
      <c r="D13" s="2">
        <f t="shared" si="1"/>
        <v>6709.6319999999996</v>
      </c>
      <c r="E13" s="2">
        <f t="shared" si="2"/>
        <v>108.10000000000001</v>
      </c>
      <c r="F13" s="2">
        <f t="shared" si="3"/>
        <v>89.198333333333323</v>
      </c>
      <c r="G13" s="2">
        <f t="shared" si="4"/>
        <v>152.1</v>
      </c>
      <c r="H13" s="2">
        <f t="shared" si="5"/>
        <v>115.60714285714286</v>
      </c>
      <c r="I13" s="10">
        <f t="shared" si="6"/>
        <v>0.79118450850273536</v>
      </c>
      <c r="J13" s="10">
        <f t="shared" si="7"/>
        <v>0.80569869208158362</v>
      </c>
      <c r="K13" s="10">
        <f t="shared" si="8"/>
        <v>0.20056403444441989</v>
      </c>
      <c r="L13" s="10">
        <f t="shared" si="9"/>
        <v>0.15523428571428571</v>
      </c>
      <c r="M13" s="10">
        <f t="shared" si="10"/>
        <v>0.9850000000000001</v>
      </c>
      <c r="N13" s="10">
        <f t="shared" si="11"/>
        <v>0.98077085142857123</v>
      </c>
      <c r="O13" s="10">
        <f t="shared" si="12"/>
        <v>0.9900000000000001</v>
      </c>
      <c r="P13" s="23">
        <f t="shared" si="13"/>
        <v>0.98538571428571431</v>
      </c>
      <c r="R13" s="81">
        <f t="shared" si="14"/>
        <v>-0.22572182367564153</v>
      </c>
      <c r="S13" s="10">
        <f t="shared" si="16"/>
        <v>-0.23992673992673985</v>
      </c>
      <c r="T13" s="10">
        <f t="shared" si="17"/>
        <v>-4.2291485714288646E-3</v>
      </c>
      <c r="U13" s="10">
        <f t="shared" si="18"/>
        <v>-4.6142857142857929E-3</v>
      </c>
      <c r="V13" s="23"/>
    </row>
    <row r="14" spans="2:22">
      <c r="B14" s="5">
        <v>43100</v>
      </c>
      <c r="C14" s="2">
        <f t="shared" si="0"/>
        <v>7276.1372631891663</v>
      </c>
      <c r="D14" s="2">
        <f t="shared" si="1"/>
        <v>6373.8179999999993</v>
      </c>
      <c r="E14" s="2">
        <f t="shared" si="2"/>
        <v>89.899999999999991</v>
      </c>
      <c r="F14" s="2">
        <f t="shared" si="3"/>
        <v>77.004285714285714</v>
      </c>
      <c r="G14" s="2">
        <f t="shared" si="4"/>
        <v>129.6</v>
      </c>
      <c r="H14" s="2">
        <f t="shared" si="5"/>
        <v>104.75</v>
      </c>
      <c r="I14" s="10">
        <f t="shared" si="6"/>
        <v>0.78022660045461911</v>
      </c>
      <c r="J14" s="10">
        <f t="shared" si="7"/>
        <v>0.84844492369578239</v>
      </c>
      <c r="K14" s="10">
        <f t="shared" si="8"/>
        <v>0.16298798556379207</v>
      </c>
      <c r="L14" s="10">
        <f t="shared" si="9"/>
        <v>0.14335495391705069</v>
      </c>
      <c r="M14" s="10">
        <f t="shared" si="10"/>
        <v>0.9850000000000001</v>
      </c>
      <c r="N14" s="10">
        <f t="shared" si="11"/>
        <v>0.9896571428571429</v>
      </c>
      <c r="O14" s="10">
        <f t="shared" si="12"/>
        <v>0.9900000000000001</v>
      </c>
      <c r="P14" s="23">
        <f t="shared" si="13"/>
        <v>0.9896571428571429</v>
      </c>
      <c r="R14" s="81">
        <f t="shared" si="14"/>
        <v>-0.12401075330919142</v>
      </c>
      <c r="S14" s="10">
        <f>H14/G14-1</f>
        <v>-0.19174382716049376</v>
      </c>
      <c r="T14" s="10">
        <f t="shared" si="17"/>
        <v>4.6571428571428042E-3</v>
      </c>
      <c r="U14" s="10">
        <f t="shared" si="18"/>
        <v>-3.4285714285720026E-4</v>
      </c>
      <c r="V14" s="23"/>
    </row>
    <row r="15" spans="2:22">
      <c r="B15" s="5">
        <v>43131</v>
      </c>
      <c r="C15" s="2">
        <f t="shared" si="0"/>
        <v>6137.3937069254544</v>
      </c>
      <c r="D15" s="2">
        <f t="shared" si="1"/>
        <v>5608.3019999999997</v>
      </c>
      <c r="E15" s="2">
        <f t="shared" si="2"/>
        <v>79.600000000000009</v>
      </c>
      <c r="F15" s="2">
        <f t="shared" si="3"/>
        <v>71.7</v>
      </c>
      <c r="G15" s="2">
        <f t="shared" si="4"/>
        <v>103.20000000000002</v>
      </c>
      <c r="H15" s="2">
        <f t="shared" si="5"/>
        <v>94.03857142857143</v>
      </c>
      <c r="I15" s="10">
        <f t="shared" si="6"/>
        <v>0.82984155386333824</v>
      </c>
      <c r="J15" s="10">
        <f t="shared" si="7"/>
        <v>0.83061565424969819</v>
      </c>
      <c r="K15" s="10">
        <f t="shared" si="8"/>
        <v>0.13742726471039843</v>
      </c>
      <c r="L15" s="10">
        <f t="shared" si="9"/>
        <v>0.12598629032258063</v>
      </c>
      <c r="M15" s="10">
        <f t="shared" si="10"/>
        <v>0.9850000000000001</v>
      </c>
      <c r="N15" s="10">
        <f t="shared" si="11"/>
        <v>0.98228571428571432</v>
      </c>
      <c r="O15" s="10">
        <f t="shared" si="12"/>
        <v>0.9900000000000001</v>
      </c>
      <c r="P15" s="23">
        <f t="shared" si="13"/>
        <v>0.98528571428571432</v>
      </c>
      <c r="R15" s="81">
        <f t="shared" si="14"/>
        <v>-8.6207881095916372E-2</v>
      </c>
      <c r="S15" s="10">
        <f t="shared" ref="S15:S121" si="19">H15/G15-1</f>
        <v>-8.8773532668881661E-2</v>
      </c>
      <c r="T15" s="10">
        <f t="shared" si="17"/>
        <v>-2.7142857142857801E-3</v>
      </c>
      <c r="U15" s="10">
        <f t="shared" si="18"/>
        <v>-4.7142857142857819E-3</v>
      </c>
      <c r="V15" s="23"/>
    </row>
    <row r="16" spans="2:22">
      <c r="B16" s="5">
        <v>43159</v>
      </c>
      <c r="C16" s="2">
        <f t="shared" si="0"/>
        <v>8046.48266981899</v>
      </c>
      <c r="D16" s="2">
        <f t="shared" si="1"/>
        <v>8078.8719999999994</v>
      </c>
      <c r="E16" s="2">
        <f t="shared" si="2"/>
        <v>108.10000000000001</v>
      </c>
      <c r="F16" s="2">
        <f t="shared" si="3"/>
        <v>109.91714285714286</v>
      </c>
      <c r="G16" s="2">
        <f t="shared" si="4"/>
        <v>137.5</v>
      </c>
      <c r="H16" s="2">
        <f t="shared" si="5"/>
        <v>137.0385714285714</v>
      </c>
      <c r="I16" s="10">
        <f t="shared" si="6"/>
        <v>0.81669009051730057</v>
      </c>
      <c r="J16" s="10">
        <f t="shared" si="7"/>
        <v>0.81840150325135508</v>
      </c>
      <c r="K16" s="10">
        <f t="shared" si="8"/>
        <v>0.19952000565806563</v>
      </c>
      <c r="L16" s="10">
        <f t="shared" si="9"/>
        <v>0.20025072278911568</v>
      </c>
      <c r="M16" s="10">
        <f t="shared" si="10"/>
        <v>0.9850000000000001</v>
      </c>
      <c r="N16" s="10">
        <f t="shared" si="11"/>
        <v>0.94682857142857135</v>
      </c>
      <c r="O16" s="10">
        <f t="shared" si="12"/>
        <v>0.9900000000000001</v>
      </c>
      <c r="P16" s="23">
        <f t="shared" si="13"/>
        <v>0.9764142857142859</v>
      </c>
      <c r="R16" s="81">
        <f t="shared" si="14"/>
        <v>4.0252780637304308E-3</v>
      </c>
      <c r="S16" s="10">
        <f t="shared" si="19"/>
        <v>-3.3558441558443342E-3</v>
      </c>
      <c r="T16" s="10">
        <f t="shared" si="17"/>
        <v>-3.8171428571428745E-2</v>
      </c>
      <c r="U16" s="10">
        <f t="shared" si="18"/>
        <v>-1.3585714285714201E-2</v>
      </c>
      <c r="V16" s="23"/>
    </row>
    <row r="17" spans="2:22">
      <c r="B17" s="5">
        <v>43190</v>
      </c>
      <c r="C17" s="2">
        <f t="shared" si="0"/>
        <v>10778</v>
      </c>
      <c r="D17" s="2">
        <f t="shared" si="1"/>
        <v>10224.806</v>
      </c>
      <c r="E17" s="2">
        <f t="shared" si="2"/>
        <v>161.4</v>
      </c>
      <c r="F17" s="2">
        <f t="shared" si="3"/>
        <v>163.3857142857143</v>
      </c>
      <c r="G17" s="2">
        <f t="shared" si="4"/>
        <v>187.79999999999998</v>
      </c>
      <c r="H17" s="2">
        <f t="shared" si="5"/>
        <v>183.13285714285712</v>
      </c>
      <c r="I17" s="10">
        <f t="shared" si="6"/>
        <v>0.80107800271355523</v>
      </c>
      <c r="J17" s="10">
        <f t="shared" si="7"/>
        <v>0.77438165601813491</v>
      </c>
      <c r="K17" s="10">
        <f t="shared" si="8"/>
        <v>0.24143625192012291</v>
      </c>
      <c r="L17" s="10">
        <f t="shared" si="9"/>
        <v>0.22862185099846388</v>
      </c>
      <c r="M17" s="10">
        <f t="shared" si="10"/>
        <v>0.9850000000000001</v>
      </c>
      <c r="N17" s="10">
        <f t="shared" si="11"/>
        <v>0.95722079999999998</v>
      </c>
      <c r="O17" s="10">
        <f t="shared" si="12"/>
        <v>0.9900000000000001</v>
      </c>
      <c r="P17" s="23">
        <f t="shared" si="13"/>
        <v>0.99880000000000013</v>
      </c>
      <c r="R17" s="81">
        <f t="shared" si="14"/>
        <v>-5.1326220077936524E-2</v>
      </c>
      <c r="S17" s="10">
        <f t="shared" si="19"/>
        <v>-2.4851665905979092E-2</v>
      </c>
      <c r="T17" s="10">
        <f t="shared" si="17"/>
        <v>-2.7779200000000115E-2</v>
      </c>
      <c r="U17" s="10">
        <f t="shared" si="18"/>
        <v>8.80000000000003E-3</v>
      </c>
      <c r="V17" s="23"/>
    </row>
    <row r="18" spans="2:22">
      <c r="B18" s="25">
        <v>43220</v>
      </c>
      <c r="C18" s="26">
        <f t="shared" si="0"/>
        <v>10477.282329329741</v>
      </c>
      <c r="D18" s="26">
        <f t="shared" si="1"/>
        <v>8315.6239999999998</v>
      </c>
      <c r="E18" s="26">
        <f t="shared" si="2"/>
        <v>190.20000000000002</v>
      </c>
      <c r="F18" s="26">
        <f t="shared" si="3"/>
        <v>151.21299999999999</v>
      </c>
      <c r="G18" s="26">
        <f t="shared" si="4"/>
        <v>194</v>
      </c>
      <c r="H18" s="26">
        <f t="shared" si="5"/>
        <v>155.68571428571428</v>
      </c>
      <c r="I18" s="29">
        <f t="shared" si="6"/>
        <v>0.76155207779920886</v>
      </c>
      <c r="J18" s="29">
        <f t="shared" si="7"/>
        <v>0.78791440749437036</v>
      </c>
      <c r="K18" s="29">
        <f t="shared" si="8"/>
        <v>0.24254164424441799</v>
      </c>
      <c r="L18" s="29">
        <f t="shared" si="9"/>
        <v>0.19386805555555556</v>
      </c>
      <c r="M18" s="29">
        <f t="shared" si="10"/>
        <v>0.9850000000000001</v>
      </c>
      <c r="N18" s="29">
        <f t="shared" si="11"/>
        <v>0.94776666000000009</v>
      </c>
      <c r="O18" s="29">
        <f t="shared" si="12"/>
        <v>0.9900000000000001</v>
      </c>
      <c r="P18" s="32">
        <f t="shared" si="13"/>
        <v>0.97484285714285712</v>
      </c>
      <c r="Q18" s="88"/>
      <c r="R18" s="87">
        <f t="shared" si="14"/>
        <v>-0.20631861024480269</v>
      </c>
      <c r="S18" s="29">
        <f t="shared" si="19"/>
        <v>-0.19749631811487478</v>
      </c>
      <c r="T18" s="29">
        <f t="shared" si="17"/>
        <v>-3.7233340000000004E-2</v>
      </c>
      <c r="U18" s="29">
        <f t="shared" si="18"/>
        <v>-1.515714285714298E-2</v>
      </c>
      <c r="V18" s="32"/>
    </row>
    <row r="19" spans="2:22">
      <c r="B19" s="5">
        <v>43251</v>
      </c>
      <c r="C19" s="2">
        <f t="shared" si="0"/>
        <v>10615.275907779229</v>
      </c>
      <c r="D19" s="2">
        <f t="shared" si="1"/>
        <v>9463.7849999999999</v>
      </c>
      <c r="E19" s="2">
        <f t="shared" si="2"/>
        <v>197</v>
      </c>
      <c r="F19" s="2">
        <f t="shared" si="3"/>
        <v>167.56571428571428</v>
      </c>
      <c r="G19" s="2">
        <f t="shared" si="4"/>
        <v>197.70000000000002</v>
      </c>
      <c r="H19" s="2">
        <f t="shared" si="5"/>
        <v>169.17285714285714</v>
      </c>
      <c r="I19" s="10">
        <f t="shared" si="6"/>
        <v>0.7571415974041944</v>
      </c>
      <c r="J19" s="10">
        <f t="shared" si="7"/>
        <v>0.78473028816710644</v>
      </c>
      <c r="K19" s="10">
        <f t="shared" si="8"/>
        <v>0.2378090167737211</v>
      </c>
      <c r="L19" s="10">
        <f t="shared" si="9"/>
        <v>0.21329412442396309</v>
      </c>
      <c r="M19" s="10">
        <f t="shared" si="10"/>
        <v>0.9850000000000001</v>
      </c>
      <c r="N19" s="10">
        <f t="shared" si="11"/>
        <v>0.9958285714285714</v>
      </c>
      <c r="O19" s="10">
        <f t="shared" si="12"/>
        <v>0.9900000000000001</v>
      </c>
      <c r="P19" s="23">
        <f t="shared" si="13"/>
        <v>0.9986571428571428</v>
      </c>
      <c r="R19" s="81">
        <f t="shared" si="14"/>
        <v>-0.10847489201249849</v>
      </c>
      <c r="S19" s="10">
        <f t="shared" si="19"/>
        <v>-0.1442951080280368</v>
      </c>
      <c r="T19" s="10">
        <f t="shared" si="17"/>
        <v>1.0828571428571299E-2</v>
      </c>
      <c r="U19" s="10">
        <f t="shared" si="18"/>
        <v>8.6571428571426967E-3</v>
      </c>
      <c r="V19" s="23"/>
    </row>
    <row r="20" spans="2:22">
      <c r="B20" s="5">
        <v>43281</v>
      </c>
      <c r="C20" s="2">
        <f t="shared" si="0"/>
        <v>9538.6695199317637</v>
      </c>
      <c r="D20" s="2">
        <f t="shared" si="1"/>
        <v>9108.9269999999997</v>
      </c>
      <c r="E20" s="2">
        <f t="shared" si="2"/>
        <v>178.90000000000003</v>
      </c>
      <c r="F20" s="2">
        <f t="shared" si="3"/>
        <v>156.42857142857142</v>
      </c>
      <c r="G20" s="2">
        <f t="shared" si="4"/>
        <v>177.20000000000002</v>
      </c>
      <c r="H20" s="2">
        <f t="shared" si="5"/>
        <v>156.98571428571427</v>
      </c>
      <c r="I20" s="10">
        <f t="shared" si="6"/>
        <v>0.75896994882265356</v>
      </c>
      <c r="J20" s="10">
        <f t="shared" si="7"/>
        <v>0.81841392911917377</v>
      </c>
      <c r="K20" s="10">
        <f t="shared" si="8"/>
        <v>0.22078688801233931</v>
      </c>
      <c r="L20" s="10">
        <f t="shared" si="9"/>
        <v>0.21159428571428568</v>
      </c>
      <c r="M20" s="10">
        <f t="shared" si="10"/>
        <v>0.9850000000000001</v>
      </c>
      <c r="N20" s="10">
        <f t="shared" si="11"/>
        <v>0.9880000000000001</v>
      </c>
      <c r="O20" s="10">
        <f t="shared" si="12"/>
        <v>0.9900000000000001</v>
      </c>
      <c r="P20" s="23">
        <f t="shared" si="13"/>
        <v>0.98932857142857145</v>
      </c>
      <c r="Q20" s="112">
        <f t="shared" ref="Q20" si="20">R20-S20</f>
        <v>6.9023435550580547E-2</v>
      </c>
      <c r="R20" s="81">
        <f t="shared" si="14"/>
        <v>-4.5052668931844675E-2</v>
      </c>
      <c r="S20" s="10">
        <f t="shared" si="19"/>
        <v>-0.11407610448242522</v>
      </c>
      <c r="T20" s="10">
        <f t="shared" si="17"/>
        <v>3.0000000000000027E-3</v>
      </c>
      <c r="U20" s="10">
        <f t="shared" si="18"/>
        <v>-6.7142857142865608E-4</v>
      </c>
      <c r="V20" s="23"/>
    </row>
    <row r="21" spans="2:22">
      <c r="B21" s="5">
        <v>43312</v>
      </c>
      <c r="C21" s="2">
        <f t="shared" si="0"/>
        <v>8451.7869983783821</v>
      </c>
      <c r="D21" s="2">
        <f t="shared" si="1"/>
        <v>7459.107</v>
      </c>
      <c r="E21" s="2">
        <f t="shared" si="2"/>
        <v>155.5</v>
      </c>
      <c r="F21" s="2">
        <f t="shared" si="3"/>
        <v>129.21714285714285</v>
      </c>
      <c r="G21" s="2">
        <f t="shared" si="4"/>
        <v>154.6</v>
      </c>
      <c r="H21" s="2">
        <f t="shared" si="5"/>
        <v>127.03999999999999</v>
      </c>
      <c r="I21" s="10">
        <f t="shared" si="6"/>
        <v>0.77068018710195219</v>
      </c>
      <c r="J21" s="10">
        <f t="shared" si="7"/>
        <v>0.83445775665104471</v>
      </c>
      <c r="K21" s="10">
        <f t="shared" si="8"/>
        <v>0.18929024124527807</v>
      </c>
      <c r="L21" s="10">
        <f t="shared" si="9"/>
        <v>0.1677339861751152</v>
      </c>
      <c r="M21" s="10">
        <f t="shared" si="10"/>
        <v>0.9850000000000001</v>
      </c>
      <c r="N21" s="10">
        <f t="shared" si="11"/>
        <v>0.98090000000000011</v>
      </c>
      <c r="O21" s="10">
        <f t="shared" si="12"/>
        <v>0.9900000000000001</v>
      </c>
      <c r="P21" s="23">
        <f t="shared" si="13"/>
        <v>0.98915714285714285</v>
      </c>
      <c r="R21" s="81">
        <f t="shared" si="14"/>
        <v>-0.11745208422418174</v>
      </c>
      <c r="S21" s="10">
        <f t="shared" si="19"/>
        <v>-0.17826649417852525</v>
      </c>
      <c r="T21" s="10">
        <f t="shared" si="17"/>
        <v>-4.0999999999999925E-3</v>
      </c>
      <c r="U21" s="10">
        <f t="shared" si="18"/>
        <v>-8.4285714285725621E-4</v>
      </c>
      <c r="V21" s="23"/>
    </row>
    <row r="22" spans="2:22">
      <c r="B22" s="5">
        <v>43343</v>
      </c>
      <c r="C22" s="2">
        <f t="shared" si="0"/>
        <v>8026.3373652829741</v>
      </c>
      <c r="D22" s="2">
        <f t="shared" si="1"/>
        <v>6437.6309999999994</v>
      </c>
      <c r="E22" s="2">
        <f t="shared" si="2"/>
        <v>145.4</v>
      </c>
      <c r="F22" s="2">
        <f t="shared" si="3"/>
        <v>112.60142857142857</v>
      </c>
      <c r="G22" s="2">
        <f t="shared" si="4"/>
        <v>146.29999999999998</v>
      </c>
      <c r="H22" s="2">
        <f t="shared" si="5"/>
        <v>111.23714285714287</v>
      </c>
      <c r="I22" s="10">
        <f t="shared" si="6"/>
        <v>0.77336600182517312</v>
      </c>
      <c r="J22" s="10">
        <f t="shared" si="7"/>
        <v>0.83100119035003861</v>
      </c>
      <c r="K22" s="10">
        <f t="shared" si="8"/>
        <v>0.17975208770325399</v>
      </c>
      <c r="L22" s="10">
        <f t="shared" si="9"/>
        <v>0.14502569124423961</v>
      </c>
      <c r="M22" s="10">
        <f t="shared" si="10"/>
        <v>0.9850000000000001</v>
      </c>
      <c r="N22" s="10">
        <f t="shared" si="11"/>
        <v>0.97242857142857153</v>
      </c>
      <c r="O22" s="10">
        <f t="shared" si="12"/>
        <v>0.9900000000000001</v>
      </c>
      <c r="P22" s="23">
        <f t="shared" si="13"/>
        <v>0.99871428571428567</v>
      </c>
      <c r="R22" s="81">
        <f t="shared" si="14"/>
        <v>-0.19793665441409758</v>
      </c>
      <c r="S22" s="10">
        <f t="shared" si="19"/>
        <v>-0.23966409530319288</v>
      </c>
      <c r="T22" s="10">
        <f t="shared" si="17"/>
        <v>-1.2571428571428567E-2</v>
      </c>
      <c r="U22" s="10">
        <f t="shared" si="18"/>
        <v>8.7142857142855634E-3</v>
      </c>
      <c r="V22" s="23"/>
    </row>
    <row r="23" spans="2:22">
      <c r="B23" s="5">
        <v>43373</v>
      </c>
      <c r="C23" s="2">
        <f t="shared" si="0"/>
        <v>7994.5913797381236</v>
      </c>
      <c r="D23" s="2">
        <f t="shared" si="1"/>
        <v>6883.4129999999996</v>
      </c>
      <c r="E23" s="2">
        <f t="shared" si="2"/>
        <v>141.6</v>
      </c>
      <c r="F23" s="2">
        <f t="shared" si="3"/>
        <v>119.07142857142857</v>
      </c>
      <c r="G23" s="2">
        <f t="shared" si="4"/>
        <v>145.5</v>
      </c>
      <c r="H23" s="2">
        <f t="shared" si="5"/>
        <v>120.91428571428571</v>
      </c>
      <c r="I23" s="10">
        <f t="shared" si="6"/>
        <v>0.77460516309142824</v>
      </c>
      <c r="J23" s="10">
        <f t="shared" si="7"/>
        <v>0.81963012378876565</v>
      </c>
      <c r="K23" s="10">
        <f t="shared" si="8"/>
        <v>0.18502412576892624</v>
      </c>
      <c r="L23" s="10">
        <f t="shared" si="9"/>
        <v>0.16032607142857142</v>
      </c>
      <c r="M23" s="10">
        <f t="shared" si="10"/>
        <v>0.9850000000000001</v>
      </c>
      <c r="N23" s="10">
        <f t="shared" si="11"/>
        <v>0.97045714285714291</v>
      </c>
      <c r="O23" s="10">
        <f t="shared" si="12"/>
        <v>0.9900000000000001</v>
      </c>
      <c r="P23" s="23">
        <f t="shared" si="13"/>
        <v>0.98329999999999984</v>
      </c>
      <c r="R23" s="81">
        <f t="shared" si="14"/>
        <v>-0.13899126633968406</v>
      </c>
      <c r="S23" s="10">
        <f t="shared" si="19"/>
        <v>-0.16897398134511543</v>
      </c>
      <c r="T23" s="10">
        <f t="shared" si="17"/>
        <v>-1.4542857142857191E-2</v>
      </c>
      <c r="U23" s="10">
        <f t="shared" si="18"/>
        <v>-6.7000000000002613E-3</v>
      </c>
      <c r="V23" s="23"/>
    </row>
    <row r="24" spans="2:22">
      <c r="B24" s="5">
        <v>43404</v>
      </c>
      <c r="C24" s="2">
        <f t="shared" si="0"/>
        <v>9151.8467640466279</v>
      </c>
      <c r="D24" s="2">
        <f t="shared" si="1"/>
        <v>9068.8919999999998</v>
      </c>
      <c r="E24" s="2">
        <f t="shared" si="2"/>
        <v>139.1</v>
      </c>
      <c r="F24" s="2">
        <f t="shared" si="3"/>
        <v>137.24142857142857</v>
      </c>
      <c r="G24" s="2">
        <f t="shared" si="4"/>
        <v>172.20000000000002</v>
      </c>
      <c r="H24" s="2">
        <f t="shared" si="5"/>
        <v>163.6357142857143</v>
      </c>
      <c r="I24" s="10">
        <f t="shared" si="6"/>
        <v>0.7493753810802366</v>
      </c>
      <c r="J24" s="10">
        <f t="shared" si="7"/>
        <v>0.79369363196476062</v>
      </c>
      <c r="K24" s="10">
        <f t="shared" si="8"/>
        <v>0.20501097421401046</v>
      </c>
      <c r="L24" s="10">
        <f t="shared" si="9"/>
        <v>0.20423317972350233</v>
      </c>
      <c r="M24" s="10">
        <f t="shared" si="10"/>
        <v>0.9850000000000001</v>
      </c>
      <c r="N24" s="10">
        <f t="shared" si="11"/>
        <v>0.97485714285714287</v>
      </c>
      <c r="O24" s="10">
        <f t="shared" si="12"/>
        <v>0.9900000000000001</v>
      </c>
      <c r="P24" s="23">
        <f t="shared" si="13"/>
        <v>0.97574285714285725</v>
      </c>
      <c r="R24" s="81">
        <f t="shared" si="14"/>
        <v>-9.0642649713628121E-3</v>
      </c>
      <c r="S24" s="10">
        <f t="shared" si="19"/>
        <v>-4.9734527957524532E-2</v>
      </c>
      <c r="T24" s="10">
        <f t="shared" si="17"/>
        <v>-1.0142857142857231E-2</v>
      </c>
      <c r="U24" s="10">
        <f t="shared" si="18"/>
        <v>-1.4257142857142857E-2</v>
      </c>
      <c r="V24" s="23"/>
    </row>
    <row r="25" spans="2:22">
      <c r="B25" s="5">
        <v>43434</v>
      </c>
      <c r="C25" s="2">
        <f t="shared" si="0"/>
        <v>8105.2430466399119</v>
      </c>
      <c r="D25" s="2">
        <f t="shared" si="1"/>
        <v>7134.87</v>
      </c>
      <c r="E25" s="2">
        <f t="shared" si="2"/>
        <v>108.10000000000001</v>
      </c>
      <c r="F25" s="2">
        <f t="shared" si="3"/>
        <v>98.357142857142861</v>
      </c>
      <c r="G25" s="2">
        <f t="shared" si="4"/>
        <v>152.1</v>
      </c>
      <c r="H25" s="2">
        <f t="shared" si="5"/>
        <v>133.41428571428568</v>
      </c>
      <c r="I25" s="10">
        <f t="shared" si="6"/>
        <v>0.75131194312360239</v>
      </c>
      <c r="J25" s="10">
        <f t="shared" si="7"/>
        <v>0.76442965563824694</v>
      </c>
      <c r="K25" s="10">
        <f t="shared" si="8"/>
        <v>0.18760071391810568</v>
      </c>
      <c r="L25" s="10">
        <f t="shared" si="9"/>
        <v>0.16631785714285716</v>
      </c>
      <c r="M25" s="10">
        <f t="shared" si="10"/>
        <v>0.9850000000000001</v>
      </c>
      <c r="N25" s="10">
        <f t="shared" si="11"/>
        <v>0.97801428571428561</v>
      </c>
      <c r="O25" s="10">
        <f t="shared" si="12"/>
        <v>0.9900000000000001</v>
      </c>
      <c r="P25" s="23">
        <f t="shared" si="13"/>
        <v>0.99990000000000012</v>
      </c>
      <c r="R25" s="81">
        <f t="shared" si="14"/>
        <v>-0.11972164697049859</v>
      </c>
      <c r="S25" s="10">
        <f t="shared" si="19"/>
        <v>-0.12285150746689222</v>
      </c>
      <c r="T25" s="10">
        <f t="shared" si="17"/>
        <v>-6.9857142857144838E-3</v>
      </c>
      <c r="U25" s="10">
        <f t="shared" si="18"/>
        <v>9.9000000000000199E-3</v>
      </c>
      <c r="V25" s="23"/>
    </row>
    <row r="26" spans="2:22">
      <c r="B26" s="5">
        <v>43465</v>
      </c>
      <c r="C26" s="2">
        <f t="shared" si="0"/>
        <v>6809.3055445343498</v>
      </c>
      <c r="D26" s="2">
        <f t="shared" si="1"/>
        <v>6745.3349999999991</v>
      </c>
      <c r="E26" s="2">
        <f t="shared" si="2"/>
        <v>89.899999999999991</v>
      </c>
      <c r="F26" s="2">
        <f t="shared" si="3"/>
        <v>86.401428571428568</v>
      </c>
      <c r="G26" s="2">
        <f t="shared" si="4"/>
        <v>129.6</v>
      </c>
      <c r="H26" s="2">
        <f t="shared" si="5"/>
        <v>123.91142857142857</v>
      </c>
      <c r="I26" s="10">
        <f t="shared" si="6"/>
        <v>0.74074539730766709</v>
      </c>
      <c r="J26" s="10">
        <f t="shared" si="7"/>
        <v>0.78968530700313633</v>
      </c>
      <c r="K26" s="10">
        <f t="shared" si="8"/>
        <v>0.15251708780436704</v>
      </c>
      <c r="L26" s="10">
        <f t="shared" si="9"/>
        <v>0.1513729262672811</v>
      </c>
      <c r="M26" s="10">
        <f t="shared" si="10"/>
        <v>0.9850000000000001</v>
      </c>
      <c r="N26" s="10">
        <f t="shared" si="11"/>
        <v>0.95932857142857142</v>
      </c>
      <c r="O26" s="10">
        <f t="shared" si="12"/>
        <v>0.9900000000000001</v>
      </c>
      <c r="P26" s="23">
        <f t="shared" si="13"/>
        <v>0.99902857142857138</v>
      </c>
      <c r="R26" s="81">
        <f t="shared" si="14"/>
        <v>-9.3945768942176322E-3</v>
      </c>
      <c r="S26" s="10">
        <f t="shared" si="19"/>
        <v>-4.3893298059964669E-2</v>
      </c>
      <c r="T26" s="10">
        <f t="shared" si="17"/>
        <v>-2.5671428571428678E-2</v>
      </c>
      <c r="U26" s="10">
        <f t="shared" si="18"/>
        <v>9.0285714285712748E-3</v>
      </c>
      <c r="V26" s="23"/>
    </row>
    <row r="27" spans="2:22">
      <c r="B27" s="46">
        <v>43496</v>
      </c>
      <c r="C27" s="47">
        <f t="shared" si="0"/>
        <v>5740.4153426141029</v>
      </c>
      <c r="D27" s="47">
        <f t="shared" si="1"/>
        <v>6623.7929999999997</v>
      </c>
      <c r="E27" s="47">
        <f t="shared" si="2"/>
        <v>79.600000000000009</v>
      </c>
      <c r="F27" s="47">
        <f t="shared" si="3"/>
        <v>86.578571428571422</v>
      </c>
      <c r="G27" s="47">
        <f t="shared" si="4"/>
        <v>103.20000000000002</v>
      </c>
      <c r="H27" s="47">
        <f t="shared" si="5"/>
        <v>118.99571428571427</v>
      </c>
      <c r="I27" s="49">
        <f t="shared" si="6"/>
        <v>0.78401904449227133</v>
      </c>
      <c r="J27" s="49">
        <f t="shared" si="7"/>
        <v>0.7904936664003267</v>
      </c>
      <c r="K27" s="49">
        <f t="shared" si="8"/>
        <v>0.12854371598504577</v>
      </c>
      <c r="L27" s="49">
        <f t="shared" si="9"/>
        <v>0.14899205069124427</v>
      </c>
      <c r="M27" s="49">
        <f t="shared" si="10"/>
        <v>0.9850000000000001</v>
      </c>
      <c r="N27" s="49">
        <f t="shared" si="11"/>
        <v>0.98205714285714285</v>
      </c>
      <c r="O27" s="49">
        <f t="shared" si="12"/>
        <v>0.9900000000000001</v>
      </c>
      <c r="P27" s="52">
        <f t="shared" si="13"/>
        <v>0.98977142857142852</v>
      </c>
      <c r="Q27" s="93"/>
      <c r="R27" s="92">
        <f t="shared" si="14"/>
        <v>0.15388741139131912</v>
      </c>
      <c r="S27" s="49">
        <f t="shared" si="19"/>
        <v>0.1530592469545955</v>
      </c>
      <c r="T27" s="49">
        <f t="shared" si="17"/>
        <v>-2.942857142857247E-3</v>
      </c>
      <c r="U27" s="49">
        <f t="shared" si="18"/>
        <v>-2.2857142857157786E-4</v>
      </c>
      <c r="V27" s="52"/>
    </row>
    <row r="28" spans="2:22">
      <c r="B28" s="5">
        <v>43524</v>
      </c>
      <c r="C28" s="2">
        <f t="shared" si="0"/>
        <v>7525.818534654989</v>
      </c>
      <c r="D28" s="2">
        <f t="shared" si="1"/>
        <v>6087.9960000000001</v>
      </c>
      <c r="E28" s="2">
        <f t="shared" si="2"/>
        <v>108.10000000000001</v>
      </c>
      <c r="F28" s="2">
        <f t="shared" si="3"/>
        <v>89.16</v>
      </c>
      <c r="G28" s="2">
        <f t="shared" si="4"/>
        <v>137.5</v>
      </c>
      <c r="H28" s="2">
        <f t="shared" si="5"/>
        <v>108.43999999999998</v>
      </c>
      <c r="I28" s="10">
        <f t="shared" si="6"/>
        <v>0.77162148233995198</v>
      </c>
      <c r="J28" s="10">
        <f t="shared" si="7"/>
        <v>0.82967277591803668</v>
      </c>
      <c r="K28" s="10">
        <f t="shared" si="8"/>
        <v>0.18661872234717367</v>
      </c>
      <c r="L28" s="10">
        <f t="shared" si="9"/>
        <v>0.1510895408163265</v>
      </c>
      <c r="M28" s="10">
        <f t="shared" si="10"/>
        <v>0.9850000000000001</v>
      </c>
      <c r="N28" s="10">
        <f t="shared" si="11"/>
        <v>0.94075714285714285</v>
      </c>
      <c r="O28" s="10">
        <f t="shared" si="12"/>
        <v>0.9900000000000001</v>
      </c>
      <c r="P28" s="23">
        <f t="shared" si="13"/>
        <v>0.97132857142857154</v>
      </c>
      <c r="R28" s="81">
        <f t="shared" si="14"/>
        <v>-0.19105198033065562</v>
      </c>
      <c r="S28" s="10">
        <f t="shared" si="19"/>
        <v>-0.21134545454545461</v>
      </c>
      <c r="T28" s="10">
        <f t="shared" si="17"/>
        <v>-4.424285714285725E-2</v>
      </c>
      <c r="U28" s="10">
        <f t="shared" si="18"/>
        <v>-1.8671428571428561E-2</v>
      </c>
      <c r="V28" s="23"/>
    </row>
    <row r="29" spans="2:22">
      <c r="B29" s="5">
        <v>43555</v>
      </c>
      <c r="C29" s="2">
        <f t="shared" si="0"/>
        <v>10081.089517485849</v>
      </c>
      <c r="D29" s="2">
        <f t="shared" si="1"/>
        <v>9971.3549999999996</v>
      </c>
      <c r="E29" s="2">
        <f t="shared" ref="E29:E60" si="21">AVERAGE(E286,E415,E544,AA415,AA286,AA673,AA544)</f>
        <v>161.4</v>
      </c>
      <c r="F29" s="2">
        <f t="shared" ref="F29:F60" si="22">AVERAGE(F286,F415,F544,AB415,AB286,AB673,AB544)</f>
        <v>155.13857142857142</v>
      </c>
      <c r="G29" s="2">
        <f t="shared" ref="G29:G60" si="23">AVERAGE(G286,G415,G544,AC415,AC286,AC673,AC544)</f>
        <v>187.79999999999998</v>
      </c>
      <c r="H29" s="2">
        <f t="shared" ref="H29:H60" si="24">AVERAGE(H286,H415,H544,AD415,AD286,AD673,AD544)</f>
        <v>178.39714285714285</v>
      </c>
      <c r="I29" s="10">
        <f t="shared" ref="I29:I60" si="25">AVERAGE(I286,I415,I544,AE415,AE286,AE673,AE544)</f>
        <v>0.75689738404310158</v>
      </c>
      <c r="J29" s="10">
        <f t="shared" ref="J29:J60" si="26">AVERAGE(J286,J415,J544,AF415,AF286,AF673,AF544)</f>
        <v>0.78728947466068699</v>
      </c>
      <c r="K29" s="10">
        <f t="shared" ref="K29:K60" si="27">AVERAGE(K286,K415,K544,AG415,AG286,AG673,AG544)</f>
        <v>0.22582765934265334</v>
      </c>
      <c r="L29" s="10">
        <f t="shared" ref="L29:L60" si="28">AVERAGE(L286,L415,L544,AH415,AH286,AH673,AH544)</f>
        <v>0.22423410138248848</v>
      </c>
      <c r="M29" s="10">
        <f t="shared" ref="M29:M56" si="29">AVERAGE(M158,AI158)</f>
        <v>0.98499999999999999</v>
      </c>
      <c r="N29" s="10">
        <f t="shared" ref="N29:N60" si="30">AVERAGE(N286,N415,N544,AJ415,AJ286,AJ673,AJ544)</f>
        <v>0.98984285714285725</v>
      </c>
      <c r="O29" s="10">
        <f t="shared" ref="O29:O56" si="31">AVERAGE(O158,AK158)</f>
        <v>0.99</v>
      </c>
      <c r="P29" s="23">
        <f t="shared" ref="P29:P60" si="32">AVERAGE(P286,P415,P544,AL415,AL286,AL673,AL544)</f>
        <v>0.9945857142857143</v>
      </c>
      <c r="R29" s="81">
        <f t="shared" si="14"/>
        <v>-1.0885184314206597E-2</v>
      </c>
      <c r="S29" s="10">
        <f t="shared" si="19"/>
        <v>-5.0068461889548055E-2</v>
      </c>
      <c r="T29" s="10">
        <f t="shared" si="17"/>
        <v>4.8428571428572598E-3</v>
      </c>
      <c r="U29" s="10">
        <f t="shared" si="18"/>
        <v>4.5857142857143041E-3</v>
      </c>
      <c r="V29" s="23"/>
    </row>
    <row r="30" spans="2:22">
      <c r="B30" s="25">
        <v>43585</v>
      </c>
      <c r="C30" s="26">
        <f t="shared" si="0"/>
        <v>10424.89591768309</v>
      </c>
      <c r="D30" s="26">
        <f t="shared" si="1"/>
        <v>9629.7960000000003</v>
      </c>
      <c r="E30" s="26">
        <f t="shared" si="21"/>
        <v>190.20000000000002</v>
      </c>
      <c r="F30" s="26">
        <f t="shared" si="22"/>
        <v>174.3</v>
      </c>
      <c r="G30" s="26">
        <f t="shared" si="23"/>
        <v>194</v>
      </c>
      <c r="H30" s="26">
        <f t="shared" si="24"/>
        <v>180</v>
      </c>
      <c r="I30" s="29">
        <f t="shared" si="25"/>
        <v>0.75774431741021275</v>
      </c>
      <c r="J30" s="29">
        <f t="shared" si="26"/>
        <v>0.75360980820769219</v>
      </c>
      <c r="K30" s="29">
        <f t="shared" si="27"/>
        <v>0.24132893602319588</v>
      </c>
      <c r="L30" s="29">
        <f t="shared" si="28"/>
        <v>0.22380642857142857</v>
      </c>
      <c r="M30" s="29">
        <f t="shared" si="29"/>
        <v>0.98499999999999999</v>
      </c>
      <c r="N30" s="29">
        <f t="shared" si="30"/>
        <v>0.9897999999999999</v>
      </c>
      <c r="O30" s="29">
        <f t="shared" si="31"/>
        <v>0.99</v>
      </c>
      <c r="P30" s="32">
        <f t="shared" si="32"/>
        <v>0.99422857142857146</v>
      </c>
      <c r="Q30" s="88"/>
      <c r="R30" s="87">
        <f t="shared" ref="R30:R34" si="33">D30/C30-1</f>
        <v>-7.6269338702404932E-2</v>
      </c>
      <c r="S30" s="29">
        <f t="shared" ref="S30:S34" si="34">H30/G30-1</f>
        <v>-7.2164948453608213E-2</v>
      </c>
      <c r="T30" s="29">
        <f t="shared" ref="T30:T34" si="35">N30-M30</f>
        <v>4.7999999999999154E-3</v>
      </c>
      <c r="U30" s="29">
        <f t="shared" ref="U30:U34" si="36">P30-O30</f>
        <v>4.2285714285714704E-3</v>
      </c>
      <c r="V30" s="32"/>
    </row>
    <row r="31" spans="2:22">
      <c r="B31" s="5">
        <v>43616</v>
      </c>
      <c r="C31" s="2">
        <f t="shared" si="0"/>
        <v>10562.199528240331</v>
      </c>
      <c r="D31" s="2">
        <f t="shared" si="1"/>
        <v>9636.57</v>
      </c>
      <c r="E31" s="2">
        <f t="shared" si="21"/>
        <v>197</v>
      </c>
      <c r="F31" s="2">
        <f t="shared" si="22"/>
        <v>193.06142857142854</v>
      </c>
      <c r="G31" s="2">
        <f t="shared" si="23"/>
        <v>197.70000000000002</v>
      </c>
      <c r="H31" s="2">
        <f t="shared" si="24"/>
        <v>194.22428571428571</v>
      </c>
      <c r="I31" s="10">
        <f t="shared" si="25"/>
        <v>0.75335588941717346</v>
      </c>
      <c r="J31" s="10">
        <f t="shared" si="26"/>
        <v>0.71925669330538344</v>
      </c>
      <c r="K31" s="10">
        <f t="shared" si="27"/>
        <v>0.23661997168985247</v>
      </c>
      <c r="L31" s="10">
        <f t="shared" si="28"/>
        <v>0.2175033410138249</v>
      </c>
      <c r="M31" s="10">
        <f t="shared" si="29"/>
        <v>0.98499999999999999</v>
      </c>
      <c r="N31" s="10">
        <f t="shared" si="30"/>
        <v>0.96508571428571421</v>
      </c>
      <c r="O31" s="10">
        <f t="shared" si="31"/>
        <v>0.99</v>
      </c>
      <c r="P31" s="23">
        <f t="shared" si="32"/>
        <v>0.98581428571428575</v>
      </c>
      <c r="R31" s="81">
        <f t="shared" si="33"/>
        <v>-8.7636057789427291E-2</v>
      </c>
      <c r="S31" s="10">
        <f t="shared" si="34"/>
        <v>-1.7580750054194794E-2</v>
      </c>
      <c r="T31" s="10">
        <f t="shared" si="35"/>
        <v>-1.9914285714285773E-2</v>
      </c>
      <c r="U31" s="10">
        <f t="shared" si="36"/>
        <v>-4.1857142857142371E-3</v>
      </c>
      <c r="V31" s="23"/>
    </row>
    <row r="32" spans="2:22">
      <c r="B32" s="5">
        <v>43646</v>
      </c>
      <c r="C32" s="2">
        <f t="shared" si="0"/>
        <v>9490.9761723321062</v>
      </c>
      <c r="D32" s="2">
        <f t="shared" si="1"/>
        <v>9720.48</v>
      </c>
      <c r="E32" s="2">
        <f t="shared" si="21"/>
        <v>178.90000000000003</v>
      </c>
      <c r="F32" s="2">
        <f t="shared" si="22"/>
        <v>189.64285714285714</v>
      </c>
      <c r="G32" s="2">
        <f t="shared" si="23"/>
        <v>177.20000000000002</v>
      </c>
      <c r="H32" s="2">
        <f t="shared" si="24"/>
        <v>187.20000000000002</v>
      </c>
      <c r="I32" s="10">
        <f t="shared" si="25"/>
        <v>0.75517509907854019</v>
      </c>
      <c r="J32" s="10">
        <f t="shared" si="26"/>
        <v>0.72518254069301069</v>
      </c>
      <c r="K32" s="10">
        <f t="shared" si="27"/>
        <v>0.2196829535722776</v>
      </c>
      <c r="L32" s="10">
        <f t="shared" si="28"/>
        <v>0.22547154761904764</v>
      </c>
      <c r="M32" s="10">
        <f t="shared" si="29"/>
        <v>0.98499999999999999</v>
      </c>
      <c r="N32" s="10">
        <f t="shared" si="30"/>
        <v>0.99649999999999994</v>
      </c>
      <c r="O32" s="10">
        <f t="shared" si="31"/>
        <v>0.99</v>
      </c>
      <c r="P32" s="23">
        <f t="shared" si="32"/>
        <v>0.99867142857142865</v>
      </c>
      <c r="Q32" s="112">
        <f t="shared" ref="Q32" si="37">R32-S32</f>
        <v>-3.2252141709151028E-2</v>
      </c>
      <c r="R32" s="81">
        <f t="shared" si="33"/>
        <v>2.4181266868727125E-2</v>
      </c>
      <c r="S32" s="10">
        <f t="shared" si="34"/>
        <v>5.6433408577878152E-2</v>
      </c>
      <c r="T32" s="10">
        <f t="shared" si="35"/>
        <v>1.1499999999999955E-2</v>
      </c>
      <c r="U32" s="10">
        <f t="shared" si="36"/>
        <v>8.6714285714286632E-3</v>
      </c>
      <c r="V32" s="23"/>
    </row>
    <row r="33" spans="2:22">
      <c r="B33" s="5">
        <v>43677</v>
      </c>
      <c r="C33" s="2">
        <f t="shared" si="0"/>
        <v>8409.5280633864895</v>
      </c>
      <c r="D33" s="2">
        <f t="shared" si="1"/>
        <v>7421.5499999999993</v>
      </c>
      <c r="E33" s="2">
        <f t="shared" si="21"/>
        <v>155.5</v>
      </c>
      <c r="F33" s="2">
        <f t="shared" si="22"/>
        <v>142.67714285714285</v>
      </c>
      <c r="G33" s="2">
        <f t="shared" si="23"/>
        <v>154.6</v>
      </c>
      <c r="H33" s="2">
        <f t="shared" si="24"/>
        <v>140.78714285714287</v>
      </c>
      <c r="I33" s="10">
        <f t="shared" si="25"/>
        <v>0.76682678616644251</v>
      </c>
      <c r="J33" s="10">
        <f t="shared" si="26"/>
        <v>0.77487896629129427</v>
      </c>
      <c r="K33" s="10">
        <f t="shared" si="27"/>
        <v>0.18834379003905163</v>
      </c>
      <c r="L33" s="10">
        <f t="shared" si="28"/>
        <v>0.1667873271889401</v>
      </c>
      <c r="M33" s="10">
        <f t="shared" si="29"/>
        <v>0.98499999999999999</v>
      </c>
      <c r="N33" s="10">
        <f t="shared" si="30"/>
        <v>0.94792857142857145</v>
      </c>
      <c r="O33" s="10">
        <f t="shared" si="31"/>
        <v>0.99</v>
      </c>
      <c r="P33" s="23">
        <f t="shared" si="32"/>
        <v>0.98154285714285716</v>
      </c>
      <c r="R33" s="81">
        <f t="shared" si="33"/>
        <v>-0.11748317574299583</v>
      </c>
      <c r="S33" s="10">
        <f t="shared" si="34"/>
        <v>-8.9345777120680037E-2</v>
      </c>
      <c r="T33" s="10">
        <f t="shared" si="35"/>
        <v>-3.7071428571428533E-2</v>
      </c>
      <c r="U33" s="10">
        <f t="shared" si="36"/>
        <v>-8.4571428571428298E-3</v>
      </c>
      <c r="V33" s="23"/>
    </row>
    <row r="34" spans="2:22">
      <c r="B34" s="5">
        <v>43708</v>
      </c>
      <c r="C34" s="2">
        <f t="shared" si="0"/>
        <v>7986.2056784565593</v>
      </c>
      <c r="D34" s="2">
        <f t="shared" si="1"/>
        <v>7248.9630000000006</v>
      </c>
      <c r="E34" s="2">
        <f t="shared" si="21"/>
        <v>145.4</v>
      </c>
      <c r="F34" s="2">
        <f t="shared" si="22"/>
        <v>139.57142857142858</v>
      </c>
      <c r="G34" s="2">
        <f t="shared" si="23"/>
        <v>146.29999999999998</v>
      </c>
      <c r="H34" s="2">
        <f t="shared" si="24"/>
        <v>141.42857142857142</v>
      </c>
      <c r="I34" s="10">
        <f t="shared" si="25"/>
        <v>0.7694991718160471</v>
      </c>
      <c r="J34" s="10">
        <f t="shared" si="26"/>
        <v>0.75804110251244849</v>
      </c>
      <c r="K34" s="10">
        <f t="shared" si="27"/>
        <v>0.17885332726473771</v>
      </c>
      <c r="L34" s="10">
        <f t="shared" si="28"/>
        <v>0.16352108294930875</v>
      </c>
      <c r="M34" s="10">
        <f t="shared" si="29"/>
        <v>0.98499999999999999</v>
      </c>
      <c r="N34" s="10">
        <f t="shared" si="30"/>
        <v>0.94592857142857134</v>
      </c>
      <c r="O34" s="10">
        <f t="shared" si="31"/>
        <v>0.99</v>
      </c>
      <c r="P34" s="23">
        <f t="shared" si="32"/>
        <v>0.98071428571428576</v>
      </c>
      <c r="R34" s="81">
        <f t="shared" si="33"/>
        <v>-9.2314511814456601E-2</v>
      </c>
      <c r="S34" s="10">
        <f t="shared" si="34"/>
        <v>-3.3297529538131032E-2</v>
      </c>
      <c r="T34" s="10">
        <f t="shared" si="35"/>
        <v>-3.9071428571428646E-2</v>
      </c>
      <c r="U34" s="10">
        <f t="shared" si="36"/>
        <v>-9.2857142857142305E-3</v>
      </c>
      <c r="V34" s="23"/>
    </row>
    <row r="35" spans="2:22">
      <c r="B35" s="5">
        <v>43738</v>
      </c>
      <c r="C35" s="2">
        <f t="shared" ref="C35:C66" si="38">SUM(C164,Y164)</f>
        <v>7954.6184228394322</v>
      </c>
      <c r="D35" s="2">
        <f t="shared" ref="D35:D66" si="39">SUM(D164,Z164)</f>
        <v>7614.8969999999999</v>
      </c>
      <c r="E35" s="2">
        <f t="shared" si="21"/>
        <v>141.6</v>
      </c>
      <c r="F35" s="2">
        <f t="shared" si="22"/>
        <v>142.71428571428572</v>
      </c>
      <c r="G35" s="2">
        <f t="shared" si="23"/>
        <v>145.5</v>
      </c>
      <c r="H35" s="2">
        <f t="shared" si="24"/>
        <v>151</v>
      </c>
      <c r="I35" s="10">
        <f t="shared" si="25"/>
        <v>0.7707321372759709</v>
      </c>
      <c r="J35" s="10">
        <f t="shared" si="26"/>
        <v>0.72187333098532125</v>
      </c>
      <c r="K35" s="10">
        <f t="shared" si="27"/>
        <v>0.18409900514008157</v>
      </c>
      <c r="L35" s="10">
        <f t="shared" si="28"/>
        <v>0.17644345238095238</v>
      </c>
      <c r="M35" s="10">
        <f t="shared" si="29"/>
        <v>0.98499999999999999</v>
      </c>
      <c r="N35" s="10">
        <f t="shared" si="30"/>
        <v>0.97151428571428577</v>
      </c>
      <c r="O35" s="10">
        <f t="shared" si="31"/>
        <v>0.99</v>
      </c>
      <c r="P35" s="23">
        <f t="shared" si="32"/>
        <v>0.99772857142857152</v>
      </c>
      <c r="R35" s="81">
        <f t="shared" ref="R35" si="40">D35/C35-1</f>
        <v>-4.2707444252010673E-2</v>
      </c>
      <c r="S35" s="10">
        <f t="shared" ref="S35" si="41">H35/G35-1</f>
        <v>3.7800687285223455E-2</v>
      </c>
      <c r="T35" s="10">
        <f t="shared" ref="T35" si="42">N35-M35</f>
        <v>-1.3485714285714212E-2</v>
      </c>
      <c r="U35" s="10">
        <f t="shared" ref="U35" si="43">P35-O35</f>
        <v>7.728571428571529E-3</v>
      </c>
      <c r="V35" s="23"/>
    </row>
    <row r="36" spans="2:22">
      <c r="B36" s="5">
        <v>43769</v>
      </c>
      <c r="C36" s="2">
        <f t="shared" si="38"/>
        <v>9106.0875302263939</v>
      </c>
      <c r="D36" s="2">
        <f t="shared" si="39"/>
        <v>7224.1859999999997</v>
      </c>
      <c r="E36" s="2">
        <f t="shared" si="21"/>
        <v>139.1</v>
      </c>
      <c r="F36" s="2">
        <f t="shared" si="22"/>
        <v>126.03714285714285</v>
      </c>
      <c r="G36" s="2">
        <f t="shared" si="23"/>
        <v>172.20000000000002</v>
      </c>
      <c r="H36" s="2">
        <f t="shared" si="24"/>
        <v>151.10285714285715</v>
      </c>
      <c r="I36" s="10">
        <f t="shared" si="25"/>
        <v>0.74562850417483528</v>
      </c>
      <c r="J36" s="10">
        <f t="shared" si="26"/>
        <v>0.7183480580015642</v>
      </c>
      <c r="K36" s="10">
        <f t="shared" si="27"/>
        <v>0.20398591934294044</v>
      </c>
      <c r="L36" s="10">
        <f t="shared" si="28"/>
        <v>0.16113306451612902</v>
      </c>
      <c r="M36" s="10">
        <f t="shared" si="29"/>
        <v>0.98499999999999999</v>
      </c>
      <c r="N36" s="10">
        <f t="shared" si="30"/>
        <v>0.92075714285714283</v>
      </c>
      <c r="O36" s="10">
        <f t="shared" si="31"/>
        <v>0.99</v>
      </c>
      <c r="P36" s="23">
        <f t="shared" si="32"/>
        <v>0.98880000000000012</v>
      </c>
      <c r="R36" s="81">
        <f t="shared" ref="R36:R37" si="44">D36/C36-1</f>
        <v>-0.20666411606298352</v>
      </c>
      <c r="S36" s="10">
        <f t="shared" ref="S36:S38" si="45">H36/G36-1</f>
        <v>-0.12251534760245564</v>
      </c>
      <c r="T36" s="10">
        <f t="shared" ref="T36" si="46">N36-M36</f>
        <v>-6.4242857142857157E-2</v>
      </c>
      <c r="U36" s="10">
        <f t="shared" ref="U36" si="47">P36-O36</f>
        <v>-1.1999999999998678E-3</v>
      </c>
      <c r="V36" s="23"/>
    </row>
    <row r="37" spans="2:22">
      <c r="B37" s="5">
        <v>43799</v>
      </c>
      <c r="C37" s="2">
        <f t="shared" si="38"/>
        <v>8064.7168314067112</v>
      </c>
      <c r="D37" s="2">
        <f t="shared" si="39"/>
        <v>6656.5320000000002</v>
      </c>
      <c r="E37" s="2">
        <f t="shared" si="21"/>
        <v>108.10000000000001</v>
      </c>
      <c r="F37" s="2">
        <f t="shared" si="22"/>
        <v>94.5</v>
      </c>
      <c r="G37" s="2">
        <f t="shared" si="23"/>
        <v>152.1</v>
      </c>
      <c r="H37" s="2">
        <f t="shared" si="24"/>
        <v>127.54285714285716</v>
      </c>
      <c r="I37" s="10">
        <f t="shared" si="25"/>
        <v>0.74755538340798411</v>
      </c>
      <c r="J37" s="10">
        <f t="shared" si="26"/>
        <v>0.73895088784511931</v>
      </c>
      <c r="K37" s="10">
        <f t="shared" si="27"/>
        <v>0.18666271034851517</v>
      </c>
      <c r="L37" s="10">
        <f t="shared" si="28"/>
        <v>0.1550684523809524</v>
      </c>
      <c r="M37" s="10">
        <f t="shared" si="29"/>
        <v>0.98499999999999999</v>
      </c>
      <c r="N37" s="10">
        <f t="shared" si="30"/>
        <v>0.98785714285714288</v>
      </c>
      <c r="O37" s="10">
        <f t="shared" si="31"/>
        <v>0.99</v>
      </c>
      <c r="P37" s="23">
        <f t="shared" si="32"/>
        <v>1</v>
      </c>
      <c r="R37" s="81">
        <f t="shared" si="44"/>
        <v>-0.17461057354459952</v>
      </c>
      <c r="S37" s="10">
        <f t="shared" si="45"/>
        <v>-0.16145393068469982</v>
      </c>
      <c r="T37" s="10">
        <f t="shared" ref="T37" si="48">N37-M37</f>
        <v>2.8571428571428914E-3</v>
      </c>
      <c r="U37" s="10">
        <f t="shared" ref="U37" si="49">P37-O37</f>
        <v>1.0000000000000009E-2</v>
      </c>
      <c r="V37" s="23"/>
    </row>
    <row r="38" spans="2:22">
      <c r="B38" s="46">
        <v>43830</v>
      </c>
      <c r="C38" s="47">
        <f t="shared" si="38"/>
        <v>6775.2590168116767</v>
      </c>
      <c r="D38" s="47">
        <f t="shared" si="39"/>
        <v>4876.125</v>
      </c>
      <c r="E38" s="47">
        <f t="shared" si="21"/>
        <v>89.899999999999991</v>
      </c>
      <c r="F38" s="47">
        <f t="shared" si="22"/>
        <v>68.022857142857134</v>
      </c>
      <c r="G38" s="47">
        <f t="shared" si="23"/>
        <v>129.6</v>
      </c>
      <c r="H38" s="47">
        <f t="shared" si="24"/>
        <v>93.398571428571444</v>
      </c>
      <c r="I38" s="49">
        <f t="shared" si="25"/>
        <v>0.73704167032112877</v>
      </c>
      <c r="J38" s="49">
        <f t="shared" si="26"/>
        <v>0.75575867119237039</v>
      </c>
      <c r="K38" s="49">
        <f t="shared" si="27"/>
        <v>0.15175450236534521</v>
      </c>
      <c r="L38" s="49">
        <f t="shared" si="28"/>
        <v>0.10915748847926268</v>
      </c>
      <c r="M38" s="49">
        <f t="shared" si="29"/>
        <v>0.98499999999999999</v>
      </c>
      <c r="N38" s="49">
        <f t="shared" si="30"/>
        <v>0.95968571428571425</v>
      </c>
      <c r="O38" s="49">
        <f t="shared" si="31"/>
        <v>0.99</v>
      </c>
      <c r="P38" s="52">
        <f t="shared" si="32"/>
        <v>0.99909999999999999</v>
      </c>
      <c r="Q38" s="93"/>
      <c r="R38" s="92">
        <f t="shared" ref="R38:R44" si="50">D38/C38-1</f>
        <v>-0.28030426764486671</v>
      </c>
      <c r="S38" s="49">
        <f t="shared" si="45"/>
        <v>-0.2793320105820104</v>
      </c>
      <c r="T38" s="49">
        <f t="shared" ref="T38" si="51">N38-M38</f>
        <v>-2.5314285714285734E-2</v>
      </c>
      <c r="U38" s="49">
        <f t="shared" ref="U38" si="52">P38-O38</f>
        <v>9.099999999999997E-3</v>
      </c>
      <c r="V38" s="52"/>
    </row>
    <row r="39" spans="2:22">
      <c r="B39" s="5">
        <v>43861</v>
      </c>
      <c r="C39" s="2">
        <f t="shared" si="38"/>
        <v>5711.7132659010322</v>
      </c>
      <c r="D39" s="2">
        <f t="shared" si="39"/>
        <v>4998.2250000000004</v>
      </c>
      <c r="E39" s="2">
        <f t="shared" si="21"/>
        <v>79.600000000000009</v>
      </c>
      <c r="F39" s="2">
        <f t="shared" si="22"/>
        <v>72.690000000000012</v>
      </c>
      <c r="G39" s="2">
        <f t="shared" si="23"/>
        <v>103.20000000000002</v>
      </c>
      <c r="H39" s="2">
        <f t="shared" si="24"/>
        <v>96.454285714285703</v>
      </c>
      <c r="I39" s="10">
        <f t="shared" si="25"/>
        <v>0.78009894926981005</v>
      </c>
      <c r="J39" s="10">
        <f t="shared" si="26"/>
        <v>0.79490049460733858</v>
      </c>
      <c r="K39" s="10">
        <f t="shared" si="27"/>
        <v>0.12790099740512054</v>
      </c>
      <c r="L39" s="10">
        <f t="shared" si="28"/>
        <v>0.11234412442396313</v>
      </c>
      <c r="M39" s="10">
        <f t="shared" si="29"/>
        <v>0.98499999999999999</v>
      </c>
      <c r="N39" s="10">
        <f t="shared" si="30"/>
        <v>0.90905714285714279</v>
      </c>
      <c r="O39" s="10">
        <f t="shared" si="31"/>
        <v>0.99</v>
      </c>
      <c r="P39" s="23">
        <f t="shared" si="32"/>
        <v>0.99392857142857149</v>
      </c>
      <c r="R39" s="81">
        <f t="shared" si="50"/>
        <v>-0.12491668133282563</v>
      </c>
      <c r="S39" s="10">
        <f t="shared" ref="S39" si="53">H39/G39-1</f>
        <v>-6.5365448504983603E-2</v>
      </c>
      <c r="T39" s="10">
        <f t="shared" ref="T39" si="54">N39-M39</f>
        <v>-7.5942857142857201E-2</v>
      </c>
      <c r="U39" s="10">
        <f t="shared" ref="U39" si="55">P39-O39</f>
        <v>3.9285714285715034E-3</v>
      </c>
      <c r="V39" s="23"/>
    </row>
    <row r="40" spans="2:22">
      <c r="B40" s="5">
        <v>43890</v>
      </c>
      <c r="C40" s="2">
        <f t="shared" si="38"/>
        <v>7488.1894419817127</v>
      </c>
      <c r="D40" s="2">
        <f t="shared" si="39"/>
        <v>7721.07</v>
      </c>
      <c r="E40" s="2">
        <f t="shared" si="21"/>
        <v>108.10000000000001</v>
      </c>
      <c r="F40" s="2">
        <f t="shared" si="22"/>
        <v>113.30714285714286</v>
      </c>
      <c r="G40" s="2">
        <f t="shared" si="23"/>
        <v>137.5</v>
      </c>
      <c r="H40" s="2">
        <f t="shared" si="24"/>
        <v>145.74571428571429</v>
      </c>
      <c r="I40" s="10">
        <f t="shared" si="25"/>
        <v>0.7677633749282522</v>
      </c>
      <c r="J40" s="10">
        <f t="shared" si="26"/>
        <v>0.75634888187998961</v>
      </c>
      <c r="K40" s="10">
        <f t="shared" si="27"/>
        <v>0.18019982454253342</v>
      </c>
      <c r="L40" s="10">
        <f t="shared" si="28"/>
        <v>0.18602869897959184</v>
      </c>
      <c r="M40" s="10">
        <f t="shared" si="29"/>
        <v>0.98499999999999999</v>
      </c>
      <c r="N40" s="10">
        <f t="shared" si="30"/>
        <v>0.97472857142857128</v>
      </c>
      <c r="O40" s="10">
        <f t="shared" si="31"/>
        <v>0.99</v>
      </c>
      <c r="P40" s="23">
        <f t="shared" si="32"/>
        <v>0.99831428571428571</v>
      </c>
      <c r="R40" s="81">
        <f t="shared" si="50"/>
        <v>3.1099715067659517E-2</v>
      </c>
      <c r="S40" s="10">
        <f t="shared" ref="S40" si="56">H40/G40-1</f>
        <v>5.9968831168831116E-2</v>
      </c>
      <c r="T40" s="10">
        <f t="shared" ref="T40" si="57">N40-M40</f>
        <v>-1.0271428571428709E-2</v>
      </c>
      <c r="U40" s="10">
        <f t="shared" ref="U40" si="58">P40-O40</f>
        <v>8.3142857142857185E-3</v>
      </c>
      <c r="V40" s="23"/>
    </row>
    <row r="41" spans="2:22">
      <c r="B41" s="5">
        <v>43921</v>
      </c>
      <c r="C41" s="2">
        <f t="shared" si="38"/>
        <v>10030.684069898418</v>
      </c>
      <c r="D41" s="2">
        <f t="shared" si="39"/>
        <v>9176.862000000001</v>
      </c>
      <c r="E41" s="2">
        <f t="shared" si="21"/>
        <v>161.4</v>
      </c>
      <c r="F41" s="2">
        <f t="shared" si="22"/>
        <v>151.77857142857147</v>
      </c>
      <c r="G41" s="2">
        <f t="shared" si="23"/>
        <v>187.79999999999998</v>
      </c>
      <c r="H41" s="2">
        <f t="shared" si="24"/>
        <v>171.74571428571429</v>
      </c>
      <c r="I41" s="10">
        <f t="shared" si="25"/>
        <v>0.75311289712288598</v>
      </c>
      <c r="J41" s="10">
        <f t="shared" si="26"/>
        <v>0.77945350578035166</v>
      </c>
      <c r="K41" s="10">
        <f t="shared" si="27"/>
        <v>0.22469852104594007</v>
      </c>
      <c r="L41" s="10">
        <f t="shared" si="28"/>
        <v>0.20631831797235023</v>
      </c>
      <c r="M41" s="10">
        <f t="shared" si="29"/>
        <v>0.98499999999999999</v>
      </c>
      <c r="N41" s="10">
        <f t="shared" si="30"/>
        <v>0.95550000000000002</v>
      </c>
      <c r="O41" s="10">
        <f t="shared" si="31"/>
        <v>0.99</v>
      </c>
      <c r="P41" s="23">
        <f t="shared" si="32"/>
        <v>0.99442857142857133</v>
      </c>
      <c r="Q41" s="112">
        <f t="shared" ref="Q41" si="59">R41-S41</f>
        <v>3.6505836193423402E-4</v>
      </c>
      <c r="R41" s="81">
        <f t="shared" si="50"/>
        <v>-8.5121021053857548E-2</v>
      </c>
      <c r="S41" s="10">
        <f t="shared" ref="S41" si="60">H41/G41-1</f>
        <v>-8.5486079415791782E-2</v>
      </c>
      <c r="T41" s="10">
        <f t="shared" ref="T41" si="61">N41-M41</f>
        <v>-2.9499999999999971E-2</v>
      </c>
      <c r="U41" s="10">
        <f t="shared" ref="U41" si="62">P41-O41</f>
        <v>4.4285714285713373E-3</v>
      </c>
      <c r="V41" s="23"/>
    </row>
    <row r="42" spans="2:22">
      <c r="B42" s="25">
        <v>43951</v>
      </c>
      <c r="C42" s="26">
        <f t="shared" si="38"/>
        <v>10372.771438094676</v>
      </c>
      <c r="D42" s="26">
        <f t="shared" si="39"/>
        <v>9327.5519999999997</v>
      </c>
      <c r="E42" s="26">
        <f t="shared" si="21"/>
        <v>190.20000000000002</v>
      </c>
      <c r="F42" s="26">
        <f t="shared" si="22"/>
        <v>176.27142857142857</v>
      </c>
      <c r="G42" s="26">
        <f t="shared" si="23"/>
        <v>194</v>
      </c>
      <c r="H42" s="26">
        <f t="shared" si="24"/>
        <v>177.9</v>
      </c>
      <c r="I42" s="29">
        <f t="shared" si="25"/>
        <v>0.75395559582316163</v>
      </c>
      <c r="J42" s="29">
        <f t="shared" si="26"/>
        <v>0.73887659290561847</v>
      </c>
      <c r="K42" s="29">
        <f t="shared" si="27"/>
        <v>0.24012229134307997</v>
      </c>
      <c r="L42" s="29">
        <f t="shared" si="28"/>
        <v>0.21618535714285717</v>
      </c>
      <c r="M42" s="29">
        <f t="shared" si="29"/>
        <v>0.98499999999999999</v>
      </c>
      <c r="N42" s="29">
        <f t="shared" si="30"/>
        <v>0.98687142857142862</v>
      </c>
      <c r="O42" s="29">
        <f t="shared" si="31"/>
        <v>0.99</v>
      </c>
      <c r="P42" s="32">
        <f t="shared" si="32"/>
        <v>0.99888571428571438</v>
      </c>
      <c r="Q42" s="88"/>
      <c r="R42" s="87">
        <f t="shared" si="50"/>
        <v>-0.10076568681114872</v>
      </c>
      <c r="S42" s="29">
        <f t="shared" ref="S42" si="63">H42/G42-1</f>
        <v>-8.2989690721649412E-2</v>
      </c>
      <c r="T42" s="29">
        <f t="shared" ref="T42" si="64">N42-M42</f>
        <v>1.8714285714286349E-3</v>
      </c>
      <c r="U42" s="29">
        <f t="shared" ref="U42" si="65">P42-O42</f>
        <v>8.8857142857143856E-3</v>
      </c>
      <c r="V42" s="32"/>
    </row>
    <row r="43" spans="2:22">
      <c r="B43" s="5">
        <v>43982</v>
      </c>
      <c r="C43" s="2">
        <f t="shared" si="38"/>
        <v>10509.38853059913</v>
      </c>
      <c r="D43" s="2">
        <f t="shared" si="39"/>
        <v>9570.7380000000012</v>
      </c>
      <c r="E43" s="2">
        <f t="shared" si="21"/>
        <v>197</v>
      </c>
      <c r="F43" s="2">
        <f t="shared" si="22"/>
        <v>192.11142857142858</v>
      </c>
      <c r="G43" s="2">
        <f t="shared" si="23"/>
        <v>197.70000000000002</v>
      </c>
      <c r="H43" s="2">
        <f t="shared" si="24"/>
        <v>189.80857142857144</v>
      </c>
      <c r="I43" s="10">
        <f t="shared" si="25"/>
        <v>0.74958910997008743</v>
      </c>
      <c r="J43" s="10">
        <f t="shared" si="26"/>
        <v>0.72878183558527965</v>
      </c>
      <c r="K43" s="10">
        <f t="shared" si="27"/>
        <v>0.23543687183140322</v>
      </c>
      <c r="L43" s="10">
        <f t="shared" si="28"/>
        <v>0.21511117511520741</v>
      </c>
      <c r="M43" s="10">
        <f t="shared" si="29"/>
        <v>0.98499999999999999</v>
      </c>
      <c r="N43" s="10">
        <f t="shared" si="30"/>
        <v>0.96401428571428571</v>
      </c>
      <c r="O43" s="10">
        <f t="shared" si="31"/>
        <v>0.99</v>
      </c>
      <c r="P43" s="23">
        <f t="shared" si="32"/>
        <v>0.99357142857142855</v>
      </c>
      <c r="R43" s="81">
        <f t="shared" si="50"/>
        <v>-8.9315427616569187E-2</v>
      </c>
      <c r="S43" s="10">
        <f t="shared" ref="S43:S44" si="66">H43/G43-1</f>
        <v>-3.9916178914661482E-2</v>
      </c>
      <c r="T43" s="10">
        <f t="shared" ref="T43" si="67">N43-M43</f>
        <v>-2.0985714285714274E-2</v>
      </c>
      <c r="U43" s="10">
        <f t="shared" ref="U43" si="68">P43-O43</f>
        <v>3.5714285714285587E-3</v>
      </c>
      <c r="V43" s="23"/>
    </row>
    <row r="44" spans="2:22">
      <c r="B44" s="5">
        <v>44012</v>
      </c>
      <c r="C44" s="2">
        <f t="shared" si="38"/>
        <v>9443.5212914704443</v>
      </c>
      <c r="D44" s="2">
        <f t="shared" si="39"/>
        <v>9664.5390000000007</v>
      </c>
      <c r="E44" s="2">
        <f t="shared" si="21"/>
        <v>178.90000000000003</v>
      </c>
      <c r="F44" s="2">
        <f t="shared" si="22"/>
        <v>187.68714285714285</v>
      </c>
      <c r="G44" s="2">
        <f t="shared" si="23"/>
        <v>177.20000000000002</v>
      </c>
      <c r="H44" s="2">
        <f t="shared" si="24"/>
        <v>184.34285714285713</v>
      </c>
      <c r="I44" s="10">
        <f t="shared" si="25"/>
        <v>0.75139922358314759</v>
      </c>
      <c r="J44" s="10">
        <f t="shared" si="26"/>
        <v>0.74521247355788034</v>
      </c>
      <c r="K44" s="10">
        <f t="shared" si="27"/>
        <v>0.21858453880441622</v>
      </c>
      <c r="L44" s="10">
        <f t="shared" si="28"/>
        <v>0.22416940476190475</v>
      </c>
      <c r="M44" s="10">
        <f t="shared" si="29"/>
        <v>0.98499999999999999</v>
      </c>
      <c r="N44" s="10">
        <f t="shared" si="30"/>
        <v>0.97925714285714272</v>
      </c>
      <c r="O44" s="10">
        <f t="shared" si="31"/>
        <v>0.99</v>
      </c>
      <c r="P44" s="23">
        <f t="shared" si="32"/>
        <v>0.99850000000000005</v>
      </c>
      <c r="Q44" s="112">
        <f t="shared" ref="Q44" si="69">R44-S44</f>
        <v>-1.6905414880716396E-2</v>
      </c>
      <c r="R44" s="81">
        <f t="shared" si="50"/>
        <v>2.3404162674910634E-2</v>
      </c>
      <c r="S44" s="10">
        <f t="shared" si="66"/>
        <v>4.030957755562703E-2</v>
      </c>
      <c r="T44" s="10">
        <f t="shared" ref="T44" si="70">N44-M44</f>
        <v>-5.7428571428572717E-3</v>
      </c>
      <c r="U44" s="10">
        <f t="shared" ref="U44" si="71">P44-O44</f>
        <v>8.5000000000000631E-3</v>
      </c>
      <c r="V44" s="23"/>
    </row>
    <row r="45" spans="2:22">
      <c r="B45" s="5">
        <v>44043</v>
      </c>
      <c r="C45" s="2">
        <f t="shared" si="38"/>
        <v>8367.480423069559</v>
      </c>
      <c r="D45" s="2">
        <f t="shared" si="39"/>
        <v>8199.2160000000003</v>
      </c>
      <c r="E45" s="2">
        <f t="shared" si="21"/>
        <v>155.5</v>
      </c>
      <c r="F45" s="2">
        <f t="shared" si="22"/>
        <v>155.14857142857142</v>
      </c>
      <c r="G45" s="2">
        <f t="shared" si="23"/>
        <v>154.6</v>
      </c>
      <c r="H45" s="2">
        <f t="shared" si="24"/>
        <v>153.25857142857143</v>
      </c>
      <c r="I45" s="10">
        <f t="shared" si="25"/>
        <v>0.7629926522356103</v>
      </c>
      <c r="J45" s="10">
        <f t="shared" si="26"/>
        <v>0.78381275055681265</v>
      </c>
      <c r="K45" s="10">
        <f t="shared" si="27"/>
        <v>0.1874020710888564</v>
      </c>
      <c r="L45" s="10">
        <f t="shared" si="28"/>
        <v>0.18453087557603687</v>
      </c>
      <c r="M45" s="10">
        <f t="shared" si="29"/>
        <v>0.98499999999999999</v>
      </c>
      <c r="N45" s="10">
        <f t="shared" si="30"/>
        <v>0.95221428571428568</v>
      </c>
      <c r="O45" s="10">
        <f t="shared" si="31"/>
        <v>0.99</v>
      </c>
      <c r="P45" s="23">
        <f t="shared" si="32"/>
        <v>0.98794285714285712</v>
      </c>
      <c r="R45" s="81">
        <f t="shared" ref="R45" si="72">D45/C45-1</f>
        <v>-2.0109329757813987E-2</v>
      </c>
      <c r="S45" s="10">
        <f t="shared" ref="S45:S49" si="73">H45/G45-1</f>
        <v>-8.6767695435223668E-3</v>
      </c>
      <c r="T45" s="10">
        <f t="shared" ref="T45" si="74">N45-M45</f>
        <v>-3.2785714285714307E-2</v>
      </c>
      <c r="U45" s="10">
        <f t="shared" ref="U45" si="75">P45-O45</f>
        <v>-2.0571428571428685E-3</v>
      </c>
      <c r="V45" s="23"/>
    </row>
    <row r="46" spans="2:22">
      <c r="B46" s="5">
        <v>44074</v>
      </c>
      <c r="C46" s="2">
        <f t="shared" si="38"/>
        <v>7946.2746500642761</v>
      </c>
      <c r="D46" s="2">
        <f t="shared" si="39"/>
        <v>6938.6579999999994</v>
      </c>
      <c r="E46" s="2">
        <f t="shared" si="21"/>
        <v>145.4</v>
      </c>
      <c r="F46" s="2">
        <f t="shared" si="22"/>
        <v>135.4485714285714</v>
      </c>
      <c r="G46" s="2">
        <f t="shared" si="23"/>
        <v>146.29999999999998</v>
      </c>
      <c r="H46" s="2">
        <f t="shared" si="24"/>
        <v>136.10285714285712</v>
      </c>
      <c r="I46" s="10">
        <f t="shared" si="25"/>
        <v>0.76565167595696693</v>
      </c>
      <c r="J46" s="10">
        <f t="shared" si="26"/>
        <v>0.777060559531353</v>
      </c>
      <c r="K46" s="10">
        <f t="shared" si="27"/>
        <v>0.17795906062841405</v>
      </c>
      <c r="L46" s="10">
        <f t="shared" si="28"/>
        <v>0.15568594470046082</v>
      </c>
      <c r="M46" s="10">
        <f t="shared" si="29"/>
        <v>0.98499999999999999</v>
      </c>
      <c r="N46" s="10">
        <f t="shared" si="30"/>
        <v>0.91322857142857139</v>
      </c>
      <c r="O46" s="10">
        <f t="shared" si="31"/>
        <v>0.99</v>
      </c>
      <c r="P46" s="23">
        <f t="shared" si="32"/>
        <v>0.99871428571428578</v>
      </c>
      <c r="R46" s="81">
        <f t="shared" ref="R46" si="76">D46/C46-1</f>
        <v>-0.12680365258406046</v>
      </c>
      <c r="S46" s="10">
        <f t="shared" si="73"/>
        <v>-6.9700224587442738E-2</v>
      </c>
      <c r="T46" s="10">
        <f t="shared" ref="T46" si="77">N46-M46</f>
        <v>-7.1771428571428597E-2</v>
      </c>
      <c r="U46" s="10">
        <f t="shared" ref="U46" si="78">P46-O46</f>
        <v>8.7142857142857855E-3</v>
      </c>
      <c r="V46" s="23"/>
    </row>
    <row r="47" spans="2:22">
      <c r="B47" s="5">
        <v>44104</v>
      </c>
      <c r="C47" s="2">
        <f t="shared" si="38"/>
        <v>7914.8453307252366</v>
      </c>
      <c r="D47" s="2">
        <f t="shared" si="39"/>
        <v>8041.5720000000001</v>
      </c>
      <c r="E47" s="2">
        <f t="shared" si="21"/>
        <v>141.6</v>
      </c>
      <c r="F47" s="2">
        <f t="shared" si="22"/>
        <v>146.01285714285714</v>
      </c>
      <c r="G47" s="2">
        <f t="shared" si="23"/>
        <v>145.5</v>
      </c>
      <c r="H47" s="2">
        <f t="shared" si="24"/>
        <v>156.85857142857139</v>
      </c>
      <c r="I47" s="10">
        <f t="shared" si="25"/>
        <v>0.76687847658959118</v>
      </c>
      <c r="J47" s="10">
        <f t="shared" si="26"/>
        <v>0.73593214466067436</v>
      </c>
      <c r="K47" s="10">
        <f t="shared" si="27"/>
        <v>0.18317851011438122</v>
      </c>
      <c r="L47" s="10">
        <f t="shared" si="28"/>
        <v>0.18637464285714286</v>
      </c>
      <c r="M47" s="10">
        <f t="shared" si="29"/>
        <v>0.98499999999999999</v>
      </c>
      <c r="N47" s="10">
        <f t="shared" si="30"/>
        <v>0.96942857142857142</v>
      </c>
      <c r="O47" s="10">
        <f t="shared" si="31"/>
        <v>0.99</v>
      </c>
      <c r="P47" s="23">
        <f t="shared" si="32"/>
        <v>0.9960714285714285</v>
      </c>
      <c r="R47" s="81">
        <f t="shared" ref="R47" si="79">D47/C47-1</f>
        <v>1.6011262883788069E-2</v>
      </c>
      <c r="S47" s="10">
        <f t="shared" si="73"/>
        <v>7.806578301423639E-2</v>
      </c>
      <c r="T47" s="10">
        <f t="shared" ref="T47" si="80">N47-M47</f>
        <v>-1.5571428571428569E-2</v>
      </c>
      <c r="U47" s="10">
        <f t="shared" ref="U47" si="81">P47-O47</f>
        <v>6.0714285714285054E-3</v>
      </c>
      <c r="V47" s="23"/>
    </row>
    <row r="48" spans="2:22">
      <c r="B48" s="5">
        <v>44135</v>
      </c>
      <c r="C48" s="2">
        <f t="shared" si="38"/>
        <v>9060.5570925752618</v>
      </c>
      <c r="D48" s="2">
        <f t="shared" si="39"/>
        <v>8703.2160000000003</v>
      </c>
      <c r="E48" s="2">
        <f t="shared" si="21"/>
        <v>139.1</v>
      </c>
      <c r="F48" s="2">
        <f t="shared" si="22"/>
        <v>137.46428571428575</v>
      </c>
      <c r="G48" s="2">
        <f t="shared" si="23"/>
        <v>172.20000000000002</v>
      </c>
      <c r="H48" s="2">
        <f t="shared" si="24"/>
        <v>173.15714285714287</v>
      </c>
      <c r="I48" s="10">
        <f t="shared" si="25"/>
        <v>0.74190036165396123</v>
      </c>
      <c r="J48" s="10">
        <f t="shared" si="26"/>
        <v>0.70397004146610265</v>
      </c>
      <c r="K48" s="10">
        <f t="shared" si="27"/>
        <v>0.20296598974622571</v>
      </c>
      <c r="L48" s="10">
        <f t="shared" si="28"/>
        <v>0.19564274193548387</v>
      </c>
      <c r="M48" s="10">
        <f t="shared" si="29"/>
        <v>0.98499999999999999</v>
      </c>
      <c r="N48" s="10">
        <f t="shared" si="30"/>
        <v>0.99508571428571435</v>
      </c>
      <c r="O48" s="10">
        <f t="shared" si="31"/>
        <v>0.99</v>
      </c>
      <c r="P48" s="23">
        <f t="shared" si="32"/>
        <v>0.99987142857142863</v>
      </c>
      <c r="R48" s="81">
        <f t="shared" ref="R48" si="82">D48/C48-1</f>
        <v>-3.9439196610557947E-2</v>
      </c>
      <c r="S48" s="10">
        <f t="shared" si="73"/>
        <v>5.5583208893312808E-3</v>
      </c>
      <c r="T48" s="10">
        <f t="shared" ref="T48" si="83">N48-M48</f>
        <v>1.0085714285714364E-2</v>
      </c>
      <c r="U48" s="10">
        <f t="shared" ref="U48" si="84">P48-O48</f>
        <v>9.8714285714286421E-3</v>
      </c>
      <c r="V48" s="23"/>
    </row>
    <row r="49" spans="2:22">
      <c r="B49" s="5">
        <v>44165</v>
      </c>
      <c r="C49" s="2">
        <f t="shared" si="38"/>
        <v>8024.3932472496781</v>
      </c>
      <c r="D49" s="2">
        <f t="shared" si="39"/>
        <v>6803.3460000000005</v>
      </c>
      <c r="E49" s="2">
        <f t="shared" si="21"/>
        <v>108.10000000000001</v>
      </c>
      <c r="F49" s="2">
        <f t="shared" si="22"/>
        <v>101.78285714285714</v>
      </c>
      <c r="G49" s="2">
        <f t="shared" si="23"/>
        <v>152.1</v>
      </c>
      <c r="H49" s="2">
        <f t="shared" si="24"/>
        <v>141.90714285714287</v>
      </c>
      <c r="I49" s="10">
        <f t="shared" si="25"/>
        <v>0.74381760649094453</v>
      </c>
      <c r="J49" s="10">
        <f t="shared" si="26"/>
        <v>0.69482303909823817</v>
      </c>
      <c r="K49" s="10">
        <f t="shared" si="27"/>
        <v>0.18572939679677256</v>
      </c>
      <c r="L49" s="10">
        <f t="shared" si="28"/>
        <v>0.15805666666666668</v>
      </c>
      <c r="M49" s="10">
        <f t="shared" si="29"/>
        <v>0.98499999999999999</v>
      </c>
      <c r="N49" s="10">
        <f t="shared" si="30"/>
        <v>0.96161428571428564</v>
      </c>
      <c r="O49" s="10">
        <f t="shared" si="31"/>
        <v>0.99</v>
      </c>
      <c r="P49" s="23">
        <f t="shared" si="32"/>
        <v>0.99629999999999985</v>
      </c>
      <c r="R49" s="81">
        <f t="shared" ref="R49:R51" si="85">D49/C49-1</f>
        <v>-0.1521669252274227</v>
      </c>
      <c r="S49" s="10">
        <f t="shared" si="73"/>
        <v>-6.7014182398797639E-2</v>
      </c>
      <c r="T49" s="10">
        <f t="shared" ref="T49" si="86">N49-M49</f>
        <v>-2.3385714285714343E-2</v>
      </c>
      <c r="U49" s="10">
        <f t="shared" ref="U49" si="87">P49-O49</f>
        <v>6.2999999999998613E-3</v>
      </c>
      <c r="V49" s="23"/>
    </row>
    <row r="50" spans="2:22">
      <c r="B50" s="5">
        <v>44196</v>
      </c>
      <c r="C50" s="2">
        <f t="shared" si="38"/>
        <v>6741.3827217276194</v>
      </c>
      <c r="D50" s="2">
        <f t="shared" si="39"/>
        <v>6010.2150000000001</v>
      </c>
      <c r="E50" s="2">
        <f t="shared" si="21"/>
        <v>89.899999999999991</v>
      </c>
      <c r="F50" s="2">
        <f t="shared" si="22"/>
        <v>82.689999999999984</v>
      </c>
      <c r="G50" s="2">
        <f t="shared" si="23"/>
        <v>129.6</v>
      </c>
      <c r="H50" s="2">
        <f t="shared" si="24"/>
        <v>119.57285714285715</v>
      </c>
      <c r="I50" s="10">
        <f t="shared" si="25"/>
        <v>0.73335646196952309</v>
      </c>
      <c r="J50" s="10">
        <f t="shared" si="26"/>
        <v>0.70526705601358464</v>
      </c>
      <c r="K50" s="10">
        <f t="shared" si="27"/>
        <v>0.1509957298535185</v>
      </c>
      <c r="L50" s="10">
        <f t="shared" si="28"/>
        <v>0.13495437788018433</v>
      </c>
      <c r="M50" s="10">
        <f t="shared" si="29"/>
        <v>0.98499999999999999</v>
      </c>
      <c r="N50" s="10">
        <f t="shared" si="30"/>
        <v>0.99208571428571435</v>
      </c>
      <c r="O50" s="10">
        <f t="shared" si="31"/>
        <v>0.99</v>
      </c>
      <c r="P50" s="23">
        <f t="shared" si="32"/>
        <v>0.99785714285714278</v>
      </c>
      <c r="R50" s="81">
        <f t="shared" si="85"/>
        <v>-0.1084596071620515</v>
      </c>
      <c r="S50" s="10">
        <f>H50/G50-1</f>
        <v>-7.7369929453262709E-2</v>
      </c>
      <c r="T50" s="10">
        <f t="shared" ref="T50:T51" si="88">N50-M50</f>
        <v>7.0857142857143618E-3</v>
      </c>
      <c r="U50" s="10">
        <f t="shared" ref="U50:U51" si="89">P50-O50</f>
        <v>7.8571428571427848E-3</v>
      </c>
      <c r="V50" s="23"/>
    </row>
    <row r="51" spans="2:22">
      <c r="B51" s="5">
        <v>44227</v>
      </c>
      <c r="C51" s="2">
        <f t="shared" si="38"/>
        <v>5683.1546995715271</v>
      </c>
      <c r="D51" s="2">
        <f t="shared" si="39"/>
        <v>4736.9610000000002</v>
      </c>
      <c r="E51" s="2">
        <f t="shared" si="21"/>
        <v>79.600000000000009</v>
      </c>
      <c r="F51" s="2">
        <f t="shared" si="22"/>
        <v>70.34571428571428</v>
      </c>
      <c r="G51" s="2">
        <f t="shared" si="23"/>
        <v>103.20000000000002</v>
      </c>
      <c r="H51" s="2">
        <f t="shared" si="24"/>
        <v>92.548571428571435</v>
      </c>
      <c r="I51" s="10">
        <f t="shared" si="25"/>
        <v>0.77619845452346092</v>
      </c>
      <c r="J51" s="10">
        <f t="shared" si="26"/>
        <v>0.72444785173470139</v>
      </c>
      <c r="K51" s="10">
        <f t="shared" si="27"/>
        <v>0.12726149241809495</v>
      </c>
      <c r="L51" s="10">
        <f t="shared" si="28"/>
        <v>0.1065841013824885</v>
      </c>
      <c r="M51" s="10">
        <f t="shared" si="29"/>
        <v>0.98499999999999999</v>
      </c>
      <c r="N51" s="10">
        <f t="shared" si="30"/>
        <v>0.98554285714285705</v>
      </c>
      <c r="O51" s="10">
        <f t="shared" si="31"/>
        <v>0.99</v>
      </c>
      <c r="P51" s="23">
        <f t="shared" si="32"/>
        <v>1</v>
      </c>
      <c r="R51" s="81">
        <f t="shared" si="85"/>
        <v>-0.16649092794233877</v>
      </c>
      <c r="S51" s="10">
        <f>H51/G51-1</f>
        <v>-0.10321151716500565</v>
      </c>
      <c r="T51" s="10">
        <f t="shared" si="88"/>
        <v>5.4285714285706721E-4</v>
      </c>
      <c r="U51" s="10">
        <f t="shared" si="89"/>
        <v>1.0000000000000009E-2</v>
      </c>
      <c r="V51" s="23"/>
    </row>
    <row r="52" spans="2:22">
      <c r="B52" s="5">
        <v>44255</v>
      </c>
      <c r="C52" s="2">
        <f t="shared" si="38"/>
        <v>7450.7484947718049</v>
      </c>
      <c r="D52" s="2">
        <f t="shared" si="39"/>
        <v>6671.4840000000004</v>
      </c>
      <c r="E52" s="2">
        <f t="shared" si="21"/>
        <v>108.10000000000001</v>
      </c>
      <c r="F52" s="2">
        <f t="shared" si="22"/>
        <v>106.64999999999999</v>
      </c>
      <c r="G52" s="2">
        <f t="shared" si="23"/>
        <v>137.5</v>
      </c>
      <c r="H52" s="2">
        <f t="shared" si="24"/>
        <v>141.06857142857146</v>
      </c>
      <c r="I52" s="10">
        <f t="shared" si="25"/>
        <v>0.76392455805361092</v>
      </c>
      <c r="J52" s="10">
        <f t="shared" si="26"/>
        <v>0.74568610701328153</v>
      </c>
      <c r="K52" s="10">
        <f t="shared" si="27"/>
        <v>0.1847572005917606</v>
      </c>
      <c r="L52" s="10">
        <f t="shared" si="28"/>
        <v>0.16599591836734695</v>
      </c>
      <c r="M52" s="10">
        <f t="shared" si="29"/>
        <v>0.98499999999999999</v>
      </c>
      <c r="N52" s="10">
        <f t="shared" si="30"/>
        <v>0.8839049837755103</v>
      </c>
      <c r="O52" s="10">
        <f t="shared" si="31"/>
        <v>0.99</v>
      </c>
      <c r="P52" s="23">
        <f t="shared" si="32"/>
        <v>1</v>
      </c>
      <c r="R52" s="81">
        <f t="shared" ref="R52" si="90">D52/C52-1</f>
        <v>-0.10458875310562621</v>
      </c>
      <c r="S52" s="10">
        <f>H52/G52-1</f>
        <v>2.5953246753247061E-2</v>
      </c>
      <c r="T52" s="10">
        <f t="shared" ref="T52" si="91">N52-M52</f>
        <v>-0.10109501622448969</v>
      </c>
      <c r="U52" s="10">
        <f t="shared" ref="U52" si="92">P52-O52</f>
        <v>1.0000000000000009E-2</v>
      </c>
      <c r="V52" s="23"/>
    </row>
    <row r="53" spans="2:22">
      <c r="B53" s="5">
        <v>44286</v>
      </c>
      <c r="C53" s="2">
        <f t="shared" si="38"/>
        <v>9980.5306495489276</v>
      </c>
      <c r="D53" s="2">
        <f t="shared" si="39"/>
        <v>9085.1850000000013</v>
      </c>
      <c r="E53" s="2">
        <f t="shared" si="21"/>
        <v>161.4</v>
      </c>
      <c r="F53" s="2">
        <f t="shared" si="22"/>
        <v>156.04428571428571</v>
      </c>
      <c r="G53" s="2">
        <f t="shared" si="23"/>
        <v>187.79999999999998</v>
      </c>
      <c r="H53" s="2">
        <f t="shared" si="24"/>
        <v>180.47142857142859</v>
      </c>
      <c r="I53" s="10">
        <f t="shared" si="25"/>
        <v>0.7493473326372716</v>
      </c>
      <c r="J53" s="10">
        <f t="shared" si="26"/>
        <v>0.71308937046595477</v>
      </c>
      <c r="K53" s="10">
        <f t="shared" si="27"/>
        <v>0.22357502844071037</v>
      </c>
      <c r="L53" s="10">
        <f t="shared" si="28"/>
        <v>0.20407073732718897</v>
      </c>
      <c r="M53" s="10">
        <f t="shared" si="29"/>
        <v>0.98499999999999999</v>
      </c>
      <c r="N53" s="10">
        <f t="shared" si="30"/>
        <v>0.98346866359447005</v>
      </c>
      <c r="O53" s="10">
        <f t="shared" si="31"/>
        <v>0.99</v>
      </c>
      <c r="P53" s="23">
        <f t="shared" si="32"/>
        <v>1</v>
      </c>
      <c r="Q53" s="112">
        <f t="shared" ref="Q53" si="93">R53-S53</f>
        <v>-5.0685945942545163E-2</v>
      </c>
      <c r="R53" s="81">
        <f t="shared" ref="R53:R54" si="94">D53/C53-1</f>
        <v>-8.9709222984991399E-2</v>
      </c>
      <c r="S53" s="10">
        <f>H53/G53-1</f>
        <v>-3.9023277042446236E-2</v>
      </c>
      <c r="T53" s="10">
        <f t="shared" ref="T53:T54" si="95">N53-M53</f>
        <v>-1.5313364055299372E-3</v>
      </c>
      <c r="U53" s="10">
        <f t="shared" ref="U53:U54" si="96">P53-O53</f>
        <v>1.0000000000000009E-2</v>
      </c>
      <c r="V53" s="23"/>
    </row>
    <row r="54" spans="2:22">
      <c r="B54" s="25">
        <v>44316</v>
      </c>
      <c r="C54" s="26">
        <f t="shared" si="38"/>
        <v>10320.907580904204</v>
      </c>
      <c r="D54" s="26">
        <f t="shared" si="39"/>
        <v>9163.6530000000002</v>
      </c>
      <c r="E54" s="26">
        <f t="shared" si="21"/>
        <v>190.20000000000002</v>
      </c>
      <c r="F54" s="26">
        <f t="shared" si="22"/>
        <v>180.42428571428573</v>
      </c>
      <c r="G54" s="26">
        <f t="shared" si="23"/>
        <v>194</v>
      </c>
      <c r="H54" s="26">
        <f t="shared" si="24"/>
        <v>184.00714285714281</v>
      </c>
      <c r="I54" s="29">
        <f t="shared" si="25"/>
        <v>0.75018581784404581</v>
      </c>
      <c r="J54" s="29">
        <f t="shared" si="26"/>
        <v>0.71329237265169732</v>
      </c>
      <c r="K54" s="29">
        <f t="shared" si="27"/>
        <v>0.23892167988636454</v>
      </c>
      <c r="L54" s="29">
        <f t="shared" si="28"/>
        <v>0.21265666666666666</v>
      </c>
      <c r="M54" s="29">
        <f t="shared" si="29"/>
        <v>0.98499999999999999</v>
      </c>
      <c r="N54" s="29">
        <f t="shared" si="30"/>
        <v>0.97241520142857141</v>
      </c>
      <c r="O54" s="29">
        <f t="shared" si="31"/>
        <v>0.99</v>
      </c>
      <c r="P54" s="32">
        <f t="shared" si="32"/>
        <v>0.98684285714285713</v>
      </c>
      <c r="Q54" s="112">
        <f>R54-S54</f>
        <v>-6.0617637989057838E-2</v>
      </c>
      <c r="R54" s="87">
        <f t="shared" si="94"/>
        <v>-0.11212721089038358</v>
      </c>
      <c r="S54" s="29">
        <f t="shared" ref="S54" si="97">H54/G54-1</f>
        <v>-5.150957290132574E-2</v>
      </c>
      <c r="T54" s="29">
        <f t="shared" si="95"/>
        <v>-1.2584798571428579E-2</v>
      </c>
      <c r="U54" s="29">
        <f t="shared" si="96"/>
        <v>-3.1571428571428584E-3</v>
      </c>
      <c r="V54" s="23">
        <f t="shared" ref="V54:V86" si="98">AVERAGE(V183,AR183)</f>
        <v>-2.2988489405757997E-2</v>
      </c>
    </row>
    <row r="55" spans="2:22">
      <c r="B55" s="5">
        <v>44347</v>
      </c>
      <c r="C55" s="2">
        <f t="shared" si="38"/>
        <v>10456.841587946134</v>
      </c>
      <c r="D55" s="2">
        <f t="shared" si="39"/>
        <v>8839.0949999999993</v>
      </c>
      <c r="E55" s="2">
        <f t="shared" si="21"/>
        <v>197</v>
      </c>
      <c r="F55" s="2">
        <f t="shared" si="22"/>
        <v>178.85</v>
      </c>
      <c r="G55" s="2">
        <f t="shared" si="23"/>
        <v>197.70000000000002</v>
      </c>
      <c r="H55" s="2">
        <f t="shared" si="24"/>
        <v>179.22428571428571</v>
      </c>
      <c r="I55" s="10">
        <f t="shared" si="25"/>
        <v>0.74584116442023696</v>
      </c>
      <c r="J55" s="10">
        <f t="shared" si="26"/>
        <v>0.7194391408235713</v>
      </c>
      <c r="K55" s="10">
        <f t="shared" si="27"/>
        <v>0.23425968747224624</v>
      </c>
      <c r="L55" s="10">
        <f t="shared" si="28"/>
        <v>0.1981184331797235</v>
      </c>
      <c r="M55" s="10">
        <f t="shared" si="29"/>
        <v>0.98499999999999999</v>
      </c>
      <c r="N55" s="10">
        <f t="shared" si="30"/>
        <v>0.9526714285714285</v>
      </c>
      <c r="O55" s="10">
        <f t="shared" si="31"/>
        <v>0.99</v>
      </c>
      <c r="P55" s="23">
        <f t="shared" si="32"/>
        <v>1</v>
      </c>
      <c r="Q55" s="112">
        <f t="shared" ref="Q55:Q125" si="99">R55-S55</f>
        <v>-6.1253715458868929E-2</v>
      </c>
      <c r="R55" s="81">
        <f t="shared" ref="R55:R57" si="100">D55/C55-1</f>
        <v>-0.154706999655704</v>
      </c>
      <c r="S55" s="10">
        <f t="shared" ref="S55:S57" si="101">H55/G55-1</f>
        <v>-9.3453284196835074E-2</v>
      </c>
      <c r="T55" s="10">
        <f t="shared" ref="T55:T57" si="102">N55-M55</f>
        <v>-3.2328571428571484E-2</v>
      </c>
      <c r="U55" s="10">
        <f t="shared" ref="U55:U57" si="103">P55-O55</f>
        <v>1.0000000000000009E-2</v>
      </c>
      <c r="V55" s="23">
        <f t="shared" si="98"/>
        <v>-1.5306888640116735E-2</v>
      </c>
    </row>
    <row r="56" spans="2:22">
      <c r="B56" s="5">
        <v>44377</v>
      </c>
      <c r="C56" s="2">
        <f t="shared" si="38"/>
        <v>9396.303685013092</v>
      </c>
      <c r="D56" s="2">
        <f t="shared" si="39"/>
        <v>9445.7219999999998</v>
      </c>
      <c r="E56" s="2">
        <f t="shared" si="21"/>
        <v>178.90000000000003</v>
      </c>
      <c r="F56" s="2">
        <f t="shared" si="22"/>
        <v>183.06714285714284</v>
      </c>
      <c r="G56" s="2">
        <f t="shared" si="23"/>
        <v>177.20000000000002</v>
      </c>
      <c r="H56" s="2">
        <f t="shared" si="24"/>
        <v>181.20571428571427</v>
      </c>
      <c r="I56" s="10">
        <f t="shared" si="25"/>
        <v>0.74764222746523179</v>
      </c>
      <c r="J56" s="10">
        <f t="shared" si="26"/>
        <v>0.73164112201204445</v>
      </c>
      <c r="K56" s="10">
        <f t="shared" si="27"/>
        <v>0.21749161611039414</v>
      </c>
      <c r="L56" s="10">
        <f t="shared" si="28"/>
        <v>0.2191059523809524</v>
      </c>
      <c r="M56" s="10">
        <f t="shared" si="29"/>
        <v>0.98499999999999999</v>
      </c>
      <c r="N56" s="10">
        <f t="shared" si="30"/>
        <v>0.99152999999999991</v>
      </c>
      <c r="O56" s="10">
        <f t="shared" si="31"/>
        <v>0.99</v>
      </c>
      <c r="P56" s="23">
        <f t="shared" si="32"/>
        <v>1</v>
      </c>
      <c r="Q56" s="112">
        <f t="shared" si="99"/>
        <v>-1.7346275439141579E-2</v>
      </c>
      <c r="R56" s="81">
        <f t="shared" si="100"/>
        <v>5.2593356540540093E-3</v>
      </c>
      <c r="S56" s="10">
        <f t="shared" si="101"/>
        <v>2.2605611093195588E-2</v>
      </c>
      <c r="T56" s="10">
        <f t="shared" si="102"/>
        <v>6.5299999999999248E-3</v>
      </c>
      <c r="U56" s="10">
        <f t="shared" si="103"/>
        <v>1.0000000000000009E-2</v>
      </c>
      <c r="V56" s="23">
        <f t="shared" si="98"/>
        <v>-1.8170833333333331E-2</v>
      </c>
    </row>
    <row r="57" spans="2:22">
      <c r="B57" s="5">
        <v>44408</v>
      </c>
      <c r="C57" s="2">
        <f t="shared" si="38"/>
        <v>8325.6430209542104</v>
      </c>
      <c r="D57" s="2">
        <f t="shared" si="39"/>
        <v>7519.5569999999998</v>
      </c>
      <c r="E57" s="2">
        <f t="shared" si="21"/>
        <v>155.5</v>
      </c>
      <c r="F57" s="2">
        <f t="shared" si="22"/>
        <v>145.32428571428574</v>
      </c>
      <c r="G57" s="2">
        <f t="shared" si="23"/>
        <v>154.6</v>
      </c>
      <c r="H57" s="2">
        <f t="shared" si="24"/>
        <v>144.66</v>
      </c>
      <c r="I57" s="10">
        <f t="shared" si="25"/>
        <v>0.75917768897443216</v>
      </c>
      <c r="J57" s="10">
        <f t="shared" si="26"/>
        <v>0.76061972008018652</v>
      </c>
      <c r="K57" s="10">
        <f t="shared" si="27"/>
        <v>0.1864650607334121</v>
      </c>
      <c r="L57" s="10">
        <f t="shared" si="28"/>
        <v>0.16867430875576034</v>
      </c>
      <c r="M57" s="10">
        <f>AVERAGE(M186,AI253)</f>
        <v>0.98499999999999988</v>
      </c>
      <c r="N57" s="10">
        <f t="shared" si="30"/>
        <v>0.95122764976958529</v>
      </c>
      <c r="O57" s="10">
        <f>AVERAGE(O186,AK253)</f>
        <v>0.99</v>
      </c>
      <c r="P57" s="23">
        <f t="shared" si="32"/>
        <v>1</v>
      </c>
      <c r="Q57" s="112">
        <f t="shared" si="99"/>
        <v>-3.2524716614685034E-2</v>
      </c>
      <c r="R57" s="81">
        <f t="shared" si="100"/>
        <v>-9.6819671336547897E-2</v>
      </c>
      <c r="S57" s="10">
        <f t="shared" si="101"/>
        <v>-6.4294954721862863E-2</v>
      </c>
      <c r="T57" s="10">
        <f t="shared" si="102"/>
        <v>-3.3772350230414583E-2</v>
      </c>
      <c r="U57" s="10">
        <f t="shared" si="103"/>
        <v>1.0000000000000009E-2</v>
      </c>
      <c r="V57" s="23">
        <f t="shared" si="98"/>
        <v>-8.395833333333335E-3</v>
      </c>
    </row>
    <row r="58" spans="2:22">
      <c r="B58" s="5">
        <v>44439</v>
      </c>
      <c r="C58" s="2">
        <f t="shared" si="38"/>
        <v>7906.5432768139544</v>
      </c>
      <c r="D58" s="2">
        <f t="shared" si="39"/>
        <v>7632.7379999999994</v>
      </c>
      <c r="E58" s="2">
        <f t="shared" si="21"/>
        <v>145.4</v>
      </c>
      <c r="F58" s="2">
        <f t="shared" si="22"/>
        <v>141.01000000000002</v>
      </c>
      <c r="G58" s="2">
        <f t="shared" si="23"/>
        <v>146.29999999999998</v>
      </c>
      <c r="H58" s="2">
        <f t="shared" si="24"/>
        <v>143.47171428571428</v>
      </c>
      <c r="I58" s="10">
        <f t="shared" si="25"/>
        <v>0.76182341757718197</v>
      </c>
      <c r="J58" s="10">
        <f t="shared" si="26"/>
        <v>0.75336708934050944</v>
      </c>
      <c r="K58" s="10">
        <f t="shared" si="27"/>
        <v>0.17706926532527195</v>
      </c>
      <c r="L58" s="10">
        <f t="shared" si="28"/>
        <v>0.17134815668202763</v>
      </c>
      <c r="M58" s="10">
        <f>AVERAGE(M187,AI254)</f>
        <v>0.98499999999999988</v>
      </c>
      <c r="N58" s="10">
        <f t="shared" si="30"/>
        <v>0.98283875852534563</v>
      </c>
      <c r="O58" s="10">
        <f>AVERAGE(O187,AK254)</f>
        <v>0.99</v>
      </c>
      <c r="P58" s="23">
        <f t="shared" si="32"/>
        <v>0.99828571428571422</v>
      </c>
      <c r="Q58" s="112">
        <f t="shared" si="99"/>
        <v>-1.529811640415546E-2</v>
      </c>
      <c r="R58" s="81">
        <f t="shared" ref="R58" si="104">D58/C58-1</f>
        <v>-3.4630212879108946E-2</v>
      </c>
      <c r="S58" s="10">
        <f t="shared" ref="S58" si="105">H58/G58-1</f>
        <v>-1.9332096474953486E-2</v>
      </c>
      <c r="T58" s="10">
        <f t="shared" ref="T58" si="106">N58-M58</f>
        <v>-2.1612414746542408E-3</v>
      </c>
      <c r="U58" s="10">
        <f t="shared" ref="U58" si="107">P58-O58</f>
        <v>8.2857142857142296E-3</v>
      </c>
      <c r="V58" s="23">
        <f t="shared" si="98"/>
        <v>-5.8958333333333328E-3</v>
      </c>
    </row>
    <row r="59" spans="2:22">
      <c r="B59" s="5">
        <v>44469</v>
      </c>
      <c r="C59" s="2">
        <f t="shared" si="38"/>
        <v>7875.2711040716094</v>
      </c>
      <c r="D59" s="2">
        <f t="shared" si="39"/>
        <v>7273.2209999999995</v>
      </c>
      <c r="E59" s="2">
        <f t="shared" si="21"/>
        <v>141.6</v>
      </c>
      <c r="F59" s="2">
        <f t="shared" si="22"/>
        <v>130.76285714285714</v>
      </c>
      <c r="G59" s="2">
        <f t="shared" si="23"/>
        <v>145.5</v>
      </c>
      <c r="H59" s="2">
        <f t="shared" si="24"/>
        <v>141.10142857142858</v>
      </c>
      <c r="I59" s="10">
        <f t="shared" si="25"/>
        <v>0.76304408420664327</v>
      </c>
      <c r="J59" s="10">
        <f t="shared" si="26"/>
        <v>0.72514487868941224</v>
      </c>
      <c r="K59" s="10">
        <f t="shared" si="27"/>
        <v>0.18226261756380932</v>
      </c>
      <c r="L59" s="10">
        <f t="shared" si="28"/>
        <v>0.16859190476190475</v>
      </c>
      <c r="M59" s="10">
        <f>AVERAGE(M188,AI255)</f>
        <v>0.98499999999999988</v>
      </c>
      <c r="N59" s="10">
        <f t="shared" si="30"/>
        <v>0.98853980550476206</v>
      </c>
      <c r="O59" s="10">
        <f>AVERAGE(O188,AK255)</f>
        <v>0.99</v>
      </c>
      <c r="P59" s="23">
        <f t="shared" si="32"/>
        <v>0.99836904761904754</v>
      </c>
      <c r="Q59" s="112">
        <f t="shared" si="99"/>
        <v>-4.6217443600102048E-2</v>
      </c>
      <c r="R59" s="81">
        <f t="shared" ref="R59:R60" si="108">D59/C59-1</f>
        <v>-7.6448175067946877E-2</v>
      </c>
      <c r="S59" s="10">
        <f t="shared" ref="S59:S60" si="109">H59/G59-1</f>
        <v>-3.0230731467844829E-2</v>
      </c>
      <c r="T59" s="10">
        <f t="shared" ref="T59:T60" si="110">N59-M59</f>
        <v>3.5398055047621835E-3</v>
      </c>
      <c r="U59" s="10">
        <f t="shared" ref="U59:U60" si="111">P59-O59</f>
        <v>8.3690476190475538E-3</v>
      </c>
      <c r="V59" s="23">
        <f t="shared" si="98"/>
        <v>-4.2416666666666662E-3</v>
      </c>
    </row>
    <row r="60" spans="2:22">
      <c r="B60" s="5">
        <v>44500</v>
      </c>
      <c r="C60" s="2">
        <f t="shared" si="38"/>
        <v>9015.2543071123873</v>
      </c>
      <c r="D60" s="2">
        <f t="shared" si="39"/>
        <v>8348.4210000000003</v>
      </c>
      <c r="E60" s="2">
        <f t="shared" si="21"/>
        <v>139.1</v>
      </c>
      <c r="F60" s="2">
        <f t="shared" si="22"/>
        <v>128.87714285714284</v>
      </c>
      <c r="G60" s="2">
        <f t="shared" si="23"/>
        <v>172.20000000000002</v>
      </c>
      <c r="H60" s="2">
        <f t="shared" si="24"/>
        <v>161.27428571428572</v>
      </c>
      <c r="I60" s="10">
        <f t="shared" si="25"/>
        <v>0.73819085984569133</v>
      </c>
      <c r="J60" s="10">
        <f t="shared" si="26"/>
        <v>0.73312577524870892</v>
      </c>
      <c r="K60" s="10">
        <f t="shared" si="27"/>
        <v>0.20195115979749456</v>
      </c>
      <c r="L60" s="10">
        <f t="shared" si="28"/>
        <v>0.18733122119815668</v>
      </c>
      <c r="M60" s="10">
        <f>AVERAGE(M189,AI256)</f>
        <v>0.98499999999999988</v>
      </c>
      <c r="N60" s="10">
        <f t="shared" si="30"/>
        <v>0.98232939285714305</v>
      </c>
      <c r="O60" s="10">
        <f>AVERAGE(O189,AK256)</f>
        <v>0.99</v>
      </c>
      <c r="P60" s="23">
        <f t="shared" si="32"/>
        <v>0.99910783410138237</v>
      </c>
      <c r="Q60" s="112">
        <f t="shared" si="99"/>
        <v>-1.0519402782572018E-2</v>
      </c>
      <c r="R60" s="81">
        <f t="shared" si="108"/>
        <v>-7.3967220934222921E-2</v>
      </c>
      <c r="S60" s="10">
        <f t="shared" si="109"/>
        <v>-6.3447818151650903E-2</v>
      </c>
      <c r="T60" s="10">
        <f t="shared" si="110"/>
        <v>-2.670607142856829E-3</v>
      </c>
      <c r="U60" s="10">
        <f t="shared" si="111"/>
        <v>9.1078341013823838E-3</v>
      </c>
      <c r="V60" s="23">
        <f t="shared" si="98"/>
        <v>-2.0187499999999997E-2</v>
      </c>
    </row>
    <row r="61" spans="2:22">
      <c r="B61" s="5">
        <v>44530</v>
      </c>
      <c r="C61" s="2">
        <f t="shared" si="38"/>
        <v>7984.2712810134299</v>
      </c>
      <c r="D61" s="2">
        <f t="shared" si="39"/>
        <v>7617.5730000000003</v>
      </c>
      <c r="E61" s="2">
        <f t="shared" ref="E61:E92" si="112">AVERAGE(E318,E447,E576,AA447,AA318,AA705,AA576)</f>
        <v>108.10000000000001</v>
      </c>
      <c r="F61" s="2">
        <f t="shared" ref="F61:F92" si="113">AVERAGE(F318,F447,F576,AB447,AB318,AB705,AB576)</f>
        <v>105.58999999999999</v>
      </c>
      <c r="G61" s="2">
        <f t="shared" ref="G61:G92" si="114">AVERAGE(G318,G447,G576,AC447,AC318,AC705,AC576)</f>
        <v>152.1</v>
      </c>
      <c r="H61" s="2">
        <f t="shared" ref="H61:H92" si="115">AVERAGE(H318,H447,H576,AD447,AD318,AD705,AD576)</f>
        <v>150.81714285714287</v>
      </c>
      <c r="I61" s="10">
        <f t="shared" ref="I61:I92" si="116">AVERAGE(I318,I447,I576,AE447,AE318,AE705,AE576)</f>
        <v>0.74009851845848951</v>
      </c>
      <c r="J61" s="10">
        <f t="shared" ref="J61:J92" si="117">AVERAGE(J318,J447,J576,AF447,AF318,AF705,AF576)</f>
        <v>0.70651777628758539</v>
      </c>
      <c r="K61" s="10">
        <f t="shared" ref="K61:K92" si="118">AVERAGE(K318,K447,K576,AG447,AG318,AG705,AG576)</f>
        <v>0.18480074981278868</v>
      </c>
      <c r="L61" s="10">
        <f t="shared" ref="L61:L92" si="119">AVERAGE(L318,L447,L576,AH447,AH318,AH705,AH576)</f>
        <v>0.17687964285714286</v>
      </c>
      <c r="M61" s="10">
        <f>AVERAGE(M190,BD645)</f>
        <v>0.98499999999999999</v>
      </c>
      <c r="N61" s="10">
        <f t="shared" ref="N61:N92" si="120">AVERAGE(N318,N447,N576,AJ447,AJ318,AJ705,AJ576)</f>
        <v>0.99593142857142858</v>
      </c>
      <c r="O61" s="10">
        <f>AVERAGE(O190,BF645)</f>
        <v>0.98999999999999988</v>
      </c>
      <c r="P61" s="23">
        <f t="shared" ref="P61:P92" si="121">AVERAGE(P318,P447,P576,AL447,AL318,AL705,AL576)</f>
        <v>1</v>
      </c>
      <c r="Q61" s="112">
        <f t="shared" si="99"/>
        <v>-3.7493282140296791E-2</v>
      </c>
      <c r="R61" s="81">
        <f>D61/C61-1</f>
        <v>-4.5927582882289708E-2</v>
      </c>
      <c r="S61" s="10">
        <f t="shared" ref="S61" si="122">H61/G61-1</f>
        <v>-8.4343007419929172E-3</v>
      </c>
      <c r="T61" s="10">
        <f t="shared" ref="T61" si="123">N61-M61</f>
        <v>1.0931428571428592E-2</v>
      </c>
      <c r="U61" s="10">
        <f t="shared" ref="U61" si="124">P61-O61</f>
        <v>1.000000000000012E-2</v>
      </c>
      <c r="V61" s="23">
        <f t="shared" si="98"/>
        <v>-1.8521081250595643E-2</v>
      </c>
    </row>
    <row r="62" spans="2:22">
      <c r="B62" s="5">
        <v>44561</v>
      </c>
      <c r="C62" s="2">
        <f t="shared" si="38"/>
        <v>6707.6758081189801</v>
      </c>
      <c r="D62" s="2">
        <f t="shared" si="39"/>
        <v>6338.5079999999998</v>
      </c>
      <c r="E62" s="2">
        <f t="shared" si="112"/>
        <v>89.899999999999991</v>
      </c>
      <c r="F62" s="2">
        <f t="shared" si="113"/>
        <v>84.758571428571415</v>
      </c>
      <c r="G62" s="2">
        <f t="shared" si="114"/>
        <v>129.6</v>
      </c>
      <c r="H62" s="2">
        <f t="shared" si="115"/>
        <v>123.10142857142856</v>
      </c>
      <c r="I62" s="10">
        <f t="shared" si="116"/>
        <v>0.72968967965967568</v>
      </c>
      <c r="J62" s="10">
        <f t="shared" si="117"/>
        <v>0.72073920650753132</v>
      </c>
      <c r="K62" s="10">
        <f t="shared" si="118"/>
        <v>0.1502407512042509</v>
      </c>
      <c r="L62" s="10">
        <f t="shared" si="119"/>
        <v>0.14235956221198157</v>
      </c>
      <c r="M62" s="10">
        <f>AVERAGE(M191,BD646)</f>
        <v>0.98499999999999999</v>
      </c>
      <c r="N62" s="10">
        <f t="shared" si="120"/>
        <v>0.99470460829493079</v>
      </c>
      <c r="O62" s="10">
        <f>AVERAGE(O191,BF646)</f>
        <v>0.98999999999999988</v>
      </c>
      <c r="P62" s="23">
        <f t="shared" si="121"/>
        <v>1</v>
      </c>
      <c r="Q62" s="112">
        <f t="shared" si="99"/>
        <v>-4.8933224743996639E-3</v>
      </c>
      <c r="R62" s="81">
        <f>D62/C62-1</f>
        <v>-5.5036620534364422E-2</v>
      </c>
      <c r="S62" s="10">
        <f t="shared" ref="S62" si="125">H62/G62-1</f>
        <v>-5.0143298059964758E-2</v>
      </c>
      <c r="T62" s="10">
        <f t="shared" ref="T62" si="126">N62-M62</f>
        <v>9.7046082949308055E-3</v>
      </c>
      <c r="U62" s="10">
        <f t="shared" ref="U62" si="127">P62-O62</f>
        <v>1.000000000000012E-2</v>
      </c>
      <c r="V62" s="23">
        <f t="shared" si="98"/>
        <v>-1.7979166666666668E-2</v>
      </c>
    </row>
    <row r="63" spans="2:22">
      <c r="B63" s="5">
        <v>44592</v>
      </c>
      <c r="C63" s="2">
        <f t="shared" si="38"/>
        <v>5654.7389260736691</v>
      </c>
      <c r="D63" s="2">
        <f t="shared" si="39"/>
        <v>4008.8249999999998</v>
      </c>
      <c r="E63" s="2">
        <f t="shared" si="112"/>
        <v>79.600000000000009</v>
      </c>
      <c r="F63" s="2">
        <f t="shared" si="113"/>
        <v>57.987142857142871</v>
      </c>
      <c r="G63" s="2">
        <f t="shared" si="114"/>
        <v>103.20000000000002</v>
      </c>
      <c r="H63" s="2">
        <f t="shared" si="115"/>
        <v>73.318571428571431</v>
      </c>
      <c r="I63" s="10">
        <f t="shared" si="116"/>
        <v>0.77231746225084374</v>
      </c>
      <c r="J63" s="10">
        <f t="shared" si="117"/>
        <v>0.7673872837375707</v>
      </c>
      <c r="K63" s="10">
        <f t="shared" si="118"/>
        <v>0.12662518495600447</v>
      </c>
      <c r="L63" s="10">
        <f t="shared" si="119"/>
        <v>8.9956451612903221E-2</v>
      </c>
      <c r="M63" s="10">
        <f>AVERAGE(M192,BD647)</f>
        <v>0.98499999999999999</v>
      </c>
      <c r="N63" s="10">
        <f t="shared" si="120"/>
        <v>0.9912142857142856</v>
      </c>
      <c r="O63" s="10">
        <f>AVERAGE(O192,BF647)</f>
        <v>0.98999999999999988</v>
      </c>
      <c r="P63" s="23">
        <f t="shared" si="121"/>
        <v>1</v>
      </c>
      <c r="Q63" s="112">
        <f t="shared" si="99"/>
        <v>-1.5193400855659789E-3</v>
      </c>
      <c r="R63" s="81">
        <f>D63/C63-1</f>
        <v>-0.29106806655289719</v>
      </c>
      <c r="S63" s="10">
        <f t="shared" ref="S63" si="128">H63/G63-1</f>
        <v>-0.28954872646733121</v>
      </c>
      <c r="T63" s="10">
        <f t="shared" ref="T63" si="129">N63-M63</f>
        <v>6.2142857142856167E-3</v>
      </c>
      <c r="U63" s="10">
        <f t="shared" ref="U63" si="130">P63-O63</f>
        <v>1.000000000000012E-2</v>
      </c>
      <c r="V63" s="23">
        <f t="shared" si="98"/>
        <v>0</v>
      </c>
    </row>
    <row r="64" spans="2:22">
      <c r="B64" s="5">
        <v>44620</v>
      </c>
      <c r="C64" s="2">
        <f t="shared" si="38"/>
        <v>7413.4947522979455</v>
      </c>
      <c r="D64" s="2">
        <f t="shared" si="39"/>
        <v>7519.7039999999997</v>
      </c>
      <c r="E64" s="2">
        <f t="shared" si="112"/>
        <v>108.10000000000001</v>
      </c>
      <c r="F64" s="2">
        <f t="shared" si="113"/>
        <v>109.81285714285715</v>
      </c>
      <c r="G64" s="2">
        <f t="shared" si="114"/>
        <v>137.5</v>
      </c>
      <c r="H64" s="2">
        <f t="shared" si="115"/>
        <v>143.07428571428571</v>
      </c>
      <c r="I64" s="10">
        <f t="shared" si="116"/>
        <v>0.760104935263343</v>
      </c>
      <c r="J64" s="10">
        <f t="shared" si="117"/>
        <v>0.74074794787345088</v>
      </c>
      <c r="K64" s="10">
        <f t="shared" si="118"/>
        <v>0.18383341458880179</v>
      </c>
      <c r="L64" s="10">
        <f t="shared" si="119"/>
        <v>0.18672168367346936</v>
      </c>
      <c r="M64" s="10">
        <f>AVERAGE(M193,BD648)</f>
        <v>0.98499999999999999</v>
      </c>
      <c r="N64" s="10">
        <f t="shared" si="120"/>
        <v>0.98665224142857155</v>
      </c>
      <c r="O64" s="10">
        <f>AVERAGE(O193,BF648)</f>
        <v>0.98999999999999988</v>
      </c>
      <c r="P64" s="23">
        <f t="shared" si="121"/>
        <v>0.99789999999999979</v>
      </c>
      <c r="Q64" s="112">
        <f t="shared" ref="Q64" si="131">R64-S64</f>
        <v>-2.6213784676777374E-2</v>
      </c>
      <c r="R64" s="81">
        <f>D64/C64-1</f>
        <v>1.4326475063482391E-2</v>
      </c>
      <c r="S64" s="10">
        <f t="shared" ref="S64" si="132">H64/G64-1</f>
        <v>4.0540259740259765E-2</v>
      </c>
      <c r="T64" s="10">
        <f t="shared" ref="T64" si="133">N64-M64</f>
        <v>1.6522414285715659E-3</v>
      </c>
      <c r="U64" s="10">
        <f t="shared" ref="U64" si="134">P64-O64</f>
        <v>7.8999999999999071E-3</v>
      </c>
      <c r="V64" s="23">
        <f t="shared" si="98"/>
        <v>-1.20625E-2</v>
      </c>
    </row>
    <row r="65" spans="2:23">
      <c r="B65" s="5">
        <v>44651</v>
      </c>
      <c r="C65" s="2">
        <f t="shared" si="38"/>
        <v>9930.6279963011802</v>
      </c>
      <c r="D65" s="2">
        <f t="shared" si="39"/>
        <v>9290.73</v>
      </c>
      <c r="E65" s="2">
        <f t="shared" si="112"/>
        <v>161.4</v>
      </c>
      <c r="F65" s="2">
        <f t="shared" si="113"/>
        <v>163.17142857142855</v>
      </c>
      <c r="G65" s="2">
        <f t="shared" si="114"/>
        <v>187.79999999999998</v>
      </c>
      <c r="H65" s="2">
        <f t="shared" si="115"/>
        <v>189.29428571428571</v>
      </c>
      <c r="I65" s="10">
        <f t="shared" si="116"/>
        <v>0.74560059597408535</v>
      </c>
      <c r="J65" s="10">
        <f t="shared" si="117"/>
        <v>0.71566494116385704</v>
      </c>
      <c r="K65" s="10">
        <f t="shared" si="118"/>
        <v>0.22245715329850685</v>
      </c>
      <c r="L65" s="10">
        <f t="shared" si="119"/>
        <v>0.20815518433179725</v>
      </c>
      <c r="M65" s="10">
        <f>AVERAGE(M194,BD649)</f>
        <v>0.98499999999999999</v>
      </c>
      <c r="N65" s="10">
        <f t="shared" si="120"/>
        <v>0.95279999999999998</v>
      </c>
      <c r="O65" s="10">
        <f>AVERAGE(O194,BF649)</f>
        <v>0.98999999999999988</v>
      </c>
      <c r="P65" s="23">
        <f t="shared" si="121"/>
        <v>1</v>
      </c>
      <c r="Q65" s="112">
        <f t="shared" ref="Q65" si="135">R65-S65</f>
        <v>-7.2393603637938786E-2</v>
      </c>
      <c r="R65" s="81">
        <f>D65/C65-1</f>
        <v>-6.443681069712015E-2</v>
      </c>
      <c r="S65" s="10">
        <f t="shared" ref="S65:S76" si="136">H65/G65-1</f>
        <v>7.9567929408186355E-3</v>
      </c>
      <c r="T65" s="10">
        <f t="shared" ref="T65:T76" si="137">N65-M65</f>
        <v>-3.2200000000000006E-2</v>
      </c>
      <c r="U65" s="10">
        <f t="shared" ref="U65:U76" si="138">P65-O65</f>
        <v>1.000000000000012E-2</v>
      </c>
      <c r="V65" s="23">
        <f t="shared" si="98"/>
        <v>-1.3501284195364132E-2</v>
      </c>
    </row>
    <row r="66" spans="2:23">
      <c r="B66" s="5">
        <v>44681</v>
      </c>
      <c r="C66" s="2">
        <f t="shared" si="38"/>
        <v>10269.303042999682</v>
      </c>
      <c r="D66" s="2">
        <f t="shared" si="39"/>
        <v>9017.5529999999999</v>
      </c>
      <c r="E66" s="2">
        <f t="shared" si="112"/>
        <v>190.20000000000002</v>
      </c>
      <c r="F66" s="2">
        <f t="shared" si="113"/>
        <v>174.36857142857141</v>
      </c>
      <c r="G66" s="2">
        <f t="shared" si="114"/>
        <v>194</v>
      </c>
      <c r="H66" s="2">
        <f t="shared" si="115"/>
        <v>183.83571428571426</v>
      </c>
      <c r="I66" s="74">
        <f t="shared" si="116"/>
        <v>0.74643488875482567</v>
      </c>
      <c r="J66" s="74">
        <f t="shared" si="117"/>
        <v>0.68773440788260753</v>
      </c>
      <c r="K66" s="74">
        <f t="shared" si="118"/>
        <v>0.23772707148693267</v>
      </c>
      <c r="L66" s="74">
        <f t="shared" si="119"/>
        <v>0.20885535714285716</v>
      </c>
      <c r="M66" s="74">
        <f t="shared" ref="M66:M86" si="139">AVERAGE(M195,AI195)</f>
        <v>0.98499999999999999</v>
      </c>
      <c r="N66" s="74">
        <f t="shared" si="120"/>
        <v>0.99121428571428571</v>
      </c>
      <c r="O66" s="74">
        <f t="shared" ref="O66:O86" si="140">AVERAGE(O195,AK195)</f>
        <v>0.99</v>
      </c>
      <c r="P66" s="75">
        <f t="shared" si="121"/>
        <v>1</v>
      </c>
      <c r="Q66" s="113">
        <f>R66-S66</f>
        <v>-6.9499179416873336E-2</v>
      </c>
      <c r="R66" s="97">
        <f t="shared" ref="R66:R72" si="141">D66/C66-1</f>
        <v>-0.12189240474824314</v>
      </c>
      <c r="S66" s="74">
        <f t="shared" si="136"/>
        <v>-5.2393225331369808E-2</v>
      </c>
      <c r="T66" s="74">
        <f t="shared" si="137"/>
        <v>6.2142857142857277E-3</v>
      </c>
      <c r="U66" s="74">
        <f t="shared" si="138"/>
        <v>1.0000000000000009E-2</v>
      </c>
      <c r="V66" s="23">
        <f t="shared" si="98"/>
        <v>-2.1995833333333336E-2</v>
      </c>
    </row>
    <row r="67" spans="2:23">
      <c r="B67" s="5">
        <v>44712</v>
      </c>
      <c r="C67" s="2">
        <f t="shared" ref="C67:C86" si="142">SUM(C196,Y196)</f>
        <v>10404.557380006405</v>
      </c>
      <c r="D67" s="2">
        <f t="shared" ref="D67:D86" si="143">SUM(D196,Z196)</f>
        <v>9303.3989999999994</v>
      </c>
      <c r="E67" s="2">
        <f t="shared" si="112"/>
        <v>197</v>
      </c>
      <c r="F67" s="2">
        <f t="shared" si="113"/>
        <v>185.08857142857144</v>
      </c>
      <c r="G67" s="2">
        <f t="shared" si="114"/>
        <v>197.70000000000002</v>
      </c>
      <c r="H67" s="2">
        <f t="shared" si="115"/>
        <v>187.18428571428572</v>
      </c>
      <c r="I67" s="10">
        <f t="shared" si="116"/>
        <v>0.74211195859813572</v>
      </c>
      <c r="J67" s="10">
        <f t="shared" si="117"/>
        <v>0.71176629923682222</v>
      </c>
      <c r="K67" s="10">
        <f t="shared" si="118"/>
        <v>0.23308838903488496</v>
      </c>
      <c r="L67" s="10">
        <f t="shared" si="119"/>
        <v>0.20884205069124426</v>
      </c>
      <c r="M67" s="10">
        <f t="shared" si="139"/>
        <v>0.98499999999999999</v>
      </c>
      <c r="N67" s="10">
        <f t="shared" si="120"/>
        <v>0.97179692294930875</v>
      </c>
      <c r="O67" s="10">
        <f t="shared" si="140"/>
        <v>0.99</v>
      </c>
      <c r="P67" s="23">
        <f t="shared" si="121"/>
        <v>1</v>
      </c>
      <c r="Q67" s="112">
        <f t="shared" ref="Q67:Q74" si="144">R67-S67</f>
        <v>-5.2643976470481468E-2</v>
      </c>
      <c r="R67" s="81">
        <f t="shared" si="141"/>
        <v>-0.10583423588228869</v>
      </c>
      <c r="S67" s="10">
        <f t="shared" si="136"/>
        <v>-5.3190259411807217E-2</v>
      </c>
      <c r="T67" s="10">
        <f t="shared" si="137"/>
        <v>-1.3203077050691236E-2</v>
      </c>
      <c r="U67" s="10">
        <f t="shared" si="138"/>
        <v>1.0000000000000009E-2</v>
      </c>
      <c r="V67" s="23">
        <f t="shared" si="98"/>
        <v>-7.7416666666666658E-3</v>
      </c>
    </row>
    <row r="68" spans="2:23">
      <c r="B68" s="5">
        <v>44742</v>
      </c>
      <c r="C68" s="2">
        <f t="shared" si="142"/>
        <v>9349.3221665880264</v>
      </c>
      <c r="D68" s="2">
        <f t="shared" si="143"/>
        <v>8425.9439999999995</v>
      </c>
      <c r="E68" s="2">
        <f t="shared" si="112"/>
        <v>178.90000000000003</v>
      </c>
      <c r="F68" s="2">
        <f t="shared" si="113"/>
        <v>169.53428571428572</v>
      </c>
      <c r="G68" s="2">
        <f t="shared" si="114"/>
        <v>177.20000000000002</v>
      </c>
      <c r="H68" s="2">
        <f t="shared" si="115"/>
        <v>168.9328571428571</v>
      </c>
      <c r="I68" s="10">
        <f t="shared" si="116"/>
        <v>0.7439040163279057</v>
      </c>
      <c r="J68" s="10">
        <f t="shared" si="117"/>
        <v>0.69711465024765407</v>
      </c>
      <c r="K68" s="10">
        <f t="shared" si="118"/>
        <v>0.21640415802984217</v>
      </c>
      <c r="L68" s="10">
        <f t="shared" si="119"/>
        <v>0.19559845238095239</v>
      </c>
      <c r="M68" s="10">
        <f t="shared" si="139"/>
        <v>0.98499999999999999</v>
      </c>
      <c r="N68" s="10">
        <f t="shared" si="120"/>
        <v>0.99655687418095229</v>
      </c>
      <c r="O68" s="10">
        <f t="shared" si="140"/>
        <v>0.99</v>
      </c>
      <c r="P68" s="23">
        <f t="shared" si="121"/>
        <v>0.99920380952380949</v>
      </c>
      <c r="Q68" s="112">
        <f t="shared" si="144"/>
        <v>-5.2109878065593529E-2</v>
      </c>
      <c r="R68" s="81">
        <f t="shared" si="141"/>
        <v>-9.876418312847679E-2</v>
      </c>
      <c r="S68" s="10">
        <f t="shared" si="136"/>
        <v>-4.6654305062883261E-2</v>
      </c>
      <c r="T68" s="10">
        <f t="shared" si="137"/>
        <v>1.1556874180952303E-2</v>
      </c>
      <c r="U68" s="10">
        <f t="shared" si="138"/>
        <v>9.203809523809503E-3</v>
      </c>
      <c r="V68" s="23">
        <f t="shared" si="98"/>
        <v>-1.2170833333333332E-2</v>
      </c>
    </row>
    <row r="69" spans="2:23">
      <c r="B69" s="5">
        <v>44773</v>
      </c>
      <c r="C69" s="2">
        <f t="shared" si="142"/>
        <v>8284.0148058494378</v>
      </c>
      <c r="D69" s="2">
        <f t="shared" si="143"/>
        <v>7904.607</v>
      </c>
      <c r="E69" s="2">
        <f t="shared" si="112"/>
        <v>155.5</v>
      </c>
      <c r="F69" s="2">
        <f t="shared" si="113"/>
        <v>152.04285714285712</v>
      </c>
      <c r="G69" s="2">
        <f t="shared" si="114"/>
        <v>154.6</v>
      </c>
      <c r="H69" s="2">
        <f t="shared" si="115"/>
        <v>152.28857142857143</v>
      </c>
      <c r="I69" s="10">
        <f t="shared" si="116"/>
        <v>0.75538180052955994</v>
      </c>
      <c r="J69" s="10">
        <f t="shared" si="117"/>
        <v>0.74522991439383435</v>
      </c>
      <c r="K69" s="10">
        <f t="shared" si="118"/>
        <v>0.18553273542974508</v>
      </c>
      <c r="L69" s="10">
        <f t="shared" si="119"/>
        <v>0.17746751152073734</v>
      </c>
      <c r="M69" s="10">
        <f t="shared" si="139"/>
        <v>0.98499999999999999</v>
      </c>
      <c r="N69" s="10">
        <f t="shared" si="120"/>
        <v>0.96965253456221201</v>
      </c>
      <c r="O69" s="10">
        <f t="shared" si="140"/>
        <v>0.99</v>
      </c>
      <c r="P69" s="23">
        <f t="shared" si="121"/>
        <v>1</v>
      </c>
      <c r="Q69" s="112">
        <f>R69-S69</f>
        <v>-3.0848965588949118E-2</v>
      </c>
      <c r="R69" s="81">
        <f t="shared" si="141"/>
        <v>-4.5799991277361563E-2</v>
      </c>
      <c r="S69" s="10">
        <f t="shared" si="136"/>
        <v>-1.4951025688412445E-2</v>
      </c>
      <c r="T69" s="10">
        <f t="shared" si="137"/>
        <v>-1.5347465437787977E-2</v>
      </c>
      <c r="U69" s="10">
        <f t="shared" si="138"/>
        <v>1.0000000000000009E-2</v>
      </c>
      <c r="V69" s="23">
        <f t="shared" si="98"/>
        <v>-6.4124999999999998E-3</v>
      </c>
    </row>
    <row r="70" spans="2:23">
      <c r="B70" s="5">
        <v>44804</v>
      </c>
      <c r="C70" s="2">
        <f t="shared" si="142"/>
        <v>7867.0105604298842</v>
      </c>
      <c r="D70" s="2">
        <f t="shared" si="143"/>
        <v>8375.5469999999987</v>
      </c>
      <c r="E70" s="2">
        <f t="shared" si="112"/>
        <v>145.4</v>
      </c>
      <c r="F70" s="2">
        <f t="shared" si="113"/>
        <v>159.24714285714285</v>
      </c>
      <c r="G70" s="2">
        <f t="shared" si="114"/>
        <v>146.29999999999998</v>
      </c>
      <c r="H70" s="2">
        <f t="shared" si="115"/>
        <v>162.61285714285711</v>
      </c>
      <c r="I70" s="10">
        <f t="shared" si="116"/>
        <v>0.75801430048929619</v>
      </c>
      <c r="J70" s="10">
        <f t="shared" si="117"/>
        <v>0.73362193312367385</v>
      </c>
      <c r="K70" s="10">
        <f t="shared" si="118"/>
        <v>0.17618391899864561</v>
      </c>
      <c r="L70" s="10">
        <f t="shared" si="119"/>
        <v>0.18773433179723503</v>
      </c>
      <c r="M70" s="10">
        <f t="shared" si="139"/>
        <v>0.98499999999999999</v>
      </c>
      <c r="N70" s="10">
        <f t="shared" si="120"/>
        <v>0.97568433179723513</v>
      </c>
      <c r="O70" s="10">
        <f t="shared" si="140"/>
        <v>0.99</v>
      </c>
      <c r="P70" s="23">
        <f t="shared" si="121"/>
        <v>1</v>
      </c>
      <c r="Q70" s="112">
        <f t="shared" si="144"/>
        <v>-4.6861146103256868E-2</v>
      </c>
      <c r="R70" s="81">
        <f t="shared" si="141"/>
        <v>6.4641636828097315E-2</v>
      </c>
      <c r="S70" s="10">
        <f t="shared" si="136"/>
        <v>0.11150278293135418</v>
      </c>
      <c r="T70" s="10">
        <f t="shared" si="137"/>
        <v>-9.3156682027648596E-3</v>
      </c>
      <c r="U70" s="10">
        <f t="shared" si="138"/>
        <v>1.0000000000000009E-2</v>
      </c>
      <c r="V70" s="23">
        <f t="shared" si="98"/>
        <v>-1.2554166666666668E-2</v>
      </c>
    </row>
    <row r="71" spans="2:23">
      <c r="B71" s="5">
        <v>44834</v>
      </c>
      <c r="C71" s="2">
        <f t="shared" si="142"/>
        <v>7835.8947485512517</v>
      </c>
      <c r="D71" s="2">
        <f t="shared" si="143"/>
        <v>7032.4230000000007</v>
      </c>
      <c r="E71" s="2">
        <f t="shared" si="112"/>
        <v>141.6</v>
      </c>
      <c r="F71" s="2">
        <f t="shared" si="113"/>
        <v>128.48142857142858</v>
      </c>
      <c r="G71" s="2">
        <f t="shared" si="114"/>
        <v>145.5</v>
      </c>
      <c r="H71" s="2">
        <f t="shared" si="115"/>
        <v>136.83857142857144</v>
      </c>
      <c r="I71" s="10">
        <f t="shared" si="116"/>
        <v>0.75922886378561005</v>
      </c>
      <c r="J71" s="10">
        <f t="shared" si="117"/>
        <v>0.72438210573390605</v>
      </c>
      <c r="K71" s="10">
        <f t="shared" si="118"/>
        <v>0.18135130447599027</v>
      </c>
      <c r="L71" s="10">
        <f t="shared" si="119"/>
        <v>0.16297511904761902</v>
      </c>
      <c r="M71" s="10">
        <f t="shared" si="139"/>
        <v>0.98499999999999999</v>
      </c>
      <c r="N71" s="10">
        <f t="shared" si="120"/>
        <v>0.98653238095238105</v>
      </c>
      <c r="O71" s="10">
        <f t="shared" si="140"/>
        <v>0.99</v>
      </c>
      <c r="P71" s="23">
        <f t="shared" si="121"/>
        <v>1</v>
      </c>
      <c r="Q71" s="112">
        <f t="shared" si="144"/>
        <v>-4.3008614215126695E-2</v>
      </c>
      <c r="R71" s="81">
        <f t="shared" si="141"/>
        <v>-0.10253733291910305</v>
      </c>
      <c r="S71" s="10">
        <f t="shared" si="136"/>
        <v>-5.9528718703976358E-2</v>
      </c>
      <c r="T71" s="10">
        <f t="shared" si="137"/>
        <v>1.5323809523810628E-3</v>
      </c>
      <c r="U71" s="10">
        <f t="shared" si="138"/>
        <v>1.0000000000000009E-2</v>
      </c>
      <c r="V71" s="23">
        <f t="shared" si="98"/>
        <v>-9.7458333333333338E-3</v>
      </c>
    </row>
    <row r="72" spans="2:23">
      <c r="B72" s="5">
        <v>44865</v>
      </c>
      <c r="C72" s="2">
        <f t="shared" si="142"/>
        <v>8970.1780355768242</v>
      </c>
      <c r="D72" s="2">
        <f t="shared" si="143"/>
        <v>8211.018</v>
      </c>
      <c r="E72" s="2">
        <f t="shared" si="112"/>
        <v>139.1</v>
      </c>
      <c r="F72" s="2">
        <f t="shared" si="113"/>
        <v>131.27571428571426</v>
      </c>
      <c r="G72" s="2">
        <f t="shared" si="114"/>
        <v>172.20000000000002</v>
      </c>
      <c r="H72" s="2">
        <f t="shared" si="115"/>
        <v>161.49999999999997</v>
      </c>
      <c r="I72" s="10">
        <f t="shared" si="116"/>
        <v>0.73449990554646294</v>
      </c>
      <c r="J72" s="10">
        <f t="shared" si="117"/>
        <v>0.71024365830257008</v>
      </c>
      <c r="K72" s="10">
        <f t="shared" si="118"/>
        <v>0.2009414039985071</v>
      </c>
      <c r="L72" s="10">
        <f t="shared" si="119"/>
        <v>0.18400921658986175</v>
      </c>
      <c r="M72" s="10">
        <f t="shared" si="139"/>
        <v>0.98499999999999999</v>
      </c>
      <c r="N72" s="10">
        <f t="shared" si="120"/>
        <v>0.99467511520737328</v>
      </c>
      <c r="O72" s="10">
        <f t="shared" si="140"/>
        <v>0.99</v>
      </c>
      <c r="P72" s="23">
        <f t="shared" si="121"/>
        <v>0.99842396313364046</v>
      </c>
      <c r="Q72" s="112">
        <f t="shared" si="144"/>
        <v>-2.2494496117236085E-2</v>
      </c>
      <c r="R72" s="81">
        <f t="shared" si="141"/>
        <v>-8.4631546059164342E-2</v>
      </c>
      <c r="S72" s="10">
        <f t="shared" si="136"/>
        <v>-6.2137049941928257E-2</v>
      </c>
      <c r="T72" s="10">
        <f t="shared" si="137"/>
        <v>9.6751152073732971E-3</v>
      </c>
      <c r="U72" s="10">
        <f t="shared" si="138"/>
        <v>8.4239631336404663E-3</v>
      </c>
      <c r="V72" s="23">
        <f t="shared" si="98"/>
        <v>-1.6511788517363658E-2</v>
      </c>
    </row>
    <row r="73" spans="2:23">
      <c r="B73" s="5">
        <v>44895</v>
      </c>
      <c r="C73" s="2">
        <f t="shared" si="142"/>
        <v>7944.3499246083629</v>
      </c>
      <c r="D73" s="2">
        <f t="shared" si="143"/>
        <v>6771.3360000000002</v>
      </c>
      <c r="E73" s="2">
        <f t="shared" si="112"/>
        <v>108.10000000000001</v>
      </c>
      <c r="F73" s="2">
        <f t="shared" si="113"/>
        <v>96.99</v>
      </c>
      <c r="G73" s="2">
        <f t="shared" si="114"/>
        <v>152.1</v>
      </c>
      <c r="H73" s="2">
        <f t="shared" si="115"/>
        <v>136.38285714285715</v>
      </c>
      <c r="I73" s="10">
        <f t="shared" si="116"/>
        <v>0.73639802586619729</v>
      </c>
      <c r="J73" s="10">
        <f t="shared" si="117"/>
        <v>0.69310840553313802</v>
      </c>
      <c r="K73" s="10">
        <f t="shared" si="118"/>
        <v>0.18387674606372478</v>
      </c>
      <c r="L73" s="10">
        <f t="shared" si="119"/>
        <v>0.15724166666666667</v>
      </c>
      <c r="M73" s="10">
        <f t="shared" si="139"/>
        <v>0.98499999999999999</v>
      </c>
      <c r="N73" s="10">
        <f t="shared" si="120"/>
        <v>0.99806142857142865</v>
      </c>
      <c r="O73" s="10">
        <f t="shared" si="140"/>
        <v>0.99</v>
      </c>
      <c r="P73" s="23">
        <f t="shared" si="121"/>
        <v>1</v>
      </c>
      <c r="Q73" s="112">
        <f t="shared" si="144"/>
        <v>-4.4319586560025659E-2</v>
      </c>
      <c r="R73" s="81">
        <f>D73/C73-1</f>
        <v>-0.14765385912506734</v>
      </c>
      <c r="S73" s="10">
        <f t="shared" si="136"/>
        <v>-0.10333427256504168</v>
      </c>
      <c r="T73" s="10">
        <f t="shared" si="137"/>
        <v>1.3061428571428668E-2</v>
      </c>
      <c r="U73" s="10">
        <f t="shared" si="138"/>
        <v>1.0000000000000009E-2</v>
      </c>
      <c r="V73" s="23">
        <f t="shared" si="98"/>
        <v>-2.5029166666666665E-2</v>
      </c>
    </row>
    <row r="74" spans="2:23">
      <c r="B74" s="5">
        <v>44926</v>
      </c>
      <c r="C74" s="2">
        <f t="shared" si="142"/>
        <v>6674.137429078386</v>
      </c>
      <c r="D74" s="2">
        <f t="shared" si="143"/>
        <v>5944.8119999999999</v>
      </c>
      <c r="E74" s="2">
        <f t="shared" si="112"/>
        <v>89.899999999999991</v>
      </c>
      <c r="F74" s="2">
        <f t="shared" si="113"/>
        <v>80.085714285714289</v>
      </c>
      <c r="G74" s="2">
        <f t="shared" si="114"/>
        <v>129.6</v>
      </c>
      <c r="H74" s="2">
        <f t="shared" si="115"/>
        <v>117.79142857142858</v>
      </c>
      <c r="I74" s="10">
        <f t="shared" si="116"/>
        <v>0.72604123126137721</v>
      </c>
      <c r="J74" s="10">
        <f t="shared" si="117"/>
        <v>0.70986442289382923</v>
      </c>
      <c r="K74" s="10">
        <f t="shared" si="118"/>
        <v>0.14948954744822962</v>
      </c>
      <c r="L74" s="10">
        <f t="shared" si="119"/>
        <v>0.13380990783410138</v>
      </c>
      <c r="M74" s="10">
        <f t="shared" si="139"/>
        <v>0.98499999999999999</v>
      </c>
      <c r="N74" s="10">
        <f t="shared" si="120"/>
        <v>0.9921598623444946</v>
      </c>
      <c r="O74" s="10">
        <f t="shared" si="140"/>
        <v>0.99</v>
      </c>
      <c r="P74" s="23">
        <f t="shared" si="121"/>
        <v>1</v>
      </c>
      <c r="Q74" s="112">
        <f t="shared" si="144"/>
        <v>-1.8160837423725207E-2</v>
      </c>
      <c r="R74" s="81">
        <f>D74/C74-1</f>
        <v>-0.10927635770591204</v>
      </c>
      <c r="S74" s="10">
        <f t="shared" si="136"/>
        <v>-9.1115520282186835E-2</v>
      </c>
      <c r="T74" s="10">
        <f t="shared" si="137"/>
        <v>7.1598623444946163E-3</v>
      </c>
      <c r="U74" s="10">
        <f t="shared" si="138"/>
        <v>1.0000000000000009E-2</v>
      </c>
      <c r="V74" s="23">
        <f t="shared" si="98"/>
        <v>-1.9662499999999999E-2</v>
      </c>
    </row>
    <row r="75" spans="2:23">
      <c r="B75" s="5">
        <v>44957</v>
      </c>
      <c r="C75" s="2">
        <f t="shared" si="142"/>
        <v>5626.4652314433015</v>
      </c>
      <c r="D75" s="2">
        <f t="shared" si="143"/>
        <v>4558.5779999999995</v>
      </c>
      <c r="E75" s="2">
        <f t="shared" si="112"/>
        <v>79.600000000000009</v>
      </c>
      <c r="F75" s="2">
        <f t="shared" si="113"/>
        <v>65.971428571428561</v>
      </c>
      <c r="G75" s="2">
        <f t="shared" si="114"/>
        <v>103.20000000000002</v>
      </c>
      <c r="H75" s="2">
        <f t="shared" si="115"/>
        <v>86.9</v>
      </c>
      <c r="I75" s="10">
        <f t="shared" si="116"/>
        <v>0.76845587493958956</v>
      </c>
      <c r="J75" s="10">
        <f t="shared" si="117"/>
        <v>0.73816429083984736</v>
      </c>
      <c r="K75" s="10">
        <f t="shared" si="118"/>
        <v>0.12599205903122443</v>
      </c>
      <c r="L75" s="10">
        <f t="shared" si="119"/>
        <v>0.1023729262672811</v>
      </c>
      <c r="M75" s="10">
        <f t="shared" si="139"/>
        <v>0.98499999999999999</v>
      </c>
      <c r="N75" s="10">
        <f t="shared" si="120"/>
        <v>0.98954746543778793</v>
      </c>
      <c r="O75" s="10">
        <f t="shared" si="140"/>
        <v>0.99</v>
      </c>
      <c r="P75" s="23">
        <f t="shared" si="121"/>
        <v>0.99864331797235029</v>
      </c>
      <c r="Q75" s="83">
        <f t="shared" ref="Q75:Q86" si="145">R75-S75</f>
        <v>-3.1851443058879658E-2</v>
      </c>
      <c r="R75" s="81">
        <f>D75/C75-1</f>
        <v>-0.18979717949298824</v>
      </c>
      <c r="S75" s="10">
        <f t="shared" si="136"/>
        <v>-0.15794573643410859</v>
      </c>
      <c r="T75" s="10">
        <f t="shared" si="137"/>
        <v>4.5474654377879453E-3</v>
      </c>
      <c r="U75" s="10">
        <f t="shared" si="138"/>
        <v>8.6433179723502951E-3</v>
      </c>
      <c r="V75" s="23">
        <f t="shared" si="98"/>
        <v>-1.0979166666666667E-2</v>
      </c>
    </row>
    <row r="76" spans="2:23">
      <c r="B76" s="5">
        <v>44985</v>
      </c>
      <c r="C76" s="2">
        <f t="shared" si="142"/>
        <v>7376.4272785364556</v>
      </c>
      <c r="D76" s="2">
        <f t="shared" si="143"/>
        <v>7474.08</v>
      </c>
      <c r="E76" s="2">
        <f t="shared" si="112"/>
        <v>108.10000000000001</v>
      </c>
      <c r="F76" s="2">
        <f t="shared" si="113"/>
        <v>112.15</v>
      </c>
      <c r="G76" s="2">
        <f t="shared" si="114"/>
        <v>137.5</v>
      </c>
      <c r="H76" s="2">
        <f t="shared" si="115"/>
        <v>148.6057142857143</v>
      </c>
      <c r="I76" s="10">
        <f t="shared" si="116"/>
        <v>0.75630441058702602</v>
      </c>
      <c r="J76" s="10">
        <f t="shared" si="117"/>
        <v>0.70764502759930381</v>
      </c>
      <c r="K76" s="10">
        <f t="shared" si="118"/>
        <v>0.18291424751585778</v>
      </c>
      <c r="L76" s="10">
        <f t="shared" si="119"/>
        <v>0.18622704081632652</v>
      </c>
      <c r="M76" s="10">
        <f t="shared" si="139"/>
        <v>0.98499999999999999</v>
      </c>
      <c r="N76" s="10">
        <f t="shared" si="120"/>
        <v>0.99160769910532076</v>
      </c>
      <c r="O76" s="10">
        <f t="shared" si="140"/>
        <v>0.99</v>
      </c>
      <c r="P76" s="23">
        <f t="shared" si="121"/>
        <v>0.99800357142857155</v>
      </c>
      <c r="Q76" s="83">
        <f t="shared" si="145"/>
        <v>-6.753034622535603E-2</v>
      </c>
      <c r="R76" s="81">
        <f>D76/C76-1</f>
        <v>1.3238484943475237E-2</v>
      </c>
      <c r="S76" s="10">
        <f t="shared" si="136"/>
        <v>8.0768831168831268E-2</v>
      </c>
      <c r="T76" s="10">
        <f t="shared" si="137"/>
        <v>6.6076991053207745E-3</v>
      </c>
      <c r="U76" s="10">
        <f t="shared" si="138"/>
        <v>8.0035714285715542E-3</v>
      </c>
      <c r="V76" s="23">
        <f t="shared" si="98"/>
        <v>-1.7474999999999997E-2</v>
      </c>
    </row>
    <row r="77" spans="2:23">
      <c r="B77" s="5">
        <v>45016</v>
      </c>
      <c r="C77" s="2">
        <f t="shared" si="142"/>
        <v>9880.9748563196772</v>
      </c>
      <c r="D77" s="2">
        <f t="shared" si="143"/>
        <v>8610.7350000000006</v>
      </c>
      <c r="E77" s="2">
        <f t="shared" si="112"/>
        <v>159.81</v>
      </c>
      <c r="F77" s="2">
        <f t="shared" si="113"/>
        <v>150.68428571428572</v>
      </c>
      <c r="G77" s="2">
        <f t="shared" si="114"/>
        <v>187.79999999999998</v>
      </c>
      <c r="H77" s="2">
        <f t="shared" si="115"/>
        <v>170.92857142857142</v>
      </c>
      <c r="I77" s="10">
        <f t="shared" si="116"/>
        <v>0.74187259299421504</v>
      </c>
      <c r="J77" s="10">
        <f t="shared" si="117"/>
        <v>0.7082136050316169</v>
      </c>
      <c r="K77" s="10">
        <f t="shared" si="118"/>
        <v>0.22134486753201429</v>
      </c>
      <c r="L77" s="10">
        <f t="shared" si="119"/>
        <v>0.19352039170506913</v>
      </c>
      <c r="M77" s="10">
        <f t="shared" si="139"/>
        <v>0.98499999999999999</v>
      </c>
      <c r="N77" s="10">
        <f t="shared" si="120"/>
        <v>0.99107050691244247</v>
      </c>
      <c r="O77" s="10">
        <f t="shared" si="140"/>
        <v>0.99</v>
      </c>
      <c r="P77" s="23">
        <f t="shared" si="121"/>
        <v>1</v>
      </c>
      <c r="Q77" s="83">
        <f t="shared" si="145"/>
        <v>-3.8716889845852642E-2</v>
      </c>
      <c r="R77" s="81">
        <f>D77/C77-1</f>
        <v>-0.12855410268626033</v>
      </c>
      <c r="S77" s="10">
        <f t="shared" ref="S77" si="146">H77/G77-1</f>
        <v>-8.9837212840407688E-2</v>
      </c>
      <c r="T77" s="10">
        <f t="shared" ref="T77" si="147">N77-M77</f>
        <v>6.070506912442486E-3</v>
      </c>
      <c r="U77" s="10">
        <f t="shared" ref="U77" si="148">P77-O77</f>
        <v>1.0000000000000009E-2</v>
      </c>
      <c r="V77" s="23">
        <f t="shared" si="98"/>
        <v>-1.3774999999999999E-2</v>
      </c>
    </row>
    <row r="78" spans="2:23">
      <c r="B78" s="5">
        <f>EOMONTH(B77,1)</f>
        <v>45046</v>
      </c>
      <c r="C78" s="2">
        <f t="shared" si="142"/>
        <v>10217.956527784683</v>
      </c>
      <c r="D78" s="2">
        <f t="shared" si="143"/>
        <v>9218.8829999999998</v>
      </c>
      <c r="E78" s="2">
        <f t="shared" si="112"/>
        <v>190.20000000000002</v>
      </c>
      <c r="F78" s="2">
        <f t="shared" si="113"/>
        <v>181.99857142857141</v>
      </c>
      <c r="G78" s="2">
        <f t="shared" si="114"/>
        <v>194</v>
      </c>
      <c r="H78" s="2">
        <f t="shared" si="115"/>
        <v>188.37000000000003</v>
      </c>
      <c r="I78" s="10">
        <f t="shared" si="116"/>
        <v>0.7427027143110515</v>
      </c>
      <c r="J78" s="10">
        <f t="shared" si="117"/>
        <v>0.69701313378283813</v>
      </c>
      <c r="K78" s="10">
        <f t="shared" si="118"/>
        <v>0.23653843612949804</v>
      </c>
      <c r="L78" s="10">
        <f t="shared" si="119"/>
        <v>0.21413107142857143</v>
      </c>
      <c r="M78" s="10">
        <f t="shared" si="139"/>
        <v>0.98499999999999999</v>
      </c>
      <c r="N78" s="10">
        <f t="shared" si="120"/>
        <v>0.97846761904761903</v>
      </c>
      <c r="O78" s="10">
        <f t="shared" si="140"/>
        <v>0.99</v>
      </c>
      <c r="P78" s="23">
        <f t="shared" si="121"/>
        <v>1</v>
      </c>
      <c r="Q78" s="83">
        <f t="shared" si="145"/>
        <v>-6.8755636907686823E-2</v>
      </c>
      <c r="R78" s="81">
        <f t="shared" ref="R78:R86" si="149">D78/C78-1</f>
        <v>-9.7776255464387729E-2</v>
      </c>
      <c r="S78" s="10">
        <f t="shared" ref="S78:S86" si="150">H78/G78-1</f>
        <v>-2.9020618556700906E-2</v>
      </c>
      <c r="T78" s="10">
        <f t="shared" ref="T78:T86" si="151">N78-M78</f>
        <v>-6.5323809523809562E-3</v>
      </c>
      <c r="U78" s="10">
        <f t="shared" ref="U78:U86" si="152">P78-O78</f>
        <v>1.0000000000000009E-2</v>
      </c>
      <c r="V78" s="23">
        <f t="shared" si="98"/>
        <v>-2.3655006061158515E-2</v>
      </c>
    </row>
    <row r="79" spans="2:23">
      <c r="B79" s="5">
        <f t="shared" ref="B79:B110" si="153">EOMONTH(B78,1)</f>
        <v>45077</v>
      </c>
      <c r="C79" s="2">
        <f t="shared" si="142"/>
        <v>10352.534593106371</v>
      </c>
      <c r="D79" s="2">
        <f t="shared" si="143"/>
        <v>8894.0430000000015</v>
      </c>
      <c r="E79" s="2">
        <f t="shared" si="112"/>
        <v>197</v>
      </c>
      <c r="F79" s="2">
        <f t="shared" si="113"/>
        <v>191.85285714285718</v>
      </c>
      <c r="G79" s="2">
        <f t="shared" si="114"/>
        <v>197.70000000000002</v>
      </c>
      <c r="H79" s="2">
        <f t="shared" si="115"/>
        <v>191.32142857142861</v>
      </c>
      <c r="I79" s="10">
        <f t="shared" si="116"/>
        <v>0.73840139880514521</v>
      </c>
      <c r="J79" s="10">
        <f t="shared" si="117"/>
        <v>0.6917503344672401</v>
      </c>
      <c r="K79" s="10">
        <f t="shared" si="118"/>
        <v>0.23192294708971056</v>
      </c>
      <c r="L79" s="10">
        <f t="shared" si="119"/>
        <v>0.19870000000000002</v>
      </c>
      <c r="M79" s="10">
        <f t="shared" si="139"/>
        <v>0.98499999999999999</v>
      </c>
      <c r="N79" s="10">
        <f t="shared" si="120"/>
        <v>0.9308850787602202</v>
      </c>
      <c r="O79" s="10">
        <f t="shared" si="140"/>
        <v>0.99</v>
      </c>
      <c r="P79" s="23">
        <f t="shared" si="121"/>
        <v>0.99378018433179727</v>
      </c>
      <c r="Q79" s="83">
        <f t="shared" si="145"/>
        <v>-0.10861866975602485</v>
      </c>
      <c r="R79" s="81">
        <f t="shared" si="149"/>
        <v>-0.14088256165572843</v>
      </c>
      <c r="S79" s="10">
        <f t="shared" si="150"/>
        <v>-3.2263891899703578E-2</v>
      </c>
      <c r="T79" s="10">
        <f t="shared" si="151"/>
        <v>-5.411492123977979E-2</v>
      </c>
      <c r="U79" s="10">
        <f t="shared" si="152"/>
        <v>3.7801843317972761E-3</v>
      </c>
      <c r="V79" s="23">
        <f t="shared" si="98"/>
        <v>-1.4670833333333333E-2</v>
      </c>
      <c r="W79" s="98"/>
    </row>
    <row r="80" spans="2:23">
      <c r="B80" s="5">
        <f t="shared" si="153"/>
        <v>45107</v>
      </c>
      <c r="C80" s="2">
        <f t="shared" si="142"/>
        <v>9302.5755557550874</v>
      </c>
      <c r="D80" s="2">
        <f t="shared" si="143"/>
        <v>8449.1939999999995</v>
      </c>
      <c r="E80" s="2">
        <f t="shared" si="112"/>
        <v>178.90000000000003</v>
      </c>
      <c r="F80" s="2">
        <f t="shared" si="113"/>
        <v>171.52142857142857</v>
      </c>
      <c r="G80" s="2">
        <f t="shared" si="114"/>
        <v>177.20000000000002</v>
      </c>
      <c r="H80" s="2">
        <f t="shared" si="115"/>
        <v>168.11571428571429</v>
      </c>
      <c r="I80" s="10">
        <f t="shared" si="116"/>
        <v>0.74018449624626625</v>
      </c>
      <c r="J80" s="10">
        <f t="shared" si="117"/>
        <v>0.70723469736446476</v>
      </c>
      <c r="K80" s="10">
        <f t="shared" si="118"/>
        <v>0.21532213723969298</v>
      </c>
      <c r="L80" s="10">
        <f t="shared" si="119"/>
        <v>0.19600845238095238</v>
      </c>
      <c r="M80" s="10">
        <f t="shared" si="139"/>
        <v>0.98499999999999999</v>
      </c>
      <c r="N80" s="10">
        <f t="shared" si="120"/>
        <v>0.98913904761904781</v>
      </c>
      <c r="O80" s="10">
        <f t="shared" si="140"/>
        <v>0.99</v>
      </c>
      <c r="P80" s="23">
        <f t="shared" si="121"/>
        <v>1</v>
      </c>
      <c r="Q80" s="83">
        <f t="shared" si="145"/>
        <v>-4.0470331354879985E-2</v>
      </c>
      <c r="R80" s="81">
        <f t="shared" si="149"/>
        <v>-9.1736052090126696E-2</v>
      </c>
      <c r="S80" s="10">
        <f t="shared" si="150"/>
        <v>-5.1265720735246711E-2</v>
      </c>
      <c r="T80" s="10">
        <f t="shared" si="151"/>
        <v>4.1390476190478198E-3</v>
      </c>
      <c r="U80" s="10">
        <f t="shared" si="152"/>
        <v>1.0000000000000009E-2</v>
      </c>
      <c r="V80" s="23">
        <f t="shared" si="98"/>
        <v>-1.5116666666666667E-2</v>
      </c>
    </row>
    <row r="81" spans="2:23">
      <c r="B81" s="5">
        <f t="shared" si="153"/>
        <v>45138</v>
      </c>
      <c r="C81" s="2">
        <f t="shared" si="142"/>
        <v>8242.5947318201906</v>
      </c>
      <c r="D81" s="2">
        <f t="shared" si="143"/>
        <v>6660.9780000000064</v>
      </c>
      <c r="E81" s="2">
        <f t="shared" si="112"/>
        <v>155.5</v>
      </c>
      <c r="F81" s="2">
        <f t="shared" si="113"/>
        <v>139.43428571428572</v>
      </c>
      <c r="G81" s="2">
        <f t="shared" si="114"/>
        <v>154.6</v>
      </c>
      <c r="H81" s="2">
        <f t="shared" si="115"/>
        <v>137.65285714285716</v>
      </c>
      <c r="I81" s="10">
        <f t="shared" si="116"/>
        <v>0.75160489152691234</v>
      </c>
      <c r="J81" s="10">
        <f t="shared" si="117"/>
        <v>0.71344588532740716</v>
      </c>
      <c r="K81" s="10">
        <f t="shared" si="118"/>
        <v>0.18460507175259636</v>
      </c>
      <c r="L81" s="10">
        <f t="shared" si="119"/>
        <v>0.14974447004608304</v>
      </c>
      <c r="M81" s="10">
        <f t="shared" si="139"/>
        <v>0.98499999999999999</v>
      </c>
      <c r="N81" s="10">
        <f t="shared" si="120"/>
        <v>0.94531336405529942</v>
      </c>
      <c r="O81" s="10">
        <f t="shared" si="140"/>
        <v>0.99</v>
      </c>
      <c r="P81" s="23">
        <f t="shared" si="121"/>
        <v>1</v>
      </c>
      <c r="Q81" s="83">
        <f t="shared" si="145"/>
        <v>-8.2264061063127336E-2</v>
      </c>
      <c r="R81" s="81">
        <f t="shared" si="149"/>
        <v>-0.1918833550938055</v>
      </c>
      <c r="S81" s="10">
        <f t="shared" si="150"/>
        <v>-0.10961929403067816</v>
      </c>
      <c r="T81" s="10">
        <f t="shared" si="151"/>
        <v>-3.9686635944700566E-2</v>
      </c>
      <c r="U81" s="10">
        <f t="shared" si="152"/>
        <v>1.0000000000000009E-2</v>
      </c>
      <c r="V81" s="23">
        <f t="shared" si="98"/>
        <v>0</v>
      </c>
    </row>
    <row r="82" spans="2:23">
      <c r="B82" s="5">
        <f t="shared" si="153"/>
        <v>45169</v>
      </c>
      <c r="C82" s="2">
        <f t="shared" si="142"/>
        <v>7827.675507627735</v>
      </c>
      <c r="D82" s="2">
        <f t="shared" si="143"/>
        <v>6755.643</v>
      </c>
      <c r="E82" s="2">
        <f t="shared" si="112"/>
        <v>145.4</v>
      </c>
      <c r="F82" s="2">
        <f t="shared" si="113"/>
        <v>133.23571428571429</v>
      </c>
      <c r="G82" s="2">
        <f t="shared" si="114"/>
        <v>146.29999999999998</v>
      </c>
      <c r="H82" s="2">
        <f t="shared" si="115"/>
        <v>134.22428571428571</v>
      </c>
      <c r="I82" s="10">
        <f t="shared" si="116"/>
        <v>0.75422422898684971</v>
      </c>
      <c r="J82" s="10">
        <f t="shared" si="117"/>
        <v>0.71916347466441088</v>
      </c>
      <c r="K82" s="10">
        <f t="shared" si="118"/>
        <v>0.1753029994036524</v>
      </c>
      <c r="L82" s="10">
        <f t="shared" si="119"/>
        <v>0.15156209677419355</v>
      </c>
      <c r="M82" s="10">
        <f t="shared" si="139"/>
        <v>0.98499999999999999</v>
      </c>
      <c r="N82" s="10">
        <f t="shared" si="120"/>
        <v>0.97360506912442391</v>
      </c>
      <c r="O82" s="10">
        <f t="shared" si="140"/>
        <v>0.99</v>
      </c>
      <c r="P82" s="23">
        <f t="shared" si="121"/>
        <v>1</v>
      </c>
      <c r="Q82" s="83">
        <f t="shared" si="145"/>
        <v>-5.4413364867679892E-2</v>
      </c>
      <c r="R82" s="81">
        <f t="shared" si="149"/>
        <v>-0.1369541323708533</v>
      </c>
      <c r="S82" s="10">
        <f t="shared" si="150"/>
        <v>-8.2540767503173407E-2</v>
      </c>
      <c r="T82" s="10">
        <f t="shared" si="151"/>
        <v>-1.1394930875576081E-2</v>
      </c>
      <c r="U82" s="10">
        <f t="shared" si="152"/>
        <v>1.0000000000000009E-2</v>
      </c>
      <c r="V82" s="23">
        <f t="shared" si="98"/>
        <v>-5.4583333333333341E-3</v>
      </c>
    </row>
    <row r="83" spans="2:23">
      <c r="B83" s="5">
        <f t="shared" si="153"/>
        <v>45199</v>
      </c>
      <c r="C83" s="2">
        <f t="shared" si="142"/>
        <v>7796.7152748084955</v>
      </c>
      <c r="D83" s="2">
        <f t="shared" si="143"/>
        <v>7552.893</v>
      </c>
      <c r="E83" s="2">
        <f t="shared" si="112"/>
        <v>141.6</v>
      </c>
      <c r="F83" s="2">
        <f t="shared" si="113"/>
        <v>141.27285714285713</v>
      </c>
      <c r="G83" s="2">
        <f t="shared" si="114"/>
        <v>145.5</v>
      </c>
      <c r="H83" s="2">
        <f t="shared" si="115"/>
        <v>149.50857142857143</v>
      </c>
      <c r="I83" s="10">
        <f t="shared" si="116"/>
        <v>0.755432719466682</v>
      </c>
      <c r="J83" s="10">
        <f t="shared" si="117"/>
        <v>0.71788473691674015</v>
      </c>
      <c r="K83" s="10">
        <f t="shared" si="118"/>
        <v>0.18044454795361034</v>
      </c>
      <c r="L83" s="10">
        <f t="shared" si="119"/>
        <v>0.17558952380952378</v>
      </c>
      <c r="M83" s="10">
        <f t="shared" si="139"/>
        <v>0.98499999999999999</v>
      </c>
      <c r="N83" s="10">
        <f t="shared" si="120"/>
        <v>0.98156761904761913</v>
      </c>
      <c r="O83" s="10">
        <f t="shared" si="140"/>
        <v>0.99</v>
      </c>
      <c r="P83" s="23">
        <f t="shared" si="121"/>
        <v>1</v>
      </c>
      <c r="Q83" s="83">
        <f t="shared" si="145"/>
        <v>-5.8822754502463659E-2</v>
      </c>
      <c r="R83" s="81">
        <f t="shared" si="149"/>
        <v>-3.1272435405752863E-2</v>
      </c>
      <c r="S83" s="10">
        <f t="shared" si="150"/>
        <v>2.7550319096710796E-2</v>
      </c>
      <c r="T83" s="10">
        <f t="shared" si="151"/>
        <v>-3.4323809523808535E-3</v>
      </c>
      <c r="U83" s="10">
        <f t="shared" si="152"/>
        <v>1.0000000000000009E-2</v>
      </c>
      <c r="V83" s="23">
        <f t="shared" si="98"/>
        <v>-1.2441666666666667E-2</v>
      </c>
    </row>
    <row r="84" spans="2:23">
      <c r="B84" s="5">
        <f t="shared" si="153"/>
        <v>45230</v>
      </c>
      <c r="C84" s="2">
        <f t="shared" si="142"/>
        <v>8925.32714539894</v>
      </c>
      <c r="D84" s="2">
        <f t="shared" si="143"/>
        <v>8232.0630000000001</v>
      </c>
      <c r="E84" s="2">
        <f t="shared" si="112"/>
        <v>139.1</v>
      </c>
      <c r="F84" s="2">
        <f t="shared" si="113"/>
        <v>137.65428571428569</v>
      </c>
      <c r="G84" s="2">
        <f t="shared" si="114"/>
        <v>172.20000000000002</v>
      </c>
      <c r="H84" s="2">
        <f t="shared" si="115"/>
        <v>173.08285714285716</v>
      </c>
      <c r="I84" s="10">
        <f t="shared" si="116"/>
        <v>0.73082740601873064</v>
      </c>
      <c r="J84" s="10">
        <f t="shared" si="117"/>
        <v>0.72279228162411613</v>
      </c>
      <c r="K84" s="10">
        <f t="shared" si="118"/>
        <v>0.19993669697851457</v>
      </c>
      <c r="L84" s="10">
        <f t="shared" si="119"/>
        <v>0.18457649769585255</v>
      </c>
      <c r="M84" s="10">
        <f t="shared" si="139"/>
        <v>0.98499999999999999</v>
      </c>
      <c r="N84" s="10">
        <f t="shared" si="120"/>
        <v>0.91511935483870954</v>
      </c>
      <c r="O84" s="10">
        <f t="shared" si="140"/>
        <v>0.99</v>
      </c>
      <c r="P84" s="23">
        <f t="shared" si="121"/>
        <v>1</v>
      </c>
      <c r="Q84" s="83">
        <f t="shared" si="145"/>
        <v>-8.2800736637686168E-2</v>
      </c>
      <c r="R84" s="81">
        <f t="shared" si="149"/>
        <v>-7.7673807817377538E-2</v>
      </c>
      <c r="S84" s="10">
        <f t="shared" si="150"/>
        <v>5.1269288203086294E-3</v>
      </c>
      <c r="T84" s="10">
        <f t="shared" si="151"/>
        <v>-6.9880645161290444E-2</v>
      </c>
      <c r="U84" s="10">
        <f t="shared" si="152"/>
        <v>1.0000000000000009E-2</v>
      </c>
      <c r="V84" s="23">
        <f t="shared" si="98"/>
        <v>-1.8679166666666667E-2</v>
      </c>
    </row>
    <row r="85" spans="2:23">
      <c r="B85" s="5">
        <f t="shared" si="153"/>
        <v>45260</v>
      </c>
      <c r="C85" s="2">
        <f t="shared" si="142"/>
        <v>7904.6281749853206</v>
      </c>
      <c r="D85" s="2">
        <f t="shared" si="143"/>
        <v>6589.707000000004</v>
      </c>
      <c r="E85" s="2">
        <f t="shared" si="112"/>
        <v>108.10000000000001</v>
      </c>
      <c r="F85" s="2">
        <f t="shared" si="113"/>
        <v>94.158571428571435</v>
      </c>
      <c r="G85" s="2">
        <f t="shared" si="114"/>
        <v>152.1</v>
      </c>
      <c r="H85" s="2">
        <f t="shared" si="115"/>
        <v>132.12571428571431</v>
      </c>
      <c r="I85" s="10">
        <f t="shared" si="116"/>
        <v>0.73271603573686606</v>
      </c>
      <c r="J85" s="10">
        <f t="shared" si="117"/>
        <v>0.69916609094024107</v>
      </c>
      <c r="K85" s="10">
        <f t="shared" si="118"/>
        <v>0.18295736233340612</v>
      </c>
      <c r="L85" s="10">
        <f t="shared" si="119"/>
        <v>0.15328083333333339</v>
      </c>
      <c r="M85" s="10">
        <f t="shared" si="139"/>
        <v>0.98499999999999999</v>
      </c>
      <c r="N85" s="10">
        <f t="shared" si="120"/>
        <v>0.99576476190476193</v>
      </c>
      <c r="O85" s="10">
        <f t="shared" si="140"/>
        <v>0.99</v>
      </c>
      <c r="P85" s="23">
        <f t="shared" si="121"/>
        <v>1</v>
      </c>
      <c r="Q85" s="83">
        <f t="shared" si="145"/>
        <v>-3.5024886587424753E-2</v>
      </c>
      <c r="R85" s="81">
        <f t="shared" si="149"/>
        <v>-0.1663482640646482</v>
      </c>
      <c r="S85" s="10">
        <f t="shared" si="150"/>
        <v>-0.13132337747722345</v>
      </c>
      <c r="T85" s="10">
        <f t="shared" si="151"/>
        <v>1.0764761904761944E-2</v>
      </c>
      <c r="U85" s="10">
        <f t="shared" si="152"/>
        <v>1.0000000000000009E-2</v>
      </c>
      <c r="V85" s="23">
        <f t="shared" si="98"/>
        <v>-1.8195833333333331E-2</v>
      </c>
    </row>
    <row r="86" spans="2:23">
      <c r="B86" s="5">
        <f t="shared" si="153"/>
        <v>45291</v>
      </c>
      <c r="C86" s="2">
        <f t="shared" si="142"/>
        <v>6640.7667419329937</v>
      </c>
      <c r="D86" s="2">
        <f t="shared" si="143"/>
        <v>6042.7620000000006</v>
      </c>
      <c r="E86" s="2">
        <f t="shared" si="112"/>
        <v>89.899999999999991</v>
      </c>
      <c r="F86" s="2">
        <f t="shared" si="113"/>
        <v>81.669999999999987</v>
      </c>
      <c r="G86" s="2">
        <f t="shared" si="114"/>
        <v>129.6</v>
      </c>
      <c r="H86" s="2">
        <f t="shared" si="115"/>
        <v>122.99857142857142</v>
      </c>
      <c r="I86" s="10">
        <f t="shared" si="116"/>
        <v>0.72241102510507027</v>
      </c>
      <c r="J86" s="10">
        <f t="shared" si="117"/>
        <v>0.68868396233665485</v>
      </c>
      <c r="K86" s="10">
        <f t="shared" si="118"/>
        <v>0.14874209971098845</v>
      </c>
      <c r="L86" s="10">
        <f t="shared" si="119"/>
        <v>0.13588709677419353</v>
      </c>
      <c r="M86" s="10">
        <f t="shared" si="139"/>
        <v>0.98499999999999999</v>
      </c>
      <c r="N86" s="10">
        <f t="shared" si="120"/>
        <v>0.99489308755760386</v>
      </c>
      <c r="O86" s="10">
        <f t="shared" si="140"/>
        <v>0.99</v>
      </c>
      <c r="P86" s="23">
        <f t="shared" si="121"/>
        <v>1</v>
      </c>
      <c r="Q86" s="83">
        <f t="shared" si="145"/>
        <v>-3.9113607832392372E-2</v>
      </c>
      <c r="R86" s="81">
        <f t="shared" si="149"/>
        <v>-9.0050556686007921E-2</v>
      </c>
      <c r="S86" s="10">
        <f t="shared" si="150"/>
        <v>-5.0936948853615549E-2</v>
      </c>
      <c r="T86" s="10">
        <f t="shared" si="151"/>
        <v>9.8930875576038746E-3</v>
      </c>
      <c r="U86" s="10">
        <f t="shared" si="152"/>
        <v>1.0000000000000009E-2</v>
      </c>
      <c r="V86" s="23">
        <f t="shared" si="98"/>
        <v>-2.3541666666666666E-2</v>
      </c>
    </row>
    <row r="87" spans="2:23">
      <c r="B87" s="5">
        <f t="shared" si="153"/>
        <v>45322</v>
      </c>
      <c r="C87" s="2">
        <f t="shared" ref="C87" si="154">SUM(C216,Y216)</f>
        <v>5598.3329052860845</v>
      </c>
      <c r="D87" s="2">
        <f t="shared" ref="D87" si="155">SUM(D216,Z216)</f>
        <v>2532.0479999999998</v>
      </c>
      <c r="E87" s="2">
        <f t="shared" si="112"/>
        <v>79.600000000000009</v>
      </c>
      <c r="F87" s="2">
        <f t="shared" si="113"/>
        <v>43.442857142857143</v>
      </c>
      <c r="G87" s="2">
        <f t="shared" si="114"/>
        <v>103.20000000000002</v>
      </c>
      <c r="H87" s="2">
        <f t="shared" si="115"/>
        <v>51.29571428571429</v>
      </c>
      <c r="I87" s="10">
        <f t="shared" si="116"/>
        <v>0.7646135955648915</v>
      </c>
      <c r="J87" s="10">
        <f t="shared" si="117"/>
        <v>0.69232895803205519</v>
      </c>
      <c r="K87" s="10">
        <f t="shared" si="118"/>
        <v>0.12536209873606832</v>
      </c>
      <c r="L87" s="10">
        <f t="shared" si="119"/>
        <v>5.6824078341013821E-2</v>
      </c>
      <c r="M87" s="10">
        <f t="shared" ref="M87" si="156">AVERAGE(M216,AI216)</f>
        <v>0.98499999999999999</v>
      </c>
      <c r="N87" s="10">
        <f t="shared" si="120"/>
        <v>0.99229953917050684</v>
      </c>
      <c r="O87" s="10">
        <f t="shared" ref="O87" si="157">AVERAGE(O216,AK216)</f>
        <v>0.99</v>
      </c>
      <c r="P87" s="23">
        <f t="shared" si="121"/>
        <v>1</v>
      </c>
      <c r="Q87" s="83">
        <f t="shared" ref="Q87" si="158">R87-S87</f>
        <v>-4.4765422923760734E-2</v>
      </c>
      <c r="R87" s="81">
        <f t="shared" ref="R87" si="159">D87/C87-1</f>
        <v>-0.54771392790714946</v>
      </c>
      <c r="S87" s="10">
        <f t="shared" ref="S87" si="160">H87/G87-1</f>
        <v>-0.50294850498338872</v>
      </c>
      <c r="T87" s="10">
        <f t="shared" ref="T87" si="161">N87-M87</f>
        <v>7.2995391705068524E-3</v>
      </c>
      <c r="U87" s="10">
        <f t="shared" ref="U87" si="162">P87-O87</f>
        <v>1.0000000000000009E-2</v>
      </c>
      <c r="V87" s="23">
        <f t="shared" ref="V87" si="163">AVERAGE(V216,AR216)</f>
        <v>-1.5987499999999998E-2</v>
      </c>
    </row>
    <row r="88" spans="2:23">
      <c r="B88" s="5">
        <f t="shared" si="153"/>
        <v>45351</v>
      </c>
      <c r="C88" s="2">
        <f t="shared" ref="C88" si="164">SUM(C217,Y217)</f>
        <v>7339.5451421437738</v>
      </c>
      <c r="D88" s="2">
        <f t="shared" ref="D88" si="165">SUM(D217,Z217)</f>
        <v>6968.2289999999994</v>
      </c>
      <c r="E88" s="2">
        <f t="shared" si="112"/>
        <v>108.10000000000001</v>
      </c>
      <c r="F88" s="2">
        <f t="shared" si="113"/>
        <v>111.08428571428571</v>
      </c>
      <c r="G88" s="2">
        <f t="shared" si="114"/>
        <v>137.5</v>
      </c>
      <c r="H88" s="2">
        <f t="shared" si="115"/>
        <v>144.36285714285714</v>
      </c>
      <c r="I88" s="10">
        <f t="shared" si="116"/>
        <v>0.75252288853409088</v>
      </c>
      <c r="J88" s="10">
        <f t="shared" si="117"/>
        <v>0.69433796757817834</v>
      </c>
      <c r="K88" s="10">
        <f t="shared" si="118"/>
        <v>0.18199967627827848</v>
      </c>
      <c r="L88" s="10">
        <f t="shared" si="119"/>
        <v>0.16727142857142857</v>
      </c>
      <c r="M88" s="10">
        <f t="shared" ref="M88" si="166">AVERAGE(M217,AI217)</f>
        <v>0.98499999999999999</v>
      </c>
      <c r="N88" s="10">
        <f t="shared" si="120"/>
        <v>0.96782857142857159</v>
      </c>
      <c r="O88" s="10">
        <f t="shared" ref="O88" si="167">AVERAGE(O217,AK217)</f>
        <v>0.99</v>
      </c>
      <c r="P88" s="23">
        <f t="shared" si="121"/>
        <v>0.99272709359605926</v>
      </c>
      <c r="Q88" s="83">
        <f t="shared" ref="Q88" si="168">R88-S88</f>
        <v>-0.10050285369762924</v>
      </c>
      <c r="R88" s="81">
        <f t="shared" ref="R88" si="169">D88/C88-1</f>
        <v>-5.0591165385940884E-2</v>
      </c>
      <c r="S88" s="10">
        <f t="shared" ref="S88" si="170">H88/G88-1</f>
        <v>4.9911688311688351E-2</v>
      </c>
      <c r="T88" s="10">
        <f t="shared" ref="T88" si="171">N88-M88</f>
        <v>-1.7171428571428393E-2</v>
      </c>
      <c r="U88" s="10">
        <f t="shared" ref="U88" si="172">P88-O88</f>
        <v>2.7270935960592713E-3</v>
      </c>
      <c r="V88" s="23">
        <f t="shared" ref="V88" si="173">AVERAGE(V217,AR217)</f>
        <v>-1.5725473475803574E-2</v>
      </c>
    </row>
    <row r="89" spans="2:23">
      <c r="B89" s="5">
        <f t="shared" si="153"/>
        <v>45382</v>
      </c>
      <c r="C89" s="2">
        <f t="shared" ref="C89" si="174">SUM(C218,Y218)</f>
        <v>9831.569982038076</v>
      </c>
      <c r="D89" s="2">
        <f t="shared" ref="D89" si="175">SUM(D218,Z218)</f>
        <v>8805.1200000000008</v>
      </c>
      <c r="E89" s="2">
        <f t="shared" si="112"/>
        <v>161.4</v>
      </c>
      <c r="F89" s="2">
        <f t="shared" si="113"/>
        <v>154.12142857142857</v>
      </c>
      <c r="G89" s="2">
        <f t="shared" si="114"/>
        <v>187.79999999999998</v>
      </c>
      <c r="H89" s="2">
        <f t="shared" si="115"/>
        <v>177.31571428571434</v>
      </c>
      <c r="I89" s="10">
        <f t="shared" si="116"/>
        <v>0.73816323002924378</v>
      </c>
      <c r="J89" s="10">
        <f t="shared" si="117"/>
        <v>0.69648693394738537</v>
      </c>
      <c r="K89" s="10">
        <f t="shared" si="118"/>
        <v>0.22023814319435422</v>
      </c>
      <c r="L89" s="10">
        <f t="shared" si="119"/>
        <v>0.19788306451612905</v>
      </c>
      <c r="M89" s="10">
        <f t="shared" ref="M89" si="176">AVERAGE(M218,AI218)</f>
        <v>0.98499999999999999</v>
      </c>
      <c r="N89" s="10">
        <f t="shared" si="120"/>
        <v>0.99337557557227651</v>
      </c>
      <c r="O89" s="10">
        <f t="shared" ref="O89" si="177">AVERAGE(O218,AK218)</f>
        <v>0.99</v>
      </c>
      <c r="P89" s="23">
        <f t="shared" si="121"/>
        <v>1</v>
      </c>
      <c r="Q89" s="83">
        <f t="shared" ref="Q89" si="178">R89-S89</f>
        <v>-4.8576598480437161E-2</v>
      </c>
      <c r="R89" s="81">
        <f t="shared" ref="R89" si="179">D89/C89-1</f>
        <v>-0.10440346596864614</v>
      </c>
      <c r="S89" s="10">
        <f t="shared" ref="S89" si="180">H89/G89-1</f>
        <v>-5.5826867488208975E-2</v>
      </c>
      <c r="T89" s="10">
        <f t="shared" ref="T89" si="181">N89-M89</f>
        <v>8.3755755722765279E-3</v>
      </c>
      <c r="U89" s="10">
        <f t="shared" ref="U89" si="182">P89-O89</f>
        <v>1.0000000000000009E-2</v>
      </c>
      <c r="V89" s="23">
        <f t="shared" ref="V89" si="183">AVERAGE(V218,AR218)</f>
        <v>-1.9695833333333329E-2</v>
      </c>
    </row>
    <row r="90" spans="2:23">
      <c r="B90" s="5">
        <f t="shared" si="153"/>
        <v>45412</v>
      </c>
      <c r="C90" s="2">
        <f t="shared" ref="C90" si="184">SUM(C219,Y219)</f>
        <v>10166.86674514576</v>
      </c>
      <c r="D90" s="2">
        <f t="shared" ref="D90" si="185">SUM(D219,Z219)</f>
        <v>9141.7469999999994</v>
      </c>
      <c r="E90" s="2">
        <f t="shared" si="112"/>
        <v>190.20000000000002</v>
      </c>
      <c r="F90" s="2">
        <f t="shared" si="113"/>
        <v>183.21142857142854</v>
      </c>
      <c r="G90" s="2">
        <f t="shared" si="114"/>
        <v>194</v>
      </c>
      <c r="H90" s="2">
        <f t="shared" si="115"/>
        <v>189.80285714285716</v>
      </c>
      <c r="I90" s="10">
        <f t="shared" si="116"/>
        <v>0.73898920073949614</v>
      </c>
      <c r="J90" s="10">
        <f t="shared" si="117"/>
        <v>0.68117224204378968</v>
      </c>
      <c r="K90" s="10">
        <f t="shared" si="118"/>
        <v>0.23535574394885056</v>
      </c>
      <c r="L90" s="10">
        <f t="shared" si="119"/>
        <v>0.21231023809523811</v>
      </c>
      <c r="M90" s="10">
        <f t="shared" ref="M90" si="186">AVERAGE(M219,AI219)</f>
        <v>0.98499999999999999</v>
      </c>
      <c r="N90" s="10">
        <f t="shared" si="120"/>
        <v>0.98533248297512466</v>
      </c>
      <c r="O90" s="10">
        <f t="shared" ref="O90" si="187">AVERAGE(O219,AK219)</f>
        <v>0.99</v>
      </c>
      <c r="P90" s="23">
        <f t="shared" si="121"/>
        <v>0.99964476190476181</v>
      </c>
      <c r="Q90" s="163">
        <f t="shared" ref="Q90" si="188">R90-S90</f>
        <v>-7.9194709037816668E-2</v>
      </c>
      <c r="R90" s="81">
        <f t="shared" ref="R90" si="189">D90/C90-1</f>
        <v>-0.10082946603339826</v>
      </c>
      <c r="S90" s="10">
        <f t="shared" ref="S90" si="190">H90/G90-1</f>
        <v>-2.1634756995581594E-2</v>
      </c>
      <c r="T90" s="10">
        <f t="shared" ref="T90" si="191">N90-M90</f>
        <v>3.3248297512467051E-4</v>
      </c>
      <c r="U90" s="10">
        <f t="shared" ref="U90" si="192">P90-O90</f>
        <v>9.6447619047618227E-3</v>
      </c>
      <c r="V90" s="164">
        <f t="shared" ref="V90" si="193">AVERAGE(V219,AR219)</f>
        <v>-2.3358055555555552E-2</v>
      </c>
    </row>
    <row r="91" spans="2:23">
      <c r="B91" s="5">
        <f t="shared" si="153"/>
        <v>45443</v>
      </c>
      <c r="C91" s="2">
        <f t="shared" ref="C91" si="194">SUM(C220,Y220)</f>
        <v>10300.77192014084</v>
      </c>
      <c r="D91" s="2">
        <f t="shared" ref="D91" si="195">SUM(D220,Z220)</f>
        <v>8532.6929999999993</v>
      </c>
      <c r="E91" s="2">
        <f t="shared" si="112"/>
        <v>197</v>
      </c>
      <c r="F91" s="2">
        <f t="shared" si="113"/>
        <v>195.0085714285714</v>
      </c>
      <c r="G91" s="2">
        <f t="shared" si="114"/>
        <v>197.70000000000002</v>
      </c>
      <c r="H91" s="2">
        <f t="shared" si="115"/>
        <v>198.11714285714282</v>
      </c>
      <c r="I91" s="10">
        <f t="shared" si="116"/>
        <v>0.73470939181111938</v>
      </c>
      <c r="J91" s="10">
        <f t="shared" si="117"/>
        <v>0.62399996215554399</v>
      </c>
      <c r="K91" s="10">
        <f t="shared" si="118"/>
        <v>0.230763332354262</v>
      </c>
      <c r="L91" s="10">
        <f t="shared" si="119"/>
        <v>0.19189642857142858</v>
      </c>
      <c r="M91" s="10">
        <f t="shared" ref="M91" si="196">AVERAGE(M220,AI220)</f>
        <v>0.98499999999999999</v>
      </c>
      <c r="N91" s="10">
        <f t="shared" si="120"/>
        <v>0.96244128693518871</v>
      </c>
      <c r="O91" s="10">
        <f t="shared" ref="O91" si="197">AVERAGE(O220,AK220)</f>
        <v>0.99</v>
      </c>
      <c r="P91" s="23">
        <f t="shared" si="121"/>
        <v>0.9992824884792626</v>
      </c>
      <c r="Q91" s="163">
        <f t="shared" ref="Q91" si="198">R91-S91</f>
        <v>-0.17375526289804422</v>
      </c>
      <c r="R91" s="81">
        <f t="shared" ref="R91" si="199">D91/C91-1</f>
        <v>-0.1716452838533159</v>
      </c>
      <c r="S91" s="10">
        <f t="shared" ref="S91" si="200">H91/G91-1</f>
        <v>2.1099790447283162E-3</v>
      </c>
      <c r="T91" s="10">
        <f t="shared" ref="T91" si="201">N91-M91</f>
        <v>-2.2558713064811275E-2</v>
      </c>
      <c r="U91" s="10">
        <f t="shared" ref="U91" si="202">P91-O91</f>
        <v>9.2824884792626072E-3</v>
      </c>
      <c r="V91" s="164">
        <f t="shared" ref="V91" si="203">AVERAGE(V220,AR220)</f>
        <v>-3.6279166666666668E-2</v>
      </c>
    </row>
    <row r="92" spans="2:23">
      <c r="B92" s="5">
        <f t="shared" si="153"/>
        <v>45473</v>
      </c>
      <c r="C92" s="2">
        <f t="shared" ref="C92" si="204">SUM(C221,Y221)</f>
        <v>9256.0626779763115</v>
      </c>
      <c r="D92" s="2">
        <f t="shared" ref="D92" si="205">SUM(D221,Z221)</f>
        <v>8708.4239999999991</v>
      </c>
      <c r="E92" s="2">
        <f t="shared" si="112"/>
        <v>178.90000000000003</v>
      </c>
      <c r="F92" s="2">
        <f t="shared" si="113"/>
        <v>189.26857142857145</v>
      </c>
      <c r="G92" s="2">
        <f t="shared" si="114"/>
        <v>177.20000000000002</v>
      </c>
      <c r="H92" s="2">
        <f t="shared" si="115"/>
        <v>185.49571428571429</v>
      </c>
      <c r="I92" s="10">
        <f t="shared" si="116"/>
        <v>0.7364835737650347</v>
      </c>
      <c r="J92" s="10">
        <f t="shared" si="117"/>
        <v>0.6751053061922212</v>
      </c>
      <c r="K92" s="10">
        <f t="shared" si="118"/>
        <v>0.21424552655349452</v>
      </c>
      <c r="L92" s="10">
        <f t="shared" si="119"/>
        <v>0.2017957142857143</v>
      </c>
      <c r="M92" s="10">
        <f t="shared" ref="M92" si="206">AVERAGE(M221,AI221)</f>
        <v>0.98499999999999999</v>
      </c>
      <c r="N92" s="10">
        <f t="shared" si="120"/>
        <v>0.96705714285714284</v>
      </c>
      <c r="O92" s="10">
        <f t="shared" ref="O92" si="207">AVERAGE(O221,AK221)</f>
        <v>0.99</v>
      </c>
      <c r="P92" s="23">
        <f t="shared" si="121"/>
        <v>0.99993917050691239</v>
      </c>
      <c r="Q92" s="163">
        <f t="shared" ref="Q92" si="208">R92-S92</f>
        <v>-0.10598094631266775</v>
      </c>
      <c r="R92" s="81">
        <f t="shared" ref="R92" si="209">D92/C92-1</f>
        <v>-5.9165402939562295E-2</v>
      </c>
      <c r="S92" s="10">
        <f t="shared" ref="S92" si="210">H92/G92-1</f>
        <v>4.681554337310545E-2</v>
      </c>
      <c r="T92" s="10">
        <f t="shared" ref="T92" si="211">N92-M92</f>
        <v>-1.7942857142857149E-2</v>
      </c>
      <c r="U92" s="10">
        <f t="shared" ref="U92" si="212">P92-O92</f>
        <v>9.9391705069123981E-3</v>
      </c>
      <c r="V92" s="164">
        <f t="shared" ref="V92" si="213">AVERAGE(V221,AR221)</f>
        <v>-2.4533333333333334E-2</v>
      </c>
    </row>
    <row r="93" spans="2:23">
      <c r="B93" s="5">
        <f t="shared" si="153"/>
        <v>45504</v>
      </c>
      <c r="C93" s="2">
        <f t="shared" ref="C93" si="214">SUM(C222,Y222)</f>
        <v>8201.3817581610892</v>
      </c>
      <c r="D93" s="2">
        <f t="shared" ref="D93" si="215">SUM(D222,Z222)</f>
        <v>7112.4870000000001</v>
      </c>
      <c r="E93" s="2">
        <f t="shared" ref="E93:E99" si="216">AVERAGE(E350,E479,E608,AA479,AA350,AA737,AA608)</f>
        <v>155.5</v>
      </c>
      <c r="F93" s="2">
        <f t="shared" ref="F93:F99" si="217">AVERAGE(F350,F479,F608,AB479,AB350,AB737,AB608)</f>
        <v>143.13285714285715</v>
      </c>
      <c r="G93" s="2">
        <f t="shared" ref="G93:G99" si="218">AVERAGE(G350,G479,G608,AC479,AC350,AC737,AC608)</f>
        <v>154.6</v>
      </c>
      <c r="H93" s="2">
        <f t="shared" ref="H93:H99" si="219">AVERAGE(H350,H479,H608,AD479,AD350,AD737,AD608)</f>
        <v>141.76142857142858</v>
      </c>
      <c r="I93" s="10">
        <f t="shared" ref="I93:I99" si="220">AVERAGE(I350,I479,I608,AE479,AE350,AE737,AE608)</f>
        <v>0.74784686706927761</v>
      </c>
      <c r="J93" s="10">
        <f t="shared" ref="J93:J99" si="221">AVERAGE(J350,J479,J608,AF479,AF350,AF737,AF608)</f>
        <v>0.74219958839437683</v>
      </c>
      <c r="K93" s="10">
        <f t="shared" ref="K93:K99" si="222">AVERAGE(K350,K479,K608,AG479,AG350,AG737,AG608)</f>
        <v>0.18368204639383331</v>
      </c>
      <c r="L93" s="10">
        <f t="shared" ref="L93:L99" si="223">AVERAGE(L350,L479,L608,AH479,AH350,AH737,AH608)</f>
        <v>0.15981877880184334</v>
      </c>
      <c r="M93" s="10">
        <f t="shared" ref="M93" si="224">AVERAGE(M222,AI222)</f>
        <v>0.98499999999999999</v>
      </c>
      <c r="N93" s="10">
        <f t="shared" ref="N93:N99" si="225">AVERAGE(N350,N479,N608,AJ479,AJ350,AJ737,AJ608)</f>
        <v>0.94196130735176486</v>
      </c>
      <c r="O93" s="10">
        <f t="shared" ref="O93" si="226">AVERAGE(O222,AK222)</f>
        <v>0.99</v>
      </c>
      <c r="P93" s="23">
        <f t="shared" ref="P93:P99" si="227">AVERAGE(P350,P479,P608,AL479,AL350,AL737,AL608)</f>
        <v>1</v>
      </c>
      <c r="Q93" s="83">
        <f t="shared" ref="Q93" si="228">R93-S93</f>
        <v>-4.9725871379555198E-2</v>
      </c>
      <c r="R93" s="81">
        <f t="shared" ref="R93" si="229">D93/C93-1</f>
        <v>-0.13276967104689941</v>
      </c>
      <c r="S93" s="10">
        <f t="shared" ref="S93" si="230">H93/G93-1</f>
        <v>-8.3043799667344209E-2</v>
      </c>
      <c r="T93" s="10">
        <f t="shared" ref="T93" si="231">N93-M93</f>
        <v>-4.3038692648235122E-2</v>
      </c>
      <c r="U93" s="10">
        <f t="shared" ref="U93" si="232">P93-O93</f>
        <v>1.0000000000000009E-2</v>
      </c>
      <c r="V93" s="23">
        <f t="shared" ref="V93" si="233">AVERAGE(V222,AR222)</f>
        <v>-8.4083333333333336E-3</v>
      </c>
    </row>
    <row r="94" spans="2:23">
      <c r="B94" s="5">
        <f t="shared" si="153"/>
        <v>45535</v>
      </c>
      <c r="C94" s="2">
        <f t="shared" ref="C94" si="234">SUM(C223,Y223)</f>
        <v>7788.5371300895968</v>
      </c>
      <c r="D94" s="2">
        <f t="shared" ref="D94" si="235">SUM(D223,Z223)</f>
        <v>7944.9539999999997</v>
      </c>
      <c r="E94" s="2">
        <f t="shared" si="216"/>
        <v>145.4</v>
      </c>
      <c r="F94" s="2">
        <f t="shared" si="217"/>
        <v>161.2885714285714</v>
      </c>
      <c r="G94" s="2">
        <f t="shared" si="218"/>
        <v>146.29999999999998</v>
      </c>
      <c r="H94" s="2">
        <f t="shared" si="219"/>
        <v>164.26285714285717</v>
      </c>
      <c r="I94" s="10">
        <f t="shared" si="220"/>
        <v>0.75045310784191532</v>
      </c>
      <c r="J94" s="10">
        <f t="shared" si="221"/>
        <v>0.71296642760795337</v>
      </c>
      <c r="K94" s="10">
        <f t="shared" si="222"/>
        <v>0.17442648440663411</v>
      </c>
      <c r="L94" s="10">
        <f t="shared" si="223"/>
        <v>0.17875622119815668</v>
      </c>
      <c r="M94" s="10">
        <f t="shared" ref="M94" si="236">AVERAGE(M223,AI223)</f>
        <v>0.98499999999999999</v>
      </c>
      <c r="N94" s="10">
        <f t="shared" si="225"/>
        <v>0.9463415695973918</v>
      </c>
      <c r="O94" s="10">
        <f t="shared" ref="O94" si="237">AVERAGE(O223,AK223)</f>
        <v>0.99</v>
      </c>
      <c r="P94" s="23">
        <f t="shared" si="227"/>
        <v>1</v>
      </c>
      <c r="Q94" s="83">
        <f t="shared" ref="Q94" si="238">R94-S94</f>
        <v>-0.1026980196695666</v>
      </c>
      <c r="R94" s="81">
        <f t="shared" ref="R94" si="239">D94/C94-1</f>
        <v>2.0082958750509805E-2</v>
      </c>
      <c r="S94" s="10">
        <f t="shared" ref="S94" si="240">H94/G94-1</f>
        <v>0.1227809784200764</v>
      </c>
      <c r="T94" s="10">
        <f t="shared" ref="T94" si="241">N94-M94</f>
        <v>-3.865843040260819E-2</v>
      </c>
      <c r="U94" s="10">
        <f t="shared" ref="U94" si="242">P94-O94</f>
        <v>1.0000000000000009E-2</v>
      </c>
      <c r="V94" s="23">
        <f t="shared" ref="V94" si="243">AVERAGE(V223,AR223)</f>
        <v>-7.1041666666666666E-3</v>
      </c>
      <c r="W94" s="98"/>
    </row>
    <row r="95" spans="2:23">
      <c r="B95" s="5">
        <f t="shared" si="153"/>
        <v>45565</v>
      </c>
      <c r="C95" s="2">
        <f t="shared" ref="C95" si="244">SUM(C224,Y224)</f>
        <v>7757.7316984344534</v>
      </c>
      <c r="D95" s="2">
        <f t="shared" ref="D95" si="245">SUM(D224,Z224)</f>
        <v>6464.360999999999</v>
      </c>
      <c r="E95" s="2">
        <f t="shared" si="216"/>
        <v>141.6</v>
      </c>
      <c r="F95" s="2">
        <f t="shared" si="217"/>
        <v>120.26000000000002</v>
      </c>
      <c r="G95" s="2">
        <f t="shared" si="218"/>
        <v>145.5</v>
      </c>
      <c r="H95" s="2">
        <f t="shared" si="219"/>
        <v>127.89999999999999</v>
      </c>
      <c r="I95" s="10">
        <f t="shared" si="220"/>
        <v>0.75165555586934851</v>
      </c>
      <c r="J95" s="10">
        <f t="shared" si="221"/>
        <v>0.7389459937012427</v>
      </c>
      <c r="K95" s="10">
        <f t="shared" si="222"/>
        <v>0.17954232521384225</v>
      </c>
      <c r="L95" s="10">
        <f t="shared" si="223"/>
        <v>0.15001500000000001</v>
      </c>
      <c r="M95" s="10">
        <f t="shared" ref="M95" si="246">AVERAGE(M224,AI224)</f>
        <v>0.98499999999999999</v>
      </c>
      <c r="N95" s="10">
        <f t="shared" si="225"/>
        <v>0.95268740196174828</v>
      </c>
      <c r="O95" s="10">
        <f t="shared" ref="O95" si="247">AVERAGE(O224,AK224)</f>
        <v>0.99</v>
      </c>
      <c r="P95" s="23">
        <f t="shared" si="227"/>
        <v>1</v>
      </c>
      <c r="Q95" s="83">
        <f t="shared" ref="Q95" si="248">R95-S95</f>
        <v>-4.5758015914045713E-2</v>
      </c>
      <c r="R95" s="81">
        <f t="shared" ref="R95" si="249">D95/C95-1</f>
        <v>-0.1667202152267605</v>
      </c>
      <c r="S95" s="10">
        <f t="shared" ref="S95" si="250">H95/G95-1</f>
        <v>-0.12096219931271479</v>
      </c>
      <c r="T95" s="10">
        <f t="shared" ref="T95" si="251">N95-M95</f>
        <v>-3.2312598038251705E-2</v>
      </c>
      <c r="U95" s="10">
        <f t="shared" ref="U95" si="252">P95-O95</f>
        <v>1.0000000000000009E-2</v>
      </c>
      <c r="V95" s="23">
        <f t="shared" ref="V95" si="253">AVERAGE(V224,AR224)</f>
        <v>-9.8916666666666667E-3</v>
      </c>
      <c r="W95" s="98"/>
    </row>
    <row r="96" spans="2:23">
      <c r="B96" s="5">
        <f t="shared" si="153"/>
        <v>45596</v>
      </c>
      <c r="C96" s="2">
        <f t="shared" ref="C96" si="254">SUM(C225,Y225)</f>
        <v>8880.700509671944</v>
      </c>
      <c r="D96" s="2">
        <f t="shared" ref="D96" si="255">SUM(D225,Z225)</f>
        <v>7670.1840000000002</v>
      </c>
      <c r="E96" s="2">
        <f t="shared" si="216"/>
        <v>139.1</v>
      </c>
      <c r="F96" s="2">
        <f t="shared" si="217"/>
        <v>125.65714285714284</v>
      </c>
      <c r="G96" s="2">
        <f t="shared" si="218"/>
        <v>172.20000000000002</v>
      </c>
      <c r="H96" s="2">
        <f t="shared" si="219"/>
        <v>152.70142857142858</v>
      </c>
      <c r="I96" s="10">
        <f t="shared" si="220"/>
        <v>0.72717326898863699</v>
      </c>
      <c r="J96" s="10">
        <f t="shared" si="221"/>
        <v>0.71758555163858484</v>
      </c>
      <c r="K96" s="10">
        <f t="shared" si="222"/>
        <v>0.198937013493622</v>
      </c>
      <c r="L96" s="10">
        <f t="shared" si="223"/>
        <v>0.17220115207373274</v>
      </c>
      <c r="M96" s="10">
        <f t="shared" ref="M96" si="256">AVERAGE(M225,AI225)</f>
        <v>0.98499999999999999</v>
      </c>
      <c r="N96" s="10">
        <f t="shared" si="225"/>
        <v>0.97444574328644296</v>
      </c>
      <c r="O96" s="10">
        <f t="shared" ref="O96" si="257">AVERAGE(O225,AK225)</f>
        <v>0.99</v>
      </c>
      <c r="P96" s="23">
        <f t="shared" si="227"/>
        <v>0.99462764976958518</v>
      </c>
      <c r="Q96" s="83">
        <f t="shared" ref="Q96" si="258">R96-S96</f>
        <v>-2.3076551771094023E-2</v>
      </c>
      <c r="R96" s="81">
        <f t="shared" ref="R96" si="259">D96/C96-1</f>
        <v>-0.13630867388823364</v>
      </c>
      <c r="S96" s="10">
        <f t="shared" ref="S96" si="260">H96/G96-1</f>
        <v>-0.11323212211713962</v>
      </c>
      <c r="T96" s="10">
        <f t="shared" ref="T96" si="261">N96-M96</f>
        <v>-1.0554256713557031E-2</v>
      </c>
      <c r="U96" s="10">
        <f t="shared" ref="U96" si="262">P96-O96</f>
        <v>4.6276497695851848E-3</v>
      </c>
      <c r="V96" s="23">
        <f t="shared" ref="V96" si="263">AVERAGE(V225,AR225)</f>
        <v>-2.2239650537634399E-2</v>
      </c>
      <c r="W96" s="98"/>
    </row>
    <row r="97" spans="2:22">
      <c r="B97" s="5">
        <f t="shared" si="153"/>
        <v>45626</v>
      </c>
      <c r="C97" s="2">
        <f t="shared" ref="C97" si="264">SUM(C226,Y226)</f>
        <v>7865.1050341103946</v>
      </c>
      <c r="D97" s="2">
        <f t="shared" ref="D97" si="265">SUM(D226,Z226)</f>
        <v>5689.4549999999999</v>
      </c>
      <c r="E97" s="2">
        <f t="shared" si="216"/>
        <v>108.10000000000001</v>
      </c>
      <c r="F97" s="2">
        <f t="shared" si="217"/>
        <v>82.278571428571439</v>
      </c>
      <c r="G97" s="2">
        <f t="shared" si="218"/>
        <v>152.1</v>
      </c>
      <c r="H97" s="2">
        <f t="shared" si="219"/>
        <v>109.98</v>
      </c>
      <c r="I97" s="10">
        <f t="shared" si="220"/>
        <v>0.72905245555818188</v>
      </c>
      <c r="J97" s="10">
        <f t="shared" si="221"/>
        <v>0.73418771283649398</v>
      </c>
      <c r="K97" s="10">
        <f t="shared" si="222"/>
        <v>0.18204257552173911</v>
      </c>
      <c r="L97" s="10">
        <f t="shared" si="223"/>
        <v>0.13218559523809525</v>
      </c>
      <c r="M97" s="10">
        <f t="shared" ref="M97" si="266">AVERAGE(M226,AI226)</f>
        <v>0.98499999999999999</v>
      </c>
      <c r="N97" s="10">
        <f t="shared" si="225"/>
        <v>0.98229444336123684</v>
      </c>
      <c r="O97" s="10">
        <f t="shared" ref="O97" si="267">AVERAGE(O226,AK226)</f>
        <v>0.99</v>
      </c>
      <c r="P97" s="23">
        <f t="shared" si="227"/>
        <v>1</v>
      </c>
      <c r="Q97" s="83">
        <f t="shared" ref="Q97" si="268">R97-S97</f>
        <v>3.0248194376547577E-4</v>
      </c>
      <c r="R97" s="81">
        <f t="shared" ref="R97" si="269">D97/C97-1</f>
        <v>-0.27662059497931135</v>
      </c>
      <c r="S97" s="10">
        <f t="shared" ref="S97" si="270">H97/G97-1</f>
        <v>-0.27692307692307683</v>
      </c>
      <c r="T97" s="10">
        <f t="shared" ref="T97" si="271">N97-M97</f>
        <v>-2.7055566387631513E-3</v>
      </c>
      <c r="U97" s="10">
        <f t="shared" ref="U97" si="272">P97-O97</f>
        <v>1.0000000000000009E-2</v>
      </c>
      <c r="V97" s="23">
        <f t="shared" ref="V97" si="273">AVERAGE(V226,AR226)</f>
        <v>-2.2979166666666669E-2</v>
      </c>
    </row>
    <row r="98" spans="2:22">
      <c r="B98" s="5">
        <f t="shared" si="153"/>
        <v>45657</v>
      </c>
      <c r="C98" s="2">
        <f t="shared" ref="C98" si="274">SUM(C227,Y227)</f>
        <v>6607.5629082233281</v>
      </c>
      <c r="D98" s="2">
        <f t="shared" ref="D98" si="275">SUM(D227,Z227)</f>
        <v>6080.1360000000004</v>
      </c>
      <c r="E98" s="2">
        <f t="shared" si="216"/>
        <v>89.899999999999991</v>
      </c>
      <c r="F98" s="2">
        <f t="shared" si="217"/>
        <v>77.655714285714268</v>
      </c>
      <c r="G98" s="2">
        <f t="shared" si="218"/>
        <v>129.6</v>
      </c>
      <c r="H98" s="2">
        <f t="shared" si="219"/>
        <v>115.28714285714283</v>
      </c>
      <c r="I98" s="10">
        <f t="shared" si="220"/>
        <v>0.71879896997954495</v>
      </c>
      <c r="J98" s="10">
        <f t="shared" si="221"/>
        <v>0.74093216177220378</v>
      </c>
      <c r="K98" s="10">
        <f t="shared" si="222"/>
        <v>0.1479983892124335</v>
      </c>
      <c r="L98" s="10">
        <f t="shared" si="223"/>
        <v>0.13674239631336405</v>
      </c>
      <c r="M98" s="10">
        <f t="shared" ref="M98" si="276">AVERAGE(M227,AI227)</f>
        <v>0.98499999999999999</v>
      </c>
      <c r="N98" s="10">
        <f t="shared" si="225"/>
        <v>0.99256245826091305</v>
      </c>
      <c r="O98" s="10">
        <f t="shared" ref="O98" si="277">AVERAGE(O227,AK227)</f>
        <v>0.99</v>
      </c>
      <c r="P98" s="23">
        <f t="shared" si="227"/>
        <v>1</v>
      </c>
      <c r="Q98" s="83">
        <f t="shared" ref="Q98" si="278">R98-S98</f>
        <v>3.0617011911836522E-2</v>
      </c>
      <c r="R98" s="81">
        <f t="shared" ref="R98" si="279">D98/C98-1</f>
        <v>-7.9821700610209545E-2</v>
      </c>
      <c r="S98" s="10">
        <f t="shared" ref="S98" si="280">H98/G98-1</f>
        <v>-0.11043871252204607</v>
      </c>
      <c r="T98" s="10">
        <f t="shared" ref="T98" si="281">N98-M98</f>
        <v>7.5624582609130631E-3</v>
      </c>
      <c r="U98" s="10">
        <f t="shared" ref="U98" si="282">P98-O98</f>
        <v>1.0000000000000009E-2</v>
      </c>
      <c r="V98" s="23">
        <f t="shared" ref="V98" si="283">AVERAGE(V227,AR227)</f>
        <v>-1.5442473118279572E-2</v>
      </c>
    </row>
    <row r="99" spans="2:22">
      <c r="B99" s="5">
        <f t="shared" si="153"/>
        <v>45688</v>
      </c>
      <c r="C99" s="2">
        <f t="shared" ref="C99" si="284">SUM(C228,Y228)</f>
        <v>5570.3412407596552</v>
      </c>
      <c r="D99" s="2">
        <f t="shared" ref="D99" si="285">SUM(D228,Z228)</f>
        <v>5604.7139999999999</v>
      </c>
      <c r="E99" s="2">
        <f t="shared" si="216"/>
        <v>79.600000000000009</v>
      </c>
      <c r="F99" s="2">
        <f t="shared" si="217"/>
        <v>79.178571428571431</v>
      </c>
      <c r="G99" s="2">
        <f t="shared" si="218"/>
        <v>103.20000000000002</v>
      </c>
      <c r="H99" s="2">
        <f t="shared" si="219"/>
        <v>105.33428571428571</v>
      </c>
      <c r="I99" s="10">
        <f t="shared" si="220"/>
        <v>0.76079052758706711</v>
      </c>
      <c r="J99" s="10">
        <f t="shared" si="221"/>
        <v>0.74679658492494838</v>
      </c>
      <c r="K99" s="10">
        <f t="shared" si="222"/>
        <v>0.12473528824238798</v>
      </c>
      <c r="L99" s="10">
        <f t="shared" si="223"/>
        <v>0.12592776497695854</v>
      </c>
      <c r="M99" s="10">
        <f t="shared" ref="M99" si="286">AVERAGE(M228,AI228)</f>
        <v>0.98499999999999999</v>
      </c>
      <c r="N99" s="10">
        <f t="shared" si="225"/>
        <v>0.99255486354433187</v>
      </c>
      <c r="O99" s="10">
        <f t="shared" ref="O99" si="287">AVERAGE(O228,AK228)</f>
        <v>0.99</v>
      </c>
      <c r="P99" s="23">
        <f t="shared" si="227"/>
        <v>1</v>
      </c>
      <c r="Q99" s="83">
        <f t="shared" ref="Q99" si="288">R99-S99</f>
        <v>-1.451038923514969E-2</v>
      </c>
      <c r="R99" s="81">
        <f t="shared" ref="R99" si="289">D99/C99-1</f>
        <v>6.1706738877738143E-3</v>
      </c>
      <c r="S99" s="10">
        <f t="shared" ref="S99" si="290">H99/G99-1</f>
        <v>2.0681063122923504E-2</v>
      </c>
      <c r="T99" s="10">
        <f t="shared" ref="T99" si="291">N99-M99</f>
        <v>7.5548635443318801E-3</v>
      </c>
      <c r="U99" s="10">
        <f t="shared" ref="U99" si="292">P99-O99</f>
        <v>1.0000000000000009E-2</v>
      </c>
      <c r="V99" s="23">
        <f t="shared" ref="V99" si="293">AVERAGE(V228,AR228)</f>
        <v>-1.5453897849462368E-2</v>
      </c>
    </row>
    <row r="100" spans="2:22">
      <c r="B100" s="5">
        <f t="shared" si="153"/>
        <v>45716</v>
      </c>
      <c r="C100" s="2"/>
      <c r="D100" s="2"/>
      <c r="E100" s="2"/>
      <c r="F100" s="2"/>
      <c r="G100" s="2"/>
      <c r="H100" s="2"/>
      <c r="I100" s="10"/>
      <c r="J100" s="10"/>
      <c r="K100" s="10"/>
      <c r="L100" s="10"/>
      <c r="M100" s="10"/>
      <c r="N100" s="10"/>
      <c r="O100" s="10"/>
      <c r="P100" s="23"/>
      <c r="Q100" s="83"/>
      <c r="R100" s="81"/>
      <c r="S100" s="10"/>
      <c r="T100" s="10"/>
      <c r="U100" s="10"/>
      <c r="V100" s="23"/>
    </row>
    <row r="101" spans="2:22">
      <c r="B101" s="5">
        <f t="shared" si="153"/>
        <v>45747</v>
      </c>
      <c r="C101" s="2"/>
      <c r="D101" s="2"/>
      <c r="E101" s="2"/>
      <c r="F101" s="2"/>
      <c r="G101" s="2"/>
      <c r="H101" s="2"/>
      <c r="I101" s="10"/>
      <c r="J101" s="10"/>
      <c r="K101" s="10"/>
      <c r="L101" s="10"/>
      <c r="M101" s="10"/>
      <c r="N101" s="10"/>
      <c r="O101" s="10"/>
      <c r="P101" s="23"/>
      <c r="Q101" s="83"/>
      <c r="R101" s="81"/>
      <c r="S101" s="10"/>
      <c r="T101" s="10"/>
      <c r="U101" s="10"/>
      <c r="V101" s="23"/>
    </row>
    <row r="102" spans="2:22">
      <c r="B102" s="5">
        <f t="shared" si="153"/>
        <v>45777</v>
      </c>
      <c r="C102" s="2"/>
      <c r="D102" s="2"/>
      <c r="E102" s="2"/>
      <c r="F102" s="2"/>
      <c r="G102" s="2"/>
      <c r="H102" s="2"/>
      <c r="I102" s="10"/>
      <c r="J102" s="10"/>
      <c r="K102" s="10"/>
      <c r="L102" s="10"/>
      <c r="M102" s="10"/>
      <c r="N102" s="10"/>
      <c r="O102" s="10"/>
      <c r="P102" s="23"/>
      <c r="Q102" s="83"/>
      <c r="R102" s="81"/>
      <c r="S102" s="10"/>
      <c r="T102" s="10"/>
      <c r="U102" s="10"/>
      <c r="V102" s="23"/>
    </row>
    <row r="103" spans="2:22">
      <c r="B103" s="5">
        <f t="shared" si="153"/>
        <v>45808</v>
      </c>
      <c r="C103" s="2"/>
      <c r="D103" s="2"/>
      <c r="E103" s="2"/>
      <c r="F103" s="2"/>
      <c r="G103" s="2"/>
      <c r="H103" s="2"/>
      <c r="I103" s="10"/>
      <c r="J103" s="10"/>
      <c r="K103" s="10"/>
      <c r="L103" s="10"/>
      <c r="M103" s="10"/>
      <c r="N103" s="10"/>
      <c r="O103" s="10"/>
      <c r="P103" s="23"/>
      <c r="Q103" s="83"/>
      <c r="R103" s="81"/>
      <c r="S103" s="10"/>
      <c r="T103" s="10"/>
      <c r="U103" s="10"/>
      <c r="V103" s="23"/>
    </row>
    <row r="104" spans="2:22">
      <c r="B104" s="5">
        <f t="shared" si="153"/>
        <v>45838</v>
      </c>
      <c r="C104" s="2"/>
      <c r="D104" s="2"/>
      <c r="E104" s="2"/>
      <c r="F104" s="2"/>
      <c r="G104" s="2"/>
      <c r="H104" s="2"/>
      <c r="I104" s="10"/>
      <c r="J104" s="10"/>
      <c r="K104" s="10"/>
      <c r="L104" s="10"/>
      <c r="M104" s="10"/>
      <c r="N104" s="10"/>
      <c r="O104" s="10"/>
      <c r="P104" s="23"/>
      <c r="Q104" s="83"/>
      <c r="R104" s="81"/>
      <c r="S104" s="10"/>
      <c r="T104" s="10"/>
      <c r="U104" s="10"/>
      <c r="V104" s="23"/>
    </row>
    <row r="105" spans="2:22">
      <c r="B105" s="5">
        <f t="shared" si="153"/>
        <v>45869</v>
      </c>
      <c r="C105" s="2"/>
      <c r="D105" s="2"/>
      <c r="E105" s="2"/>
      <c r="F105" s="2"/>
      <c r="G105" s="2"/>
      <c r="H105" s="2"/>
      <c r="I105" s="10"/>
      <c r="J105" s="10"/>
      <c r="K105" s="10"/>
      <c r="L105" s="10"/>
      <c r="M105" s="10"/>
      <c r="N105" s="10"/>
      <c r="O105" s="10"/>
      <c r="P105" s="23"/>
      <c r="Q105" s="83"/>
      <c r="R105" s="81"/>
      <c r="S105" s="10"/>
      <c r="T105" s="10"/>
      <c r="U105" s="10"/>
      <c r="V105" s="23"/>
    </row>
    <row r="106" spans="2:22">
      <c r="B106" s="5">
        <f t="shared" si="153"/>
        <v>45900</v>
      </c>
      <c r="C106" s="2"/>
      <c r="D106" s="2"/>
      <c r="E106" s="2"/>
      <c r="F106" s="2"/>
      <c r="G106" s="2"/>
      <c r="H106" s="2"/>
      <c r="I106" s="10"/>
      <c r="J106" s="10"/>
      <c r="K106" s="10"/>
      <c r="L106" s="10"/>
      <c r="M106" s="10"/>
      <c r="N106" s="10"/>
      <c r="O106" s="10"/>
      <c r="P106" s="23"/>
      <c r="Q106" s="83"/>
      <c r="R106" s="81"/>
      <c r="S106" s="10"/>
      <c r="T106" s="10"/>
      <c r="U106" s="10"/>
      <c r="V106" s="23"/>
    </row>
    <row r="107" spans="2:22">
      <c r="B107" s="5">
        <f t="shared" si="153"/>
        <v>45930</v>
      </c>
      <c r="C107" s="2"/>
      <c r="D107" s="2"/>
      <c r="E107" s="2"/>
      <c r="F107" s="2"/>
      <c r="G107" s="2"/>
      <c r="H107" s="2"/>
      <c r="I107" s="10"/>
      <c r="J107" s="10"/>
      <c r="K107" s="10"/>
      <c r="L107" s="10"/>
      <c r="M107" s="10"/>
      <c r="N107" s="10"/>
      <c r="O107" s="10"/>
      <c r="P107" s="23"/>
      <c r="Q107" s="83"/>
      <c r="R107" s="81"/>
      <c r="S107" s="10"/>
      <c r="T107" s="10"/>
      <c r="U107" s="10"/>
      <c r="V107" s="23"/>
    </row>
    <row r="108" spans="2:22">
      <c r="B108" s="5">
        <f t="shared" si="153"/>
        <v>45961</v>
      </c>
      <c r="C108" s="2"/>
      <c r="D108" s="2"/>
      <c r="E108" s="2"/>
      <c r="F108" s="2"/>
      <c r="G108" s="2"/>
      <c r="H108" s="2"/>
      <c r="I108" s="10"/>
      <c r="J108" s="10"/>
      <c r="K108" s="10"/>
      <c r="L108" s="10"/>
      <c r="M108" s="10"/>
      <c r="N108" s="10"/>
      <c r="O108" s="10"/>
      <c r="P108" s="23"/>
      <c r="Q108" s="83"/>
      <c r="R108" s="81"/>
      <c r="S108" s="10"/>
      <c r="T108" s="10"/>
      <c r="U108" s="10"/>
      <c r="V108" s="23"/>
    </row>
    <row r="109" spans="2:22">
      <c r="B109" s="5">
        <f t="shared" si="153"/>
        <v>45991</v>
      </c>
      <c r="C109" s="2"/>
      <c r="D109" s="2"/>
      <c r="E109" s="2"/>
      <c r="F109" s="2"/>
      <c r="G109" s="2"/>
      <c r="H109" s="2"/>
      <c r="I109" s="10"/>
      <c r="J109" s="10"/>
      <c r="K109" s="10"/>
      <c r="L109" s="10"/>
      <c r="M109" s="10"/>
      <c r="N109" s="10"/>
      <c r="O109" s="10"/>
      <c r="P109" s="23"/>
      <c r="Q109" s="83"/>
      <c r="R109" s="81"/>
      <c r="S109" s="10"/>
      <c r="T109" s="10"/>
      <c r="U109" s="10"/>
      <c r="V109" s="23"/>
    </row>
    <row r="110" spans="2:22">
      <c r="B110" s="5">
        <f t="shared" si="153"/>
        <v>46022</v>
      </c>
      <c r="C110" s="2"/>
      <c r="D110" s="2"/>
      <c r="E110" s="2"/>
      <c r="F110" s="2"/>
      <c r="G110" s="2"/>
      <c r="H110" s="2"/>
      <c r="I110" s="10"/>
      <c r="J110" s="10"/>
      <c r="K110" s="10"/>
      <c r="L110" s="10"/>
      <c r="M110" s="10"/>
      <c r="N110" s="10"/>
      <c r="O110" s="10"/>
      <c r="P110" s="23"/>
      <c r="Q110" s="83"/>
      <c r="R110" s="81"/>
      <c r="S110" s="10"/>
      <c r="T110" s="10"/>
      <c r="U110" s="10"/>
      <c r="V110" s="23"/>
    </row>
    <row r="111" spans="2:22">
      <c r="B111" s="60" t="s">
        <v>43</v>
      </c>
      <c r="C111" s="58">
        <f t="shared" ref="C111:H111" si="294">SUM(C3:C14)</f>
        <v>88344.231934370458</v>
      </c>
      <c r="D111" s="58">
        <f t="shared" si="294"/>
        <v>62194.614999999991</v>
      </c>
      <c r="E111" s="58">
        <f t="shared" si="294"/>
        <v>1694.8</v>
      </c>
      <c r="F111" s="58" t="e">
        <f t="shared" si="294"/>
        <v>#DIV/0!</v>
      </c>
      <c r="G111" s="58">
        <f t="shared" si="294"/>
        <v>1897.6999999999998</v>
      </c>
      <c r="H111" s="58" t="e">
        <f t="shared" si="294"/>
        <v>#DIV/0!</v>
      </c>
      <c r="I111" s="59">
        <f t="shared" ref="I111:P111" si="295">AVERAGE(I3:I14)</f>
        <v>0.80397746187152952</v>
      </c>
      <c r="J111" s="59" t="e">
        <f t="shared" si="295"/>
        <v>#DIV/0!</v>
      </c>
      <c r="K111" s="59" t="e">
        <f t="shared" si="295"/>
        <v>#DIV/0!</v>
      </c>
      <c r="L111" s="59" t="e">
        <f t="shared" si="295"/>
        <v>#DIV/0!</v>
      </c>
      <c r="M111" s="59">
        <f t="shared" si="295"/>
        <v>0.98499999999999999</v>
      </c>
      <c r="N111" s="59" t="e">
        <f t="shared" si="295"/>
        <v>#DIV/0!</v>
      </c>
      <c r="O111" s="59">
        <f t="shared" si="295"/>
        <v>0.9900000000000001</v>
      </c>
      <c r="P111" s="61" t="e">
        <f t="shared" si="295"/>
        <v>#DIV/0!</v>
      </c>
      <c r="Q111" s="83" t="e">
        <f t="shared" ref="Q111:Q112" si="296">R111-S111</f>
        <v>#DIV/0!</v>
      </c>
      <c r="R111" s="65">
        <f t="shared" ref="R111:R117" si="297">D111/C111-1</f>
        <v>-0.29599687904691507</v>
      </c>
      <c r="S111" s="59" t="e">
        <f t="shared" ref="S111:S117" si="298">H111/G111-1</f>
        <v>#DIV/0!</v>
      </c>
      <c r="T111" s="59" t="e">
        <f t="shared" ref="T111:T117" si="299">N111-M111</f>
        <v>#DIV/0!</v>
      </c>
      <c r="U111" s="59" t="e">
        <f t="shared" ref="U111:U117" si="300">P111-O111</f>
        <v>#DIV/0!</v>
      </c>
      <c r="V111" s="61" t="e">
        <f>AVERAGE(V3:V14)</f>
        <v>#DIV/0!</v>
      </c>
    </row>
    <row r="112" spans="2:22">
      <c r="B112" s="60" t="s">
        <v>44</v>
      </c>
      <c r="C112" s="58">
        <f t="shared" ref="C112:H112" si="301">SUM(C15:C26)</f>
        <v>104132.21523240554</v>
      </c>
      <c r="D112" s="58">
        <f t="shared" si="301"/>
        <v>94529.563999999984</v>
      </c>
      <c r="E112" s="58">
        <f t="shared" si="301"/>
        <v>1694.8</v>
      </c>
      <c r="F112" s="58">
        <f t="shared" si="301"/>
        <v>1503.1001428571431</v>
      </c>
      <c r="G112" s="58">
        <f t="shared" si="301"/>
        <v>1897.6999999999998</v>
      </c>
      <c r="H112" s="58">
        <f t="shared" si="301"/>
        <v>1676.2071428571428</v>
      </c>
      <c r="I112" s="59">
        <f t="shared" ref="I112:P112" si="302">AVERAGE(I15:I26)</f>
        <v>0.77377977872085912</v>
      </c>
      <c r="J112" s="59">
        <f t="shared" si="302"/>
        <v>0.8039462586413193</v>
      </c>
      <c r="K112" s="59">
        <f t="shared" si="302"/>
        <v>0.19822635849775053</v>
      </c>
      <c r="L112" s="59">
        <f t="shared" si="302"/>
        <v>0.1807187534821276</v>
      </c>
      <c r="M112" s="59">
        <f t="shared" si="302"/>
        <v>0.98499999999999999</v>
      </c>
      <c r="N112" s="59">
        <f t="shared" si="302"/>
        <v>0.9711596692857144</v>
      </c>
      <c r="O112" s="59">
        <f t="shared" si="302"/>
        <v>0.9900000000000001</v>
      </c>
      <c r="P112" s="61">
        <f t="shared" si="302"/>
        <v>0.98909761904761906</v>
      </c>
      <c r="Q112" s="83">
        <f t="shared" si="296"/>
        <v>2.4500525575974152E-2</v>
      </c>
      <c r="R112" s="65">
        <f t="shared" si="297"/>
        <v>-9.2215950760041521E-2</v>
      </c>
      <c r="S112" s="59">
        <f t="shared" si="298"/>
        <v>-0.11671647633601567</v>
      </c>
      <c r="T112" s="59">
        <f t="shared" si="299"/>
        <v>-1.3840330714285587E-2</v>
      </c>
      <c r="U112" s="59">
        <f t="shared" si="300"/>
        <v>-9.0238095238104332E-4</v>
      </c>
      <c r="V112" s="61" t="e">
        <f>AVERAGE(V15:V26)</f>
        <v>#DIV/0!</v>
      </c>
    </row>
    <row r="113" spans="1:23">
      <c r="B113" s="60" t="s">
        <v>45</v>
      </c>
      <c r="C113" s="58">
        <f t="shared" ref="C113:H113" si="303">SUM(C27:C38)</f>
        <v>102121.81055613772</v>
      </c>
      <c r="D113" s="58">
        <f t="shared" si="303"/>
        <v>92712.243000000017</v>
      </c>
      <c r="E113" s="58">
        <f t="shared" si="303"/>
        <v>1694.8</v>
      </c>
      <c r="F113" s="58">
        <f t="shared" si="303"/>
        <v>1601.4042857142861</v>
      </c>
      <c r="G113" s="58">
        <f t="shared" si="303"/>
        <v>1897.6999999999998</v>
      </c>
      <c r="H113" s="58">
        <f t="shared" si="303"/>
        <v>1772.517142857143</v>
      </c>
      <c r="I113" s="59">
        <f t="shared" ref="I113:P113" si="304">AVERAGE(I27:I38)</f>
        <v>0.75967473916197159</v>
      </c>
      <c r="J113" s="59">
        <f t="shared" si="304"/>
        <v>0.75611299800110476</v>
      </c>
      <c r="K113" s="59">
        <f t="shared" si="304"/>
        <v>0.19436010112173921</v>
      </c>
      <c r="L113" s="59">
        <f t="shared" si="304"/>
        <v>0.17693398983249212</v>
      </c>
      <c r="M113" s="59">
        <f t="shared" si="304"/>
        <v>0.98499999999999988</v>
      </c>
      <c r="N113" s="59">
        <f t="shared" si="304"/>
        <v>0.96647619047619049</v>
      </c>
      <c r="O113" s="59">
        <f t="shared" si="304"/>
        <v>0.9900000000000001</v>
      </c>
      <c r="P113" s="61">
        <f t="shared" si="304"/>
        <v>0.99019047619047618</v>
      </c>
      <c r="Q113" s="83">
        <f>R113-S113-T113</f>
        <v>-7.6512491670184257E-3</v>
      </c>
      <c r="R113" s="65">
        <f t="shared" si="297"/>
        <v>-9.2140626031744111E-2</v>
      </c>
      <c r="S113" s="59">
        <f t="shared" si="298"/>
        <v>-6.5965567340916298E-2</v>
      </c>
      <c r="T113" s="59">
        <f t="shared" si="299"/>
        <v>-1.8523809523809387E-2</v>
      </c>
      <c r="U113" s="59">
        <f t="shared" si="300"/>
        <v>1.9047619047607434E-4</v>
      </c>
      <c r="V113" s="61" t="e">
        <f>AVERAGE(V27:V38)</f>
        <v>#DIV/0!</v>
      </c>
    </row>
    <row r="114" spans="1:23">
      <c r="A114" s="102"/>
      <c r="B114" s="60" t="s">
        <v>46</v>
      </c>
      <c r="C114" s="58">
        <f t="shared" ref="C114:H114" si="305">SUM(C39:C50)</f>
        <v>101611.20150335706</v>
      </c>
      <c r="D114" s="58">
        <f t="shared" si="305"/>
        <v>95155.209000000003</v>
      </c>
      <c r="E114" s="58">
        <f t="shared" si="305"/>
        <v>1694.8</v>
      </c>
      <c r="F114" s="58">
        <f t="shared" si="305"/>
        <v>1652.3928571428573</v>
      </c>
      <c r="G114" s="58">
        <f t="shared" si="305"/>
        <v>1897.6999999999998</v>
      </c>
      <c r="H114" s="58">
        <f t="shared" si="305"/>
        <v>1846.8542857142857</v>
      </c>
      <c r="I114" s="59">
        <f t="shared" ref="I114:P114" si="306">AVERAGE(I39:I50)</f>
        <v>0.75587636546616188</v>
      </c>
      <c r="J114" s="59">
        <f t="shared" si="306"/>
        <v>0.74536994797026868</v>
      </c>
      <c r="K114" s="59">
        <f t="shared" si="306"/>
        <v>0.19293115026672181</v>
      </c>
      <c r="L114" s="59">
        <f t="shared" si="306"/>
        <v>0.18128352733432085</v>
      </c>
      <c r="M114" s="59">
        <f t="shared" si="306"/>
        <v>0.98499999999999988</v>
      </c>
      <c r="N114" s="59">
        <f t="shared" si="306"/>
        <v>0.96275714285714287</v>
      </c>
      <c r="O114" s="59">
        <f t="shared" si="306"/>
        <v>0.9900000000000001</v>
      </c>
      <c r="P114" s="61">
        <f t="shared" si="306"/>
        <v>0.99619880952380946</v>
      </c>
      <c r="Q114" s="83">
        <f t="shared" ref="Q114:Q118" si="307">R114-S114-T114</f>
        <v>-1.4500034929777916E-2</v>
      </c>
      <c r="R114" s="65">
        <f t="shared" si="297"/>
        <v>-6.3536228366946057E-2</v>
      </c>
      <c r="S114" s="59">
        <f t="shared" si="298"/>
        <v>-2.6793336294311132E-2</v>
      </c>
      <c r="T114" s="59">
        <f t="shared" si="299"/>
        <v>-2.2242857142857009E-2</v>
      </c>
      <c r="U114" s="59">
        <f t="shared" si="300"/>
        <v>6.1988095238093566E-3</v>
      </c>
      <c r="V114" s="61" t="e">
        <f>AVERAGE(V39:V50)</f>
        <v>#DIV/0!</v>
      </c>
    </row>
    <row r="115" spans="1:23">
      <c r="A115" s="102"/>
      <c r="B115" s="60" t="s">
        <v>47</v>
      </c>
      <c r="C115" s="58">
        <f t="shared" ref="C115:H115" si="308">SUM(C51:C62)</f>
        <v>101103.14549584025</v>
      </c>
      <c r="D115" s="58">
        <f t="shared" si="308"/>
        <v>92672.118000000017</v>
      </c>
      <c r="E115" s="58">
        <f t="shared" si="308"/>
        <v>1694.8</v>
      </c>
      <c r="F115" s="58">
        <f t="shared" si="308"/>
        <v>1611.7042857142858</v>
      </c>
      <c r="G115" s="58">
        <f t="shared" si="308"/>
        <v>1897.6999999999998</v>
      </c>
      <c r="H115" s="58">
        <f t="shared" si="308"/>
        <v>1822.9517142857146</v>
      </c>
      <c r="I115" s="59">
        <f t="shared" ref="I115:P115" si="309">AVERAGE(I51:I62)</f>
        <v>0.75209698363883104</v>
      </c>
      <c r="J115" s="59">
        <f t="shared" si="309"/>
        <v>0.72892586757126532</v>
      </c>
      <c r="K115" s="59">
        <f t="shared" si="309"/>
        <v>0.19242135911304989</v>
      </c>
      <c r="L115" s="59">
        <f t="shared" si="309"/>
        <v>0.17680971714761173</v>
      </c>
      <c r="M115" s="59">
        <f t="shared" si="309"/>
        <v>0.98499999999999976</v>
      </c>
      <c r="N115" s="59">
        <f t="shared" si="309"/>
        <v>0.97209206483633592</v>
      </c>
      <c r="O115" s="59">
        <f t="shared" si="309"/>
        <v>0.9900000000000001</v>
      </c>
      <c r="P115" s="61">
        <f t="shared" si="309"/>
        <v>0.99855045442908341</v>
      </c>
      <c r="Q115" s="83">
        <f>R115-S115-T115</f>
        <v>-3.1093538528213616E-2</v>
      </c>
      <c r="R115" s="65">
        <f t="shared" si="297"/>
        <v>-8.339035798037675E-2</v>
      </c>
      <c r="S115" s="59">
        <f t="shared" si="298"/>
        <v>-3.9388884288499293E-2</v>
      </c>
      <c r="T115" s="59">
        <f t="shared" si="299"/>
        <v>-1.2907935163663842E-2</v>
      </c>
      <c r="U115" s="59">
        <f t="shared" si="300"/>
        <v>8.5504544290833095E-3</v>
      </c>
      <c r="V115" s="61">
        <f>AVERAGE(V51:V62)</f>
        <v>-1.4631921403311522E-2</v>
      </c>
    </row>
    <row r="116" spans="1:23">
      <c r="A116" s="102"/>
      <c r="B116" s="60" t="s">
        <v>48</v>
      </c>
      <c r="C116" s="58">
        <f t="shared" ref="C116:H116" si="310">SUM(C63:C74)</f>
        <v>100597.62976836106</v>
      </c>
      <c r="D116" s="58">
        <f t="shared" si="310"/>
        <v>91805.898000000001</v>
      </c>
      <c r="E116" s="58">
        <f t="shared" si="310"/>
        <v>1694.8</v>
      </c>
      <c r="F116" s="58">
        <f t="shared" si="310"/>
        <v>1608.0857142857139</v>
      </c>
      <c r="G116" s="58">
        <f t="shared" si="310"/>
        <v>1897.6999999999998</v>
      </c>
      <c r="H116" s="58">
        <f t="shared" si="310"/>
        <v>1813.0542857142855</v>
      </c>
      <c r="I116" s="59">
        <f t="shared" ref="I116:P116" si="311">AVERAGE(I63:I74)</f>
        <v>0.7483364987206369</v>
      </c>
      <c r="J116" s="59">
        <f t="shared" si="311"/>
        <v>0.71973883084357626</v>
      </c>
      <c r="K116" s="59">
        <f t="shared" si="311"/>
        <v>0.19145925231748459</v>
      </c>
      <c r="L116" s="59">
        <f t="shared" si="311"/>
        <v>0.17511391110745375</v>
      </c>
      <c r="M116" s="59">
        <f t="shared" si="311"/>
        <v>0.98499999999999988</v>
      </c>
      <c r="N116" s="59">
        <f t="shared" si="311"/>
        <v>0.9839166886185442</v>
      </c>
      <c r="O116" s="59">
        <f t="shared" si="311"/>
        <v>0.9900000000000001</v>
      </c>
      <c r="P116" s="61">
        <f t="shared" si="311"/>
        <v>0.9996273143881208</v>
      </c>
      <c r="Q116" s="83">
        <f t="shared" si="307"/>
        <v>-4.1707336947957585E-2</v>
      </c>
      <c r="R116" s="65">
        <f t="shared" si="297"/>
        <v>-8.7395019033799759E-2</v>
      </c>
      <c r="S116" s="59">
        <f t="shared" si="298"/>
        <v>-4.4604370704386498E-2</v>
      </c>
      <c r="T116" s="59">
        <f t="shared" si="299"/>
        <v>-1.0833113814556761E-3</v>
      </c>
      <c r="U116" s="59">
        <f t="shared" si="300"/>
        <v>9.6273143881207002E-3</v>
      </c>
      <c r="V116" s="61">
        <f>AVERAGE(V63:V74)</f>
        <v>-1.3115672726060649E-2</v>
      </c>
    </row>
    <row r="117" spans="1:23">
      <c r="A117" s="102"/>
      <c r="B117" s="60" t="s">
        <v>49</v>
      </c>
      <c r="C117" s="58">
        <f t="shared" ref="C117:H117" si="312">SUM(C75:C86)</f>
        <v>100094.64161951926</v>
      </c>
      <c r="D117" s="58">
        <f t="shared" si="312"/>
        <v>89039.559000000008</v>
      </c>
      <c r="E117" s="58">
        <f t="shared" si="312"/>
        <v>1693.21</v>
      </c>
      <c r="F117" s="58">
        <f t="shared" si="312"/>
        <v>1601.6042857142857</v>
      </c>
      <c r="G117" s="58">
        <f t="shared" si="312"/>
        <v>1897.6999999999998</v>
      </c>
      <c r="H117" s="58">
        <f t="shared" si="312"/>
        <v>1803.8342857142861</v>
      </c>
      <c r="I117" s="59">
        <f t="shared" ref="I117:P117" si="313">AVERAGE(I75:I86)</f>
        <v>0.74459481622703372</v>
      </c>
      <c r="J117" s="59">
        <f t="shared" si="313"/>
        <v>0.70926312674124004</v>
      </c>
      <c r="K117" s="59">
        <f t="shared" si="313"/>
        <v>0.19050195605589718</v>
      </c>
      <c r="L117" s="59">
        <f t="shared" si="313"/>
        <v>0.17013336675261503</v>
      </c>
      <c r="M117" s="59">
        <f t="shared" si="313"/>
        <v>0.98499999999999988</v>
      </c>
      <c r="N117" s="59">
        <f t="shared" si="313"/>
        <v>0.97308172278423799</v>
      </c>
      <c r="O117" s="59">
        <f t="shared" si="313"/>
        <v>0.9900000000000001</v>
      </c>
      <c r="P117" s="61">
        <f t="shared" si="313"/>
        <v>0.99920225614439317</v>
      </c>
      <c r="Q117" s="83">
        <f t="shared" si="307"/>
        <v>-4.9065137173176843E-2</v>
      </c>
      <c r="R117" s="65">
        <f t="shared" si="297"/>
        <v>-0.1104462980300378</v>
      </c>
      <c r="S117" s="59">
        <f t="shared" si="298"/>
        <v>-4.9462883641099076E-2</v>
      </c>
      <c r="T117" s="59">
        <f t="shared" si="299"/>
        <v>-1.1918277215761885E-2</v>
      </c>
      <c r="U117" s="59">
        <f t="shared" si="300"/>
        <v>9.2022561443930728E-3</v>
      </c>
      <c r="V117" s="61">
        <f>AVERAGE(V75:V81)</f>
        <v>-1.366738181826074E-2</v>
      </c>
    </row>
    <row r="118" spans="1:23">
      <c r="A118" s="102"/>
      <c r="B118" s="60" t="s">
        <v>74</v>
      </c>
      <c r="C118" s="58">
        <f t="shared" ref="C118:H118" si="314">SUM(C87:C98)</f>
        <v>99594.168411421648</v>
      </c>
      <c r="D118" s="58">
        <f t="shared" si="314"/>
        <v>85649.837999999989</v>
      </c>
      <c r="E118" s="58">
        <f t="shared" si="314"/>
        <v>1694.8</v>
      </c>
      <c r="F118" s="58">
        <f t="shared" si="314"/>
        <v>1586.41</v>
      </c>
      <c r="G118" s="58">
        <f t="shared" si="314"/>
        <v>1897.6999999999998</v>
      </c>
      <c r="H118" s="58">
        <f t="shared" si="314"/>
        <v>1758.2828571428572</v>
      </c>
      <c r="I118" s="59">
        <f t="shared" ref="I118:P118" si="315">AVERAGE(I87:I98)</f>
        <v>0.74087184214589852</v>
      </c>
      <c r="J118" s="59">
        <f t="shared" si="315"/>
        <v>0.70418740049166917</v>
      </c>
      <c r="K118" s="59">
        <f t="shared" si="315"/>
        <v>0.18954944627561768</v>
      </c>
      <c r="L118" s="59">
        <f t="shared" si="315"/>
        <v>0.16314167466717869</v>
      </c>
      <c r="M118" s="59">
        <f t="shared" si="315"/>
        <v>0.98499999999999988</v>
      </c>
      <c r="N118" s="59">
        <f t="shared" si="315"/>
        <v>0.97155229356319239</v>
      </c>
      <c r="O118" s="59">
        <f t="shared" si="315"/>
        <v>0.9900000000000001</v>
      </c>
      <c r="P118" s="61">
        <f t="shared" si="315"/>
        <v>0.99885176368804851</v>
      </c>
      <c r="Q118" s="83">
        <f t="shared" si="307"/>
        <v>-5.3097432041998571E-2</v>
      </c>
      <c r="R118" s="65">
        <f t="shared" ref="R118" si="316">D118/C118-1</f>
        <v>-0.14001151507001786</v>
      </c>
      <c r="S118" s="59">
        <f t="shared" ref="S118" si="317">H118/G118-1</f>
        <v>-7.3466376591211802E-2</v>
      </c>
      <c r="T118" s="59">
        <f t="shared" ref="T118" si="318">N118-M118</f>
        <v>-1.3447706436807483E-2</v>
      </c>
      <c r="U118" s="59">
        <f t="shared" ref="U118" si="319">P118-O118</f>
        <v>8.8517636880484085E-3</v>
      </c>
      <c r="V118" s="61">
        <f>AVERAGE(V87:V98)</f>
        <v>-1.847040161282831E-2</v>
      </c>
      <c r="W118" s="98"/>
    </row>
    <row r="119" spans="1:23">
      <c r="A119" s="102"/>
      <c r="B119" s="60" t="s">
        <v>107</v>
      </c>
      <c r="C119" s="58">
        <f t="shared" ref="C119:H119" si="320">SUM(C111:C111)</f>
        <v>88344.231934370458</v>
      </c>
      <c r="D119" s="58">
        <f t="shared" si="320"/>
        <v>62194.614999999991</v>
      </c>
      <c r="E119" s="58">
        <f t="shared" si="320"/>
        <v>1694.8</v>
      </c>
      <c r="F119" s="58" t="e">
        <f t="shared" si="320"/>
        <v>#DIV/0!</v>
      </c>
      <c r="G119" s="58">
        <f t="shared" si="320"/>
        <v>1897.6999999999998</v>
      </c>
      <c r="H119" s="58" t="e">
        <f t="shared" si="320"/>
        <v>#DIV/0!</v>
      </c>
      <c r="I119" s="59">
        <f t="shared" ref="I119:P119" si="321">AVERAGE(I111:I111)</f>
        <v>0.80397746187152952</v>
      </c>
      <c r="J119" s="59" t="e">
        <f t="shared" si="321"/>
        <v>#DIV/0!</v>
      </c>
      <c r="K119" s="59" t="e">
        <f t="shared" si="321"/>
        <v>#DIV/0!</v>
      </c>
      <c r="L119" s="59" t="e">
        <f t="shared" si="321"/>
        <v>#DIV/0!</v>
      </c>
      <c r="M119" s="59">
        <f t="shared" si="321"/>
        <v>0.98499999999999999</v>
      </c>
      <c r="N119" s="59" t="e">
        <f t="shared" si="321"/>
        <v>#DIV/0!</v>
      </c>
      <c r="O119" s="59">
        <f t="shared" si="321"/>
        <v>0.9900000000000001</v>
      </c>
      <c r="P119" s="61" t="e">
        <f t="shared" si="321"/>
        <v>#DIV/0!</v>
      </c>
      <c r="Q119" s="83" t="e">
        <f t="shared" ref="Q119" si="322">R119-S119-T119</f>
        <v>#DIV/0!</v>
      </c>
      <c r="R119" s="65">
        <f t="shared" ref="R119" si="323">D119/C119-1</f>
        <v>-0.29599687904691507</v>
      </c>
      <c r="S119" s="59" t="e">
        <f t="shared" ref="S119" si="324">H119/G119-1</f>
        <v>#DIV/0!</v>
      </c>
      <c r="T119" s="59" t="e">
        <f t="shared" ref="T119" si="325">N119-M119</f>
        <v>#DIV/0!</v>
      </c>
      <c r="U119" s="59" t="e">
        <f t="shared" ref="U119" si="326">P119-O119</f>
        <v>#DIV/0!</v>
      </c>
      <c r="V119" s="61" t="e">
        <f>AVERAGE(V111:V111)</f>
        <v>#DIV/0!</v>
      </c>
      <c r="W119" s="98"/>
    </row>
    <row r="120" spans="1:23">
      <c r="B120" s="5"/>
      <c r="C120" s="2"/>
      <c r="D120" s="2"/>
      <c r="E120" s="2"/>
      <c r="F120" s="2"/>
      <c r="G120" s="2"/>
      <c r="H120" s="2"/>
      <c r="I120" s="74"/>
      <c r="J120" s="74"/>
      <c r="K120" s="74"/>
      <c r="L120" s="74"/>
      <c r="M120" s="74"/>
      <c r="N120" s="74"/>
      <c r="O120" s="74"/>
      <c r="P120" s="75"/>
      <c r="Q120" s="113"/>
      <c r="R120" s="97"/>
      <c r="S120" s="74"/>
      <c r="T120" s="74"/>
      <c r="U120" s="74"/>
      <c r="V120" s="75"/>
      <c r="W120" s="98"/>
    </row>
    <row r="121" spans="1:23">
      <c r="B121" s="60" t="s">
        <v>38</v>
      </c>
      <c r="C121" s="58">
        <f>SUM(C6:C17)</f>
        <v>109596.06677989424</v>
      </c>
      <c r="D121" s="58">
        <f>SUM(D6:D17)</f>
        <v>84139.514999999985</v>
      </c>
      <c r="E121" s="58">
        <f>AVERAGE(E28:E39)</f>
        <v>141.23333333333332</v>
      </c>
      <c r="F121" s="58" t="e">
        <f t="shared" ref="F121:L121" si="327">AVERAGE(F6:F17)</f>
        <v>#DIV/0!</v>
      </c>
      <c r="G121" s="58">
        <f t="shared" si="327"/>
        <v>158.14166666666665</v>
      </c>
      <c r="H121" s="58" t="e">
        <f t="shared" si="327"/>
        <v>#DIV/0!</v>
      </c>
      <c r="I121" s="59">
        <f t="shared" si="327"/>
        <v>0.80397746187152952</v>
      </c>
      <c r="J121" s="59" t="e">
        <f t="shared" si="327"/>
        <v>#DIV/0!</v>
      </c>
      <c r="K121" s="59">
        <f t="shared" si="327"/>
        <v>0.20706035363118272</v>
      </c>
      <c r="L121" s="59">
        <f t="shared" si="327"/>
        <v>0.15871556042443857</v>
      </c>
      <c r="M121" s="59">
        <f>AVERAGE(M39:M50)</f>
        <v>0.98499999999999988</v>
      </c>
      <c r="N121" s="59" t="e">
        <f>AVERAGE(N6:N17)</f>
        <v>#DIV/0!</v>
      </c>
      <c r="O121" s="59">
        <f>AVERAGE(O6:O17)</f>
        <v>0.9900000000000001</v>
      </c>
      <c r="P121" s="61" t="e">
        <f>AVERAGE(P6:P17)</f>
        <v>#DIV/0!</v>
      </c>
      <c r="Q121" s="112" t="e">
        <f t="shared" si="99"/>
        <v>#DIV/0!</v>
      </c>
      <c r="R121" s="65">
        <f t="shared" si="14"/>
        <v>-0.23227614391508755</v>
      </c>
      <c r="S121" s="59" t="e">
        <f t="shared" si="19"/>
        <v>#DIV/0!</v>
      </c>
      <c r="T121" s="59" t="e">
        <f t="shared" si="17"/>
        <v>#DIV/0!</v>
      </c>
      <c r="U121" s="59" t="e">
        <f t="shared" si="18"/>
        <v>#DIV/0!</v>
      </c>
      <c r="V121" s="23"/>
    </row>
    <row r="122" spans="1:23">
      <c r="B122" s="60" t="s">
        <v>39</v>
      </c>
      <c r="C122" s="58">
        <f>SUM(C18:C29)</f>
        <v>102517.66225041603</v>
      </c>
      <c r="D122" s="58">
        <f>SUM(D18:D29)</f>
        <v>93300.728000000003</v>
      </c>
      <c r="E122" s="58">
        <f>AVERAGE(E29:E40)</f>
        <v>141.23333333333332</v>
      </c>
      <c r="F122" s="58">
        <f t="shared" ref="F122:L122" si="328">AVERAGE(F18:F29)</f>
        <v>124.08120238095238</v>
      </c>
      <c r="G122" s="58">
        <f t="shared" si="328"/>
        <v>158.14166666666665</v>
      </c>
      <c r="H122" s="58">
        <f t="shared" si="328"/>
        <v>138.98583333333332</v>
      </c>
      <c r="I122" s="59">
        <f t="shared" si="328"/>
        <v>0.76252380070262016</v>
      </c>
      <c r="J122" s="59">
        <f t="shared" si="328"/>
        <v>0.80261768392964106</v>
      </c>
      <c r="K122" s="59">
        <f t="shared" si="328"/>
        <v>0.19511023977994105</v>
      </c>
      <c r="L122" s="59">
        <f t="shared" si="328"/>
        <v>0.17817348921378587</v>
      </c>
      <c r="M122" s="59">
        <f>AVERAGE(M40:M51)</f>
        <v>0.98499999999999988</v>
      </c>
      <c r="N122" s="59">
        <f>AVERAGE(N18:N29)</f>
        <v>0.97335317404761901</v>
      </c>
      <c r="O122" s="59">
        <f>AVERAGE(O18:O29)</f>
        <v>0.9900000000000001</v>
      </c>
      <c r="P122" s="61">
        <f>AVERAGE(P18:P29)</f>
        <v>0.98869642857142859</v>
      </c>
      <c r="Q122" s="112">
        <f t="shared" si="99"/>
        <v>3.1225024927223788E-2</v>
      </c>
      <c r="R122" s="65">
        <f t="shared" si="14"/>
        <v>-8.9905817671711796E-2</v>
      </c>
      <c r="S122" s="59">
        <f t="shared" ref="S122:S127" si="329">H122/G122-1</f>
        <v>-0.12113084259893558</v>
      </c>
      <c r="T122" s="59">
        <f t="shared" si="17"/>
        <v>-1.1646825952380868E-2</v>
      </c>
      <c r="U122" s="59">
        <f t="shared" si="18"/>
        <v>-1.303571428571515E-3</v>
      </c>
      <c r="V122" s="61"/>
    </row>
    <row r="123" spans="1:23">
      <c r="B123" s="60" t="s">
        <v>68</v>
      </c>
      <c r="C123" s="58">
        <f>SUM(C30:C41)</f>
        <v>102005.07393916395</v>
      </c>
      <c r="D123" s="58">
        <f>SUM(D30:D41)</f>
        <v>91925.255999999994</v>
      </c>
      <c r="E123" s="58">
        <f>AVERAGE(E30:E41)</f>
        <v>141.23333333333332</v>
      </c>
      <c r="F123" s="58">
        <f t="shared" ref="F123:L123" si="330">AVERAGE(F30:F41)</f>
        <v>134.02523809523811</v>
      </c>
      <c r="G123" s="58">
        <f t="shared" si="330"/>
        <v>158.14166666666665</v>
      </c>
      <c r="H123" s="58">
        <f t="shared" si="330"/>
        <v>148.38583333333335</v>
      </c>
      <c r="I123" s="59">
        <f t="shared" si="330"/>
        <v>0.7587111816991069</v>
      </c>
      <c r="J123" s="59">
        <f t="shared" si="330"/>
        <v>0.74971691177515698</v>
      </c>
      <c r="K123" s="59">
        <f t="shared" si="330"/>
        <v>0.1936775382316327</v>
      </c>
      <c r="L123" s="59">
        <f t="shared" si="330"/>
        <v>0.17529861053964599</v>
      </c>
      <c r="M123" s="59">
        <f>AVERAGE(M41:M52)</f>
        <v>0.98499999999999988</v>
      </c>
      <c r="N123" s="59">
        <f>AVERAGE(N30:N41)</f>
        <v>0.96036190476190486</v>
      </c>
      <c r="O123" s="59">
        <f>AVERAGE(O30:O41)</f>
        <v>0.9900000000000001</v>
      </c>
      <c r="P123" s="61">
        <f>AVERAGE(P30:P41)</f>
        <v>0.99277261904761926</v>
      </c>
      <c r="Q123" s="112">
        <f t="shared" si="99"/>
        <v>-3.7126361499788318E-2</v>
      </c>
      <c r="R123" s="65">
        <f t="shared" ref="R123:R128" si="331">D123/C123-1</f>
        <v>-9.8816828907702936E-2</v>
      </c>
      <c r="S123" s="59">
        <f t="shared" si="329"/>
        <v>-6.1690467407914618E-2</v>
      </c>
      <c r="T123" s="59">
        <f t="shared" ref="T123:T124" si="332">N123-M123</f>
        <v>-2.4638095238095015E-2</v>
      </c>
      <c r="U123" s="59">
        <f t="shared" ref="U123:U124" si="333">P123-O123</f>
        <v>2.7726190476191626E-3</v>
      </c>
      <c r="V123" s="61"/>
    </row>
    <row r="124" spans="1:23">
      <c r="B124" s="60" t="s">
        <v>69</v>
      </c>
      <c r="C124" s="58">
        <f>SUM(C42:C53)</f>
        <v>101495.04856946814</v>
      </c>
      <c r="D124" s="58">
        <f>SUM(D42:D53)</f>
        <v>93752.681999999986</v>
      </c>
      <c r="E124" s="58">
        <f t="shared" ref="E124:L124" si="334">AVERAGE(E42:E53)</f>
        <v>141.23333333333332</v>
      </c>
      <c r="F124" s="58">
        <f t="shared" si="334"/>
        <v>137.3047619047619</v>
      </c>
      <c r="G124" s="58">
        <f t="shared" si="334"/>
        <v>158.14166666666665</v>
      </c>
      <c r="H124" s="58">
        <f t="shared" si="334"/>
        <v>153.91642857142855</v>
      </c>
      <c r="I124" s="59">
        <f t="shared" si="334"/>
        <v>0.75491762579061128</v>
      </c>
      <c r="J124" s="59">
        <f t="shared" si="334"/>
        <v>0.73307998521578999</v>
      </c>
      <c r="K124" s="59">
        <f t="shared" si="334"/>
        <v>0.19316401513813619</v>
      </c>
      <c r="L124" s="59">
        <f t="shared" si="334"/>
        <v>0.17894682864274744</v>
      </c>
      <c r="M124" s="59">
        <f>AVERAGE(M42:M53)</f>
        <v>0.98499999999999988</v>
      </c>
      <c r="N124" s="59">
        <f>AVERAGE(N42:N53)</f>
        <v>0.96389304204273651</v>
      </c>
      <c r="O124" s="59">
        <f>AVERAGE(O42:O53)</f>
        <v>0.9900000000000001</v>
      </c>
      <c r="P124" s="61">
        <f>AVERAGE(P42:P53)</f>
        <v>0.99730952380952387</v>
      </c>
      <c r="Q124" s="112">
        <f t="shared" si="99"/>
        <v>-4.9565137683812432E-2</v>
      </c>
      <c r="R124" s="65">
        <f t="shared" si="331"/>
        <v>-7.6283194880870542E-2</v>
      </c>
      <c r="S124" s="59">
        <f t="shared" si="329"/>
        <v>-2.6718057197058109E-2</v>
      </c>
      <c r="T124" s="59">
        <f t="shared" si="332"/>
        <v>-2.1106957957263361E-2</v>
      </c>
      <c r="U124" s="59">
        <f t="shared" si="333"/>
        <v>7.3095238095237658E-3</v>
      </c>
      <c r="V124" s="61"/>
    </row>
    <row r="125" spans="1:23">
      <c r="B125" s="60" t="s">
        <v>70</v>
      </c>
      <c r="C125" s="58">
        <f>SUM(C54:C65)</f>
        <v>100987.5733266208</v>
      </c>
      <c r="D125" s="58">
        <f>SUM(D54:D65)</f>
        <v>92997.746999999988</v>
      </c>
      <c r="E125" s="58">
        <f t="shared" ref="E125:P125" si="335">AVERAGE(E54:E65)</f>
        <v>141.23333333333332</v>
      </c>
      <c r="F125" s="58">
        <f t="shared" si="335"/>
        <v>134.1363095238095</v>
      </c>
      <c r="G125" s="58">
        <f t="shared" si="335"/>
        <v>158.14166666666665</v>
      </c>
      <c r="H125" s="58">
        <f t="shared" si="335"/>
        <v>151.21252380952382</v>
      </c>
      <c r="I125" s="59">
        <f t="shared" si="335"/>
        <v>0.75114303766165846</v>
      </c>
      <c r="J125" s="59">
        <f t="shared" si="335"/>
        <v>0.73230727120134376</v>
      </c>
      <c r="K125" s="59">
        <f t="shared" si="335"/>
        <v>0.19219819506244543</v>
      </c>
      <c r="L125" s="59">
        <f t="shared" si="335"/>
        <v>0.17749159735937381</v>
      </c>
      <c r="M125" s="59">
        <f t="shared" si="335"/>
        <v>0.98499999999999988</v>
      </c>
      <c r="N125" s="59">
        <f t="shared" si="335"/>
        <v>0.97857123338883767</v>
      </c>
      <c r="O125" s="59">
        <f t="shared" si="335"/>
        <v>0.9900000000000001</v>
      </c>
      <c r="P125" s="61">
        <f t="shared" si="335"/>
        <v>0.99837545442908349</v>
      </c>
      <c r="Q125" s="83">
        <f t="shared" si="99"/>
        <v>-3.5300877614069082E-2</v>
      </c>
      <c r="R125" s="65">
        <f t="shared" si="331"/>
        <v>-7.9116925612021327E-2</v>
      </c>
      <c r="S125" s="59">
        <f t="shared" si="329"/>
        <v>-4.3816047997952245E-2</v>
      </c>
      <c r="T125" s="59">
        <f>N125-M125</f>
        <v>-6.4287666111622066E-3</v>
      </c>
      <c r="U125" s="59">
        <f t="shared" ref="U125" si="336">P125-O125</f>
        <v>8.3754544290833843E-3</v>
      </c>
      <c r="V125" s="61">
        <f>AVERAGE(V54:V65)</f>
        <v>-1.3104256402097321E-2</v>
      </c>
    </row>
    <row r="126" spans="1:23">
      <c r="B126" s="60" t="s">
        <v>71</v>
      </c>
      <c r="C126" s="58">
        <f>SUM(C66:C77)</f>
        <v>100482.63545998771</v>
      </c>
      <c r="D126" s="58">
        <f>SUM(D66:D77)</f>
        <v>91630.031999999992</v>
      </c>
      <c r="E126" s="58">
        <f t="shared" ref="E126:P126" si="337">AVERAGE(E66:E77)</f>
        <v>141.10083333333333</v>
      </c>
      <c r="F126" s="58">
        <f t="shared" si="337"/>
        <v>133.82666666666665</v>
      </c>
      <c r="G126" s="58">
        <f t="shared" si="337"/>
        <v>158.14166666666665</v>
      </c>
      <c r="H126" s="58">
        <f t="shared" si="337"/>
        <v>151.15011904761906</v>
      </c>
      <c r="I126" s="59">
        <f t="shared" si="337"/>
        <v>0.74738732247335016</v>
      </c>
      <c r="J126" s="59">
        <f t="shared" si="337"/>
        <v>0.71392406006823361</v>
      </c>
      <c r="K126" s="59">
        <f t="shared" si="337"/>
        <v>0.19123720408713321</v>
      </c>
      <c r="L126" s="59">
        <f t="shared" si="337"/>
        <v>0.17488783103832928</v>
      </c>
      <c r="M126" s="59">
        <f t="shared" si="337"/>
        <v>0.98499999999999988</v>
      </c>
      <c r="N126" s="59">
        <f t="shared" si="337"/>
        <v>0.98737995064460204</v>
      </c>
      <c r="O126" s="59">
        <f t="shared" si="337"/>
        <v>0.9900000000000001</v>
      </c>
      <c r="P126" s="61">
        <f t="shared" si="337"/>
        <v>0.99952288850486415</v>
      </c>
      <c r="Q126" s="83">
        <f>R126-S126</f>
        <v>-4.3890167733986796E-2</v>
      </c>
      <c r="R126" s="65">
        <f t="shared" si="331"/>
        <v>-8.8100828759739569E-2</v>
      </c>
      <c r="S126" s="59">
        <f t="shared" si="329"/>
        <v>-4.4210661025752773E-2</v>
      </c>
      <c r="T126" s="59">
        <f>N126-M126</f>
        <v>2.379950644602169E-3</v>
      </c>
      <c r="U126" s="59">
        <f>P126-O126</f>
        <v>9.5228885048640466E-3</v>
      </c>
      <c r="V126" s="61">
        <f>AVERAGE(V66:V77)</f>
        <v>-1.4504454598669192E-2</v>
      </c>
    </row>
    <row r="127" spans="1:23">
      <c r="B127" s="60" t="s">
        <v>72</v>
      </c>
      <c r="C127" s="58">
        <f>SUM(C78:C89)</f>
        <v>99980.222282687755</v>
      </c>
      <c r="D127" s="58">
        <f>SUM(D78:D89)</f>
        <v>86701.562999999995</v>
      </c>
      <c r="E127" s="58">
        <f t="shared" ref="E127:P127" si="338">AVERAGE(E78:E89)</f>
        <v>141.23333333333332</v>
      </c>
      <c r="F127" s="58">
        <f t="shared" si="338"/>
        <v>131.78726190476189</v>
      </c>
      <c r="G127" s="58">
        <f t="shared" si="338"/>
        <v>158.14166666666665</v>
      </c>
      <c r="H127" s="58">
        <f t="shared" si="338"/>
        <v>147.53119047619052</v>
      </c>
      <c r="I127" s="59">
        <f t="shared" si="338"/>
        <v>0.74365038586098331</v>
      </c>
      <c r="J127" s="59">
        <f t="shared" si="338"/>
        <v>0.70335737141514443</v>
      </c>
      <c r="K127" s="59">
        <f t="shared" si="338"/>
        <v>0.19028101806669759</v>
      </c>
      <c r="L127" s="59">
        <f t="shared" si="338"/>
        <v>0.16512155113927293</v>
      </c>
      <c r="M127" s="59">
        <f t="shared" si="338"/>
        <v>0.98499999999999988</v>
      </c>
      <c r="N127" s="59">
        <f t="shared" si="338"/>
        <v>0.97152155734388812</v>
      </c>
      <c r="O127" s="59">
        <f t="shared" si="338"/>
        <v>0.9900000000000001</v>
      </c>
      <c r="P127" s="61">
        <f t="shared" si="338"/>
        <v>0.99887560649398799</v>
      </c>
      <c r="Q127" s="83">
        <f>R127-S127</f>
        <v>-6.5718106379206054E-2</v>
      </c>
      <c r="R127" s="65">
        <f t="shared" si="331"/>
        <v>-0.13281286017891814</v>
      </c>
      <c r="S127" s="59">
        <f t="shared" si="329"/>
        <v>-6.7094753799712081E-2</v>
      </c>
      <c r="T127" s="59">
        <f>N127-M127</f>
        <v>-1.3478442656111755E-2</v>
      </c>
      <c r="U127" s="59">
        <f>P127-O127</f>
        <v>8.8756064939878865E-3</v>
      </c>
      <c r="V127" s="61">
        <f>AVERAGE(V78:V89)</f>
        <v>-1.5263998294746839E-2</v>
      </c>
    </row>
    <row r="128" spans="1:23">
      <c r="B128" s="60" t="s">
        <v>75</v>
      </c>
      <c r="C128" s="58">
        <f>SUM(C90:C111)</f>
        <v>170739.29355708382</v>
      </c>
      <c r="D128" s="58">
        <f>SUM(D90:D111)</f>
        <v>135143.76999999999</v>
      </c>
      <c r="E128" s="58">
        <f t="shared" ref="E128:P128" si="339">AVERAGE(E90:E111)</f>
        <v>283.64545454545453</v>
      </c>
      <c r="F128" s="58" t="e">
        <f t="shared" si="339"/>
        <v>#DIV/0!</v>
      </c>
      <c r="G128" s="58">
        <f t="shared" si="339"/>
        <v>315.46363636363634</v>
      </c>
      <c r="H128" s="58" t="e">
        <f t="shared" si="339"/>
        <v>#DIV/0!</v>
      </c>
      <c r="I128" s="59">
        <f t="shared" si="339"/>
        <v>0.74544821646192294</v>
      </c>
      <c r="J128" s="59" t="e">
        <f t="shared" si="339"/>
        <v>#DIV/0!</v>
      </c>
      <c r="K128" s="59" t="e">
        <f t="shared" si="339"/>
        <v>#DIV/0!</v>
      </c>
      <c r="L128" s="59" t="e">
        <f t="shared" si="339"/>
        <v>#DIV/0!</v>
      </c>
      <c r="M128" s="59">
        <f t="shared" si="339"/>
        <v>0.98499999999999988</v>
      </c>
      <c r="N128" s="59" t="e">
        <f t="shared" si="339"/>
        <v>#DIV/0!</v>
      </c>
      <c r="O128" s="59">
        <f t="shared" si="339"/>
        <v>0.9900000000000001</v>
      </c>
      <c r="P128" s="61" t="e">
        <f t="shared" si="339"/>
        <v>#DIV/0!</v>
      </c>
      <c r="Q128" s="83" t="e">
        <f>R128-S128</f>
        <v>#DIV/0!</v>
      </c>
      <c r="R128" s="65">
        <f t="shared" si="331"/>
        <v>-0.20847880306581601</v>
      </c>
      <c r="S128" s="59" t="e">
        <f t="shared" ref="S128" si="340">H128/G128-1</f>
        <v>#DIV/0!</v>
      </c>
      <c r="T128" s="59" t="e">
        <f>N128-M128</f>
        <v>#DIV/0!</v>
      </c>
      <c r="U128" s="59" t="e">
        <f>P128-O128</f>
        <v>#DIV/0!</v>
      </c>
      <c r="V128" s="61" t="e">
        <f>AVERAGE(V90:V111)</f>
        <v>#DIV/0!</v>
      </c>
    </row>
    <row r="129" spans="2:44" ht="15.75" thickBot="1">
      <c r="B129" s="76"/>
      <c r="J129" s="76"/>
      <c r="Q129" s="113"/>
    </row>
    <row r="130" spans="2:44" ht="15.75" thickBot="1">
      <c r="B130" s="227" t="s">
        <v>9</v>
      </c>
      <c r="C130" s="228"/>
      <c r="D130" s="228"/>
      <c r="E130" s="228"/>
      <c r="F130" s="228"/>
      <c r="G130" s="228"/>
      <c r="H130" s="228"/>
      <c r="I130" s="228"/>
      <c r="J130" s="228"/>
      <c r="K130" s="228"/>
      <c r="L130" s="228"/>
      <c r="M130" s="228"/>
      <c r="N130" s="228"/>
      <c r="O130" s="228"/>
      <c r="P130" s="229"/>
      <c r="R130" s="215" t="s">
        <v>35</v>
      </c>
      <c r="S130" s="216"/>
      <c r="T130" s="216"/>
      <c r="U130" s="216"/>
      <c r="V130" s="217"/>
      <c r="X130" s="227" t="s">
        <v>14</v>
      </c>
      <c r="Y130" s="228"/>
      <c r="Z130" s="228"/>
      <c r="AA130" s="228"/>
      <c r="AB130" s="228"/>
      <c r="AC130" s="228"/>
      <c r="AD130" s="228"/>
      <c r="AE130" s="228"/>
      <c r="AF130" s="228"/>
      <c r="AG130" s="228"/>
      <c r="AH130" s="228"/>
      <c r="AI130" s="228"/>
      <c r="AJ130" s="228"/>
      <c r="AK130" s="228"/>
      <c r="AL130" s="229"/>
      <c r="AN130" s="215" t="s">
        <v>36</v>
      </c>
      <c r="AO130" s="216"/>
      <c r="AP130" s="216"/>
      <c r="AQ130" s="216"/>
      <c r="AR130" s="72"/>
    </row>
    <row r="131" spans="2:44" ht="60">
      <c r="B131" s="7" t="s">
        <v>0</v>
      </c>
      <c r="C131" s="6" t="s">
        <v>1</v>
      </c>
      <c r="D131" s="6" t="s">
        <v>2</v>
      </c>
      <c r="E131" s="6" t="s">
        <v>4</v>
      </c>
      <c r="F131" s="6" t="s">
        <v>3</v>
      </c>
      <c r="G131" s="6" t="s">
        <v>5</v>
      </c>
      <c r="H131" s="6" t="s">
        <v>6</v>
      </c>
      <c r="I131" s="8" t="s">
        <v>19</v>
      </c>
      <c r="J131" s="8" t="s">
        <v>18</v>
      </c>
      <c r="K131" s="6" t="s">
        <v>41</v>
      </c>
      <c r="L131" s="6" t="s">
        <v>24</v>
      </c>
      <c r="M131" s="8" t="s">
        <v>20</v>
      </c>
      <c r="N131" s="8" t="s">
        <v>21</v>
      </c>
      <c r="O131" s="8" t="s">
        <v>22</v>
      </c>
      <c r="P131" s="9" t="s">
        <v>23</v>
      </c>
      <c r="R131" s="66" t="s">
        <v>25</v>
      </c>
      <c r="S131" s="67" t="s">
        <v>26</v>
      </c>
      <c r="T131" s="67" t="s">
        <v>27</v>
      </c>
      <c r="U131" s="67" t="s">
        <v>28</v>
      </c>
      <c r="V131" s="68" t="s">
        <v>40</v>
      </c>
      <c r="X131" s="7" t="s">
        <v>0</v>
      </c>
      <c r="Y131" s="8" t="s">
        <v>1</v>
      </c>
      <c r="Z131" s="8" t="s">
        <v>2</v>
      </c>
      <c r="AA131" s="8" t="s">
        <v>4</v>
      </c>
      <c r="AB131" s="8" t="s">
        <v>3</v>
      </c>
      <c r="AC131" s="8" t="s">
        <v>5</v>
      </c>
      <c r="AD131" s="8" t="s">
        <v>6</v>
      </c>
      <c r="AE131" s="8" t="s">
        <v>19</v>
      </c>
      <c r="AF131" s="8" t="s">
        <v>18</v>
      </c>
      <c r="AG131" s="6" t="s">
        <v>41</v>
      </c>
      <c r="AH131" s="6" t="s">
        <v>24</v>
      </c>
      <c r="AI131" s="8" t="s">
        <v>20</v>
      </c>
      <c r="AJ131" s="8" t="s">
        <v>21</v>
      </c>
      <c r="AK131" s="8" t="s">
        <v>22</v>
      </c>
      <c r="AL131" s="9" t="s">
        <v>23</v>
      </c>
      <c r="AN131" s="66" t="s">
        <v>25</v>
      </c>
      <c r="AO131" s="67" t="s">
        <v>26</v>
      </c>
      <c r="AP131" s="67" t="s">
        <v>27</v>
      </c>
      <c r="AQ131" s="67" t="s">
        <v>28</v>
      </c>
      <c r="AR131" s="68" t="s">
        <v>40</v>
      </c>
    </row>
    <row r="132" spans="2:44">
      <c r="B132" s="5">
        <v>42766</v>
      </c>
      <c r="C132" s="2">
        <f t="shared" ref="C132:D151" si="341">C518+C389+C260</f>
        <v>99</v>
      </c>
      <c r="D132" s="2">
        <f t="shared" si="341"/>
        <v>0</v>
      </c>
      <c r="E132" s="2">
        <v>79.599999999999994</v>
      </c>
      <c r="F132" s="2" t="e">
        <f t="shared" ref="F132:F163" si="342">AVERAGE(F518,F389,F260)</f>
        <v>#DIV/0!</v>
      </c>
      <c r="G132" s="2">
        <v>103.2</v>
      </c>
      <c r="H132" s="2" t="e">
        <f t="shared" ref="H132:I151" si="343">AVERAGE(H518,H389,H260)</f>
        <v>#DIV/0!</v>
      </c>
      <c r="I132" s="12">
        <f t="shared" si="343"/>
        <v>0.83278387335348969</v>
      </c>
      <c r="J132" s="10" t="e">
        <f>AVERAGE(N518,J389,J260)</f>
        <v>#DIV/0!</v>
      </c>
      <c r="K132" s="10"/>
      <c r="L132" s="10"/>
      <c r="M132" s="10">
        <f t="shared" ref="M132:P151" si="344">AVERAGE(M518,M389,M260)</f>
        <v>0.98499999999999999</v>
      </c>
      <c r="N132" s="10" t="e">
        <f t="shared" si="344"/>
        <v>#DIV/0!</v>
      </c>
      <c r="O132" s="10">
        <f t="shared" si="344"/>
        <v>0.98999999999999988</v>
      </c>
      <c r="P132" s="23" t="e">
        <f t="shared" si="344"/>
        <v>#DIV/0!</v>
      </c>
      <c r="R132" s="77"/>
      <c r="S132" s="78"/>
      <c r="T132" s="78"/>
      <c r="U132" s="78"/>
      <c r="V132" s="79"/>
      <c r="X132" s="5">
        <v>42766</v>
      </c>
      <c r="Y132" s="2">
        <f t="shared" ref="Y132:Z151" si="345">Y647+Y260+Y389+Y518</f>
        <v>0</v>
      </c>
      <c r="Z132" s="2">
        <f t="shared" si="345"/>
        <v>0</v>
      </c>
      <c r="AA132" s="2">
        <v>79.599999999999994</v>
      </c>
      <c r="AB132" s="2" t="e">
        <f t="shared" ref="AB132:AB163" si="346">AVERAGE(AB647,AB260,AB389,AB518)</f>
        <v>#DIV/0!</v>
      </c>
      <c r="AC132" s="2">
        <v>103.2</v>
      </c>
      <c r="AD132" s="2" t="e">
        <f t="shared" ref="AD132:AF151" si="347">AVERAGE(AD647,AD260,AD389,AD518)</f>
        <v>#DIV/0!</v>
      </c>
      <c r="AE132" s="11">
        <f t="shared" si="347"/>
        <v>0.82763481424572438</v>
      </c>
      <c r="AF132" s="11" t="e">
        <f t="shared" si="347"/>
        <v>#DIV/0!</v>
      </c>
      <c r="AG132" s="11"/>
      <c r="AH132" s="11"/>
      <c r="AI132" s="11">
        <f t="shared" ref="AI132:AL151" si="348">AVERAGE(AI647,AI260,AI389,AI518)</f>
        <v>0.98499999999999999</v>
      </c>
      <c r="AJ132" s="11" t="e">
        <f t="shared" si="348"/>
        <v>#DIV/0!</v>
      </c>
      <c r="AK132" s="11">
        <f t="shared" si="348"/>
        <v>0.99</v>
      </c>
      <c r="AL132" s="17" t="e">
        <f t="shared" si="348"/>
        <v>#DIV/0!</v>
      </c>
      <c r="AN132" s="77"/>
      <c r="AO132" s="78"/>
      <c r="AP132" s="78"/>
      <c r="AQ132" s="78"/>
      <c r="AR132" s="79"/>
    </row>
    <row r="133" spans="2:44">
      <c r="B133" s="5">
        <v>42794</v>
      </c>
      <c r="C133" s="2">
        <f t="shared" si="341"/>
        <v>0</v>
      </c>
      <c r="D133" s="2">
        <f t="shared" si="341"/>
        <v>129.44499999999999</v>
      </c>
      <c r="E133" s="2">
        <v>108.1</v>
      </c>
      <c r="F133" s="2" t="e">
        <f t="shared" si="342"/>
        <v>#DIV/0!</v>
      </c>
      <c r="G133" s="2">
        <v>137.5</v>
      </c>
      <c r="H133" s="2" t="e">
        <f t="shared" si="343"/>
        <v>#DIV/0!</v>
      </c>
      <c r="I133" s="12">
        <f t="shared" si="343"/>
        <v>0.81820275263220787</v>
      </c>
      <c r="J133" s="10" t="e">
        <f>AVERAGE(N519,J390,J261)</f>
        <v>#DIV/0!</v>
      </c>
      <c r="K133" s="10"/>
      <c r="L133" s="10"/>
      <c r="M133" s="10">
        <f t="shared" si="344"/>
        <v>0.98499999999999999</v>
      </c>
      <c r="N133" s="10" t="e">
        <f t="shared" si="344"/>
        <v>#DIV/0!</v>
      </c>
      <c r="O133" s="10">
        <f t="shared" si="344"/>
        <v>0.98999999999999988</v>
      </c>
      <c r="P133" s="23" t="e">
        <f t="shared" si="344"/>
        <v>#DIV/0!</v>
      </c>
      <c r="R133" s="77"/>
      <c r="S133" s="78"/>
      <c r="T133" s="78"/>
      <c r="U133" s="78"/>
      <c r="V133" s="79"/>
      <c r="X133" s="5">
        <v>42794</v>
      </c>
      <c r="Y133" s="2">
        <f t="shared" si="345"/>
        <v>0</v>
      </c>
      <c r="Z133" s="2">
        <f t="shared" si="345"/>
        <v>0</v>
      </c>
      <c r="AA133" s="2">
        <v>108.1</v>
      </c>
      <c r="AB133" s="2" t="e">
        <f t="shared" si="346"/>
        <v>#DIV/0!</v>
      </c>
      <c r="AC133" s="2">
        <v>137.5</v>
      </c>
      <c r="AD133" s="2" t="e">
        <f t="shared" si="347"/>
        <v>#DIV/0!</v>
      </c>
      <c r="AE133" s="11">
        <f t="shared" si="347"/>
        <v>0.81555559393111998</v>
      </c>
      <c r="AF133" s="11" t="e">
        <f t="shared" si="347"/>
        <v>#DIV/0!</v>
      </c>
      <c r="AG133" s="11"/>
      <c r="AH133" s="11"/>
      <c r="AI133" s="11">
        <f t="shared" si="348"/>
        <v>0.98499999999999999</v>
      </c>
      <c r="AJ133" s="11" t="e">
        <f t="shared" si="348"/>
        <v>#DIV/0!</v>
      </c>
      <c r="AK133" s="11">
        <f t="shared" si="348"/>
        <v>0.99</v>
      </c>
      <c r="AL133" s="17" t="e">
        <f t="shared" si="348"/>
        <v>#DIV/0!</v>
      </c>
      <c r="AN133" s="77"/>
      <c r="AO133" s="78"/>
      <c r="AP133" s="78"/>
      <c r="AQ133" s="78"/>
      <c r="AR133" s="79"/>
    </row>
    <row r="134" spans="2:44">
      <c r="B134" s="5">
        <v>42825</v>
      </c>
      <c r="C134" s="2">
        <f t="shared" si="341"/>
        <v>3611.0415312206378</v>
      </c>
      <c r="D134" s="2">
        <f t="shared" si="341"/>
        <v>1730.8020000000001</v>
      </c>
      <c r="E134" s="2">
        <v>161.4</v>
      </c>
      <c r="F134" s="2" t="e">
        <f t="shared" si="342"/>
        <v>#DIV/0!</v>
      </c>
      <c r="G134" s="2">
        <v>187.8</v>
      </c>
      <c r="H134" s="2" t="e">
        <f t="shared" si="343"/>
        <v>#DIV/0!</v>
      </c>
      <c r="I134" s="12">
        <f t="shared" si="343"/>
        <v>0.80144786581774907</v>
      </c>
      <c r="J134" s="10" t="e">
        <f>AVERAGE(N520,J391,J262)</f>
        <v>#DIV/0!</v>
      </c>
      <c r="K134" s="10"/>
      <c r="L134" s="10"/>
      <c r="M134" s="10">
        <f t="shared" si="344"/>
        <v>0.98499999999999999</v>
      </c>
      <c r="N134" s="10" t="e">
        <f t="shared" si="344"/>
        <v>#DIV/0!</v>
      </c>
      <c r="O134" s="10">
        <f t="shared" si="344"/>
        <v>0.98999999999999988</v>
      </c>
      <c r="P134" s="23" t="e">
        <f t="shared" si="344"/>
        <v>#DIV/0!</v>
      </c>
      <c r="R134" s="81">
        <f>D134/C134-1</f>
        <v>-0.52069174917106587</v>
      </c>
      <c r="S134" s="78"/>
      <c r="T134" s="78"/>
      <c r="U134" s="78"/>
      <c r="V134" s="79"/>
      <c r="X134" s="5">
        <v>42825</v>
      </c>
      <c r="Y134" s="2">
        <f t="shared" si="345"/>
        <v>0</v>
      </c>
      <c r="Z134" s="2">
        <f t="shared" si="345"/>
        <v>106.833</v>
      </c>
      <c r="AA134" s="2">
        <v>161.4</v>
      </c>
      <c r="AB134" s="2" t="e">
        <f t="shared" si="346"/>
        <v>#DIV/0!</v>
      </c>
      <c r="AC134" s="2">
        <v>187.8</v>
      </c>
      <c r="AD134" s="2" t="e">
        <f t="shared" si="347"/>
        <v>#DIV/0!</v>
      </c>
      <c r="AE134" s="11">
        <f t="shared" si="347"/>
        <v>0.80080060538540998</v>
      </c>
      <c r="AF134" s="11" t="e">
        <f t="shared" si="347"/>
        <v>#DIV/0!</v>
      </c>
      <c r="AG134" s="11"/>
      <c r="AH134" s="11"/>
      <c r="AI134" s="11">
        <f t="shared" si="348"/>
        <v>0.98499999999999999</v>
      </c>
      <c r="AJ134" s="11" t="e">
        <f t="shared" si="348"/>
        <v>#DIV/0!</v>
      </c>
      <c r="AK134" s="11">
        <f t="shared" si="348"/>
        <v>0.99</v>
      </c>
      <c r="AL134" s="17" t="e">
        <f t="shared" si="348"/>
        <v>#DIV/0!</v>
      </c>
      <c r="AN134" s="81" t="e">
        <f t="shared" ref="AN134:AN165" si="349">Z134/Y134-1</f>
        <v>#DIV/0!</v>
      </c>
      <c r="AO134" s="78"/>
      <c r="AP134" s="78"/>
      <c r="AQ134" s="78"/>
      <c r="AR134" s="79"/>
    </row>
    <row r="135" spans="2:44">
      <c r="B135" s="5">
        <v>42855</v>
      </c>
      <c r="C135" s="2">
        <f t="shared" si="341"/>
        <v>5600.93627054025</v>
      </c>
      <c r="D135" s="2">
        <f t="shared" si="341"/>
        <v>3271.866</v>
      </c>
      <c r="E135" s="2">
        <v>190.2</v>
      </c>
      <c r="F135" s="2" t="e">
        <f t="shared" si="342"/>
        <v>#DIV/0!</v>
      </c>
      <c r="G135" s="2">
        <v>194</v>
      </c>
      <c r="H135" s="2" t="e">
        <f t="shared" si="343"/>
        <v>#DIV/0!</v>
      </c>
      <c r="I135" s="12">
        <f t="shared" si="343"/>
        <v>0.80185222464405248</v>
      </c>
      <c r="J135" s="10" t="e">
        <f>AVERAGE(N521,J392,J263)</f>
        <v>#DIV/0!</v>
      </c>
      <c r="K135" s="10">
        <f t="shared" ref="K135:L154" si="350">AVERAGE(K521,K392,K263)</f>
        <v>0.25930260511760422</v>
      </c>
      <c r="L135" s="10">
        <f t="shared" si="350"/>
        <v>0.15147527777777781</v>
      </c>
      <c r="M135" s="10">
        <f t="shared" si="344"/>
        <v>0.98499999999999999</v>
      </c>
      <c r="N135" s="10" t="e">
        <f t="shared" si="344"/>
        <v>#DIV/0!</v>
      </c>
      <c r="O135" s="10">
        <f t="shared" si="344"/>
        <v>0.98999999999999988</v>
      </c>
      <c r="P135" s="23" t="e">
        <f t="shared" si="344"/>
        <v>#DIV/0!</v>
      </c>
      <c r="R135" s="81">
        <f t="shared" ref="R135:R157" si="351">D135/C135-1</f>
        <v>-0.41583588136695482</v>
      </c>
      <c r="S135" s="78"/>
      <c r="T135" s="78"/>
      <c r="U135" s="78"/>
      <c r="V135" s="79"/>
      <c r="X135" s="5">
        <v>42855</v>
      </c>
      <c r="Y135" s="2">
        <f t="shared" si="345"/>
        <v>5599.4251905918809</v>
      </c>
      <c r="Z135" s="2">
        <f t="shared" si="345"/>
        <v>2057.6669999999999</v>
      </c>
      <c r="AA135" s="2">
        <v>190.2</v>
      </c>
      <c r="AB135" s="2" t="e">
        <f t="shared" si="346"/>
        <v>#DIV/0!</v>
      </c>
      <c r="AC135" s="2">
        <v>194</v>
      </c>
      <c r="AD135" s="2" t="e">
        <f t="shared" si="347"/>
        <v>#DIV/0!</v>
      </c>
      <c r="AE135" s="11">
        <f t="shared" si="347"/>
        <v>0.80175045684305279</v>
      </c>
      <c r="AF135" s="11" t="e">
        <f t="shared" si="347"/>
        <v>#DIV/0!</v>
      </c>
      <c r="AG135" s="10">
        <f t="shared" ref="AG135:AH154" si="352">AVERAGE(AG650,AG263,AG392,AG521)</f>
        <v>0.25923264771258708</v>
      </c>
      <c r="AH135" s="10">
        <f t="shared" si="352"/>
        <v>9.2281041666666661E-2</v>
      </c>
      <c r="AI135" s="11">
        <f t="shared" si="348"/>
        <v>0.98499999999999999</v>
      </c>
      <c r="AJ135" s="11" t="e">
        <f t="shared" si="348"/>
        <v>#DIV/0!</v>
      </c>
      <c r="AK135" s="11">
        <f t="shared" si="348"/>
        <v>0.99</v>
      </c>
      <c r="AL135" s="17" t="e">
        <f t="shared" si="348"/>
        <v>#DIV/0!</v>
      </c>
      <c r="AN135" s="81">
        <f t="shared" si="349"/>
        <v>-0.632521744650276</v>
      </c>
      <c r="AO135" s="78"/>
      <c r="AP135" s="78"/>
      <c r="AQ135" s="78"/>
      <c r="AR135" s="79"/>
    </row>
    <row r="136" spans="2:44">
      <c r="B136" s="5">
        <v>42886</v>
      </c>
      <c r="C136" s="2">
        <f t="shared" si="341"/>
        <v>5674.5140433628676</v>
      </c>
      <c r="D136" s="2">
        <f t="shared" si="341"/>
        <v>3562.08</v>
      </c>
      <c r="E136" s="2">
        <v>197</v>
      </c>
      <c r="F136" s="2" t="e">
        <f t="shared" si="342"/>
        <v>#DIV/0!</v>
      </c>
      <c r="G136" s="2">
        <v>197.7</v>
      </c>
      <c r="H136" s="2" t="e">
        <f t="shared" si="343"/>
        <v>#DIV/0!</v>
      </c>
      <c r="I136" s="12">
        <f t="shared" si="343"/>
        <v>0.79715497811619096</v>
      </c>
      <c r="J136" s="10" t="e">
        <f>AVERAGE(N522,J393,J264)</f>
        <v>#DIV/0!</v>
      </c>
      <c r="K136" s="10">
        <f t="shared" si="350"/>
        <v>0.25423450015066612</v>
      </c>
      <c r="L136" s="10">
        <f t="shared" si="350"/>
        <v>0.15959139784946233</v>
      </c>
      <c r="M136" s="10">
        <f t="shared" si="344"/>
        <v>0.98499999999999999</v>
      </c>
      <c r="N136" s="10" t="e">
        <f t="shared" si="344"/>
        <v>#DIV/0!</v>
      </c>
      <c r="O136" s="10">
        <f t="shared" si="344"/>
        <v>0.98999999999999988</v>
      </c>
      <c r="P136" s="23" t="e">
        <f t="shared" si="344"/>
        <v>#DIV/0!</v>
      </c>
      <c r="R136" s="81">
        <f t="shared" si="351"/>
        <v>-0.37226695135835508</v>
      </c>
      <c r="S136" s="78"/>
      <c r="T136" s="78"/>
      <c r="U136" s="78"/>
      <c r="V136" s="79"/>
      <c r="X136" s="5">
        <v>42886</v>
      </c>
      <c r="Y136" s="2">
        <f t="shared" si="345"/>
        <v>5672.9856896800557</v>
      </c>
      <c r="Z136" s="2">
        <f t="shared" si="345"/>
        <v>3386.9459999999999</v>
      </c>
      <c r="AA136" s="2">
        <v>197</v>
      </c>
      <c r="AB136" s="2" t="e">
        <f t="shared" si="346"/>
        <v>#DIV/0!</v>
      </c>
      <c r="AC136" s="2">
        <v>197.7</v>
      </c>
      <c r="AD136" s="2" t="e">
        <f t="shared" si="347"/>
        <v>#DIV/0!</v>
      </c>
      <c r="AE136" s="11">
        <f t="shared" si="347"/>
        <v>0.79708111190918562</v>
      </c>
      <c r="AF136" s="11" t="e">
        <f t="shared" si="347"/>
        <v>#DIV/0!</v>
      </c>
      <c r="AG136" s="10">
        <f t="shared" si="352"/>
        <v>0.22239527233288747</v>
      </c>
      <c r="AH136" s="10">
        <f t="shared" si="352"/>
        <v>0.13478629032258063</v>
      </c>
      <c r="AI136" s="11">
        <f t="shared" si="348"/>
        <v>0.98499999999999999</v>
      </c>
      <c r="AJ136" s="11" t="e">
        <f t="shared" si="348"/>
        <v>#DIV/0!</v>
      </c>
      <c r="AK136" s="11">
        <f t="shared" si="348"/>
        <v>0.99</v>
      </c>
      <c r="AL136" s="17" t="e">
        <f t="shared" si="348"/>
        <v>#DIV/0!</v>
      </c>
      <c r="AN136" s="81">
        <f t="shared" si="349"/>
        <v>-0.40296940883152188</v>
      </c>
      <c r="AO136" s="78"/>
      <c r="AP136" s="78"/>
      <c r="AQ136" s="78"/>
      <c r="AR136" s="79"/>
    </row>
    <row r="137" spans="2:44">
      <c r="B137" s="5">
        <v>42916</v>
      </c>
      <c r="C137" s="2">
        <f t="shared" si="341"/>
        <v>5103.550526259347</v>
      </c>
      <c r="D137" s="2">
        <f t="shared" si="341"/>
        <v>3608.2260000000001</v>
      </c>
      <c r="E137" s="2">
        <v>178.9</v>
      </c>
      <c r="F137" s="2">
        <f t="shared" si="342"/>
        <v>151.78</v>
      </c>
      <c r="G137" s="2">
        <v>177.2</v>
      </c>
      <c r="H137" s="2">
        <f t="shared" si="343"/>
        <v>145.21666666666667</v>
      </c>
      <c r="I137" s="12">
        <f t="shared" si="343"/>
        <v>0.7999777671456032</v>
      </c>
      <c r="J137" s="10">
        <f t="shared" ref="J137:J168" si="353">AVERAGE(J523,J394,J265)</f>
        <v>0.69039094188688688</v>
      </c>
      <c r="K137" s="10">
        <f t="shared" si="350"/>
        <v>0.23627548732682166</v>
      </c>
      <c r="L137" s="10">
        <f t="shared" si="350"/>
        <v>0.16704749999999999</v>
      </c>
      <c r="M137" s="10">
        <f t="shared" si="344"/>
        <v>0.98499999999999999</v>
      </c>
      <c r="N137" s="10">
        <f t="shared" si="344"/>
        <v>0.79698265999999995</v>
      </c>
      <c r="O137" s="10">
        <f t="shared" si="344"/>
        <v>0.98999999999999988</v>
      </c>
      <c r="P137" s="23">
        <f t="shared" si="344"/>
        <v>0.99860000000000004</v>
      </c>
      <c r="R137" s="81">
        <f t="shared" si="351"/>
        <v>-0.29299690843961268</v>
      </c>
      <c r="S137" s="10">
        <f>H137/G137-1</f>
        <v>-0.1804928517682467</v>
      </c>
      <c r="T137" s="10">
        <f>N137-M137</f>
        <v>-0.18801734000000003</v>
      </c>
      <c r="U137" s="10">
        <f>P137-O137</f>
        <v>8.6000000000001631E-3</v>
      </c>
      <c r="V137" s="23"/>
      <c r="X137" s="5">
        <v>42916</v>
      </c>
      <c r="Y137" s="2">
        <f t="shared" si="345"/>
        <v>5093.3289568652363</v>
      </c>
      <c r="Z137" s="2">
        <f t="shared" si="345"/>
        <v>3818.2979999999998</v>
      </c>
      <c r="AA137" s="2">
        <v>178.9</v>
      </c>
      <c r="AB137" s="2">
        <f t="shared" si="346"/>
        <v>155.32750000000001</v>
      </c>
      <c r="AC137" s="2">
        <v>177.2</v>
      </c>
      <c r="AD137" s="2">
        <f t="shared" si="347"/>
        <v>147.995</v>
      </c>
      <c r="AE137" s="11">
        <f t="shared" si="347"/>
        <v>0.79842753901198216</v>
      </c>
      <c r="AF137" s="11">
        <f t="shared" si="347"/>
        <v>0.71450709325271744</v>
      </c>
      <c r="AG137" s="10">
        <f t="shared" si="352"/>
        <v>0.23580226652153874</v>
      </c>
      <c r="AH137" s="10">
        <f t="shared" si="352"/>
        <v>0.17624020833333334</v>
      </c>
      <c r="AI137" s="11">
        <f t="shared" si="348"/>
        <v>0.98499999999999999</v>
      </c>
      <c r="AJ137" s="11">
        <f t="shared" si="348"/>
        <v>0.80955144500000009</v>
      </c>
      <c r="AK137" s="11">
        <f t="shared" si="348"/>
        <v>0.99</v>
      </c>
      <c r="AL137" s="17">
        <f t="shared" si="348"/>
        <v>0.99880000000000002</v>
      </c>
      <c r="AN137" s="81">
        <f t="shared" si="349"/>
        <v>-0.25033351814958615</v>
      </c>
      <c r="AO137" s="10">
        <f t="shared" ref="AO137:AO168" si="354">AD137/AC137-1</f>
        <v>-0.16481376975169293</v>
      </c>
      <c r="AP137" s="10">
        <f t="shared" ref="AP137:AP168" si="355">AJ137-AI137</f>
        <v>-0.1754485549999999</v>
      </c>
      <c r="AQ137" s="10">
        <f t="shared" ref="AQ137:AQ168" si="356">AL137-AK137</f>
        <v>8.80000000000003E-3</v>
      </c>
      <c r="AR137" s="23"/>
    </row>
    <row r="138" spans="2:44">
      <c r="B138" s="5">
        <v>42947</v>
      </c>
      <c r="C138" s="2">
        <f t="shared" si="341"/>
        <v>4526.7007873300163</v>
      </c>
      <c r="D138" s="2">
        <f t="shared" si="341"/>
        <v>3252.6419999999998</v>
      </c>
      <c r="E138" s="2">
        <v>155.5</v>
      </c>
      <c r="F138" s="2">
        <f t="shared" si="342"/>
        <v>156.16333333333333</v>
      </c>
      <c r="G138" s="2">
        <v>154.6</v>
      </c>
      <c r="H138" s="2">
        <f t="shared" si="343"/>
        <v>154.41</v>
      </c>
      <c r="I138" s="12">
        <f t="shared" si="343"/>
        <v>0.81318124104367928</v>
      </c>
      <c r="J138" s="10">
        <f t="shared" si="353"/>
        <v>0.58519548262421639</v>
      </c>
      <c r="K138" s="10">
        <f t="shared" si="350"/>
        <v>0.20280917505958851</v>
      </c>
      <c r="L138" s="10">
        <f t="shared" si="350"/>
        <v>0.14572768817204301</v>
      </c>
      <c r="M138" s="10">
        <f t="shared" si="344"/>
        <v>0.98499999999999999</v>
      </c>
      <c r="N138" s="10">
        <f t="shared" si="344"/>
        <v>0.80189823999999998</v>
      </c>
      <c r="O138" s="10">
        <f t="shared" si="344"/>
        <v>0.98999999999999988</v>
      </c>
      <c r="P138" s="23">
        <f t="shared" si="344"/>
        <v>0.99350000000000005</v>
      </c>
      <c r="R138" s="81">
        <f t="shared" si="351"/>
        <v>-0.28145416434327541</v>
      </c>
      <c r="S138" s="10">
        <f t="shared" ref="S138:S142" si="357">H138/G138-1</f>
        <v>-1.2289780077620049E-3</v>
      </c>
      <c r="T138" s="10">
        <f t="shared" ref="T138:T158" si="358">N138-M138</f>
        <v>-0.18310176</v>
      </c>
      <c r="U138" s="10">
        <f t="shared" ref="U138:U158" si="359">P138-O138</f>
        <v>3.5000000000001696E-3</v>
      </c>
      <c r="V138" s="23"/>
      <c r="X138" s="5">
        <v>42947</v>
      </c>
      <c r="Y138" s="2">
        <f t="shared" si="345"/>
        <v>4507.7873841233641</v>
      </c>
      <c r="Z138" s="2">
        <f t="shared" si="345"/>
        <v>2347.4159999999997</v>
      </c>
      <c r="AA138" s="2">
        <v>155.5</v>
      </c>
      <c r="AB138" s="2">
        <f t="shared" si="346"/>
        <v>155.245</v>
      </c>
      <c r="AC138" s="2">
        <v>154.6</v>
      </c>
      <c r="AD138" s="2">
        <f t="shared" si="347"/>
        <v>153.06</v>
      </c>
      <c r="AE138" s="11">
        <f t="shared" si="347"/>
        <v>0.80993736239100256</v>
      </c>
      <c r="AF138" s="11">
        <f t="shared" si="347"/>
        <v>0.42733486867894943</v>
      </c>
      <c r="AG138" s="10">
        <f t="shared" si="352"/>
        <v>0.20196180036394998</v>
      </c>
      <c r="AH138" s="10">
        <f t="shared" si="352"/>
        <v>0.10549657258064515</v>
      </c>
      <c r="AI138" s="11">
        <f t="shared" si="348"/>
        <v>0.98499999999999999</v>
      </c>
      <c r="AJ138" s="11">
        <f t="shared" si="348"/>
        <v>0.628507755</v>
      </c>
      <c r="AK138" s="11">
        <f t="shared" si="348"/>
        <v>0.99</v>
      </c>
      <c r="AL138" s="17">
        <f t="shared" si="348"/>
        <v>0.99064999999999992</v>
      </c>
      <c r="AN138" s="81">
        <f t="shared" si="349"/>
        <v>-0.47925316791388439</v>
      </c>
      <c r="AO138" s="10">
        <f t="shared" si="354"/>
        <v>-9.9611901681758708E-3</v>
      </c>
      <c r="AP138" s="10">
        <f t="shared" si="355"/>
        <v>-0.35649224499999999</v>
      </c>
      <c r="AQ138" s="10">
        <f t="shared" si="356"/>
        <v>6.4999999999992841E-4</v>
      </c>
      <c r="AR138" s="23"/>
    </row>
    <row r="139" spans="2:44">
      <c r="B139" s="5">
        <v>42978</v>
      </c>
      <c r="C139" s="2">
        <f t="shared" si="341"/>
        <v>4300.0812470363508</v>
      </c>
      <c r="D139" s="2">
        <f t="shared" si="341"/>
        <v>3399.9359999999997</v>
      </c>
      <c r="E139" s="2">
        <v>145.4</v>
      </c>
      <c r="F139" s="2">
        <f t="shared" si="342"/>
        <v>132.95666666666668</v>
      </c>
      <c r="G139" s="2">
        <v>146.30000000000001</v>
      </c>
      <c r="H139" s="2">
        <f t="shared" si="343"/>
        <v>133.70333333333332</v>
      </c>
      <c r="I139" s="12">
        <f t="shared" si="343"/>
        <v>0.81659111521381778</v>
      </c>
      <c r="J139" s="10">
        <f t="shared" si="353"/>
        <v>0.70641517032766366</v>
      </c>
      <c r="K139" s="10">
        <f t="shared" si="350"/>
        <v>0.19265596984929881</v>
      </c>
      <c r="L139" s="10">
        <f t="shared" si="350"/>
        <v>0.1523268817204301</v>
      </c>
      <c r="M139" s="10">
        <f t="shared" si="344"/>
        <v>0.98499999999999999</v>
      </c>
      <c r="N139" s="10">
        <f t="shared" si="344"/>
        <v>0.92312063999999994</v>
      </c>
      <c r="O139" s="10">
        <f t="shared" si="344"/>
        <v>0.98999999999999988</v>
      </c>
      <c r="P139" s="23">
        <f t="shared" si="344"/>
        <v>0.99360000000000015</v>
      </c>
      <c r="R139" s="81">
        <f t="shared" si="351"/>
        <v>-0.20933214870224559</v>
      </c>
      <c r="S139" s="10">
        <f t="shared" si="357"/>
        <v>-8.6101617680565234E-2</v>
      </c>
      <c r="T139" s="10">
        <f t="shared" si="358"/>
        <v>-6.187936000000005E-2</v>
      </c>
      <c r="U139" s="10">
        <f t="shared" si="359"/>
        <v>3.6000000000002697E-3</v>
      </c>
      <c r="V139" s="23"/>
      <c r="X139" s="5">
        <v>42978</v>
      </c>
      <c r="Y139" s="2">
        <f t="shared" si="345"/>
        <v>4281.2210469317852</v>
      </c>
      <c r="Z139" s="2">
        <f t="shared" si="345"/>
        <v>3176.9459999999999</v>
      </c>
      <c r="AA139" s="2">
        <v>145.4</v>
      </c>
      <c r="AB139" s="2">
        <f t="shared" si="346"/>
        <v>126.39</v>
      </c>
      <c r="AC139" s="2">
        <v>146.30000000000001</v>
      </c>
      <c r="AD139" s="2">
        <f t="shared" si="347"/>
        <v>127.1275</v>
      </c>
      <c r="AE139" s="11">
        <f t="shared" si="347"/>
        <v>0.81286949322772539</v>
      </c>
      <c r="AF139" s="11">
        <f t="shared" si="347"/>
        <v>0.68739235870797288</v>
      </c>
      <c r="AG139" s="10">
        <f t="shared" si="352"/>
        <v>0.19181097880518747</v>
      </c>
      <c r="AH139" s="10">
        <f t="shared" si="352"/>
        <v>0.14094616935483872</v>
      </c>
      <c r="AI139" s="11">
        <f t="shared" si="348"/>
        <v>0.98499999999999999</v>
      </c>
      <c r="AJ139" s="11">
        <f t="shared" si="348"/>
        <v>0.85813167500000009</v>
      </c>
      <c r="AK139" s="11">
        <f t="shared" si="348"/>
        <v>0.99</v>
      </c>
      <c r="AL139" s="17">
        <f t="shared" si="348"/>
        <v>0.99099999999999999</v>
      </c>
      <c r="AN139" s="81">
        <f t="shared" si="349"/>
        <v>-0.25793460202742491</v>
      </c>
      <c r="AO139" s="10">
        <f t="shared" si="354"/>
        <v>-0.13104921394395086</v>
      </c>
      <c r="AP139" s="10">
        <f t="shared" si="355"/>
        <v>-0.12686832499999989</v>
      </c>
      <c r="AQ139" s="10">
        <f t="shared" si="356"/>
        <v>1.0000000000000009E-3</v>
      </c>
      <c r="AR139" s="23"/>
    </row>
    <row r="140" spans="2:44">
      <c r="B140" s="5">
        <v>43008</v>
      </c>
      <c r="C140" s="2">
        <f t="shared" si="341"/>
        <v>4280.4606720843167</v>
      </c>
      <c r="D140" s="2">
        <f t="shared" si="341"/>
        <v>3419.34</v>
      </c>
      <c r="E140" s="2">
        <v>141.6</v>
      </c>
      <c r="F140" s="2">
        <f t="shared" si="342"/>
        <v>120.90666666666665</v>
      </c>
      <c r="G140" s="2">
        <v>145.5</v>
      </c>
      <c r="H140" s="2">
        <f t="shared" si="343"/>
        <v>125.14333333333333</v>
      </c>
      <c r="I140" s="12">
        <f t="shared" si="343"/>
        <v>0.81729505904656408</v>
      </c>
      <c r="J140" s="10">
        <f t="shared" si="353"/>
        <v>0.75906432742198249</v>
      </c>
      <c r="K140" s="10">
        <f t="shared" si="350"/>
        <v>0.1981694755594591</v>
      </c>
      <c r="L140" s="10">
        <f t="shared" si="350"/>
        <v>0.15830277777777776</v>
      </c>
      <c r="M140" s="10">
        <f t="shared" si="344"/>
        <v>0.98499999999999999</v>
      </c>
      <c r="N140" s="10">
        <f t="shared" si="344"/>
        <v>0.95490890666666672</v>
      </c>
      <c r="O140" s="10">
        <f t="shared" si="344"/>
        <v>0.98999999999999988</v>
      </c>
      <c r="P140" s="23">
        <f t="shared" si="344"/>
        <v>0.99163333333333326</v>
      </c>
      <c r="R140" s="81">
        <f t="shared" si="351"/>
        <v>-0.20117476553405744</v>
      </c>
      <c r="S140" s="10">
        <f t="shared" si="357"/>
        <v>-0.13990836197021761</v>
      </c>
      <c r="T140" s="10">
        <f t="shared" si="358"/>
        <v>-3.0091093333333263E-2</v>
      </c>
      <c r="U140" s="10">
        <f t="shared" si="359"/>
        <v>1.6333333333333755E-3</v>
      </c>
      <c r="V140" s="23"/>
      <c r="X140" s="5">
        <v>43008</v>
      </c>
      <c r="Y140" s="2">
        <f t="shared" si="345"/>
        <v>4266.50894711415</v>
      </c>
      <c r="Z140" s="2">
        <f t="shared" si="345"/>
        <v>3535.3019999999997</v>
      </c>
      <c r="AA140" s="2">
        <v>141.6</v>
      </c>
      <c r="AB140" s="2">
        <f t="shared" si="346"/>
        <v>125.30499999999999</v>
      </c>
      <c r="AC140" s="2">
        <v>145.5</v>
      </c>
      <c r="AD140" s="2">
        <f t="shared" si="347"/>
        <v>126.86750000000001</v>
      </c>
      <c r="AE140" s="11">
        <f t="shared" si="347"/>
        <v>0.81453015408823026</v>
      </c>
      <c r="AF140" s="11">
        <f t="shared" si="347"/>
        <v>0.77414791920709636</v>
      </c>
      <c r="AG140" s="10">
        <f t="shared" si="352"/>
        <v>0.19752356236639584</v>
      </c>
      <c r="AH140" s="10">
        <f t="shared" si="352"/>
        <v>0.16369229166666666</v>
      </c>
      <c r="AI140" s="11">
        <f t="shared" si="348"/>
        <v>0.98499999999999999</v>
      </c>
      <c r="AJ140" s="11">
        <f t="shared" si="348"/>
        <v>0.95377929499999992</v>
      </c>
      <c r="AK140" s="11">
        <f t="shared" si="348"/>
        <v>0.99</v>
      </c>
      <c r="AL140" s="17">
        <f t="shared" si="348"/>
        <v>0.99129999999999996</v>
      </c>
      <c r="AN140" s="81">
        <f t="shared" si="349"/>
        <v>-0.17138296349026427</v>
      </c>
      <c r="AO140" s="10">
        <f t="shared" si="354"/>
        <v>-0.1280584192439862</v>
      </c>
      <c r="AP140" s="10">
        <f t="shared" si="355"/>
        <v>-3.1220705000000071E-2</v>
      </c>
      <c r="AQ140" s="10">
        <f t="shared" si="356"/>
        <v>1.2999999999999678E-3</v>
      </c>
      <c r="AR140" s="23"/>
    </row>
    <row r="141" spans="2:44">
      <c r="B141" s="5">
        <v>43039</v>
      </c>
      <c r="C141" s="2">
        <f t="shared" si="341"/>
        <v>4894.5896514431097</v>
      </c>
      <c r="D141" s="2">
        <f t="shared" si="341"/>
        <v>4117.7039999999997</v>
      </c>
      <c r="E141" s="2">
        <v>139.1</v>
      </c>
      <c r="F141" s="2">
        <f t="shared" si="342"/>
        <v>125.11666666666667</v>
      </c>
      <c r="G141" s="2">
        <v>172.2</v>
      </c>
      <c r="H141" s="2">
        <f t="shared" si="343"/>
        <v>151.92999999999998</v>
      </c>
      <c r="I141" s="12">
        <f t="shared" si="343"/>
        <v>0.78965973020362235</v>
      </c>
      <c r="J141" s="10">
        <f t="shared" si="353"/>
        <v>0.75292237017676611</v>
      </c>
      <c r="K141" s="10">
        <f t="shared" si="350"/>
        <v>0.21929165105031856</v>
      </c>
      <c r="L141" s="10">
        <f t="shared" si="350"/>
        <v>0.18448494623655912</v>
      </c>
      <c r="M141" s="10">
        <f t="shared" si="344"/>
        <v>0.98499999999999999</v>
      </c>
      <c r="N141" s="10">
        <f t="shared" si="344"/>
        <v>0.96990920000000003</v>
      </c>
      <c r="O141" s="10">
        <f t="shared" si="344"/>
        <v>0.98999999999999988</v>
      </c>
      <c r="P141" s="23">
        <f t="shared" si="344"/>
        <v>0.97399999999999987</v>
      </c>
      <c r="R141" s="81">
        <f t="shared" si="351"/>
        <v>-0.15872334695392798</v>
      </c>
      <c r="S141" s="10">
        <f t="shared" si="357"/>
        <v>-0.11771196283391416</v>
      </c>
      <c r="T141" s="10">
        <f t="shared" si="358"/>
        <v>-1.509079999999996E-2</v>
      </c>
      <c r="U141" s="10">
        <f t="shared" si="359"/>
        <v>-1.6000000000000014E-2</v>
      </c>
      <c r="V141" s="23"/>
      <c r="X141" s="5">
        <v>43039</v>
      </c>
      <c r="Y141" s="2">
        <f t="shared" si="345"/>
        <v>4890.3019793818739</v>
      </c>
      <c r="Z141" s="2">
        <f t="shared" si="345"/>
        <v>4189.7159999999994</v>
      </c>
      <c r="AA141" s="2">
        <v>139.1</v>
      </c>
      <c r="AB141" s="2">
        <f t="shared" si="346"/>
        <v>122.5125</v>
      </c>
      <c r="AC141" s="2">
        <v>172.2</v>
      </c>
      <c r="AD141" s="2">
        <f t="shared" si="347"/>
        <v>151.73750000000001</v>
      </c>
      <c r="AE141" s="11">
        <f t="shared" si="347"/>
        <v>0.78886017218058357</v>
      </c>
      <c r="AF141" s="11">
        <f t="shared" si="347"/>
        <v>0.76350972423117847</v>
      </c>
      <c r="AG141" s="10">
        <f t="shared" si="352"/>
        <v>0.21909955104757498</v>
      </c>
      <c r="AH141" s="10">
        <f t="shared" si="352"/>
        <v>0.18683266129032261</v>
      </c>
      <c r="AI141" s="11">
        <f t="shared" si="348"/>
        <v>0.98499999999999999</v>
      </c>
      <c r="AJ141" s="11">
        <f t="shared" si="348"/>
        <v>0.96908130000000003</v>
      </c>
      <c r="AK141" s="11">
        <f t="shared" si="348"/>
        <v>0.99</v>
      </c>
      <c r="AL141" s="17">
        <f t="shared" si="348"/>
        <v>0.97399999999999998</v>
      </c>
      <c r="AN141" s="81">
        <f t="shared" si="349"/>
        <v>-0.14326026947530701</v>
      </c>
      <c r="AO141" s="10">
        <f t="shared" si="354"/>
        <v>-0.11882984901277571</v>
      </c>
      <c r="AP141" s="10">
        <f t="shared" si="355"/>
        <v>-1.5918699999999952E-2</v>
      </c>
      <c r="AQ141" s="10">
        <f t="shared" si="356"/>
        <v>-1.6000000000000014E-2</v>
      </c>
      <c r="AR141" s="23"/>
    </row>
    <row r="142" spans="2:44">
      <c r="B142" s="5">
        <v>43069</v>
      </c>
      <c r="C142" s="2">
        <f t="shared" si="341"/>
        <v>4337.3609808678066</v>
      </c>
      <c r="D142" s="2">
        <f t="shared" si="341"/>
        <v>3362.364</v>
      </c>
      <c r="E142" s="2">
        <v>108.1</v>
      </c>
      <c r="F142" s="2">
        <f t="shared" si="342"/>
        <v>90.966666666666654</v>
      </c>
      <c r="G142" s="2">
        <v>152.1</v>
      </c>
      <c r="H142" s="2">
        <f t="shared" si="343"/>
        <v>116.54666666666667</v>
      </c>
      <c r="I142" s="12">
        <f t="shared" si="343"/>
        <v>0.79213664243249904</v>
      </c>
      <c r="J142" s="10">
        <f t="shared" si="353"/>
        <v>0.80140970128293476</v>
      </c>
      <c r="K142" s="10">
        <f t="shared" si="350"/>
        <v>0.20080374911425034</v>
      </c>
      <c r="L142" s="10">
        <f t="shared" si="350"/>
        <v>0.15566500000000003</v>
      </c>
      <c r="M142" s="10">
        <f t="shared" si="344"/>
        <v>0.98499999999999999</v>
      </c>
      <c r="N142" s="10">
        <f t="shared" si="344"/>
        <v>0.98839732000000013</v>
      </c>
      <c r="O142" s="10">
        <f t="shared" si="344"/>
        <v>0.98999999999999988</v>
      </c>
      <c r="P142" s="23">
        <f t="shared" si="344"/>
        <v>0.99256666666666671</v>
      </c>
      <c r="R142" s="81">
        <f t="shared" si="351"/>
        <v>-0.2247903702662839</v>
      </c>
      <c r="S142" s="10">
        <f t="shared" si="357"/>
        <v>-0.23374972605741828</v>
      </c>
      <c r="T142" s="10">
        <f t="shared" si="358"/>
        <v>3.397320000000148E-3</v>
      </c>
      <c r="U142" s="10">
        <f t="shared" si="359"/>
        <v>2.5666666666668281E-3</v>
      </c>
      <c r="V142" s="23"/>
      <c r="X142" s="5">
        <v>43069</v>
      </c>
      <c r="Y142" s="2">
        <f t="shared" si="345"/>
        <v>4328.2997663482165</v>
      </c>
      <c r="Z142" s="2">
        <f t="shared" si="345"/>
        <v>3347.2679999999996</v>
      </c>
      <c r="AA142" s="2">
        <v>108.1</v>
      </c>
      <c r="AB142" s="2">
        <f t="shared" si="346"/>
        <v>87.429999999999993</v>
      </c>
      <c r="AC142" s="2">
        <v>152.1</v>
      </c>
      <c r="AD142" s="2">
        <f t="shared" si="347"/>
        <v>114.9025</v>
      </c>
      <c r="AE142" s="11">
        <f t="shared" si="347"/>
        <v>0.79047040805541247</v>
      </c>
      <c r="AF142" s="11">
        <f t="shared" si="347"/>
        <v>0.8089154351805703</v>
      </c>
      <c r="AG142" s="10">
        <f t="shared" si="352"/>
        <v>0.20038424844204705</v>
      </c>
      <c r="AH142" s="10">
        <f t="shared" si="352"/>
        <v>0.15491125</v>
      </c>
      <c r="AI142" s="11">
        <f t="shared" si="348"/>
        <v>0.98499999999999999</v>
      </c>
      <c r="AJ142" s="11">
        <f t="shared" si="348"/>
        <v>0.975051</v>
      </c>
      <c r="AK142" s="11">
        <f t="shared" si="348"/>
        <v>0.99</v>
      </c>
      <c r="AL142" s="17">
        <f t="shared" si="348"/>
        <v>0.98</v>
      </c>
      <c r="AN142" s="81">
        <f t="shared" si="349"/>
        <v>-0.22665522706527153</v>
      </c>
      <c r="AO142" s="10">
        <f t="shared" si="354"/>
        <v>-0.24455950032873108</v>
      </c>
      <c r="AP142" s="10">
        <f t="shared" si="355"/>
        <v>-9.9489999999999856E-3</v>
      </c>
      <c r="AQ142" s="10">
        <f t="shared" si="356"/>
        <v>-1.0000000000000009E-2</v>
      </c>
      <c r="AR142" s="23"/>
    </row>
    <row r="143" spans="2:44">
      <c r="B143" s="5">
        <v>43100</v>
      </c>
      <c r="C143" s="2">
        <f t="shared" si="341"/>
        <v>3639.3061882697948</v>
      </c>
      <c r="D143" s="2">
        <f t="shared" si="341"/>
        <v>3119.712</v>
      </c>
      <c r="E143" s="2">
        <v>89.9</v>
      </c>
      <c r="F143" s="2">
        <f t="shared" si="342"/>
        <v>76.896666666666661</v>
      </c>
      <c r="G143" s="2">
        <v>129.6</v>
      </c>
      <c r="H143" s="2">
        <f t="shared" si="343"/>
        <v>104.13</v>
      </c>
      <c r="I143" s="12">
        <f t="shared" si="343"/>
        <v>0.78119657992469804</v>
      </c>
      <c r="J143" s="10">
        <f t="shared" si="353"/>
        <v>0.83220017197203111</v>
      </c>
      <c r="K143" s="10">
        <f t="shared" si="350"/>
        <v>0.16305135252104816</v>
      </c>
      <c r="L143" s="10">
        <f t="shared" si="350"/>
        <v>0.13977204301075272</v>
      </c>
      <c r="M143" s="10">
        <f t="shared" si="344"/>
        <v>0.98499999999999999</v>
      </c>
      <c r="N143" s="10">
        <f t="shared" si="344"/>
        <v>0.98699999999999999</v>
      </c>
      <c r="O143" s="10">
        <f t="shared" si="344"/>
        <v>0.98999999999999988</v>
      </c>
      <c r="P143" s="23">
        <f t="shared" si="344"/>
        <v>0.98699999999999999</v>
      </c>
      <c r="R143" s="81">
        <f t="shared" si="351"/>
        <v>-0.1427728697147137</v>
      </c>
      <c r="S143" s="10">
        <f>H143/G143-1</f>
        <v>-0.19652777777777775</v>
      </c>
      <c r="T143" s="10">
        <f t="shared" si="358"/>
        <v>2.0000000000000018E-3</v>
      </c>
      <c r="U143" s="10">
        <f t="shared" si="359"/>
        <v>-2.9999999999998916E-3</v>
      </c>
      <c r="V143" s="23"/>
      <c r="X143" s="5">
        <v>43100</v>
      </c>
      <c r="Y143" s="2">
        <f t="shared" si="345"/>
        <v>3636.8310749193715</v>
      </c>
      <c r="Z143" s="2">
        <f t="shared" si="345"/>
        <v>3254.1059999999998</v>
      </c>
      <c r="AA143" s="2">
        <v>89.9</v>
      </c>
      <c r="AB143" s="2">
        <f t="shared" si="346"/>
        <v>77.085000000000008</v>
      </c>
      <c r="AC143" s="2">
        <v>129.6</v>
      </c>
      <c r="AD143" s="2">
        <f t="shared" si="347"/>
        <v>105.215</v>
      </c>
      <c r="AE143" s="11">
        <f t="shared" si="347"/>
        <v>0.77949911585206011</v>
      </c>
      <c r="AF143" s="11">
        <f t="shared" si="347"/>
        <v>0.86062848748859577</v>
      </c>
      <c r="AG143" s="10">
        <f t="shared" si="352"/>
        <v>0.16294046034584997</v>
      </c>
      <c r="AH143" s="10">
        <f t="shared" si="352"/>
        <v>0.14604213709677422</v>
      </c>
      <c r="AI143" s="11">
        <f t="shared" si="348"/>
        <v>0.98499999999999999</v>
      </c>
      <c r="AJ143" s="11">
        <f t="shared" si="348"/>
        <v>0.99165000000000003</v>
      </c>
      <c r="AK143" s="11">
        <f t="shared" si="348"/>
        <v>0.99</v>
      </c>
      <c r="AL143" s="17">
        <f t="shared" si="348"/>
        <v>0.99165000000000003</v>
      </c>
      <c r="AN143" s="81">
        <f t="shared" si="349"/>
        <v>-0.10523586799473683</v>
      </c>
      <c r="AO143" s="10">
        <f t="shared" si="354"/>
        <v>-0.18815586419753083</v>
      </c>
      <c r="AP143" s="10">
        <f t="shared" si="355"/>
        <v>6.6500000000000448E-3</v>
      </c>
      <c r="AQ143" s="10">
        <f t="shared" si="356"/>
        <v>1.6500000000000403E-3</v>
      </c>
      <c r="AR143" s="23"/>
    </row>
    <row r="144" spans="2:44">
      <c r="B144" s="5">
        <v>43131</v>
      </c>
      <c r="C144" s="2">
        <f t="shared" si="341"/>
        <v>3077.938989349168</v>
      </c>
      <c r="D144" s="2">
        <f t="shared" si="341"/>
        <v>2776.9080000000004</v>
      </c>
      <c r="E144" s="2">
        <v>79.599999999999994</v>
      </c>
      <c r="F144" s="2">
        <f t="shared" si="342"/>
        <v>71.8</v>
      </c>
      <c r="G144" s="2">
        <v>103.2</v>
      </c>
      <c r="H144" s="2">
        <f t="shared" si="343"/>
        <v>92.693333333333342</v>
      </c>
      <c r="I144" s="12">
        <f t="shared" si="343"/>
        <v>0.83278387335348969</v>
      </c>
      <c r="J144" s="10">
        <f t="shared" si="353"/>
        <v>0.83211738032372529</v>
      </c>
      <c r="K144" s="10">
        <f t="shared" si="350"/>
        <v>0.13790049235435339</v>
      </c>
      <c r="L144" s="10">
        <f t="shared" si="350"/>
        <v>0.12441344086021505</v>
      </c>
      <c r="M144" s="10">
        <f t="shared" si="344"/>
        <v>0.98499999999999999</v>
      </c>
      <c r="N144" s="10">
        <f t="shared" si="344"/>
        <v>0.98443333333333338</v>
      </c>
      <c r="O144" s="10">
        <f t="shared" si="344"/>
        <v>0.98999999999999988</v>
      </c>
      <c r="P144" s="23">
        <f t="shared" si="344"/>
        <v>0.98519999999999996</v>
      </c>
      <c r="R144" s="81">
        <f t="shared" si="351"/>
        <v>-9.7802779844190724E-2</v>
      </c>
      <c r="S144" s="10">
        <f t="shared" ref="S144:S158" si="360">H144/G144-1</f>
        <v>-0.10180878552971573</v>
      </c>
      <c r="T144" s="10">
        <f t="shared" si="358"/>
        <v>-5.6666666666660426E-4</v>
      </c>
      <c r="U144" s="10">
        <f t="shared" si="359"/>
        <v>-4.7999999999999154E-3</v>
      </c>
      <c r="V144" s="23"/>
      <c r="X144" s="5">
        <v>43131</v>
      </c>
      <c r="Y144" s="2">
        <f t="shared" si="345"/>
        <v>3059.4547175762864</v>
      </c>
      <c r="Z144" s="2">
        <f t="shared" si="345"/>
        <v>2831.3939999999998</v>
      </c>
      <c r="AA144" s="2">
        <v>79.599999999999994</v>
      </c>
      <c r="AB144" s="2">
        <f t="shared" si="346"/>
        <v>71.625</v>
      </c>
      <c r="AC144" s="2">
        <v>103.2</v>
      </c>
      <c r="AD144" s="2">
        <f t="shared" si="347"/>
        <v>95.047499999999985</v>
      </c>
      <c r="AE144" s="11">
        <f t="shared" si="347"/>
        <v>0.82763481424572438</v>
      </c>
      <c r="AF144" s="11">
        <f t="shared" si="347"/>
        <v>0.82948935969417792</v>
      </c>
      <c r="AG144" s="10">
        <f t="shared" si="352"/>
        <v>0.1370723439774322</v>
      </c>
      <c r="AH144" s="10">
        <f t="shared" si="352"/>
        <v>0.12716592741935484</v>
      </c>
      <c r="AI144" s="11">
        <f t="shared" si="348"/>
        <v>0.98499999999999999</v>
      </c>
      <c r="AJ144" s="11">
        <f t="shared" si="348"/>
        <v>0.98067499999999996</v>
      </c>
      <c r="AK144" s="11">
        <f t="shared" si="348"/>
        <v>0.99</v>
      </c>
      <c r="AL144" s="17">
        <f t="shared" si="348"/>
        <v>0.98535000000000006</v>
      </c>
      <c r="AN144" s="81">
        <f t="shared" si="349"/>
        <v>-7.4542929583529594E-2</v>
      </c>
      <c r="AO144" s="10">
        <f t="shared" si="354"/>
        <v>-7.8997093023255971E-2</v>
      </c>
      <c r="AP144" s="10">
        <f t="shared" si="355"/>
        <v>-4.3250000000000233E-3</v>
      </c>
      <c r="AQ144" s="10">
        <f t="shared" si="356"/>
        <v>-4.649999999999932E-3</v>
      </c>
      <c r="AR144" s="23"/>
    </row>
    <row r="145" spans="2:44">
      <c r="B145" s="5">
        <v>43159</v>
      </c>
      <c r="C145" s="2">
        <f t="shared" si="341"/>
        <v>4029.6674808097418</v>
      </c>
      <c r="D145" s="2">
        <f t="shared" si="341"/>
        <v>4024.3979999999997</v>
      </c>
      <c r="E145" s="2">
        <v>108.1</v>
      </c>
      <c r="F145" s="2">
        <f t="shared" si="342"/>
        <v>109.72333333333334</v>
      </c>
      <c r="G145" s="2">
        <v>137.5</v>
      </c>
      <c r="H145" s="2">
        <f t="shared" si="343"/>
        <v>136.05333333333331</v>
      </c>
      <c r="I145" s="12">
        <f t="shared" si="343"/>
        <v>0.81820275263220787</v>
      </c>
      <c r="J145" s="10">
        <f t="shared" si="353"/>
        <v>0.82173797495190193</v>
      </c>
      <c r="K145" s="10">
        <f t="shared" si="350"/>
        <v>0.1998842996433404</v>
      </c>
      <c r="L145" s="10">
        <f t="shared" si="350"/>
        <v>0.19962291666666668</v>
      </c>
      <c r="M145" s="10">
        <f t="shared" si="344"/>
        <v>0.98499999999999999</v>
      </c>
      <c r="N145" s="10">
        <f t="shared" si="344"/>
        <v>0.96393333333333331</v>
      </c>
      <c r="O145" s="10">
        <f t="shared" si="344"/>
        <v>0.98999999999999988</v>
      </c>
      <c r="P145" s="23">
        <f t="shared" si="344"/>
        <v>0.9799000000000001</v>
      </c>
      <c r="R145" s="81">
        <f t="shared" si="351"/>
        <v>-1.3076713735902246E-3</v>
      </c>
      <c r="S145" s="10">
        <f t="shared" si="360"/>
        <v>-1.0521212121212264E-2</v>
      </c>
      <c r="T145" s="10">
        <f t="shared" si="358"/>
        <v>-2.1066666666666678E-2</v>
      </c>
      <c r="U145" s="10">
        <f t="shared" si="359"/>
        <v>-1.0099999999999776E-2</v>
      </c>
      <c r="V145" s="23"/>
      <c r="X145" s="5">
        <v>43159</v>
      </c>
      <c r="Y145" s="2">
        <f t="shared" si="345"/>
        <v>4016.8151890092486</v>
      </c>
      <c r="Z145" s="2">
        <f t="shared" si="345"/>
        <v>4054.4740000000002</v>
      </c>
      <c r="AA145" s="2">
        <v>108.1</v>
      </c>
      <c r="AB145" s="2">
        <f t="shared" si="346"/>
        <v>110.0625</v>
      </c>
      <c r="AC145" s="2">
        <v>137.5</v>
      </c>
      <c r="AD145" s="2">
        <f t="shared" si="347"/>
        <v>137.77749999999997</v>
      </c>
      <c r="AE145" s="11">
        <f t="shared" si="347"/>
        <v>0.81555559393111998</v>
      </c>
      <c r="AF145" s="11">
        <f t="shared" si="347"/>
        <v>0.81589914947594488</v>
      </c>
      <c r="AG145" s="10">
        <f t="shared" si="352"/>
        <v>0.19924678516910957</v>
      </c>
      <c r="AH145" s="10">
        <f t="shared" si="352"/>
        <v>0.20072157738095237</v>
      </c>
      <c r="AI145" s="11">
        <f t="shared" si="348"/>
        <v>0.98499999999999999</v>
      </c>
      <c r="AJ145" s="11">
        <f t="shared" si="348"/>
        <v>0.93399999999999994</v>
      </c>
      <c r="AK145" s="11">
        <f t="shared" si="348"/>
        <v>0.99</v>
      </c>
      <c r="AL145" s="17">
        <f t="shared" si="348"/>
        <v>0.9738</v>
      </c>
      <c r="AN145" s="81">
        <f t="shared" si="349"/>
        <v>9.3752909254558592E-3</v>
      </c>
      <c r="AO145" s="10">
        <f t="shared" si="354"/>
        <v>2.0181818181816968E-3</v>
      </c>
      <c r="AP145" s="10">
        <f t="shared" si="355"/>
        <v>-5.1000000000000045E-2</v>
      </c>
      <c r="AQ145" s="10">
        <f t="shared" si="356"/>
        <v>-1.6199999999999992E-2</v>
      </c>
      <c r="AR145" s="23"/>
    </row>
    <row r="146" spans="2:44">
      <c r="B146" s="5">
        <v>43190</v>
      </c>
      <c r="C146" s="2">
        <f t="shared" si="341"/>
        <v>5391</v>
      </c>
      <c r="D146" s="2">
        <f t="shared" si="341"/>
        <v>5159.2460000000001</v>
      </c>
      <c r="E146" s="2">
        <v>161.4</v>
      </c>
      <c r="F146" s="2">
        <f t="shared" si="342"/>
        <v>164.42999999999998</v>
      </c>
      <c r="G146" s="2">
        <v>187.8</v>
      </c>
      <c r="H146" s="2">
        <f t="shared" si="343"/>
        <v>179.33333333333334</v>
      </c>
      <c r="I146" s="12">
        <f t="shared" si="343"/>
        <v>0.80144786581774907</v>
      </c>
      <c r="J146" s="10">
        <f t="shared" si="353"/>
        <v>0.79912548609247802</v>
      </c>
      <c r="K146" s="10">
        <f t="shared" si="350"/>
        <v>0.24153225806451614</v>
      </c>
      <c r="L146" s="10">
        <f t="shared" si="350"/>
        <v>0.23114901433691756</v>
      </c>
      <c r="M146" s="10">
        <f t="shared" si="344"/>
        <v>0.98499999999999999</v>
      </c>
      <c r="N146" s="10">
        <f t="shared" si="344"/>
        <v>0.99786666666666657</v>
      </c>
      <c r="O146" s="10">
        <f t="shared" si="344"/>
        <v>0.98999999999999988</v>
      </c>
      <c r="P146" s="23">
        <f t="shared" si="344"/>
        <v>0.99786666666666657</v>
      </c>
      <c r="R146" s="81">
        <f t="shared" si="351"/>
        <v>-4.2989055833797085E-2</v>
      </c>
      <c r="S146" s="10">
        <f t="shared" si="360"/>
        <v>-4.5083422080227198E-2</v>
      </c>
      <c r="T146" s="10">
        <f t="shared" si="358"/>
        <v>1.2866666666666582E-2</v>
      </c>
      <c r="U146" s="10">
        <f t="shared" si="359"/>
        <v>7.8666666666666885E-3</v>
      </c>
      <c r="V146" s="23"/>
      <c r="X146" s="5">
        <v>43190</v>
      </c>
      <c r="Y146" s="2">
        <f t="shared" si="345"/>
        <v>5387</v>
      </c>
      <c r="Z146" s="2">
        <f t="shared" si="345"/>
        <v>5065.5600000000004</v>
      </c>
      <c r="AA146" s="2">
        <v>161.4</v>
      </c>
      <c r="AB146" s="2">
        <f t="shared" si="346"/>
        <v>162.60249999999999</v>
      </c>
      <c r="AC146" s="2">
        <v>187.8</v>
      </c>
      <c r="AD146" s="2">
        <f t="shared" si="347"/>
        <v>185.98249999999999</v>
      </c>
      <c r="AE146" s="11">
        <f t="shared" si="347"/>
        <v>0.80080060538540998</v>
      </c>
      <c r="AF146" s="11">
        <f t="shared" si="347"/>
        <v>0.75582378346237766</v>
      </c>
      <c r="AG146" s="10">
        <f t="shared" si="352"/>
        <v>0.24136424731182793</v>
      </c>
      <c r="AH146" s="10">
        <f t="shared" si="352"/>
        <v>0.22672647849462363</v>
      </c>
      <c r="AI146" s="11">
        <f t="shared" si="348"/>
        <v>0.98499999999999999</v>
      </c>
      <c r="AJ146" s="11">
        <f t="shared" si="348"/>
        <v>0.92673640000000002</v>
      </c>
      <c r="AK146" s="11">
        <f t="shared" si="348"/>
        <v>0.99</v>
      </c>
      <c r="AL146" s="17">
        <f t="shared" si="348"/>
        <v>0.99950000000000006</v>
      </c>
      <c r="AN146" s="81">
        <f t="shared" si="349"/>
        <v>-5.9669574902543099E-2</v>
      </c>
      <c r="AO146" s="10">
        <f t="shared" si="354"/>
        <v>-9.6778487752929854E-3</v>
      </c>
      <c r="AP146" s="10">
        <f t="shared" si="355"/>
        <v>-5.8263599999999971E-2</v>
      </c>
      <c r="AQ146" s="10">
        <f t="shared" si="356"/>
        <v>9.5000000000000639E-3</v>
      </c>
      <c r="AR146" s="23"/>
    </row>
    <row r="147" spans="2:44">
      <c r="B147" s="25">
        <v>43220</v>
      </c>
      <c r="C147" s="26">
        <f t="shared" si="341"/>
        <v>5238.5556938362952</v>
      </c>
      <c r="D147" s="26">
        <f t="shared" si="341"/>
        <v>3989.9700000000003</v>
      </c>
      <c r="E147" s="26">
        <v>190.2</v>
      </c>
      <c r="F147" s="26">
        <f t="shared" si="342"/>
        <v>148.21333333333334</v>
      </c>
      <c r="G147" s="26">
        <v>194</v>
      </c>
      <c r="H147" s="26">
        <f t="shared" si="343"/>
        <v>152.62</v>
      </c>
      <c r="I147" s="31">
        <f t="shared" si="343"/>
        <v>0.761502098173097</v>
      </c>
      <c r="J147" s="29">
        <f t="shared" si="353"/>
        <v>0.78007584777562167</v>
      </c>
      <c r="K147" s="29">
        <f t="shared" si="350"/>
        <v>0.24252572656649515</v>
      </c>
      <c r="L147" s="29">
        <f t="shared" si="350"/>
        <v>0.18472083333333333</v>
      </c>
      <c r="M147" s="29">
        <f t="shared" si="344"/>
        <v>0.98499999999999999</v>
      </c>
      <c r="N147" s="29">
        <f t="shared" si="344"/>
        <v>0.93094920000000003</v>
      </c>
      <c r="O147" s="29">
        <f t="shared" si="344"/>
        <v>0.98999999999999988</v>
      </c>
      <c r="P147" s="32">
        <f t="shared" si="344"/>
        <v>0.97399999999999987</v>
      </c>
      <c r="Q147" s="96">
        <f>R147-S147</f>
        <v>-2.50464388625804E-2</v>
      </c>
      <c r="R147" s="87">
        <f t="shared" si="351"/>
        <v>-0.23834540793474535</v>
      </c>
      <c r="S147" s="29">
        <f t="shared" si="360"/>
        <v>-0.21329896907216495</v>
      </c>
      <c r="T147" s="29">
        <f t="shared" si="358"/>
        <v>-5.4050799999999954E-2</v>
      </c>
      <c r="U147" s="29">
        <f t="shared" si="359"/>
        <v>-1.6000000000000014E-2</v>
      </c>
      <c r="V147" s="32"/>
      <c r="X147" s="25">
        <v>43220</v>
      </c>
      <c r="Y147" s="26">
        <f t="shared" si="345"/>
        <v>5238.7266354934454</v>
      </c>
      <c r="Z147" s="26">
        <f t="shared" si="345"/>
        <v>4325.6539999999995</v>
      </c>
      <c r="AA147" s="26">
        <v>190.2</v>
      </c>
      <c r="AB147" s="26">
        <f t="shared" si="346"/>
        <v>153.46275</v>
      </c>
      <c r="AC147" s="26">
        <v>194</v>
      </c>
      <c r="AD147" s="26">
        <f t="shared" si="347"/>
        <v>157.98500000000001</v>
      </c>
      <c r="AE147" s="28">
        <f t="shared" si="347"/>
        <v>0.76158956251879251</v>
      </c>
      <c r="AF147" s="28">
        <f t="shared" si="347"/>
        <v>0.79379332728343199</v>
      </c>
      <c r="AG147" s="29">
        <f t="shared" si="352"/>
        <v>0.24255358250286013</v>
      </c>
      <c r="AH147" s="29">
        <f t="shared" si="352"/>
        <v>0.20072847222222223</v>
      </c>
      <c r="AI147" s="28">
        <f t="shared" si="348"/>
        <v>0.98499999999999999</v>
      </c>
      <c r="AJ147" s="28">
        <f t="shared" si="348"/>
        <v>0.96037975499999995</v>
      </c>
      <c r="AK147" s="28">
        <f t="shared" si="348"/>
        <v>0.99</v>
      </c>
      <c r="AL147" s="30">
        <f t="shared" si="348"/>
        <v>0.97547499999999998</v>
      </c>
      <c r="AM147" s="95">
        <f>AN147-AO147</f>
        <v>1.1351472295368703E-2</v>
      </c>
      <c r="AN147" s="87">
        <f t="shared" si="349"/>
        <v>-0.17429285760153845</v>
      </c>
      <c r="AO147" s="29">
        <f t="shared" si="354"/>
        <v>-0.18564432989690716</v>
      </c>
      <c r="AP147" s="29">
        <f t="shared" si="355"/>
        <v>-2.4620245000000041E-2</v>
      </c>
      <c r="AQ147" s="29">
        <f t="shared" si="356"/>
        <v>-1.452500000000001E-2</v>
      </c>
      <c r="AR147" s="32"/>
    </row>
    <row r="148" spans="2:44">
      <c r="B148" s="5">
        <v>43251</v>
      </c>
      <c r="C148" s="2">
        <f t="shared" si="341"/>
        <v>5307.3729847572913</v>
      </c>
      <c r="D148" s="2">
        <f t="shared" si="341"/>
        <v>4570.0619999999999</v>
      </c>
      <c r="E148" s="2">
        <v>197</v>
      </c>
      <c r="F148" s="2">
        <f t="shared" si="342"/>
        <v>164.08333333333334</v>
      </c>
      <c r="G148" s="2">
        <v>197.7</v>
      </c>
      <c r="H148" s="2">
        <f t="shared" si="343"/>
        <v>165.50666666666666</v>
      </c>
      <c r="I148" s="12">
        <f t="shared" si="343"/>
        <v>0.75706681329897485</v>
      </c>
      <c r="J148" s="10">
        <f t="shared" si="353"/>
        <v>0.77042854243730663</v>
      </c>
      <c r="K148" s="10">
        <f t="shared" si="350"/>
        <v>0.23778552799091804</v>
      </c>
      <c r="L148" s="10">
        <f t="shared" si="350"/>
        <v>0.20475188172043013</v>
      </c>
      <c r="M148" s="10">
        <f t="shared" si="344"/>
        <v>0.98499999999999999</v>
      </c>
      <c r="N148" s="10">
        <f t="shared" si="344"/>
        <v>0.9955666666666666</v>
      </c>
      <c r="O148" s="10">
        <f t="shared" si="344"/>
        <v>0.98999999999999988</v>
      </c>
      <c r="P148" s="23">
        <f t="shared" si="344"/>
        <v>0.99820000000000009</v>
      </c>
      <c r="R148" s="81">
        <f t="shared" si="351"/>
        <v>-0.13892202166209899</v>
      </c>
      <c r="S148" s="10">
        <f t="shared" si="360"/>
        <v>-0.16283931883324898</v>
      </c>
      <c r="T148" s="10">
        <f t="shared" si="358"/>
        <v>1.0566666666666613E-2</v>
      </c>
      <c r="U148" s="10">
        <f t="shared" si="359"/>
        <v>8.2000000000002071E-3</v>
      </c>
      <c r="V148" s="23"/>
      <c r="X148" s="5">
        <v>43251</v>
      </c>
      <c r="Y148" s="2">
        <f t="shared" si="345"/>
        <v>5307.9029230219376</v>
      </c>
      <c r="Z148" s="2">
        <f t="shared" si="345"/>
        <v>4893.723</v>
      </c>
      <c r="AA148" s="2">
        <v>197</v>
      </c>
      <c r="AB148" s="2">
        <f t="shared" si="346"/>
        <v>170.17749999999998</v>
      </c>
      <c r="AC148" s="2">
        <v>197.7</v>
      </c>
      <c r="AD148" s="2">
        <f t="shared" si="347"/>
        <v>171.92250000000001</v>
      </c>
      <c r="AE148" s="11">
        <f t="shared" si="347"/>
        <v>0.75719768548310906</v>
      </c>
      <c r="AF148" s="11">
        <f t="shared" si="347"/>
        <v>0.79545659746445618</v>
      </c>
      <c r="AG148" s="10">
        <f t="shared" si="352"/>
        <v>0.23782663336082338</v>
      </c>
      <c r="AH148" s="10">
        <f t="shared" si="352"/>
        <v>0.21970080645161291</v>
      </c>
      <c r="AI148" s="11">
        <f t="shared" si="348"/>
        <v>0.98499999999999999</v>
      </c>
      <c r="AJ148" s="11">
        <f t="shared" si="348"/>
        <v>0.99602499999999994</v>
      </c>
      <c r="AK148" s="11">
        <f t="shared" si="348"/>
        <v>0.99</v>
      </c>
      <c r="AL148" s="17">
        <f t="shared" si="348"/>
        <v>0.999</v>
      </c>
      <c r="AM148" s="95">
        <v>-3.7949940241866362E-2</v>
      </c>
      <c r="AN148" s="81">
        <f t="shared" si="349"/>
        <v>-7.8030802188472137E-2</v>
      </c>
      <c r="AO148" s="10">
        <f t="shared" si="354"/>
        <v>-0.13038694992412736</v>
      </c>
      <c r="AP148" s="10">
        <f t="shared" si="355"/>
        <v>1.1024999999999952E-2</v>
      </c>
      <c r="AQ148" s="10">
        <f t="shared" si="356"/>
        <v>9.000000000000008E-3</v>
      </c>
      <c r="AR148" s="23"/>
    </row>
    <row r="149" spans="2:44">
      <c r="B149" s="5">
        <v>43281</v>
      </c>
      <c r="C149" s="2">
        <f t="shared" si="341"/>
        <v>4773.3508072103668</v>
      </c>
      <c r="D149" s="2">
        <f t="shared" si="341"/>
        <v>4454.9879999999994</v>
      </c>
      <c r="E149" s="2">
        <v>178.9</v>
      </c>
      <c r="F149" s="2">
        <f t="shared" si="342"/>
        <v>154.79999999999998</v>
      </c>
      <c r="G149" s="2">
        <v>177.2</v>
      </c>
      <c r="H149" s="2">
        <f t="shared" si="343"/>
        <v>155.30000000000001</v>
      </c>
      <c r="I149" s="12">
        <f t="shared" si="343"/>
        <v>0.75966287757712048</v>
      </c>
      <c r="J149" s="10">
        <f t="shared" si="353"/>
        <v>0.80812675169634751</v>
      </c>
      <c r="K149" s="10">
        <f t="shared" si="350"/>
        <v>0.22098846329677624</v>
      </c>
      <c r="L149" s="10">
        <f t="shared" si="350"/>
        <v>0.2062494444444444</v>
      </c>
      <c r="M149" s="10">
        <f t="shared" si="344"/>
        <v>0.98499999999999999</v>
      </c>
      <c r="N149" s="10">
        <f t="shared" si="344"/>
        <v>0.98603333333333332</v>
      </c>
      <c r="O149" s="10">
        <f t="shared" si="344"/>
        <v>0.98999999999999988</v>
      </c>
      <c r="P149" s="23">
        <f t="shared" si="344"/>
        <v>0.98753333333333337</v>
      </c>
      <c r="R149" s="81">
        <f t="shared" si="351"/>
        <v>-6.669587467350313E-2</v>
      </c>
      <c r="S149" s="10">
        <f t="shared" si="360"/>
        <v>-0.12358916478555293</v>
      </c>
      <c r="T149" s="10">
        <f t="shared" si="358"/>
        <v>1.0333333333333306E-3</v>
      </c>
      <c r="U149" s="10">
        <f t="shared" si="359"/>
        <v>-2.466666666666506E-3</v>
      </c>
      <c r="V149" s="23"/>
      <c r="X149" s="5">
        <v>43281</v>
      </c>
      <c r="Y149" s="2">
        <f t="shared" si="345"/>
        <v>4765.3187127213969</v>
      </c>
      <c r="Z149" s="2">
        <f t="shared" si="345"/>
        <v>4653.9389999999994</v>
      </c>
      <c r="AA149" s="2">
        <v>178.9</v>
      </c>
      <c r="AB149" s="2">
        <f t="shared" si="346"/>
        <v>157.65</v>
      </c>
      <c r="AC149" s="2">
        <v>177.2</v>
      </c>
      <c r="AD149" s="2">
        <f t="shared" si="347"/>
        <v>158.25</v>
      </c>
      <c r="AE149" s="11">
        <f t="shared" si="347"/>
        <v>0.7584502522568034</v>
      </c>
      <c r="AF149" s="11">
        <f t="shared" si="347"/>
        <v>0.82612931218629337</v>
      </c>
      <c r="AG149" s="10">
        <f t="shared" si="352"/>
        <v>0.2206357065490116</v>
      </c>
      <c r="AH149" s="10">
        <f t="shared" si="352"/>
        <v>0.21560291666666664</v>
      </c>
      <c r="AI149" s="11">
        <f t="shared" si="348"/>
        <v>0.98499999999999999</v>
      </c>
      <c r="AJ149" s="11">
        <f t="shared" si="348"/>
        <v>0.9894750000000001</v>
      </c>
      <c r="AK149" s="11">
        <f t="shared" si="348"/>
        <v>0.99</v>
      </c>
      <c r="AL149" s="17">
        <f t="shared" si="348"/>
        <v>0.99067500000000008</v>
      </c>
      <c r="AM149" s="95">
        <v>-4.5819370686914648E-2</v>
      </c>
      <c r="AN149" s="81">
        <f t="shared" si="349"/>
        <v>-2.3372982886550764E-2</v>
      </c>
      <c r="AO149" s="10">
        <f t="shared" si="354"/>
        <v>-0.10694130925507894</v>
      </c>
      <c r="AP149" s="10">
        <f t="shared" si="355"/>
        <v>4.4750000000001178E-3</v>
      </c>
      <c r="AQ149" s="10">
        <f t="shared" si="356"/>
        <v>6.7500000000009219E-4</v>
      </c>
      <c r="AR149" s="23"/>
    </row>
    <row r="150" spans="2:44">
      <c r="B150" s="5">
        <v>43312</v>
      </c>
      <c r="C150" s="2">
        <f t="shared" si="341"/>
        <v>4233.8232463897639</v>
      </c>
      <c r="D150" s="2">
        <f t="shared" si="341"/>
        <v>3652.26</v>
      </c>
      <c r="E150" s="2">
        <v>155.5</v>
      </c>
      <c r="F150" s="2">
        <f t="shared" si="342"/>
        <v>128.26333333333332</v>
      </c>
      <c r="G150" s="2">
        <v>154.6</v>
      </c>
      <c r="H150" s="2">
        <f t="shared" si="343"/>
        <v>126.16000000000001</v>
      </c>
      <c r="I150" s="12">
        <f t="shared" si="343"/>
        <v>0.77229727470009102</v>
      </c>
      <c r="J150" s="10">
        <f t="shared" si="353"/>
        <v>0.82109991292794982</v>
      </c>
      <c r="K150" s="10">
        <f t="shared" si="350"/>
        <v>0.18968742143323314</v>
      </c>
      <c r="L150" s="10">
        <f t="shared" si="350"/>
        <v>0.16363172043010751</v>
      </c>
      <c r="M150" s="10">
        <f t="shared" si="344"/>
        <v>0.98499999999999999</v>
      </c>
      <c r="N150" s="10">
        <f t="shared" si="344"/>
        <v>0.97936666666666661</v>
      </c>
      <c r="O150" s="10">
        <f t="shared" si="344"/>
        <v>0.98999999999999988</v>
      </c>
      <c r="P150" s="23">
        <f t="shared" si="344"/>
        <v>0.98790000000000011</v>
      </c>
      <c r="R150" s="81">
        <f t="shared" si="351"/>
        <v>-0.13736124834348484</v>
      </c>
      <c r="S150" s="10">
        <f t="shared" si="360"/>
        <v>-0.18395860284605425</v>
      </c>
      <c r="T150" s="10">
        <f t="shared" si="358"/>
        <v>-5.633333333333379E-3</v>
      </c>
      <c r="U150" s="10">
        <f t="shared" si="359"/>
        <v>-2.0999999999997687E-3</v>
      </c>
      <c r="V150" s="23"/>
      <c r="X150" s="5">
        <v>43312</v>
      </c>
      <c r="Y150" s="2">
        <f t="shared" si="345"/>
        <v>4217.9637519886182</v>
      </c>
      <c r="Z150" s="2">
        <f t="shared" si="345"/>
        <v>3806.8469999999998</v>
      </c>
      <c r="AA150" s="2">
        <v>155.5</v>
      </c>
      <c r="AB150" s="2">
        <f t="shared" si="346"/>
        <v>129.9325</v>
      </c>
      <c r="AC150" s="2">
        <v>154.6</v>
      </c>
      <c r="AD150" s="2">
        <f t="shared" si="347"/>
        <v>127.7</v>
      </c>
      <c r="AE150" s="11">
        <f t="shared" si="347"/>
        <v>0.7694673714033482</v>
      </c>
      <c r="AF150" s="11">
        <f t="shared" si="347"/>
        <v>0.84447613944336597</v>
      </c>
      <c r="AG150" s="10">
        <f t="shared" si="352"/>
        <v>0.1889923561043117</v>
      </c>
      <c r="AH150" s="10">
        <f t="shared" si="352"/>
        <v>0.17081068548387096</v>
      </c>
      <c r="AI150" s="11">
        <f t="shared" si="348"/>
        <v>0.98499999999999999</v>
      </c>
      <c r="AJ150" s="11">
        <f t="shared" si="348"/>
        <v>0.98204999999999998</v>
      </c>
      <c r="AK150" s="11">
        <f t="shared" si="348"/>
        <v>0.99</v>
      </c>
      <c r="AL150" s="17">
        <f t="shared" si="348"/>
        <v>0.99009999999999998</v>
      </c>
      <c r="AM150" s="95">
        <v>-6.6722563218189632E-2</v>
      </c>
      <c r="AN150" s="81">
        <f t="shared" si="349"/>
        <v>-9.7468061880520374E-2</v>
      </c>
      <c r="AO150" s="10">
        <f t="shared" si="354"/>
        <v>-0.17399741267787838</v>
      </c>
      <c r="AP150" s="10">
        <f t="shared" si="355"/>
        <v>-2.9500000000000082E-3</v>
      </c>
      <c r="AQ150" s="10">
        <f t="shared" si="356"/>
        <v>9.9999999999988987E-5</v>
      </c>
      <c r="AR150" s="23"/>
    </row>
    <row r="151" spans="2:44">
      <c r="B151" s="5">
        <v>43343</v>
      </c>
      <c r="C151" s="2">
        <f t="shared" si="341"/>
        <v>4021.8659903530979</v>
      </c>
      <c r="D151" s="2">
        <f t="shared" si="341"/>
        <v>3105.2219999999998</v>
      </c>
      <c r="E151" s="2">
        <v>145.4</v>
      </c>
      <c r="F151" s="2">
        <f t="shared" si="342"/>
        <v>111.42999999999999</v>
      </c>
      <c r="G151" s="2">
        <v>146.30000000000001</v>
      </c>
      <c r="H151" s="2">
        <f t="shared" si="343"/>
        <v>110.17999999999999</v>
      </c>
      <c r="I151" s="12">
        <f t="shared" si="343"/>
        <v>0.77525493289312697</v>
      </c>
      <c r="J151" s="10">
        <f t="shared" si="353"/>
        <v>0.80811319699376216</v>
      </c>
      <c r="K151" s="10">
        <f t="shared" si="350"/>
        <v>0.18019112860004918</v>
      </c>
      <c r="L151" s="10">
        <f t="shared" si="350"/>
        <v>0.13912284946236556</v>
      </c>
      <c r="M151" s="10">
        <f t="shared" si="344"/>
        <v>0.98499999999999999</v>
      </c>
      <c r="N151" s="10">
        <f t="shared" si="344"/>
        <v>0.96876666666666666</v>
      </c>
      <c r="O151" s="10">
        <f t="shared" si="344"/>
        <v>0.98999999999999988</v>
      </c>
      <c r="P151" s="23">
        <f t="shared" si="344"/>
        <v>0.99780000000000013</v>
      </c>
      <c r="R151" s="81">
        <f t="shared" si="351"/>
        <v>-0.22791510024246775</v>
      </c>
      <c r="S151" s="10">
        <f t="shared" si="360"/>
        <v>-0.24688995215311016</v>
      </c>
      <c r="T151" s="10">
        <f t="shared" si="358"/>
        <v>-1.6233333333333322E-2</v>
      </c>
      <c r="U151" s="10">
        <f t="shared" si="359"/>
        <v>7.8000000000002512E-3</v>
      </c>
      <c r="V151" s="23"/>
      <c r="X151" s="5">
        <v>43343</v>
      </c>
      <c r="Y151" s="2">
        <f t="shared" si="345"/>
        <v>4004.4713749298758</v>
      </c>
      <c r="Z151" s="2">
        <f t="shared" si="345"/>
        <v>3332.4089999999997</v>
      </c>
      <c r="AA151" s="2">
        <v>145.4</v>
      </c>
      <c r="AB151" s="2">
        <f t="shared" si="346"/>
        <v>113.48</v>
      </c>
      <c r="AC151" s="2">
        <v>146.30000000000001</v>
      </c>
      <c r="AD151" s="2">
        <f t="shared" si="347"/>
        <v>112.03</v>
      </c>
      <c r="AE151" s="11">
        <f t="shared" si="347"/>
        <v>0.77194930352420765</v>
      </c>
      <c r="AF151" s="11">
        <f t="shared" si="347"/>
        <v>0.84816718536724611</v>
      </c>
      <c r="AG151" s="10">
        <f t="shared" si="352"/>
        <v>0.17942280703065761</v>
      </c>
      <c r="AH151" s="10">
        <f t="shared" si="352"/>
        <v>0.14945282258064516</v>
      </c>
      <c r="AI151" s="11">
        <f t="shared" si="348"/>
        <v>0.98499999999999999</v>
      </c>
      <c r="AJ151" s="11">
        <f t="shared" si="348"/>
        <v>0.97517500000000001</v>
      </c>
      <c r="AK151" s="11">
        <f t="shared" si="348"/>
        <v>0.99</v>
      </c>
      <c r="AL151" s="17">
        <f t="shared" si="348"/>
        <v>0.99939999999999996</v>
      </c>
      <c r="AM151" s="101">
        <v>-0.1178411066018987</v>
      </c>
      <c r="AN151" s="81">
        <f t="shared" si="349"/>
        <v>-0.16782798826765122</v>
      </c>
      <c r="AO151" s="10">
        <f t="shared" si="354"/>
        <v>-0.23424470266575537</v>
      </c>
      <c r="AP151" s="10">
        <f t="shared" si="355"/>
        <v>-9.8249999999999726E-3</v>
      </c>
      <c r="AQ151" s="10">
        <f t="shared" si="356"/>
        <v>9.3999999999999639E-3</v>
      </c>
      <c r="AR151" s="23"/>
    </row>
    <row r="152" spans="2:44">
      <c r="B152" s="5">
        <v>43373</v>
      </c>
      <c r="C152" s="2">
        <f t="shared" ref="C152:D171" si="361">C538+C409+C280</f>
        <v>4003.514866600462</v>
      </c>
      <c r="D152" s="2">
        <f t="shared" si="361"/>
        <v>3330.846</v>
      </c>
      <c r="E152" s="2">
        <v>141.6</v>
      </c>
      <c r="F152" s="2">
        <f t="shared" si="342"/>
        <v>117.76333333333332</v>
      </c>
      <c r="G152" s="2">
        <v>145.5</v>
      </c>
      <c r="H152" s="2">
        <f t="shared" ref="H152:I171" si="362">AVERAGE(H538,H409,H280)</f>
        <v>118.72333333333334</v>
      </c>
      <c r="I152" s="12">
        <f t="shared" si="362"/>
        <v>0.77596069073530638</v>
      </c>
      <c r="J152" s="10">
        <f t="shared" si="353"/>
        <v>0.80028549231856116</v>
      </c>
      <c r="K152" s="10">
        <f t="shared" si="350"/>
        <v>0.18534791049076213</v>
      </c>
      <c r="L152" s="10">
        <f t="shared" si="350"/>
        <v>0.15420583333333335</v>
      </c>
      <c r="M152" s="10">
        <f t="shared" ref="M152:P171" si="363">AVERAGE(M538,M409,M280)</f>
        <v>0.98499999999999999</v>
      </c>
      <c r="N152" s="10">
        <f t="shared" si="363"/>
        <v>0.97380000000000011</v>
      </c>
      <c r="O152" s="10">
        <f t="shared" si="363"/>
        <v>0.98999999999999988</v>
      </c>
      <c r="P152" s="23">
        <f t="shared" si="363"/>
        <v>0.98529999999999995</v>
      </c>
      <c r="R152" s="81">
        <f t="shared" si="351"/>
        <v>-0.16801957505197196</v>
      </c>
      <c r="S152" s="10">
        <f t="shared" si="360"/>
        <v>-0.1840320733104237</v>
      </c>
      <c r="T152" s="10">
        <f t="shared" si="358"/>
        <v>-1.1199999999999877E-2</v>
      </c>
      <c r="U152" s="10">
        <f t="shared" si="359"/>
        <v>-4.6999999999999265E-3</v>
      </c>
      <c r="V152" s="23"/>
      <c r="X152" s="5">
        <v>43373</v>
      </c>
      <c r="Y152" s="2">
        <f t="shared" ref="Y152:Z171" si="364">Y667+Y280+Y409+Y538</f>
        <v>3991.076513137662</v>
      </c>
      <c r="Z152" s="2">
        <f t="shared" si="364"/>
        <v>3552.5669999999996</v>
      </c>
      <c r="AA152" s="2">
        <v>141.6</v>
      </c>
      <c r="AB152" s="2">
        <f t="shared" si="346"/>
        <v>120.05250000000001</v>
      </c>
      <c r="AC152" s="2">
        <v>145.5</v>
      </c>
      <c r="AD152" s="2">
        <f t="shared" ref="AD152:AF171" si="365">AVERAGE(AD667,AD280,AD409,AD538)</f>
        <v>122.5575</v>
      </c>
      <c r="AE152" s="11">
        <f t="shared" si="365"/>
        <v>0.77358851735851941</v>
      </c>
      <c r="AF152" s="11">
        <f t="shared" si="365"/>
        <v>0.83413859739141893</v>
      </c>
      <c r="AG152" s="10">
        <f t="shared" si="352"/>
        <v>0.18478128722754936</v>
      </c>
      <c r="AH152" s="10">
        <f t="shared" si="352"/>
        <v>0.16491624999999999</v>
      </c>
      <c r="AI152" s="11">
        <f t="shared" ref="AI152:AL171" si="366">AVERAGE(AI667,AI280,AI409,AI538)</f>
        <v>0.98499999999999999</v>
      </c>
      <c r="AJ152" s="11">
        <f t="shared" si="366"/>
        <v>0.96794999999999998</v>
      </c>
      <c r="AK152" s="11">
        <f t="shared" si="366"/>
        <v>0.99</v>
      </c>
      <c r="AL152" s="17">
        <f t="shared" si="366"/>
        <v>0.98180000000000001</v>
      </c>
      <c r="AN152" s="81">
        <f t="shared" si="349"/>
        <v>-0.10987248971403951</v>
      </c>
      <c r="AO152" s="10">
        <f t="shared" si="354"/>
        <v>-0.15768041237113395</v>
      </c>
      <c r="AP152" s="10">
        <f t="shared" si="355"/>
        <v>-1.705000000000001E-2</v>
      </c>
      <c r="AQ152" s="10">
        <f t="shared" si="356"/>
        <v>-8.1999999999999851E-3</v>
      </c>
      <c r="AR152" s="23"/>
    </row>
    <row r="153" spans="2:44">
      <c r="B153" s="5">
        <v>43404</v>
      </c>
      <c r="C153" s="2">
        <f t="shared" si="361"/>
        <v>4577.9097009947409</v>
      </c>
      <c r="D153" s="2">
        <f t="shared" si="361"/>
        <v>4389.1080000000002</v>
      </c>
      <c r="E153" s="2">
        <v>139.1</v>
      </c>
      <c r="F153" s="2">
        <f t="shared" si="342"/>
        <v>137.53666666666666</v>
      </c>
      <c r="G153" s="2">
        <v>172.2</v>
      </c>
      <c r="H153" s="2">
        <f t="shared" si="362"/>
        <v>161.82</v>
      </c>
      <c r="I153" s="12">
        <f t="shared" si="362"/>
        <v>0.74971352140979397</v>
      </c>
      <c r="J153" s="10">
        <f t="shared" si="353"/>
        <v>0.77423175697815338</v>
      </c>
      <c r="K153" s="10">
        <f t="shared" si="350"/>
        <v>0.20510348122736297</v>
      </c>
      <c r="L153" s="10">
        <f t="shared" si="350"/>
        <v>0.19664462365591398</v>
      </c>
      <c r="M153" s="10">
        <f t="shared" si="363"/>
        <v>0.98499999999999999</v>
      </c>
      <c r="N153" s="10">
        <f t="shared" si="363"/>
        <v>0.97309999999999997</v>
      </c>
      <c r="O153" s="10">
        <f t="shared" si="363"/>
        <v>0.98999999999999988</v>
      </c>
      <c r="P153" s="23">
        <f t="shared" si="363"/>
        <v>0.97460000000000002</v>
      </c>
      <c r="R153" s="81">
        <f t="shared" si="351"/>
        <v>-4.1241901506645195E-2</v>
      </c>
      <c r="S153" s="10">
        <f t="shared" si="360"/>
        <v>-6.027874564459923E-2</v>
      </c>
      <c r="T153" s="10">
        <f t="shared" si="358"/>
        <v>-1.1900000000000022E-2</v>
      </c>
      <c r="U153" s="10">
        <f t="shared" si="359"/>
        <v>-1.5399999999999858E-2</v>
      </c>
      <c r="V153" s="23"/>
      <c r="X153" s="5">
        <v>43404</v>
      </c>
      <c r="Y153" s="2">
        <f t="shared" si="364"/>
        <v>4573.937063051887</v>
      </c>
      <c r="Z153" s="2">
        <f t="shared" si="364"/>
        <v>4679.7840000000006</v>
      </c>
      <c r="AA153" s="2">
        <v>139.1</v>
      </c>
      <c r="AB153" s="2">
        <f t="shared" si="346"/>
        <v>137.02000000000001</v>
      </c>
      <c r="AC153" s="2">
        <v>172.2</v>
      </c>
      <c r="AD153" s="2">
        <f t="shared" si="365"/>
        <v>164.9975</v>
      </c>
      <c r="AE153" s="11">
        <f t="shared" si="365"/>
        <v>0.7491217758330686</v>
      </c>
      <c r="AF153" s="11">
        <f t="shared" si="365"/>
        <v>0.80829003820471601</v>
      </c>
      <c r="AG153" s="10">
        <f t="shared" si="352"/>
        <v>0.20494159395399611</v>
      </c>
      <c r="AH153" s="10">
        <f t="shared" si="352"/>
        <v>0.20992459677419353</v>
      </c>
      <c r="AI153" s="11">
        <f t="shared" si="366"/>
        <v>0.98499999999999999</v>
      </c>
      <c r="AJ153" s="11">
        <f t="shared" si="366"/>
        <v>0.97617500000000001</v>
      </c>
      <c r="AK153" s="11">
        <f t="shared" si="366"/>
        <v>0.99</v>
      </c>
      <c r="AL153" s="17">
        <f t="shared" si="366"/>
        <v>0.97660000000000002</v>
      </c>
      <c r="AN153" s="81">
        <f t="shared" si="349"/>
        <v>2.3141319062551569E-2</v>
      </c>
      <c r="AO153" s="10">
        <f t="shared" si="354"/>
        <v>-4.1826364692218232E-2</v>
      </c>
      <c r="AP153" s="10">
        <f t="shared" si="355"/>
        <v>-8.8249999999999718E-3</v>
      </c>
      <c r="AQ153" s="10">
        <f t="shared" si="356"/>
        <v>-1.3399999999999967E-2</v>
      </c>
      <c r="AR153" s="23"/>
    </row>
    <row r="154" spans="2:44">
      <c r="B154" s="5">
        <v>43434</v>
      </c>
      <c r="C154" s="2">
        <f t="shared" si="361"/>
        <v>4056.7337254056597</v>
      </c>
      <c r="D154" s="2">
        <f t="shared" si="361"/>
        <v>3424.86</v>
      </c>
      <c r="E154" s="2">
        <v>108.1</v>
      </c>
      <c r="F154" s="2">
        <f t="shared" si="342"/>
        <v>98.199999999999989</v>
      </c>
      <c r="G154" s="2">
        <v>152.1</v>
      </c>
      <c r="H154" s="2">
        <f t="shared" si="362"/>
        <v>132.1</v>
      </c>
      <c r="I154" s="12">
        <f t="shared" si="362"/>
        <v>0.75215709627272342</v>
      </c>
      <c r="J154" s="10">
        <f t="shared" si="353"/>
        <v>0.75082440650774773</v>
      </c>
      <c r="K154" s="10">
        <f t="shared" si="350"/>
        <v>0.18781174654655833</v>
      </c>
      <c r="L154" s="10">
        <f t="shared" si="350"/>
        <v>0.15855833333333336</v>
      </c>
      <c r="M154" s="10">
        <f t="shared" si="363"/>
        <v>0.98499999999999999</v>
      </c>
      <c r="N154" s="10">
        <f t="shared" si="363"/>
        <v>0.95916666666666661</v>
      </c>
      <c r="O154" s="10">
        <f t="shared" si="363"/>
        <v>0.98999999999999988</v>
      </c>
      <c r="P154" s="23">
        <f t="shared" si="363"/>
        <v>0.9998999999999999</v>
      </c>
      <c r="R154" s="81">
        <f t="shared" si="351"/>
        <v>-0.15575923099130062</v>
      </c>
      <c r="S154" s="10">
        <f t="shared" si="360"/>
        <v>-0.13149243918474685</v>
      </c>
      <c r="T154" s="10">
        <f t="shared" si="358"/>
        <v>-2.5833333333333375E-2</v>
      </c>
      <c r="U154" s="10">
        <f t="shared" si="359"/>
        <v>9.9000000000000199E-3</v>
      </c>
      <c r="V154" s="23"/>
      <c r="X154" s="5">
        <v>43434</v>
      </c>
      <c r="Y154" s="2">
        <f t="shared" si="364"/>
        <v>4048.5093212342522</v>
      </c>
      <c r="Z154" s="2">
        <f t="shared" si="364"/>
        <v>3710.0099999999998</v>
      </c>
      <c r="AA154" s="2">
        <v>108.1</v>
      </c>
      <c r="AB154" s="2">
        <f t="shared" si="346"/>
        <v>98.475000000000009</v>
      </c>
      <c r="AC154" s="2">
        <v>152.1</v>
      </c>
      <c r="AD154" s="2">
        <f t="shared" si="365"/>
        <v>134.39999999999998</v>
      </c>
      <c r="AE154" s="11">
        <f t="shared" si="365"/>
        <v>0.75067807826176158</v>
      </c>
      <c r="AF154" s="11">
        <f t="shared" si="365"/>
        <v>0.7746335924861214</v>
      </c>
      <c r="AG154" s="10">
        <f t="shared" si="352"/>
        <v>0.1874424394467662</v>
      </c>
      <c r="AH154" s="10">
        <f t="shared" si="352"/>
        <v>0.1721375</v>
      </c>
      <c r="AI154" s="11">
        <f t="shared" si="366"/>
        <v>0.98499999999999999</v>
      </c>
      <c r="AJ154" s="11">
        <f t="shared" si="366"/>
        <v>0.99214999999999987</v>
      </c>
      <c r="AK154" s="11">
        <f t="shared" si="366"/>
        <v>0.99</v>
      </c>
      <c r="AL154" s="17">
        <f t="shared" si="366"/>
        <v>0.99990000000000001</v>
      </c>
      <c r="AN154" s="81">
        <f t="shared" si="349"/>
        <v>-8.3610853866344925E-2</v>
      </c>
      <c r="AO154" s="10">
        <f t="shared" si="354"/>
        <v>-0.11637080867850114</v>
      </c>
      <c r="AP154" s="10">
        <f t="shared" si="355"/>
        <v>7.1499999999998787E-3</v>
      </c>
      <c r="AQ154" s="10">
        <f t="shared" si="356"/>
        <v>9.9000000000000199E-3</v>
      </c>
      <c r="AR154" s="23"/>
    </row>
    <row r="155" spans="2:44">
      <c r="B155" s="5">
        <v>43465</v>
      </c>
      <c r="C155" s="2">
        <f t="shared" si="361"/>
        <v>3408.9339345219487</v>
      </c>
      <c r="D155" s="2">
        <f t="shared" si="361"/>
        <v>3362.9039999999995</v>
      </c>
      <c r="E155" s="2">
        <v>89.9</v>
      </c>
      <c r="F155" s="2">
        <f t="shared" si="342"/>
        <v>85.973333333333343</v>
      </c>
      <c r="G155" s="2">
        <v>129.6</v>
      </c>
      <c r="H155" s="2">
        <f t="shared" si="362"/>
        <v>121.72666666666667</v>
      </c>
      <c r="I155" s="12">
        <f t="shared" si="362"/>
        <v>0.74177954261669132</v>
      </c>
      <c r="J155" s="10">
        <f t="shared" si="353"/>
        <v>0.78929644352730177</v>
      </c>
      <c r="K155" s="10">
        <f t="shared" ref="K155:L174" si="367">AVERAGE(K541,K412,K283)</f>
        <v>0.15273001498754249</v>
      </c>
      <c r="L155" s="10">
        <f t="shared" si="367"/>
        <v>0.15066774193548385</v>
      </c>
      <c r="M155" s="10">
        <f t="shared" si="363"/>
        <v>0.98499999999999999</v>
      </c>
      <c r="N155" s="10">
        <f t="shared" si="363"/>
        <v>0.97226666666666672</v>
      </c>
      <c r="O155" s="10">
        <f t="shared" si="363"/>
        <v>0.98999999999999988</v>
      </c>
      <c r="P155" s="23">
        <f t="shared" si="363"/>
        <v>1</v>
      </c>
      <c r="R155" s="81">
        <f t="shared" si="351"/>
        <v>-1.3502735871707139E-2</v>
      </c>
      <c r="S155" s="10">
        <f t="shared" si="360"/>
        <v>-6.0751028806584229E-2</v>
      </c>
      <c r="T155" s="10">
        <f t="shared" si="358"/>
        <v>-1.2733333333333263E-2</v>
      </c>
      <c r="U155" s="10">
        <f t="shared" si="359"/>
        <v>1.000000000000012E-2</v>
      </c>
      <c r="V155" s="23"/>
      <c r="X155" s="5">
        <v>43465</v>
      </c>
      <c r="Y155" s="2">
        <f t="shared" si="364"/>
        <v>3400.3716100124011</v>
      </c>
      <c r="Z155" s="2">
        <f t="shared" si="364"/>
        <v>3382.431</v>
      </c>
      <c r="AA155" s="2">
        <v>89.9</v>
      </c>
      <c r="AB155" s="2">
        <f t="shared" si="346"/>
        <v>86.722500000000011</v>
      </c>
      <c r="AC155" s="2">
        <v>129.6</v>
      </c>
      <c r="AD155" s="2">
        <f t="shared" si="365"/>
        <v>125.55</v>
      </c>
      <c r="AE155" s="11">
        <f t="shared" si="365"/>
        <v>0.73996978832589921</v>
      </c>
      <c r="AF155" s="11">
        <f t="shared" si="365"/>
        <v>0.78997695461001216</v>
      </c>
      <c r="AG155" s="10">
        <f t="shared" ref="AG155:AH174" si="368">AVERAGE(AG670,AG283,AG412,AG541)</f>
        <v>0.15235739241698545</v>
      </c>
      <c r="AH155" s="10">
        <f t="shared" si="368"/>
        <v>0.15190181451612902</v>
      </c>
      <c r="AI155" s="11">
        <f t="shared" si="366"/>
        <v>0.98499999999999999</v>
      </c>
      <c r="AJ155" s="11">
        <f t="shared" si="366"/>
        <v>0.94962500000000005</v>
      </c>
      <c r="AK155" s="11">
        <f t="shared" si="366"/>
        <v>0.99</v>
      </c>
      <c r="AL155" s="17">
        <f t="shared" si="366"/>
        <v>0.99829999999999997</v>
      </c>
      <c r="AN155" s="81">
        <f t="shared" si="349"/>
        <v>-5.2760733443294461E-3</v>
      </c>
      <c r="AO155" s="10">
        <f t="shared" si="354"/>
        <v>-3.125E-2</v>
      </c>
      <c r="AP155" s="10">
        <f t="shared" si="355"/>
        <v>-3.5374999999999934E-2</v>
      </c>
      <c r="AQ155" s="10">
        <f t="shared" si="356"/>
        <v>8.2999999999999741E-3</v>
      </c>
      <c r="AR155" s="23"/>
    </row>
    <row r="156" spans="2:44">
      <c r="B156" s="46">
        <v>43496</v>
      </c>
      <c r="C156" s="47">
        <f t="shared" si="361"/>
        <v>2878.7963367382772</v>
      </c>
      <c r="D156" s="47">
        <f t="shared" si="361"/>
        <v>3252</v>
      </c>
      <c r="E156" s="47">
        <v>79.599999999999994</v>
      </c>
      <c r="F156" s="47">
        <f t="shared" si="342"/>
        <v>86.593333333333348</v>
      </c>
      <c r="G156" s="47">
        <v>103.2</v>
      </c>
      <c r="H156" s="47">
        <f t="shared" si="362"/>
        <v>117.90333333333332</v>
      </c>
      <c r="I156" s="51">
        <f t="shared" si="362"/>
        <v>0.78666986295790131</v>
      </c>
      <c r="J156" s="49">
        <f t="shared" si="353"/>
        <v>0.78013082578474491</v>
      </c>
      <c r="K156" s="49">
        <f t="shared" si="367"/>
        <v>0.12897833049902677</v>
      </c>
      <c r="L156" s="49">
        <f t="shared" si="367"/>
        <v>0.14569892473118282</v>
      </c>
      <c r="M156" s="49">
        <f t="shared" si="363"/>
        <v>0.98499999999999999</v>
      </c>
      <c r="N156" s="49">
        <f t="shared" si="363"/>
        <v>0.98209999999999997</v>
      </c>
      <c r="O156" s="49">
        <f t="shared" si="363"/>
        <v>0.98999999999999988</v>
      </c>
      <c r="P156" s="52">
        <f t="shared" si="363"/>
        <v>0.98399999999999999</v>
      </c>
      <c r="Q156" s="93"/>
      <c r="R156" s="92">
        <f t="shared" si="351"/>
        <v>0.12963878635630355</v>
      </c>
      <c r="S156" s="49">
        <f t="shared" si="360"/>
        <v>0.1424741602067181</v>
      </c>
      <c r="T156" s="49">
        <f t="shared" si="358"/>
        <v>-2.9000000000000137E-3</v>
      </c>
      <c r="U156" s="49">
        <f t="shared" si="359"/>
        <v>-5.9999999999998943E-3</v>
      </c>
      <c r="V156" s="52"/>
      <c r="X156" s="46">
        <v>43496</v>
      </c>
      <c r="Y156" s="47">
        <f t="shared" si="364"/>
        <v>2861.6190058758257</v>
      </c>
      <c r="Z156" s="47">
        <f t="shared" si="364"/>
        <v>3371.7930000000001</v>
      </c>
      <c r="AA156" s="47">
        <v>79.599999999999994</v>
      </c>
      <c r="AB156" s="47">
        <f t="shared" si="346"/>
        <v>86.56750000000001</v>
      </c>
      <c r="AC156" s="47">
        <v>103.2</v>
      </c>
      <c r="AD156" s="47">
        <f t="shared" si="365"/>
        <v>119.815</v>
      </c>
      <c r="AE156" s="48">
        <f t="shared" si="365"/>
        <v>0.78203093064304896</v>
      </c>
      <c r="AF156" s="48">
        <f t="shared" si="365"/>
        <v>0.79826579686201338</v>
      </c>
      <c r="AG156" s="49">
        <f t="shared" si="368"/>
        <v>0.12821775509956002</v>
      </c>
      <c r="AH156" s="49">
        <f t="shared" si="368"/>
        <v>0.15146189516129033</v>
      </c>
      <c r="AI156" s="48">
        <f t="shared" si="366"/>
        <v>0.98499999999999999</v>
      </c>
      <c r="AJ156" s="48">
        <f t="shared" si="366"/>
        <v>0.98202500000000004</v>
      </c>
      <c r="AK156" s="48">
        <f t="shared" si="366"/>
        <v>0.99</v>
      </c>
      <c r="AL156" s="50">
        <f t="shared" si="366"/>
        <v>0.99409999999999998</v>
      </c>
      <c r="AM156" s="94"/>
      <c r="AN156" s="92">
        <f t="shared" si="349"/>
        <v>0.17828159271958377</v>
      </c>
      <c r="AO156" s="49">
        <f t="shared" si="354"/>
        <v>0.16099806201550382</v>
      </c>
      <c r="AP156" s="49">
        <f t="shared" si="355"/>
        <v>-2.9749999999999499E-3</v>
      </c>
      <c r="AQ156" s="49">
        <f t="shared" si="356"/>
        <v>4.0999999999999925E-3</v>
      </c>
      <c r="AR156" s="52"/>
    </row>
    <row r="157" spans="2:44">
      <c r="B157" s="5">
        <v>43524</v>
      </c>
      <c r="C157" s="2">
        <f t="shared" si="361"/>
        <v>3768.9479948013513</v>
      </c>
      <c r="D157" s="2">
        <f t="shared" si="361"/>
        <v>3035.3879999999999</v>
      </c>
      <c r="E157" s="2">
        <v>108.1</v>
      </c>
      <c r="F157" s="2">
        <f t="shared" si="342"/>
        <v>91.09333333333332</v>
      </c>
      <c r="G157" s="2">
        <v>137.5</v>
      </c>
      <c r="H157" s="2">
        <f t="shared" si="362"/>
        <v>109.76</v>
      </c>
      <c r="I157" s="12">
        <f t="shared" si="362"/>
        <v>0.77299861453137508</v>
      </c>
      <c r="J157" s="10">
        <f t="shared" si="353"/>
        <v>0.80973317168348746</v>
      </c>
      <c r="K157" s="10">
        <f t="shared" si="367"/>
        <v>0.18695178545641625</v>
      </c>
      <c r="L157" s="10">
        <f t="shared" si="367"/>
        <v>0.15056488095238094</v>
      </c>
      <c r="M157" s="10">
        <f t="shared" si="363"/>
        <v>0.98499999999999999</v>
      </c>
      <c r="N157" s="10">
        <f t="shared" si="363"/>
        <v>0.94869999999999999</v>
      </c>
      <c r="O157" s="10">
        <f t="shared" si="363"/>
        <v>0.98999999999999988</v>
      </c>
      <c r="P157" s="23">
        <f t="shared" si="363"/>
        <v>0.97789999999999999</v>
      </c>
      <c r="R157" s="81">
        <f t="shared" si="351"/>
        <v>-0.19463255948693847</v>
      </c>
      <c r="S157" s="10">
        <f t="shared" si="360"/>
        <v>-0.20174545454545456</v>
      </c>
      <c r="T157" s="10">
        <f t="shared" si="358"/>
        <v>-3.6299999999999999E-2</v>
      </c>
      <c r="U157" s="10">
        <f t="shared" si="359"/>
        <v>-1.2099999999999889E-2</v>
      </c>
      <c r="V157" s="23"/>
      <c r="X157" s="5">
        <v>43524</v>
      </c>
      <c r="Y157" s="2">
        <f t="shared" si="364"/>
        <v>3756.8705398536372</v>
      </c>
      <c r="Z157" s="2">
        <f t="shared" si="364"/>
        <v>3052.6080000000002</v>
      </c>
      <c r="AA157" s="2">
        <v>108.1</v>
      </c>
      <c r="AB157" s="2">
        <f t="shared" si="346"/>
        <v>87.71</v>
      </c>
      <c r="AC157" s="2">
        <v>137.5</v>
      </c>
      <c r="AD157" s="2">
        <f t="shared" si="365"/>
        <v>107.45</v>
      </c>
      <c r="AE157" s="11">
        <f t="shared" si="365"/>
        <v>0.77058863319638482</v>
      </c>
      <c r="AF157" s="11">
        <f t="shared" si="365"/>
        <v>0.84462747909394853</v>
      </c>
      <c r="AG157" s="10">
        <f t="shared" si="368"/>
        <v>0.18636892501524172</v>
      </c>
      <c r="AH157" s="10">
        <f t="shared" si="368"/>
        <v>0.15148303571428573</v>
      </c>
      <c r="AI157" s="11">
        <f t="shared" si="366"/>
        <v>0.98499999999999999</v>
      </c>
      <c r="AJ157" s="11">
        <f t="shared" si="366"/>
        <v>0.93479999999999996</v>
      </c>
      <c r="AK157" s="11">
        <f t="shared" si="366"/>
        <v>0.99</v>
      </c>
      <c r="AL157" s="17">
        <f t="shared" si="366"/>
        <v>0.96640000000000004</v>
      </c>
      <c r="AN157" s="81">
        <f t="shared" si="349"/>
        <v>-0.18745989045474909</v>
      </c>
      <c r="AO157" s="10">
        <f t="shared" si="354"/>
        <v>-0.21854545454545449</v>
      </c>
      <c r="AP157" s="10">
        <f t="shared" si="355"/>
        <v>-5.0200000000000022E-2</v>
      </c>
      <c r="AQ157" s="10">
        <f t="shared" si="356"/>
        <v>-2.3599999999999954E-2</v>
      </c>
      <c r="AR157" s="23"/>
    </row>
    <row r="158" spans="2:44">
      <c r="B158" s="5">
        <v>43555</v>
      </c>
      <c r="C158" s="2">
        <f t="shared" si="361"/>
        <v>5042.5495978762119</v>
      </c>
      <c r="D158" s="2">
        <f t="shared" si="361"/>
        <v>4890.0599999999995</v>
      </c>
      <c r="E158" s="2">
        <v>161.4</v>
      </c>
      <c r="F158" s="2">
        <f t="shared" si="342"/>
        <v>155.27666666666667</v>
      </c>
      <c r="G158" s="2">
        <v>187.8</v>
      </c>
      <c r="H158" s="2">
        <f t="shared" si="362"/>
        <v>177.08333333333334</v>
      </c>
      <c r="I158" s="12">
        <f t="shared" si="362"/>
        <v>0.75720916064302168</v>
      </c>
      <c r="J158" s="10">
        <f t="shared" si="353"/>
        <v>0.77216342812963712</v>
      </c>
      <c r="K158" s="10">
        <f t="shared" si="367"/>
        <v>0.22592068090843243</v>
      </c>
      <c r="L158" s="10">
        <f t="shared" si="367"/>
        <v>0.21908870967741936</v>
      </c>
      <c r="M158" s="10">
        <f t="shared" si="363"/>
        <v>0.98499999999999999</v>
      </c>
      <c r="N158" s="10">
        <f t="shared" si="363"/>
        <v>0.99339999999999995</v>
      </c>
      <c r="O158" s="10">
        <f t="shared" si="363"/>
        <v>0.98999999999999988</v>
      </c>
      <c r="P158" s="23">
        <f t="shared" si="363"/>
        <v>0.99509999999999998</v>
      </c>
      <c r="R158" s="81">
        <f t="shared" ref="R158:R163" si="369">D158/C158-1</f>
        <v>-3.0240574716495994E-2</v>
      </c>
      <c r="S158" s="10">
        <f t="shared" si="360"/>
        <v>-5.7064252751153677E-2</v>
      </c>
      <c r="T158" s="10">
        <f t="shared" si="358"/>
        <v>8.3999999999999631E-3</v>
      </c>
      <c r="U158" s="10">
        <f t="shared" si="359"/>
        <v>5.1000000000001044E-3</v>
      </c>
      <c r="V158" s="23"/>
      <c r="X158" s="5">
        <v>43555</v>
      </c>
      <c r="Y158" s="2">
        <f t="shared" si="364"/>
        <v>5038.5399196096359</v>
      </c>
      <c r="Z158" s="2">
        <f t="shared" si="364"/>
        <v>5081.2950000000001</v>
      </c>
      <c r="AA158" s="2">
        <v>161.4</v>
      </c>
      <c r="AB158" s="2">
        <f t="shared" si="346"/>
        <v>155.035</v>
      </c>
      <c r="AC158" s="2">
        <v>187.8</v>
      </c>
      <c r="AD158" s="2">
        <f t="shared" si="365"/>
        <v>179.38249999999999</v>
      </c>
      <c r="AE158" s="11">
        <f t="shared" si="365"/>
        <v>0.75666355159316145</v>
      </c>
      <c r="AF158" s="11">
        <f t="shared" si="365"/>
        <v>0.79863400955897434</v>
      </c>
      <c r="AG158" s="10">
        <f t="shared" si="368"/>
        <v>0.22575789316831901</v>
      </c>
      <c r="AH158" s="10">
        <f t="shared" si="368"/>
        <v>0.22809314516129034</v>
      </c>
      <c r="AI158" s="11">
        <f t="shared" si="366"/>
        <v>0.98499999999999999</v>
      </c>
      <c r="AJ158" s="11">
        <f t="shared" si="366"/>
        <v>0.98717499999999991</v>
      </c>
      <c r="AK158" s="11">
        <f t="shared" si="366"/>
        <v>0.99</v>
      </c>
      <c r="AL158" s="17">
        <f t="shared" si="366"/>
        <v>0.99419999999999997</v>
      </c>
      <c r="AN158" s="81">
        <f t="shared" si="349"/>
        <v>8.4856091392595534E-3</v>
      </c>
      <c r="AO158" s="10">
        <f t="shared" si="354"/>
        <v>-4.4821618743344116E-2</v>
      </c>
      <c r="AP158" s="10">
        <f t="shared" si="355"/>
        <v>2.174999999999927E-3</v>
      </c>
      <c r="AQ158" s="10">
        <f t="shared" si="356"/>
        <v>4.1999999999999815E-3</v>
      </c>
      <c r="AR158" s="23"/>
    </row>
    <row r="159" spans="2:44">
      <c r="B159" s="25">
        <v>43585</v>
      </c>
      <c r="C159" s="26">
        <f t="shared" si="361"/>
        <v>5212.3629153671136</v>
      </c>
      <c r="D159" s="26">
        <f t="shared" si="361"/>
        <v>4699.1040000000003</v>
      </c>
      <c r="E159" s="26">
        <v>190.2</v>
      </c>
      <c r="F159" s="26">
        <f t="shared" si="342"/>
        <v>175.6</v>
      </c>
      <c r="G159" s="26">
        <v>194</v>
      </c>
      <c r="H159" s="26">
        <f t="shared" si="362"/>
        <v>179</v>
      </c>
      <c r="I159" s="31">
        <f t="shared" si="362"/>
        <v>0.75769458768223152</v>
      </c>
      <c r="J159" s="29">
        <f t="shared" si="353"/>
        <v>0.73896865273378243</v>
      </c>
      <c r="K159" s="29">
        <f t="shared" si="367"/>
        <v>0.24131309793366271</v>
      </c>
      <c r="L159" s="29">
        <f t="shared" si="367"/>
        <v>0.21755111111111111</v>
      </c>
      <c r="M159" s="29">
        <f t="shared" si="363"/>
        <v>0.98499999999999999</v>
      </c>
      <c r="N159" s="29">
        <f t="shared" si="363"/>
        <v>0.98680000000000001</v>
      </c>
      <c r="O159" s="29">
        <f t="shared" si="363"/>
        <v>0.98999999999999988</v>
      </c>
      <c r="P159" s="32">
        <f t="shared" si="363"/>
        <v>0.99239999999999995</v>
      </c>
      <c r="Q159" s="96">
        <f>R159-S159</f>
        <v>-2.1149940241866338E-2</v>
      </c>
      <c r="R159" s="87">
        <f t="shared" si="369"/>
        <v>-9.8469527870732265E-2</v>
      </c>
      <c r="S159" s="29">
        <f t="shared" ref="S159" si="370">H159/G159-1</f>
        <v>-7.7319587628865927E-2</v>
      </c>
      <c r="T159" s="29">
        <f t="shared" ref="T159" si="371">N159-M159</f>
        <v>1.8000000000000238E-3</v>
      </c>
      <c r="U159" s="29">
        <f t="shared" ref="U159" si="372">P159-O159</f>
        <v>2.4000000000000687E-3</v>
      </c>
      <c r="V159" s="32"/>
      <c r="X159" s="25">
        <v>43585</v>
      </c>
      <c r="Y159" s="26">
        <f t="shared" si="364"/>
        <v>5212.5330023159768</v>
      </c>
      <c r="Z159" s="26">
        <f t="shared" si="364"/>
        <v>4930.692</v>
      </c>
      <c r="AA159" s="26">
        <v>190.2</v>
      </c>
      <c r="AB159" s="26">
        <f t="shared" si="346"/>
        <v>173.32499999999999</v>
      </c>
      <c r="AC159" s="26">
        <v>194</v>
      </c>
      <c r="AD159" s="26">
        <f t="shared" si="365"/>
        <v>180.75</v>
      </c>
      <c r="AE159" s="28">
        <f t="shared" si="365"/>
        <v>0.75778161470619854</v>
      </c>
      <c r="AF159" s="28">
        <f t="shared" si="365"/>
        <v>0.76459067481312459</v>
      </c>
      <c r="AG159" s="29">
        <f t="shared" si="368"/>
        <v>0.24134081459034581</v>
      </c>
      <c r="AH159" s="29">
        <f t="shared" si="368"/>
        <v>0.22849791666666669</v>
      </c>
      <c r="AI159" s="28">
        <f t="shared" si="366"/>
        <v>0.98499999999999999</v>
      </c>
      <c r="AJ159" s="28">
        <f t="shared" si="366"/>
        <v>0.99204999999999988</v>
      </c>
      <c r="AK159" s="28">
        <f t="shared" si="366"/>
        <v>0.99</v>
      </c>
      <c r="AL159" s="30">
        <f t="shared" si="366"/>
        <v>0.99560000000000004</v>
      </c>
      <c r="AM159" s="95">
        <f>AN159-AO159</f>
        <v>1.4229095137409553E-2</v>
      </c>
      <c r="AN159" s="87">
        <f t="shared" si="349"/>
        <v>-5.4069873934755375E-2</v>
      </c>
      <c r="AO159" s="29">
        <f t="shared" si="354"/>
        <v>-6.8298969072164928E-2</v>
      </c>
      <c r="AP159" s="29">
        <f t="shared" si="355"/>
        <v>7.0499999999998897E-3</v>
      </c>
      <c r="AQ159" s="29">
        <f t="shared" si="356"/>
        <v>5.6000000000000494E-3</v>
      </c>
      <c r="AR159" s="32"/>
    </row>
    <row r="160" spans="2:44">
      <c r="B160" s="5">
        <v>43616</v>
      </c>
      <c r="C160" s="2">
        <f t="shared" si="361"/>
        <v>5280.8361198335042</v>
      </c>
      <c r="D160" s="2">
        <f t="shared" si="361"/>
        <v>4654.3919999999998</v>
      </c>
      <c r="E160" s="2">
        <v>197</v>
      </c>
      <c r="F160" s="2">
        <f t="shared" si="342"/>
        <v>193.88</v>
      </c>
      <c r="G160" s="2">
        <v>197.7</v>
      </c>
      <c r="H160" s="2">
        <f t="shared" si="362"/>
        <v>193.66333333333333</v>
      </c>
      <c r="I160" s="12">
        <f t="shared" si="362"/>
        <v>0.75328147923247979</v>
      </c>
      <c r="J160" s="10">
        <f t="shared" si="353"/>
        <v>0.69597575604088113</v>
      </c>
      <c r="K160" s="10">
        <f t="shared" si="367"/>
        <v>0.23659660035096344</v>
      </c>
      <c r="L160" s="10">
        <f t="shared" si="367"/>
        <v>0.20853010752688173</v>
      </c>
      <c r="M160" s="10">
        <f t="shared" si="363"/>
        <v>0.98499999999999999</v>
      </c>
      <c r="N160" s="10">
        <f t="shared" si="363"/>
        <v>0.95920000000000005</v>
      </c>
      <c r="O160" s="10">
        <f t="shared" si="363"/>
        <v>0.98999999999999988</v>
      </c>
      <c r="P160" s="23">
        <f t="shared" si="363"/>
        <v>0.98570000000000002</v>
      </c>
      <c r="R160" s="81">
        <f t="shared" si="369"/>
        <v>-0.11862593453349868</v>
      </c>
      <c r="S160" s="10">
        <f t="shared" ref="S160:S163" si="373">H160/G160-1</f>
        <v>-2.0418141965941605E-2</v>
      </c>
      <c r="T160" s="10">
        <f t="shared" ref="T160:T166" si="374">N160-M160</f>
        <v>-2.5799999999999934E-2</v>
      </c>
      <c r="U160" s="10">
        <f t="shared" ref="U160:U166" si="375">P160-O160</f>
        <v>-4.2999999999998595E-3</v>
      </c>
      <c r="V160" s="23"/>
      <c r="X160" s="5">
        <v>43616</v>
      </c>
      <c r="Y160" s="2">
        <f t="shared" si="364"/>
        <v>5281.3634084068271</v>
      </c>
      <c r="Z160" s="2">
        <f t="shared" si="364"/>
        <v>4982.1779999999999</v>
      </c>
      <c r="AA160" s="2">
        <v>197</v>
      </c>
      <c r="AB160" s="2">
        <f t="shared" si="346"/>
        <v>192.44749999999999</v>
      </c>
      <c r="AC160" s="2">
        <v>197.7</v>
      </c>
      <c r="AD160" s="2">
        <f t="shared" si="365"/>
        <v>194.64500000000001</v>
      </c>
      <c r="AE160" s="11">
        <f t="shared" si="365"/>
        <v>0.75341169705569344</v>
      </c>
      <c r="AF160" s="11">
        <f t="shared" si="365"/>
        <v>0.73671739625375998</v>
      </c>
      <c r="AG160" s="10">
        <f t="shared" si="368"/>
        <v>0.23663750019401925</v>
      </c>
      <c r="AH160" s="10">
        <f t="shared" si="368"/>
        <v>0.22423326612903224</v>
      </c>
      <c r="AI160" s="11">
        <f t="shared" si="366"/>
        <v>0.98499999999999999</v>
      </c>
      <c r="AJ160" s="11">
        <f t="shared" si="366"/>
        <v>0.96950000000000003</v>
      </c>
      <c r="AK160" s="11">
        <f t="shared" si="366"/>
        <v>0.99</v>
      </c>
      <c r="AL160" s="17">
        <f t="shared" si="366"/>
        <v>0.9859</v>
      </c>
      <c r="AN160" s="81">
        <f t="shared" si="349"/>
        <v>-5.6649275058517357E-2</v>
      </c>
      <c r="AO160" s="10">
        <f t="shared" si="354"/>
        <v>-1.5452706120384296E-2</v>
      </c>
      <c r="AP160" s="10">
        <f t="shared" si="355"/>
        <v>-1.5499999999999958E-2</v>
      </c>
      <c r="AQ160" s="10">
        <f t="shared" si="356"/>
        <v>-4.0999999999999925E-3</v>
      </c>
      <c r="AR160" s="23"/>
    </row>
    <row r="161" spans="2:44">
      <c r="B161" s="5">
        <v>43646</v>
      </c>
      <c r="C161" s="2">
        <f t="shared" si="361"/>
        <v>4749.4840531743148</v>
      </c>
      <c r="D161" s="2">
        <f t="shared" si="361"/>
        <v>4837.6499999999996</v>
      </c>
      <c r="E161" s="2">
        <v>178.9</v>
      </c>
      <c r="F161" s="2">
        <f t="shared" si="342"/>
        <v>191.29999999999998</v>
      </c>
      <c r="G161" s="2">
        <v>177.2</v>
      </c>
      <c r="H161" s="2">
        <f t="shared" si="362"/>
        <v>187</v>
      </c>
      <c r="I161" s="12">
        <f t="shared" si="362"/>
        <v>0.75586456318923478</v>
      </c>
      <c r="J161" s="10">
        <f t="shared" si="353"/>
        <v>0.72156420889984341</v>
      </c>
      <c r="K161" s="10">
        <f t="shared" si="367"/>
        <v>0.21988352098029237</v>
      </c>
      <c r="L161" s="10">
        <f t="shared" si="367"/>
        <v>0.22396527777777778</v>
      </c>
      <c r="M161" s="10">
        <f t="shared" si="363"/>
        <v>0.98499999999999999</v>
      </c>
      <c r="N161" s="10">
        <f t="shared" si="363"/>
        <v>0.99580000000000002</v>
      </c>
      <c r="O161" s="10">
        <f t="shared" si="363"/>
        <v>0.98999999999999988</v>
      </c>
      <c r="P161" s="23">
        <f t="shared" si="363"/>
        <v>0.99809999999999999</v>
      </c>
      <c r="R161" s="81">
        <f t="shared" si="369"/>
        <v>1.8563268312641101E-2</v>
      </c>
      <c r="S161" s="10">
        <f t="shared" si="373"/>
        <v>5.5304740406320718E-2</v>
      </c>
      <c r="T161" s="10">
        <f t="shared" si="374"/>
        <v>1.0800000000000032E-2</v>
      </c>
      <c r="U161" s="10">
        <f t="shared" si="375"/>
        <v>8.1000000000001071E-3</v>
      </c>
      <c r="V161" s="23"/>
      <c r="X161" s="5">
        <v>43646</v>
      </c>
      <c r="Y161" s="2">
        <f t="shared" si="364"/>
        <v>4741.4921191577905</v>
      </c>
      <c r="Z161" s="2">
        <f t="shared" si="364"/>
        <v>4882.8300000000008</v>
      </c>
      <c r="AA161" s="2">
        <v>178.9</v>
      </c>
      <c r="AB161" s="2">
        <f t="shared" si="346"/>
        <v>188.39999999999998</v>
      </c>
      <c r="AC161" s="2">
        <v>177.2</v>
      </c>
      <c r="AD161" s="2">
        <f t="shared" si="365"/>
        <v>187.35000000000002</v>
      </c>
      <c r="AE161" s="11">
        <f t="shared" si="365"/>
        <v>0.75465800099551938</v>
      </c>
      <c r="AF161" s="11">
        <f t="shared" si="365"/>
        <v>0.72789628953788599</v>
      </c>
      <c r="AG161" s="10">
        <f t="shared" si="368"/>
        <v>0.21953252801626655</v>
      </c>
      <c r="AH161" s="10">
        <f t="shared" si="368"/>
        <v>0.22660125000000003</v>
      </c>
      <c r="AI161" s="11">
        <f t="shared" si="366"/>
        <v>0.98499999999999999</v>
      </c>
      <c r="AJ161" s="11">
        <f t="shared" si="366"/>
        <v>0.99702500000000005</v>
      </c>
      <c r="AK161" s="11">
        <f t="shared" si="366"/>
        <v>0.99</v>
      </c>
      <c r="AL161" s="17">
        <f t="shared" si="366"/>
        <v>0.99909999999999999</v>
      </c>
      <c r="AN161" s="81">
        <f t="shared" si="349"/>
        <v>2.9808734737982734E-2</v>
      </c>
      <c r="AO161" s="10">
        <f t="shared" si="354"/>
        <v>5.7279909706546395E-2</v>
      </c>
      <c r="AP161" s="10">
        <f t="shared" si="355"/>
        <v>1.2025000000000063E-2</v>
      </c>
      <c r="AQ161" s="10">
        <f t="shared" si="356"/>
        <v>9.099999999999997E-3</v>
      </c>
      <c r="AR161" s="23"/>
    </row>
    <row r="162" spans="2:44">
      <c r="B162" s="5">
        <v>43677</v>
      </c>
      <c r="C162" s="2">
        <f t="shared" si="361"/>
        <v>4212.6541301578145</v>
      </c>
      <c r="D162" s="2">
        <f t="shared" si="361"/>
        <v>3678.7079999999996</v>
      </c>
      <c r="E162" s="2">
        <v>155.5</v>
      </c>
      <c r="F162" s="2">
        <f t="shared" si="342"/>
        <v>142.88333333333333</v>
      </c>
      <c r="G162" s="2">
        <v>154.6</v>
      </c>
      <c r="H162" s="2">
        <f t="shared" si="362"/>
        <v>140.64333333333335</v>
      </c>
      <c r="I162" s="12">
        <f t="shared" si="362"/>
        <v>0.76843578832659043</v>
      </c>
      <c r="J162" s="10">
        <f t="shared" si="353"/>
        <v>0.75897910452970763</v>
      </c>
      <c r="K162" s="10">
        <f t="shared" si="367"/>
        <v>0.18873898432606695</v>
      </c>
      <c r="L162" s="10">
        <f t="shared" si="367"/>
        <v>0.16481666666666664</v>
      </c>
      <c r="M162" s="10">
        <f t="shared" si="363"/>
        <v>0.98499999999999999</v>
      </c>
      <c r="N162" s="10">
        <f t="shared" si="363"/>
        <v>0.95710000000000006</v>
      </c>
      <c r="O162" s="10">
        <f t="shared" si="363"/>
        <v>0.98999999999999988</v>
      </c>
      <c r="P162" s="23">
        <f t="shared" si="363"/>
        <v>0.98199999999999987</v>
      </c>
      <c r="R162" s="81">
        <f t="shared" si="369"/>
        <v>-0.12674815298397457</v>
      </c>
      <c r="S162" s="10">
        <f t="shared" si="373"/>
        <v>-9.0275981026304297E-2</v>
      </c>
      <c r="T162" s="10">
        <f t="shared" si="374"/>
        <v>-2.7899999999999925E-2</v>
      </c>
      <c r="U162" s="10">
        <f t="shared" si="375"/>
        <v>-8.0000000000000071E-3</v>
      </c>
      <c r="V162" s="23"/>
      <c r="X162" s="5">
        <v>43677</v>
      </c>
      <c r="Y162" s="2">
        <f t="shared" si="364"/>
        <v>4196.873933228675</v>
      </c>
      <c r="Z162" s="2">
        <f t="shared" si="364"/>
        <v>3742.8420000000001</v>
      </c>
      <c r="AA162" s="2">
        <v>155.5</v>
      </c>
      <c r="AB162" s="2">
        <f t="shared" si="346"/>
        <v>142.52250000000001</v>
      </c>
      <c r="AC162" s="2">
        <v>154.6</v>
      </c>
      <c r="AD162" s="2">
        <f t="shared" si="365"/>
        <v>140.89499999999998</v>
      </c>
      <c r="AE162" s="11">
        <f t="shared" si="365"/>
        <v>0.76562003454633143</v>
      </c>
      <c r="AF162" s="11">
        <f t="shared" si="365"/>
        <v>0.78680386261248425</v>
      </c>
      <c r="AG162" s="10">
        <f t="shared" si="368"/>
        <v>0.18804739432379014</v>
      </c>
      <c r="AH162" s="10">
        <f t="shared" si="368"/>
        <v>0.16826532258064517</v>
      </c>
      <c r="AI162" s="11">
        <f t="shared" si="366"/>
        <v>0.98499999999999999</v>
      </c>
      <c r="AJ162" s="11">
        <f t="shared" si="366"/>
        <v>0.94104999999999994</v>
      </c>
      <c r="AK162" s="11">
        <f t="shared" si="366"/>
        <v>0.99</v>
      </c>
      <c r="AL162" s="17">
        <f t="shared" si="366"/>
        <v>0.98119999999999996</v>
      </c>
      <c r="AN162" s="81">
        <f t="shared" si="349"/>
        <v>-0.10818336229589487</v>
      </c>
      <c r="AO162" s="10">
        <f t="shared" si="354"/>
        <v>-8.8648124191461952E-2</v>
      </c>
      <c r="AP162" s="10">
        <f t="shared" si="355"/>
        <v>-4.3950000000000045E-2</v>
      </c>
      <c r="AQ162" s="10">
        <f t="shared" si="356"/>
        <v>-8.80000000000003E-3</v>
      </c>
      <c r="AR162" s="23"/>
    </row>
    <row r="163" spans="2:44">
      <c r="B163" s="5">
        <v>43708</v>
      </c>
      <c r="C163" s="2">
        <f t="shared" si="361"/>
        <v>4001.7566604013327</v>
      </c>
      <c r="D163" s="2">
        <f t="shared" si="361"/>
        <v>3554.8560000000002</v>
      </c>
      <c r="E163" s="2">
        <v>145.4</v>
      </c>
      <c r="F163" s="2">
        <f t="shared" si="342"/>
        <v>140.66666666666666</v>
      </c>
      <c r="G163" s="2">
        <v>146.30000000000001</v>
      </c>
      <c r="H163" s="2">
        <f t="shared" si="362"/>
        <v>142</v>
      </c>
      <c r="I163" s="12">
        <f t="shared" si="362"/>
        <v>0.77137865822866125</v>
      </c>
      <c r="J163" s="10">
        <f t="shared" si="353"/>
        <v>0.72852993058860527</v>
      </c>
      <c r="K163" s="10">
        <f t="shared" si="367"/>
        <v>0.17929017295704897</v>
      </c>
      <c r="L163" s="10">
        <f t="shared" si="367"/>
        <v>0.1592677419354839</v>
      </c>
      <c r="M163" s="10">
        <f t="shared" si="363"/>
        <v>0.98499999999999999</v>
      </c>
      <c r="N163" s="10">
        <f t="shared" si="363"/>
        <v>0.95443333333333324</v>
      </c>
      <c r="O163" s="10">
        <f t="shared" si="363"/>
        <v>0.98999999999999988</v>
      </c>
      <c r="P163" s="23">
        <f t="shared" si="363"/>
        <v>0.98006666666666664</v>
      </c>
      <c r="R163" s="81">
        <f t="shared" si="369"/>
        <v>-0.11167612084551715</v>
      </c>
      <c r="S163" s="10">
        <f t="shared" si="373"/>
        <v>-2.9391660970608413E-2</v>
      </c>
      <c r="T163" s="10">
        <f t="shared" si="374"/>
        <v>-3.0566666666666742E-2</v>
      </c>
      <c r="U163" s="10">
        <f t="shared" si="375"/>
        <v>-9.9333333333332385E-3</v>
      </c>
      <c r="V163" s="23"/>
      <c r="X163" s="5">
        <v>43708</v>
      </c>
      <c r="Y163" s="2">
        <f t="shared" si="364"/>
        <v>3984.4490180552266</v>
      </c>
      <c r="Z163" s="2">
        <f t="shared" si="364"/>
        <v>3694.1070000000004</v>
      </c>
      <c r="AA163" s="2">
        <v>145.4</v>
      </c>
      <c r="AB163" s="2">
        <f t="shared" si="346"/>
        <v>138.75</v>
      </c>
      <c r="AC163" s="2">
        <v>146.30000000000001</v>
      </c>
      <c r="AD163" s="2">
        <f t="shared" si="365"/>
        <v>141</v>
      </c>
      <c r="AE163" s="11">
        <f t="shared" si="365"/>
        <v>0.76808955700658654</v>
      </c>
      <c r="AF163" s="11">
        <f t="shared" si="365"/>
        <v>0.78017448145533097</v>
      </c>
      <c r="AG163" s="10">
        <f t="shared" si="368"/>
        <v>0.17852569299550433</v>
      </c>
      <c r="AH163" s="10">
        <f t="shared" si="368"/>
        <v>0.16671108870967744</v>
      </c>
      <c r="AI163" s="11">
        <f t="shared" si="366"/>
        <v>0.98499999999999999</v>
      </c>
      <c r="AJ163" s="11">
        <f t="shared" si="366"/>
        <v>0.93955</v>
      </c>
      <c r="AK163" s="11">
        <f t="shared" si="366"/>
        <v>0.99</v>
      </c>
      <c r="AL163" s="17">
        <f t="shared" si="366"/>
        <v>0.98119999999999996</v>
      </c>
      <c r="AN163" s="81">
        <f t="shared" si="349"/>
        <v>-7.2868799861552591E-2</v>
      </c>
      <c r="AO163" s="10">
        <f t="shared" si="354"/>
        <v>-3.6226930963773163E-2</v>
      </c>
      <c r="AP163" s="10">
        <f t="shared" si="355"/>
        <v>-4.544999999999999E-2</v>
      </c>
      <c r="AQ163" s="10">
        <f t="shared" si="356"/>
        <v>-8.80000000000003E-3</v>
      </c>
      <c r="AR163" s="23"/>
    </row>
    <row r="164" spans="2:44">
      <c r="B164" s="5">
        <v>43738</v>
      </c>
      <c r="C164" s="2">
        <f t="shared" si="361"/>
        <v>3983.4972922674588</v>
      </c>
      <c r="D164" s="2">
        <f t="shared" si="361"/>
        <v>3811.2780000000002</v>
      </c>
      <c r="E164" s="2">
        <v>141.6</v>
      </c>
      <c r="F164" s="2">
        <f t="shared" ref="F164:F195" si="376">AVERAGE(F550,F421,F292)</f>
        <v>141.66666666666666</v>
      </c>
      <c r="G164" s="2">
        <v>145.5</v>
      </c>
      <c r="H164" s="2">
        <f t="shared" si="362"/>
        <v>151</v>
      </c>
      <c r="I164" s="12">
        <f t="shared" si="362"/>
        <v>0.77208088728162971</v>
      </c>
      <c r="J164" s="10">
        <f t="shared" si="353"/>
        <v>0.71095465824479731</v>
      </c>
      <c r="K164" s="10">
        <f t="shared" si="367"/>
        <v>0.18442117093830826</v>
      </c>
      <c r="L164" s="10">
        <f t="shared" si="367"/>
        <v>0.17644805555555554</v>
      </c>
      <c r="M164" s="10">
        <f t="shared" si="363"/>
        <v>0.98499999999999999</v>
      </c>
      <c r="N164" s="10">
        <f t="shared" si="363"/>
        <v>0.98626666666666674</v>
      </c>
      <c r="O164" s="10">
        <f t="shared" si="363"/>
        <v>0.98999999999999988</v>
      </c>
      <c r="P164" s="23">
        <f t="shared" si="363"/>
        <v>0.99790000000000001</v>
      </c>
      <c r="R164" s="81">
        <f t="shared" ref="R164:R166" si="377">D164/C164-1</f>
        <v>-4.3233189238451541E-2</v>
      </c>
      <c r="S164" s="10">
        <f t="shared" ref="S164:S166" si="378">H164/G164-1</f>
        <v>3.7800687285223455E-2</v>
      </c>
      <c r="T164" s="10">
        <f t="shared" si="374"/>
        <v>1.2666666666667492E-3</v>
      </c>
      <c r="U164" s="10">
        <f t="shared" si="375"/>
        <v>7.9000000000001291E-3</v>
      </c>
      <c r="V164" s="23"/>
      <c r="X164" s="5">
        <v>43738</v>
      </c>
      <c r="Y164" s="2">
        <f t="shared" si="364"/>
        <v>3971.1211305719735</v>
      </c>
      <c r="Z164" s="2">
        <f t="shared" si="364"/>
        <v>3803.6189999999997</v>
      </c>
      <c r="AA164" s="2">
        <v>141.6</v>
      </c>
      <c r="AB164" s="2">
        <f t="shared" ref="AB164:AB195" si="379">AVERAGE(AB679,AB292,AB421,AB550)</f>
        <v>143.5</v>
      </c>
      <c r="AC164" s="2">
        <v>145.5</v>
      </c>
      <c r="AD164" s="2">
        <f t="shared" si="365"/>
        <v>151</v>
      </c>
      <c r="AE164" s="11">
        <f t="shared" si="365"/>
        <v>0.76972057477172684</v>
      </c>
      <c r="AF164" s="11">
        <f t="shared" si="365"/>
        <v>0.73006233554071431</v>
      </c>
      <c r="AG164" s="10">
        <f t="shared" si="368"/>
        <v>0.18385738079141162</v>
      </c>
      <c r="AH164" s="10">
        <f t="shared" si="368"/>
        <v>0.17643999999999999</v>
      </c>
      <c r="AI164" s="11">
        <f t="shared" si="366"/>
        <v>0.98499999999999999</v>
      </c>
      <c r="AJ164" s="11">
        <f t="shared" si="366"/>
        <v>0.96045000000000003</v>
      </c>
      <c r="AK164" s="11">
        <f t="shared" si="366"/>
        <v>0.99</v>
      </c>
      <c r="AL164" s="17">
        <f t="shared" si="366"/>
        <v>0.99760000000000004</v>
      </c>
      <c r="AN164" s="81">
        <f t="shared" si="349"/>
        <v>-4.2180060759780424E-2</v>
      </c>
      <c r="AO164" s="10">
        <f t="shared" si="354"/>
        <v>3.7800687285223455E-2</v>
      </c>
      <c r="AP164" s="10">
        <f t="shared" si="355"/>
        <v>-2.4549999999999961E-2</v>
      </c>
      <c r="AQ164" s="10">
        <f t="shared" si="356"/>
        <v>7.6000000000000512E-3</v>
      </c>
      <c r="AR164" s="23"/>
    </row>
    <row r="165" spans="2:44">
      <c r="B165" s="5">
        <v>43769</v>
      </c>
      <c r="C165" s="2">
        <f t="shared" si="361"/>
        <v>4555.0201524897666</v>
      </c>
      <c r="D165" s="2">
        <f t="shared" si="361"/>
        <v>3690.8820000000001</v>
      </c>
      <c r="E165" s="2">
        <v>139.1</v>
      </c>
      <c r="F165" s="2">
        <f t="shared" si="376"/>
        <v>125.13666666666667</v>
      </c>
      <c r="G165" s="2">
        <v>172.2</v>
      </c>
      <c r="H165" s="2">
        <f t="shared" si="362"/>
        <v>152.52000000000001</v>
      </c>
      <c r="I165" s="12">
        <f t="shared" si="362"/>
        <v>0.74596495380274497</v>
      </c>
      <c r="J165" s="10">
        <f t="shared" si="353"/>
        <v>0.70600634748877644</v>
      </c>
      <c r="K165" s="10">
        <f t="shared" si="367"/>
        <v>0.20407796382122612</v>
      </c>
      <c r="L165" s="10">
        <f t="shared" si="367"/>
        <v>0.16536209677419353</v>
      </c>
      <c r="M165" s="10">
        <f t="shared" si="363"/>
        <v>0.98499999999999999</v>
      </c>
      <c r="N165" s="10">
        <f t="shared" si="363"/>
        <v>0.95210000000000006</v>
      </c>
      <c r="O165" s="10">
        <f t="shared" si="363"/>
        <v>0.98999999999999988</v>
      </c>
      <c r="P165" s="23">
        <f t="shared" si="363"/>
        <v>0.98880000000000001</v>
      </c>
      <c r="R165" s="81">
        <f t="shared" si="377"/>
        <v>-0.18971115902032398</v>
      </c>
      <c r="S165" s="10">
        <f t="shared" si="378"/>
        <v>-0.11428571428571421</v>
      </c>
      <c r="T165" s="10">
        <f t="shared" si="374"/>
        <v>-3.2899999999999929E-2</v>
      </c>
      <c r="U165" s="10">
        <f t="shared" si="375"/>
        <v>-1.1999999999998678E-3</v>
      </c>
      <c r="V165" s="23"/>
      <c r="X165" s="5">
        <v>43769</v>
      </c>
      <c r="Y165" s="2">
        <f t="shared" si="364"/>
        <v>4551.0673777366273</v>
      </c>
      <c r="Z165" s="2">
        <f t="shared" si="364"/>
        <v>3533.3040000000001</v>
      </c>
      <c r="AA165" s="2">
        <v>139.1</v>
      </c>
      <c r="AB165" s="2">
        <f t="shared" si="379"/>
        <v>126.71250000000001</v>
      </c>
      <c r="AC165" s="2">
        <v>172.2</v>
      </c>
      <c r="AD165" s="2">
        <f t="shared" si="365"/>
        <v>150.04000000000002</v>
      </c>
      <c r="AE165" s="11">
        <f t="shared" si="365"/>
        <v>0.74537616695390319</v>
      </c>
      <c r="AF165" s="11">
        <f t="shared" si="365"/>
        <v>0.727604340886155</v>
      </c>
      <c r="AG165" s="10">
        <f t="shared" si="368"/>
        <v>0.20391688598422611</v>
      </c>
      <c r="AH165" s="10">
        <f t="shared" si="368"/>
        <v>0.15796129032258063</v>
      </c>
      <c r="AI165" s="11">
        <f t="shared" si="366"/>
        <v>0.98499999999999999</v>
      </c>
      <c r="AJ165" s="11">
        <f t="shared" si="366"/>
        <v>0.89724999999999999</v>
      </c>
      <c r="AK165" s="11">
        <f t="shared" si="366"/>
        <v>0.99</v>
      </c>
      <c r="AL165" s="17">
        <f t="shared" si="366"/>
        <v>0.98880000000000001</v>
      </c>
      <c r="AN165" s="81">
        <f t="shared" si="349"/>
        <v>-0.22363179739228323</v>
      </c>
      <c r="AO165" s="10">
        <f t="shared" si="354"/>
        <v>-0.1286875725900114</v>
      </c>
      <c r="AP165" s="10">
        <f t="shared" si="355"/>
        <v>-8.7749999999999995E-2</v>
      </c>
      <c r="AQ165" s="10">
        <f t="shared" si="356"/>
        <v>-1.1999999999999789E-3</v>
      </c>
      <c r="AR165" s="23"/>
    </row>
    <row r="166" spans="2:44">
      <c r="B166" s="5">
        <v>43799</v>
      </c>
      <c r="C166" s="2">
        <f t="shared" si="361"/>
        <v>4036.4500567786308</v>
      </c>
      <c r="D166" s="2">
        <f t="shared" si="361"/>
        <v>3254.8380000000006</v>
      </c>
      <c r="E166" s="2">
        <v>108.1</v>
      </c>
      <c r="F166" s="2">
        <f t="shared" si="376"/>
        <v>94.100000000000009</v>
      </c>
      <c r="G166" s="2">
        <v>152.1</v>
      </c>
      <c r="H166" s="2">
        <f t="shared" si="362"/>
        <v>129.80000000000001</v>
      </c>
      <c r="I166" s="12">
        <f t="shared" si="362"/>
        <v>0.74839631079135971</v>
      </c>
      <c r="J166" s="10">
        <f t="shared" si="353"/>
        <v>0.70613694090507106</v>
      </c>
      <c r="K166" s="10">
        <f t="shared" si="367"/>
        <v>0.18687268781382552</v>
      </c>
      <c r="L166" s="10">
        <f t="shared" si="367"/>
        <v>0.15068694444444444</v>
      </c>
      <c r="M166" s="10">
        <f t="shared" si="363"/>
        <v>0.98499999999999999</v>
      </c>
      <c r="N166" s="10">
        <f t="shared" si="363"/>
        <v>0.98660000000000003</v>
      </c>
      <c r="O166" s="10">
        <f t="shared" si="363"/>
        <v>0.98999999999999988</v>
      </c>
      <c r="P166" s="23">
        <f t="shared" si="363"/>
        <v>1</v>
      </c>
      <c r="Q166" s="112">
        <f t="shared" ref="Q166" si="380">R166-S166-T166</f>
        <v>-4.862441109883564E-2</v>
      </c>
      <c r="R166" s="81">
        <f t="shared" si="377"/>
        <v>-0.19363848078982826</v>
      </c>
      <c r="S166" s="10">
        <f t="shared" si="378"/>
        <v>-0.14661406969099267</v>
      </c>
      <c r="T166" s="10">
        <f t="shared" si="374"/>
        <v>1.6000000000000458E-3</v>
      </c>
      <c r="U166" s="10">
        <f t="shared" si="375"/>
        <v>1.000000000000012E-2</v>
      </c>
      <c r="V166" s="23"/>
      <c r="X166" s="5">
        <v>43799</v>
      </c>
      <c r="Y166" s="2">
        <f t="shared" si="364"/>
        <v>4028.2667746280808</v>
      </c>
      <c r="Z166" s="2">
        <f t="shared" si="364"/>
        <v>3401.6939999999995</v>
      </c>
      <c r="AA166" s="2">
        <v>108.1</v>
      </c>
      <c r="AB166" s="2">
        <f t="shared" si="379"/>
        <v>94.8</v>
      </c>
      <c r="AC166" s="2">
        <v>152.1</v>
      </c>
      <c r="AD166" s="2">
        <f t="shared" si="365"/>
        <v>125.85</v>
      </c>
      <c r="AE166" s="11">
        <f t="shared" si="365"/>
        <v>0.74692468787045274</v>
      </c>
      <c r="AF166" s="11">
        <f t="shared" si="365"/>
        <v>0.76356134805015563</v>
      </c>
      <c r="AG166" s="10">
        <f t="shared" si="368"/>
        <v>0.18650522724953233</v>
      </c>
      <c r="AH166" s="10">
        <f t="shared" si="368"/>
        <v>0.15835458333333335</v>
      </c>
      <c r="AI166" s="11">
        <f t="shared" si="366"/>
        <v>0.98499999999999999</v>
      </c>
      <c r="AJ166" s="11">
        <f t="shared" si="366"/>
        <v>0.98880000000000001</v>
      </c>
      <c r="AK166" s="11">
        <f t="shared" si="366"/>
        <v>0.99</v>
      </c>
      <c r="AL166" s="17">
        <f t="shared" si="366"/>
        <v>1</v>
      </c>
      <c r="AN166" s="81">
        <f t="shared" ref="AN166:AN197" si="381">Z166/Y166-1</f>
        <v>-0.15554401177561805</v>
      </c>
      <c r="AO166" s="10">
        <f t="shared" si="354"/>
        <v>-0.17258382642998027</v>
      </c>
      <c r="AP166" s="10">
        <f t="shared" si="355"/>
        <v>3.8000000000000256E-3</v>
      </c>
      <c r="AQ166" s="10">
        <f t="shared" si="356"/>
        <v>1.0000000000000009E-2</v>
      </c>
      <c r="AR166" s="23"/>
    </row>
    <row r="167" spans="2:44">
      <c r="B167" s="46">
        <v>43830</v>
      </c>
      <c r="C167" s="47">
        <f t="shared" si="361"/>
        <v>3391.8892648493384</v>
      </c>
      <c r="D167" s="47">
        <f t="shared" si="361"/>
        <v>2459.04</v>
      </c>
      <c r="E167" s="47">
        <v>89.9</v>
      </c>
      <c r="F167" s="47">
        <f t="shared" si="376"/>
        <v>67.166666666666671</v>
      </c>
      <c r="G167" s="47">
        <v>129.6</v>
      </c>
      <c r="H167" s="47">
        <f t="shared" si="362"/>
        <v>95.273333333333326</v>
      </c>
      <c r="I167" s="51">
        <f t="shared" si="362"/>
        <v>0.73807064490360774</v>
      </c>
      <c r="J167" s="49">
        <f t="shared" si="353"/>
        <v>0.73003114173176631</v>
      </c>
      <c r="K167" s="49">
        <f t="shared" si="367"/>
        <v>0.15196636491260473</v>
      </c>
      <c r="L167" s="49">
        <f t="shared" si="367"/>
        <v>0.11017204301075269</v>
      </c>
      <c r="M167" s="49">
        <f t="shared" si="363"/>
        <v>0.98499999999999999</v>
      </c>
      <c r="N167" s="49">
        <f t="shared" si="363"/>
        <v>0.98229999999999995</v>
      </c>
      <c r="O167" s="49">
        <f t="shared" si="363"/>
        <v>0.98999999999999988</v>
      </c>
      <c r="P167" s="52">
        <f t="shared" si="363"/>
        <v>0.99870000000000003</v>
      </c>
      <c r="Q167" s="93"/>
      <c r="R167" s="92">
        <f t="shared" ref="R167:R169" si="382">D167/C167-1</f>
        <v>-0.27502350224595962</v>
      </c>
      <c r="S167" s="49">
        <f t="shared" ref="S167:S169" si="383">H167/G167-1</f>
        <v>-0.26486625514403295</v>
      </c>
      <c r="T167" s="49">
        <f t="shared" ref="T167:T168" si="384">N167-M167</f>
        <v>-2.7000000000000357E-3</v>
      </c>
      <c r="U167" s="49">
        <f t="shared" ref="U167:U168" si="385">P167-O167</f>
        <v>8.7000000000001521E-3</v>
      </c>
      <c r="V167" s="52"/>
      <c r="X167" s="46">
        <v>43830</v>
      </c>
      <c r="Y167" s="47">
        <f t="shared" si="364"/>
        <v>3383.3697519623383</v>
      </c>
      <c r="Z167" s="47">
        <f t="shared" si="364"/>
        <v>2417.085</v>
      </c>
      <c r="AA167" s="47">
        <v>89.9</v>
      </c>
      <c r="AB167" s="47">
        <f t="shared" si="379"/>
        <v>68.664999999999992</v>
      </c>
      <c r="AC167" s="47">
        <v>129.6</v>
      </c>
      <c r="AD167" s="47">
        <f t="shared" si="365"/>
        <v>91.992499999999993</v>
      </c>
      <c r="AE167" s="48">
        <f t="shared" si="365"/>
        <v>0.73626993938426955</v>
      </c>
      <c r="AF167" s="48">
        <f t="shared" si="365"/>
        <v>0.77505431828782367</v>
      </c>
      <c r="AG167" s="49">
        <f t="shared" si="368"/>
        <v>0.15159560545490047</v>
      </c>
      <c r="AH167" s="49">
        <f t="shared" si="368"/>
        <v>0.10839657258064517</v>
      </c>
      <c r="AI167" s="48">
        <f t="shared" si="366"/>
        <v>0.98499999999999999</v>
      </c>
      <c r="AJ167" s="48">
        <f t="shared" si="366"/>
        <v>0.94272500000000004</v>
      </c>
      <c r="AK167" s="48">
        <f t="shared" si="366"/>
        <v>0.99</v>
      </c>
      <c r="AL167" s="50">
        <f t="shared" si="366"/>
        <v>0.99939999999999996</v>
      </c>
      <c r="AM167" s="94"/>
      <c r="AN167" s="92">
        <f t="shared" si="381"/>
        <v>-0.28559833030424708</v>
      </c>
      <c r="AO167" s="49">
        <f t="shared" si="354"/>
        <v>-0.29018132716049383</v>
      </c>
      <c r="AP167" s="49">
        <f t="shared" si="355"/>
        <v>-4.2274999999999952E-2</v>
      </c>
      <c r="AQ167" s="49">
        <f t="shared" si="356"/>
        <v>9.3999999999999639E-3</v>
      </c>
      <c r="AR167" s="52"/>
    </row>
    <row r="168" spans="2:44">
      <c r="B168" s="5">
        <v>43861</v>
      </c>
      <c r="C168" s="2">
        <f t="shared" si="361"/>
        <v>2864.4023550545853</v>
      </c>
      <c r="D168" s="2">
        <f t="shared" si="361"/>
        <v>2446.752</v>
      </c>
      <c r="E168" s="2">
        <v>79.599999999999994</v>
      </c>
      <c r="F168" s="2">
        <f t="shared" si="376"/>
        <v>72.499999999999986</v>
      </c>
      <c r="G168" s="2">
        <v>103.2</v>
      </c>
      <c r="H168" s="2">
        <f t="shared" si="362"/>
        <v>97.186666666666667</v>
      </c>
      <c r="I168" s="12">
        <f t="shared" si="362"/>
        <v>0.78273651364311159</v>
      </c>
      <c r="J168" s="10">
        <f t="shared" si="353"/>
        <v>0.76045241752838688</v>
      </c>
      <c r="K168" s="10">
        <f t="shared" si="367"/>
        <v>0.12833343884653159</v>
      </c>
      <c r="L168" s="10">
        <f t="shared" si="367"/>
        <v>0.10962150537634407</v>
      </c>
      <c r="M168" s="10">
        <f t="shared" si="363"/>
        <v>0.98499999999999999</v>
      </c>
      <c r="N168" s="10">
        <f t="shared" si="363"/>
        <v>0.91976666666666673</v>
      </c>
      <c r="O168" s="10">
        <f t="shared" si="363"/>
        <v>0.98999999999999988</v>
      </c>
      <c r="P168" s="23">
        <f t="shared" si="363"/>
        <v>0.98850000000000005</v>
      </c>
      <c r="R168" s="81">
        <f t="shared" si="382"/>
        <v>-0.14580715391383148</v>
      </c>
      <c r="S168" s="10">
        <f t="shared" si="383"/>
        <v>-5.8268733850129206E-2</v>
      </c>
      <c r="T168" s="10">
        <f t="shared" si="384"/>
        <v>-6.5233333333333254E-2</v>
      </c>
      <c r="U168" s="10">
        <f t="shared" si="385"/>
        <v>-1.4999999999998348E-3</v>
      </c>
      <c r="V168" s="23"/>
      <c r="X168" s="5">
        <v>43861</v>
      </c>
      <c r="Y168" s="2">
        <f t="shared" si="364"/>
        <v>2847.3109108464469</v>
      </c>
      <c r="Z168" s="2">
        <f t="shared" si="364"/>
        <v>2551.473</v>
      </c>
      <c r="AA168" s="2">
        <v>79.599999999999994</v>
      </c>
      <c r="AB168" s="2">
        <f t="shared" si="379"/>
        <v>72.83250000000001</v>
      </c>
      <c r="AC168" s="2">
        <v>103.2</v>
      </c>
      <c r="AD168" s="2">
        <f t="shared" si="365"/>
        <v>95.905000000000001</v>
      </c>
      <c r="AE168" s="11">
        <f t="shared" si="365"/>
        <v>0.77812077598983365</v>
      </c>
      <c r="AF168" s="11">
        <f t="shared" si="365"/>
        <v>0.82073655241655241</v>
      </c>
      <c r="AG168" s="10">
        <f t="shared" si="368"/>
        <v>0.12757666632406223</v>
      </c>
      <c r="AH168" s="10">
        <f t="shared" si="368"/>
        <v>0.11438608870967742</v>
      </c>
      <c r="AI168" s="11">
        <f t="shared" si="366"/>
        <v>0.98499999999999999</v>
      </c>
      <c r="AJ168" s="11">
        <f t="shared" si="366"/>
        <v>0.90102499999999996</v>
      </c>
      <c r="AK168" s="11">
        <f t="shared" si="366"/>
        <v>0.99</v>
      </c>
      <c r="AL168" s="17">
        <f t="shared" si="366"/>
        <v>0.998</v>
      </c>
      <c r="AN168" s="81">
        <f t="shared" si="381"/>
        <v>-0.10390081031175491</v>
      </c>
      <c r="AO168" s="10">
        <f t="shared" si="354"/>
        <v>-7.0687984496124012E-2</v>
      </c>
      <c r="AP168" s="10">
        <f t="shared" si="355"/>
        <v>-8.3975000000000022E-2</v>
      </c>
      <c r="AQ168" s="10">
        <f t="shared" si="356"/>
        <v>8.0000000000000071E-3</v>
      </c>
      <c r="AR168" s="23"/>
    </row>
    <row r="169" spans="2:44">
      <c r="B169" s="5">
        <v>43890</v>
      </c>
      <c r="C169" s="2">
        <f t="shared" si="361"/>
        <v>3750.1032548273442</v>
      </c>
      <c r="D169" s="2">
        <f t="shared" si="361"/>
        <v>3843.0720000000001</v>
      </c>
      <c r="E169" s="2">
        <v>108.1</v>
      </c>
      <c r="F169" s="2">
        <f t="shared" si="376"/>
        <v>113.48666666666668</v>
      </c>
      <c r="G169" s="2">
        <v>137.5</v>
      </c>
      <c r="H169" s="2">
        <f t="shared" si="362"/>
        <v>147.61000000000001</v>
      </c>
      <c r="I169" s="12">
        <f t="shared" si="362"/>
        <v>0.769133621458718</v>
      </c>
      <c r="J169" s="10">
        <f t="shared" ref="J169:J200" si="386">AVERAGE(J555,J426,J297)</f>
        <v>0.72702619122598777</v>
      </c>
      <c r="K169" s="10">
        <f t="shared" si="367"/>
        <v>0.18174265952224999</v>
      </c>
      <c r="L169" s="10">
        <f t="shared" si="367"/>
        <v>0.18625489532019704</v>
      </c>
      <c r="M169" s="10">
        <f t="shared" si="363"/>
        <v>0.98499999999999999</v>
      </c>
      <c r="N169" s="10">
        <f t="shared" si="363"/>
        <v>0.99506666666666665</v>
      </c>
      <c r="O169" s="10">
        <f t="shared" si="363"/>
        <v>0.98999999999999988</v>
      </c>
      <c r="P169" s="23">
        <f t="shared" si="363"/>
        <v>0.99606666666666666</v>
      </c>
      <c r="R169" s="81">
        <f t="shared" si="382"/>
        <v>2.4790982769069325E-2</v>
      </c>
      <c r="S169" s="10">
        <f t="shared" si="383"/>
        <v>7.3527272727272885E-2</v>
      </c>
      <c r="T169" s="10">
        <f t="shared" ref="T169" si="387">N169-M169</f>
        <v>1.0066666666666668E-2</v>
      </c>
      <c r="U169" s="10">
        <f t="shared" ref="U169" si="388">P169-O169</f>
        <v>6.0666666666667757E-3</v>
      </c>
      <c r="V169" s="23"/>
      <c r="X169" s="5">
        <v>43890</v>
      </c>
      <c r="Y169" s="2">
        <f t="shared" si="364"/>
        <v>3738.0861871543689</v>
      </c>
      <c r="Z169" s="2">
        <f t="shared" si="364"/>
        <v>3877.998</v>
      </c>
      <c r="AA169" s="2">
        <v>108.1</v>
      </c>
      <c r="AB169" s="2">
        <f t="shared" si="379"/>
        <v>113.17250000000001</v>
      </c>
      <c r="AC169" s="2">
        <v>137.5</v>
      </c>
      <c r="AD169" s="2">
        <f t="shared" si="365"/>
        <v>144.34749999999997</v>
      </c>
      <c r="AE169" s="11">
        <f t="shared" si="365"/>
        <v>0.76673569003040276</v>
      </c>
      <c r="AF169" s="11">
        <f t="shared" si="365"/>
        <v>0.77834089987049082</v>
      </c>
      <c r="AG169" s="10">
        <f t="shared" si="368"/>
        <v>0.179042698307746</v>
      </c>
      <c r="AH169" s="10">
        <f t="shared" si="368"/>
        <v>0.18585905172413797</v>
      </c>
      <c r="AI169" s="11">
        <f t="shared" si="366"/>
        <v>0.98499999999999999</v>
      </c>
      <c r="AJ169" s="11">
        <f t="shared" si="366"/>
        <v>0.95947500000000008</v>
      </c>
      <c r="AK169" s="11">
        <f t="shared" si="366"/>
        <v>0.99</v>
      </c>
      <c r="AL169" s="17">
        <f t="shared" si="366"/>
        <v>1</v>
      </c>
      <c r="AN169" s="81">
        <f t="shared" si="381"/>
        <v>3.7428728456402771E-2</v>
      </c>
      <c r="AO169" s="10">
        <f t="shared" ref="AO169:AO200" si="389">AD169/AC169-1</f>
        <v>4.9799999999999844E-2</v>
      </c>
      <c r="AP169" s="10">
        <f t="shared" ref="AP169:AP200" si="390">AJ169-AI169</f>
        <v>-2.5524999999999909E-2</v>
      </c>
      <c r="AQ169" s="10">
        <f t="shared" ref="AQ169:AQ200" si="391">AL169-AK169</f>
        <v>1.0000000000000009E-2</v>
      </c>
      <c r="AR169" s="23"/>
    </row>
    <row r="170" spans="2:44">
      <c r="B170" s="5">
        <v>43921</v>
      </c>
      <c r="C170" s="2">
        <f t="shared" si="361"/>
        <v>5017.3368498868313</v>
      </c>
      <c r="D170" s="2">
        <f t="shared" si="361"/>
        <v>4482.54</v>
      </c>
      <c r="E170" s="2">
        <v>161.4</v>
      </c>
      <c r="F170" s="2">
        <f t="shared" si="376"/>
        <v>150.99333333333331</v>
      </c>
      <c r="G170" s="2">
        <v>187.8</v>
      </c>
      <c r="H170" s="2">
        <f t="shared" si="362"/>
        <v>171.62333333333333</v>
      </c>
      <c r="I170" s="12">
        <f t="shared" si="362"/>
        <v>0.75342311483980662</v>
      </c>
      <c r="J170" s="10">
        <f t="shared" si="386"/>
        <v>0.76185810870364623</v>
      </c>
      <c r="K170" s="10">
        <f t="shared" si="367"/>
        <v>0.22479107750389024</v>
      </c>
      <c r="L170" s="10">
        <f t="shared" si="367"/>
        <v>0.20083064516129034</v>
      </c>
      <c r="M170" s="10">
        <f t="shared" si="363"/>
        <v>0.98499999999999999</v>
      </c>
      <c r="N170" s="10">
        <f t="shared" si="363"/>
        <v>0.95233333333333337</v>
      </c>
      <c r="O170" s="10">
        <f t="shared" si="363"/>
        <v>0.98999999999999988</v>
      </c>
      <c r="P170" s="23">
        <f t="shared" si="363"/>
        <v>0.98780000000000001</v>
      </c>
      <c r="R170" s="81">
        <f t="shared" ref="R170" si="392">D170/C170-1</f>
        <v>-0.10658978376125849</v>
      </c>
      <c r="S170" s="10">
        <f t="shared" ref="S170" si="393">H170/G170-1</f>
        <v>-8.6137735179268815E-2</v>
      </c>
      <c r="T170" s="10">
        <f t="shared" ref="T170" si="394">N170-M170</f>
        <v>-3.2666666666666622E-2</v>
      </c>
      <c r="U170" s="10">
        <f t="shared" ref="U170" si="395">P170-O170</f>
        <v>-2.1999999999998687E-3</v>
      </c>
      <c r="V170" s="23"/>
      <c r="X170" s="5">
        <v>43921</v>
      </c>
      <c r="Y170" s="2">
        <f t="shared" si="364"/>
        <v>5013.3472200115866</v>
      </c>
      <c r="Z170" s="2">
        <f t="shared" si="364"/>
        <v>4694.3220000000001</v>
      </c>
      <c r="AA170" s="2">
        <v>161.4</v>
      </c>
      <c r="AB170" s="2">
        <f t="shared" si="379"/>
        <v>152.36750000000001</v>
      </c>
      <c r="AC170" s="2">
        <v>187.8</v>
      </c>
      <c r="AD170" s="2">
        <f t="shared" si="365"/>
        <v>171.83750000000001</v>
      </c>
      <c r="AE170" s="11">
        <f t="shared" si="365"/>
        <v>0.75288023383519564</v>
      </c>
      <c r="AF170" s="11">
        <f t="shared" si="365"/>
        <v>0.79265005358788065</v>
      </c>
      <c r="AG170" s="10">
        <f t="shared" si="368"/>
        <v>0.22462910370247741</v>
      </c>
      <c r="AH170" s="10">
        <f t="shared" si="368"/>
        <v>0.21043407258064517</v>
      </c>
      <c r="AI170" s="11">
        <f t="shared" si="366"/>
        <v>0.98499999999999999</v>
      </c>
      <c r="AJ170" s="11">
        <f t="shared" si="366"/>
        <v>0.95787500000000003</v>
      </c>
      <c r="AK170" s="11">
        <f t="shared" si="366"/>
        <v>0.99</v>
      </c>
      <c r="AL170" s="17">
        <f t="shared" si="366"/>
        <v>0.99939999999999996</v>
      </c>
      <c r="AN170" s="81">
        <f t="shared" si="381"/>
        <v>-6.3635173470161011E-2</v>
      </c>
      <c r="AO170" s="10">
        <f t="shared" si="389"/>
        <v>-8.4997337593184286E-2</v>
      </c>
      <c r="AP170" s="10">
        <f t="shared" si="390"/>
        <v>-2.7124999999999955E-2</v>
      </c>
      <c r="AQ170" s="10">
        <f t="shared" si="391"/>
        <v>9.3999999999999639E-3</v>
      </c>
      <c r="AR170" s="23"/>
    </row>
    <row r="171" spans="2:44">
      <c r="B171" s="25">
        <v>43951</v>
      </c>
      <c r="C171" s="26">
        <f t="shared" si="361"/>
        <v>5186.3011007902787</v>
      </c>
      <c r="D171" s="26">
        <f t="shared" si="361"/>
        <v>4624.7880000000005</v>
      </c>
      <c r="E171" s="26">
        <f t="shared" ref="E171:E202" si="396">AVERAGE(E557,E428,E299)</f>
        <v>190.19999999999996</v>
      </c>
      <c r="F171" s="26">
        <f t="shared" si="376"/>
        <v>175.80000000000004</v>
      </c>
      <c r="G171" s="26">
        <f t="shared" ref="G171:G202" si="397">AVERAGE(G557,G428,G299)</f>
        <v>194</v>
      </c>
      <c r="H171" s="26">
        <f t="shared" si="362"/>
        <v>177.29999999999998</v>
      </c>
      <c r="I171" s="31">
        <f t="shared" si="362"/>
        <v>0.7539061147438203</v>
      </c>
      <c r="J171" s="29">
        <f t="shared" si="386"/>
        <v>0.7292048757616677</v>
      </c>
      <c r="K171" s="29">
        <f t="shared" si="367"/>
        <v>0.24010653244399438</v>
      </c>
      <c r="L171" s="29">
        <f t="shared" si="367"/>
        <v>0.21411055555555558</v>
      </c>
      <c r="M171" s="29">
        <f t="shared" si="363"/>
        <v>0.98499999999999999</v>
      </c>
      <c r="N171" s="29">
        <f t="shared" si="363"/>
        <v>0.99363333333333337</v>
      </c>
      <c r="O171" s="29">
        <f t="shared" si="363"/>
        <v>0.98999999999999988</v>
      </c>
      <c r="P171" s="32">
        <f t="shared" si="363"/>
        <v>0.999</v>
      </c>
      <c r="Q171" s="96">
        <f>R171-S171</f>
        <v>-2.2186037353581267E-2</v>
      </c>
      <c r="R171" s="87">
        <f t="shared" ref="R171" si="398">D171/C171-1</f>
        <v>-0.10826851158038553</v>
      </c>
      <c r="S171" s="29">
        <f t="shared" ref="S171" si="399">H171/G171-1</f>
        <v>-8.6082474226804262E-2</v>
      </c>
      <c r="T171" s="29">
        <f t="shared" ref="T171" si="400">N171-M171</f>
        <v>8.6333333333333817E-3</v>
      </c>
      <c r="U171" s="29">
        <f t="shared" ref="U171" si="401">P171-O171</f>
        <v>9.000000000000119E-3</v>
      </c>
      <c r="V171" s="32"/>
      <c r="X171" s="25">
        <v>43951</v>
      </c>
      <c r="Y171" s="26">
        <f t="shared" si="364"/>
        <v>5186.4703373043976</v>
      </c>
      <c r="Z171" s="26">
        <f t="shared" si="364"/>
        <v>4702.7640000000001</v>
      </c>
      <c r="AA171" s="26">
        <f t="shared" ref="AA171:AA202" si="402">AVERAGE(AA686,AA299,AA428,AA557)</f>
        <v>190.2</v>
      </c>
      <c r="AB171" s="26">
        <f t="shared" si="379"/>
        <v>176.625</v>
      </c>
      <c r="AC171" s="26">
        <f t="shared" ref="AC171:AC202" si="403">AVERAGE(AC686,AC299,AC428,AC557)</f>
        <v>194</v>
      </c>
      <c r="AD171" s="26">
        <f t="shared" si="365"/>
        <v>178.35</v>
      </c>
      <c r="AE171" s="28">
        <f t="shared" si="365"/>
        <v>0.75399270663266771</v>
      </c>
      <c r="AF171" s="28">
        <f t="shared" si="365"/>
        <v>0.74613038076358151</v>
      </c>
      <c r="AG171" s="29">
        <f t="shared" si="368"/>
        <v>0.24013411051739408</v>
      </c>
      <c r="AH171" s="29">
        <f t="shared" si="368"/>
        <v>0.21774145833333333</v>
      </c>
      <c r="AI171" s="28">
        <f t="shared" si="366"/>
        <v>0.98499999999999999</v>
      </c>
      <c r="AJ171" s="28">
        <f t="shared" si="366"/>
        <v>0.98180000000000001</v>
      </c>
      <c r="AK171" s="28">
        <f t="shared" si="366"/>
        <v>0.99</v>
      </c>
      <c r="AL171" s="30">
        <f t="shared" si="366"/>
        <v>0.99880000000000002</v>
      </c>
      <c r="AM171" s="95">
        <f>AN171-AO171</f>
        <v>-1.2593003769174826E-2</v>
      </c>
      <c r="AN171" s="87">
        <f t="shared" si="381"/>
        <v>-9.3263106861958378E-2</v>
      </c>
      <c r="AO171" s="29">
        <f t="shared" si="389"/>
        <v>-8.0670103092783552E-2</v>
      </c>
      <c r="AP171" s="29">
        <f t="shared" si="390"/>
        <v>-3.1999999999999806E-3</v>
      </c>
      <c r="AQ171" s="29">
        <f t="shared" si="391"/>
        <v>8.80000000000003E-3</v>
      </c>
      <c r="AR171" s="32"/>
    </row>
    <row r="172" spans="2:44">
      <c r="B172" s="5">
        <v>43982</v>
      </c>
      <c r="C172" s="2">
        <f t="shared" ref="C172:D191" si="404">C558+C429+C300</f>
        <v>5254.4319392343368</v>
      </c>
      <c r="D172" s="2">
        <f t="shared" si="404"/>
        <v>4710.5640000000003</v>
      </c>
      <c r="E172" s="2">
        <f t="shared" si="396"/>
        <v>197</v>
      </c>
      <c r="F172" s="2">
        <f t="shared" si="376"/>
        <v>191.16666666666666</v>
      </c>
      <c r="G172" s="2">
        <f t="shared" si="397"/>
        <v>197.69999999999996</v>
      </c>
      <c r="H172" s="2">
        <f t="shared" ref="H172:I191" si="405">AVERAGE(H558,H429,H300)</f>
        <v>189.1</v>
      </c>
      <c r="I172" s="12">
        <f t="shared" si="405"/>
        <v>0.74951507183631738</v>
      </c>
      <c r="J172" s="10">
        <f t="shared" si="386"/>
        <v>0.72425294287423458</v>
      </c>
      <c r="K172" s="10">
        <f t="shared" si="367"/>
        <v>0.23541361734920863</v>
      </c>
      <c r="L172" s="10">
        <f t="shared" si="367"/>
        <v>0.21104677419354836</v>
      </c>
      <c r="M172" s="10">
        <f t="shared" ref="M172:P191" si="406">AVERAGE(M558,M429,M300)</f>
        <v>0.98499999999999999</v>
      </c>
      <c r="N172" s="10">
        <f t="shared" si="406"/>
        <v>0.95536666666666659</v>
      </c>
      <c r="O172" s="10">
        <f t="shared" si="406"/>
        <v>0.98999999999999988</v>
      </c>
      <c r="P172" s="23">
        <f t="shared" si="406"/>
        <v>0.98860000000000003</v>
      </c>
      <c r="R172" s="81">
        <f t="shared" ref="R172" si="407">D172/C172-1</f>
        <v>-0.10350651517118858</v>
      </c>
      <c r="S172" s="10">
        <f t="shared" ref="S172" si="408">H172/G172-1</f>
        <v>-4.3500252908446946E-2</v>
      </c>
      <c r="T172" s="10">
        <f t="shared" ref="T172" si="409">N172-M172</f>
        <v>-2.96333333333334E-2</v>
      </c>
      <c r="U172" s="10">
        <f t="shared" ref="U172" si="410">P172-O172</f>
        <v>-1.3999999999998458E-3</v>
      </c>
      <c r="V172" s="23"/>
      <c r="X172" s="5">
        <v>43982</v>
      </c>
      <c r="Y172" s="2">
        <f t="shared" ref="Y172:Z191" si="411">Y687+Y300+Y429+Y558</f>
        <v>5254.956591364793</v>
      </c>
      <c r="Z172" s="2">
        <f t="shared" si="411"/>
        <v>4860.174</v>
      </c>
      <c r="AA172" s="2">
        <f t="shared" si="402"/>
        <v>197</v>
      </c>
      <c r="AB172" s="2">
        <f t="shared" si="379"/>
        <v>192.82</v>
      </c>
      <c r="AC172" s="2">
        <f t="shared" si="403"/>
        <v>197.7</v>
      </c>
      <c r="AD172" s="2">
        <f t="shared" ref="AD172:AF191" si="412">AVERAGE(AD687,AD300,AD429,AD558)</f>
        <v>190.34</v>
      </c>
      <c r="AE172" s="11">
        <f t="shared" si="412"/>
        <v>0.74964463857041508</v>
      </c>
      <c r="AF172" s="11">
        <f t="shared" si="412"/>
        <v>0.73217850511856353</v>
      </c>
      <c r="AG172" s="10">
        <f t="shared" si="368"/>
        <v>0.23545431269304917</v>
      </c>
      <c r="AH172" s="10">
        <f t="shared" si="368"/>
        <v>0.21815947580645162</v>
      </c>
      <c r="AI172" s="11">
        <f t="shared" ref="AI172:AL191" si="413">AVERAGE(AI687,AI300,AI429,AI558)</f>
        <v>0.98499999999999999</v>
      </c>
      <c r="AJ172" s="11">
        <f t="shared" si="413"/>
        <v>0.97049999999999992</v>
      </c>
      <c r="AK172" s="11">
        <f t="shared" si="413"/>
        <v>0.99</v>
      </c>
      <c r="AL172" s="17">
        <f t="shared" si="413"/>
        <v>0.99729999999999996</v>
      </c>
      <c r="AN172" s="81">
        <f t="shared" si="381"/>
        <v>-7.5125756892743811E-2</v>
      </c>
      <c r="AO172" s="10">
        <f t="shared" si="389"/>
        <v>-3.7228123419322134E-2</v>
      </c>
      <c r="AP172" s="10">
        <f t="shared" si="390"/>
        <v>-1.4500000000000068E-2</v>
      </c>
      <c r="AQ172" s="10">
        <f t="shared" si="391"/>
        <v>7.2999999999999732E-3</v>
      </c>
      <c r="AR172" s="23"/>
    </row>
    <row r="173" spans="2:44">
      <c r="B173" s="5">
        <v>44012</v>
      </c>
      <c r="C173" s="2">
        <f t="shared" si="404"/>
        <v>4725.7366329084434</v>
      </c>
      <c r="D173" s="2">
        <f t="shared" si="404"/>
        <v>4756.7039999999997</v>
      </c>
      <c r="E173" s="2">
        <f t="shared" si="396"/>
        <v>178.9</v>
      </c>
      <c r="F173" s="2">
        <f t="shared" si="376"/>
        <v>187.69666666666669</v>
      </c>
      <c r="G173" s="2">
        <f t="shared" si="397"/>
        <v>177.19999999999996</v>
      </c>
      <c r="H173" s="2">
        <f t="shared" si="405"/>
        <v>184.36666666666667</v>
      </c>
      <c r="I173" s="12">
        <f t="shared" si="405"/>
        <v>0.75208524037328883</v>
      </c>
      <c r="J173" s="10">
        <f t="shared" si="386"/>
        <v>0.72586723851353685</v>
      </c>
      <c r="K173" s="10">
        <f t="shared" si="367"/>
        <v>0.21878410337539089</v>
      </c>
      <c r="L173" s="10">
        <f t="shared" si="367"/>
        <v>0.22021777777777776</v>
      </c>
      <c r="M173" s="10">
        <f t="shared" si="406"/>
        <v>0.98499999999999999</v>
      </c>
      <c r="N173" s="10">
        <f t="shared" si="406"/>
        <v>0.98733333333333329</v>
      </c>
      <c r="O173" s="10">
        <f t="shared" si="406"/>
        <v>0.98999999999999988</v>
      </c>
      <c r="P173" s="23">
        <f t="shared" si="406"/>
        <v>0.99850000000000005</v>
      </c>
      <c r="R173" s="81">
        <f t="shared" ref="R173" si="414">D173/C173-1</f>
        <v>6.5529185176993465E-3</v>
      </c>
      <c r="S173" s="10">
        <f t="shared" ref="S173" si="415">H173/G173-1</f>
        <v>4.0443942814146316E-2</v>
      </c>
      <c r="T173" s="10">
        <f t="shared" ref="T173:T174" si="416">N173-M173</f>
        <v>2.3333333333332984E-3</v>
      </c>
      <c r="U173" s="10">
        <f t="shared" ref="U173:U176" si="417">P173-O173</f>
        <v>8.5000000000001741E-3</v>
      </c>
      <c r="V173" s="23"/>
      <c r="X173" s="5">
        <v>44012</v>
      </c>
      <c r="Y173" s="2">
        <f t="shared" si="411"/>
        <v>4717.7846585620009</v>
      </c>
      <c r="Z173" s="2">
        <f t="shared" si="411"/>
        <v>4907.835</v>
      </c>
      <c r="AA173" s="2">
        <f t="shared" si="402"/>
        <v>178.9</v>
      </c>
      <c r="AB173" s="2">
        <f t="shared" si="379"/>
        <v>187.67999999999998</v>
      </c>
      <c r="AC173" s="2">
        <f t="shared" si="403"/>
        <v>177.2</v>
      </c>
      <c r="AD173" s="2">
        <f t="shared" si="412"/>
        <v>184.32499999999999</v>
      </c>
      <c r="AE173" s="11">
        <f t="shared" si="412"/>
        <v>0.75088471099054177</v>
      </c>
      <c r="AF173" s="11">
        <f t="shared" si="412"/>
        <v>0.75972139984113807</v>
      </c>
      <c r="AG173" s="10">
        <f t="shared" si="368"/>
        <v>0.21843486537618523</v>
      </c>
      <c r="AH173" s="10">
        <f t="shared" si="368"/>
        <v>0.22713312499999999</v>
      </c>
      <c r="AI173" s="11">
        <f t="shared" si="413"/>
        <v>0.98499999999999999</v>
      </c>
      <c r="AJ173" s="11">
        <f t="shared" si="413"/>
        <v>0.97319999999999995</v>
      </c>
      <c r="AK173" s="11">
        <f t="shared" si="413"/>
        <v>0.99</v>
      </c>
      <c r="AL173" s="17">
        <f t="shared" si="413"/>
        <v>0.99850000000000005</v>
      </c>
      <c r="AN173" s="81">
        <f t="shared" si="381"/>
        <v>4.0283810133870501E-2</v>
      </c>
      <c r="AO173" s="10">
        <f t="shared" si="389"/>
        <v>4.0208803611738064E-2</v>
      </c>
      <c r="AP173" s="10">
        <f t="shared" si="390"/>
        <v>-1.1800000000000033E-2</v>
      </c>
      <c r="AQ173" s="10">
        <f t="shared" si="391"/>
        <v>8.5000000000000631E-3</v>
      </c>
      <c r="AR173" s="23"/>
    </row>
    <row r="174" spans="2:44">
      <c r="B174" s="5">
        <v>44043</v>
      </c>
      <c r="C174" s="2">
        <f t="shared" si="404"/>
        <v>4191.5908595070268</v>
      </c>
      <c r="D174" s="2">
        <f t="shared" si="404"/>
        <v>3981.4259999999999</v>
      </c>
      <c r="E174" s="2">
        <f t="shared" si="396"/>
        <v>155.5</v>
      </c>
      <c r="F174" s="2">
        <f t="shared" si="376"/>
        <v>155.40333333333334</v>
      </c>
      <c r="G174" s="2">
        <f t="shared" si="397"/>
        <v>154.6</v>
      </c>
      <c r="H174" s="2">
        <f t="shared" si="405"/>
        <v>153.23666666666668</v>
      </c>
      <c r="I174" s="12">
        <f t="shared" si="405"/>
        <v>0.76459360938495768</v>
      </c>
      <c r="J174" s="10">
        <f t="shared" si="386"/>
        <v>0.76957993148965442</v>
      </c>
      <c r="K174" s="10">
        <f t="shared" si="367"/>
        <v>0.18779528940443668</v>
      </c>
      <c r="L174" s="10">
        <f t="shared" si="367"/>
        <v>0.17837930107526881</v>
      </c>
      <c r="M174" s="10">
        <f t="shared" si="406"/>
        <v>0.98499999999999999</v>
      </c>
      <c r="N174" s="10">
        <f t="shared" si="406"/>
        <v>0.9378333333333333</v>
      </c>
      <c r="O174" s="10">
        <f t="shared" si="406"/>
        <v>0.98999999999999988</v>
      </c>
      <c r="P174" s="23">
        <f t="shared" si="406"/>
        <v>0.98959999999999992</v>
      </c>
      <c r="R174" s="81">
        <f t="shared" ref="R174:R180" si="418">D174/C174-1</f>
        <v>-5.0139640664199847E-2</v>
      </c>
      <c r="S174" s="10">
        <f t="shared" ref="S174:S180" si="419">H174/G174-1</f>
        <v>-8.8184562311339754E-3</v>
      </c>
      <c r="T174" s="10">
        <f t="shared" si="416"/>
        <v>-4.716666666666669E-2</v>
      </c>
      <c r="U174" s="10">
        <f t="shared" si="417"/>
        <v>-3.9999999999995595E-4</v>
      </c>
      <c r="V174" s="23"/>
      <c r="X174" s="5">
        <v>44043</v>
      </c>
      <c r="Y174" s="2">
        <f t="shared" si="411"/>
        <v>4175.8895635625313</v>
      </c>
      <c r="Z174" s="2">
        <f t="shared" si="411"/>
        <v>4217.79</v>
      </c>
      <c r="AA174" s="2">
        <f t="shared" si="402"/>
        <v>155.5</v>
      </c>
      <c r="AB174" s="2">
        <f t="shared" si="379"/>
        <v>154.95750000000001</v>
      </c>
      <c r="AC174" s="2">
        <f t="shared" si="403"/>
        <v>154.6</v>
      </c>
      <c r="AD174" s="2">
        <f t="shared" si="412"/>
        <v>153.27500000000001</v>
      </c>
      <c r="AE174" s="11">
        <f t="shared" si="412"/>
        <v>0.76179193437359982</v>
      </c>
      <c r="AF174" s="11">
        <f t="shared" si="412"/>
        <v>0.7944873648571813</v>
      </c>
      <c r="AG174" s="10">
        <f t="shared" si="368"/>
        <v>0.18710715735217121</v>
      </c>
      <c r="AH174" s="10">
        <f t="shared" si="368"/>
        <v>0.18914455645161288</v>
      </c>
      <c r="AI174" s="11">
        <f t="shared" si="413"/>
        <v>0.98499999999999999</v>
      </c>
      <c r="AJ174" s="11">
        <f t="shared" si="413"/>
        <v>0.96300000000000008</v>
      </c>
      <c r="AK174" s="11">
        <f t="shared" si="413"/>
        <v>0.99</v>
      </c>
      <c r="AL174" s="17">
        <f t="shared" si="413"/>
        <v>0.98670000000000002</v>
      </c>
      <c r="AN174" s="81">
        <f t="shared" si="381"/>
        <v>1.0033894766537488E-2</v>
      </c>
      <c r="AO174" s="10">
        <f t="shared" si="389"/>
        <v>-8.5705045278136049E-3</v>
      </c>
      <c r="AP174" s="10">
        <f t="shared" si="390"/>
        <v>-2.1999999999999909E-2</v>
      </c>
      <c r="AQ174" s="10">
        <f t="shared" si="391"/>
        <v>-3.2999999999999696E-3</v>
      </c>
      <c r="AR174" s="23"/>
    </row>
    <row r="175" spans="2:44">
      <c r="B175" s="5">
        <v>44074</v>
      </c>
      <c r="C175" s="2">
        <f t="shared" si="404"/>
        <v>3981.7478770993257</v>
      </c>
      <c r="D175" s="2">
        <f t="shared" si="404"/>
        <v>3485.34</v>
      </c>
      <c r="E175" s="2">
        <f t="shared" si="396"/>
        <v>145.4</v>
      </c>
      <c r="F175" s="2">
        <f t="shared" si="376"/>
        <v>135.80000000000001</v>
      </c>
      <c r="G175" s="2">
        <f t="shared" si="397"/>
        <v>146.30000000000001</v>
      </c>
      <c r="H175" s="2">
        <f t="shared" si="405"/>
        <v>136.48999999999998</v>
      </c>
      <c r="I175" s="12">
        <f t="shared" si="405"/>
        <v>0.767521764937518</v>
      </c>
      <c r="J175" s="10">
        <f t="shared" si="386"/>
        <v>0.75644583035508128</v>
      </c>
      <c r="K175" s="10">
        <f t="shared" ref="K175:L194" si="420">AVERAGE(K561,K432,K303)</f>
        <v>0.1783937220922637</v>
      </c>
      <c r="L175" s="10">
        <f t="shared" si="420"/>
        <v>0.15615322580645161</v>
      </c>
      <c r="M175" s="10">
        <f t="shared" si="406"/>
        <v>0.98499999999999999</v>
      </c>
      <c r="N175" s="10">
        <f t="shared" si="406"/>
        <v>0.93769999999999998</v>
      </c>
      <c r="O175" s="10">
        <f t="shared" si="406"/>
        <v>0.98999999999999988</v>
      </c>
      <c r="P175" s="23">
        <f t="shared" si="406"/>
        <v>0.99860000000000004</v>
      </c>
      <c r="R175" s="81">
        <f t="shared" si="418"/>
        <v>-0.1246708461764674</v>
      </c>
      <c r="S175" s="10">
        <f t="shared" si="419"/>
        <v>-6.7053998632946255E-2</v>
      </c>
      <c r="T175" s="10">
        <f t="shared" ref="T175:T180" si="421">N175-M175</f>
        <v>-4.7300000000000009E-2</v>
      </c>
      <c r="U175" s="10">
        <f t="shared" si="417"/>
        <v>8.6000000000001631E-3</v>
      </c>
      <c r="V175" s="23"/>
      <c r="X175" s="5">
        <v>44074</v>
      </c>
      <c r="Y175" s="2">
        <f t="shared" si="411"/>
        <v>3964.5267729649504</v>
      </c>
      <c r="Z175" s="2">
        <f t="shared" si="411"/>
        <v>3453.3179999999998</v>
      </c>
      <c r="AA175" s="2">
        <f t="shared" si="402"/>
        <v>145.4</v>
      </c>
      <c r="AB175" s="2">
        <f t="shared" si="379"/>
        <v>135.185</v>
      </c>
      <c r="AC175" s="2">
        <f t="shared" si="403"/>
        <v>146.30000000000001</v>
      </c>
      <c r="AD175" s="2">
        <f t="shared" si="412"/>
        <v>135.81249999999997</v>
      </c>
      <c r="AE175" s="11">
        <f t="shared" si="412"/>
        <v>0.76424910922155376</v>
      </c>
      <c r="AF175" s="11">
        <f t="shared" si="412"/>
        <v>0.79252160641355685</v>
      </c>
      <c r="AG175" s="10">
        <f t="shared" ref="AG175:AH194" si="422">AVERAGE(AG690,AG303,AG432,AG561)</f>
        <v>0.1776330645305268</v>
      </c>
      <c r="AH175" s="10">
        <f t="shared" si="422"/>
        <v>0.15533548387096777</v>
      </c>
      <c r="AI175" s="11">
        <f t="shared" si="413"/>
        <v>0.98499999999999999</v>
      </c>
      <c r="AJ175" s="11">
        <f t="shared" si="413"/>
        <v>0.89487500000000009</v>
      </c>
      <c r="AK175" s="11">
        <f t="shared" si="413"/>
        <v>0.99</v>
      </c>
      <c r="AL175" s="17">
        <f t="shared" si="413"/>
        <v>0.99880000000000002</v>
      </c>
      <c r="AN175" s="81">
        <f t="shared" si="381"/>
        <v>-0.12894572347221989</v>
      </c>
      <c r="AO175" s="10">
        <f t="shared" si="389"/>
        <v>-7.1684894053315351E-2</v>
      </c>
      <c r="AP175" s="10">
        <f t="shared" si="390"/>
        <v>-9.01249999999999E-2</v>
      </c>
      <c r="AQ175" s="10">
        <f t="shared" si="391"/>
        <v>8.80000000000003E-3</v>
      </c>
      <c r="AR175" s="23"/>
    </row>
    <row r="176" spans="2:44">
      <c r="B176" s="5">
        <v>44104</v>
      </c>
      <c r="C176" s="2">
        <f t="shared" si="404"/>
        <v>3963.5798058061223</v>
      </c>
      <c r="D176" s="2">
        <f t="shared" si="404"/>
        <v>3977.3040000000001</v>
      </c>
      <c r="E176" s="2">
        <f t="shared" si="396"/>
        <v>141.6</v>
      </c>
      <c r="F176" s="2">
        <f t="shared" si="376"/>
        <v>146.39666666666668</v>
      </c>
      <c r="G176" s="2">
        <f t="shared" si="397"/>
        <v>145.5</v>
      </c>
      <c r="H176" s="2">
        <f t="shared" si="405"/>
        <v>158.10333333333332</v>
      </c>
      <c r="I176" s="12">
        <f t="shared" si="405"/>
        <v>0.76822048284522182</v>
      </c>
      <c r="J176" s="12">
        <f t="shared" si="386"/>
        <v>0.7089625761400602</v>
      </c>
      <c r="K176" s="12">
        <f t="shared" si="420"/>
        <v>0.1834990650836168</v>
      </c>
      <c r="L176" s="12">
        <f t="shared" si="420"/>
        <v>0.18413444444444446</v>
      </c>
      <c r="M176" s="12">
        <f t="shared" si="406"/>
        <v>0.98499999999999999</v>
      </c>
      <c r="N176" s="10">
        <f t="shared" si="406"/>
        <v>0.98570000000000002</v>
      </c>
      <c r="O176" s="10">
        <f t="shared" si="406"/>
        <v>0.98999999999999988</v>
      </c>
      <c r="P176" s="23">
        <f t="shared" si="406"/>
        <v>0.99429999999999996</v>
      </c>
      <c r="R176" s="81">
        <f t="shared" si="418"/>
        <v>3.4625754661918862E-3</v>
      </c>
      <c r="S176" s="10">
        <f t="shared" si="419"/>
        <v>8.6620847651775357E-2</v>
      </c>
      <c r="T176" s="10">
        <f t="shared" si="421"/>
        <v>7.0000000000003393E-4</v>
      </c>
      <c r="U176" s="10">
        <f t="shared" si="417"/>
        <v>4.3000000000000815E-3</v>
      </c>
      <c r="V176" s="23"/>
      <c r="X176" s="5">
        <v>44104</v>
      </c>
      <c r="Y176" s="2">
        <f t="shared" si="411"/>
        <v>3951.2655249191139</v>
      </c>
      <c r="Z176" s="2">
        <f t="shared" si="411"/>
        <v>4064.268</v>
      </c>
      <c r="AA176" s="2">
        <f t="shared" si="402"/>
        <v>141.6</v>
      </c>
      <c r="AB176" s="2">
        <f t="shared" si="379"/>
        <v>145.72499999999999</v>
      </c>
      <c r="AC176" s="2">
        <f t="shared" si="403"/>
        <v>145.5</v>
      </c>
      <c r="AD176" s="2">
        <f t="shared" si="412"/>
        <v>155.92499999999998</v>
      </c>
      <c r="AE176" s="11">
        <f t="shared" si="412"/>
        <v>0.76587197189786838</v>
      </c>
      <c r="AF176" s="11">
        <f t="shared" si="412"/>
        <v>0.75615932105113515</v>
      </c>
      <c r="AG176" s="10">
        <f t="shared" si="422"/>
        <v>0.18293809388745455</v>
      </c>
      <c r="AH176" s="10">
        <f t="shared" si="422"/>
        <v>0.18805479166666667</v>
      </c>
      <c r="AI176" s="11">
        <f t="shared" si="413"/>
        <v>0.98499999999999999</v>
      </c>
      <c r="AJ176" s="11">
        <f t="shared" si="413"/>
        <v>0.95722499999999999</v>
      </c>
      <c r="AK176" s="11">
        <f t="shared" si="413"/>
        <v>0.99</v>
      </c>
      <c r="AL176" s="17">
        <f t="shared" si="413"/>
        <v>0.99739999999999995</v>
      </c>
      <c r="AN176" s="81">
        <f t="shared" si="381"/>
        <v>2.8599058799825716E-2</v>
      </c>
      <c r="AO176" s="10">
        <f t="shared" si="389"/>
        <v>7.1649484536082442E-2</v>
      </c>
      <c r="AP176" s="10">
        <f t="shared" si="390"/>
        <v>-2.7774999999999994E-2</v>
      </c>
      <c r="AQ176" s="10">
        <f t="shared" si="391"/>
        <v>7.3999999999999622E-3</v>
      </c>
      <c r="AR176" s="23"/>
    </row>
    <row r="177" spans="2:44">
      <c r="B177" s="5">
        <v>44135</v>
      </c>
      <c r="C177" s="2">
        <f t="shared" si="404"/>
        <v>4532.2450517273182</v>
      </c>
      <c r="D177" s="2">
        <f t="shared" si="404"/>
        <v>4271.25</v>
      </c>
      <c r="E177" s="2">
        <f t="shared" si="396"/>
        <v>139.1</v>
      </c>
      <c r="F177" s="2">
        <f t="shared" si="376"/>
        <v>135.99</v>
      </c>
      <c r="G177" s="2">
        <f t="shared" si="397"/>
        <v>172.19999999999996</v>
      </c>
      <c r="H177" s="2">
        <f t="shared" si="405"/>
        <v>172.92999999999998</v>
      </c>
      <c r="I177" s="12">
        <f t="shared" si="405"/>
        <v>0.74223512903373134</v>
      </c>
      <c r="J177" s="10">
        <f t="shared" si="386"/>
        <v>0.68908143746385209</v>
      </c>
      <c r="K177" s="12">
        <f t="shared" si="420"/>
        <v>0.20305757400211999</v>
      </c>
      <c r="L177" s="12">
        <f t="shared" si="420"/>
        <v>0.19136424731182797</v>
      </c>
      <c r="M177" s="12">
        <f t="shared" si="406"/>
        <v>0.98499999999999999</v>
      </c>
      <c r="N177" s="10">
        <f t="shared" si="406"/>
        <v>0.9956666666666667</v>
      </c>
      <c r="O177" s="10">
        <f t="shared" si="406"/>
        <v>0.98999999999999988</v>
      </c>
      <c r="P177" s="23">
        <f t="shared" si="406"/>
        <v>0.99970000000000014</v>
      </c>
      <c r="R177" s="81">
        <f t="shared" si="418"/>
        <v>-5.7586262161144264E-2</v>
      </c>
      <c r="S177" s="10">
        <f t="shared" si="419"/>
        <v>4.239256678281178E-3</v>
      </c>
      <c r="T177" s="10">
        <f t="shared" si="421"/>
        <v>1.0666666666666713E-2</v>
      </c>
      <c r="U177" s="10">
        <f t="shared" ref="U177:U178" si="423">P177-O177</f>
        <v>9.700000000000264E-3</v>
      </c>
      <c r="V177" s="23"/>
      <c r="X177" s="5">
        <v>44135</v>
      </c>
      <c r="Y177" s="2">
        <f t="shared" si="411"/>
        <v>4528.3120408479435</v>
      </c>
      <c r="Z177" s="2">
        <f t="shared" si="411"/>
        <v>4431.9660000000003</v>
      </c>
      <c r="AA177" s="2">
        <f t="shared" si="402"/>
        <v>139.1</v>
      </c>
      <c r="AB177" s="2">
        <f t="shared" si="379"/>
        <v>138.57</v>
      </c>
      <c r="AC177" s="2">
        <f t="shared" si="403"/>
        <v>172.2</v>
      </c>
      <c r="AD177" s="2">
        <f t="shared" si="412"/>
        <v>173.32750000000001</v>
      </c>
      <c r="AE177" s="11">
        <f t="shared" si="412"/>
        <v>0.74164928611913372</v>
      </c>
      <c r="AF177" s="11">
        <f t="shared" si="412"/>
        <v>0.71513649446779048</v>
      </c>
      <c r="AG177" s="10">
        <f t="shared" si="422"/>
        <v>0.20289730155430502</v>
      </c>
      <c r="AH177" s="10">
        <f t="shared" si="422"/>
        <v>0.19885161290322578</v>
      </c>
      <c r="AI177" s="11">
        <f t="shared" si="413"/>
        <v>0.98499999999999999</v>
      </c>
      <c r="AJ177" s="11">
        <f t="shared" si="413"/>
        <v>0.99465000000000003</v>
      </c>
      <c r="AK177" s="11">
        <f t="shared" si="413"/>
        <v>0.99</v>
      </c>
      <c r="AL177" s="17">
        <f t="shared" si="413"/>
        <v>1</v>
      </c>
      <c r="AN177" s="81">
        <f t="shared" si="381"/>
        <v>-2.1276369644769866E-2</v>
      </c>
      <c r="AO177" s="10">
        <f t="shared" si="389"/>
        <v>6.5476190476192464E-3</v>
      </c>
      <c r="AP177" s="10">
        <f t="shared" si="390"/>
        <v>9.6500000000000474E-3</v>
      </c>
      <c r="AQ177" s="10">
        <f t="shared" si="391"/>
        <v>1.0000000000000009E-2</v>
      </c>
      <c r="AR177" s="23"/>
    </row>
    <row r="178" spans="2:44">
      <c r="B178" s="5">
        <v>44165</v>
      </c>
      <c r="C178" s="2">
        <f t="shared" si="404"/>
        <v>4016.2678064947381</v>
      </c>
      <c r="D178" s="2">
        <f t="shared" si="404"/>
        <v>3314.13</v>
      </c>
      <c r="E178" s="2">
        <f t="shared" si="396"/>
        <v>108.09999999999998</v>
      </c>
      <c r="F178" s="2">
        <f t="shared" si="376"/>
        <v>101.95666666666666</v>
      </c>
      <c r="G178" s="2">
        <f t="shared" si="397"/>
        <v>152.1</v>
      </c>
      <c r="H178" s="2">
        <f t="shared" si="405"/>
        <v>140.60666666666668</v>
      </c>
      <c r="I178" s="12">
        <f t="shared" si="405"/>
        <v>0.74465432923740282</v>
      </c>
      <c r="J178" s="10">
        <f t="shared" si="386"/>
        <v>0.6840882155453466</v>
      </c>
      <c r="K178" s="12">
        <f t="shared" si="420"/>
        <v>0.18593832437475641</v>
      </c>
      <c r="L178" s="12">
        <f t="shared" si="420"/>
        <v>0.15343194444444444</v>
      </c>
      <c r="M178" s="12">
        <f t="shared" si="406"/>
        <v>0.98499999999999999</v>
      </c>
      <c r="N178" s="10">
        <f t="shared" si="406"/>
        <v>0.95710000000000006</v>
      </c>
      <c r="O178" s="10">
        <f t="shared" si="406"/>
        <v>0.98999999999999988</v>
      </c>
      <c r="P178" s="23">
        <f t="shared" si="406"/>
        <v>0.99630000000000007</v>
      </c>
      <c r="Q178" s="112">
        <f t="shared" ref="Q178" si="424">R178-S178-T178</f>
        <v>-7.1359131379084784E-2</v>
      </c>
      <c r="R178" s="81">
        <f t="shared" si="418"/>
        <v>-0.17482345309725245</v>
      </c>
      <c r="S178" s="10">
        <f t="shared" si="419"/>
        <v>-7.5564321718167737E-2</v>
      </c>
      <c r="T178" s="10">
        <f t="shared" si="421"/>
        <v>-2.7899999999999925E-2</v>
      </c>
      <c r="U178" s="10">
        <f t="shared" si="423"/>
        <v>6.3000000000001943E-3</v>
      </c>
      <c r="V178" s="23"/>
      <c r="X178" s="5">
        <v>44165</v>
      </c>
      <c r="Y178" s="2">
        <f t="shared" si="411"/>
        <v>4008.1254407549404</v>
      </c>
      <c r="Z178" s="2">
        <f t="shared" si="411"/>
        <v>3489.2160000000003</v>
      </c>
      <c r="AA178" s="2">
        <f t="shared" si="402"/>
        <v>108.1</v>
      </c>
      <c r="AB178" s="2">
        <f t="shared" si="379"/>
        <v>101.6525</v>
      </c>
      <c r="AC178" s="2">
        <f t="shared" si="403"/>
        <v>152.1</v>
      </c>
      <c r="AD178" s="2">
        <f t="shared" si="412"/>
        <v>142.88249999999999</v>
      </c>
      <c r="AE178" s="11">
        <f t="shared" si="412"/>
        <v>0.74319006443110047</v>
      </c>
      <c r="AF178" s="11">
        <f t="shared" si="412"/>
        <v>0.70287415676290665</v>
      </c>
      <c r="AG178" s="10">
        <f t="shared" si="422"/>
        <v>0.18557270111328472</v>
      </c>
      <c r="AH178" s="10">
        <f t="shared" si="422"/>
        <v>0.16152520833333334</v>
      </c>
      <c r="AI178" s="11">
        <f t="shared" si="413"/>
        <v>0.98499999999999999</v>
      </c>
      <c r="AJ178" s="11">
        <f t="shared" si="413"/>
        <v>0.96500000000000008</v>
      </c>
      <c r="AK178" s="11">
        <f t="shared" si="413"/>
        <v>0.99</v>
      </c>
      <c r="AL178" s="17">
        <f t="shared" si="413"/>
        <v>0.99629999999999996</v>
      </c>
      <c r="AN178" s="81">
        <f t="shared" si="381"/>
        <v>-0.12946437141877531</v>
      </c>
      <c r="AO178" s="10">
        <f t="shared" si="389"/>
        <v>-6.0601577909270232E-2</v>
      </c>
      <c r="AP178" s="10">
        <f t="shared" si="390"/>
        <v>-1.9999999999999907E-2</v>
      </c>
      <c r="AQ178" s="10">
        <f t="shared" si="391"/>
        <v>6.2999999999999723E-3</v>
      </c>
      <c r="AR178" s="23"/>
    </row>
    <row r="179" spans="2:44">
      <c r="B179" s="5">
        <v>44196</v>
      </c>
      <c r="C179" s="2">
        <f t="shared" si="404"/>
        <v>3374.9298185250918</v>
      </c>
      <c r="D179" s="2">
        <f t="shared" si="404"/>
        <v>2956.5239999999999</v>
      </c>
      <c r="E179" s="2">
        <f t="shared" si="396"/>
        <v>89.90000000000002</v>
      </c>
      <c r="F179" s="2">
        <f t="shared" si="376"/>
        <v>83.35</v>
      </c>
      <c r="G179" s="2">
        <f t="shared" si="397"/>
        <v>129.6</v>
      </c>
      <c r="H179" s="2">
        <f t="shared" si="405"/>
        <v>119.08999999999999</v>
      </c>
      <c r="I179" s="12">
        <f t="shared" si="405"/>
        <v>0.73438029167908991</v>
      </c>
      <c r="J179" s="10">
        <f t="shared" si="386"/>
        <v>0.69444361487636053</v>
      </c>
      <c r="K179" s="12">
        <f t="shared" si="420"/>
        <v>0.15120653308804174</v>
      </c>
      <c r="L179" s="12">
        <f t="shared" si="420"/>
        <v>0.13246075268817206</v>
      </c>
      <c r="M179" s="12">
        <f t="shared" si="406"/>
        <v>0.98499999999999999</v>
      </c>
      <c r="N179" s="10">
        <f t="shared" si="406"/>
        <v>0.99303333333333332</v>
      </c>
      <c r="O179" s="10">
        <f t="shared" si="406"/>
        <v>0.98999999999999988</v>
      </c>
      <c r="P179" s="23">
        <f t="shared" si="406"/>
        <v>0.99780000000000013</v>
      </c>
      <c r="R179" s="81">
        <f t="shared" si="418"/>
        <v>-0.12397467237050375</v>
      </c>
      <c r="S179" s="10">
        <f t="shared" si="419"/>
        <v>-8.1095679012345712E-2</v>
      </c>
      <c r="T179" s="10">
        <f t="shared" si="421"/>
        <v>8.0333333333333368E-3</v>
      </c>
      <c r="U179" s="10">
        <f t="shared" ref="U179:U180" si="425">P179-O179</f>
        <v>7.8000000000002512E-3</v>
      </c>
      <c r="V179" s="23"/>
      <c r="X179" s="5">
        <v>44196</v>
      </c>
      <c r="Y179" s="2">
        <f t="shared" si="411"/>
        <v>3366.452903202528</v>
      </c>
      <c r="Z179" s="2">
        <f t="shared" si="411"/>
        <v>3053.6909999999998</v>
      </c>
      <c r="AA179" s="2">
        <f t="shared" si="402"/>
        <v>89.9</v>
      </c>
      <c r="AB179" s="2">
        <f t="shared" si="379"/>
        <v>82.194999999999993</v>
      </c>
      <c r="AC179" s="2">
        <f t="shared" si="403"/>
        <v>129.6</v>
      </c>
      <c r="AD179" s="2">
        <f t="shared" si="412"/>
        <v>119.935</v>
      </c>
      <c r="AE179" s="11">
        <f t="shared" si="412"/>
        <v>0.7325885896873483</v>
      </c>
      <c r="AF179" s="11">
        <f t="shared" si="412"/>
        <v>0.71338463686650266</v>
      </c>
      <c r="AG179" s="10">
        <f t="shared" si="422"/>
        <v>0.15083762742762602</v>
      </c>
      <c r="AH179" s="10">
        <f t="shared" si="422"/>
        <v>0.13682459677419354</v>
      </c>
      <c r="AI179" s="11">
        <f t="shared" si="413"/>
        <v>0.98499999999999999</v>
      </c>
      <c r="AJ179" s="11">
        <f t="shared" si="413"/>
        <v>0.99137500000000012</v>
      </c>
      <c r="AK179" s="11">
        <f t="shared" si="413"/>
        <v>0.99</v>
      </c>
      <c r="AL179" s="17">
        <f t="shared" si="413"/>
        <v>0.99790000000000001</v>
      </c>
      <c r="AN179" s="81">
        <f t="shared" si="381"/>
        <v>-9.2905474157976675E-2</v>
      </c>
      <c r="AO179" s="10">
        <f t="shared" si="389"/>
        <v>-7.4575617283950568E-2</v>
      </c>
      <c r="AP179" s="10">
        <f t="shared" si="390"/>
        <v>6.3750000000001306E-3</v>
      </c>
      <c r="AQ179" s="10">
        <f t="shared" si="391"/>
        <v>7.9000000000000181E-3</v>
      </c>
      <c r="AR179" s="23"/>
    </row>
    <row r="180" spans="2:44">
      <c r="B180" s="5">
        <v>44227</v>
      </c>
      <c r="C180" s="2">
        <f t="shared" si="404"/>
        <v>2850.0803432793127</v>
      </c>
      <c r="D180" s="2">
        <f t="shared" si="404"/>
        <v>2308.3140000000003</v>
      </c>
      <c r="E180" s="2">
        <f t="shared" si="396"/>
        <v>79.599999999999994</v>
      </c>
      <c r="F180" s="2">
        <f t="shared" si="376"/>
        <v>71.09999999999998</v>
      </c>
      <c r="G180" s="2">
        <f t="shared" si="397"/>
        <v>103.2</v>
      </c>
      <c r="H180" s="2">
        <f t="shared" si="405"/>
        <v>92.646666666666647</v>
      </c>
      <c r="I180" s="12">
        <f t="shared" si="405"/>
        <v>0.77882283107489625</v>
      </c>
      <c r="J180" s="10">
        <f t="shared" si="386"/>
        <v>0.7074972189955645</v>
      </c>
      <c r="K180" s="12">
        <f t="shared" si="420"/>
        <v>0.12769177165229897</v>
      </c>
      <c r="L180" s="12">
        <f t="shared" si="420"/>
        <v>0.10341908602150539</v>
      </c>
      <c r="M180" s="12">
        <f t="shared" si="406"/>
        <v>0.98499999999999999</v>
      </c>
      <c r="N180" s="10">
        <f t="shared" si="406"/>
        <v>0.97836666666666661</v>
      </c>
      <c r="O180" s="10">
        <f t="shared" si="406"/>
        <v>0.98999999999999988</v>
      </c>
      <c r="P180" s="23">
        <f t="shared" si="406"/>
        <v>1</v>
      </c>
      <c r="R180" s="81">
        <f t="shared" si="418"/>
        <v>-0.19008809508013869</v>
      </c>
      <c r="S180" s="10">
        <f t="shared" si="419"/>
        <v>-0.10226098191214494</v>
      </c>
      <c r="T180" s="10">
        <f t="shared" si="421"/>
        <v>-6.6333333333333799E-3</v>
      </c>
      <c r="U180" s="10">
        <f t="shared" si="425"/>
        <v>1.000000000000012E-2</v>
      </c>
      <c r="V180" s="23"/>
      <c r="X180" s="5">
        <v>44227</v>
      </c>
      <c r="Y180" s="2">
        <f t="shared" si="411"/>
        <v>2833.0743562922148</v>
      </c>
      <c r="Z180" s="2">
        <f t="shared" si="411"/>
        <v>2428.6469999999999</v>
      </c>
      <c r="AA180" s="2">
        <f t="shared" si="402"/>
        <v>79.599999999999994</v>
      </c>
      <c r="AB180" s="2">
        <f t="shared" si="379"/>
        <v>69.78</v>
      </c>
      <c r="AC180" s="2">
        <f t="shared" si="403"/>
        <v>103.2</v>
      </c>
      <c r="AD180" s="2">
        <f t="shared" si="412"/>
        <v>92.475000000000009</v>
      </c>
      <c r="AE180" s="11">
        <f t="shared" si="412"/>
        <v>0.77423017210988454</v>
      </c>
      <c r="AF180" s="11">
        <f t="shared" si="412"/>
        <v>0.73716082628905422</v>
      </c>
      <c r="AG180" s="10">
        <f t="shared" si="422"/>
        <v>0.12693878299244193</v>
      </c>
      <c r="AH180" s="10">
        <f t="shared" si="422"/>
        <v>0.10895786290322582</v>
      </c>
      <c r="AI180" s="11">
        <f t="shared" si="413"/>
        <v>0.98499999999999999</v>
      </c>
      <c r="AJ180" s="11">
        <f t="shared" si="413"/>
        <v>0.99092500000000006</v>
      </c>
      <c r="AK180" s="11">
        <f t="shared" si="413"/>
        <v>0.99</v>
      </c>
      <c r="AL180" s="17">
        <f t="shared" si="413"/>
        <v>1</v>
      </c>
      <c r="AN180" s="81">
        <f t="shared" si="381"/>
        <v>-0.14275211499267149</v>
      </c>
      <c r="AO180" s="10">
        <f t="shared" si="389"/>
        <v>-0.10392441860465107</v>
      </c>
      <c r="AP180" s="10">
        <f t="shared" si="390"/>
        <v>5.9250000000000691E-3</v>
      </c>
      <c r="AQ180" s="10">
        <f t="shared" si="391"/>
        <v>1.0000000000000009E-2</v>
      </c>
      <c r="AR180" s="23"/>
    </row>
    <row r="181" spans="2:44">
      <c r="B181" s="5">
        <v>44255</v>
      </c>
      <c r="C181" s="2">
        <f t="shared" si="404"/>
        <v>3731.3527385532079</v>
      </c>
      <c r="D181" s="2">
        <f t="shared" si="404"/>
        <v>3296.4780000000001</v>
      </c>
      <c r="E181" s="2">
        <f t="shared" si="396"/>
        <v>108.09999999999998</v>
      </c>
      <c r="F181" s="2">
        <f t="shared" si="376"/>
        <v>106.08333333333333</v>
      </c>
      <c r="G181" s="2">
        <f t="shared" si="397"/>
        <v>137.5</v>
      </c>
      <c r="H181" s="2">
        <f t="shared" si="405"/>
        <v>140.10666666666668</v>
      </c>
      <c r="I181" s="12">
        <f t="shared" si="405"/>
        <v>0.76528795335142441</v>
      </c>
      <c r="J181" s="10">
        <f t="shared" si="386"/>
        <v>0.72866339901234056</v>
      </c>
      <c r="K181" s="12">
        <f t="shared" si="420"/>
        <v>0.18508694139648849</v>
      </c>
      <c r="L181" s="12">
        <f t="shared" si="420"/>
        <v>0.16351577380952378</v>
      </c>
      <c r="M181" s="12">
        <f t="shared" si="406"/>
        <v>0.98499999999999999</v>
      </c>
      <c r="N181" s="10">
        <f t="shared" si="406"/>
        <v>0.89696428571428577</v>
      </c>
      <c r="O181" s="10">
        <f t="shared" si="406"/>
        <v>0.98999999999999988</v>
      </c>
      <c r="P181" s="23">
        <f t="shared" si="406"/>
        <v>1</v>
      </c>
      <c r="R181" s="81">
        <f t="shared" ref="R181" si="426">D181/C181-1</f>
        <v>-0.1165461346122495</v>
      </c>
      <c r="S181" s="10">
        <f t="shared" ref="S181" si="427">H181/G181-1</f>
        <v>1.8957575757575951E-2</v>
      </c>
      <c r="T181" s="10">
        <f t="shared" ref="T181" si="428">N181-M181</f>
        <v>-8.8035714285714217E-2</v>
      </c>
      <c r="U181" s="10">
        <f t="shared" ref="U181" si="429">P181-O181</f>
        <v>1.000000000000012E-2</v>
      </c>
      <c r="V181" s="23"/>
      <c r="X181" s="5">
        <v>44255</v>
      </c>
      <c r="Y181" s="2">
        <f t="shared" si="411"/>
        <v>3719.3957562185969</v>
      </c>
      <c r="Z181" s="2">
        <f t="shared" si="411"/>
        <v>3375.0060000000003</v>
      </c>
      <c r="AA181" s="2">
        <f t="shared" si="402"/>
        <v>108.1</v>
      </c>
      <c r="AB181" s="2">
        <f t="shared" si="379"/>
        <v>107.07499999999999</v>
      </c>
      <c r="AC181" s="2">
        <f t="shared" si="403"/>
        <v>137.5</v>
      </c>
      <c r="AD181" s="2">
        <f t="shared" si="412"/>
        <v>141.79000000000002</v>
      </c>
      <c r="AE181" s="11">
        <f t="shared" si="412"/>
        <v>0.76290201158025073</v>
      </c>
      <c r="AF181" s="11">
        <f t="shared" si="412"/>
        <v>0.75845313801398706</v>
      </c>
      <c r="AG181" s="10">
        <f t="shared" si="422"/>
        <v>0.18450989498821468</v>
      </c>
      <c r="AH181" s="10">
        <f t="shared" si="422"/>
        <v>0.16785602678571429</v>
      </c>
      <c r="AI181" s="11">
        <f t="shared" si="413"/>
        <v>0.98499999999999999</v>
      </c>
      <c r="AJ181" s="11">
        <f t="shared" si="413"/>
        <v>0.87411050732142859</v>
      </c>
      <c r="AK181" s="11">
        <f t="shared" si="413"/>
        <v>0.99</v>
      </c>
      <c r="AL181" s="17">
        <f t="shared" si="413"/>
        <v>1</v>
      </c>
      <c r="AN181" s="81">
        <f t="shared" si="381"/>
        <v>-9.2592931430541814E-2</v>
      </c>
      <c r="AO181" s="10">
        <f t="shared" si="389"/>
        <v>3.1200000000000117E-2</v>
      </c>
      <c r="AP181" s="10">
        <f t="shared" si="390"/>
        <v>-0.1108894926785714</v>
      </c>
      <c r="AQ181" s="10">
        <f t="shared" si="391"/>
        <v>1.0000000000000009E-2</v>
      </c>
      <c r="AR181" s="23"/>
    </row>
    <row r="182" spans="2:44">
      <c r="B182" s="5">
        <v>44286</v>
      </c>
      <c r="C182" s="2">
        <f t="shared" si="404"/>
        <v>4992.250165637397</v>
      </c>
      <c r="D182" s="2">
        <f t="shared" si="404"/>
        <v>4487.04</v>
      </c>
      <c r="E182" s="2">
        <f t="shared" si="396"/>
        <v>161.4</v>
      </c>
      <c r="F182" s="2">
        <f t="shared" si="376"/>
        <v>154.45666666666665</v>
      </c>
      <c r="G182" s="2">
        <f t="shared" si="397"/>
        <v>187.80000000000004</v>
      </c>
      <c r="H182" s="2">
        <f t="shared" si="405"/>
        <v>179.52666666666664</v>
      </c>
      <c r="I182" s="12">
        <f t="shared" si="405"/>
        <v>0.74965599926560744</v>
      </c>
      <c r="J182" s="10">
        <f t="shared" si="386"/>
        <v>0.69821458941612347</v>
      </c>
      <c r="K182" s="12">
        <f t="shared" si="420"/>
        <v>0.22366712211637077</v>
      </c>
      <c r="L182" s="12">
        <f t="shared" si="420"/>
        <v>0.20103225806451611</v>
      </c>
      <c r="M182" s="12">
        <f t="shared" si="406"/>
        <v>0.98499999999999999</v>
      </c>
      <c r="N182" s="10">
        <f t="shared" si="406"/>
        <v>0.99447096774193555</v>
      </c>
      <c r="O182" s="10">
        <f t="shared" si="406"/>
        <v>0.98999999999999988</v>
      </c>
      <c r="P182" s="23">
        <f t="shared" si="406"/>
        <v>1</v>
      </c>
      <c r="R182" s="81">
        <f t="shared" ref="R182:R193" si="430">D182/C182-1</f>
        <v>-0.10119888805149513</v>
      </c>
      <c r="S182" s="10">
        <f t="shared" ref="S182:S193" si="431">H182/G182-1</f>
        <v>-4.4053958111466396E-2</v>
      </c>
      <c r="T182" s="10">
        <f t="shared" ref="T182:T193" si="432">N182-M182</f>
        <v>9.4709677419355653E-3</v>
      </c>
      <c r="U182" s="10">
        <f t="shared" ref="U182:U193" si="433">P182-O182</f>
        <v>1.000000000000012E-2</v>
      </c>
      <c r="V182" s="23"/>
      <c r="X182" s="5">
        <v>44286</v>
      </c>
      <c r="Y182" s="2">
        <f t="shared" si="411"/>
        <v>4988.2804839115297</v>
      </c>
      <c r="Z182" s="2">
        <f t="shared" si="411"/>
        <v>4598.1450000000004</v>
      </c>
      <c r="AA182" s="2">
        <f t="shared" si="402"/>
        <v>161.4</v>
      </c>
      <c r="AB182" s="2">
        <f t="shared" si="379"/>
        <v>157.23499999999996</v>
      </c>
      <c r="AC182" s="2">
        <f t="shared" si="403"/>
        <v>187.8</v>
      </c>
      <c r="AD182" s="2">
        <f t="shared" si="412"/>
        <v>181.18</v>
      </c>
      <c r="AE182" s="11">
        <f t="shared" si="412"/>
        <v>0.74911583266601978</v>
      </c>
      <c r="AF182" s="11">
        <f t="shared" si="412"/>
        <v>0.72424545625332826</v>
      </c>
      <c r="AG182" s="10">
        <f t="shared" si="422"/>
        <v>0.22350595818396507</v>
      </c>
      <c r="AH182" s="10">
        <f t="shared" si="422"/>
        <v>0.20634959677419357</v>
      </c>
      <c r="AI182" s="11">
        <f t="shared" si="413"/>
        <v>0.98499999999999999</v>
      </c>
      <c r="AJ182" s="11">
        <f t="shared" si="413"/>
        <v>0.97521693548387089</v>
      </c>
      <c r="AK182" s="11">
        <f t="shared" si="413"/>
        <v>0.99</v>
      </c>
      <c r="AL182" s="17">
        <f t="shared" si="413"/>
        <v>1</v>
      </c>
      <c r="AN182" s="81">
        <f t="shared" si="381"/>
        <v>-7.8210414424332186E-2</v>
      </c>
      <c r="AO182" s="10">
        <f t="shared" si="389"/>
        <v>-3.5250266240681616E-2</v>
      </c>
      <c r="AP182" s="10">
        <f t="shared" si="390"/>
        <v>-9.7830645161290919E-3</v>
      </c>
      <c r="AQ182" s="10">
        <f t="shared" si="391"/>
        <v>1.0000000000000009E-2</v>
      </c>
      <c r="AR182" s="23"/>
    </row>
    <row r="183" spans="2:44">
      <c r="B183" s="25">
        <v>44316</v>
      </c>
      <c r="C183" s="26">
        <f t="shared" si="404"/>
        <v>5160.3695952863272</v>
      </c>
      <c r="D183" s="26">
        <f t="shared" si="404"/>
        <v>4516.308</v>
      </c>
      <c r="E183" s="26">
        <f t="shared" si="396"/>
        <v>190.19999999999996</v>
      </c>
      <c r="F183" s="26">
        <f t="shared" si="376"/>
        <v>179.97000000000003</v>
      </c>
      <c r="G183" s="26">
        <f t="shared" si="397"/>
        <v>194</v>
      </c>
      <c r="H183" s="26">
        <f t="shared" si="405"/>
        <v>184.82999999999996</v>
      </c>
      <c r="I183" s="31">
        <f t="shared" si="405"/>
        <v>0.75013658417010121</v>
      </c>
      <c r="J183" s="29">
        <f t="shared" si="386"/>
        <v>0.69208229525372056</v>
      </c>
      <c r="K183" s="29">
        <f t="shared" si="420"/>
        <v>0.2389059997817744</v>
      </c>
      <c r="L183" s="29">
        <f t="shared" si="420"/>
        <v>0.20908833333333332</v>
      </c>
      <c r="M183" s="29">
        <f t="shared" si="406"/>
        <v>0.98499999999999999</v>
      </c>
      <c r="N183" s="29">
        <f t="shared" si="406"/>
        <v>0.98075674999999995</v>
      </c>
      <c r="O183" s="29">
        <f t="shared" si="406"/>
        <v>0.98999999999999988</v>
      </c>
      <c r="P183" s="32">
        <f t="shared" si="406"/>
        <v>0.98850000000000005</v>
      </c>
      <c r="Q183" s="96">
        <f>R183-S183</f>
        <v>-7.7541157676591532E-2</v>
      </c>
      <c r="R183" s="87">
        <f t="shared" si="430"/>
        <v>-0.12480919891370512</v>
      </c>
      <c r="S183" s="29">
        <f t="shared" si="431"/>
        <v>-4.7268041237113589E-2</v>
      </c>
      <c r="T183" s="29">
        <f t="shared" si="432"/>
        <v>-4.2432500000000317E-3</v>
      </c>
      <c r="U183" s="29">
        <f t="shared" si="433"/>
        <v>-1.4999999999998348E-3</v>
      </c>
      <c r="V183" s="32">
        <f t="shared" ref="V183:V228" si="434">AVERAGE(V569,V440,V311)</f>
        <v>-2.1575344458401865E-2</v>
      </c>
      <c r="X183" s="25">
        <v>44316</v>
      </c>
      <c r="Y183" s="26">
        <f t="shared" si="411"/>
        <v>5160.5379856178761</v>
      </c>
      <c r="Z183" s="26">
        <f t="shared" si="411"/>
        <v>4647.3450000000003</v>
      </c>
      <c r="AA183" s="26">
        <f t="shared" si="402"/>
        <v>190.2</v>
      </c>
      <c r="AB183" s="26">
        <f t="shared" si="379"/>
        <v>180.76499999999999</v>
      </c>
      <c r="AC183" s="26">
        <f t="shared" si="403"/>
        <v>194</v>
      </c>
      <c r="AD183" s="26">
        <f t="shared" si="412"/>
        <v>183.39</v>
      </c>
      <c r="AE183" s="31">
        <f t="shared" si="412"/>
        <v>0.75022274309950432</v>
      </c>
      <c r="AF183" s="29">
        <f t="shared" si="412"/>
        <v>0.72919993070017997</v>
      </c>
      <c r="AG183" s="29">
        <f t="shared" si="422"/>
        <v>0.23893343996480715</v>
      </c>
      <c r="AH183" s="29">
        <f t="shared" si="422"/>
        <v>0.21533291666666668</v>
      </c>
      <c r="AI183" s="29">
        <f t="shared" si="413"/>
        <v>0.98499999999999999</v>
      </c>
      <c r="AJ183" s="29">
        <f t="shared" si="413"/>
        <v>0.96615903999999997</v>
      </c>
      <c r="AK183" s="29">
        <f t="shared" si="413"/>
        <v>0.99</v>
      </c>
      <c r="AL183" s="32">
        <f t="shared" si="413"/>
        <v>0.98560000000000003</v>
      </c>
      <c r="AM183" s="95">
        <f>AN183-AO183</f>
        <v>-4.4754915035705056E-2</v>
      </c>
      <c r="AN183" s="87">
        <f t="shared" si="381"/>
        <v>-9.9445636685189687E-2</v>
      </c>
      <c r="AO183" s="29">
        <f t="shared" si="389"/>
        <v>-5.469072164948463E-2</v>
      </c>
      <c r="AP183" s="29">
        <f t="shared" si="390"/>
        <v>-1.8840960000000018E-2</v>
      </c>
      <c r="AQ183" s="29">
        <f t="shared" si="391"/>
        <v>-4.3999999999999595E-3</v>
      </c>
      <c r="AR183" s="32">
        <f t="shared" ref="AR183:AR228" si="435">AVERAGE(AR698,AR311,AR440,AR569)</f>
        <v>-2.4401634353114134E-2</v>
      </c>
    </row>
    <row r="184" spans="2:44">
      <c r="B184" s="5">
        <v>44347</v>
      </c>
      <c r="C184" s="2">
        <f t="shared" si="404"/>
        <v>5228.159779538164</v>
      </c>
      <c r="D184" s="2">
        <f t="shared" si="404"/>
        <v>4399.0319999999992</v>
      </c>
      <c r="E184" s="2">
        <f t="shared" si="396"/>
        <v>197</v>
      </c>
      <c r="F184" s="2">
        <f t="shared" si="376"/>
        <v>178.77666666666673</v>
      </c>
      <c r="G184" s="2">
        <f t="shared" si="397"/>
        <v>197.69999999999996</v>
      </c>
      <c r="H184" s="2">
        <f t="shared" si="405"/>
        <v>179.17</v>
      </c>
      <c r="I184" s="12">
        <f t="shared" si="405"/>
        <v>0.74576749647713569</v>
      </c>
      <c r="J184" s="10">
        <f t="shared" si="386"/>
        <v>0.71383348924238199</v>
      </c>
      <c r="K184" s="10">
        <f t="shared" si="420"/>
        <v>0.2342365492624626</v>
      </c>
      <c r="L184" s="10">
        <f t="shared" si="420"/>
        <v>0.19708924731182795</v>
      </c>
      <c r="M184" s="10">
        <f t="shared" si="406"/>
        <v>0.98499999999999999</v>
      </c>
      <c r="N184" s="10">
        <f t="shared" si="406"/>
        <v>0.95543333333333325</v>
      </c>
      <c r="O184" s="10">
        <f t="shared" si="406"/>
        <v>0.98999999999999988</v>
      </c>
      <c r="P184" s="23">
        <f t="shared" si="406"/>
        <v>1</v>
      </c>
      <c r="Q184" s="112">
        <f t="shared" ref="Q184:Q185" si="436">R184-S184-T184+(V184-1.5%)</f>
        <v>-6.5082016170283724E-2</v>
      </c>
      <c r="R184" s="81">
        <f t="shared" si="430"/>
        <v>-0.15858883708626959</v>
      </c>
      <c r="S184" s="10">
        <f t="shared" si="431"/>
        <v>-9.3727870510874944E-2</v>
      </c>
      <c r="T184" s="10">
        <f t="shared" si="432"/>
        <v>-2.9566666666666741E-2</v>
      </c>
      <c r="U184" s="10">
        <f t="shared" si="433"/>
        <v>1.000000000000012E-2</v>
      </c>
      <c r="V184" s="23">
        <f t="shared" si="434"/>
        <v>-1.4787716261555834E-2</v>
      </c>
      <c r="X184" s="5">
        <v>44347</v>
      </c>
      <c r="Y184" s="2">
        <f t="shared" si="411"/>
        <v>5228.6818084079696</v>
      </c>
      <c r="Z184" s="2">
        <f t="shared" si="411"/>
        <v>4440.0630000000001</v>
      </c>
      <c r="AA184" s="2">
        <f t="shared" si="402"/>
        <v>197</v>
      </c>
      <c r="AB184" s="2">
        <f t="shared" si="379"/>
        <v>178.90500000000003</v>
      </c>
      <c r="AC184" s="2">
        <f t="shared" si="403"/>
        <v>197.7</v>
      </c>
      <c r="AD184" s="2">
        <f t="shared" si="412"/>
        <v>179.26499999999999</v>
      </c>
      <c r="AE184" s="12">
        <f t="shared" si="412"/>
        <v>0.74589641537756302</v>
      </c>
      <c r="AF184" s="10">
        <f t="shared" si="412"/>
        <v>0.72364337950946345</v>
      </c>
      <c r="AG184" s="10">
        <f t="shared" si="422"/>
        <v>0.23427704112958389</v>
      </c>
      <c r="AH184" s="10">
        <f t="shared" si="422"/>
        <v>0.19889032258064515</v>
      </c>
      <c r="AI184" s="10">
        <f t="shared" si="413"/>
        <v>0.98499999999999999</v>
      </c>
      <c r="AJ184" s="10">
        <f t="shared" si="413"/>
        <v>0.9506</v>
      </c>
      <c r="AK184" s="10">
        <f t="shared" si="413"/>
        <v>0.99</v>
      </c>
      <c r="AL184" s="23">
        <f t="shared" si="413"/>
        <v>1</v>
      </c>
      <c r="AM184" s="95">
        <f>AN184-AO184-AP184+(AR184-1.5%)</f>
        <v>-5.4004266343139436E-2</v>
      </c>
      <c r="AN184" s="81">
        <f t="shared" si="381"/>
        <v>-0.15082554978576679</v>
      </c>
      <c r="AO184" s="10">
        <f t="shared" si="389"/>
        <v>-9.3247344461305004E-2</v>
      </c>
      <c r="AP184" s="10">
        <f t="shared" si="390"/>
        <v>-3.4399999999999986E-2</v>
      </c>
      <c r="AQ184" s="10">
        <f t="shared" si="391"/>
        <v>1.0000000000000009E-2</v>
      </c>
      <c r="AR184" s="23">
        <f t="shared" si="435"/>
        <v>-1.5826061018677638E-2</v>
      </c>
    </row>
    <row r="185" spans="2:44">
      <c r="B185" s="5">
        <v>44377</v>
      </c>
      <c r="C185" s="2">
        <f t="shared" si="404"/>
        <v>4702.1079497439014</v>
      </c>
      <c r="D185" s="2">
        <f t="shared" si="404"/>
        <v>4636.2</v>
      </c>
      <c r="E185" s="2">
        <f t="shared" si="396"/>
        <v>178.9</v>
      </c>
      <c r="F185" s="2">
        <f t="shared" si="376"/>
        <v>182.7833333333333</v>
      </c>
      <c r="G185" s="2">
        <f t="shared" si="397"/>
        <v>177.19999999999996</v>
      </c>
      <c r="H185" s="2">
        <f t="shared" si="405"/>
        <v>180.29999999999998</v>
      </c>
      <c r="I185" s="12">
        <f t="shared" si="405"/>
        <v>0.74832481417142238</v>
      </c>
      <c r="J185" s="10">
        <f t="shared" si="386"/>
        <v>0.72220311715004293</v>
      </c>
      <c r="K185" s="10">
        <f t="shared" si="420"/>
        <v>0.21769018285851396</v>
      </c>
      <c r="L185" s="10">
        <f t="shared" si="420"/>
        <v>0.21463888888888891</v>
      </c>
      <c r="M185" s="10">
        <f t="shared" si="406"/>
        <v>0.98499999999999999</v>
      </c>
      <c r="N185" s="10">
        <f t="shared" si="406"/>
        <v>0.98903666666666668</v>
      </c>
      <c r="O185" s="10">
        <f t="shared" si="406"/>
        <v>0.98999999999999988</v>
      </c>
      <c r="P185" s="23">
        <f t="shared" si="406"/>
        <v>1</v>
      </c>
      <c r="Q185" s="112">
        <f t="shared" si="436"/>
        <v>-6.8814371542181729E-2</v>
      </c>
      <c r="R185" s="81">
        <f t="shared" si="430"/>
        <v>-1.4016681549706034E-2</v>
      </c>
      <c r="S185" s="10">
        <f t="shared" si="431"/>
        <v>1.7494356659142341E-2</v>
      </c>
      <c r="T185" s="10">
        <f t="shared" si="432"/>
        <v>4.0366666666666884E-3</v>
      </c>
      <c r="U185" s="10">
        <f t="shared" si="433"/>
        <v>1.000000000000012E-2</v>
      </c>
      <c r="V185" s="23">
        <f t="shared" si="434"/>
        <v>-1.8266666666666667E-2</v>
      </c>
      <c r="X185" s="5">
        <v>44377</v>
      </c>
      <c r="Y185" s="2">
        <f t="shared" si="411"/>
        <v>4694.1957352691916</v>
      </c>
      <c r="Z185" s="2">
        <f t="shared" si="411"/>
        <v>4809.5219999999999</v>
      </c>
      <c r="AA185" s="2">
        <f t="shared" si="402"/>
        <v>178.9</v>
      </c>
      <c r="AB185" s="2">
        <f t="shared" si="379"/>
        <v>183.28</v>
      </c>
      <c r="AC185" s="2">
        <f t="shared" si="403"/>
        <v>177.2</v>
      </c>
      <c r="AD185" s="2">
        <f t="shared" si="412"/>
        <v>181.88499999999999</v>
      </c>
      <c r="AE185" s="12">
        <f t="shared" si="412"/>
        <v>0.74713028743558907</v>
      </c>
      <c r="AF185" s="10">
        <f t="shared" si="412"/>
        <v>0.73871962565854543</v>
      </c>
      <c r="AG185" s="10">
        <f t="shared" si="422"/>
        <v>0.21734269104930426</v>
      </c>
      <c r="AH185" s="10">
        <f t="shared" si="422"/>
        <v>0.22245624999999999</v>
      </c>
      <c r="AI185" s="10">
        <f t="shared" si="413"/>
        <v>0.98499999999999999</v>
      </c>
      <c r="AJ185" s="10">
        <f t="shared" si="413"/>
        <v>0.99340000000000006</v>
      </c>
      <c r="AK185" s="10">
        <f t="shared" si="413"/>
        <v>0.99</v>
      </c>
      <c r="AL185" s="23">
        <f t="shared" si="413"/>
        <v>1</v>
      </c>
      <c r="AM185" s="95">
        <f>AN185-AO185-AP185+(AR185-1.5%)</f>
        <v>-4.3346208727980035E-2</v>
      </c>
      <c r="AN185" s="81">
        <f t="shared" si="381"/>
        <v>2.4567843190755889E-2</v>
      </c>
      <c r="AO185" s="10">
        <f t="shared" si="389"/>
        <v>2.6439051918735856E-2</v>
      </c>
      <c r="AP185" s="10">
        <f t="shared" si="390"/>
        <v>8.4000000000000741E-3</v>
      </c>
      <c r="AQ185" s="10">
        <f t="shared" si="391"/>
        <v>1.0000000000000009E-2</v>
      </c>
      <c r="AR185" s="23">
        <f t="shared" si="435"/>
        <v>-1.8074999999999997E-2</v>
      </c>
    </row>
    <row r="186" spans="2:44">
      <c r="B186" s="5">
        <v>44408</v>
      </c>
      <c r="C186" s="2">
        <f t="shared" si="404"/>
        <v>4170.6329052094916</v>
      </c>
      <c r="D186" s="2">
        <f t="shared" si="404"/>
        <v>3702.5099999999998</v>
      </c>
      <c r="E186" s="2">
        <f t="shared" si="396"/>
        <v>155.5</v>
      </c>
      <c r="F186" s="2">
        <f t="shared" si="376"/>
        <v>145.72333333333336</v>
      </c>
      <c r="G186" s="2">
        <f t="shared" si="397"/>
        <v>154.6</v>
      </c>
      <c r="H186" s="2">
        <f t="shared" si="405"/>
        <v>144.60666666666668</v>
      </c>
      <c r="I186" s="12">
        <f t="shared" si="405"/>
        <v>0.76077064133803285</v>
      </c>
      <c r="J186" s="10">
        <f t="shared" si="386"/>
        <v>0.72831460113417046</v>
      </c>
      <c r="K186" s="10">
        <f t="shared" si="420"/>
        <v>0.18685631295741448</v>
      </c>
      <c r="L186" s="10">
        <f t="shared" si="420"/>
        <v>0.16588306451612903</v>
      </c>
      <c r="M186" s="10">
        <f t="shared" si="406"/>
        <v>0.98499999999999999</v>
      </c>
      <c r="N186" s="10">
        <f t="shared" si="406"/>
        <v>0.97650322580645177</v>
      </c>
      <c r="O186" s="10">
        <f t="shared" si="406"/>
        <v>0.98999999999999988</v>
      </c>
      <c r="P186" s="23">
        <f t="shared" si="406"/>
        <v>1</v>
      </c>
      <c r="Q186" s="112">
        <f t="shared" ref="Q186:Q192" si="437">R186-S186-T186</f>
        <v>-3.9105948578492478E-2</v>
      </c>
      <c r="R186" s="81">
        <f t="shared" si="430"/>
        <v>-0.112242653776784</v>
      </c>
      <c r="S186" s="10">
        <f t="shared" si="431"/>
        <v>-6.4639931004743301E-2</v>
      </c>
      <c r="T186" s="10">
        <f t="shared" si="432"/>
        <v>-8.4967741935482177E-3</v>
      </c>
      <c r="U186" s="10">
        <f t="shared" si="433"/>
        <v>1.000000000000012E-2</v>
      </c>
      <c r="V186" s="23">
        <f t="shared" si="434"/>
        <v>-8.5666666666666669E-3</v>
      </c>
      <c r="X186" s="5">
        <v>44408</v>
      </c>
      <c r="Y186" s="2">
        <f t="shared" si="411"/>
        <v>4155.0101157447189</v>
      </c>
      <c r="Z186" s="2">
        <f t="shared" si="411"/>
        <v>3817.047</v>
      </c>
      <c r="AA186" s="2">
        <f t="shared" si="402"/>
        <v>155.5</v>
      </c>
      <c r="AB186" s="2">
        <f t="shared" si="379"/>
        <v>145.02500000000001</v>
      </c>
      <c r="AC186" s="2">
        <f t="shared" si="403"/>
        <v>154.6</v>
      </c>
      <c r="AD186" s="2">
        <f t="shared" si="412"/>
        <v>144.69999999999999</v>
      </c>
      <c r="AE186" s="12">
        <f t="shared" si="412"/>
        <v>0.75798297470173182</v>
      </c>
      <c r="AF186" s="10">
        <f t="shared" si="412"/>
        <v>0.78484855928969866</v>
      </c>
      <c r="AG186" s="10">
        <f t="shared" si="422"/>
        <v>0.18617162156541034</v>
      </c>
      <c r="AH186" s="10">
        <f t="shared" si="422"/>
        <v>0.17076774193548386</v>
      </c>
      <c r="AI186" s="10">
        <f t="shared" si="413"/>
        <v>0.98499999999999999</v>
      </c>
      <c r="AJ186" s="10">
        <f t="shared" si="413"/>
        <v>0.93227096774193552</v>
      </c>
      <c r="AK186" s="10">
        <f t="shared" si="413"/>
        <v>0.99</v>
      </c>
      <c r="AL186" s="23">
        <f t="shared" si="413"/>
        <v>1</v>
      </c>
      <c r="AM186" s="98">
        <f t="shared" ref="AM186:AM193" si="438">AN186-AO186-AP186</f>
        <v>3.5426556105141893E-2</v>
      </c>
      <c r="AN186" s="81">
        <f t="shared" si="381"/>
        <v>-8.1338698662625109E-2</v>
      </c>
      <c r="AO186" s="10">
        <f t="shared" si="389"/>
        <v>-6.4036222509702534E-2</v>
      </c>
      <c r="AP186" s="10">
        <f t="shared" si="390"/>
        <v>-5.2729032258064468E-2</v>
      </c>
      <c r="AQ186" s="10">
        <f t="shared" si="391"/>
        <v>1.0000000000000009E-2</v>
      </c>
      <c r="AR186" s="23">
        <f t="shared" si="435"/>
        <v>-8.2250000000000014E-3</v>
      </c>
    </row>
    <row r="187" spans="2:44">
      <c r="B187" s="5">
        <v>44439</v>
      </c>
      <c r="C187" s="2">
        <f t="shared" si="404"/>
        <v>3961.8391377138296</v>
      </c>
      <c r="D187" s="2">
        <f t="shared" si="404"/>
        <v>3744.2159999999999</v>
      </c>
      <c r="E187" s="2">
        <f t="shared" si="396"/>
        <v>145.4</v>
      </c>
      <c r="F187" s="2">
        <f t="shared" si="376"/>
        <v>140.94333333333333</v>
      </c>
      <c r="G187" s="2">
        <f t="shared" si="397"/>
        <v>146.30000000000001</v>
      </c>
      <c r="H187" s="2">
        <f t="shared" si="405"/>
        <v>143.57999999999998</v>
      </c>
      <c r="I187" s="12">
        <f t="shared" si="405"/>
        <v>0.76368415611283036</v>
      </c>
      <c r="J187" s="10">
        <f t="shared" si="386"/>
        <v>0.74019903431988443</v>
      </c>
      <c r="K187" s="10">
        <f t="shared" si="420"/>
        <v>0.17750175348180239</v>
      </c>
      <c r="L187" s="10">
        <f t="shared" si="420"/>
        <v>0.16775161290322579</v>
      </c>
      <c r="M187" s="10">
        <f t="shared" si="406"/>
        <v>0.98499999999999999</v>
      </c>
      <c r="N187" s="10">
        <f t="shared" si="406"/>
        <v>0.97864623655913974</v>
      </c>
      <c r="O187" s="10">
        <f t="shared" si="406"/>
        <v>0.98999999999999988</v>
      </c>
      <c r="P187" s="23">
        <f t="shared" si="406"/>
        <v>1</v>
      </c>
      <c r="Q187" s="112">
        <f t="shared" si="437"/>
        <v>-2.9984128995336312E-2</v>
      </c>
      <c r="R187" s="81">
        <f t="shared" si="430"/>
        <v>-5.4929826817604832E-2</v>
      </c>
      <c r="S187" s="10">
        <f t="shared" si="431"/>
        <v>-1.859193438140827E-2</v>
      </c>
      <c r="T187" s="10">
        <f t="shared" si="432"/>
        <v>-6.3537634408602495E-3</v>
      </c>
      <c r="U187" s="10">
        <f t="shared" si="433"/>
        <v>1.000000000000012E-2</v>
      </c>
      <c r="V187" s="23">
        <f t="shared" si="434"/>
        <v>-4.1666666666666666E-3</v>
      </c>
      <c r="X187" s="5">
        <v>44439</v>
      </c>
      <c r="Y187" s="2">
        <f t="shared" si="411"/>
        <v>3944.7041391001248</v>
      </c>
      <c r="Z187" s="2">
        <f t="shared" si="411"/>
        <v>3888.5219999999999</v>
      </c>
      <c r="AA187" s="2">
        <f t="shared" si="402"/>
        <v>145.4</v>
      </c>
      <c r="AB187" s="2">
        <f t="shared" si="379"/>
        <v>141.06</v>
      </c>
      <c r="AC187" s="2">
        <f t="shared" si="403"/>
        <v>146.30000000000001</v>
      </c>
      <c r="AD187" s="2">
        <f t="shared" si="412"/>
        <v>143.39049999999997</v>
      </c>
      <c r="AE187" s="12">
        <f t="shared" si="412"/>
        <v>0.76042786367544579</v>
      </c>
      <c r="AF187" s="10">
        <f t="shared" si="412"/>
        <v>0.76324313060597837</v>
      </c>
      <c r="AG187" s="10">
        <f t="shared" si="422"/>
        <v>0.17674489920787417</v>
      </c>
      <c r="AH187" s="10">
        <f t="shared" si="422"/>
        <v>0.17404556451612904</v>
      </c>
      <c r="AI187" s="10">
        <f t="shared" si="413"/>
        <v>0.98499999999999999</v>
      </c>
      <c r="AJ187" s="10">
        <f t="shared" si="413"/>
        <v>0.98598314999999992</v>
      </c>
      <c r="AK187" s="10">
        <f t="shared" si="413"/>
        <v>0.99</v>
      </c>
      <c r="AL187" s="23">
        <f t="shared" si="413"/>
        <v>0.997</v>
      </c>
      <c r="AM187" s="98">
        <f t="shared" si="438"/>
        <v>4.6616465303424004E-3</v>
      </c>
      <c r="AN187" s="81">
        <f t="shared" si="381"/>
        <v>-1.4242421514770731E-2</v>
      </c>
      <c r="AO187" s="10">
        <f t="shared" si="389"/>
        <v>-1.9887218045113064E-2</v>
      </c>
      <c r="AP187" s="10">
        <f t="shared" si="390"/>
        <v>9.8314999999993269E-4</v>
      </c>
      <c r="AQ187" s="10">
        <f t="shared" si="391"/>
        <v>7.0000000000000062E-3</v>
      </c>
      <c r="AR187" s="23">
        <f t="shared" si="435"/>
        <v>-7.6249999999999998E-3</v>
      </c>
    </row>
    <row r="188" spans="2:44">
      <c r="B188" s="5">
        <v>44469</v>
      </c>
      <c r="C188" s="2">
        <f t="shared" si="404"/>
        <v>3943.7619067770911</v>
      </c>
      <c r="D188" s="2">
        <f t="shared" si="404"/>
        <v>3574.8119999999999</v>
      </c>
      <c r="E188" s="2">
        <f t="shared" si="396"/>
        <v>141.6</v>
      </c>
      <c r="F188" s="2">
        <f t="shared" si="376"/>
        <v>129.76333333333332</v>
      </c>
      <c r="G188" s="2">
        <f t="shared" si="397"/>
        <v>145.5</v>
      </c>
      <c r="H188" s="2">
        <f t="shared" si="405"/>
        <v>140.4433333333333</v>
      </c>
      <c r="I188" s="12">
        <f t="shared" si="405"/>
        <v>0.76437938043099563</v>
      </c>
      <c r="J188" s="10">
        <f t="shared" si="386"/>
        <v>0.714892094386542</v>
      </c>
      <c r="K188" s="10">
        <f t="shared" si="420"/>
        <v>0.1825815697581987</v>
      </c>
      <c r="L188" s="10">
        <f t="shared" si="420"/>
        <v>0.16550055555555557</v>
      </c>
      <c r="M188" s="10">
        <f t="shared" si="406"/>
        <v>0.98499999999999999</v>
      </c>
      <c r="N188" s="10">
        <f t="shared" si="406"/>
        <v>0.98901658757037036</v>
      </c>
      <c r="O188" s="10">
        <f t="shared" si="406"/>
        <v>0.98999999999999988</v>
      </c>
      <c r="P188" s="23">
        <f t="shared" si="406"/>
        <v>0.99771444444444446</v>
      </c>
      <c r="Q188" s="112">
        <f t="shared" si="437"/>
        <v>-6.2815649020086739E-2</v>
      </c>
      <c r="R188" s="81">
        <f t="shared" si="430"/>
        <v>-9.3552784244676501E-2</v>
      </c>
      <c r="S188" s="10">
        <f t="shared" ref="S188" si="439">H188/G188-1</f>
        <v>-3.475372279496014E-2</v>
      </c>
      <c r="T188" s="10">
        <f t="shared" ref="T188" si="440">N188-M188</f>
        <v>4.0165875703703779E-3</v>
      </c>
      <c r="U188" s="10">
        <f t="shared" ref="U188" si="441">P188-O188</f>
        <v>7.7144444444445792E-3</v>
      </c>
      <c r="V188" s="23">
        <f t="shared" si="434"/>
        <v>-4.2333333333333329E-3</v>
      </c>
      <c r="X188" s="5">
        <v>44469</v>
      </c>
      <c r="Y188" s="2">
        <f t="shared" si="411"/>
        <v>3931.5091972945183</v>
      </c>
      <c r="Z188" s="2">
        <f t="shared" si="411"/>
        <v>3698.4089999999997</v>
      </c>
      <c r="AA188" s="2">
        <f t="shared" si="402"/>
        <v>141.6</v>
      </c>
      <c r="AB188" s="2">
        <f t="shared" si="379"/>
        <v>131.51249999999999</v>
      </c>
      <c r="AC188" s="2">
        <f t="shared" si="403"/>
        <v>145.5</v>
      </c>
      <c r="AD188" s="2">
        <f t="shared" si="412"/>
        <v>141.59499999999997</v>
      </c>
      <c r="AE188" s="12">
        <f t="shared" si="412"/>
        <v>0.76204261203837897</v>
      </c>
      <c r="AF188" s="10">
        <f t="shared" si="412"/>
        <v>0.73283446691656473</v>
      </c>
      <c r="AG188" s="10">
        <f t="shared" si="422"/>
        <v>0.18202340341801732</v>
      </c>
      <c r="AH188" s="10">
        <f t="shared" si="422"/>
        <v>0.17091041666666665</v>
      </c>
      <c r="AI188" s="10">
        <f t="shared" si="413"/>
        <v>0.98499999999999999</v>
      </c>
      <c r="AJ188" s="10">
        <f t="shared" si="413"/>
        <v>0.98818221895555558</v>
      </c>
      <c r="AK188" s="10">
        <f t="shared" si="413"/>
        <v>0.99</v>
      </c>
      <c r="AL188" s="23">
        <f t="shared" si="413"/>
        <v>0.99886000000000008</v>
      </c>
      <c r="AM188" s="98">
        <f t="shared" si="438"/>
        <v>-3.5633989659009546E-2</v>
      </c>
      <c r="AN188" s="81">
        <f t="shared" si="381"/>
        <v>-5.9290258675962715E-2</v>
      </c>
      <c r="AO188" s="10">
        <f t="shared" si="389"/>
        <v>-2.6838487972508762E-2</v>
      </c>
      <c r="AP188" s="10">
        <f t="shared" si="390"/>
        <v>3.1822189555555935E-3</v>
      </c>
      <c r="AQ188" s="10">
        <f t="shared" si="391"/>
        <v>8.86000000000009E-3</v>
      </c>
      <c r="AR188" s="23">
        <f t="shared" si="435"/>
        <v>-4.2500000000000003E-3</v>
      </c>
    </row>
    <row r="189" spans="2:44">
      <c r="B189" s="5">
        <v>44500</v>
      </c>
      <c r="C189" s="2">
        <f t="shared" si="404"/>
        <v>4509.5838264686818</v>
      </c>
      <c r="D189" s="2">
        <f t="shared" si="404"/>
        <v>4100.1660000000002</v>
      </c>
      <c r="E189" s="2">
        <f t="shared" si="396"/>
        <v>139.1</v>
      </c>
      <c r="F189" s="2">
        <f t="shared" si="376"/>
        <v>127.28666666666668</v>
      </c>
      <c r="G189" s="2">
        <f t="shared" si="397"/>
        <v>172.19999999999996</v>
      </c>
      <c r="H189" s="2">
        <f t="shared" si="405"/>
        <v>161.39999999999998</v>
      </c>
      <c r="I189" s="12">
        <f t="shared" si="405"/>
        <v>0.73852395338856258</v>
      </c>
      <c r="J189" s="10">
        <f t="shared" si="386"/>
        <v>0.7176976289957212</v>
      </c>
      <c r="K189" s="10">
        <f t="shared" si="420"/>
        <v>0.20204228613210939</v>
      </c>
      <c r="L189" s="10">
        <f t="shared" si="420"/>
        <v>0.18369919354838712</v>
      </c>
      <c r="M189" s="10">
        <f t="shared" si="406"/>
        <v>0.98499999999999999</v>
      </c>
      <c r="N189" s="10">
        <f t="shared" si="406"/>
        <v>0.98328091666666662</v>
      </c>
      <c r="O189" s="10">
        <f t="shared" si="406"/>
        <v>0.98999999999999988</v>
      </c>
      <c r="P189" s="23">
        <f t="shared" si="406"/>
        <v>0.99910752688172044</v>
      </c>
      <c r="Q189" s="112">
        <f t="shared" si="437"/>
        <v>-2.6351530266169654E-2</v>
      </c>
      <c r="R189" s="81">
        <f t="shared" si="430"/>
        <v>-9.0788383634346159E-2</v>
      </c>
      <c r="S189" s="10">
        <f t="shared" si="431"/>
        <v>-6.2717770034843134E-2</v>
      </c>
      <c r="T189" s="10">
        <f t="shared" si="432"/>
        <v>-1.719083333333371E-3</v>
      </c>
      <c r="U189" s="10">
        <f t="shared" si="433"/>
        <v>9.1075268817205624E-3</v>
      </c>
      <c r="V189" s="23">
        <f t="shared" si="434"/>
        <v>-2.18E-2</v>
      </c>
      <c r="X189" s="5">
        <v>44500</v>
      </c>
      <c r="Y189" s="2">
        <f t="shared" si="411"/>
        <v>4505.6704806437046</v>
      </c>
      <c r="Z189" s="2">
        <f t="shared" si="411"/>
        <v>4248.2550000000001</v>
      </c>
      <c r="AA189" s="2">
        <f t="shared" si="402"/>
        <v>139.1</v>
      </c>
      <c r="AB189" s="2">
        <f t="shared" si="379"/>
        <v>130.07</v>
      </c>
      <c r="AC189" s="2">
        <f t="shared" si="403"/>
        <v>172.2</v>
      </c>
      <c r="AD189" s="2">
        <f t="shared" si="412"/>
        <v>161.18</v>
      </c>
      <c r="AE189" s="12">
        <f t="shared" si="412"/>
        <v>0.73794103968853797</v>
      </c>
      <c r="AF189" s="10">
        <f t="shared" si="412"/>
        <v>0.74469688493844965</v>
      </c>
      <c r="AG189" s="12">
        <f t="shared" si="422"/>
        <v>0.20188281504653344</v>
      </c>
      <c r="AH189" s="12">
        <f t="shared" si="422"/>
        <v>0.1900552419354839</v>
      </c>
      <c r="AI189" s="12">
        <f t="shared" si="413"/>
        <v>0.98499999999999999</v>
      </c>
      <c r="AJ189" s="10">
        <f t="shared" si="413"/>
        <v>0.98161575000000001</v>
      </c>
      <c r="AK189" s="10">
        <f t="shared" si="413"/>
        <v>0.99</v>
      </c>
      <c r="AL189" s="23">
        <f t="shared" si="413"/>
        <v>0.99910806451612899</v>
      </c>
      <c r="AM189" s="98">
        <f t="shared" si="438"/>
        <v>1.0248155823408656E-2</v>
      </c>
      <c r="AN189" s="81">
        <f t="shared" si="381"/>
        <v>-5.7131448415847941E-2</v>
      </c>
      <c r="AO189" s="10">
        <f t="shared" si="389"/>
        <v>-6.3995354239256619E-2</v>
      </c>
      <c r="AP189" s="10">
        <f t="shared" si="390"/>
        <v>-3.3842499999999776E-3</v>
      </c>
      <c r="AQ189" s="10">
        <f t="shared" si="391"/>
        <v>9.1080645161289997E-3</v>
      </c>
      <c r="AR189" s="23">
        <f t="shared" si="435"/>
        <v>-1.8574999999999998E-2</v>
      </c>
    </row>
    <row r="190" spans="2:44">
      <c r="B190" s="5">
        <v>44530</v>
      </c>
      <c r="C190" s="2">
        <f t="shared" si="404"/>
        <v>3996.1864674622643</v>
      </c>
      <c r="D190" s="2">
        <f t="shared" si="404"/>
        <v>3728.3339999999998</v>
      </c>
      <c r="E190" s="2">
        <f t="shared" si="396"/>
        <v>108.09999999999998</v>
      </c>
      <c r="F190" s="2">
        <f t="shared" si="376"/>
        <v>103.83666666666666</v>
      </c>
      <c r="G190" s="2">
        <f t="shared" si="397"/>
        <v>152.1</v>
      </c>
      <c r="H190" s="2">
        <f t="shared" si="405"/>
        <v>150.91999999999999</v>
      </c>
      <c r="I190" s="12">
        <f t="shared" si="405"/>
        <v>0.74093105759121591</v>
      </c>
      <c r="J190" s="10">
        <f t="shared" si="386"/>
        <v>0.69008690554220742</v>
      </c>
      <c r="K190" s="10">
        <f t="shared" si="420"/>
        <v>0.1850086327528826</v>
      </c>
      <c r="L190" s="10">
        <f t="shared" si="420"/>
        <v>0.17260805555555556</v>
      </c>
      <c r="M190" s="10">
        <f t="shared" si="406"/>
        <v>0.98499999999999999</v>
      </c>
      <c r="N190" s="10">
        <f t="shared" si="406"/>
        <v>0.99450666666666665</v>
      </c>
      <c r="O190" s="10">
        <f t="shared" si="406"/>
        <v>0.98999999999999988</v>
      </c>
      <c r="P190" s="23">
        <f t="shared" si="406"/>
        <v>1</v>
      </c>
      <c r="Q190" s="112">
        <f t="shared" si="437"/>
        <v>-6.8775632050080193E-2</v>
      </c>
      <c r="R190" s="81">
        <f t="shared" si="430"/>
        <v>-6.7027019295313628E-2</v>
      </c>
      <c r="S190" s="10">
        <f t="shared" si="431"/>
        <v>-7.758053911900098E-3</v>
      </c>
      <c r="T190" s="10">
        <f t="shared" si="432"/>
        <v>9.5066666666666633E-3</v>
      </c>
      <c r="U190" s="10">
        <f t="shared" si="433"/>
        <v>1.000000000000012E-2</v>
      </c>
      <c r="V190" s="23">
        <f t="shared" si="434"/>
        <v>-2.1267910622188264E-2</v>
      </c>
      <c r="X190" s="5">
        <v>44530</v>
      </c>
      <c r="Y190" s="2">
        <f t="shared" si="411"/>
        <v>3988.0848135511656</v>
      </c>
      <c r="Z190" s="2">
        <f t="shared" si="411"/>
        <v>3889.2390000000005</v>
      </c>
      <c r="AA190" s="2">
        <f t="shared" si="402"/>
        <v>108.1</v>
      </c>
      <c r="AB190" s="2">
        <f t="shared" si="379"/>
        <v>106.90499999999997</v>
      </c>
      <c r="AC190" s="2">
        <f t="shared" si="403"/>
        <v>152.1</v>
      </c>
      <c r="AD190" s="2">
        <f t="shared" si="412"/>
        <v>150.74</v>
      </c>
      <c r="AE190" s="12">
        <f t="shared" si="412"/>
        <v>0.73947411410894504</v>
      </c>
      <c r="AF190" s="10">
        <f t="shared" si="412"/>
        <v>0.71884092934661892</v>
      </c>
      <c r="AG190" s="12">
        <f t="shared" si="422"/>
        <v>0.18464483760771827</v>
      </c>
      <c r="AH190" s="12">
        <f t="shared" si="422"/>
        <v>0.18008333333333337</v>
      </c>
      <c r="AI190" s="12">
        <f t="shared" si="413"/>
        <v>0.98499999999999999</v>
      </c>
      <c r="AJ190" s="10">
        <f t="shared" si="413"/>
        <v>0.99699999999999989</v>
      </c>
      <c r="AK190" s="10">
        <f t="shared" si="413"/>
        <v>0.99</v>
      </c>
      <c r="AL190" s="23">
        <f t="shared" si="413"/>
        <v>1</v>
      </c>
      <c r="AM190" s="98">
        <f t="shared" si="438"/>
        <v>-2.7843797842367346E-2</v>
      </c>
      <c r="AN190" s="81">
        <f t="shared" si="381"/>
        <v>-2.4785283706930117E-2</v>
      </c>
      <c r="AO190" s="10">
        <f t="shared" si="389"/>
        <v>-8.9414858645626705E-3</v>
      </c>
      <c r="AP190" s="10">
        <f t="shared" si="390"/>
        <v>1.19999999999999E-2</v>
      </c>
      <c r="AQ190" s="10">
        <f t="shared" si="391"/>
        <v>1.0000000000000009E-2</v>
      </c>
      <c r="AR190" s="23">
        <f t="shared" si="435"/>
        <v>-1.5774251879003026E-2</v>
      </c>
    </row>
    <row r="191" spans="2:44">
      <c r="B191" s="5">
        <v>44561</v>
      </c>
      <c r="C191" s="2">
        <f t="shared" si="404"/>
        <v>3358.0551694324658</v>
      </c>
      <c r="D191" s="2">
        <f t="shared" si="404"/>
        <v>3108.558</v>
      </c>
      <c r="E191" s="2">
        <f t="shared" si="396"/>
        <v>89.90000000000002</v>
      </c>
      <c r="F191" s="2">
        <f t="shared" si="376"/>
        <v>83.063333333333333</v>
      </c>
      <c r="G191" s="2">
        <f t="shared" si="397"/>
        <v>129.6</v>
      </c>
      <c r="H191" s="2">
        <f t="shared" si="405"/>
        <v>123.27</v>
      </c>
      <c r="I191" s="12">
        <f t="shared" si="405"/>
        <v>0.73070839022069423</v>
      </c>
      <c r="J191" s="10">
        <f t="shared" si="386"/>
        <v>0.70724653743497201</v>
      </c>
      <c r="K191" s="12">
        <f t="shared" si="420"/>
        <v>0.15045050042260152</v>
      </c>
      <c r="L191" s="12">
        <f t="shared" si="420"/>
        <v>0.13927231182795699</v>
      </c>
      <c r="M191" s="12">
        <f t="shared" si="406"/>
        <v>0.98499999999999999</v>
      </c>
      <c r="N191" s="10">
        <f t="shared" si="406"/>
        <v>0.99055591397849463</v>
      </c>
      <c r="O191" s="10">
        <f t="shared" si="406"/>
        <v>0.98999999999999988</v>
      </c>
      <c r="P191" s="23">
        <f t="shared" si="406"/>
        <v>1</v>
      </c>
      <c r="Q191" s="112">
        <f t="shared" si="437"/>
        <v>-3.1011436468577291E-2</v>
      </c>
      <c r="R191" s="81">
        <f t="shared" si="430"/>
        <v>-7.4298115082675253E-2</v>
      </c>
      <c r="S191" s="10">
        <f t="shared" si="431"/>
        <v>-4.8842592592592604E-2</v>
      </c>
      <c r="T191" s="10">
        <f t="shared" si="432"/>
        <v>5.5559139784946421E-3</v>
      </c>
      <c r="U191" s="10">
        <f t="shared" si="433"/>
        <v>1.000000000000012E-2</v>
      </c>
      <c r="V191" s="23">
        <f t="shared" si="434"/>
        <v>-1.9933333333333334E-2</v>
      </c>
      <c r="X191" s="5">
        <v>44561</v>
      </c>
      <c r="Y191" s="2">
        <f t="shared" si="411"/>
        <v>3349.6206386865147</v>
      </c>
      <c r="Z191" s="2">
        <f t="shared" si="411"/>
        <v>3229.9500000000003</v>
      </c>
      <c r="AA191" s="2">
        <f t="shared" si="402"/>
        <v>89.9</v>
      </c>
      <c r="AB191" s="2">
        <f t="shared" si="379"/>
        <v>86.03</v>
      </c>
      <c r="AC191" s="2">
        <f t="shared" si="403"/>
        <v>129.6</v>
      </c>
      <c r="AD191" s="2">
        <f t="shared" si="412"/>
        <v>122.97499999999999</v>
      </c>
      <c r="AE191" s="12">
        <f t="shared" si="412"/>
        <v>0.72892564673891147</v>
      </c>
      <c r="AF191" s="10">
        <f t="shared" si="412"/>
        <v>0.73085870831195077</v>
      </c>
      <c r="AG191" s="12">
        <f t="shared" si="422"/>
        <v>0.1500834392904879</v>
      </c>
      <c r="AH191" s="12">
        <f t="shared" si="422"/>
        <v>0.144675</v>
      </c>
      <c r="AI191" s="12">
        <f t="shared" si="413"/>
        <v>0.98499999999999999</v>
      </c>
      <c r="AJ191" s="10">
        <f t="shared" si="413"/>
        <v>0.99781612903225803</v>
      </c>
      <c r="AK191" s="10">
        <f t="shared" si="413"/>
        <v>0.99</v>
      </c>
      <c r="AL191" s="23">
        <f t="shared" si="413"/>
        <v>1</v>
      </c>
      <c r="AM191" s="98">
        <f t="shared" si="438"/>
        <v>2.5760736548922081E-3</v>
      </c>
      <c r="AN191" s="81">
        <f t="shared" si="381"/>
        <v>-3.5726624473343627E-2</v>
      </c>
      <c r="AO191" s="10">
        <f t="shared" si="389"/>
        <v>-5.1118827160493874E-2</v>
      </c>
      <c r="AP191" s="10">
        <f t="shared" si="390"/>
        <v>1.2816129032258039E-2</v>
      </c>
      <c r="AQ191" s="10">
        <f t="shared" si="391"/>
        <v>1.0000000000000009E-2</v>
      </c>
      <c r="AR191" s="23">
        <f t="shared" si="435"/>
        <v>-1.6025000000000001E-2</v>
      </c>
    </row>
    <row r="192" spans="2:44">
      <c r="B192" s="5">
        <v>44592</v>
      </c>
      <c r="C192" s="2">
        <f t="shared" ref="C192:D211" si="442">C578+C449+C320</f>
        <v>2835.8299415629162</v>
      </c>
      <c r="D192" s="2">
        <f t="shared" si="442"/>
        <v>1978.386</v>
      </c>
      <c r="E192" s="2">
        <f t="shared" si="396"/>
        <v>79.599999999999994</v>
      </c>
      <c r="F192" s="2">
        <f t="shared" si="376"/>
        <v>57.290000000000013</v>
      </c>
      <c r="G192" s="2">
        <f t="shared" si="397"/>
        <v>103.2</v>
      </c>
      <c r="H192" s="2">
        <f t="shared" ref="H192:I211" si="443">AVERAGE(H578,H449,H320)</f>
        <v>72.86999999999999</v>
      </c>
      <c r="I192" s="12">
        <f t="shared" si="443"/>
        <v>0.7749287169195217</v>
      </c>
      <c r="J192" s="10">
        <f t="shared" si="386"/>
        <v>0.76481160400142301</v>
      </c>
      <c r="K192" s="12">
        <f t="shared" si="420"/>
        <v>0.12705331279403748</v>
      </c>
      <c r="L192" s="12">
        <f t="shared" si="420"/>
        <v>8.8637365591397843E-2</v>
      </c>
      <c r="M192" s="12">
        <f t="shared" ref="M192:P211" si="444">AVERAGE(M578,M449,M320)</f>
        <v>0.98499999999999999</v>
      </c>
      <c r="N192" s="10">
        <f t="shared" si="444"/>
        <v>0.98606666666666654</v>
      </c>
      <c r="O192" s="10">
        <f t="shared" si="444"/>
        <v>0.98999999999999988</v>
      </c>
      <c r="P192" s="23">
        <f t="shared" si="444"/>
        <v>1</v>
      </c>
      <c r="Q192" s="112">
        <f t="shared" si="437"/>
        <v>-9.5321642948665852E-3</v>
      </c>
      <c r="R192" s="81">
        <f t="shared" si="430"/>
        <v>-0.30236084646540951</v>
      </c>
      <c r="S192" s="10">
        <f t="shared" si="431"/>
        <v>-0.29389534883720947</v>
      </c>
      <c r="T192" s="10">
        <f t="shared" si="432"/>
        <v>1.0666666666665492E-3</v>
      </c>
      <c r="U192" s="10">
        <f t="shared" si="433"/>
        <v>1.000000000000012E-2</v>
      </c>
      <c r="V192" s="23">
        <f t="shared" si="434"/>
        <v>0</v>
      </c>
      <c r="X192" s="5">
        <v>44592</v>
      </c>
      <c r="Y192" s="2">
        <f t="shared" ref="Y192:Z211" si="445">Y707+Y320+Y449+Y578</f>
        <v>2818.9089845107533</v>
      </c>
      <c r="Z192" s="2">
        <f t="shared" si="445"/>
        <v>2030.4389999999999</v>
      </c>
      <c r="AA192" s="2">
        <f t="shared" si="402"/>
        <v>79.599999999999994</v>
      </c>
      <c r="AB192" s="2">
        <f t="shared" si="379"/>
        <v>58.510000000000012</v>
      </c>
      <c r="AC192" s="2">
        <f t="shared" si="403"/>
        <v>103.2</v>
      </c>
      <c r="AD192" s="2">
        <f t="shared" ref="AD192:AF211" si="446">AVERAGE(AD707,AD320,AD449,AD578)</f>
        <v>73.655000000000001</v>
      </c>
      <c r="AE192" s="12">
        <f t="shared" si="446"/>
        <v>0.77035902124933509</v>
      </c>
      <c r="AF192" s="10">
        <f t="shared" si="446"/>
        <v>0.76931904353968139</v>
      </c>
      <c r="AG192" s="12">
        <f t="shared" si="422"/>
        <v>0.1263040890774797</v>
      </c>
      <c r="AH192" s="12">
        <f t="shared" si="422"/>
        <v>9.0945766129032254E-2</v>
      </c>
      <c r="AI192" s="12">
        <f t="shared" ref="AI192:AL211" si="447">AVERAGE(AI707,AI320,AI449,AI578)</f>
        <v>0.98499999999999999</v>
      </c>
      <c r="AJ192" s="10">
        <f t="shared" si="447"/>
        <v>0.99507500000000004</v>
      </c>
      <c r="AK192" s="10">
        <f t="shared" si="447"/>
        <v>0.99</v>
      </c>
      <c r="AL192" s="23">
        <f t="shared" si="447"/>
        <v>1</v>
      </c>
      <c r="AM192" s="98">
        <f t="shared" si="438"/>
        <v>-3.4937402127745987E-3</v>
      </c>
      <c r="AN192" s="81">
        <f t="shared" si="381"/>
        <v>-0.27970749990269705</v>
      </c>
      <c r="AO192" s="10">
        <f t="shared" si="389"/>
        <v>-0.28628875968992251</v>
      </c>
      <c r="AP192" s="10">
        <f t="shared" si="390"/>
        <v>1.0075000000000056E-2</v>
      </c>
      <c r="AQ192" s="10">
        <f t="shared" si="391"/>
        <v>1.0000000000000009E-2</v>
      </c>
      <c r="AR192" s="23">
        <f t="shared" si="435"/>
        <v>0</v>
      </c>
    </row>
    <row r="193" spans="2:44">
      <c r="B193" s="5">
        <v>44620</v>
      </c>
      <c r="C193" s="2">
        <f t="shared" si="442"/>
        <v>3712.6959748604422</v>
      </c>
      <c r="D193" s="2">
        <f t="shared" si="442"/>
        <v>3720.5819999999999</v>
      </c>
      <c r="E193" s="2">
        <f t="shared" si="396"/>
        <v>108.09999999999998</v>
      </c>
      <c r="F193" s="2">
        <f t="shared" si="376"/>
        <v>107.62333333333333</v>
      </c>
      <c r="G193" s="2">
        <f t="shared" si="397"/>
        <v>137.5</v>
      </c>
      <c r="H193" s="2">
        <f t="shared" si="443"/>
        <v>142.88</v>
      </c>
      <c r="I193" s="12">
        <f t="shared" si="443"/>
        <v>0.7614615135846674</v>
      </c>
      <c r="J193" s="10">
        <f t="shared" si="386"/>
        <v>0.73109281285977445</v>
      </c>
      <c r="K193" s="12">
        <f t="shared" si="420"/>
        <v>0.18416150668950607</v>
      </c>
      <c r="L193" s="12">
        <f t="shared" si="420"/>
        <v>0.18455267857142857</v>
      </c>
      <c r="M193" s="12">
        <f t="shared" si="444"/>
        <v>0.98499999999999999</v>
      </c>
      <c r="N193" s="10">
        <f t="shared" si="444"/>
        <v>0.98941785000000004</v>
      </c>
      <c r="O193" s="10">
        <f t="shared" si="444"/>
        <v>0.98999999999999988</v>
      </c>
      <c r="P193" s="23">
        <f t="shared" si="444"/>
        <v>0.99790000000000001</v>
      </c>
      <c r="Q193" s="112">
        <f>R193-S193-T193</f>
        <v>-4.1421052996555296E-2</v>
      </c>
      <c r="R193" s="81">
        <f t="shared" si="430"/>
        <v>2.1240697307174372E-3</v>
      </c>
      <c r="S193" s="10">
        <f t="shared" si="431"/>
        <v>3.9127272727272677E-2</v>
      </c>
      <c r="T193" s="10">
        <f t="shared" si="432"/>
        <v>4.4178500000000565E-3</v>
      </c>
      <c r="U193" s="10">
        <f t="shared" si="433"/>
        <v>7.9000000000001291E-3</v>
      </c>
      <c r="V193" s="23">
        <f t="shared" si="434"/>
        <v>-1.1599999999999999E-2</v>
      </c>
      <c r="X193" s="5">
        <v>44620</v>
      </c>
      <c r="Y193" s="2">
        <f t="shared" si="445"/>
        <v>3700.7987774375033</v>
      </c>
      <c r="Z193" s="2">
        <f t="shared" si="445"/>
        <v>3799.1219999999994</v>
      </c>
      <c r="AA193" s="2">
        <f t="shared" si="402"/>
        <v>108.1</v>
      </c>
      <c r="AB193" s="2">
        <f t="shared" si="379"/>
        <v>111.455</v>
      </c>
      <c r="AC193" s="2">
        <f t="shared" si="403"/>
        <v>137.5</v>
      </c>
      <c r="AD193" s="2">
        <f t="shared" si="446"/>
        <v>143.21999999999997</v>
      </c>
      <c r="AE193" s="12">
        <f t="shared" si="446"/>
        <v>0.75908750152234949</v>
      </c>
      <c r="AF193" s="10">
        <f t="shared" si="446"/>
        <v>0.74798929913370826</v>
      </c>
      <c r="AG193" s="12">
        <f t="shared" si="422"/>
        <v>0.1835873455132736</v>
      </c>
      <c r="AH193" s="12">
        <f t="shared" si="422"/>
        <v>0.18834843749999997</v>
      </c>
      <c r="AI193" s="12">
        <f t="shared" si="447"/>
        <v>0.98499999999999999</v>
      </c>
      <c r="AJ193" s="10">
        <f t="shared" si="447"/>
        <v>0.98457803500000007</v>
      </c>
      <c r="AK193" s="10">
        <f t="shared" si="447"/>
        <v>0.99</v>
      </c>
      <c r="AL193" s="23">
        <f t="shared" si="447"/>
        <v>0.99790000000000001</v>
      </c>
      <c r="AM193" s="98">
        <f t="shared" si="438"/>
        <v>-1.4609926741334656E-2</v>
      </c>
      <c r="AN193" s="81">
        <f t="shared" si="381"/>
        <v>2.6568108258665291E-2</v>
      </c>
      <c r="AO193" s="10">
        <f t="shared" si="389"/>
        <v>4.1599999999999859E-2</v>
      </c>
      <c r="AP193" s="10">
        <f t="shared" si="390"/>
        <v>-4.219649999999131E-4</v>
      </c>
      <c r="AQ193" s="10">
        <f t="shared" si="391"/>
        <v>7.9000000000000181E-3</v>
      </c>
      <c r="AR193" s="23">
        <f t="shared" si="435"/>
        <v>-1.2525000000000001E-2</v>
      </c>
    </row>
    <row r="194" spans="2:44">
      <c r="B194" s="5">
        <v>44651</v>
      </c>
      <c r="C194" s="2">
        <f t="shared" si="442"/>
        <v>4967.2889148092099</v>
      </c>
      <c r="D194" s="2">
        <f t="shared" si="442"/>
        <v>4629.84</v>
      </c>
      <c r="E194" s="2">
        <f t="shared" si="396"/>
        <v>161.4</v>
      </c>
      <c r="F194" s="2">
        <f t="shared" si="376"/>
        <v>159.72</v>
      </c>
      <c r="G194" s="2">
        <f t="shared" si="397"/>
        <v>187.80000000000004</v>
      </c>
      <c r="H194" s="2">
        <f t="shared" si="443"/>
        <v>188.33333333333334</v>
      </c>
      <c r="I194" s="12">
        <f t="shared" si="443"/>
        <v>0.74590771926927957</v>
      </c>
      <c r="J194" s="10">
        <f t="shared" si="386"/>
        <v>0.70692974823475263</v>
      </c>
      <c r="K194" s="12">
        <f t="shared" si="420"/>
        <v>0.22254878650578899</v>
      </c>
      <c r="L194" s="12">
        <f t="shared" si="420"/>
        <v>0.20743010752688174</v>
      </c>
      <c r="M194" s="12">
        <f t="shared" si="444"/>
        <v>0.98499999999999999</v>
      </c>
      <c r="N194" s="10">
        <f t="shared" si="444"/>
        <v>0.96596666666666664</v>
      </c>
      <c r="O194" s="10">
        <f t="shared" si="444"/>
        <v>0.98999999999999988</v>
      </c>
      <c r="P194" s="23">
        <f t="shared" si="444"/>
        <v>1</v>
      </c>
      <c r="R194" s="81">
        <f t="shared" ref="R194:R205" si="448">D194/C194-1</f>
        <v>-6.7934223395614834E-2</v>
      </c>
      <c r="S194" s="10">
        <f t="shared" ref="S194:S205" si="449">H194/G194-1</f>
        <v>2.8399006034787178E-3</v>
      </c>
      <c r="T194" s="10">
        <f t="shared" ref="T194:T205" si="450">N194-M194</f>
        <v>-1.9033333333333347E-2</v>
      </c>
      <c r="U194" s="10">
        <f t="shared" ref="U194:U205" si="451">P194-O194</f>
        <v>1.000000000000012E-2</v>
      </c>
      <c r="V194" s="23">
        <f t="shared" si="434"/>
        <v>-1.3703092876893698E-2</v>
      </c>
      <c r="X194" s="5">
        <v>44651</v>
      </c>
      <c r="Y194" s="2">
        <f t="shared" si="445"/>
        <v>4963.3390814919712</v>
      </c>
      <c r="Z194" s="2">
        <f t="shared" si="445"/>
        <v>4660.8900000000003</v>
      </c>
      <c r="AA194" s="2">
        <f t="shared" si="402"/>
        <v>161.4</v>
      </c>
      <c r="AB194" s="2">
        <f t="shared" si="379"/>
        <v>165.76</v>
      </c>
      <c r="AC194" s="2">
        <f t="shared" si="403"/>
        <v>187.8</v>
      </c>
      <c r="AD194" s="2">
        <f t="shared" si="446"/>
        <v>190.01499999999996</v>
      </c>
      <c r="AE194" s="12">
        <f t="shared" si="446"/>
        <v>0.74537025350268948</v>
      </c>
      <c r="AF194" s="10">
        <f t="shared" si="446"/>
        <v>0.72221633586068534</v>
      </c>
      <c r="AG194" s="12">
        <f t="shared" si="422"/>
        <v>0.22238842839304523</v>
      </c>
      <c r="AH194" s="12">
        <f t="shared" si="422"/>
        <v>0.20869899193548386</v>
      </c>
      <c r="AI194" s="12">
        <f t="shared" si="447"/>
        <v>0.98499999999999999</v>
      </c>
      <c r="AJ194" s="10">
        <f t="shared" si="447"/>
        <v>0.94292500000000001</v>
      </c>
      <c r="AK194" s="10">
        <f t="shared" si="447"/>
        <v>0.99</v>
      </c>
      <c r="AL194" s="23">
        <f t="shared" si="447"/>
        <v>1</v>
      </c>
      <c r="AN194" s="81">
        <f t="shared" si="381"/>
        <v>-6.0936614751909146E-2</v>
      </c>
      <c r="AO194" s="10">
        <f t="shared" si="389"/>
        <v>1.1794462193822852E-2</v>
      </c>
      <c r="AP194" s="10">
        <f t="shared" si="390"/>
        <v>-4.2074999999999974E-2</v>
      </c>
      <c r="AQ194" s="10">
        <f t="shared" si="391"/>
        <v>1.0000000000000009E-2</v>
      </c>
      <c r="AR194" s="23">
        <f t="shared" si="435"/>
        <v>-1.3299475513834565E-2</v>
      </c>
    </row>
    <row r="195" spans="2:44">
      <c r="B195" s="5">
        <v>44681</v>
      </c>
      <c r="C195" s="2">
        <f t="shared" si="442"/>
        <v>5134.5677473098949</v>
      </c>
      <c r="D195" s="2">
        <f t="shared" si="442"/>
        <v>4507.9799999999996</v>
      </c>
      <c r="E195" s="2">
        <f t="shared" si="396"/>
        <v>190.19999999999996</v>
      </c>
      <c r="F195" s="2">
        <f t="shared" si="376"/>
        <v>170.20000000000002</v>
      </c>
      <c r="G195" s="2">
        <f t="shared" si="397"/>
        <v>194</v>
      </c>
      <c r="H195" s="2">
        <f t="shared" si="443"/>
        <v>183.59666666666666</v>
      </c>
      <c r="I195" s="12">
        <f t="shared" si="443"/>
        <v>0.74638590124925075</v>
      </c>
      <c r="J195" s="74">
        <f t="shared" si="386"/>
        <v>0.68376064502755851</v>
      </c>
      <c r="K195" s="74">
        <f t="shared" ref="K195:L214" si="452">AVERAGE(K581,K452,K323)</f>
        <v>0.2377114697828655</v>
      </c>
      <c r="L195" s="74">
        <f t="shared" si="452"/>
        <v>0.20870277777777776</v>
      </c>
      <c r="M195" s="74">
        <f t="shared" si="444"/>
        <v>0.98499999999999999</v>
      </c>
      <c r="N195" s="74">
        <f t="shared" si="444"/>
        <v>0.99746666666666661</v>
      </c>
      <c r="O195" s="74">
        <f t="shared" si="444"/>
        <v>0.98999999999999988</v>
      </c>
      <c r="P195" s="75">
        <f t="shared" si="444"/>
        <v>1</v>
      </c>
      <c r="Q195" s="96">
        <f>R195-S195</f>
        <v>-6.8407773268565397E-2</v>
      </c>
      <c r="R195" s="97">
        <f t="shared" si="448"/>
        <v>-0.12203320282183006</v>
      </c>
      <c r="S195" s="74">
        <f t="shared" si="449"/>
        <v>-5.3625429553264659E-2</v>
      </c>
      <c r="T195" s="74">
        <f t="shared" si="450"/>
        <v>1.2466666666666626E-2</v>
      </c>
      <c r="U195" s="74">
        <f t="shared" si="451"/>
        <v>1.000000000000012E-2</v>
      </c>
      <c r="V195" s="75">
        <f t="shared" si="434"/>
        <v>-2.1966666666666673E-2</v>
      </c>
      <c r="X195" s="5">
        <v>44681</v>
      </c>
      <c r="Y195" s="2">
        <f t="shared" si="445"/>
        <v>5134.7352956897867</v>
      </c>
      <c r="Z195" s="2">
        <f t="shared" si="445"/>
        <v>4509.5730000000003</v>
      </c>
      <c r="AA195" s="2">
        <f t="shared" si="402"/>
        <v>190.2</v>
      </c>
      <c r="AB195" s="2">
        <f t="shared" si="379"/>
        <v>177.495</v>
      </c>
      <c r="AC195" s="2">
        <f t="shared" si="403"/>
        <v>194</v>
      </c>
      <c r="AD195" s="2">
        <f t="shared" si="446"/>
        <v>184.01500000000001</v>
      </c>
      <c r="AE195" s="12">
        <f t="shared" si="446"/>
        <v>0.7464716293840068</v>
      </c>
      <c r="AF195" s="74">
        <f t="shared" si="446"/>
        <v>0.69071473002389427</v>
      </c>
      <c r="AG195" s="74">
        <f t="shared" ref="AG195:AH214" si="453">AVERAGE(AG710,AG323,AG452,AG581)</f>
        <v>0.23773877276498306</v>
      </c>
      <c r="AH195" s="74">
        <f t="shared" si="453"/>
        <v>0.20896979166666668</v>
      </c>
      <c r="AI195" s="74">
        <f t="shared" si="447"/>
        <v>0.98499999999999999</v>
      </c>
      <c r="AJ195" s="74">
        <f t="shared" si="447"/>
        <v>0.98652499999999999</v>
      </c>
      <c r="AK195" s="74">
        <f t="shared" si="447"/>
        <v>0.99</v>
      </c>
      <c r="AL195" s="75">
        <f t="shared" si="447"/>
        <v>1</v>
      </c>
      <c r="AM195" s="95">
        <f>AN195-AO195</f>
        <v>-7.028253910400295E-2</v>
      </c>
      <c r="AN195" s="97">
        <f t="shared" si="381"/>
        <v>-0.12175161126895129</v>
      </c>
      <c r="AO195" s="74">
        <f t="shared" si="389"/>
        <v>-5.1469072164948337E-2</v>
      </c>
      <c r="AP195" s="74">
        <f t="shared" si="390"/>
        <v>1.5249999999999986E-3</v>
      </c>
      <c r="AQ195" s="74">
        <f t="shared" si="391"/>
        <v>1.0000000000000009E-2</v>
      </c>
      <c r="AR195" s="75">
        <f t="shared" si="435"/>
        <v>-2.2024999999999999E-2</v>
      </c>
    </row>
    <row r="196" spans="2:44">
      <c r="B196" s="5">
        <v>44712</v>
      </c>
      <c r="C196" s="2">
        <f t="shared" si="442"/>
        <v>5202.0189806404742</v>
      </c>
      <c r="D196" s="2">
        <f t="shared" si="442"/>
        <v>4574.7719999999999</v>
      </c>
      <c r="E196" s="2">
        <f t="shared" si="396"/>
        <v>197</v>
      </c>
      <c r="F196" s="2">
        <f t="shared" ref="F196:F227" si="454">AVERAGE(F582,F453,F324)</f>
        <v>182.05333333333337</v>
      </c>
      <c r="G196" s="2">
        <f t="shared" si="397"/>
        <v>197.69999999999996</v>
      </c>
      <c r="H196" s="2">
        <f t="shared" si="443"/>
        <v>186.41</v>
      </c>
      <c r="I196" s="12">
        <f t="shared" si="443"/>
        <v>0.74203865899474997</v>
      </c>
      <c r="J196" s="10">
        <f t="shared" si="386"/>
        <v>0.70705022367883286</v>
      </c>
      <c r="K196" s="10">
        <f t="shared" si="452"/>
        <v>0.23306536651615026</v>
      </c>
      <c r="L196" s="10">
        <f t="shared" si="452"/>
        <v>0.20496290322580646</v>
      </c>
      <c r="M196" s="10">
        <f t="shared" si="444"/>
        <v>0.98499999999999999</v>
      </c>
      <c r="N196" s="10">
        <f t="shared" si="444"/>
        <v>0.96416559139784941</v>
      </c>
      <c r="O196" s="10">
        <f t="shared" si="444"/>
        <v>0.98999999999999988</v>
      </c>
      <c r="P196" s="23">
        <f t="shared" si="444"/>
        <v>1</v>
      </c>
      <c r="Q196" s="112">
        <f t="shared" ref="Q196" si="455">R196-S196-T196+(V196-1.5%)</f>
        <v>-6.5769800596081063E-2</v>
      </c>
      <c r="R196" s="81">
        <f t="shared" si="448"/>
        <v>-0.1205776032295921</v>
      </c>
      <c r="S196" s="10">
        <f t="shared" si="449"/>
        <v>-5.7106727364693799E-2</v>
      </c>
      <c r="T196" s="10">
        <f t="shared" si="450"/>
        <v>-2.0834408602150578E-2</v>
      </c>
      <c r="U196" s="10">
        <f t="shared" si="451"/>
        <v>1.000000000000012E-2</v>
      </c>
      <c r="V196" s="23">
        <f t="shared" si="434"/>
        <v>-8.1333333333333327E-3</v>
      </c>
      <c r="X196" s="5">
        <v>44712</v>
      </c>
      <c r="Y196" s="2">
        <f t="shared" si="445"/>
        <v>5202.5383993659298</v>
      </c>
      <c r="Z196" s="2">
        <f t="shared" si="445"/>
        <v>4728.6269999999995</v>
      </c>
      <c r="AA196" s="2">
        <f t="shared" si="402"/>
        <v>197</v>
      </c>
      <c r="AB196" s="2">
        <f t="shared" ref="AB196:AB227" si="456">AVERAGE(AB711,AB324,AB453,AB582)</f>
        <v>187.36500000000001</v>
      </c>
      <c r="AC196" s="2">
        <f t="shared" si="403"/>
        <v>197.7</v>
      </c>
      <c r="AD196" s="2">
        <f t="shared" si="446"/>
        <v>187.76500000000004</v>
      </c>
      <c r="AE196" s="12">
        <f t="shared" si="446"/>
        <v>0.74216693330067518</v>
      </c>
      <c r="AF196" s="10">
        <f t="shared" si="446"/>
        <v>0.71530335590531402</v>
      </c>
      <c r="AG196" s="10">
        <f t="shared" si="453"/>
        <v>0.23310565592393601</v>
      </c>
      <c r="AH196" s="10">
        <f t="shared" si="453"/>
        <v>0.21175141129032257</v>
      </c>
      <c r="AI196" s="10">
        <f t="shared" si="447"/>
        <v>0.98499999999999999</v>
      </c>
      <c r="AJ196" s="10">
        <f t="shared" si="447"/>
        <v>0.97752042161290342</v>
      </c>
      <c r="AK196" s="10">
        <f t="shared" si="447"/>
        <v>0.99</v>
      </c>
      <c r="AL196" s="23">
        <f t="shared" si="447"/>
        <v>1</v>
      </c>
      <c r="AM196" s="95">
        <f>AN196-AO196-AP196+(AR196-1.5%)</f>
        <v>-5.5709853670867573E-2</v>
      </c>
      <c r="AN196" s="81">
        <f t="shared" si="381"/>
        <v>-9.1092340505105951E-2</v>
      </c>
      <c r="AO196" s="10">
        <f t="shared" si="389"/>
        <v>-5.0252908447141809E-2</v>
      </c>
      <c r="AP196" s="10">
        <f t="shared" si="390"/>
        <v>-7.4795783870965638E-3</v>
      </c>
      <c r="AQ196" s="10">
        <f t="shared" si="391"/>
        <v>1.0000000000000009E-2</v>
      </c>
      <c r="AR196" s="23">
        <f t="shared" si="435"/>
        <v>-7.3499999999999998E-3</v>
      </c>
    </row>
    <row r="197" spans="2:44">
      <c r="B197" s="5">
        <v>44742</v>
      </c>
      <c r="C197" s="2">
        <f t="shared" si="442"/>
        <v>4678.5974099951818</v>
      </c>
      <c r="D197" s="2">
        <f t="shared" si="442"/>
        <v>4168.1099999999997</v>
      </c>
      <c r="E197" s="2">
        <f t="shared" si="396"/>
        <v>178.9</v>
      </c>
      <c r="F197" s="2">
        <f t="shared" si="454"/>
        <v>168.69333333333333</v>
      </c>
      <c r="G197" s="2">
        <f t="shared" si="397"/>
        <v>177.19999999999996</v>
      </c>
      <c r="H197" s="2">
        <f t="shared" si="443"/>
        <v>167.78999999999996</v>
      </c>
      <c r="I197" s="12">
        <f t="shared" si="443"/>
        <v>0.74458319010056517</v>
      </c>
      <c r="J197" s="10">
        <f t="shared" si="386"/>
        <v>0.69324684981537177</v>
      </c>
      <c r="K197" s="10">
        <f t="shared" si="452"/>
        <v>0.21660173194422142</v>
      </c>
      <c r="L197" s="10">
        <f t="shared" si="452"/>
        <v>0.19296805555555555</v>
      </c>
      <c r="M197" s="10">
        <f t="shared" si="444"/>
        <v>0.98499999999999999</v>
      </c>
      <c r="N197" s="10">
        <f t="shared" si="444"/>
        <v>0.99545855111111115</v>
      </c>
      <c r="O197" s="10">
        <f t="shared" si="444"/>
        <v>0.98999999999999988</v>
      </c>
      <c r="P197" s="23">
        <f t="shared" si="444"/>
        <v>0.99919999999999998</v>
      </c>
      <c r="Q197" s="112">
        <f>R197-S197-T197+(V197-1.5%)</f>
        <v>-9.3132587204155015E-2</v>
      </c>
      <c r="R197" s="81">
        <f t="shared" si="448"/>
        <v>-0.10911120689816045</v>
      </c>
      <c r="S197" s="10">
        <f t="shared" si="449"/>
        <v>-5.3103837471783266E-2</v>
      </c>
      <c r="T197" s="10">
        <f t="shared" si="450"/>
        <v>1.0458551111111158E-2</v>
      </c>
      <c r="U197" s="10">
        <f t="shared" si="451"/>
        <v>9.200000000000097E-3</v>
      </c>
      <c r="V197" s="23">
        <f t="shared" si="434"/>
        <v>-1.1666666666666667E-2</v>
      </c>
      <c r="X197" s="5">
        <v>44742</v>
      </c>
      <c r="Y197" s="2">
        <f t="shared" si="445"/>
        <v>4670.7247565928446</v>
      </c>
      <c r="Z197" s="2">
        <f t="shared" si="445"/>
        <v>4257.8339999999998</v>
      </c>
      <c r="AA197" s="2">
        <f t="shared" si="402"/>
        <v>178.9</v>
      </c>
      <c r="AB197" s="2">
        <f t="shared" si="456"/>
        <v>170.16500000000002</v>
      </c>
      <c r="AC197" s="2">
        <f t="shared" si="403"/>
        <v>177.2</v>
      </c>
      <c r="AD197" s="2">
        <f t="shared" si="446"/>
        <v>169.79</v>
      </c>
      <c r="AE197" s="12">
        <f t="shared" si="446"/>
        <v>0.74339463599841094</v>
      </c>
      <c r="AF197" s="10">
        <f t="shared" si="446"/>
        <v>0.70001550057186568</v>
      </c>
      <c r="AG197" s="10">
        <f t="shared" si="453"/>
        <v>0.21625597759405779</v>
      </c>
      <c r="AH197" s="10">
        <f t="shared" si="453"/>
        <v>0.19757124999999998</v>
      </c>
      <c r="AI197" s="10">
        <f t="shared" si="447"/>
        <v>0.98499999999999999</v>
      </c>
      <c r="AJ197" s="10">
        <f t="shared" si="447"/>
        <v>0.9973806164833332</v>
      </c>
      <c r="AK197" s="10">
        <f t="shared" si="447"/>
        <v>0.99</v>
      </c>
      <c r="AL197" s="23">
        <f t="shared" si="447"/>
        <v>0.99920666666666658</v>
      </c>
      <c r="AM197" s="95">
        <f>AN197-AO197-AP197+(AR197-1.5%)</f>
        <v>-8.6638179852094099E-2</v>
      </c>
      <c r="AN197" s="81">
        <f t="shared" si="381"/>
        <v>-8.8399719124968579E-2</v>
      </c>
      <c r="AO197" s="10">
        <f t="shared" si="389"/>
        <v>-4.1817155756207702E-2</v>
      </c>
      <c r="AP197" s="10">
        <f t="shared" si="390"/>
        <v>1.2380616483333218E-2</v>
      </c>
      <c r="AQ197" s="10">
        <f t="shared" si="391"/>
        <v>9.2066666666665853E-3</v>
      </c>
      <c r="AR197" s="23">
        <f t="shared" si="435"/>
        <v>-1.2674999999999999E-2</v>
      </c>
    </row>
    <row r="198" spans="2:44">
      <c r="B198" s="5">
        <v>44773</v>
      </c>
      <c r="C198" s="2">
        <f t="shared" si="442"/>
        <v>4149.7797406834434</v>
      </c>
      <c r="D198" s="2">
        <f t="shared" si="442"/>
        <v>3954.4799999999996</v>
      </c>
      <c r="E198" s="2">
        <f t="shared" si="396"/>
        <v>155.5</v>
      </c>
      <c r="F198" s="2">
        <f t="shared" si="454"/>
        <v>151.53333333333333</v>
      </c>
      <c r="G198" s="2">
        <f t="shared" si="397"/>
        <v>154.6</v>
      </c>
      <c r="H198" s="2">
        <f t="shared" si="443"/>
        <v>151.84666666666669</v>
      </c>
      <c r="I198" s="12">
        <f t="shared" si="443"/>
        <v>0.75696678813134266</v>
      </c>
      <c r="J198" s="10">
        <f t="shared" si="386"/>
        <v>0.73639935251296362</v>
      </c>
      <c r="K198" s="10">
        <f t="shared" si="452"/>
        <v>0.18592203139262739</v>
      </c>
      <c r="L198" s="10">
        <f t="shared" si="452"/>
        <v>0.17717204301075271</v>
      </c>
      <c r="M198" s="10">
        <f t="shared" si="444"/>
        <v>0.98499999999999999</v>
      </c>
      <c r="N198" s="10">
        <f t="shared" si="444"/>
        <v>0.98235591397849464</v>
      </c>
      <c r="O198" s="10">
        <f t="shared" si="444"/>
        <v>0.98999999999999988</v>
      </c>
      <c r="P198" s="23">
        <f t="shared" si="444"/>
        <v>1</v>
      </c>
      <c r="Q198" s="112">
        <f t="shared" ref="Q198:Q203" si="457">R198-S198-T198</f>
        <v>-2.6609189682343604E-2</v>
      </c>
      <c r="R198" s="81">
        <f t="shared" si="448"/>
        <v>-4.7062676307557227E-2</v>
      </c>
      <c r="S198" s="10">
        <f t="shared" si="449"/>
        <v>-1.7809400603708281E-2</v>
      </c>
      <c r="T198" s="10">
        <f t="shared" si="450"/>
        <v>-2.644086021505343E-3</v>
      </c>
      <c r="U198" s="10">
        <f t="shared" si="451"/>
        <v>1.000000000000012E-2</v>
      </c>
      <c r="V198" s="23">
        <f t="shared" si="434"/>
        <v>-6.5999999999999991E-3</v>
      </c>
      <c r="X198" s="5">
        <v>44773</v>
      </c>
      <c r="Y198" s="2">
        <f t="shared" si="445"/>
        <v>4134.2350651659954</v>
      </c>
      <c r="Z198" s="2">
        <f t="shared" si="445"/>
        <v>3950.1270000000004</v>
      </c>
      <c r="AA198" s="2">
        <f t="shared" si="402"/>
        <v>155.5</v>
      </c>
      <c r="AB198" s="2">
        <f t="shared" si="456"/>
        <v>152.42499999999995</v>
      </c>
      <c r="AC198" s="2">
        <f t="shared" si="403"/>
        <v>154.6</v>
      </c>
      <c r="AD198" s="2">
        <f t="shared" si="446"/>
        <v>152.61999999999998</v>
      </c>
      <c r="AE198" s="12">
        <f t="shared" si="446"/>
        <v>0.75419305982822304</v>
      </c>
      <c r="AF198" s="10">
        <f t="shared" si="446"/>
        <v>0.75185283580448747</v>
      </c>
      <c r="AG198" s="10">
        <f t="shared" si="453"/>
        <v>0.18524076345758325</v>
      </c>
      <c r="AH198" s="10">
        <f t="shared" si="453"/>
        <v>0.17768911290322581</v>
      </c>
      <c r="AI198" s="10">
        <f t="shared" si="447"/>
        <v>0.98499999999999999</v>
      </c>
      <c r="AJ198" s="10">
        <f t="shared" si="447"/>
        <v>0.96012500000000001</v>
      </c>
      <c r="AK198" s="10">
        <f t="shared" si="447"/>
        <v>0.99</v>
      </c>
      <c r="AL198" s="23">
        <f t="shared" si="447"/>
        <v>1</v>
      </c>
      <c r="AM198" s="98">
        <f t="shared" ref="AM198:AM203" si="458">AN198-AO198-AP198</f>
        <v>-6.8503140642721672E-3</v>
      </c>
      <c r="AN198" s="81">
        <f t="shared" ref="AN198:AN248" si="459">Z198/Y198-1</f>
        <v>-4.4532558566212743E-2</v>
      </c>
      <c r="AO198" s="10">
        <f t="shared" si="389"/>
        <v>-1.2807244501940596E-2</v>
      </c>
      <c r="AP198" s="10">
        <f t="shared" si="390"/>
        <v>-2.487499999999998E-2</v>
      </c>
      <c r="AQ198" s="10">
        <f t="shared" si="391"/>
        <v>1.0000000000000009E-2</v>
      </c>
      <c r="AR198" s="23">
        <f t="shared" si="435"/>
        <v>-6.2250000000000005E-3</v>
      </c>
    </row>
    <row r="199" spans="2:44">
      <c r="B199" s="5">
        <v>44804</v>
      </c>
      <c r="C199" s="2">
        <f t="shared" si="442"/>
        <v>3942.0299420252604</v>
      </c>
      <c r="D199" s="2">
        <f t="shared" si="442"/>
        <v>4147.6859999999997</v>
      </c>
      <c r="E199" s="2">
        <f t="shared" si="396"/>
        <v>145.4</v>
      </c>
      <c r="F199" s="2">
        <f t="shared" si="454"/>
        <v>157.26333333333332</v>
      </c>
      <c r="G199" s="2">
        <f t="shared" si="397"/>
        <v>146.30000000000001</v>
      </c>
      <c r="H199" s="2">
        <f t="shared" si="443"/>
        <v>162.24999999999997</v>
      </c>
      <c r="I199" s="12">
        <f t="shared" si="443"/>
        <v>0.7598657353322662</v>
      </c>
      <c r="J199" s="10">
        <f t="shared" si="386"/>
        <v>0.72512275724096342</v>
      </c>
      <c r="K199" s="10">
        <f t="shared" si="452"/>
        <v>0.17661424471439338</v>
      </c>
      <c r="L199" s="10">
        <f t="shared" si="452"/>
        <v>0.18582822580645161</v>
      </c>
      <c r="M199" s="10">
        <f t="shared" si="444"/>
        <v>0.98499999999999999</v>
      </c>
      <c r="N199" s="10">
        <f t="shared" si="444"/>
        <v>0.97928709677419368</v>
      </c>
      <c r="O199" s="10">
        <f t="shared" si="444"/>
        <v>0.98999999999999988</v>
      </c>
      <c r="P199" s="23">
        <f t="shared" si="444"/>
        <v>1</v>
      </c>
      <c r="Q199" s="112">
        <f t="shared" si="457"/>
        <v>-5.1139562881919343E-2</v>
      </c>
      <c r="R199" s="81">
        <f t="shared" si="448"/>
        <v>5.2170090283251591E-2</v>
      </c>
      <c r="S199" s="10">
        <f t="shared" si="449"/>
        <v>0.10902255639097724</v>
      </c>
      <c r="T199" s="10">
        <f t="shared" si="450"/>
        <v>-5.7129032258063095E-3</v>
      </c>
      <c r="U199" s="10">
        <f t="shared" si="451"/>
        <v>1.000000000000012E-2</v>
      </c>
      <c r="V199" s="23">
        <f t="shared" si="434"/>
        <v>-1.2933333333333333E-2</v>
      </c>
      <c r="X199" s="5">
        <v>44804</v>
      </c>
      <c r="Y199" s="2">
        <f t="shared" si="445"/>
        <v>3924.9806184046242</v>
      </c>
      <c r="Z199" s="2">
        <f t="shared" si="445"/>
        <v>4227.8609999999999</v>
      </c>
      <c r="AA199" s="2">
        <f t="shared" si="402"/>
        <v>145.4</v>
      </c>
      <c r="AB199" s="2">
        <f t="shared" si="456"/>
        <v>160.73500000000001</v>
      </c>
      <c r="AC199" s="2">
        <f t="shared" si="403"/>
        <v>146.30000000000001</v>
      </c>
      <c r="AD199" s="2">
        <f t="shared" si="446"/>
        <v>162.88499999999999</v>
      </c>
      <c r="AE199" s="12">
        <f t="shared" si="446"/>
        <v>0.75662572435706865</v>
      </c>
      <c r="AF199" s="10">
        <f t="shared" si="446"/>
        <v>0.73999631503570662</v>
      </c>
      <c r="AG199" s="10">
        <f t="shared" si="453"/>
        <v>0.17586117471183477</v>
      </c>
      <c r="AH199" s="10">
        <f t="shared" si="453"/>
        <v>0.18916391129032256</v>
      </c>
      <c r="AI199" s="10">
        <f t="shared" si="447"/>
        <v>0.98499999999999999</v>
      </c>
      <c r="AJ199" s="10">
        <f t="shared" si="447"/>
        <v>0.97298225806451621</v>
      </c>
      <c r="AK199" s="10">
        <f t="shared" si="447"/>
        <v>0.99</v>
      </c>
      <c r="AL199" s="23">
        <f t="shared" si="447"/>
        <v>1</v>
      </c>
      <c r="AM199" s="98">
        <f t="shared" si="458"/>
        <v>-2.4177853647173397E-2</v>
      </c>
      <c r="AN199" s="81">
        <f t="shared" si="459"/>
        <v>7.7167357253979718E-2</v>
      </c>
      <c r="AO199" s="10">
        <f t="shared" si="389"/>
        <v>0.11336295283663689</v>
      </c>
      <c r="AP199" s="10">
        <f t="shared" si="390"/>
        <v>-1.2017741935483772E-2</v>
      </c>
      <c r="AQ199" s="10">
        <f t="shared" si="391"/>
        <v>1.0000000000000009E-2</v>
      </c>
      <c r="AR199" s="23">
        <f t="shared" si="435"/>
        <v>-1.2175000000000002E-2</v>
      </c>
    </row>
    <row r="200" spans="2:44">
      <c r="B200" s="5">
        <v>44834</v>
      </c>
      <c r="C200" s="2">
        <f t="shared" si="442"/>
        <v>3924.0430972432059</v>
      </c>
      <c r="D200" s="2">
        <f t="shared" si="442"/>
        <v>3475.3020000000001</v>
      </c>
      <c r="E200" s="2">
        <f t="shared" si="396"/>
        <v>141.6</v>
      </c>
      <c r="F200" s="2">
        <f t="shared" si="454"/>
        <v>126.49</v>
      </c>
      <c r="G200" s="2">
        <f t="shared" si="397"/>
        <v>145.5</v>
      </c>
      <c r="H200" s="2">
        <f t="shared" si="443"/>
        <v>136.91000000000003</v>
      </c>
      <c r="I200" s="12">
        <f t="shared" si="443"/>
        <v>0.76055748352884056</v>
      </c>
      <c r="J200" s="10">
        <f t="shared" si="386"/>
        <v>0.71487578639332383</v>
      </c>
      <c r="K200" s="10">
        <f t="shared" si="452"/>
        <v>0.18166866190940767</v>
      </c>
      <c r="L200" s="10">
        <f t="shared" si="452"/>
        <v>0.16089361111111111</v>
      </c>
      <c r="M200" s="10">
        <f t="shared" si="444"/>
        <v>0.98499999999999999</v>
      </c>
      <c r="N200" s="10">
        <f t="shared" si="444"/>
        <v>0.98633222222222228</v>
      </c>
      <c r="O200" s="10">
        <f t="shared" si="444"/>
        <v>0.98999999999999988</v>
      </c>
      <c r="P200" s="23">
        <f t="shared" si="444"/>
        <v>1</v>
      </c>
      <c r="Q200" s="112">
        <f t="shared" si="457"/>
        <v>-5.6651243344173707E-2</v>
      </c>
      <c r="R200" s="81">
        <f t="shared" si="448"/>
        <v>-0.11435682180923645</v>
      </c>
      <c r="S200" s="10">
        <f t="shared" si="449"/>
        <v>-5.9037800687285036E-2</v>
      </c>
      <c r="T200" s="10">
        <f t="shared" si="450"/>
        <v>1.3322222222222901E-3</v>
      </c>
      <c r="U200" s="10">
        <f t="shared" si="451"/>
        <v>1.000000000000012E-2</v>
      </c>
      <c r="V200" s="23">
        <f t="shared" si="434"/>
        <v>-1.0166666666666668E-2</v>
      </c>
      <c r="X200" s="5">
        <v>44834</v>
      </c>
      <c r="Y200" s="2">
        <f t="shared" si="445"/>
        <v>3911.8516513080458</v>
      </c>
      <c r="Z200" s="2">
        <f t="shared" si="445"/>
        <v>3557.1210000000001</v>
      </c>
      <c r="AA200" s="2">
        <f t="shared" si="402"/>
        <v>141.6</v>
      </c>
      <c r="AB200" s="2">
        <f t="shared" si="456"/>
        <v>129.97500000000002</v>
      </c>
      <c r="AC200" s="2">
        <f t="shared" si="403"/>
        <v>145.5</v>
      </c>
      <c r="AD200" s="2">
        <f t="shared" si="446"/>
        <v>136.78500000000003</v>
      </c>
      <c r="AE200" s="12">
        <f t="shared" si="446"/>
        <v>0.75823239897818706</v>
      </c>
      <c r="AF200" s="10">
        <f t="shared" si="446"/>
        <v>0.73151184523934287</v>
      </c>
      <c r="AG200" s="10">
        <f t="shared" si="453"/>
        <v>0.18111328640092719</v>
      </c>
      <c r="AH200" s="10">
        <f t="shared" si="453"/>
        <v>0.16453625</v>
      </c>
      <c r="AI200" s="10">
        <f t="shared" si="447"/>
        <v>0.98499999999999999</v>
      </c>
      <c r="AJ200" s="10">
        <f t="shared" si="447"/>
        <v>0.98668250000000002</v>
      </c>
      <c r="AK200" s="10">
        <f t="shared" si="447"/>
        <v>0.99</v>
      </c>
      <c r="AL200" s="23">
        <f t="shared" si="447"/>
        <v>1</v>
      </c>
      <c r="AM200" s="98">
        <f t="shared" si="458"/>
        <v>-3.2466600891118746E-2</v>
      </c>
      <c r="AN200" s="81">
        <f t="shared" si="459"/>
        <v>-9.068100810761337E-2</v>
      </c>
      <c r="AO200" s="10">
        <f t="shared" si="389"/>
        <v>-5.9896907216494655E-2</v>
      </c>
      <c r="AP200" s="10">
        <f t="shared" si="390"/>
        <v>1.6825000000000312E-3</v>
      </c>
      <c r="AQ200" s="10">
        <f t="shared" si="391"/>
        <v>1.0000000000000009E-2</v>
      </c>
      <c r="AR200" s="23">
        <f t="shared" si="435"/>
        <v>-9.325E-3</v>
      </c>
    </row>
    <row r="201" spans="2:44">
      <c r="B201" s="5">
        <v>44865</v>
      </c>
      <c r="C201" s="2">
        <f t="shared" si="442"/>
        <v>4487.0359073363379</v>
      </c>
      <c r="D201" s="2">
        <f t="shared" si="442"/>
        <v>4064.076</v>
      </c>
      <c r="E201" s="2">
        <f t="shared" si="396"/>
        <v>139.1</v>
      </c>
      <c r="F201" s="2">
        <f t="shared" si="454"/>
        <v>131.32999999999998</v>
      </c>
      <c r="G201" s="2">
        <f t="shared" si="397"/>
        <v>172.19999999999996</v>
      </c>
      <c r="H201" s="2">
        <f t="shared" si="443"/>
        <v>162.26666666666662</v>
      </c>
      <c r="I201" s="12">
        <f t="shared" si="443"/>
        <v>0.7348313336216199</v>
      </c>
      <c r="J201" s="10">
        <f t="shared" ref="J201:J228" si="460">AVERAGE(J587,J458,J329)</f>
        <v>0.69908519997083174</v>
      </c>
      <c r="K201" s="10">
        <f t="shared" si="452"/>
        <v>0.20103207470144882</v>
      </c>
      <c r="L201" s="10">
        <f t="shared" si="452"/>
        <v>0.18208225806451614</v>
      </c>
      <c r="M201" s="10">
        <f t="shared" si="444"/>
        <v>0.98499999999999999</v>
      </c>
      <c r="N201" s="10">
        <f t="shared" si="444"/>
        <v>0.99520860215053764</v>
      </c>
      <c r="O201" s="10">
        <f t="shared" si="444"/>
        <v>0.98999999999999988</v>
      </c>
      <c r="P201" s="23">
        <f t="shared" si="444"/>
        <v>1</v>
      </c>
      <c r="Q201" s="112">
        <f t="shared" si="457"/>
        <v>-4.6786392276630839E-2</v>
      </c>
      <c r="R201" s="81">
        <f t="shared" si="448"/>
        <v>-9.4262652689004578E-2</v>
      </c>
      <c r="S201" s="10">
        <f t="shared" si="449"/>
        <v>-5.7684862562911388E-2</v>
      </c>
      <c r="T201" s="10">
        <f t="shared" si="450"/>
        <v>1.0208602150537649E-2</v>
      </c>
      <c r="U201" s="10">
        <f t="shared" si="451"/>
        <v>1.000000000000012E-2</v>
      </c>
      <c r="V201" s="23">
        <f t="shared" si="434"/>
        <v>-1.7076852234425264E-2</v>
      </c>
      <c r="X201" s="5">
        <v>44865</v>
      </c>
      <c r="Y201" s="2">
        <f t="shared" si="445"/>
        <v>4483.1421282404863</v>
      </c>
      <c r="Z201" s="2">
        <f t="shared" si="445"/>
        <v>4146.942</v>
      </c>
      <c r="AA201" s="2">
        <f t="shared" si="402"/>
        <v>139.1</v>
      </c>
      <c r="AB201" s="2">
        <f t="shared" si="456"/>
        <v>131.23499999999999</v>
      </c>
      <c r="AC201" s="2">
        <f t="shared" si="403"/>
        <v>172.2</v>
      </c>
      <c r="AD201" s="2">
        <f t="shared" si="446"/>
        <v>160.92499999999998</v>
      </c>
      <c r="AE201" s="12">
        <f t="shared" si="446"/>
        <v>0.73425133449009539</v>
      </c>
      <c r="AF201" s="10">
        <f t="shared" si="446"/>
        <v>0.71861250205137372</v>
      </c>
      <c r="AG201" s="12">
        <f t="shared" si="453"/>
        <v>0.2008734009713008</v>
      </c>
      <c r="AH201" s="12">
        <f t="shared" si="453"/>
        <v>0.18545443548387097</v>
      </c>
      <c r="AI201" s="12">
        <f t="shared" si="447"/>
        <v>0.98499999999999999</v>
      </c>
      <c r="AJ201" s="10">
        <f t="shared" si="447"/>
        <v>0.99427500000000002</v>
      </c>
      <c r="AK201" s="10">
        <f t="shared" si="447"/>
        <v>0.99</v>
      </c>
      <c r="AL201" s="23">
        <f t="shared" si="447"/>
        <v>0.99724193548387097</v>
      </c>
      <c r="AM201" s="98">
        <f t="shared" si="458"/>
        <v>-1.8790883971477323E-2</v>
      </c>
      <c r="AN201" s="81">
        <f t="shared" si="459"/>
        <v>-7.4992074447667756E-2</v>
      </c>
      <c r="AO201" s="10">
        <f t="shared" ref="AO201:AO248" si="461">AD201/AC201-1</f>
        <v>-6.5476190476190466E-2</v>
      </c>
      <c r="AP201" s="10">
        <f t="shared" ref="AP201:AP248" si="462">AJ201-AI201</f>
        <v>9.2750000000000332E-3</v>
      </c>
      <c r="AQ201" s="10">
        <f t="shared" ref="AQ201:AQ248" si="463">AL201-AK201</f>
        <v>7.241935483870976E-3</v>
      </c>
      <c r="AR201" s="23">
        <f t="shared" si="435"/>
        <v>-1.5946724800302049E-2</v>
      </c>
    </row>
    <row r="202" spans="2:44">
      <c r="B202" s="5">
        <v>44895</v>
      </c>
      <c r="C202" s="2">
        <f t="shared" si="442"/>
        <v>3976.2055351249528</v>
      </c>
      <c r="D202" s="2">
        <f t="shared" si="442"/>
        <v>3324.8220000000001</v>
      </c>
      <c r="E202" s="2">
        <f t="shared" si="396"/>
        <v>108.09999999999998</v>
      </c>
      <c r="F202" s="2">
        <f t="shared" si="454"/>
        <v>93.55</v>
      </c>
      <c r="G202" s="2">
        <f t="shared" si="397"/>
        <v>152.1</v>
      </c>
      <c r="H202" s="2">
        <f t="shared" si="443"/>
        <v>136.34</v>
      </c>
      <c r="I202" s="12">
        <f t="shared" si="443"/>
        <v>0.73722640230325975</v>
      </c>
      <c r="J202" s="10">
        <f t="shared" si="460"/>
        <v>0.67936699466137984</v>
      </c>
      <c r="K202" s="10">
        <f t="shared" si="452"/>
        <v>0.18408358958911816</v>
      </c>
      <c r="L202" s="10">
        <f t="shared" si="452"/>
        <v>0.15392694444444444</v>
      </c>
      <c r="M202" s="10">
        <f t="shared" si="444"/>
        <v>0.98499999999999999</v>
      </c>
      <c r="N202" s="10">
        <f t="shared" si="444"/>
        <v>0.99719333333333326</v>
      </c>
      <c r="O202" s="10">
        <f t="shared" si="444"/>
        <v>0.98999999999999988</v>
      </c>
      <c r="P202" s="23">
        <f t="shared" si="444"/>
        <v>1</v>
      </c>
      <c r="Q202" s="112">
        <f t="shared" si="457"/>
        <v>-7.2397679656394875E-2</v>
      </c>
      <c r="R202" s="81">
        <f t="shared" si="448"/>
        <v>-0.16382038840064206</v>
      </c>
      <c r="S202" s="10">
        <f t="shared" si="449"/>
        <v>-0.10361604207758046</v>
      </c>
      <c r="T202" s="10">
        <f t="shared" si="450"/>
        <v>1.2193333333333278E-2</v>
      </c>
      <c r="U202" s="10">
        <f t="shared" si="451"/>
        <v>1.000000000000012E-2</v>
      </c>
      <c r="V202" s="23">
        <f t="shared" si="434"/>
        <v>-2.513333333333333E-2</v>
      </c>
      <c r="X202" s="5">
        <v>44895</v>
      </c>
      <c r="Y202" s="2">
        <f t="shared" si="445"/>
        <v>3968.1443894834101</v>
      </c>
      <c r="Z202" s="2">
        <f t="shared" si="445"/>
        <v>3446.5140000000001</v>
      </c>
      <c r="AA202" s="2">
        <f t="shared" si="402"/>
        <v>108.1</v>
      </c>
      <c r="AB202" s="2">
        <f t="shared" si="456"/>
        <v>99.57</v>
      </c>
      <c r="AC202" s="2">
        <f t="shared" si="403"/>
        <v>152.1</v>
      </c>
      <c r="AD202" s="2">
        <f t="shared" si="446"/>
        <v>136.41500000000002</v>
      </c>
      <c r="AE202" s="12">
        <f t="shared" si="446"/>
        <v>0.73577674353840039</v>
      </c>
      <c r="AF202" s="10">
        <f t="shared" si="446"/>
        <v>0.70341446368695659</v>
      </c>
      <c r="AG202" s="12">
        <f t="shared" si="453"/>
        <v>0.18372161341967971</v>
      </c>
      <c r="AH202" s="12">
        <f t="shared" si="453"/>
        <v>0.15972770833333333</v>
      </c>
      <c r="AI202" s="12">
        <f t="shared" si="447"/>
        <v>0.98499999999999999</v>
      </c>
      <c r="AJ202" s="10">
        <f t="shared" si="447"/>
        <v>0.9987125</v>
      </c>
      <c r="AK202" s="10">
        <f t="shared" si="447"/>
        <v>0.99</v>
      </c>
      <c r="AL202" s="23">
        <f t="shared" si="447"/>
        <v>1</v>
      </c>
      <c r="AM202" s="98">
        <f t="shared" si="458"/>
        <v>-4.2044042683722083E-2</v>
      </c>
      <c r="AN202" s="81">
        <f t="shared" si="459"/>
        <v>-0.13145448811435967</v>
      </c>
      <c r="AO202" s="10">
        <f t="shared" si="461"/>
        <v>-0.1031229454306376</v>
      </c>
      <c r="AP202" s="10">
        <f t="shared" si="462"/>
        <v>1.3712500000000016E-2</v>
      </c>
      <c r="AQ202" s="10">
        <f t="shared" si="463"/>
        <v>1.0000000000000009E-2</v>
      </c>
      <c r="AR202" s="23">
        <f t="shared" si="435"/>
        <v>-2.4924999999999999E-2</v>
      </c>
    </row>
    <row r="203" spans="2:44">
      <c r="B203" s="5">
        <v>44926</v>
      </c>
      <c r="C203" s="2">
        <f t="shared" si="442"/>
        <v>3341.264893585304</v>
      </c>
      <c r="D203" s="2">
        <f t="shared" si="442"/>
        <v>2935.65</v>
      </c>
      <c r="E203" s="2">
        <f t="shared" ref="E203:E228" si="464">AVERAGE(E589,E460,E331)</f>
        <v>89.90000000000002</v>
      </c>
      <c r="F203" s="2">
        <f t="shared" si="454"/>
        <v>75.780000000000015</v>
      </c>
      <c r="G203" s="2">
        <f t="shared" ref="G203:G228" si="465">AVERAGE(G589,G460,G331)</f>
        <v>129.6</v>
      </c>
      <c r="H203" s="2">
        <f t="shared" si="443"/>
        <v>115.95333333333333</v>
      </c>
      <c r="I203" s="12">
        <f t="shared" si="443"/>
        <v>0.72705484826959088</v>
      </c>
      <c r="J203" s="10">
        <f t="shared" si="460"/>
        <v>0.70428849918131375</v>
      </c>
      <c r="K203" s="12">
        <f t="shared" si="452"/>
        <v>0.1496982479204885</v>
      </c>
      <c r="L203" s="12">
        <f t="shared" si="452"/>
        <v>0.13152553763440861</v>
      </c>
      <c r="M203" s="12">
        <f t="shared" si="444"/>
        <v>0.98499999999999999</v>
      </c>
      <c r="N203" s="10">
        <f t="shared" si="444"/>
        <v>0.99855913978494615</v>
      </c>
      <c r="O203" s="10">
        <f t="shared" si="444"/>
        <v>0.98999999999999988</v>
      </c>
      <c r="P203" s="23">
        <f t="shared" si="444"/>
        <v>1</v>
      </c>
      <c r="Q203" s="112">
        <f t="shared" si="457"/>
        <v>-2.9656396969956145E-2</v>
      </c>
      <c r="R203" s="81">
        <f t="shared" si="448"/>
        <v>-0.12139561109447494</v>
      </c>
      <c r="S203" s="10">
        <f t="shared" si="449"/>
        <v>-0.10529835390946496</v>
      </c>
      <c r="T203" s="10">
        <f t="shared" si="450"/>
        <v>1.3559139784946161E-2</v>
      </c>
      <c r="U203" s="10">
        <f t="shared" si="451"/>
        <v>1.000000000000012E-2</v>
      </c>
      <c r="V203" s="23">
        <f t="shared" si="434"/>
        <v>-1.95E-2</v>
      </c>
      <c r="X203" s="5">
        <v>44926</v>
      </c>
      <c r="Y203" s="2">
        <f t="shared" si="445"/>
        <v>3332.8725354930825</v>
      </c>
      <c r="Z203" s="2">
        <f t="shared" si="445"/>
        <v>3009.1619999999998</v>
      </c>
      <c r="AA203" s="2">
        <f t="shared" ref="AA203:AA228" si="466">AVERAGE(AA718,AA331,AA460,AA589)</f>
        <v>89.9</v>
      </c>
      <c r="AB203" s="2">
        <f t="shared" si="456"/>
        <v>83.315000000000026</v>
      </c>
      <c r="AC203" s="2">
        <f t="shared" ref="AC203:AC228" si="467">AVERAGE(AC718,AC331,AC460,AC589)</f>
        <v>129.6</v>
      </c>
      <c r="AD203" s="2">
        <f t="shared" si="446"/>
        <v>119.17</v>
      </c>
      <c r="AE203" s="12">
        <f t="shared" si="446"/>
        <v>0.72528101850521709</v>
      </c>
      <c r="AF203" s="10">
        <f t="shared" si="446"/>
        <v>0.714046365678216</v>
      </c>
      <c r="AG203" s="12">
        <f t="shared" si="453"/>
        <v>0.14933302209403548</v>
      </c>
      <c r="AH203" s="12">
        <f t="shared" si="453"/>
        <v>0.13552318548387096</v>
      </c>
      <c r="AI203" s="12">
        <f t="shared" si="447"/>
        <v>0.98499999999999999</v>
      </c>
      <c r="AJ203" s="10">
        <f t="shared" si="447"/>
        <v>0.98736040426415617</v>
      </c>
      <c r="AK203" s="10">
        <f t="shared" si="447"/>
        <v>0.99</v>
      </c>
      <c r="AL203" s="23">
        <f t="shared" si="447"/>
        <v>1</v>
      </c>
      <c r="AM203" s="98">
        <f t="shared" si="458"/>
        <v>-1.9008596566859159E-2</v>
      </c>
      <c r="AN203" s="81">
        <f t="shared" si="459"/>
        <v>-9.712658736443136E-2</v>
      </c>
      <c r="AO203" s="10">
        <f t="shared" si="461"/>
        <v>-8.0478395061728381E-2</v>
      </c>
      <c r="AP203" s="10">
        <f t="shared" si="462"/>
        <v>2.3604042641561795E-3</v>
      </c>
      <c r="AQ203" s="10">
        <f t="shared" si="463"/>
        <v>1.0000000000000009E-2</v>
      </c>
      <c r="AR203" s="23">
        <f t="shared" si="435"/>
        <v>-1.9824999999999999E-2</v>
      </c>
    </row>
    <row r="204" spans="2:44">
      <c r="B204" s="5">
        <v>44957</v>
      </c>
      <c r="C204" s="2">
        <f t="shared" si="442"/>
        <v>2821.6507918551015</v>
      </c>
      <c r="D204" s="2">
        <f t="shared" si="442"/>
        <v>2261.3159999999998</v>
      </c>
      <c r="E204" s="2">
        <f t="shared" si="464"/>
        <v>79.599999999999994</v>
      </c>
      <c r="F204" s="2">
        <f t="shared" si="454"/>
        <v>64.02</v>
      </c>
      <c r="G204" s="2">
        <f t="shared" si="465"/>
        <v>103.2</v>
      </c>
      <c r="H204" s="2">
        <f t="shared" si="443"/>
        <v>86.140000000000029</v>
      </c>
      <c r="I204" s="12">
        <f t="shared" si="443"/>
        <v>0.77105407333492415</v>
      </c>
      <c r="J204" s="10">
        <f t="shared" si="460"/>
        <v>0.73562903878354058</v>
      </c>
      <c r="K204" s="12">
        <f t="shared" si="452"/>
        <v>0.12641804623006728</v>
      </c>
      <c r="L204" s="12">
        <f t="shared" si="452"/>
        <v>0.10131344086021504</v>
      </c>
      <c r="M204" s="12">
        <f t="shared" si="444"/>
        <v>0.98499999999999999</v>
      </c>
      <c r="N204" s="10">
        <f t="shared" si="444"/>
        <v>0.99141720430107527</v>
      </c>
      <c r="O204" s="10">
        <f t="shared" si="444"/>
        <v>0.98999999999999988</v>
      </c>
      <c r="P204" s="23">
        <f t="shared" si="444"/>
        <v>1</v>
      </c>
      <c r="Q204" s="83">
        <f>R204-S204</f>
        <v>-3.3273954733140321E-2</v>
      </c>
      <c r="R204" s="81">
        <f t="shared" si="448"/>
        <v>-0.19858403225251986</v>
      </c>
      <c r="S204" s="10">
        <f t="shared" si="449"/>
        <v>-0.16531007751937954</v>
      </c>
      <c r="T204" s="10">
        <f t="shared" si="450"/>
        <v>6.4172043010752855E-3</v>
      </c>
      <c r="U204" s="10">
        <f t="shared" si="451"/>
        <v>1.000000000000012E-2</v>
      </c>
      <c r="V204" s="23">
        <f t="shared" si="434"/>
        <v>-1.1033333333333332E-2</v>
      </c>
      <c r="X204" s="5">
        <v>44957</v>
      </c>
      <c r="Y204" s="2">
        <f t="shared" si="445"/>
        <v>2804.8144395882</v>
      </c>
      <c r="Z204" s="2">
        <f t="shared" si="445"/>
        <v>2297.2619999999997</v>
      </c>
      <c r="AA204" s="2">
        <f t="shared" si="466"/>
        <v>79.599999999999994</v>
      </c>
      <c r="AB204" s="2">
        <f t="shared" si="456"/>
        <v>67.435000000000002</v>
      </c>
      <c r="AC204" s="2">
        <f t="shared" si="467"/>
        <v>103.2</v>
      </c>
      <c r="AD204" s="2">
        <f t="shared" si="446"/>
        <v>87.47</v>
      </c>
      <c r="AE204" s="12">
        <f t="shared" si="446"/>
        <v>0.76650722614308853</v>
      </c>
      <c r="AF204" s="10">
        <f t="shared" si="446"/>
        <v>0.74006572988207742</v>
      </c>
      <c r="AG204" s="12">
        <f t="shared" si="453"/>
        <v>0.12567256863209231</v>
      </c>
      <c r="AH204" s="12">
        <f t="shared" si="453"/>
        <v>0.10316754032258064</v>
      </c>
      <c r="AI204" s="12">
        <f t="shared" si="447"/>
        <v>0.98499999999999999</v>
      </c>
      <c r="AJ204" s="10">
        <f t="shared" si="447"/>
        <v>0.98814516129032259</v>
      </c>
      <c r="AK204" s="10">
        <f t="shared" si="447"/>
        <v>0.99</v>
      </c>
      <c r="AL204" s="23">
        <f t="shared" si="447"/>
        <v>0.99762580645161292</v>
      </c>
      <c r="AM204" s="83">
        <f>AN204-AO204</f>
        <v>-2.8535101608606839E-2</v>
      </c>
      <c r="AN204" s="81">
        <f t="shared" si="459"/>
        <v>-0.1809575822287619</v>
      </c>
      <c r="AO204" s="10">
        <f t="shared" si="461"/>
        <v>-0.15242248062015507</v>
      </c>
      <c r="AP204" s="10">
        <f t="shared" si="462"/>
        <v>3.1451612903226067E-3</v>
      </c>
      <c r="AQ204" s="10">
        <f t="shared" si="463"/>
        <v>7.6258064516129265E-3</v>
      </c>
      <c r="AR204" s="23">
        <f t="shared" si="435"/>
        <v>-1.0925000000000001E-2</v>
      </c>
    </row>
    <row r="205" spans="2:44">
      <c r="B205" s="5">
        <v>44985</v>
      </c>
      <c r="C205" s="2">
        <f t="shared" si="442"/>
        <v>3694.1324949861396</v>
      </c>
      <c r="D205" s="2">
        <f t="shared" si="442"/>
        <v>3660.0659999999998</v>
      </c>
      <c r="E205" s="2">
        <f t="shared" si="464"/>
        <v>108.09999999999998</v>
      </c>
      <c r="F205" s="2">
        <f t="shared" si="454"/>
        <v>107.69000000000001</v>
      </c>
      <c r="G205" s="2">
        <f t="shared" si="465"/>
        <v>137.5</v>
      </c>
      <c r="H205" s="2">
        <f t="shared" si="443"/>
        <v>147.21333333333331</v>
      </c>
      <c r="I205" s="12">
        <f t="shared" si="443"/>
        <v>0.75765420601674405</v>
      </c>
      <c r="J205" s="10">
        <f t="shared" si="460"/>
        <v>0.70002083538039361</v>
      </c>
      <c r="K205" s="12">
        <f t="shared" si="452"/>
        <v>0.18324069915605853</v>
      </c>
      <c r="L205" s="12">
        <f t="shared" si="452"/>
        <v>0.18155089285714285</v>
      </c>
      <c r="M205" s="12">
        <f t="shared" si="444"/>
        <v>0.98499999999999999</v>
      </c>
      <c r="N205" s="10">
        <f t="shared" si="444"/>
        <v>0.98663227121173469</v>
      </c>
      <c r="O205" s="10">
        <f t="shared" si="444"/>
        <v>0.98999999999999988</v>
      </c>
      <c r="P205" s="23">
        <f t="shared" si="444"/>
        <v>0.99800357142857143</v>
      </c>
      <c r="Q205" s="83">
        <f>R205-S205</f>
        <v>-7.9864209068056802E-2</v>
      </c>
      <c r="R205" s="81">
        <f t="shared" si="448"/>
        <v>-9.2217848256326285E-3</v>
      </c>
      <c r="S205" s="10">
        <f t="shared" si="449"/>
        <v>7.0642424242424173E-2</v>
      </c>
      <c r="T205" s="10">
        <f t="shared" si="450"/>
        <v>1.6322712117347038E-3</v>
      </c>
      <c r="U205" s="10">
        <f t="shared" si="451"/>
        <v>8.0035714285715542E-3</v>
      </c>
      <c r="V205" s="23">
        <f t="shared" si="434"/>
        <v>-1.7999999999999999E-2</v>
      </c>
      <c r="X205" s="5">
        <v>44985</v>
      </c>
      <c r="Y205" s="2">
        <f t="shared" si="445"/>
        <v>3682.2947835503155</v>
      </c>
      <c r="Z205" s="2">
        <f t="shared" si="445"/>
        <v>3814.0140000000001</v>
      </c>
      <c r="AA205" s="2">
        <f t="shared" si="466"/>
        <v>108.1</v>
      </c>
      <c r="AB205" s="2">
        <f t="shared" si="456"/>
        <v>115.495</v>
      </c>
      <c r="AC205" s="2">
        <f t="shared" si="467"/>
        <v>137.5</v>
      </c>
      <c r="AD205" s="2">
        <f t="shared" si="446"/>
        <v>149.64999999999998</v>
      </c>
      <c r="AE205" s="12">
        <f t="shared" si="446"/>
        <v>0.7552920640147377</v>
      </c>
      <c r="AF205" s="10">
        <f t="shared" si="446"/>
        <v>0.71336317176348651</v>
      </c>
      <c r="AG205" s="12">
        <f t="shared" si="453"/>
        <v>0.1826694087857072</v>
      </c>
      <c r="AH205" s="12">
        <f t="shared" si="453"/>
        <v>0.18973415178571432</v>
      </c>
      <c r="AI205" s="12">
        <f t="shared" si="447"/>
        <v>0.98499999999999999</v>
      </c>
      <c r="AJ205" s="10">
        <f t="shared" si="447"/>
        <v>0.99533927002551015</v>
      </c>
      <c r="AK205" s="10">
        <f t="shared" si="447"/>
        <v>0.99</v>
      </c>
      <c r="AL205" s="23">
        <f t="shared" si="447"/>
        <v>0.99800357142857143</v>
      </c>
      <c r="AM205" s="83">
        <f>AN205-AO205</f>
        <v>-5.2592677167727864E-2</v>
      </c>
      <c r="AN205" s="81">
        <f t="shared" si="459"/>
        <v>3.5770959195908336E-2</v>
      </c>
      <c r="AO205" s="10">
        <f t="shared" si="461"/>
        <v>8.83636363636362E-2</v>
      </c>
      <c r="AP205" s="10">
        <f t="shared" si="462"/>
        <v>1.0339270025510161E-2</v>
      </c>
      <c r="AQ205" s="10">
        <f t="shared" si="463"/>
        <v>8.0035714285714432E-3</v>
      </c>
      <c r="AR205" s="23">
        <f t="shared" si="435"/>
        <v>-1.695E-2</v>
      </c>
    </row>
    <row r="206" spans="2:44">
      <c r="B206" s="5">
        <v>45016</v>
      </c>
      <c r="C206" s="2">
        <f t="shared" si="442"/>
        <v>4942.4524702351637</v>
      </c>
      <c r="D206" s="2">
        <f t="shared" si="442"/>
        <v>4232.3159999999998</v>
      </c>
      <c r="E206" s="2">
        <f t="shared" si="464"/>
        <v>161.4</v>
      </c>
      <c r="F206" s="2">
        <f t="shared" si="454"/>
        <v>144.75333333333336</v>
      </c>
      <c r="G206" s="2">
        <f t="shared" si="465"/>
        <v>187.80000000000004</v>
      </c>
      <c r="H206" s="2">
        <f t="shared" si="443"/>
        <v>170.79333333333332</v>
      </c>
      <c r="I206" s="12">
        <f t="shared" si="443"/>
        <v>0.74217818067293317</v>
      </c>
      <c r="J206" s="10">
        <f t="shared" si="460"/>
        <v>0.69695407299362611</v>
      </c>
      <c r="K206" s="12">
        <f t="shared" si="452"/>
        <v>0.22143604257326002</v>
      </c>
      <c r="L206" s="12">
        <f t="shared" si="452"/>
        <v>0.18961989247311828</v>
      </c>
      <c r="M206" s="12">
        <f t="shared" si="444"/>
        <v>0.98499999999999999</v>
      </c>
      <c r="N206" s="10">
        <f t="shared" si="444"/>
        <v>0.98764408602150544</v>
      </c>
      <c r="O206" s="10">
        <f t="shared" si="444"/>
        <v>0.98999999999999988</v>
      </c>
      <c r="P206" s="23">
        <f t="shared" si="444"/>
        <v>1</v>
      </c>
      <c r="Q206" s="83">
        <f>R206-S206</f>
        <v>-5.3123660777966264E-2</v>
      </c>
      <c r="R206" s="81">
        <f t="shared" ref="R206" si="468">D206/C206-1</f>
        <v>-0.14368099127139922</v>
      </c>
      <c r="S206" s="10">
        <f t="shared" ref="S206" si="469">H206/G206-1</f>
        <v>-9.0557330493432953E-2</v>
      </c>
      <c r="T206" s="10">
        <f t="shared" ref="T206" si="470">N206-M206</f>
        <v>2.644086021505454E-3</v>
      </c>
      <c r="U206" s="10">
        <f t="shared" ref="U206" si="471">P206-O206</f>
        <v>1.000000000000012E-2</v>
      </c>
      <c r="V206" s="23">
        <f t="shared" si="434"/>
        <v>-1.4499999999999999E-2</v>
      </c>
      <c r="X206" s="5">
        <v>45016</v>
      </c>
      <c r="Y206" s="2">
        <f t="shared" si="445"/>
        <v>4938.5223860845126</v>
      </c>
      <c r="Z206" s="2">
        <f t="shared" si="445"/>
        <v>4378.4189999999999</v>
      </c>
      <c r="AA206" s="2">
        <f t="shared" si="466"/>
        <v>158.61749999999998</v>
      </c>
      <c r="AB206" s="2">
        <f t="shared" si="456"/>
        <v>155.13249999999999</v>
      </c>
      <c r="AC206" s="2">
        <f t="shared" si="467"/>
        <v>187.8</v>
      </c>
      <c r="AD206" s="2">
        <f t="shared" si="446"/>
        <v>171.03</v>
      </c>
      <c r="AE206" s="12">
        <f t="shared" si="446"/>
        <v>0.74164340223517622</v>
      </c>
      <c r="AF206" s="10">
        <f t="shared" si="446"/>
        <v>0.7166582540601103</v>
      </c>
      <c r="AG206" s="12">
        <f t="shared" si="453"/>
        <v>0.22127648625107998</v>
      </c>
      <c r="AH206" s="12">
        <f t="shared" si="453"/>
        <v>0.19644576612903225</v>
      </c>
      <c r="AI206" s="12">
        <f t="shared" si="447"/>
        <v>0.98499999999999999</v>
      </c>
      <c r="AJ206" s="10">
        <f t="shared" si="447"/>
        <v>0.99364032258064516</v>
      </c>
      <c r="AK206" s="10">
        <f t="shared" si="447"/>
        <v>0.99</v>
      </c>
      <c r="AL206" s="23">
        <f t="shared" si="447"/>
        <v>1</v>
      </c>
      <c r="AM206" s="83">
        <f>AN206-AO206</f>
        <v>-2.4118051497932558E-2</v>
      </c>
      <c r="AN206" s="81">
        <f t="shared" si="459"/>
        <v>-0.11341517609857155</v>
      </c>
      <c r="AO206" s="10">
        <f t="shared" si="461"/>
        <v>-8.9297124600638988E-2</v>
      </c>
      <c r="AP206" s="10">
        <f t="shared" si="462"/>
        <v>8.6403225806451767E-3</v>
      </c>
      <c r="AQ206" s="10">
        <f t="shared" si="463"/>
        <v>1.0000000000000009E-2</v>
      </c>
      <c r="AR206" s="23">
        <f t="shared" si="435"/>
        <v>-1.3050000000000001E-2</v>
      </c>
    </row>
    <row r="207" spans="2:44">
      <c r="B207" s="5">
        <f>EOMONTH(B206,1)</f>
        <v>45046</v>
      </c>
      <c r="C207" s="2">
        <f t="shared" si="442"/>
        <v>5108.8949085733457</v>
      </c>
      <c r="D207" s="2">
        <f t="shared" si="442"/>
        <v>4530.0659999999998</v>
      </c>
      <c r="E207" s="2">
        <f t="shared" si="464"/>
        <v>190.19999999999996</v>
      </c>
      <c r="F207" s="2">
        <f t="shared" si="454"/>
        <v>180.35666666666665</v>
      </c>
      <c r="G207" s="2">
        <f t="shared" si="465"/>
        <v>194</v>
      </c>
      <c r="H207" s="2">
        <f t="shared" si="443"/>
        <v>187.56333333333336</v>
      </c>
      <c r="I207" s="12">
        <f t="shared" si="443"/>
        <v>0.7426539717430044</v>
      </c>
      <c r="J207" s="10">
        <f t="shared" si="460"/>
        <v>0.68658545642577018</v>
      </c>
      <c r="K207" s="12">
        <f t="shared" si="452"/>
        <v>0.23652291243395118</v>
      </c>
      <c r="L207" s="12">
        <f t="shared" si="452"/>
        <v>0.20972527777777775</v>
      </c>
      <c r="M207" s="12">
        <f t="shared" si="444"/>
        <v>0.98499999999999999</v>
      </c>
      <c r="N207" s="10">
        <f t="shared" si="444"/>
        <v>0.97713777777777777</v>
      </c>
      <c r="O207" s="10">
        <f t="shared" si="444"/>
        <v>0.98999999999999988</v>
      </c>
      <c r="P207" s="23">
        <f t="shared" si="444"/>
        <v>1</v>
      </c>
      <c r="Q207" s="83">
        <f t="shared" ref="Q207:Q215" si="472">R207-S207</f>
        <v>-8.0119566802822506E-2</v>
      </c>
      <c r="R207" s="81">
        <f t="shared" ref="R207:R215" si="473">D207/C207-1</f>
        <v>-0.11329826096089801</v>
      </c>
      <c r="S207" s="10">
        <f t="shared" ref="S207:S215" si="474">H207/G207-1</f>
        <v>-3.3178694158075506E-2</v>
      </c>
      <c r="T207" s="10">
        <f t="shared" ref="T207:T215" si="475">N207-M207</f>
        <v>-7.8622222222222149E-3</v>
      </c>
      <c r="U207" s="10">
        <f t="shared" ref="U207:U215" si="476">P207-O207</f>
        <v>1.000000000000012E-2</v>
      </c>
      <c r="V207" s="23">
        <f t="shared" si="434"/>
        <v>-2.3165415865648662E-2</v>
      </c>
      <c r="X207" s="5">
        <f>EOMONTH(X206,1)</f>
        <v>45046</v>
      </c>
      <c r="Y207" s="2">
        <f t="shared" si="445"/>
        <v>5109.0616192113375</v>
      </c>
      <c r="Z207" s="2">
        <f t="shared" si="445"/>
        <v>4688.817</v>
      </c>
      <c r="AA207" s="2">
        <f t="shared" si="466"/>
        <v>190.2</v>
      </c>
      <c r="AB207" s="2">
        <f t="shared" si="456"/>
        <v>183.23000000000002</v>
      </c>
      <c r="AC207" s="2">
        <f t="shared" si="467"/>
        <v>194</v>
      </c>
      <c r="AD207" s="2">
        <f t="shared" si="446"/>
        <v>188.97500000000002</v>
      </c>
      <c r="AE207" s="12">
        <f t="shared" si="446"/>
        <v>0.74273927123708683</v>
      </c>
      <c r="AF207" s="10">
        <f t="shared" si="446"/>
        <v>0.70483389180063893</v>
      </c>
      <c r="AG207" s="12">
        <f t="shared" si="453"/>
        <v>0.23655007890115817</v>
      </c>
      <c r="AH207" s="12">
        <f t="shared" si="453"/>
        <v>0.21743541666666666</v>
      </c>
      <c r="AI207" s="12">
        <f t="shared" si="447"/>
        <v>0.98499999999999999</v>
      </c>
      <c r="AJ207" s="10">
        <f t="shared" si="447"/>
        <v>0.97946500000000003</v>
      </c>
      <c r="AK207" s="10">
        <f t="shared" si="447"/>
        <v>0.99</v>
      </c>
      <c r="AL207" s="23">
        <f t="shared" si="447"/>
        <v>1</v>
      </c>
      <c r="AM207" s="83">
        <f>AN207-AO207</f>
        <v>-5.635269460119352E-2</v>
      </c>
      <c r="AN207" s="81">
        <f t="shared" si="459"/>
        <v>-8.2254756456863531E-2</v>
      </c>
      <c r="AO207" s="10">
        <f t="shared" si="461"/>
        <v>-2.5902061855670011E-2</v>
      </c>
      <c r="AP207" s="10">
        <f t="shared" si="462"/>
        <v>-5.5349999999999566E-3</v>
      </c>
      <c r="AQ207" s="10">
        <f t="shared" si="463"/>
        <v>1.0000000000000009E-2</v>
      </c>
      <c r="AR207" s="23">
        <f t="shared" si="435"/>
        <v>-2.4144596256668371E-2</v>
      </c>
    </row>
    <row r="208" spans="2:44">
      <c r="B208" s="5">
        <f t="shared" ref="B208:B239" si="477">EOMONTH(B207,1)</f>
        <v>45077</v>
      </c>
      <c r="C208" s="2">
        <f t="shared" si="442"/>
        <v>5176.0088857372712</v>
      </c>
      <c r="D208" s="2">
        <f t="shared" si="442"/>
        <v>4495.5780000000004</v>
      </c>
      <c r="E208" s="2">
        <f t="shared" si="464"/>
        <v>197</v>
      </c>
      <c r="F208" s="2">
        <f t="shared" si="454"/>
        <v>193.07000000000002</v>
      </c>
      <c r="G208" s="2">
        <f t="shared" si="465"/>
        <v>197.69999999999996</v>
      </c>
      <c r="H208" s="2">
        <f t="shared" si="443"/>
        <v>191.17</v>
      </c>
      <c r="I208" s="12">
        <f t="shared" si="443"/>
        <v>0.73832846569977628</v>
      </c>
      <c r="J208" s="10">
        <f t="shared" si="460"/>
        <v>0.68842384886555685</v>
      </c>
      <c r="K208" s="12">
        <f t="shared" si="452"/>
        <v>0.23190003968356951</v>
      </c>
      <c r="L208" s="12">
        <f t="shared" si="452"/>
        <v>0.20141478494623657</v>
      </c>
      <c r="M208" s="12">
        <f t="shared" si="444"/>
        <v>0.98499999999999999</v>
      </c>
      <c r="N208" s="10">
        <f t="shared" si="444"/>
        <v>0.94887700314255996</v>
      </c>
      <c r="O208" s="10">
        <f t="shared" si="444"/>
        <v>0.98999999999999988</v>
      </c>
      <c r="P208" s="23">
        <f t="shared" si="444"/>
        <v>0.99396451612903236</v>
      </c>
      <c r="Q208" s="83">
        <f t="shared" si="472"/>
        <v>-9.8428757581962678E-2</v>
      </c>
      <c r="R208" s="81">
        <f t="shared" si="473"/>
        <v>-0.13145860077872529</v>
      </c>
      <c r="S208" s="10">
        <f t="shared" si="474"/>
        <v>-3.3029843196762609E-2</v>
      </c>
      <c r="T208" s="10">
        <f t="shared" si="475"/>
        <v>-3.6122996857440026E-2</v>
      </c>
      <c r="U208" s="10">
        <f t="shared" si="476"/>
        <v>3.9645161290324804E-3</v>
      </c>
      <c r="V208" s="23">
        <f t="shared" si="434"/>
        <v>-1.3866666666666666E-2</v>
      </c>
      <c r="X208" s="5">
        <f t="shared" ref="X208:X239" si="478">EOMONTH(X207,1)</f>
        <v>45077</v>
      </c>
      <c r="Y208" s="2">
        <f t="shared" si="445"/>
        <v>5176.5257073691</v>
      </c>
      <c r="Z208" s="2">
        <f t="shared" si="445"/>
        <v>4398.4650000000001</v>
      </c>
      <c r="AA208" s="2">
        <f t="shared" si="466"/>
        <v>197</v>
      </c>
      <c r="AB208" s="2">
        <f t="shared" si="456"/>
        <v>190.94</v>
      </c>
      <c r="AC208" s="2">
        <f t="shared" si="467"/>
        <v>197.7</v>
      </c>
      <c r="AD208" s="2">
        <f t="shared" si="446"/>
        <v>191.435</v>
      </c>
      <c r="AE208" s="12">
        <f t="shared" si="446"/>
        <v>0.73845609863417183</v>
      </c>
      <c r="AF208" s="10">
        <f t="shared" si="446"/>
        <v>0.69424519866850243</v>
      </c>
      <c r="AG208" s="12">
        <f t="shared" si="453"/>
        <v>0.23194012764431632</v>
      </c>
      <c r="AH208" s="12">
        <f t="shared" si="453"/>
        <v>0.19666391129032257</v>
      </c>
      <c r="AI208" s="12">
        <f t="shared" si="447"/>
        <v>0.98499999999999999</v>
      </c>
      <c r="AJ208" s="10">
        <f t="shared" si="447"/>
        <v>0.91739113547346518</v>
      </c>
      <c r="AK208" s="10">
        <f t="shared" si="447"/>
        <v>0.99</v>
      </c>
      <c r="AL208" s="23">
        <f t="shared" si="447"/>
        <v>0.99364193548387103</v>
      </c>
      <c r="AM208" s="83">
        <f>AN208-AO208</f>
        <v>-0.11861615322247432</v>
      </c>
      <c r="AN208" s="81">
        <f t="shared" si="459"/>
        <v>-0.15030558164938368</v>
      </c>
      <c r="AO208" s="10">
        <f t="shared" si="461"/>
        <v>-3.1689428426909361E-2</v>
      </c>
      <c r="AP208" s="10">
        <f t="shared" si="462"/>
        <v>-6.7608864526534806E-2</v>
      </c>
      <c r="AQ208" s="10">
        <f t="shared" si="463"/>
        <v>3.6419354838710394E-3</v>
      </c>
      <c r="AR208" s="23">
        <f t="shared" si="435"/>
        <v>-1.5474999999999999E-2</v>
      </c>
    </row>
    <row r="209" spans="2:44">
      <c r="B209" s="5">
        <f t="shared" si="477"/>
        <v>45107</v>
      </c>
      <c r="C209" s="2">
        <f t="shared" si="442"/>
        <v>4655.2044229452058</v>
      </c>
      <c r="D209" s="2">
        <f t="shared" si="442"/>
        <v>4202.76</v>
      </c>
      <c r="E209" s="2">
        <f t="shared" si="464"/>
        <v>178.9</v>
      </c>
      <c r="F209" s="2">
        <f t="shared" si="454"/>
        <v>172.53666666666666</v>
      </c>
      <c r="G209" s="2">
        <f t="shared" si="465"/>
        <v>177.19999999999996</v>
      </c>
      <c r="H209" s="2">
        <f t="shared" si="443"/>
        <v>167.53666666666666</v>
      </c>
      <c r="I209" s="12">
        <f t="shared" si="443"/>
        <v>0.74086027415006228</v>
      </c>
      <c r="J209" s="10">
        <f t="shared" si="460"/>
        <v>0.70396013146361625</v>
      </c>
      <c r="K209" s="12">
        <f t="shared" si="452"/>
        <v>0.21551872328450028</v>
      </c>
      <c r="L209" s="12">
        <f t="shared" si="452"/>
        <v>0.19457222222222223</v>
      </c>
      <c r="M209" s="12">
        <f t="shared" si="444"/>
        <v>0.98499999999999999</v>
      </c>
      <c r="N209" s="10">
        <f t="shared" si="444"/>
        <v>0.98986222222222242</v>
      </c>
      <c r="O209" s="10">
        <f t="shared" si="444"/>
        <v>0.98999999999999988</v>
      </c>
      <c r="P209" s="23">
        <f t="shared" si="444"/>
        <v>1</v>
      </c>
      <c r="Q209" s="83">
        <f t="shared" si="472"/>
        <v>-4.2657612816671353E-2</v>
      </c>
      <c r="R209" s="81">
        <f t="shared" si="473"/>
        <v>-9.7191096639094088E-2</v>
      </c>
      <c r="S209" s="10">
        <f t="shared" si="474"/>
        <v>-5.4533483822422735E-2</v>
      </c>
      <c r="T209" s="10">
        <f t="shared" si="475"/>
        <v>4.8622222222224343E-3</v>
      </c>
      <c r="U209" s="10">
        <f t="shared" si="476"/>
        <v>1.000000000000012E-2</v>
      </c>
      <c r="V209" s="23">
        <f t="shared" si="434"/>
        <v>-1.4733333333333333E-2</v>
      </c>
      <c r="X209" s="5">
        <f t="shared" si="478"/>
        <v>45107</v>
      </c>
      <c r="Y209" s="2">
        <f t="shared" si="445"/>
        <v>4647.3711328098807</v>
      </c>
      <c r="Z209" s="2">
        <f t="shared" si="445"/>
        <v>4246.4340000000002</v>
      </c>
      <c r="AA209" s="2">
        <f t="shared" si="466"/>
        <v>178.9</v>
      </c>
      <c r="AB209" s="2">
        <f t="shared" si="456"/>
        <v>170.76000000000002</v>
      </c>
      <c r="AC209" s="2">
        <f t="shared" si="467"/>
        <v>177.2</v>
      </c>
      <c r="AD209" s="2">
        <f t="shared" si="446"/>
        <v>168.54999999999995</v>
      </c>
      <c r="AE209" s="12">
        <f t="shared" si="446"/>
        <v>0.73967766281841907</v>
      </c>
      <c r="AF209" s="10">
        <f t="shared" si="446"/>
        <v>0.7096906217901009</v>
      </c>
      <c r="AG209" s="12">
        <f t="shared" si="453"/>
        <v>0.21517469770608746</v>
      </c>
      <c r="AH209" s="12">
        <f t="shared" si="453"/>
        <v>0.19708562499999999</v>
      </c>
      <c r="AI209" s="12">
        <f t="shared" si="447"/>
        <v>0.98499999999999999</v>
      </c>
      <c r="AJ209" s="10">
        <f t="shared" si="447"/>
        <v>0.98859666666666668</v>
      </c>
      <c r="AK209" s="10">
        <f t="shared" si="447"/>
        <v>0.99</v>
      </c>
      <c r="AL209" s="23">
        <f t="shared" si="447"/>
        <v>1</v>
      </c>
      <c r="AM209" s="83">
        <f t="shared" ref="AM209:AM215" si="479">AN209-AO209</f>
        <v>-3.7456914472226543E-2</v>
      </c>
      <c r="AN209" s="81">
        <f t="shared" si="459"/>
        <v>-8.6271812892091293E-2</v>
      </c>
      <c r="AO209" s="10">
        <f t="shared" si="461"/>
        <v>-4.881489841986475E-2</v>
      </c>
      <c r="AP209" s="10">
        <f t="shared" si="462"/>
        <v>3.5966666666666924E-3</v>
      </c>
      <c r="AQ209" s="10">
        <f t="shared" si="463"/>
        <v>1.0000000000000009E-2</v>
      </c>
      <c r="AR209" s="23">
        <f t="shared" si="435"/>
        <v>-1.55E-2</v>
      </c>
    </row>
    <row r="210" spans="2:44">
      <c r="B210" s="5">
        <f t="shared" si="477"/>
        <v>45138</v>
      </c>
      <c r="C210" s="2">
        <f t="shared" si="442"/>
        <v>4129.0308419800267</v>
      </c>
      <c r="D210" s="2">
        <f t="shared" si="442"/>
        <v>3272.7300000000087</v>
      </c>
      <c r="E210" s="2">
        <f t="shared" si="464"/>
        <v>155.5</v>
      </c>
      <c r="F210" s="2">
        <f t="shared" si="454"/>
        <v>139.64666666666668</v>
      </c>
      <c r="G210" s="2">
        <f t="shared" si="465"/>
        <v>154.6</v>
      </c>
      <c r="H210" s="2">
        <f t="shared" si="443"/>
        <v>136.49666666666667</v>
      </c>
      <c r="I210" s="12">
        <f t="shared" si="443"/>
        <v>0.75318195419068612</v>
      </c>
      <c r="J210" s="10">
        <f t="shared" si="460"/>
        <v>0.70867325693852468</v>
      </c>
      <c r="K210" s="12">
        <f t="shared" si="452"/>
        <v>0.18499242123566426</v>
      </c>
      <c r="L210" s="12">
        <f t="shared" si="452"/>
        <v>0.14662768817204339</v>
      </c>
      <c r="M210" s="12">
        <f t="shared" si="444"/>
        <v>0.98499999999999999</v>
      </c>
      <c r="N210" s="10">
        <f t="shared" si="444"/>
        <v>0.93978494623655917</v>
      </c>
      <c r="O210" s="10">
        <f t="shared" si="444"/>
        <v>0.98999999999999988</v>
      </c>
      <c r="P210" s="23">
        <f t="shared" si="444"/>
        <v>1</v>
      </c>
      <c r="Q210" s="83">
        <f t="shared" si="472"/>
        <v>-9.0287544271253184E-2</v>
      </c>
      <c r="R210" s="81">
        <f t="shared" si="473"/>
        <v>-0.20738543129152054</v>
      </c>
      <c r="S210" s="10">
        <f t="shared" si="474"/>
        <v>-0.11709788702026735</v>
      </c>
      <c r="T210" s="10">
        <f t="shared" si="475"/>
        <v>-4.5215053763440816E-2</v>
      </c>
      <c r="U210" s="10">
        <f t="shared" si="476"/>
        <v>1.000000000000012E-2</v>
      </c>
      <c r="V210" s="23">
        <f t="shared" si="434"/>
        <v>0</v>
      </c>
      <c r="X210" s="5">
        <f t="shared" si="478"/>
        <v>45138</v>
      </c>
      <c r="Y210" s="2">
        <f t="shared" si="445"/>
        <v>4113.5638898401648</v>
      </c>
      <c r="Z210" s="2">
        <f t="shared" si="445"/>
        <v>3388.2479999999982</v>
      </c>
      <c r="AA210" s="2">
        <f t="shared" si="466"/>
        <v>155.5</v>
      </c>
      <c r="AB210" s="2">
        <f t="shared" si="456"/>
        <v>139.27500000000001</v>
      </c>
      <c r="AC210" s="2">
        <f t="shared" si="467"/>
        <v>154.6</v>
      </c>
      <c r="AD210" s="2">
        <f t="shared" si="446"/>
        <v>138.52000000000001</v>
      </c>
      <c r="AE210" s="12">
        <f t="shared" si="446"/>
        <v>0.75042209452908204</v>
      </c>
      <c r="AF210" s="10">
        <f t="shared" si="446"/>
        <v>0.71702535661906897</v>
      </c>
      <c r="AG210" s="12">
        <f t="shared" si="453"/>
        <v>0.18431455964029536</v>
      </c>
      <c r="AH210" s="12">
        <f t="shared" si="453"/>
        <v>0.15208205645161277</v>
      </c>
      <c r="AI210" s="12">
        <f t="shared" si="447"/>
        <v>0.98499999999999999</v>
      </c>
      <c r="AJ210" s="10">
        <f t="shared" si="447"/>
        <v>0.94945967741935478</v>
      </c>
      <c r="AK210" s="10">
        <f t="shared" si="447"/>
        <v>0.99</v>
      </c>
      <c r="AL210" s="23">
        <f t="shared" si="447"/>
        <v>1</v>
      </c>
      <c r="AM210" s="83">
        <f t="shared" si="479"/>
        <v>-7.2312641982314019E-2</v>
      </c>
      <c r="AN210" s="81">
        <f t="shared" si="459"/>
        <v>-0.17632299127080031</v>
      </c>
      <c r="AO210" s="10">
        <f t="shared" si="461"/>
        <v>-0.10401034928848629</v>
      </c>
      <c r="AP210" s="10">
        <f t="shared" si="462"/>
        <v>-3.5540322580645212E-2</v>
      </c>
      <c r="AQ210" s="10">
        <f t="shared" si="463"/>
        <v>1.0000000000000009E-2</v>
      </c>
      <c r="AR210" s="23">
        <f t="shared" si="435"/>
        <v>0</v>
      </c>
    </row>
    <row r="211" spans="2:44">
      <c r="B211" s="5">
        <f t="shared" si="477"/>
        <v>45169</v>
      </c>
      <c r="C211" s="2">
        <f t="shared" si="442"/>
        <v>3922.3197923151338</v>
      </c>
      <c r="D211" s="2">
        <f t="shared" si="442"/>
        <v>3355.26</v>
      </c>
      <c r="E211" s="2">
        <f t="shared" si="464"/>
        <v>145.4</v>
      </c>
      <c r="F211" s="2">
        <f t="shared" si="454"/>
        <v>132.73666666666665</v>
      </c>
      <c r="G211" s="2">
        <f t="shared" si="465"/>
        <v>146.30000000000001</v>
      </c>
      <c r="H211" s="2">
        <f t="shared" si="443"/>
        <v>133.45666666666668</v>
      </c>
      <c r="I211" s="12">
        <f t="shared" si="443"/>
        <v>0.75606640665560487</v>
      </c>
      <c r="J211" s="10">
        <f t="shared" si="460"/>
        <v>0.70996038852696619</v>
      </c>
      <c r="K211" s="12">
        <f t="shared" si="452"/>
        <v>0.17573117349082143</v>
      </c>
      <c r="L211" s="12">
        <f t="shared" si="452"/>
        <v>0.15032526881720429</v>
      </c>
      <c r="M211" s="12">
        <f t="shared" si="444"/>
        <v>0.98499999999999999</v>
      </c>
      <c r="N211" s="10">
        <f t="shared" si="444"/>
        <v>0.98366989247311831</v>
      </c>
      <c r="O211" s="10">
        <f t="shared" si="444"/>
        <v>0.98999999999999988</v>
      </c>
      <c r="P211" s="23">
        <f t="shared" si="444"/>
        <v>1</v>
      </c>
      <c r="Q211" s="83">
        <f t="shared" si="472"/>
        <v>-5.678490364986355E-2</v>
      </c>
      <c r="R211" s="81">
        <f t="shared" si="473"/>
        <v>-0.14457255459540919</v>
      </c>
      <c r="S211" s="10">
        <f t="shared" si="474"/>
        <v>-8.7787650945545637E-2</v>
      </c>
      <c r="T211" s="10">
        <f t="shared" si="475"/>
        <v>-1.3301075268816742E-3</v>
      </c>
      <c r="U211" s="10">
        <f t="shared" si="476"/>
        <v>1.000000000000012E-2</v>
      </c>
      <c r="V211" s="23">
        <f t="shared" si="434"/>
        <v>-5.2666666666666669E-3</v>
      </c>
      <c r="X211" s="5">
        <f t="shared" si="478"/>
        <v>45169</v>
      </c>
      <c r="Y211" s="2">
        <f t="shared" si="445"/>
        <v>3905.3557153126012</v>
      </c>
      <c r="Z211" s="2">
        <f t="shared" si="445"/>
        <v>3400.3830000000003</v>
      </c>
      <c r="AA211" s="2">
        <f t="shared" si="466"/>
        <v>145.4</v>
      </c>
      <c r="AB211" s="2">
        <f t="shared" si="456"/>
        <v>133.60999999999999</v>
      </c>
      <c r="AC211" s="2">
        <f t="shared" si="467"/>
        <v>146.30000000000001</v>
      </c>
      <c r="AD211" s="2">
        <f t="shared" si="446"/>
        <v>134.79999999999998</v>
      </c>
      <c r="AE211" s="12">
        <f t="shared" si="446"/>
        <v>0.75284259573528334</v>
      </c>
      <c r="AF211" s="10">
        <f t="shared" si="446"/>
        <v>0.72606578926749443</v>
      </c>
      <c r="AG211" s="12">
        <f t="shared" si="453"/>
        <v>0.1749818688382756</v>
      </c>
      <c r="AH211" s="12">
        <f t="shared" si="453"/>
        <v>0.15248971774193548</v>
      </c>
      <c r="AI211" s="12">
        <f t="shared" si="447"/>
        <v>0.98499999999999999</v>
      </c>
      <c r="AJ211" s="10">
        <f t="shared" si="447"/>
        <v>0.96605645161290321</v>
      </c>
      <c r="AK211" s="10">
        <f t="shared" si="447"/>
        <v>0.99</v>
      </c>
      <c r="AL211" s="23">
        <f t="shared" si="447"/>
        <v>1</v>
      </c>
      <c r="AM211" s="83">
        <f t="shared" si="479"/>
        <v>-5.0697012336398783E-2</v>
      </c>
      <c r="AN211" s="81">
        <f t="shared" si="459"/>
        <v>-0.12930261725779335</v>
      </c>
      <c r="AO211" s="10">
        <f t="shared" si="461"/>
        <v>-7.8605604921394567E-2</v>
      </c>
      <c r="AP211" s="10">
        <f t="shared" si="462"/>
        <v>-1.8943548387096776E-2</v>
      </c>
      <c r="AQ211" s="10">
        <f t="shared" si="463"/>
        <v>1.0000000000000009E-2</v>
      </c>
      <c r="AR211" s="23">
        <f t="shared" si="435"/>
        <v>-5.6500000000000005E-3</v>
      </c>
    </row>
    <row r="212" spans="2:44">
      <c r="B212" s="5">
        <f t="shared" si="477"/>
        <v>45199</v>
      </c>
      <c r="C212" s="2">
        <f t="shared" ref="C212:D228" si="480">C598+C469+C340</f>
        <v>3904.4228817569897</v>
      </c>
      <c r="D212" s="2">
        <f t="shared" si="480"/>
        <v>3698.0639999999999</v>
      </c>
      <c r="E212" s="2">
        <f t="shared" si="464"/>
        <v>141.6</v>
      </c>
      <c r="F212" s="2">
        <f t="shared" si="454"/>
        <v>141.21</v>
      </c>
      <c r="G212" s="2">
        <f t="shared" si="465"/>
        <v>145.5</v>
      </c>
      <c r="H212" s="2">
        <f t="shared" ref="H212:I228" si="481">AVERAGE(H598,H469,H340)</f>
        <v>149.13333333333335</v>
      </c>
      <c r="I212" s="12">
        <f t="shared" si="481"/>
        <v>0.75675469611119628</v>
      </c>
      <c r="J212" s="10">
        <f t="shared" si="460"/>
        <v>0.70662308819364972</v>
      </c>
      <c r="K212" s="12">
        <f t="shared" si="452"/>
        <v>0.18076031859986064</v>
      </c>
      <c r="L212" s="12">
        <f t="shared" si="452"/>
        <v>0.17120666666666665</v>
      </c>
      <c r="M212" s="12">
        <f t="shared" ref="M212:P228" si="482">AVERAGE(M598,M469,M340)</f>
        <v>0.98499999999999999</v>
      </c>
      <c r="N212" s="10">
        <f t="shared" si="482"/>
        <v>0.97474666666666676</v>
      </c>
      <c r="O212" s="10">
        <f t="shared" si="482"/>
        <v>0.98999999999999988</v>
      </c>
      <c r="P212" s="23">
        <f t="shared" si="482"/>
        <v>1</v>
      </c>
      <c r="Q212" s="83">
        <f t="shared" si="472"/>
        <v>-7.7823958238311675E-2</v>
      </c>
      <c r="R212" s="81">
        <f t="shared" si="473"/>
        <v>-5.2852595122618529E-2</v>
      </c>
      <c r="S212" s="10">
        <f t="shared" si="474"/>
        <v>2.4971363115693146E-2</v>
      </c>
      <c r="T212" s="10">
        <f t="shared" si="475"/>
        <v>-1.0253333333333225E-2</v>
      </c>
      <c r="U212" s="10">
        <f t="shared" si="476"/>
        <v>1.000000000000012E-2</v>
      </c>
      <c r="V212" s="23">
        <f t="shared" si="434"/>
        <v>-1.3433333333333334E-2</v>
      </c>
      <c r="X212" s="5">
        <f t="shared" si="478"/>
        <v>45199</v>
      </c>
      <c r="Y212" s="2">
        <f t="shared" ref="Y212:Z228" si="483">Y727+Y340+Y469+Y598</f>
        <v>3892.2923930515062</v>
      </c>
      <c r="Z212" s="2">
        <f t="shared" si="483"/>
        <v>3854.8290000000002</v>
      </c>
      <c r="AA212" s="2">
        <f t="shared" si="466"/>
        <v>141.6</v>
      </c>
      <c r="AB212" s="2">
        <f t="shared" si="456"/>
        <v>141.32</v>
      </c>
      <c r="AC212" s="2">
        <f t="shared" si="467"/>
        <v>145.5</v>
      </c>
      <c r="AD212" s="2">
        <f t="shared" ref="AD212:AF228" si="484">AVERAGE(AD727,AD340,AD469,AD598)</f>
        <v>149.79000000000002</v>
      </c>
      <c r="AE212" s="12">
        <f t="shared" si="484"/>
        <v>0.75444123698329624</v>
      </c>
      <c r="AF212" s="10">
        <f t="shared" si="484"/>
        <v>0.72633097345905806</v>
      </c>
      <c r="AG212" s="12">
        <f t="shared" si="453"/>
        <v>0.18020771996892257</v>
      </c>
      <c r="AH212" s="12">
        <f t="shared" si="453"/>
        <v>0.17887666666666668</v>
      </c>
      <c r="AI212" s="12">
        <f t="shared" ref="AI212:AL228" si="485">AVERAGE(AI727,AI340,AI469,AI598)</f>
        <v>0.98499999999999999</v>
      </c>
      <c r="AJ212" s="10">
        <f t="shared" si="485"/>
        <v>0.98668333333333347</v>
      </c>
      <c r="AK212" s="10">
        <f t="shared" si="485"/>
        <v>0.99</v>
      </c>
      <c r="AL212" s="23">
        <f t="shared" si="485"/>
        <v>1</v>
      </c>
      <c r="AM212" s="83">
        <f t="shared" si="479"/>
        <v>-3.9109556319490979E-2</v>
      </c>
      <c r="AN212" s="81">
        <f t="shared" si="459"/>
        <v>-9.6250202370165017E-3</v>
      </c>
      <c r="AO212" s="10">
        <f t="shared" si="461"/>
        <v>2.9484536082474477E-2</v>
      </c>
      <c r="AP212" s="10">
        <f t="shared" si="462"/>
        <v>1.683333333333481E-3</v>
      </c>
      <c r="AQ212" s="10">
        <f t="shared" si="463"/>
        <v>1.0000000000000009E-2</v>
      </c>
      <c r="AR212" s="23">
        <f t="shared" si="435"/>
        <v>-1.145E-2</v>
      </c>
    </row>
    <row r="213" spans="2:44">
      <c r="B213" s="5">
        <f t="shared" si="477"/>
        <v>45230</v>
      </c>
      <c r="C213" s="2">
        <f t="shared" si="480"/>
        <v>4464.6007277996559</v>
      </c>
      <c r="D213" s="2">
        <f t="shared" si="480"/>
        <v>4138.674</v>
      </c>
      <c r="E213" s="2">
        <f t="shared" si="464"/>
        <v>139.1</v>
      </c>
      <c r="F213" s="2">
        <f t="shared" si="454"/>
        <v>137.49333333333331</v>
      </c>
      <c r="G213" s="2">
        <f t="shared" si="465"/>
        <v>172.19999999999996</v>
      </c>
      <c r="H213" s="2">
        <f t="shared" si="481"/>
        <v>172.34666666666666</v>
      </c>
      <c r="I213" s="12">
        <f t="shared" si="481"/>
        <v>0.73115717695351179</v>
      </c>
      <c r="J213" s="10">
        <f t="shared" si="460"/>
        <v>0.70983531818683721</v>
      </c>
      <c r="K213" s="12">
        <f t="shared" si="452"/>
        <v>0.20002691432794154</v>
      </c>
      <c r="L213" s="12">
        <f t="shared" si="452"/>
        <v>0.1854244623655914</v>
      </c>
      <c r="M213" s="12">
        <f t="shared" si="482"/>
        <v>0.98499999999999999</v>
      </c>
      <c r="N213" s="10">
        <f t="shared" si="482"/>
        <v>0.93962365591397845</v>
      </c>
      <c r="O213" s="10">
        <f t="shared" si="482"/>
        <v>0.98999999999999988</v>
      </c>
      <c r="P213" s="23">
        <f t="shared" si="482"/>
        <v>1</v>
      </c>
      <c r="Q213" s="83">
        <f t="shared" si="472"/>
        <v>-7.3854158557211336E-2</v>
      </c>
      <c r="R213" s="81">
        <f t="shared" si="473"/>
        <v>-7.3002435754268791E-2</v>
      </c>
      <c r="S213" s="10">
        <f t="shared" si="474"/>
        <v>8.5172280294254499E-4</v>
      </c>
      <c r="T213" s="10">
        <f t="shared" si="475"/>
        <v>-4.5376344086021536E-2</v>
      </c>
      <c r="U213" s="10">
        <f t="shared" si="476"/>
        <v>1.000000000000012E-2</v>
      </c>
      <c r="V213" s="23">
        <f t="shared" si="434"/>
        <v>-1.9933333333333334E-2</v>
      </c>
      <c r="X213" s="5">
        <f t="shared" si="478"/>
        <v>45230</v>
      </c>
      <c r="Y213" s="2">
        <f t="shared" si="483"/>
        <v>4460.7264175992832</v>
      </c>
      <c r="Z213" s="2">
        <f t="shared" si="483"/>
        <v>4093.3890000000001</v>
      </c>
      <c r="AA213" s="2">
        <f t="shared" si="466"/>
        <v>139.1</v>
      </c>
      <c r="AB213" s="2">
        <f t="shared" si="456"/>
        <v>137.77500000000001</v>
      </c>
      <c r="AC213" s="2">
        <f t="shared" si="467"/>
        <v>172.2</v>
      </c>
      <c r="AD213" s="2">
        <f t="shared" si="484"/>
        <v>173.63500000000002</v>
      </c>
      <c r="AE213" s="12">
        <f t="shared" si="484"/>
        <v>0.730580077817645</v>
      </c>
      <c r="AF213" s="10">
        <f t="shared" si="484"/>
        <v>0.73251000420207546</v>
      </c>
      <c r="AG213" s="12">
        <f t="shared" si="453"/>
        <v>0.19986903396644429</v>
      </c>
      <c r="AH213" s="12">
        <f t="shared" si="453"/>
        <v>0.18394052419354839</v>
      </c>
      <c r="AI213" s="12">
        <f t="shared" si="485"/>
        <v>0.98499999999999999</v>
      </c>
      <c r="AJ213" s="10">
        <f t="shared" si="485"/>
        <v>0.896741129032258</v>
      </c>
      <c r="AK213" s="10">
        <f t="shared" si="485"/>
        <v>0.99</v>
      </c>
      <c r="AL213" s="23">
        <f t="shared" si="485"/>
        <v>1</v>
      </c>
      <c r="AM213" s="83">
        <f t="shared" si="479"/>
        <v>-9.0682570477758184E-2</v>
      </c>
      <c r="AN213" s="81">
        <f t="shared" si="459"/>
        <v>-8.2349237144424658E-2</v>
      </c>
      <c r="AO213" s="10">
        <f t="shared" si="461"/>
        <v>8.3333333333335258E-3</v>
      </c>
      <c r="AP213" s="10">
        <f t="shared" si="462"/>
        <v>-8.8258870967741987E-2</v>
      </c>
      <c r="AQ213" s="10">
        <f t="shared" si="463"/>
        <v>1.0000000000000009E-2</v>
      </c>
      <c r="AR213" s="23">
        <f t="shared" si="435"/>
        <v>-1.7425E-2</v>
      </c>
    </row>
    <row r="214" spans="2:44">
      <c r="B214" s="5">
        <f t="shared" si="477"/>
        <v>45260</v>
      </c>
      <c r="C214" s="2">
        <f t="shared" si="480"/>
        <v>3956.3245074493279</v>
      </c>
      <c r="D214" s="2">
        <f t="shared" si="480"/>
        <v>3232.9679999999998</v>
      </c>
      <c r="E214" s="2">
        <f t="shared" si="464"/>
        <v>108.09999999999998</v>
      </c>
      <c r="F214" s="2">
        <f t="shared" si="454"/>
        <v>94.270000000000024</v>
      </c>
      <c r="G214" s="2">
        <f t="shared" si="465"/>
        <v>152.1</v>
      </c>
      <c r="H214" s="2">
        <f t="shared" si="481"/>
        <v>133.06666666666666</v>
      </c>
      <c r="I214" s="12">
        <f t="shared" si="481"/>
        <v>0.7335402702917434</v>
      </c>
      <c r="J214" s="10">
        <f t="shared" si="460"/>
        <v>0.67873357102653753</v>
      </c>
      <c r="K214" s="12">
        <f t="shared" si="452"/>
        <v>0.18316317164117257</v>
      </c>
      <c r="L214" s="12">
        <f t="shared" si="452"/>
        <v>0.14967444444444444</v>
      </c>
      <c r="M214" s="12">
        <f t="shared" si="482"/>
        <v>0.98499999999999999</v>
      </c>
      <c r="N214" s="10">
        <f t="shared" si="482"/>
        <v>0.99443000000000004</v>
      </c>
      <c r="O214" s="10">
        <f t="shared" si="482"/>
        <v>0.98999999999999988</v>
      </c>
      <c r="P214" s="23">
        <f t="shared" si="482"/>
        <v>1</v>
      </c>
      <c r="Q214" s="83">
        <f t="shared" si="472"/>
        <v>-5.7698513029876275E-2</v>
      </c>
      <c r="R214" s="81">
        <f t="shared" si="473"/>
        <v>-0.18283548432069374</v>
      </c>
      <c r="S214" s="10">
        <f t="shared" si="474"/>
        <v>-0.12513697129081747</v>
      </c>
      <c r="T214" s="10">
        <f t="shared" si="475"/>
        <v>9.4300000000000495E-3</v>
      </c>
      <c r="U214" s="10">
        <f t="shared" si="476"/>
        <v>1.000000000000012E-2</v>
      </c>
      <c r="V214" s="23">
        <f t="shared" si="434"/>
        <v>-1.8466666666666662E-2</v>
      </c>
      <c r="X214" s="5">
        <f t="shared" si="478"/>
        <v>45260</v>
      </c>
      <c r="Y214" s="2">
        <f t="shared" si="483"/>
        <v>3948.3036675359931</v>
      </c>
      <c r="Z214" s="2">
        <f t="shared" si="483"/>
        <v>3356.7390000000041</v>
      </c>
      <c r="AA214" s="2">
        <f t="shared" si="466"/>
        <v>108.1</v>
      </c>
      <c r="AB214" s="2">
        <f t="shared" si="456"/>
        <v>94.074999999999989</v>
      </c>
      <c r="AC214" s="2">
        <f t="shared" si="467"/>
        <v>152.1</v>
      </c>
      <c r="AD214" s="2">
        <f t="shared" si="484"/>
        <v>131.42000000000002</v>
      </c>
      <c r="AE214" s="12">
        <f t="shared" si="484"/>
        <v>0.7320978598207083</v>
      </c>
      <c r="AF214" s="10">
        <f t="shared" si="484"/>
        <v>0.71449048087551859</v>
      </c>
      <c r="AG214" s="12">
        <f t="shared" si="453"/>
        <v>0.18280300535258129</v>
      </c>
      <c r="AH214" s="12">
        <f t="shared" si="453"/>
        <v>0.15598562500000018</v>
      </c>
      <c r="AI214" s="12">
        <f t="shared" si="485"/>
        <v>0.98499999999999999</v>
      </c>
      <c r="AJ214" s="10">
        <f t="shared" si="485"/>
        <v>0.99676583333333335</v>
      </c>
      <c r="AK214" s="10">
        <f t="shared" si="485"/>
        <v>0.99</v>
      </c>
      <c r="AL214" s="23">
        <f t="shared" si="485"/>
        <v>1</v>
      </c>
      <c r="AM214" s="83">
        <f t="shared" si="479"/>
        <v>-1.3864368484003742E-2</v>
      </c>
      <c r="AN214" s="81">
        <f t="shared" si="459"/>
        <v>-0.14982755060103192</v>
      </c>
      <c r="AO214" s="10">
        <f t="shared" si="461"/>
        <v>-0.13596318211702818</v>
      </c>
      <c r="AP214" s="10">
        <f t="shared" si="462"/>
        <v>1.1765833333333364E-2</v>
      </c>
      <c r="AQ214" s="10">
        <f t="shared" si="463"/>
        <v>1.0000000000000009E-2</v>
      </c>
      <c r="AR214" s="23">
        <f t="shared" si="435"/>
        <v>-1.7925E-2</v>
      </c>
    </row>
    <row r="215" spans="2:44">
      <c r="B215" s="5">
        <f t="shared" si="477"/>
        <v>45291</v>
      </c>
      <c r="C215" s="2">
        <f t="shared" si="480"/>
        <v>3324.5585691173769</v>
      </c>
      <c r="D215" s="2">
        <f t="shared" si="480"/>
        <v>2997.7019999999998</v>
      </c>
      <c r="E215" s="2">
        <f t="shared" si="464"/>
        <v>89.90000000000002</v>
      </c>
      <c r="F215" s="2">
        <f t="shared" si="454"/>
        <v>81.449999999999989</v>
      </c>
      <c r="G215" s="2">
        <f t="shared" si="465"/>
        <v>129.6</v>
      </c>
      <c r="H215" s="2">
        <f t="shared" si="481"/>
        <v>123.69</v>
      </c>
      <c r="I215" s="12">
        <f t="shared" si="481"/>
        <v>0.72341957402824286</v>
      </c>
      <c r="J215" s="10">
        <f t="shared" si="460"/>
        <v>0.67935784254398091</v>
      </c>
      <c r="K215" s="12">
        <f t="shared" ref="K215:L228" si="486">AVERAGE(K601,K472,K343)</f>
        <v>0.14894975668088606</v>
      </c>
      <c r="L215" s="12">
        <f t="shared" si="486"/>
        <v>0.13430564516129032</v>
      </c>
      <c r="M215" s="12">
        <f t="shared" si="482"/>
        <v>0.98499999999999999</v>
      </c>
      <c r="N215" s="10">
        <f t="shared" si="482"/>
        <v>0.99122903225806447</v>
      </c>
      <c r="O215" s="10">
        <f t="shared" si="482"/>
        <v>0.98999999999999988</v>
      </c>
      <c r="P215" s="23">
        <f t="shared" si="482"/>
        <v>1</v>
      </c>
      <c r="Q215" s="83">
        <f t="shared" si="472"/>
        <v>-5.2713928220012862E-2</v>
      </c>
      <c r="R215" s="81">
        <f t="shared" si="473"/>
        <v>-9.83157800718647E-2</v>
      </c>
      <c r="S215" s="10">
        <f t="shared" si="474"/>
        <v>-4.5601851851851838E-2</v>
      </c>
      <c r="T215" s="10">
        <f t="shared" si="475"/>
        <v>6.2290322580644819E-3</v>
      </c>
      <c r="U215" s="10">
        <f t="shared" si="476"/>
        <v>1.000000000000012E-2</v>
      </c>
      <c r="V215" s="23">
        <f t="shared" si="434"/>
        <v>-2.3833333333333331E-2</v>
      </c>
      <c r="X215" s="5">
        <f t="shared" si="478"/>
        <v>45291</v>
      </c>
      <c r="Y215" s="2">
        <f t="shared" si="483"/>
        <v>3316.2081728156168</v>
      </c>
      <c r="Z215" s="2">
        <f t="shared" si="483"/>
        <v>3045.0600000000004</v>
      </c>
      <c r="AA215" s="2">
        <f t="shared" si="466"/>
        <v>89.9</v>
      </c>
      <c r="AB215" s="2">
        <f t="shared" si="456"/>
        <v>81.835000000000008</v>
      </c>
      <c r="AC215" s="2">
        <f t="shared" si="467"/>
        <v>129.6</v>
      </c>
      <c r="AD215" s="2">
        <f t="shared" si="484"/>
        <v>122.47999999999999</v>
      </c>
      <c r="AE215" s="12">
        <f t="shared" si="484"/>
        <v>0.72165461341269088</v>
      </c>
      <c r="AF215" s="10">
        <f t="shared" si="484"/>
        <v>0.69567855218116037</v>
      </c>
      <c r="AG215" s="12">
        <f t="shared" ref="AG215:AH228" si="487">AVERAGE(AG730,AG343,AG472,AG601)</f>
        <v>0.14858635698356526</v>
      </c>
      <c r="AH215" s="12">
        <f t="shared" si="487"/>
        <v>0.13707318548387096</v>
      </c>
      <c r="AI215" s="12">
        <f t="shared" si="485"/>
        <v>0.98499999999999999</v>
      </c>
      <c r="AJ215" s="10">
        <f t="shared" si="485"/>
        <v>0.9976411290322581</v>
      </c>
      <c r="AK215" s="10">
        <f t="shared" si="485"/>
        <v>0.99</v>
      </c>
      <c r="AL215" s="23">
        <f t="shared" si="485"/>
        <v>1</v>
      </c>
      <c r="AM215" s="83">
        <f t="shared" si="479"/>
        <v>-2.6826249403825386E-2</v>
      </c>
      <c r="AN215" s="81">
        <f t="shared" si="459"/>
        <v>-8.1764521008763746E-2</v>
      </c>
      <c r="AO215" s="10">
        <f t="shared" si="461"/>
        <v>-5.493827160493836E-2</v>
      </c>
      <c r="AP215" s="10">
        <f t="shared" si="462"/>
        <v>1.2641129032258114E-2</v>
      </c>
      <c r="AQ215" s="10">
        <f t="shared" si="463"/>
        <v>1.0000000000000009E-2</v>
      </c>
      <c r="AR215" s="23">
        <f t="shared" si="435"/>
        <v>-2.325E-2</v>
      </c>
    </row>
    <row r="216" spans="2:44">
      <c r="B216" s="5">
        <f t="shared" si="477"/>
        <v>45322</v>
      </c>
      <c r="C216" s="2">
        <f t="shared" si="480"/>
        <v>2807.5425378958262</v>
      </c>
      <c r="D216" s="2">
        <f t="shared" si="480"/>
        <v>1275.9780000000001</v>
      </c>
      <c r="E216" s="2">
        <f t="shared" si="464"/>
        <v>79.599999999999994</v>
      </c>
      <c r="F216" s="2">
        <f t="shared" si="454"/>
        <v>43.439999999999991</v>
      </c>
      <c r="G216" s="2">
        <f t="shared" si="465"/>
        <v>103.2</v>
      </c>
      <c r="H216" s="2">
        <f t="shared" si="481"/>
        <v>51.136666666666663</v>
      </c>
      <c r="I216" s="12">
        <f t="shared" si="481"/>
        <v>0.7671988029682496</v>
      </c>
      <c r="J216" s="10">
        <f t="shared" si="460"/>
        <v>0.69884318788372035</v>
      </c>
      <c r="K216" s="12">
        <f t="shared" si="486"/>
        <v>0.12578595599891695</v>
      </c>
      <c r="L216" s="12">
        <f t="shared" si="486"/>
        <v>5.716747311827957E-2</v>
      </c>
      <c r="M216" s="12">
        <f t="shared" si="482"/>
        <v>0.98499999999999999</v>
      </c>
      <c r="N216" s="10">
        <f t="shared" si="482"/>
        <v>0.99186559139784958</v>
      </c>
      <c r="O216" s="10">
        <f t="shared" si="482"/>
        <v>0.98999999999999988</v>
      </c>
      <c r="P216" s="23">
        <f t="shared" si="482"/>
        <v>1</v>
      </c>
      <c r="Q216" s="83">
        <f t="shared" ref="Q216" si="488">R216-S216</f>
        <v>-4.1028174818407481E-2</v>
      </c>
      <c r="R216" s="81">
        <f t="shared" ref="R216" si="489">D216/C216-1</f>
        <v>-0.54551783890109484</v>
      </c>
      <c r="S216" s="10">
        <f t="shared" ref="S216" si="490">H216/G216-1</f>
        <v>-0.50448966408268736</v>
      </c>
      <c r="T216" s="10">
        <f t="shared" ref="T216" si="491">N216-M216</f>
        <v>6.8655913978495908E-3</v>
      </c>
      <c r="U216" s="10">
        <f t="shared" ref="U216" si="492">P216-O216</f>
        <v>1.000000000000012E-2</v>
      </c>
      <c r="V216" s="23">
        <f t="shared" si="434"/>
        <v>-1.5899999999999997E-2</v>
      </c>
      <c r="X216" s="5">
        <f t="shared" si="478"/>
        <v>45322</v>
      </c>
      <c r="Y216" s="2">
        <f t="shared" si="483"/>
        <v>2790.7903673902588</v>
      </c>
      <c r="Z216" s="2">
        <f t="shared" si="483"/>
        <v>1256.07</v>
      </c>
      <c r="AA216" s="2">
        <f t="shared" si="466"/>
        <v>79.599999999999994</v>
      </c>
      <c r="AB216" s="2">
        <f t="shared" si="456"/>
        <v>43.445000000000007</v>
      </c>
      <c r="AC216" s="2">
        <f t="shared" si="467"/>
        <v>103.2</v>
      </c>
      <c r="AD216" s="2">
        <f t="shared" si="484"/>
        <v>51.415000000000006</v>
      </c>
      <c r="AE216" s="12">
        <f t="shared" si="484"/>
        <v>0.76267469001237309</v>
      </c>
      <c r="AF216" s="10">
        <f t="shared" si="484"/>
        <v>0.68744328564330637</v>
      </c>
      <c r="AG216" s="12">
        <f t="shared" si="487"/>
        <v>0.12504420578893186</v>
      </c>
      <c r="AH216" s="12">
        <f t="shared" si="487"/>
        <v>5.6566532258064517E-2</v>
      </c>
      <c r="AI216" s="12">
        <f t="shared" si="485"/>
        <v>0.98499999999999999</v>
      </c>
      <c r="AJ216" s="10">
        <f t="shared" si="485"/>
        <v>0.99262500000000009</v>
      </c>
      <c r="AK216" s="10">
        <f t="shared" si="485"/>
        <v>0.99</v>
      </c>
      <c r="AL216" s="23">
        <f t="shared" si="485"/>
        <v>1</v>
      </c>
      <c r="AM216" s="83">
        <f t="shared" ref="AM216:AM217" si="493">AN216-AO216</f>
        <v>-4.813056363369872E-2</v>
      </c>
      <c r="AN216" s="81">
        <f t="shared" ref="AN216" si="494">Z216/Y216-1</f>
        <v>-0.54992319929261335</v>
      </c>
      <c r="AO216" s="10">
        <f t="shared" ref="AO216" si="495">AD216/AC216-1</f>
        <v>-0.50179263565891463</v>
      </c>
      <c r="AP216" s="10">
        <f t="shared" ref="AP216" si="496">AJ216-AI216</f>
        <v>7.6250000000001039E-3</v>
      </c>
      <c r="AQ216" s="10">
        <f t="shared" ref="AQ216" si="497">AL216-AK216</f>
        <v>1.0000000000000009E-2</v>
      </c>
      <c r="AR216" s="23">
        <f t="shared" si="435"/>
        <v>-1.6074999999999999E-2</v>
      </c>
    </row>
    <row r="217" spans="2:44">
      <c r="B217" s="5">
        <f t="shared" si="477"/>
        <v>45351</v>
      </c>
      <c r="C217" s="2">
        <f t="shared" si="480"/>
        <v>3675.661832511209</v>
      </c>
      <c r="D217" s="2">
        <f t="shared" si="480"/>
        <v>3452.7120000000014</v>
      </c>
      <c r="E217" s="2">
        <f t="shared" si="464"/>
        <v>108.09999999999998</v>
      </c>
      <c r="F217" s="2">
        <f t="shared" si="454"/>
        <v>110.74333333333333</v>
      </c>
      <c r="G217" s="2">
        <f t="shared" si="465"/>
        <v>137.5</v>
      </c>
      <c r="H217" s="2">
        <f t="shared" si="481"/>
        <v>144.41999999999999</v>
      </c>
      <c r="I217" s="12">
        <f t="shared" si="481"/>
        <v>0.75386593498666032</v>
      </c>
      <c r="J217" s="10">
        <f t="shared" si="460"/>
        <v>0.68972795536710263</v>
      </c>
      <c r="K217" s="12">
        <f t="shared" si="486"/>
        <v>0.18232449566027822</v>
      </c>
      <c r="L217" s="12">
        <f t="shared" si="486"/>
        <v>0.16535977011494263</v>
      </c>
      <c r="M217" s="12">
        <f t="shared" si="482"/>
        <v>0.98499999999999999</v>
      </c>
      <c r="N217" s="10">
        <f t="shared" si="482"/>
        <v>0.96276666666666666</v>
      </c>
      <c r="O217" s="10">
        <f t="shared" si="482"/>
        <v>0.98999999999999988</v>
      </c>
      <c r="P217" s="23">
        <f t="shared" si="482"/>
        <v>0.99475172413793123</v>
      </c>
      <c r="Q217" s="83">
        <f t="shared" ref="Q217" si="498">R217-S217</f>
        <v>-0.11098297030511217</v>
      </c>
      <c r="R217" s="81">
        <f t="shared" ref="R217" si="499">D217/C217-1</f>
        <v>-6.0655697577839618E-2</v>
      </c>
      <c r="S217" s="10">
        <f t="shared" ref="S217" si="500">H217/G217-1</f>
        <v>5.0327272727272554E-2</v>
      </c>
      <c r="T217" s="10">
        <f t="shared" ref="T217" si="501">N217-M217</f>
        <v>-2.2233333333333327E-2</v>
      </c>
      <c r="U217" s="10">
        <f t="shared" ref="U217" si="502">P217-O217</f>
        <v>4.7517241379313457E-3</v>
      </c>
      <c r="V217" s="23">
        <f t="shared" si="434"/>
        <v>-1.6400000000000001E-2</v>
      </c>
      <c r="X217" s="5">
        <f t="shared" si="478"/>
        <v>45351</v>
      </c>
      <c r="Y217" s="2">
        <f t="shared" si="483"/>
        <v>3663.8833096325643</v>
      </c>
      <c r="Z217" s="2">
        <f t="shared" si="483"/>
        <v>3515.5169999999985</v>
      </c>
      <c r="AA217" s="2">
        <f t="shared" si="466"/>
        <v>108.1</v>
      </c>
      <c r="AB217" s="2">
        <f t="shared" si="456"/>
        <v>111.34</v>
      </c>
      <c r="AC217" s="2">
        <f t="shared" si="467"/>
        <v>137.5</v>
      </c>
      <c r="AD217" s="2">
        <f t="shared" si="484"/>
        <v>144.32</v>
      </c>
      <c r="AE217" s="12">
        <f t="shared" si="484"/>
        <v>0.75151560369466408</v>
      </c>
      <c r="AF217" s="10">
        <f t="shared" si="484"/>
        <v>0.69779547673648501</v>
      </c>
      <c r="AG217" s="12">
        <f t="shared" si="487"/>
        <v>0.18175606174177866</v>
      </c>
      <c r="AH217" s="12">
        <f t="shared" si="487"/>
        <v>0.16870517241379307</v>
      </c>
      <c r="AI217" s="12">
        <f t="shared" si="485"/>
        <v>0.98499999999999999</v>
      </c>
      <c r="AJ217" s="10">
        <f t="shared" si="485"/>
        <v>0.97162500000000007</v>
      </c>
      <c r="AK217" s="10">
        <f t="shared" si="485"/>
        <v>0.99</v>
      </c>
      <c r="AL217" s="23">
        <f t="shared" si="485"/>
        <v>0.99120862068965521</v>
      </c>
      <c r="AM217" s="83">
        <f t="shared" si="493"/>
        <v>-9.0094278090817381E-2</v>
      </c>
      <c r="AN217" s="81">
        <f t="shared" ref="AN217:AN222" si="503">Z217/Y217-1</f>
        <v>-4.0494278090817515E-2</v>
      </c>
      <c r="AO217" s="10">
        <f t="shared" ref="AO217" si="504">AD217/AC217-1</f>
        <v>4.9599999999999866E-2</v>
      </c>
      <c r="AP217" s="10">
        <f t="shared" ref="AP217" si="505">AJ217-AI217</f>
        <v>-1.3374999999999915E-2</v>
      </c>
      <c r="AQ217" s="10">
        <f t="shared" ref="AQ217" si="506">AL217-AK217</f>
        <v>1.2086206896552154E-3</v>
      </c>
      <c r="AR217" s="23">
        <f t="shared" si="435"/>
        <v>-1.505094695160715E-2</v>
      </c>
    </row>
    <row r="218" spans="2:44">
      <c r="B218" s="5">
        <f t="shared" si="477"/>
        <v>45382</v>
      </c>
      <c r="C218" s="2">
        <f t="shared" si="480"/>
        <v>4917.7402078839878</v>
      </c>
      <c r="D218" s="2">
        <f t="shared" si="480"/>
        <v>4342.6740000000009</v>
      </c>
      <c r="E218" s="2">
        <f t="shared" si="464"/>
        <v>161.4</v>
      </c>
      <c r="F218" s="2">
        <f t="shared" si="454"/>
        <v>153.76333333333335</v>
      </c>
      <c r="G218" s="2">
        <f t="shared" si="465"/>
        <v>187.80000000000004</v>
      </c>
      <c r="H218" s="2">
        <f t="shared" si="481"/>
        <v>176.75666666666669</v>
      </c>
      <c r="I218" s="12">
        <f t="shared" si="481"/>
        <v>0.73846728976956866</v>
      </c>
      <c r="J218" s="10">
        <f t="shared" si="460"/>
        <v>0.6909620083028547</v>
      </c>
      <c r="K218" s="12">
        <f t="shared" si="486"/>
        <v>0.22032886236039373</v>
      </c>
      <c r="L218" s="12">
        <f t="shared" si="486"/>
        <v>0.19456424731182798</v>
      </c>
      <c r="M218" s="12">
        <f t="shared" si="482"/>
        <v>0.98499999999999999</v>
      </c>
      <c r="N218" s="10">
        <f t="shared" si="482"/>
        <v>0.98771235160412907</v>
      </c>
      <c r="O218" s="10">
        <f t="shared" si="482"/>
        <v>0.98999999999999988</v>
      </c>
      <c r="P218" s="23">
        <f t="shared" si="482"/>
        <v>1</v>
      </c>
      <c r="Q218" s="83">
        <f t="shared" ref="Q218" si="507">R218-S218</f>
        <v>-5.8133393777224263E-2</v>
      </c>
      <c r="R218" s="81">
        <f t="shared" ref="R218" si="508">D218/C218-1</f>
        <v>-0.11693708564800886</v>
      </c>
      <c r="S218" s="10">
        <f t="shared" ref="S218" si="509">H218/G218-1</f>
        <v>-5.8803691870784602E-2</v>
      </c>
      <c r="T218" s="10">
        <f t="shared" ref="T218" si="510">N218-M218</f>
        <v>2.7123516041290818E-3</v>
      </c>
      <c r="U218" s="10">
        <f t="shared" ref="U218" si="511">P218-O218</f>
        <v>1.000000000000012E-2</v>
      </c>
      <c r="V218" s="23">
        <f t="shared" si="434"/>
        <v>-1.9966666666666664E-2</v>
      </c>
      <c r="X218" s="5">
        <f t="shared" si="478"/>
        <v>45382</v>
      </c>
      <c r="Y218" s="2">
        <f t="shared" si="483"/>
        <v>4913.8297741540891</v>
      </c>
      <c r="Z218" s="2">
        <f t="shared" si="483"/>
        <v>4462.4459999999999</v>
      </c>
      <c r="AA218" s="2">
        <f t="shared" si="466"/>
        <v>161.4</v>
      </c>
      <c r="AB218" s="2">
        <f t="shared" si="456"/>
        <v>154.38999999999999</v>
      </c>
      <c r="AC218" s="2">
        <f t="shared" si="467"/>
        <v>187.8</v>
      </c>
      <c r="AD218" s="2">
        <f t="shared" si="484"/>
        <v>177.73500000000004</v>
      </c>
      <c r="AE218" s="12">
        <f t="shared" si="484"/>
        <v>0.73793518522400015</v>
      </c>
      <c r="AF218" s="10">
        <f t="shared" si="484"/>
        <v>0.70063062818078314</v>
      </c>
      <c r="AG218" s="12">
        <f t="shared" si="487"/>
        <v>0.2201701038198246</v>
      </c>
      <c r="AH218" s="12">
        <f t="shared" si="487"/>
        <v>0.20037217741935481</v>
      </c>
      <c r="AI218" s="12">
        <f t="shared" si="485"/>
        <v>0.98499999999999999</v>
      </c>
      <c r="AJ218" s="10">
        <f t="shared" si="485"/>
        <v>0.99762299354838713</v>
      </c>
      <c r="AK218" s="10">
        <f t="shared" si="485"/>
        <v>0.99</v>
      </c>
      <c r="AL218" s="23">
        <f t="shared" si="485"/>
        <v>1</v>
      </c>
      <c r="AM218" s="83">
        <f t="shared" ref="AM218" si="512">AN218-AO218</f>
        <v>-3.8265622813070665E-2</v>
      </c>
      <c r="AN218" s="81">
        <f t="shared" si="503"/>
        <v>-9.185987201434842E-2</v>
      </c>
      <c r="AO218" s="10">
        <f t="shared" ref="AO218" si="513">AD218/AC218-1</f>
        <v>-5.3594249201277755E-2</v>
      </c>
      <c r="AP218" s="10">
        <f t="shared" ref="AP218" si="514">AJ218-AI218</f>
        <v>1.262299354838714E-2</v>
      </c>
      <c r="AQ218" s="10">
        <f t="shared" ref="AQ218" si="515">AL218-AK218</f>
        <v>1.0000000000000009E-2</v>
      </c>
      <c r="AR218" s="23">
        <f t="shared" si="435"/>
        <v>-1.9424999999999998E-2</v>
      </c>
    </row>
    <row r="219" spans="2:44">
      <c r="B219" s="5">
        <f t="shared" si="477"/>
        <v>45412</v>
      </c>
      <c r="C219" s="2">
        <f t="shared" si="480"/>
        <v>5083.3504340304789</v>
      </c>
      <c r="D219" s="2">
        <f t="shared" si="480"/>
        <v>4546.3440000000001</v>
      </c>
      <c r="E219" s="2">
        <f t="shared" si="464"/>
        <v>190.19999999999996</v>
      </c>
      <c r="F219" s="2">
        <f t="shared" si="454"/>
        <v>183.93999999999997</v>
      </c>
      <c r="G219" s="2">
        <f t="shared" si="465"/>
        <v>194</v>
      </c>
      <c r="H219" s="2">
        <f t="shared" si="481"/>
        <v>189.16000000000008</v>
      </c>
      <c r="I219" s="12">
        <f t="shared" si="481"/>
        <v>0.7389407018842894</v>
      </c>
      <c r="J219" s="10">
        <f t="shared" si="460"/>
        <v>0.67363670660619868</v>
      </c>
      <c r="K219" s="12">
        <f t="shared" si="486"/>
        <v>0.23534029787178146</v>
      </c>
      <c r="L219" s="12">
        <f t="shared" si="486"/>
        <v>0.21047888888888888</v>
      </c>
      <c r="M219" s="12">
        <f t="shared" si="482"/>
        <v>0.98499999999999999</v>
      </c>
      <c r="N219" s="10">
        <f t="shared" si="482"/>
        <v>0.99107069946699633</v>
      </c>
      <c r="O219" s="10">
        <f t="shared" si="482"/>
        <v>0.98999999999999988</v>
      </c>
      <c r="P219" s="23">
        <f t="shared" si="482"/>
        <v>0.99975333333333316</v>
      </c>
      <c r="Q219" s="83">
        <f t="shared" ref="Q219" si="516">R219-S219</f>
        <v>-8.069180098358486E-2</v>
      </c>
      <c r="R219" s="81">
        <f t="shared" ref="R219" si="517">D219/C219-1</f>
        <v>-0.10564025459183191</v>
      </c>
      <c r="S219" s="10">
        <f t="shared" ref="S219" si="518">H219/G219-1</f>
        <v>-2.4948453608247045E-2</v>
      </c>
      <c r="T219" s="10">
        <f t="shared" ref="T219" si="519">N219-M219</f>
        <v>6.0706994669963432E-3</v>
      </c>
      <c r="U219" s="10">
        <f t="shared" ref="U219" si="520">P219-O219</f>
        <v>9.7533333333332806E-3</v>
      </c>
      <c r="V219" s="23">
        <f t="shared" si="434"/>
        <v>-2.5021111111111102E-2</v>
      </c>
      <c r="X219" s="5">
        <f t="shared" si="478"/>
        <v>45412</v>
      </c>
      <c r="Y219" s="2">
        <f t="shared" si="483"/>
        <v>5083.5163111152815</v>
      </c>
      <c r="Z219" s="2">
        <f t="shared" si="483"/>
        <v>4595.4029999999993</v>
      </c>
      <c r="AA219" s="2">
        <f t="shared" si="466"/>
        <v>190.2</v>
      </c>
      <c r="AB219" s="2">
        <f t="shared" si="456"/>
        <v>182.66499999999996</v>
      </c>
      <c r="AC219" s="2">
        <f t="shared" si="467"/>
        <v>194</v>
      </c>
      <c r="AD219" s="2">
        <f t="shared" si="484"/>
        <v>190.28500000000003</v>
      </c>
      <c r="AE219" s="12">
        <f t="shared" si="484"/>
        <v>0.73902557488090126</v>
      </c>
      <c r="AF219" s="10">
        <f t="shared" si="484"/>
        <v>0.68682389362198282</v>
      </c>
      <c r="AG219" s="12">
        <f t="shared" si="487"/>
        <v>0.23536732850665237</v>
      </c>
      <c r="AH219" s="12">
        <f t="shared" si="487"/>
        <v>0.21368375000000001</v>
      </c>
      <c r="AI219" s="12">
        <f t="shared" si="485"/>
        <v>0.98499999999999999</v>
      </c>
      <c r="AJ219" s="10">
        <f t="shared" si="485"/>
        <v>0.98102882060622099</v>
      </c>
      <c r="AK219" s="10">
        <f t="shared" si="485"/>
        <v>0.99</v>
      </c>
      <c r="AL219" s="23">
        <f t="shared" si="485"/>
        <v>0.99956333333333325</v>
      </c>
      <c r="AM219" s="83">
        <f t="shared" ref="AM219" si="521">AN219-AO219</f>
        <v>-7.6869349916756091E-2</v>
      </c>
      <c r="AN219" s="81">
        <f t="shared" si="503"/>
        <v>-9.6018834452838431E-2</v>
      </c>
      <c r="AO219" s="10">
        <f t="shared" ref="AO219" si="522">AD219/AC219-1</f>
        <v>-1.914948453608234E-2</v>
      </c>
      <c r="AP219" s="10">
        <f t="shared" ref="AP219" si="523">AJ219-AI219</f>
        <v>-3.9711793937790008E-3</v>
      </c>
      <c r="AQ219" s="10">
        <f t="shared" ref="AQ219" si="524">AL219-AK219</f>
        <v>9.5633333333332571E-3</v>
      </c>
      <c r="AR219" s="23">
        <f t="shared" si="435"/>
        <v>-2.1695000000000002E-2</v>
      </c>
    </row>
    <row r="220" spans="2:44">
      <c r="B220" s="5">
        <f t="shared" si="477"/>
        <v>45443</v>
      </c>
      <c r="C220" s="2">
        <f t="shared" si="480"/>
        <v>5150.1288413085849</v>
      </c>
      <c r="D220" s="2">
        <f t="shared" si="480"/>
        <v>4243.3739999999998</v>
      </c>
      <c r="E220" s="2">
        <f t="shared" si="464"/>
        <v>197</v>
      </c>
      <c r="F220" s="2">
        <f t="shared" si="454"/>
        <v>195.99999999999997</v>
      </c>
      <c r="G220" s="2">
        <f t="shared" si="465"/>
        <v>197.69999999999996</v>
      </c>
      <c r="H220" s="2">
        <f t="shared" si="481"/>
        <v>197.87333333333331</v>
      </c>
      <c r="I220" s="12">
        <f t="shared" si="481"/>
        <v>0.73463682337127745</v>
      </c>
      <c r="J220" s="10">
        <f t="shared" si="460"/>
        <v>0.61693141304428734</v>
      </c>
      <c r="K220" s="12">
        <f t="shared" si="486"/>
        <v>0.23074053948515164</v>
      </c>
      <c r="L220" s="12">
        <f t="shared" si="486"/>
        <v>0.19011532258064515</v>
      </c>
      <c r="M220" s="12">
        <f t="shared" si="482"/>
        <v>0.98499999999999999</v>
      </c>
      <c r="N220" s="10">
        <f t="shared" si="482"/>
        <v>0.96560421125923224</v>
      </c>
      <c r="O220" s="10">
        <f t="shared" si="482"/>
        <v>0.98999999999999988</v>
      </c>
      <c r="P220" s="23">
        <f t="shared" si="482"/>
        <v>0.99889354838709676</v>
      </c>
      <c r="Q220" s="83">
        <f t="shared" ref="Q220" si="525">R220-S220</f>
        <v>-0.17694124577438952</v>
      </c>
      <c r="R220" s="81">
        <f t="shared" ref="R220" si="526">D220/C220-1</f>
        <v>-0.17606449649096345</v>
      </c>
      <c r="S220" s="10">
        <f t="shared" ref="S220" si="527">H220/G220-1</f>
        <v>8.7674928342607039E-4</v>
      </c>
      <c r="T220" s="10">
        <f t="shared" ref="T220" si="528">N220-M220</f>
        <v>-1.939578874076775E-2</v>
      </c>
      <c r="U220" s="10">
        <f t="shared" ref="U220" si="529">P220-O220</f>
        <v>8.8935483870968834E-3</v>
      </c>
      <c r="V220" s="23">
        <f t="shared" si="434"/>
        <v>-3.5933333333333338E-2</v>
      </c>
      <c r="X220" s="5">
        <f t="shared" si="478"/>
        <v>45443</v>
      </c>
      <c r="Y220" s="2">
        <f t="shared" si="483"/>
        <v>5150.643078832255</v>
      </c>
      <c r="Z220" s="2">
        <f t="shared" si="483"/>
        <v>4289.3189999999995</v>
      </c>
      <c r="AA220" s="2">
        <f t="shared" si="466"/>
        <v>197</v>
      </c>
      <c r="AB220" s="2">
        <f t="shared" si="456"/>
        <v>194.26499999999999</v>
      </c>
      <c r="AC220" s="2">
        <f t="shared" si="467"/>
        <v>197.7</v>
      </c>
      <c r="AD220" s="2">
        <f t="shared" si="484"/>
        <v>198.3</v>
      </c>
      <c r="AE220" s="12">
        <f t="shared" si="484"/>
        <v>0.734763818141001</v>
      </c>
      <c r="AF220" s="10">
        <f t="shared" si="484"/>
        <v>0.62930137398898645</v>
      </c>
      <c r="AG220" s="12">
        <f t="shared" si="487"/>
        <v>0.23078042700609475</v>
      </c>
      <c r="AH220" s="12">
        <f t="shared" si="487"/>
        <v>0.19323225806451613</v>
      </c>
      <c r="AI220" s="12">
        <f t="shared" si="485"/>
        <v>0.98499999999999999</v>
      </c>
      <c r="AJ220" s="10">
        <f t="shared" si="485"/>
        <v>0.96006909369215598</v>
      </c>
      <c r="AK220" s="10">
        <f t="shared" si="485"/>
        <v>0.99</v>
      </c>
      <c r="AL220" s="23">
        <f t="shared" si="485"/>
        <v>0.99957419354838706</v>
      </c>
      <c r="AM220" s="83">
        <f t="shared" ref="AM220:AM221" si="530">AN220-AO220</f>
        <v>-0.17026141379326343</v>
      </c>
      <c r="AN220" s="81">
        <f t="shared" si="503"/>
        <v>-0.16722651242755759</v>
      </c>
      <c r="AO220" s="10">
        <f t="shared" ref="AO220" si="531">AD220/AC220-1</f>
        <v>3.0349013657058332E-3</v>
      </c>
      <c r="AP220" s="10">
        <f t="shared" ref="AP220" si="532">AJ220-AI220</f>
        <v>-2.4930906307844003E-2</v>
      </c>
      <c r="AQ220" s="10">
        <f t="shared" ref="AQ220" si="533">AL220-AK220</f>
        <v>9.5741935483870666E-3</v>
      </c>
      <c r="AR220" s="23">
        <f t="shared" si="435"/>
        <v>-3.6624999999999998E-2</v>
      </c>
    </row>
    <row r="221" spans="2:44">
      <c r="B221" s="5">
        <f t="shared" si="477"/>
        <v>45473</v>
      </c>
      <c r="C221" s="2">
        <f t="shared" si="480"/>
        <v>4631.9284008304803</v>
      </c>
      <c r="D221" s="2">
        <f t="shared" si="480"/>
        <v>4352.652</v>
      </c>
      <c r="E221" s="2">
        <f t="shared" si="464"/>
        <v>178.9</v>
      </c>
      <c r="F221" s="2">
        <f t="shared" si="454"/>
        <v>190.70666666666662</v>
      </c>
      <c r="G221" s="2">
        <f t="shared" si="465"/>
        <v>177.19999999999996</v>
      </c>
      <c r="H221" s="2">
        <f t="shared" si="481"/>
        <v>184.27666666666667</v>
      </c>
      <c r="I221" s="12">
        <f t="shared" si="481"/>
        <v>0.73715597277931211</v>
      </c>
      <c r="J221" s="10">
        <f t="shared" si="460"/>
        <v>0.66696701097224664</v>
      </c>
      <c r="K221" s="12">
        <f t="shared" si="486"/>
        <v>0.2144411296680778</v>
      </c>
      <c r="L221" s="12">
        <f t="shared" si="486"/>
        <v>0.20151166666666664</v>
      </c>
      <c r="M221" s="12">
        <f t="shared" si="482"/>
        <v>0.98499999999999999</v>
      </c>
      <c r="N221" s="10">
        <f t="shared" si="482"/>
        <v>0.98373333333333335</v>
      </c>
      <c r="O221" s="10">
        <f t="shared" si="482"/>
        <v>0.98999999999999988</v>
      </c>
      <c r="P221" s="23">
        <f t="shared" si="482"/>
        <v>1</v>
      </c>
      <c r="Q221" s="83">
        <f t="shared" ref="Q221" si="534">R221-S221</f>
        <v>-0.10022980677726379</v>
      </c>
      <c r="R221" s="81">
        <f t="shared" ref="R221" si="535">D221/C221-1</f>
        <v>-6.0293764640318548E-2</v>
      </c>
      <c r="S221" s="10">
        <f t="shared" ref="S221" si="536">H221/G221-1</f>
        <v>3.9936042136945238E-2</v>
      </c>
      <c r="T221" s="10">
        <f t="shared" ref="T221" si="537">N221-M221</f>
        <v>-1.2666666666666382E-3</v>
      </c>
      <c r="U221" s="10">
        <f t="shared" ref="U221" si="538">P221-O221</f>
        <v>1.000000000000012E-2</v>
      </c>
      <c r="V221" s="23">
        <f t="shared" si="434"/>
        <v>-2.6666666666666668E-2</v>
      </c>
      <c r="X221" s="5">
        <f t="shared" si="478"/>
        <v>45473</v>
      </c>
      <c r="Y221" s="2">
        <f t="shared" si="483"/>
        <v>4624.1342771458312</v>
      </c>
      <c r="Z221" s="2">
        <f t="shared" si="483"/>
        <v>4355.7719999999999</v>
      </c>
      <c r="AA221" s="2">
        <f t="shared" si="466"/>
        <v>178.9</v>
      </c>
      <c r="AB221" s="2">
        <f t="shared" si="456"/>
        <v>188.19</v>
      </c>
      <c r="AC221" s="2">
        <f t="shared" si="467"/>
        <v>177.2</v>
      </c>
      <c r="AD221" s="2">
        <f t="shared" si="484"/>
        <v>186.41</v>
      </c>
      <c r="AE221" s="12">
        <f t="shared" si="484"/>
        <v>0.73597927450432687</v>
      </c>
      <c r="AF221" s="10">
        <f t="shared" si="484"/>
        <v>0.68120902760720226</v>
      </c>
      <c r="AG221" s="12">
        <f t="shared" si="487"/>
        <v>0.21409882421755705</v>
      </c>
      <c r="AH221" s="12">
        <f t="shared" si="487"/>
        <v>0.20200875000000001</v>
      </c>
      <c r="AI221" s="12">
        <f t="shared" si="485"/>
        <v>0.98499999999999999</v>
      </c>
      <c r="AJ221" s="10">
        <f t="shared" si="485"/>
        <v>0.95455000000000001</v>
      </c>
      <c r="AK221" s="10">
        <f t="shared" si="485"/>
        <v>0.99</v>
      </c>
      <c r="AL221" s="23">
        <f t="shared" si="485"/>
        <v>0.99989354838709676</v>
      </c>
      <c r="AM221" s="83">
        <f t="shared" si="530"/>
        <v>-0.11001030864991468</v>
      </c>
      <c r="AN221" s="81">
        <f t="shared" si="503"/>
        <v>-5.8035139349688958E-2</v>
      </c>
      <c r="AO221" s="10">
        <f t="shared" ref="AO221" si="539">AD221/AC221-1</f>
        <v>5.1975169300225721E-2</v>
      </c>
      <c r="AP221" s="10">
        <f t="shared" ref="AP221" si="540">AJ221-AI221</f>
        <v>-3.0449999999999977E-2</v>
      </c>
      <c r="AQ221" s="10">
        <f t="shared" ref="AQ221" si="541">AL221-AK221</f>
        <v>9.8935483870967733E-3</v>
      </c>
      <c r="AR221" s="23">
        <f t="shared" si="435"/>
        <v>-2.24E-2</v>
      </c>
    </row>
    <row r="222" spans="2:44">
      <c r="B222" s="5">
        <f t="shared" si="477"/>
        <v>45504</v>
      </c>
      <c r="C222" s="2">
        <f t="shared" si="480"/>
        <v>4108.3856877701255</v>
      </c>
      <c r="D222" s="2">
        <f t="shared" si="480"/>
        <v>3521.8679999999999</v>
      </c>
      <c r="E222" s="2">
        <f t="shared" si="464"/>
        <v>155.5</v>
      </c>
      <c r="F222" s="2">
        <f t="shared" si="454"/>
        <v>143.50333333333333</v>
      </c>
      <c r="G222" s="2">
        <f t="shared" si="465"/>
        <v>154.6</v>
      </c>
      <c r="H222" s="2">
        <f t="shared" si="481"/>
        <v>141.15666666666667</v>
      </c>
      <c r="I222" s="12">
        <f t="shared" si="481"/>
        <v>0.74941604441973242</v>
      </c>
      <c r="J222" s="10">
        <f t="shared" si="460"/>
        <v>0.72797121133604825</v>
      </c>
      <c r="K222" s="12">
        <f t="shared" si="486"/>
        <v>0.18406745912948594</v>
      </c>
      <c r="L222" s="12">
        <f t="shared" si="486"/>
        <v>0.15778978494623658</v>
      </c>
      <c r="M222" s="12">
        <f t="shared" si="482"/>
        <v>0.98499999999999999</v>
      </c>
      <c r="N222" s="10">
        <f t="shared" si="482"/>
        <v>0.95198300483870968</v>
      </c>
      <c r="O222" s="10">
        <f t="shared" si="482"/>
        <v>0.98999999999999988</v>
      </c>
      <c r="P222" s="23">
        <f t="shared" si="482"/>
        <v>1</v>
      </c>
      <c r="Q222" s="83">
        <f t="shared" ref="Q222" si="542">R222-S222</f>
        <v>-5.5805522453285517E-2</v>
      </c>
      <c r="R222" s="81">
        <f t="shared" ref="R222" si="543">D222/C222-1</f>
        <v>-0.1427611067568646</v>
      </c>
      <c r="S222" s="10">
        <f t="shared" ref="S222" si="544">H222/G222-1</f>
        <v>-8.6955584303579081E-2</v>
      </c>
      <c r="T222" s="10">
        <f t="shared" ref="T222" si="545">N222-M222</f>
        <v>-3.3016995161290308E-2</v>
      </c>
      <c r="U222" s="10">
        <f t="shared" ref="U222" si="546">P222-O222</f>
        <v>1.000000000000012E-2</v>
      </c>
      <c r="V222" s="23">
        <f t="shared" si="434"/>
        <v>-9.8666666666666659E-3</v>
      </c>
      <c r="X222" s="5">
        <f t="shared" si="478"/>
        <v>45504</v>
      </c>
      <c r="Y222" s="2">
        <f t="shared" si="483"/>
        <v>4092.9960703909642</v>
      </c>
      <c r="Z222" s="2">
        <f t="shared" si="483"/>
        <v>3590.6190000000001</v>
      </c>
      <c r="AA222" s="2">
        <f t="shared" si="466"/>
        <v>155.5</v>
      </c>
      <c r="AB222" s="2">
        <f t="shared" si="456"/>
        <v>142.85500000000002</v>
      </c>
      <c r="AC222" s="2">
        <f t="shared" si="467"/>
        <v>154.6</v>
      </c>
      <c r="AD222" s="2">
        <f t="shared" si="484"/>
        <v>142.21500000000003</v>
      </c>
      <c r="AE222" s="12">
        <f t="shared" si="484"/>
        <v>0.74666998405643659</v>
      </c>
      <c r="AF222" s="10">
        <f t="shared" si="484"/>
        <v>0.75287087118812346</v>
      </c>
      <c r="AG222" s="12">
        <f t="shared" si="487"/>
        <v>0.18339298684209387</v>
      </c>
      <c r="AH222" s="12">
        <f t="shared" si="487"/>
        <v>0.16134052419354838</v>
      </c>
      <c r="AI222" s="12">
        <f t="shared" si="485"/>
        <v>0.98499999999999999</v>
      </c>
      <c r="AJ222" s="10">
        <f t="shared" si="485"/>
        <v>0.93444503423655645</v>
      </c>
      <c r="AK222" s="10">
        <f t="shared" si="485"/>
        <v>0.99</v>
      </c>
      <c r="AL222" s="23">
        <f t="shared" si="485"/>
        <v>1</v>
      </c>
      <c r="AM222" s="83">
        <f t="shared" ref="AM222" si="547">AN222-AO222</f>
        <v>-4.2630706465292878E-2</v>
      </c>
      <c r="AN222" s="81">
        <f t="shared" si="503"/>
        <v>-0.12274066765546077</v>
      </c>
      <c r="AO222" s="10">
        <f t="shared" ref="AO222" si="548">AD222/AC222-1</f>
        <v>-8.0109961190167889E-2</v>
      </c>
      <c r="AP222" s="10">
        <f t="shared" ref="AP222" si="549">AJ222-AI222</f>
        <v>-5.0554965763443538E-2</v>
      </c>
      <c r="AQ222" s="10">
        <f t="shared" ref="AQ222" si="550">AL222-AK222</f>
        <v>1.0000000000000009E-2</v>
      </c>
      <c r="AR222" s="23">
        <f t="shared" si="435"/>
        <v>-6.9500000000000004E-3</v>
      </c>
    </row>
    <row r="223" spans="2:44">
      <c r="B223" s="5">
        <f t="shared" si="477"/>
        <v>45535</v>
      </c>
      <c r="C223" s="2">
        <f t="shared" si="480"/>
        <v>3902.7081933535583</v>
      </c>
      <c r="D223" s="2">
        <f t="shared" si="480"/>
        <v>3896.4480000000003</v>
      </c>
      <c r="E223" s="2">
        <f t="shared" si="464"/>
        <v>145.4</v>
      </c>
      <c r="F223" s="2">
        <f t="shared" si="454"/>
        <v>161.1333333333333</v>
      </c>
      <c r="G223" s="2">
        <f t="shared" si="465"/>
        <v>146.30000000000001</v>
      </c>
      <c r="H223" s="2">
        <f t="shared" si="481"/>
        <v>164.13333333333335</v>
      </c>
      <c r="I223" s="12">
        <f t="shared" si="481"/>
        <v>0.75228607462232688</v>
      </c>
      <c r="J223" s="10">
        <f t="shared" si="460"/>
        <v>0.69548730127143854</v>
      </c>
      <c r="K223" s="12">
        <f t="shared" si="486"/>
        <v>0.17485251762336732</v>
      </c>
      <c r="L223" s="12">
        <f t="shared" si="486"/>
        <v>0.17457204301075269</v>
      </c>
      <c r="M223" s="12">
        <f t="shared" si="482"/>
        <v>0.98499999999999999</v>
      </c>
      <c r="N223" s="10">
        <f t="shared" si="482"/>
        <v>0.94806552174875269</v>
      </c>
      <c r="O223" s="10">
        <f t="shared" si="482"/>
        <v>0.98999999999999988</v>
      </c>
      <c r="P223" s="23">
        <f t="shared" si="482"/>
        <v>1</v>
      </c>
      <c r="Q223" s="83">
        <f t="shared" ref="Q223" si="551">R223-S223</f>
        <v>-0.12349971211870581</v>
      </c>
      <c r="R223" s="81">
        <f t="shared" ref="R223" si="552">D223/C223-1</f>
        <v>-1.6040639072680829E-3</v>
      </c>
      <c r="S223" s="10">
        <f t="shared" ref="S223" si="553">H223/G223-1</f>
        <v>0.12189564821143772</v>
      </c>
      <c r="T223" s="10">
        <f t="shared" ref="T223" si="554">N223-M223</f>
        <v>-3.6934478251247294E-2</v>
      </c>
      <c r="U223" s="10">
        <f t="shared" ref="U223" si="555">P223-O223</f>
        <v>1.000000000000012E-2</v>
      </c>
      <c r="V223" s="23">
        <f t="shared" si="434"/>
        <v>-6.0333333333333324E-3</v>
      </c>
      <c r="X223" s="5">
        <f t="shared" si="478"/>
        <v>45535</v>
      </c>
      <c r="Y223" s="2">
        <f t="shared" si="483"/>
        <v>3885.8289367360385</v>
      </c>
      <c r="Z223" s="2">
        <f t="shared" si="483"/>
        <v>4048.5059999999999</v>
      </c>
      <c r="AA223" s="2">
        <f t="shared" si="466"/>
        <v>145.4</v>
      </c>
      <c r="AB223" s="2">
        <f t="shared" si="456"/>
        <v>161.40499999999997</v>
      </c>
      <c r="AC223" s="2">
        <f t="shared" si="467"/>
        <v>146.30000000000001</v>
      </c>
      <c r="AD223" s="2">
        <f t="shared" si="484"/>
        <v>164.35999999999999</v>
      </c>
      <c r="AE223" s="12">
        <f t="shared" si="484"/>
        <v>0.74907838275660699</v>
      </c>
      <c r="AF223" s="10">
        <f t="shared" si="484"/>
        <v>0.72607577236033971</v>
      </c>
      <c r="AG223" s="12">
        <f t="shared" si="487"/>
        <v>0.17410695949408422</v>
      </c>
      <c r="AH223" s="12">
        <f t="shared" si="487"/>
        <v>0.18189435483870969</v>
      </c>
      <c r="AI223" s="12">
        <f t="shared" si="485"/>
        <v>0.98499999999999999</v>
      </c>
      <c r="AJ223" s="10">
        <f t="shared" si="485"/>
        <v>0.94504860548387093</v>
      </c>
      <c r="AK223" s="10">
        <f t="shared" si="485"/>
        <v>0.99</v>
      </c>
      <c r="AL223" s="23">
        <f t="shared" si="485"/>
        <v>1</v>
      </c>
      <c r="AM223" s="83">
        <f t="shared" ref="AM223" si="556">AN223-AO223</f>
        <v>-8.1580790618971388E-2</v>
      </c>
      <c r="AN223" s="81">
        <f t="shared" ref="AN223" si="557">Z223/Y223-1</f>
        <v>4.1864185457583414E-2</v>
      </c>
      <c r="AO223" s="10">
        <f t="shared" ref="AO223" si="558">AD223/AC223-1</f>
        <v>0.1234449760765548</v>
      </c>
      <c r="AP223" s="10">
        <f t="shared" ref="AP223" si="559">AJ223-AI223</f>
        <v>-3.9951394516129057E-2</v>
      </c>
      <c r="AQ223" s="10">
        <f t="shared" ref="AQ223" si="560">AL223-AK223</f>
        <v>1.0000000000000009E-2</v>
      </c>
      <c r="AR223" s="23">
        <f t="shared" si="435"/>
        <v>-8.175E-3</v>
      </c>
    </row>
    <row r="224" spans="2:44">
      <c r="B224" s="5">
        <f t="shared" si="477"/>
        <v>45565</v>
      </c>
      <c r="C224" s="2">
        <f t="shared" si="480"/>
        <v>3884.9007673482051</v>
      </c>
      <c r="D224" s="2">
        <f t="shared" si="480"/>
        <v>3199.2299999999996</v>
      </c>
      <c r="E224" s="2">
        <f t="shared" si="464"/>
        <v>141.6</v>
      </c>
      <c r="F224" s="2">
        <f t="shared" si="454"/>
        <v>119.98666666666668</v>
      </c>
      <c r="G224" s="2">
        <f t="shared" si="465"/>
        <v>145.5</v>
      </c>
      <c r="H224" s="2">
        <f t="shared" si="481"/>
        <v>127.04</v>
      </c>
      <c r="I224" s="12">
        <f t="shared" si="481"/>
        <v>0.75297092263064036</v>
      </c>
      <c r="J224" s="10">
        <f t="shared" si="460"/>
        <v>0.72081331007005056</v>
      </c>
      <c r="K224" s="12">
        <f t="shared" si="486"/>
        <v>0.17985651700686134</v>
      </c>
      <c r="L224" s="12">
        <f t="shared" si="486"/>
        <v>0.14811250000000001</v>
      </c>
      <c r="M224" s="12">
        <f t="shared" si="482"/>
        <v>0.98499999999999999</v>
      </c>
      <c r="N224" s="10">
        <f t="shared" si="482"/>
        <v>0.9704535447777779</v>
      </c>
      <c r="O224" s="10">
        <f t="shared" si="482"/>
        <v>0.98999999999999988</v>
      </c>
      <c r="P224" s="23">
        <f t="shared" si="482"/>
        <v>1</v>
      </c>
      <c r="Q224" s="83">
        <f t="shared" ref="Q224" si="561">R224-S224</f>
        <v>-4.9623487933137089E-2</v>
      </c>
      <c r="R224" s="81">
        <f t="shared" ref="R224" si="562">D224/C224-1</f>
        <v>-0.17649634016681404</v>
      </c>
      <c r="S224" s="10">
        <f t="shared" ref="S224" si="563">H224/G224-1</f>
        <v>-0.12687285223367695</v>
      </c>
      <c r="T224" s="10">
        <f t="shared" ref="T224" si="564">N224-M224</f>
        <v>-1.4546455222222088E-2</v>
      </c>
      <c r="U224" s="10">
        <f t="shared" ref="U224" si="565">P224-O224</f>
        <v>1.000000000000012E-2</v>
      </c>
      <c r="V224" s="23">
        <f t="shared" si="434"/>
        <v>-1.0833333333333334E-2</v>
      </c>
      <c r="X224" s="5">
        <f t="shared" si="478"/>
        <v>45565</v>
      </c>
      <c r="Y224" s="2">
        <f t="shared" si="483"/>
        <v>3872.8309310862483</v>
      </c>
      <c r="Z224" s="2">
        <f t="shared" si="483"/>
        <v>3265.1309999999999</v>
      </c>
      <c r="AA224" s="2">
        <f t="shared" si="466"/>
        <v>141.6</v>
      </c>
      <c r="AB224" s="2">
        <f t="shared" si="456"/>
        <v>120.465</v>
      </c>
      <c r="AC224" s="2">
        <f t="shared" si="467"/>
        <v>145.5</v>
      </c>
      <c r="AD224" s="2">
        <f t="shared" si="484"/>
        <v>128.54499999999999</v>
      </c>
      <c r="AE224" s="12">
        <f t="shared" si="484"/>
        <v>0.75066903079837966</v>
      </c>
      <c r="AF224" s="10">
        <f t="shared" si="484"/>
        <v>0.75254550642463702</v>
      </c>
      <c r="AG224" s="12">
        <f t="shared" si="487"/>
        <v>0.17930668136907796</v>
      </c>
      <c r="AH224" s="12">
        <f t="shared" si="487"/>
        <v>0.15144187499999998</v>
      </c>
      <c r="AI224" s="12">
        <f t="shared" si="485"/>
        <v>0.98499999999999999</v>
      </c>
      <c r="AJ224" s="10">
        <f t="shared" si="485"/>
        <v>0.93936279484972585</v>
      </c>
      <c r="AK224" s="10">
        <f t="shared" si="485"/>
        <v>0.99</v>
      </c>
      <c r="AL224" s="23">
        <f t="shared" si="485"/>
        <v>1</v>
      </c>
      <c r="AM224" s="83">
        <f t="shared" ref="AM224" si="566">AN224-AO224</f>
        <v>-4.0384412970821959E-2</v>
      </c>
      <c r="AN224" s="81">
        <f t="shared" ref="AN224" si="567">Z224/Y224-1</f>
        <v>-0.15691362259281516</v>
      </c>
      <c r="AO224" s="10">
        <f t="shared" ref="AO224" si="568">AD224/AC224-1</f>
        <v>-0.1165292096219932</v>
      </c>
      <c r="AP224" s="10">
        <f t="shared" ref="AP224" si="569">AJ224-AI224</f>
        <v>-4.563720515027414E-2</v>
      </c>
      <c r="AQ224" s="10">
        <f t="shared" ref="AQ224" si="570">AL224-AK224</f>
        <v>1.0000000000000009E-2</v>
      </c>
      <c r="AR224" s="23">
        <f t="shared" si="435"/>
        <v>-8.9499999999999996E-3</v>
      </c>
    </row>
    <row r="225" spans="2:44">
      <c r="B225" s="5">
        <f t="shared" si="477"/>
        <v>45596</v>
      </c>
      <c r="C225" s="2">
        <f t="shared" si="480"/>
        <v>4442.2777241606582</v>
      </c>
      <c r="D225" s="2">
        <f t="shared" si="480"/>
        <v>3835.4939999999997</v>
      </c>
      <c r="E225" s="2">
        <f t="shared" si="464"/>
        <v>139.1</v>
      </c>
      <c r="F225" s="2">
        <f t="shared" si="454"/>
        <v>126.89999999999999</v>
      </c>
      <c r="G225" s="2">
        <f t="shared" si="465"/>
        <v>172.20000000000002</v>
      </c>
      <c r="H225" s="2">
        <f t="shared" si="481"/>
        <v>152.68333333333331</v>
      </c>
      <c r="I225" s="12">
        <f t="shared" si="481"/>
        <v>0.72750139106874412</v>
      </c>
      <c r="J225" s="10">
        <f t="shared" si="460"/>
        <v>0.70957933974109821</v>
      </c>
      <c r="K225" s="12">
        <f t="shared" si="486"/>
        <v>0.1990267797563019</v>
      </c>
      <c r="L225" s="12">
        <f t="shared" si="486"/>
        <v>0.17184112903225804</v>
      </c>
      <c r="M225" s="12">
        <f t="shared" si="482"/>
        <v>0.98499999999999999</v>
      </c>
      <c r="N225" s="10">
        <f t="shared" si="482"/>
        <v>0.98342943243613368</v>
      </c>
      <c r="O225" s="10">
        <f t="shared" si="482"/>
        <v>0.98999999999999988</v>
      </c>
      <c r="P225" s="23">
        <f t="shared" si="482"/>
        <v>0.99374838709677416</v>
      </c>
      <c r="Q225" s="83">
        <f t="shared" ref="Q225" si="571">R225-S225</f>
        <v>-2.3255723836075659E-2</v>
      </c>
      <c r="R225" s="81">
        <f t="shared" ref="R225" si="572">D225/C225-1</f>
        <v>-0.13659292863669537</v>
      </c>
      <c r="S225" s="10">
        <f t="shared" ref="S225" si="573">H225/G225-1</f>
        <v>-0.11333720480061971</v>
      </c>
      <c r="T225" s="10">
        <f t="shared" ref="T225" si="574">N225-M225</f>
        <v>-1.5705675638663097E-3</v>
      </c>
      <c r="U225" s="10">
        <f t="shared" ref="U225" si="575">P225-O225</f>
        <v>3.748387096774275E-3</v>
      </c>
      <c r="V225" s="23">
        <f t="shared" si="434"/>
        <v>-2.2104301075268798E-2</v>
      </c>
      <c r="X225" s="5">
        <f t="shared" si="478"/>
        <v>45596</v>
      </c>
      <c r="Y225" s="2">
        <f t="shared" si="483"/>
        <v>4438.4227855112867</v>
      </c>
      <c r="Z225" s="2">
        <f t="shared" si="483"/>
        <v>3834.6900000000005</v>
      </c>
      <c r="AA225" s="2">
        <f t="shared" si="466"/>
        <v>139.1</v>
      </c>
      <c r="AB225" s="2">
        <f t="shared" si="456"/>
        <v>124.72499999999997</v>
      </c>
      <c r="AC225" s="2">
        <f t="shared" si="467"/>
        <v>172.2</v>
      </c>
      <c r="AD225" s="2">
        <f t="shared" si="484"/>
        <v>152.71500000000003</v>
      </c>
      <c r="AE225" s="12">
        <f t="shared" si="484"/>
        <v>0.72692717742855661</v>
      </c>
      <c r="AF225" s="10">
        <f t="shared" si="484"/>
        <v>0.72359021056169937</v>
      </c>
      <c r="AG225" s="12">
        <f t="shared" si="487"/>
        <v>0.19886968879661207</v>
      </c>
      <c r="AH225" s="12">
        <f t="shared" si="487"/>
        <v>0.17247116935483872</v>
      </c>
      <c r="AI225" s="12">
        <f t="shared" si="485"/>
        <v>0.98499999999999999</v>
      </c>
      <c r="AJ225" s="10">
        <f t="shared" si="485"/>
        <v>0.96770797642417483</v>
      </c>
      <c r="AK225" s="10">
        <f t="shared" si="485"/>
        <v>0.99</v>
      </c>
      <c r="AL225" s="23">
        <f t="shared" si="485"/>
        <v>0.99528709677419358</v>
      </c>
      <c r="AM225" s="83">
        <f t="shared" ref="AM225" si="576">AN225-AO225</f>
        <v>-2.2870862149204862E-2</v>
      </c>
      <c r="AN225" s="81">
        <f t="shared" ref="AN225" si="577">Z225/Y225-1</f>
        <v>-0.1360241722537342</v>
      </c>
      <c r="AO225" s="10">
        <f t="shared" ref="AO225" si="578">AD225/AC225-1</f>
        <v>-0.11315331010452934</v>
      </c>
      <c r="AP225" s="10">
        <f t="shared" ref="AP225" si="579">AJ225-AI225</f>
        <v>-1.7292023575825155E-2</v>
      </c>
      <c r="AQ225" s="10">
        <f t="shared" ref="AQ225" si="580">AL225-AK225</f>
        <v>5.2870967741935893E-3</v>
      </c>
      <c r="AR225" s="23">
        <f t="shared" si="435"/>
        <v>-2.2374999999999999E-2</v>
      </c>
    </row>
    <row r="226" spans="2:44">
      <c r="B226" s="5">
        <f t="shared" si="477"/>
        <v>45626</v>
      </c>
      <c r="C226" s="2">
        <f t="shared" si="480"/>
        <v>3936.5428849120813</v>
      </c>
      <c r="D226" s="2">
        <f t="shared" si="480"/>
        <v>2811.252</v>
      </c>
      <c r="E226" s="2">
        <f t="shared" si="464"/>
        <v>108.10000000000001</v>
      </c>
      <c r="F226" s="2">
        <f t="shared" si="454"/>
        <v>83.596666666666678</v>
      </c>
      <c r="G226" s="2">
        <f t="shared" si="465"/>
        <v>152.1</v>
      </c>
      <c r="H226" s="2">
        <f t="shared" si="481"/>
        <v>110.34666666666668</v>
      </c>
      <c r="I226" s="12">
        <f t="shared" si="481"/>
        <v>0.72987256894028463</v>
      </c>
      <c r="J226" s="10">
        <f t="shared" si="460"/>
        <v>0.72021928090905918</v>
      </c>
      <c r="K226" s="12">
        <f t="shared" si="486"/>
        <v>0.18224735578296672</v>
      </c>
      <c r="L226" s="12">
        <f t="shared" si="486"/>
        <v>0.13015055555555555</v>
      </c>
      <c r="M226" s="12">
        <f t="shared" si="482"/>
        <v>0.98499999999999999</v>
      </c>
      <c r="N226" s="10">
        <f t="shared" si="482"/>
        <v>0.98265929391150786</v>
      </c>
      <c r="O226" s="10">
        <f t="shared" si="482"/>
        <v>0.98999999999999988</v>
      </c>
      <c r="P226" s="23">
        <f t="shared" si="482"/>
        <v>1</v>
      </c>
      <c r="Q226" s="83">
        <f t="shared" ref="Q226" si="581">R226-S226</f>
        <v>-1.1345264418462286E-2</v>
      </c>
      <c r="R226" s="81">
        <f t="shared" ref="R226" si="582">D226/C226-1</f>
        <v>-0.28585764662315205</v>
      </c>
      <c r="S226" s="10">
        <f t="shared" ref="S226" si="583">H226/G226-1</f>
        <v>-0.27451238220468976</v>
      </c>
      <c r="T226" s="10">
        <f t="shared" ref="T226" si="584">N226-M226</f>
        <v>-2.3407060884921282E-3</v>
      </c>
      <c r="U226" s="10">
        <f t="shared" ref="U226" si="585">P226-O226</f>
        <v>1.000000000000012E-2</v>
      </c>
      <c r="V226" s="23">
        <f t="shared" si="434"/>
        <v>-2.4233333333333332E-2</v>
      </c>
      <c r="X226" s="5">
        <f t="shared" si="478"/>
        <v>45626</v>
      </c>
      <c r="Y226" s="2">
        <f t="shared" si="483"/>
        <v>3928.5621491983134</v>
      </c>
      <c r="Z226" s="2">
        <f t="shared" si="483"/>
        <v>2878.203</v>
      </c>
      <c r="AA226" s="2">
        <f t="shared" si="466"/>
        <v>108.1</v>
      </c>
      <c r="AB226" s="2">
        <f t="shared" si="456"/>
        <v>81.290000000000006</v>
      </c>
      <c r="AC226" s="2">
        <f t="shared" si="467"/>
        <v>152.1</v>
      </c>
      <c r="AD226" s="2">
        <f t="shared" si="484"/>
        <v>109.70500000000001</v>
      </c>
      <c r="AE226" s="12">
        <f t="shared" si="484"/>
        <v>0.72843737052160473</v>
      </c>
      <c r="AF226" s="10">
        <f t="shared" si="484"/>
        <v>0.74466403678207005</v>
      </c>
      <c r="AG226" s="12">
        <f t="shared" si="487"/>
        <v>0.1818889903258184</v>
      </c>
      <c r="AH226" s="12">
        <f t="shared" si="487"/>
        <v>0.13371187500000001</v>
      </c>
      <c r="AI226" s="12">
        <f t="shared" si="485"/>
        <v>0.98499999999999999</v>
      </c>
      <c r="AJ226" s="10">
        <f t="shared" si="485"/>
        <v>0.98202080544853354</v>
      </c>
      <c r="AK226" s="10">
        <f t="shared" si="485"/>
        <v>0.99</v>
      </c>
      <c r="AL226" s="23">
        <f t="shared" si="485"/>
        <v>1</v>
      </c>
      <c r="AM226" s="83">
        <f t="shared" ref="AM226" si="586">AN226-AO226</f>
        <v>1.1366319371650335E-2</v>
      </c>
      <c r="AN226" s="81">
        <f t="shared" ref="AN226" si="587">Z226/Y226-1</f>
        <v>-0.26736477859021679</v>
      </c>
      <c r="AO226" s="10">
        <f t="shared" ref="AO226" si="588">AD226/AC226-1</f>
        <v>-0.27873109796186712</v>
      </c>
      <c r="AP226" s="10">
        <f t="shared" ref="AP226" si="589">AJ226-AI226</f>
        <v>-2.9791945514664464E-3</v>
      </c>
      <c r="AQ226" s="10">
        <f t="shared" ref="AQ226" si="590">AL226-AK226</f>
        <v>1.0000000000000009E-2</v>
      </c>
      <c r="AR226" s="23">
        <f t="shared" si="435"/>
        <v>-2.1725000000000001E-2</v>
      </c>
    </row>
    <row r="227" spans="2:44">
      <c r="B227" s="5">
        <f t="shared" si="477"/>
        <v>45657</v>
      </c>
      <c r="C227" s="2">
        <f t="shared" si="480"/>
        <v>3307.9357762717896</v>
      </c>
      <c r="D227" s="2">
        <f t="shared" si="480"/>
        <v>2994.6660000000002</v>
      </c>
      <c r="E227" s="2">
        <f t="shared" si="464"/>
        <v>89.90000000000002</v>
      </c>
      <c r="F227" s="2">
        <f t="shared" si="454"/>
        <v>78.19</v>
      </c>
      <c r="G227" s="2">
        <f t="shared" si="465"/>
        <v>129.6</v>
      </c>
      <c r="H227" s="2">
        <f t="shared" si="481"/>
        <v>113.60333333333331</v>
      </c>
      <c r="I227" s="12">
        <f t="shared" si="481"/>
        <v>0.71980247615810145</v>
      </c>
      <c r="J227" s="10">
        <f t="shared" si="460"/>
        <v>0.7354135396894389</v>
      </c>
      <c r="K227" s="12">
        <f t="shared" si="486"/>
        <v>0.14820500789748159</v>
      </c>
      <c r="L227" s="12">
        <f t="shared" si="486"/>
        <v>0.13416962365591398</v>
      </c>
      <c r="M227" s="12">
        <f t="shared" si="482"/>
        <v>0.98499999999999999</v>
      </c>
      <c r="N227" s="10">
        <f t="shared" si="482"/>
        <v>0.99582966967741937</v>
      </c>
      <c r="O227" s="10">
        <f t="shared" si="482"/>
        <v>0.98999999999999988</v>
      </c>
      <c r="P227" s="23">
        <f t="shared" si="482"/>
        <v>1</v>
      </c>
      <c r="Q227" s="83">
        <f t="shared" ref="Q227" si="591">R227-S227</f>
        <v>2.8728573459698703E-2</v>
      </c>
      <c r="R227" s="81">
        <f t="shared" ref="R227" si="592">D227/C227-1</f>
        <v>-9.4702496499149191E-2</v>
      </c>
      <c r="S227" s="10">
        <f t="shared" ref="S227" si="593">H227/G227-1</f>
        <v>-0.12343106995884789</v>
      </c>
      <c r="T227" s="10">
        <f t="shared" ref="T227" si="594">N227-M227</f>
        <v>1.0829669677419385E-2</v>
      </c>
      <c r="U227" s="10">
        <f t="shared" ref="U227" si="595">P227-O227</f>
        <v>1.000000000000012E-2</v>
      </c>
      <c r="V227" s="23">
        <f t="shared" si="434"/>
        <v>-1.7494623655913966E-2</v>
      </c>
      <c r="X227" s="5">
        <f t="shared" si="478"/>
        <v>45657</v>
      </c>
      <c r="Y227" s="2">
        <f t="shared" si="483"/>
        <v>3299.627131951539</v>
      </c>
      <c r="Z227" s="2">
        <f t="shared" si="483"/>
        <v>3085.4700000000003</v>
      </c>
      <c r="AA227" s="2">
        <f t="shared" si="466"/>
        <v>89.9</v>
      </c>
      <c r="AB227" s="2">
        <f t="shared" si="456"/>
        <v>77.254999999999995</v>
      </c>
      <c r="AC227" s="2">
        <f t="shared" si="467"/>
        <v>129.6</v>
      </c>
      <c r="AD227" s="2">
        <f t="shared" si="484"/>
        <v>116.55</v>
      </c>
      <c r="AE227" s="12">
        <f t="shared" si="484"/>
        <v>0.71804634034562742</v>
      </c>
      <c r="AF227" s="10">
        <f t="shared" si="484"/>
        <v>0.7450711283342778</v>
      </c>
      <c r="AG227" s="12">
        <f t="shared" si="487"/>
        <v>0.14784342519864743</v>
      </c>
      <c r="AH227" s="12">
        <f t="shared" si="487"/>
        <v>0.1386719758064516</v>
      </c>
      <c r="AI227" s="12">
        <f t="shared" si="485"/>
        <v>0.98499999999999999</v>
      </c>
      <c r="AJ227" s="10">
        <f t="shared" si="485"/>
        <v>0.99011204969853339</v>
      </c>
      <c r="AK227" s="10">
        <f t="shared" si="485"/>
        <v>0.99</v>
      </c>
      <c r="AL227" s="23">
        <f t="shared" si="485"/>
        <v>1</v>
      </c>
      <c r="AM227" s="83">
        <f t="shared" ref="AM227" si="596">AN227-AO227</f>
        <v>3.5791010393434797E-2</v>
      </c>
      <c r="AN227" s="81">
        <f t="shared" ref="AN227" si="597">Z227/Y227-1</f>
        <v>-6.4903434051009623E-2</v>
      </c>
      <c r="AO227" s="10">
        <f t="shared" ref="AO227" si="598">AD227/AC227-1</f>
        <v>-0.10069444444444442</v>
      </c>
      <c r="AP227" s="10">
        <f t="shared" ref="AP227" si="599">AJ227-AI227</f>
        <v>5.1120496985334052E-3</v>
      </c>
      <c r="AQ227" s="10">
        <f t="shared" ref="AQ227" si="600">AL227-AK227</f>
        <v>1.0000000000000009E-2</v>
      </c>
      <c r="AR227" s="23">
        <f t="shared" si="435"/>
        <v>-1.3390322580645176E-2</v>
      </c>
    </row>
    <row r="228" spans="2:44">
      <c r="B228" s="5">
        <f t="shared" si="477"/>
        <v>45688</v>
      </c>
      <c r="C228" s="2">
        <f t="shared" si="480"/>
        <v>2793.504825206347</v>
      </c>
      <c r="D228" s="2">
        <f t="shared" si="480"/>
        <v>2778.0839999999998</v>
      </c>
      <c r="E228" s="2">
        <f t="shared" si="464"/>
        <v>79.600000000000009</v>
      </c>
      <c r="F228" s="2">
        <f t="shared" ref="F228" si="601">AVERAGE(F614,F485,F356)</f>
        <v>79.763333333333335</v>
      </c>
      <c r="G228" s="2">
        <f t="shared" si="465"/>
        <v>103.2</v>
      </c>
      <c r="H228" s="2">
        <f t="shared" si="481"/>
        <v>104.97333333333334</v>
      </c>
      <c r="I228" s="12">
        <f t="shared" si="481"/>
        <v>0.76336280895340847</v>
      </c>
      <c r="J228" s="10">
        <f t="shared" si="460"/>
        <v>0.74316599266742223</v>
      </c>
      <c r="K228" s="12">
        <f t="shared" si="486"/>
        <v>0.12515702621892236</v>
      </c>
      <c r="L228" s="12">
        <f t="shared" si="486"/>
        <v>0.12446612903225807</v>
      </c>
      <c r="M228" s="12">
        <f t="shared" si="482"/>
        <v>0.98499999999999999</v>
      </c>
      <c r="N228" s="10">
        <f t="shared" si="482"/>
        <v>0.98920796762494634</v>
      </c>
      <c r="O228" s="10">
        <f t="shared" si="482"/>
        <v>0.98999999999999988</v>
      </c>
      <c r="P228" s="23">
        <f t="shared" si="482"/>
        <v>1</v>
      </c>
      <c r="Q228" s="83">
        <f t="shared" ref="Q228" si="602">R228-S228</f>
        <v>-2.2703705442640221E-2</v>
      </c>
      <c r="R228" s="81">
        <f t="shared" ref="R228" si="603">D228/C228-1</f>
        <v>-5.5202429103404782E-3</v>
      </c>
      <c r="S228" s="10">
        <f t="shared" ref="S228" si="604">H228/G228-1</f>
        <v>1.7183462532299743E-2</v>
      </c>
      <c r="T228" s="10">
        <f t="shared" ref="T228" si="605">N228-M228</f>
        <v>4.2079676249463516E-3</v>
      </c>
      <c r="U228" s="10">
        <f t="shared" ref="U228" si="606">P228-O228</f>
        <v>1.000000000000012E-2</v>
      </c>
      <c r="V228" s="23">
        <f t="shared" si="434"/>
        <v>-1.7521505376344101E-2</v>
      </c>
      <c r="X228" s="5">
        <f t="shared" si="478"/>
        <v>45688</v>
      </c>
      <c r="Y228" s="2">
        <f t="shared" si="483"/>
        <v>2776.8364155533077</v>
      </c>
      <c r="Z228" s="2">
        <f t="shared" si="483"/>
        <v>2826.63</v>
      </c>
      <c r="AA228" s="2">
        <f t="shared" si="466"/>
        <v>79.599999999999994</v>
      </c>
      <c r="AB228" s="2">
        <f t="shared" ref="AB228" si="607">AVERAGE(AB743,AB356,AB485,AB614)</f>
        <v>78.739999999999981</v>
      </c>
      <c r="AC228" s="2">
        <f t="shared" si="467"/>
        <v>103.2</v>
      </c>
      <c r="AD228" s="2">
        <f t="shared" si="484"/>
        <v>105.605</v>
      </c>
      <c r="AE228" s="12">
        <f t="shared" si="484"/>
        <v>0.75886131656231115</v>
      </c>
      <c r="AF228" s="10">
        <f t="shared" si="484"/>
        <v>0.74951952911809316</v>
      </c>
      <c r="AG228" s="12">
        <f t="shared" si="487"/>
        <v>0.12441898475998719</v>
      </c>
      <c r="AH228" s="12">
        <f t="shared" si="487"/>
        <v>0.12702399193548386</v>
      </c>
      <c r="AI228" s="12">
        <f t="shared" si="485"/>
        <v>0.98499999999999999</v>
      </c>
      <c r="AJ228" s="10">
        <f t="shared" si="485"/>
        <v>0.99506503548387104</v>
      </c>
      <c r="AK228" s="10">
        <f t="shared" si="485"/>
        <v>0.99</v>
      </c>
      <c r="AL228" s="23">
        <f t="shared" si="485"/>
        <v>1</v>
      </c>
      <c r="AM228" s="83">
        <f t="shared" ref="AM228" si="608">AN228-AO228</f>
        <v>-5.3724962612731186E-3</v>
      </c>
      <c r="AN228" s="81">
        <f t="shared" ref="AN228" si="609">Z228/Y228-1</f>
        <v>1.7931767304618429E-2</v>
      </c>
      <c r="AO228" s="10">
        <f t="shared" ref="AO228" si="610">AD228/AC228-1</f>
        <v>2.3304263565891548E-2</v>
      </c>
      <c r="AP228" s="10">
        <f t="shared" ref="AP228" si="611">AJ228-AI228</f>
        <v>1.0065035483871054E-2</v>
      </c>
      <c r="AQ228" s="10">
        <f t="shared" ref="AQ228" si="612">AL228-AK228</f>
        <v>1.0000000000000009E-2</v>
      </c>
      <c r="AR228" s="23">
        <f t="shared" si="435"/>
        <v>-1.3386290322580634E-2</v>
      </c>
    </row>
    <row r="229" spans="2:44">
      <c r="B229" s="5">
        <f t="shared" si="477"/>
        <v>45716</v>
      </c>
      <c r="C229" s="2"/>
      <c r="D229" s="2"/>
      <c r="E229" s="2"/>
      <c r="F229" s="2"/>
      <c r="G229" s="2"/>
      <c r="H229" s="2"/>
      <c r="I229" s="12"/>
      <c r="J229" s="10"/>
      <c r="K229" s="12"/>
      <c r="L229" s="12"/>
      <c r="M229" s="12"/>
      <c r="N229" s="10"/>
      <c r="O229" s="10"/>
      <c r="P229" s="23"/>
      <c r="Q229" s="83"/>
      <c r="R229" s="81"/>
      <c r="S229" s="10"/>
      <c r="T229" s="10"/>
      <c r="U229" s="10"/>
      <c r="V229" s="23"/>
      <c r="X229" s="5">
        <f t="shared" si="478"/>
        <v>45716</v>
      </c>
      <c r="Y229" s="2"/>
      <c r="Z229" s="2"/>
      <c r="AA229" s="2"/>
      <c r="AB229" s="2"/>
      <c r="AC229" s="2"/>
      <c r="AD229" s="2"/>
      <c r="AE229" s="12"/>
      <c r="AF229" s="10"/>
      <c r="AG229" s="12"/>
      <c r="AH229" s="12"/>
      <c r="AI229" s="12"/>
      <c r="AJ229" s="10"/>
      <c r="AK229" s="10"/>
      <c r="AL229" s="23"/>
      <c r="AM229" s="83"/>
      <c r="AN229" s="81"/>
      <c r="AO229" s="10"/>
      <c r="AP229" s="10"/>
      <c r="AQ229" s="10"/>
      <c r="AR229" s="23"/>
    </row>
    <row r="230" spans="2:44">
      <c r="B230" s="5">
        <f t="shared" si="477"/>
        <v>45747</v>
      </c>
      <c r="C230" s="2"/>
      <c r="D230" s="2"/>
      <c r="E230" s="2"/>
      <c r="F230" s="2"/>
      <c r="G230" s="2"/>
      <c r="H230" s="2"/>
      <c r="I230" s="12"/>
      <c r="J230" s="10"/>
      <c r="K230" s="12"/>
      <c r="L230" s="12"/>
      <c r="M230" s="12"/>
      <c r="N230" s="10"/>
      <c r="O230" s="10"/>
      <c r="P230" s="23"/>
      <c r="Q230" s="83"/>
      <c r="R230" s="81"/>
      <c r="S230" s="10"/>
      <c r="T230" s="10"/>
      <c r="U230" s="10"/>
      <c r="V230" s="23"/>
      <c r="X230" s="5">
        <f t="shared" si="478"/>
        <v>45747</v>
      </c>
      <c r="Y230" s="2"/>
      <c r="Z230" s="2"/>
      <c r="AA230" s="2"/>
      <c r="AB230" s="2"/>
      <c r="AC230" s="2"/>
      <c r="AD230" s="2"/>
      <c r="AE230" s="12"/>
      <c r="AF230" s="10"/>
      <c r="AG230" s="12"/>
      <c r="AH230" s="12"/>
      <c r="AI230" s="12"/>
      <c r="AJ230" s="10"/>
      <c r="AK230" s="10"/>
      <c r="AL230" s="23"/>
      <c r="AM230" s="83"/>
      <c r="AN230" s="81"/>
      <c r="AO230" s="10"/>
      <c r="AP230" s="10"/>
      <c r="AQ230" s="10"/>
      <c r="AR230" s="23"/>
    </row>
    <row r="231" spans="2:44">
      <c r="B231" s="5">
        <f t="shared" si="477"/>
        <v>45777</v>
      </c>
      <c r="C231" s="2"/>
      <c r="D231" s="2"/>
      <c r="E231" s="2"/>
      <c r="F231" s="2"/>
      <c r="G231" s="2"/>
      <c r="H231" s="2"/>
      <c r="I231" s="12"/>
      <c r="J231" s="10"/>
      <c r="K231" s="12"/>
      <c r="L231" s="12"/>
      <c r="M231" s="12"/>
      <c r="N231" s="10"/>
      <c r="O231" s="10"/>
      <c r="P231" s="23"/>
      <c r="Q231" s="83"/>
      <c r="R231" s="81"/>
      <c r="S231" s="10"/>
      <c r="T231" s="10"/>
      <c r="U231" s="10"/>
      <c r="V231" s="23"/>
      <c r="X231" s="5">
        <f t="shared" si="478"/>
        <v>45777</v>
      </c>
      <c r="Y231" s="2"/>
      <c r="Z231" s="2"/>
      <c r="AA231" s="2"/>
      <c r="AB231" s="2"/>
      <c r="AC231" s="2"/>
      <c r="AD231" s="2"/>
      <c r="AE231" s="12"/>
      <c r="AF231" s="10"/>
      <c r="AG231" s="12"/>
      <c r="AH231" s="12"/>
      <c r="AI231" s="12"/>
      <c r="AJ231" s="10"/>
      <c r="AK231" s="10"/>
      <c r="AL231" s="23"/>
      <c r="AM231" s="83"/>
      <c r="AN231" s="81"/>
      <c r="AO231" s="10"/>
      <c r="AP231" s="10"/>
      <c r="AQ231" s="10"/>
      <c r="AR231" s="23"/>
    </row>
    <row r="232" spans="2:44">
      <c r="B232" s="5">
        <f t="shared" si="477"/>
        <v>45808</v>
      </c>
      <c r="C232" s="2"/>
      <c r="D232" s="2"/>
      <c r="E232" s="2"/>
      <c r="F232" s="2"/>
      <c r="G232" s="2"/>
      <c r="H232" s="2"/>
      <c r="I232" s="12"/>
      <c r="J232" s="10"/>
      <c r="K232" s="12"/>
      <c r="L232" s="12"/>
      <c r="M232" s="12"/>
      <c r="N232" s="10"/>
      <c r="O232" s="10"/>
      <c r="P232" s="23"/>
      <c r="Q232" s="83"/>
      <c r="R232" s="81"/>
      <c r="S232" s="10"/>
      <c r="T232" s="10"/>
      <c r="U232" s="10"/>
      <c r="V232" s="23"/>
      <c r="X232" s="5">
        <f t="shared" si="478"/>
        <v>45808</v>
      </c>
      <c r="Y232" s="2"/>
      <c r="Z232" s="2"/>
      <c r="AA232" s="2"/>
      <c r="AB232" s="2"/>
      <c r="AC232" s="2"/>
      <c r="AD232" s="2"/>
      <c r="AE232" s="12"/>
      <c r="AF232" s="10"/>
      <c r="AG232" s="12"/>
      <c r="AH232" s="12"/>
      <c r="AI232" s="12"/>
      <c r="AJ232" s="10"/>
      <c r="AK232" s="10"/>
      <c r="AL232" s="23"/>
      <c r="AM232" s="83"/>
      <c r="AN232" s="81"/>
      <c r="AO232" s="10"/>
      <c r="AP232" s="10"/>
      <c r="AQ232" s="10"/>
      <c r="AR232" s="23"/>
    </row>
    <row r="233" spans="2:44">
      <c r="B233" s="5">
        <f t="shared" si="477"/>
        <v>45838</v>
      </c>
      <c r="C233" s="2"/>
      <c r="D233" s="2"/>
      <c r="E233" s="2"/>
      <c r="F233" s="2"/>
      <c r="G233" s="2"/>
      <c r="H233" s="2"/>
      <c r="I233" s="12"/>
      <c r="J233" s="10"/>
      <c r="K233" s="12"/>
      <c r="L233" s="12"/>
      <c r="M233" s="12"/>
      <c r="N233" s="10"/>
      <c r="O233" s="10"/>
      <c r="P233" s="23"/>
      <c r="Q233" s="83"/>
      <c r="R233" s="81"/>
      <c r="S233" s="10"/>
      <c r="T233" s="10"/>
      <c r="U233" s="10"/>
      <c r="V233" s="23"/>
      <c r="X233" s="5">
        <f t="shared" si="478"/>
        <v>45838</v>
      </c>
      <c r="Y233" s="2"/>
      <c r="Z233" s="2"/>
      <c r="AA233" s="2"/>
      <c r="AB233" s="2"/>
      <c r="AC233" s="2"/>
      <c r="AD233" s="2"/>
      <c r="AE233" s="12"/>
      <c r="AF233" s="10"/>
      <c r="AG233" s="12"/>
      <c r="AH233" s="12"/>
      <c r="AI233" s="12"/>
      <c r="AJ233" s="10"/>
      <c r="AK233" s="10"/>
      <c r="AL233" s="23"/>
      <c r="AM233" s="83"/>
      <c r="AN233" s="81"/>
      <c r="AO233" s="10"/>
      <c r="AP233" s="10"/>
      <c r="AQ233" s="10"/>
      <c r="AR233" s="23"/>
    </row>
    <row r="234" spans="2:44">
      <c r="B234" s="5">
        <f t="shared" si="477"/>
        <v>45869</v>
      </c>
      <c r="C234" s="2"/>
      <c r="D234" s="2"/>
      <c r="E234" s="2"/>
      <c r="F234" s="2"/>
      <c r="G234" s="2"/>
      <c r="H234" s="2"/>
      <c r="I234" s="12"/>
      <c r="J234" s="10"/>
      <c r="K234" s="12"/>
      <c r="L234" s="12"/>
      <c r="M234" s="12"/>
      <c r="N234" s="10"/>
      <c r="O234" s="10"/>
      <c r="P234" s="23"/>
      <c r="Q234" s="83"/>
      <c r="R234" s="81"/>
      <c r="S234" s="10"/>
      <c r="T234" s="10"/>
      <c r="U234" s="10"/>
      <c r="V234" s="23"/>
      <c r="X234" s="5">
        <f t="shared" si="478"/>
        <v>45869</v>
      </c>
      <c r="Y234" s="2"/>
      <c r="Z234" s="2"/>
      <c r="AA234" s="2"/>
      <c r="AB234" s="2"/>
      <c r="AC234" s="2"/>
      <c r="AD234" s="2"/>
      <c r="AE234" s="12"/>
      <c r="AF234" s="10"/>
      <c r="AG234" s="12"/>
      <c r="AH234" s="12"/>
      <c r="AI234" s="12"/>
      <c r="AJ234" s="10"/>
      <c r="AK234" s="10"/>
      <c r="AL234" s="23"/>
      <c r="AM234" s="83"/>
      <c r="AN234" s="81"/>
      <c r="AO234" s="10"/>
      <c r="AP234" s="10"/>
      <c r="AQ234" s="10"/>
      <c r="AR234" s="23"/>
    </row>
    <row r="235" spans="2:44">
      <c r="B235" s="5">
        <f t="shared" si="477"/>
        <v>45900</v>
      </c>
      <c r="C235" s="2"/>
      <c r="D235" s="2"/>
      <c r="E235" s="2"/>
      <c r="F235" s="2"/>
      <c r="G235" s="2"/>
      <c r="H235" s="2"/>
      <c r="I235" s="12"/>
      <c r="J235" s="10"/>
      <c r="K235" s="12"/>
      <c r="L235" s="12"/>
      <c r="M235" s="12"/>
      <c r="N235" s="10"/>
      <c r="O235" s="10"/>
      <c r="P235" s="23"/>
      <c r="Q235" s="83"/>
      <c r="R235" s="81"/>
      <c r="S235" s="10"/>
      <c r="T235" s="10"/>
      <c r="U235" s="10"/>
      <c r="V235" s="23"/>
      <c r="X235" s="5">
        <f t="shared" si="478"/>
        <v>45900</v>
      </c>
      <c r="Y235" s="2"/>
      <c r="Z235" s="2"/>
      <c r="AA235" s="2"/>
      <c r="AB235" s="2"/>
      <c r="AC235" s="2"/>
      <c r="AD235" s="2"/>
      <c r="AE235" s="12"/>
      <c r="AF235" s="10"/>
      <c r="AG235" s="12"/>
      <c r="AH235" s="12"/>
      <c r="AI235" s="12"/>
      <c r="AJ235" s="10"/>
      <c r="AK235" s="10"/>
      <c r="AL235" s="23"/>
      <c r="AM235" s="83"/>
      <c r="AN235" s="81"/>
      <c r="AO235" s="10"/>
      <c r="AP235" s="10"/>
      <c r="AQ235" s="10"/>
      <c r="AR235" s="23"/>
    </row>
    <row r="236" spans="2:44">
      <c r="B236" s="5">
        <f t="shared" si="477"/>
        <v>45930</v>
      </c>
      <c r="C236" s="2"/>
      <c r="D236" s="2"/>
      <c r="E236" s="2"/>
      <c r="F236" s="2"/>
      <c r="G236" s="2"/>
      <c r="H236" s="2"/>
      <c r="I236" s="12"/>
      <c r="J236" s="10"/>
      <c r="K236" s="12"/>
      <c r="L236" s="12"/>
      <c r="M236" s="12"/>
      <c r="N236" s="10"/>
      <c r="O236" s="10"/>
      <c r="P236" s="23"/>
      <c r="Q236" s="83"/>
      <c r="R236" s="81"/>
      <c r="S236" s="10"/>
      <c r="T236" s="10"/>
      <c r="U236" s="10"/>
      <c r="V236" s="23"/>
      <c r="X236" s="5">
        <f t="shared" si="478"/>
        <v>45930</v>
      </c>
      <c r="Y236" s="2"/>
      <c r="Z236" s="2"/>
      <c r="AA236" s="2"/>
      <c r="AB236" s="2"/>
      <c r="AC236" s="2"/>
      <c r="AD236" s="2"/>
      <c r="AE236" s="12"/>
      <c r="AF236" s="10"/>
      <c r="AG236" s="12"/>
      <c r="AH236" s="12"/>
      <c r="AI236" s="12"/>
      <c r="AJ236" s="10"/>
      <c r="AK236" s="10"/>
      <c r="AL236" s="23"/>
      <c r="AM236" s="83"/>
      <c r="AN236" s="81"/>
      <c r="AO236" s="10"/>
      <c r="AP236" s="10"/>
      <c r="AQ236" s="10"/>
      <c r="AR236" s="23"/>
    </row>
    <row r="237" spans="2:44">
      <c r="B237" s="5">
        <f t="shared" si="477"/>
        <v>45961</v>
      </c>
      <c r="C237" s="2"/>
      <c r="D237" s="2"/>
      <c r="E237" s="2"/>
      <c r="F237" s="2"/>
      <c r="G237" s="2"/>
      <c r="H237" s="2"/>
      <c r="I237" s="12"/>
      <c r="J237" s="10"/>
      <c r="K237" s="12"/>
      <c r="L237" s="12"/>
      <c r="M237" s="12"/>
      <c r="N237" s="10"/>
      <c r="O237" s="10"/>
      <c r="P237" s="23"/>
      <c r="Q237" s="83"/>
      <c r="R237" s="81"/>
      <c r="S237" s="10"/>
      <c r="T237" s="10"/>
      <c r="U237" s="10"/>
      <c r="V237" s="23"/>
      <c r="X237" s="5">
        <f t="shared" si="478"/>
        <v>45961</v>
      </c>
      <c r="Y237" s="2"/>
      <c r="Z237" s="2"/>
      <c r="AA237" s="2"/>
      <c r="AB237" s="2"/>
      <c r="AC237" s="2"/>
      <c r="AD237" s="2"/>
      <c r="AE237" s="12"/>
      <c r="AF237" s="10"/>
      <c r="AG237" s="12"/>
      <c r="AH237" s="12"/>
      <c r="AI237" s="12"/>
      <c r="AJ237" s="10"/>
      <c r="AK237" s="10"/>
      <c r="AL237" s="23"/>
      <c r="AM237" s="83"/>
      <c r="AN237" s="81"/>
      <c r="AO237" s="10"/>
      <c r="AP237" s="10"/>
      <c r="AQ237" s="10"/>
      <c r="AR237" s="23"/>
    </row>
    <row r="238" spans="2:44">
      <c r="B238" s="5">
        <f t="shared" si="477"/>
        <v>45991</v>
      </c>
      <c r="C238" s="2"/>
      <c r="D238" s="2"/>
      <c r="E238" s="2"/>
      <c r="F238" s="2"/>
      <c r="G238" s="2"/>
      <c r="H238" s="2"/>
      <c r="I238" s="12"/>
      <c r="J238" s="10"/>
      <c r="K238" s="12"/>
      <c r="L238" s="12"/>
      <c r="M238" s="12"/>
      <c r="N238" s="10"/>
      <c r="O238" s="10"/>
      <c r="P238" s="23"/>
      <c r="Q238" s="83"/>
      <c r="R238" s="81"/>
      <c r="S238" s="10"/>
      <c r="T238" s="10"/>
      <c r="U238" s="10"/>
      <c r="V238" s="23"/>
      <c r="X238" s="5">
        <f t="shared" si="478"/>
        <v>45991</v>
      </c>
      <c r="Y238" s="2"/>
      <c r="Z238" s="2"/>
      <c r="AA238" s="2"/>
      <c r="AB238" s="2"/>
      <c r="AC238" s="2"/>
      <c r="AD238" s="2"/>
      <c r="AE238" s="12"/>
      <c r="AF238" s="10"/>
      <c r="AG238" s="12"/>
      <c r="AH238" s="12"/>
      <c r="AI238" s="12"/>
      <c r="AJ238" s="10"/>
      <c r="AK238" s="10"/>
      <c r="AL238" s="23"/>
      <c r="AM238" s="83"/>
      <c r="AN238" s="81"/>
      <c r="AO238" s="10"/>
      <c r="AP238" s="10"/>
      <c r="AQ238" s="10"/>
      <c r="AR238" s="23"/>
    </row>
    <row r="239" spans="2:44">
      <c r="B239" s="5">
        <f t="shared" si="477"/>
        <v>46022</v>
      </c>
      <c r="C239" s="2"/>
      <c r="D239" s="2"/>
      <c r="E239" s="2"/>
      <c r="F239" s="2"/>
      <c r="G239" s="2"/>
      <c r="H239" s="2"/>
      <c r="I239" s="12"/>
      <c r="J239" s="10"/>
      <c r="K239" s="12"/>
      <c r="L239" s="12"/>
      <c r="M239" s="12"/>
      <c r="N239" s="10"/>
      <c r="O239" s="10"/>
      <c r="P239" s="23"/>
      <c r="Q239" s="83"/>
      <c r="R239" s="81"/>
      <c r="S239" s="10"/>
      <c r="T239" s="10"/>
      <c r="U239" s="10"/>
      <c r="V239" s="23"/>
      <c r="X239" s="5">
        <f t="shared" si="478"/>
        <v>46022</v>
      </c>
      <c r="Y239" s="2"/>
      <c r="Z239" s="2"/>
      <c r="AA239" s="2"/>
      <c r="AB239" s="2"/>
      <c r="AC239" s="2"/>
      <c r="AD239" s="2"/>
      <c r="AE239" s="12"/>
      <c r="AF239" s="10"/>
      <c r="AG239" s="12"/>
      <c r="AH239" s="12"/>
      <c r="AI239" s="12"/>
      <c r="AJ239" s="10"/>
      <c r="AK239" s="10"/>
      <c r="AL239" s="23"/>
      <c r="AM239" s="83"/>
      <c r="AN239" s="81"/>
      <c r="AO239" s="10"/>
      <c r="AP239" s="10"/>
      <c r="AQ239" s="10"/>
      <c r="AR239" s="23"/>
    </row>
    <row r="240" spans="2:44" hidden="1">
      <c r="B240" s="60" t="s">
        <v>43</v>
      </c>
      <c r="C240" s="58">
        <f t="shared" ref="C240:H240" si="613">SUM(C132:C143)</f>
        <v>46067.5418984145</v>
      </c>
      <c r="D240" s="58">
        <f t="shared" si="613"/>
        <v>32974.116999999998</v>
      </c>
      <c r="E240" s="58">
        <f t="shared" si="613"/>
        <v>1694.7999999999997</v>
      </c>
      <c r="F240" s="58" t="e">
        <f t="shared" si="613"/>
        <v>#DIV/0!</v>
      </c>
      <c r="G240" s="58">
        <f t="shared" si="613"/>
        <v>1897.6999999999998</v>
      </c>
      <c r="H240" s="58" t="e">
        <f t="shared" si="613"/>
        <v>#DIV/0!</v>
      </c>
      <c r="I240" s="59">
        <f t="shared" ref="I240:P240" si="614">AVERAGE(I132:I143)</f>
        <v>0.80512331913118118</v>
      </c>
      <c r="J240" s="59" t="e">
        <f t="shared" si="614"/>
        <v>#DIV/0!</v>
      </c>
      <c r="K240" s="59">
        <f t="shared" si="614"/>
        <v>0.2140659961943395</v>
      </c>
      <c r="L240" s="59">
        <f t="shared" si="614"/>
        <v>0.15715483472720032</v>
      </c>
      <c r="M240" s="59">
        <f t="shared" si="614"/>
        <v>0.98499999999999988</v>
      </c>
      <c r="N240" s="59" t="e">
        <f t="shared" si="614"/>
        <v>#DIV/0!</v>
      </c>
      <c r="O240" s="59">
        <f t="shared" si="614"/>
        <v>0.9900000000000001</v>
      </c>
      <c r="P240" s="61" t="e">
        <f t="shared" si="614"/>
        <v>#DIV/0!</v>
      </c>
      <c r="Q240" s="83" t="e">
        <f t="shared" ref="Q240:Q246" si="615">R240-S240</f>
        <v>#DIV/0!</v>
      </c>
      <c r="R240" s="65">
        <f t="shared" ref="R240:R248" si="616">D240/C240-1</f>
        <v>-0.28422234742386232</v>
      </c>
      <c r="S240" s="59" t="e">
        <f t="shared" ref="S240:S248" si="617">H240/G240-1</f>
        <v>#DIV/0!</v>
      </c>
      <c r="T240" s="59" t="e">
        <f t="shared" ref="T240:T248" si="618">N240-M240</f>
        <v>#DIV/0!</v>
      </c>
      <c r="U240" s="59" t="e">
        <f t="shared" ref="U240:U248" si="619">P240-O240</f>
        <v>#DIV/0!</v>
      </c>
      <c r="V240" s="61" t="e">
        <f>AVERAGE(V132:V143)</f>
        <v>#DIV/0!</v>
      </c>
      <c r="X240" s="60" t="s">
        <v>43</v>
      </c>
      <c r="Y240" s="58">
        <f t="shared" ref="Y240:AD240" si="620">SUM(Y132:Y143)</f>
        <v>42276.690035955929</v>
      </c>
      <c r="Z240" s="58">
        <f t="shared" si="620"/>
        <v>29220.497999999996</v>
      </c>
      <c r="AA240" s="58">
        <f t="shared" si="620"/>
        <v>1694.7999999999997</v>
      </c>
      <c r="AB240" s="58" t="e">
        <f t="shared" si="620"/>
        <v>#DIV/0!</v>
      </c>
      <c r="AC240" s="58">
        <f t="shared" si="620"/>
        <v>1897.6999999999998</v>
      </c>
      <c r="AD240" s="58" t="e">
        <f t="shared" si="620"/>
        <v>#DIV/0!</v>
      </c>
      <c r="AE240" s="59">
        <f t="shared" ref="AE240:AL240" si="621">AVERAGE(AE132:AE143)</f>
        <v>0.80311806892679083</v>
      </c>
      <c r="AF240" s="59" t="e">
        <f t="shared" si="621"/>
        <v>#DIV/0!</v>
      </c>
      <c r="AG240" s="59">
        <f t="shared" si="621"/>
        <v>0.21012786532644651</v>
      </c>
      <c r="AH240" s="59">
        <f t="shared" si="621"/>
        <v>0.14458095803464757</v>
      </c>
      <c r="AI240" s="59">
        <f t="shared" si="621"/>
        <v>0.98499999999999988</v>
      </c>
      <c r="AJ240" s="59" t="e">
        <f t="shared" si="621"/>
        <v>#DIV/0!</v>
      </c>
      <c r="AK240" s="59">
        <f t="shared" si="621"/>
        <v>0.9900000000000001</v>
      </c>
      <c r="AL240" s="61" t="e">
        <f t="shared" si="621"/>
        <v>#DIV/0!</v>
      </c>
      <c r="AM240" s="83" t="e">
        <f t="shared" ref="AM240:AM246" si="622">AN240-AO240</f>
        <v>#DIV/0!</v>
      </c>
      <c r="AN240" s="65">
        <f t="shared" si="459"/>
        <v>-0.30882720536663977</v>
      </c>
      <c r="AO240" s="59" t="e">
        <f t="shared" si="461"/>
        <v>#DIV/0!</v>
      </c>
      <c r="AP240" s="59" t="e">
        <f t="shared" si="462"/>
        <v>#DIV/0!</v>
      </c>
      <c r="AQ240" s="59" t="e">
        <f t="shared" si="463"/>
        <v>#DIV/0!</v>
      </c>
      <c r="AR240" s="61" t="e">
        <f>AVERAGE(AR132:AR143)</f>
        <v>#DIV/0!</v>
      </c>
    </row>
    <row r="241" spans="1:44" hidden="1">
      <c r="B241" s="60" t="s">
        <v>44</v>
      </c>
      <c r="C241" s="58">
        <f t="shared" ref="C241:H241" si="623">SUM(C144:C155)</f>
        <v>52120.667420228543</v>
      </c>
      <c r="D241" s="58">
        <f t="shared" si="623"/>
        <v>46240.772000000004</v>
      </c>
      <c r="E241" s="58">
        <f t="shared" si="623"/>
        <v>1694.7999999999997</v>
      </c>
      <c r="F241" s="58">
        <f t="shared" si="623"/>
        <v>1492.2166666666667</v>
      </c>
      <c r="G241" s="58">
        <f t="shared" si="623"/>
        <v>1897.6999999999998</v>
      </c>
      <c r="H241" s="58">
        <f t="shared" si="623"/>
        <v>1652.2166666666665</v>
      </c>
      <c r="I241" s="59">
        <f t="shared" ref="I241:P241" si="624">AVERAGE(I144:I155)</f>
        <v>0.77481911162336436</v>
      </c>
      <c r="J241" s="59">
        <f t="shared" si="624"/>
        <v>0.79628859937757157</v>
      </c>
      <c r="K241" s="59">
        <f t="shared" si="624"/>
        <v>0.19845737260015894</v>
      </c>
      <c r="L241" s="59">
        <f t="shared" si="624"/>
        <v>0.1761448861260454</v>
      </c>
      <c r="M241" s="59">
        <f t="shared" si="624"/>
        <v>0.98499999999999988</v>
      </c>
      <c r="N241" s="59">
        <f t="shared" si="624"/>
        <v>0.97377076666666662</v>
      </c>
      <c r="O241" s="59">
        <f t="shared" si="624"/>
        <v>0.9900000000000001</v>
      </c>
      <c r="P241" s="61">
        <f t="shared" si="624"/>
        <v>0.98901666666666666</v>
      </c>
      <c r="Q241" s="83">
        <f t="shared" si="615"/>
        <v>1.6545220080591228E-2</v>
      </c>
      <c r="R241" s="65">
        <f t="shared" si="616"/>
        <v>-0.11281312598745608</v>
      </c>
      <c r="S241" s="59">
        <f t="shared" si="617"/>
        <v>-0.1293583460680473</v>
      </c>
      <c r="T241" s="59">
        <f t="shared" si="618"/>
        <v>-1.1229233333333255E-2</v>
      </c>
      <c r="U241" s="59">
        <f t="shared" si="619"/>
        <v>-9.8333333333344708E-4</v>
      </c>
      <c r="V241" s="61" t="e">
        <f>AVERAGE(V144:V155)</f>
        <v>#DIV/0!</v>
      </c>
      <c r="X241" s="60" t="s">
        <v>44</v>
      </c>
      <c r="Y241" s="58">
        <f t="shared" ref="Y241:AD241" si="625">SUM(Y144:Y155)</f>
        <v>52011.547812177014</v>
      </c>
      <c r="Z241" s="58">
        <f t="shared" si="625"/>
        <v>48288.792000000001</v>
      </c>
      <c r="AA241" s="58">
        <f t="shared" si="625"/>
        <v>1694.7999999999997</v>
      </c>
      <c r="AB241" s="58">
        <f t="shared" si="625"/>
        <v>1511.2627499999999</v>
      </c>
      <c r="AC241" s="58">
        <f t="shared" si="625"/>
        <v>1897.6999999999998</v>
      </c>
      <c r="AD241" s="58">
        <f t="shared" si="625"/>
        <v>1694.2</v>
      </c>
      <c r="AE241" s="59">
        <f t="shared" ref="AE241:AL241" si="626">AVERAGE(AE144:AE155)</f>
        <v>0.7730002790439805</v>
      </c>
      <c r="AF241" s="59">
        <f t="shared" si="626"/>
        <v>0.80968950308913035</v>
      </c>
      <c r="AG241" s="59">
        <f t="shared" si="626"/>
        <v>0.19805309792094428</v>
      </c>
      <c r="AH241" s="59">
        <f t="shared" si="626"/>
        <v>0.18414915399918927</v>
      </c>
      <c r="AI241" s="59">
        <f t="shared" si="626"/>
        <v>0.98499999999999988</v>
      </c>
      <c r="AJ241" s="59">
        <f t="shared" si="626"/>
        <v>0.96920134624999987</v>
      </c>
      <c r="AK241" s="59">
        <f t="shared" si="626"/>
        <v>0.9900000000000001</v>
      </c>
      <c r="AL241" s="61">
        <f t="shared" si="626"/>
        <v>0.98915833333333347</v>
      </c>
      <c r="AM241" s="83">
        <f t="shared" si="622"/>
        <v>3.5659511132758781E-2</v>
      </c>
      <c r="AN241" s="65">
        <f t="shared" si="459"/>
        <v>-7.1575562904233281E-2</v>
      </c>
      <c r="AO241" s="59">
        <f t="shared" si="461"/>
        <v>-0.10723507403699206</v>
      </c>
      <c r="AP241" s="59">
        <f t="shared" si="462"/>
        <v>-1.5798653750000002E-2</v>
      </c>
      <c r="AQ241" s="59">
        <f t="shared" si="463"/>
        <v>-8.4166666666662948E-4</v>
      </c>
      <c r="AR241" s="61" t="e">
        <f>AVERAGE(AR144:AR155)</f>
        <v>#DIV/0!</v>
      </c>
    </row>
    <row r="242" spans="1:44" hidden="1">
      <c r="B242" s="60" t="s">
        <v>45</v>
      </c>
      <c r="C242" s="58">
        <f t="shared" ref="C242:H242" si="627">SUM(C156:C167)</f>
        <v>51114.244574735116</v>
      </c>
      <c r="D242" s="58">
        <f t="shared" si="627"/>
        <v>45818.195999999996</v>
      </c>
      <c r="E242" s="58">
        <f t="shared" si="627"/>
        <v>1694.7999999999997</v>
      </c>
      <c r="F242" s="58">
        <f t="shared" si="627"/>
        <v>1605.3633333333335</v>
      </c>
      <c r="G242" s="58">
        <f t="shared" si="627"/>
        <v>1897.6999999999998</v>
      </c>
      <c r="H242" s="58">
        <f t="shared" si="627"/>
        <v>1775.6466666666665</v>
      </c>
      <c r="I242" s="59">
        <f t="shared" ref="I242:P242" si="628">AVERAGE(I156:I167)</f>
        <v>0.76067045929756993</v>
      </c>
      <c r="J242" s="59">
        <f t="shared" si="628"/>
        <v>0.7382645138967584</v>
      </c>
      <c r="K242" s="59">
        <f t="shared" si="628"/>
        <v>0.1945842800748229</v>
      </c>
      <c r="L242" s="59">
        <f t="shared" si="628"/>
        <v>0.17434604668032092</v>
      </c>
      <c r="M242" s="59">
        <f t="shared" si="628"/>
        <v>0.98499999999999988</v>
      </c>
      <c r="N242" s="59">
        <f t="shared" si="628"/>
        <v>0.97373333333333323</v>
      </c>
      <c r="O242" s="59">
        <f t="shared" si="628"/>
        <v>0.9900000000000001</v>
      </c>
      <c r="P242" s="61">
        <f t="shared" si="628"/>
        <v>0.99005555555555558</v>
      </c>
      <c r="Q242" s="83">
        <f t="shared" si="615"/>
        <v>-3.9295536299603806E-2</v>
      </c>
      <c r="R242" s="65">
        <f t="shared" si="616"/>
        <v>-0.1036119895500297</v>
      </c>
      <c r="S242" s="59">
        <f t="shared" si="617"/>
        <v>-6.4316453250425898E-2</v>
      </c>
      <c r="T242" s="59">
        <f t="shared" si="618"/>
        <v>-1.1266666666666647E-2</v>
      </c>
      <c r="U242" s="59">
        <f t="shared" si="619"/>
        <v>5.5555555555475422E-5</v>
      </c>
      <c r="V242" s="61" t="e">
        <f>AVERAGE(V156:V167)</f>
        <v>#DIV/0!</v>
      </c>
      <c r="X242" s="60" t="s">
        <v>45</v>
      </c>
      <c r="Y242" s="58">
        <f t="shared" ref="Y242:AD242" si="629">SUM(Y156:Y167)</f>
        <v>51007.565981402608</v>
      </c>
      <c r="Z242" s="58">
        <f t="shared" si="629"/>
        <v>46894.046999999999</v>
      </c>
      <c r="AA242" s="58">
        <f t="shared" si="629"/>
        <v>1694.7999999999997</v>
      </c>
      <c r="AB242" s="58">
        <f t="shared" si="629"/>
        <v>1598.4349999999999</v>
      </c>
      <c r="AC242" s="58">
        <f t="shared" si="629"/>
        <v>1897.6999999999998</v>
      </c>
      <c r="AD242" s="58">
        <f t="shared" si="629"/>
        <v>1770.1699999999998</v>
      </c>
      <c r="AE242" s="59">
        <f t="shared" ref="AE242:AL242" si="630">AVERAGE(AE156:AE167)</f>
        <v>0.75892794906027305</v>
      </c>
      <c r="AF242" s="59">
        <f t="shared" si="630"/>
        <v>0.76949936107936434</v>
      </c>
      <c r="AG242" s="59">
        <f t="shared" si="630"/>
        <v>0.19419196690692644</v>
      </c>
      <c r="AH242" s="59">
        <f t="shared" si="630"/>
        <v>0.17887494719662059</v>
      </c>
      <c r="AI242" s="59">
        <f t="shared" si="630"/>
        <v>0.98499999999999988</v>
      </c>
      <c r="AJ242" s="59">
        <f t="shared" si="630"/>
        <v>0.96103333333333307</v>
      </c>
      <c r="AK242" s="59">
        <f t="shared" si="630"/>
        <v>0.9900000000000001</v>
      </c>
      <c r="AL242" s="61">
        <f t="shared" si="630"/>
        <v>0.99029166666666668</v>
      </c>
      <c r="AM242" s="83">
        <f t="shared" si="622"/>
        <v>-1.3442868086942061E-2</v>
      </c>
      <c r="AN242" s="65">
        <f t="shared" si="459"/>
        <v>-8.0645270995726381E-2</v>
      </c>
      <c r="AO242" s="59">
        <f t="shared" si="461"/>
        <v>-6.720240290878432E-2</v>
      </c>
      <c r="AP242" s="59">
        <f t="shared" si="462"/>
        <v>-2.3966666666666803E-2</v>
      </c>
      <c r="AQ242" s="59">
        <f t="shared" si="463"/>
        <v>2.9166666666657903E-4</v>
      </c>
      <c r="AR242" s="61" t="e">
        <f>AVERAGE(AR156:AR167)</f>
        <v>#DIV/0!</v>
      </c>
    </row>
    <row r="243" spans="1:44" hidden="1">
      <c r="B243" s="60" t="s">
        <v>46</v>
      </c>
      <c r="C243" s="58">
        <f t="shared" ref="C243:H243" si="631">SUM(C168:C179)</f>
        <v>50858.673351861435</v>
      </c>
      <c r="D243" s="58">
        <f t="shared" si="631"/>
        <v>46850.393999999993</v>
      </c>
      <c r="E243" s="58">
        <f t="shared" si="631"/>
        <v>1694.7999999999997</v>
      </c>
      <c r="F243" s="58">
        <f t="shared" si="631"/>
        <v>1650.5400000000002</v>
      </c>
      <c r="G243" s="58">
        <f t="shared" si="631"/>
        <v>1897.6999999999996</v>
      </c>
      <c r="H243" s="58">
        <f t="shared" si="631"/>
        <v>1847.6433333333332</v>
      </c>
      <c r="I243" s="59">
        <f t="shared" ref="I243:P243" si="632">AVERAGE(I168:I179)</f>
        <v>0.75686710700108195</v>
      </c>
      <c r="J243" s="59">
        <f t="shared" si="632"/>
        <v>0.72760528170648453</v>
      </c>
      <c r="K243" s="59">
        <f t="shared" si="632"/>
        <v>0.19325516142387511</v>
      </c>
      <c r="L243" s="59">
        <f t="shared" si="632"/>
        <v>0.17816717242961022</v>
      </c>
      <c r="M243" s="59">
        <f t="shared" si="632"/>
        <v>0.98499999999999988</v>
      </c>
      <c r="N243" s="59">
        <f t="shared" si="632"/>
        <v>0.96754444444444443</v>
      </c>
      <c r="O243" s="59">
        <f t="shared" si="632"/>
        <v>0.9900000000000001</v>
      </c>
      <c r="P243" s="61">
        <f t="shared" si="632"/>
        <v>0.99456388888888902</v>
      </c>
      <c r="Q243" s="83">
        <f t="shared" si="615"/>
        <v>-5.2434565119155452E-2</v>
      </c>
      <c r="R243" s="65">
        <f t="shared" si="616"/>
        <v>-7.881210986630538E-2</v>
      </c>
      <c r="S243" s="59">
        <f t="shared" si="617"/>
        <v>-2.6377544747149928E-2</v>
      </c>
      <c r="T243" s="59">
        <f t="shared" si="618"/>
        <v>-1.7455555555555446E-2</v>
      </c>
      <c r="U243" s="59">
        <f t="shared" si="619"/>
        <v>4.5638888888889229E-3</v>
      </c>
      <c r="V243" s="61" t="e">
        <f>AVERAGE(V168:V179)</f>
        <v>#DIV/0!</v>
      </c>
      <c r="X243" s="60" t="s">
        <v>46</v>
      </c>
      <c r="Y243" s="58">
        <f t="shared" ref="Y243:AD243" si="633">SUM(Y168:Y179)</f>
        <v>50752.528151495608</v>
      </c>
      <c r="Z243" s="58">
        <f t="shared" si="633"/>
        <v>48304.814999999995</v>
      </c>
      <c r="AA243" s="58">
        <f t="shared" si="633"/>
        <v>1694.7999999999997</v>
      </c>
      <c r="AB243" s="58">
        <f t="shared" si="633"/>
        <v>1653.7824999999998</v>
      </c>
      <c r="AC243" s="58">
        <f t="shared" si="633"/>
        <v>1897.6999999999998</v>
      </c>
      <c r="AD243" s="58">
        <f t="shared" si="633"/>
        <v>1846.2625</v>
      </c>
      <c r="AE243" s="59">
        <f t="shared" ref="AE243:AL243" si="634">AVERAGE(AE168:AE179)</f>
        <v>0.75513330931497169</v>
      </c>
      <c r="AF243" s="59">
        <f t="shared" si="634"/>
        <v>0.75869344766810665</v>
      </c>
      <c r="AG243" s="59">
        <f t="shared" si="634"/>
        <v>0.19268814189885686</v>
      </c>
      <c r="AH243" s="59">
        <f t="shared" si="634"/>
        <v>0.18362079351285379</v>
      </c>
      <c r="AI243" s="59">
        <f t="shared" si="634"/>
        <v>0.98499999999999988</v>
      </c>
      <c r="AJ243" s="59">
        <f t="shared" si="634"/>
        <v>0.95916666666666661</v>
      </c>
      <c r="AK243" s="59">
        <f t="shared" si="634"/>
        <v>0.9900000000000001</v>
      </c>
      <c r="AL243" s="61">
        <f t="shared" si="634"/>
        <v>0.9974249999999999</v>
      </c>
      <c r="AM243" s="83">
        <f t="shared" si="622"/>
        <v>-2.1123218524093823E-2</v>
      </c>
      <c r="AN243" s="65">
        <f t="shared" si="459"/>
        <v>-4.8228398478775691E-2</v>
      </c>
      <c r="AO243" s="59">
        <f t="shared" si="461"/>
        <v>-2.7105179954681868E-2</v>
      </c>
      <c r="AP243" s="59">
        <f t="shared" si="462"/>
        <v>-2.5833333333333264E-2</v>
      </c>
      <c r="AQ243" s="59">
        <f t="shared" si="463"/>
        <v>7.4249999999997929E-3</v>
      </c>
      <c r="AR243" s="61" t="e">
        <f>AVERAGE(AR168:AR179)</f>
        <v>#DIV/0!</v>
      </c>
    </row>
    <row r="244" spans="1:44" hidden="1">
      <c r="A244" s="102">
        <f>(D244/D243-1)-(H244/H243-1)-(N244-N243)</f>
        <v>-2.0202398851535741E-2</v>
      </c>
      <c r="B244" s="60" t="s">
        <v>47</v>
      </c>
      <c r="C244" s="58">
        <f t="shared" ref="C244:H244" si="635">SUM(C180:C191)</f>
        <v>50604.379985102139</v>
      </c>
      <c r="D244" s="58">
        <f t="shared" si="635"/>
        <v>45601.967999999993</v>
      </c>
      <c r="E244" s="58">
        <f t="shared" si="635"/>
        <v>1694.7999999999997</v>
      </c>
      <c r="F244" s="58">
        <f t="shared" si="635"/>
        <v>1603.7866666666666</v>
      </c>
      <c r="G244" s="58">
        <f t="shared" si="635"/>
        <v>1897.6999999999996</v>
      </c>
      <c r="H244" s="58">
        <f t="shared" si="635"/>
        <v>1820.7999999999997</v>
      </c>
      <c r="I244" s="59">
        <f t="shared" ref="I244:P244" si="636">AVERAGE(I180:I191)</f>
        <v>0.75308277146607649</v>
      </c>
      <c r="J244" s="59">
        <f t="shared" si="636"/>
        <v>0.71341090924030592</v>
      </c>
      <c r="K244" s="59">
        <f t="shared" si="636"/>
        <v>0.19264330188107651</v>
      </c>
      <c r="L244" s="59">
        <f t="shared" si="636"/>
        <v>0.17362486511136713</v>
      </c>
      <c r="M244" s="59">
        <f t="shared" si="636"/>
        <v>0.98499999999999988</v>
      </c>
      <c r="N244" s="59">
        <f t="shared" si="636"/>
        <v>0.97562818478088975</v>
      </c>
      <c r="O244" s="59">
        <f t="shared" si="636"/>
        <v>0.9900000000000001</v>
      </c>
      <c r="P244" s="61">
        <f t="shared" si="636"/>
        <v>0.99877683094384706</v>
      </c>
      <c r="Q244" s="83">
        <f t="shared" si="615"/>
        <v>-5.8330602046406388E-2</v>
      </c>
      <c r="R244" s="65">
        <f t="shared" si="616"/>
        <v>-9.8853340097731612E-2</v>
      </c>
      <c r="S244" s="59">
        <f t="shared" si="617"/>
        <v>-4.0522738051325224E-2</v>
      </c>
      <c r="T244" s="59">
        <f t="shared" si="618"/>
        <v>-9.3718152191101245E-3</v>
      </c>
      <c r="U244" s="59">
        <f t="shared" si="619"/>
        <v>8.7768309438469583E-3</v>
      </c>
      <c r="V244" s="61">
        <f>AVERAGE(V180:V191)</f>
        <v>-1.4955293112090293E-2</v>
      </c>
      <c r="W244" s="102">
        <f>(Z244/Z243-1)-(AD244/AD243-1)-(AJ244-AJ243)</f>
        <v>-2.4081332500593633E-2</v>
      </c>
      <c r="X244" s="60" t="s">
        <v>47</v>
      </c>
      <c r="Y244" s="58">
        <f t="shared" ref="Y244:AD244" si="637">SUM(Y180:Y191)</f>
        <v>50498.765510738122</v>
      </c>
      <c r="Z244" s="58">
        <f t="shared" si="637"/>
        <v>47070.149999999994</v>
      </c>
      <c r="AA244" s="58">
        <f t="shared" si="637"/>
        <v>1694.7999999999997</v>
      </c>
      <c r="AB244" s="58">
        <f t="shared" si="637"/>
        <v>1617.6424999999999</v>
      </c>
      <c r="AC244" s="58">
        <f t="shared" si="637"/>
        <v>1897.6999999999998</v>
      </c>
      <c r="AD244" s="58">
        <f t="shared" si="637"/>
        <v>1824.5654999999999</v>
      </c>
      <c r="AE244" s="59">
        <f t="shared" ref="AE244:AL244" si="638">AVERAGE(AE180:AE191)</f>
        <v>0.75135764276839689</v>
      </c>
      <c r="AF244" s="59">
        <f t="shared" si="638"/>
        <v>0.74056208631948495</v>
      </c>
      <c r="AG244" s="59">
        <f t="shared" si="638"/>
        <v>0.19225490203702988</v>
      </c>
      <c r="AH244" s="59">
        <f t="shared" si="638"/>
        <v>0.17919835617479518</v>
      </c>
      <c r="AI244" s="59">
        <f t="shared" si="638"/>
        <v>0.98499999999999988</v>
      </c>
      <c r="AJ244" s="59">
        <f t="shared" si="638"/>
        <v>0.96943997487792066</v>
      </c>
      <c r="AK244" s="59">
        <f t="shared" si="638"/>
        <v>0.9900000000000001</v>
      </c>
      <c r="AL244" s="61">
        <f t="shared" si="638"/>
        <v>0.99838067204301073</v>
      </c>
      <c r="AM244" s="83">
        <f t="shared" si="622"/>
        <v>-2.9356542200574376E-2</v>
      </c>
      <c r="AN244" s="65">
        <f t="shared" si="459"/>
        <v>-6.7895036166954692E-2</v>
      </c>
      <c r="AO244" s="59">
        <f t="shared" si="461"/>
        <v>-3.8538493966380316E-2</v>
      </c>
      <c r="AP244" s="59">
        <f t="shared" si="462"/>
        <v>-1.5560025122079213E-2</v>
      </c>
      <c r="AQ244" s="59">
        <f t="shared" si="463"/>
        <v>8.3806720430106285E-3</v>
      </c>
      <c r="AR244" s="61">
        <f>AVERAGE(AR180:AR191)</f>
        <v>-1.4308549694532753E-2</v>
      </c>
    </row>
    <row r="245" spans="1:44" hidden="1">
      <c r="A245" s="102">
        <f>(D245/D244-1)-(H245/H244-1)-(N245-N244)</f>
        <v>-6.1322169036924778E-3</v>
      </c>
      <c r="B245" s="60" t="s">
        <v>48</v>
      </c>
      <c r="C245" s="58">
        <f t="shared" ref="C245:H245" si="639">SUM(C192:C203)</f>
        <v>50351.358085176624</v>
      </c>
      <c r="D245" s="58">
        <f t="shared" si="639"/>
        <v>45481.686000000009</v>
      </c>
      <c r="E245" s="58">
        <f t="shared" si="639"/>
        <v>1694.7999999999997</v>
      </c>
      <c r="F245" s="58">
        <f t="shared" si="639"/>
        <v>1581.5266666666666</v>
      </c>
      <c r="G245" s="58">
        <f t="shared" si="639"/>
        <v>1897.6999999999996</v>
      </c>
      <c r="H245" s="58">
        <f t="shared" si="639"/>
        <v>1807.4466666666667</v>
      </c>
      <c r="I245" s="59">
        <f t="shared" ref="I245:P245" si="640">AVERAGE(I192:I203)</f>
        <v>0.74931735760874618</v>
      </c>
      <c r="J245" s="59">
        <f t="shared" si="640"/>
        <v>0.71216920613154067</v>
      </c>
      <c r="K245" s="59">
        <f t="shared" si="640"/>
        <v>0.19168008537167114</v>
      </c>
      <c r="L245" s="59">
        <f t="shared" si="640"/>
        <v>0.17322354236004436</v>
      </c>
      <c r="M245" s="59">
        <f t="shared" si="640"/>
        <v>0.98499999999999988</v>
      </c>
      <c r="N245" s="59">
        <f t="shared" si="640"/>
        <v>0.98645652506272397</v>
      </c>
      <c r="O245" s="59">
        <f t="shared" si="640"/>
        <v>0.9900000000000001</v>
      </c>
      <c r="P245" s="61">
        <f t="shared" si="640"/>
        <v>0.9997583333333333</v>
      </c>
      <c r="Q245" s="83">
        <f t="shared" si="615"/>
        <v>-4.9154491863130034E-2</v>
      </c>
      <c r="R245" s="65">
        <f t="shared" si="616"/>
        <v>-9.6713818065023327E-2</v>
      </c>
      <c r="S245" s="59">
        <f t="shared" si="617"/>
        <v>-4.7559326201893293E-2</v>
      </c>
      <c r="T245" s="59">
        <f t="shared" si="618"/>
        <v>1.45652506272409E-3</v>
      </c>
      <c r="U245" s="59">
        <f t="shared" si="619"/>
        <v>9.7583333333332023E-3</v>
      </c>
      <c r="V245" s="61">
        <f>AVERAGE(V192:V203)</f>
        <v>-1.3206662092609914E-2</v>
      </c>
      <c r="W245" s="102">
        <f>(Z245/Z244-1)-(AD245/AD244-1)-(AJ245-AJ244)</f>
        <v>-2.4415237672183232E-2</v>
      </c>
      <c r="X245" s="60" t="s">
        <v>48</v>
      </c>
      <c r="Y245" s="58">
        <f t="shared" ref="Y245:AD245" si="641">SUM(Y192:Y203)</f>
        <v>50246.27168318443</v>
      </c>
      <c r="Z245" s="58">
        <f t="shared" si="641"/>
        <v>46324.212000000007</v>
      </c>
      <c r="AA245" s="58">
        <f t="shared" si="641"/>
        <v>1694.7999999999997</v>
      </c>
      <c r="AB245" s="58">
        <f t="shared" si="641"/>
        <v>1628.0049999999997</v>
      </c>
      <c r="AC245" s="58">
        <f t="shared" si="641"/>
        <v>1897.6999999999998</v>
      </c>
      <c r="AD245" s="58">
        <f t="shared" si="641"/>
        <v>1817.26</v>
      </c>
      <c r="AE245" s="59">
        <f t="shared" ref="AE245:AL245" si="642">AVERAGE(AE192:AE203)</f>
        <v>0.74760085455455494</v>
      </c>
      <c r="AF245" s="59">
        <f t="shared" si="642"/>
        <v>0.72541604937760262</v>
      </c>
      <c r="AG245" s="59">
        <f t="shared" si="642"/>
        <v>0.19129362752684473</v>
      </c>
      <c r="AH245" s="59">
        <f t="shared" si="642"/>
        <v>0.17653168766801075</v>
      </c>
      <c r="AI245" s="59">
        <f t="shared" si="642"/>
        <v>0.98499999999999988</v>
      </c>
      <c r="AJ245" s="59">
        <f t="shared" si="642"/>
        <v>0.98201181128540915</v>
      </c>
      <c r="AK245" s="59">
        <f t="shared" si="642"/>
        <v>0.9900000000000001</v>
      </c>
      <c r="AL245" s="61">
        <f t="shared" si="642"/>
        <v>0.99952905017921145</v>
      </c>
      <c r="AM245" s="83">
        <f t="shared" si="622"/>
        <v>-3.5668576334763724E-2</v>
      </c>
      <c r="AN245" s="65">
        <f t="shared" si="459"/>
        <v>-7.8056730416019904E-2</v>
      </c>
      <c r="AO245" s="59">
        <f t="shared" si="461"/>
        <v>-4.238815408125618E-2</v>
      </c>
      <c r="AP245" s="59">
        <f t="shared" si="462"/>
        <v>-2.9881887145907227E-3</v>
      </c>
      <c r="AQ245" s="59">
        <f t="shared" si="463"/>
        <v>9.5290501792113513E-3</v>
      </c>
      <c r="AR245" s="61">
        <f>AVERAGE(AR192:AR203)</f>
        <v>-1.3024683359511386E-2</v>
      </c>
    </row>
    <row r="246" spans="1:44" hidden="1">
      <c r="A246" s="102">
        <f>(D246/D245-1)-(H246/H245-1)-(N246-N245)</f>
        <v>-1.4947485005139316E-2</v>
      </c>
      <c r="B246" s="60" t="s">
        <v>49</v>
      </c>
      <c r="C246" s="58">
        <f t="shared" ref="C246:H246" si="643">SUM(C204:C215)</f>
        <v>50099.601294750726</v>
      </c>
      <c r="D246" s="58">
        <f t="shared" si="643"/>
        <v>44077.500000000007</v>
      </c>
      <c r="E246" s="58">
        <f t="shared" si="643"/>
        <v>1694.7999999999997</v>
      </c>
      <c r="F246" s="58">
        <f t="shared" si="643"/>
        <v>1589.2333333333333</v>
      </c>
      <c r="G246" s="58">
        <f t="shared" si="643"/>
        <v>1897.6999999999996</v>
      </c>
      <c r="H246" s="58">
        <f t="shared" si="643"/>
        <v>1798.6066666666668</v>
      </c>
      <c r="I246" s="59">
        <f t="shared" ref="I246:P246" si="644">AVERAGE(I204:I215)</f>
        <v>0.74557077082070256</v>
      </c>
      <c r="J246" s="59">
        <f t="shared" si="644"/>
        <v>0.70039640411074988</v>
      </c>
      <c r="K246" s="59">
        <f t="shared" si="644"/>
        <v>0.19072168494481279</v>
      </c>
      <c r="L246" s="59">
        <f t="shared" si="644"/>
        <v>0.16798005723032947</v>
      </c>
      <c r="M246" s="59">
        <f t="shared" si="644"/>
        <v>0.98499999999999988</v>
      </c>
      <c r="N246" s="59">
        <f t="shared" si="644"/>
        <v>0.97542122985210522</v>
      </c>
      <c r="O246" s="59">
        <f t="shared" si="644"/>
        <v>0.9900000000000001</v>
      </c>
      <c r="P246" s="61">
        <f t="shared" si="644"/>
        <v>0.99933067396313369</v>
      </c>
      <c r="Q246" s="112">
        <f t="shared" si="615"/>
        <v>-6.7984982504598723E-2</v>
      </c>
      <c r="R246" s="65">
        <f t="shared" si="616"/>
        <v>-0.12020257924451172</v>
      </c>
      <c r="S246" s="59">
        <f t="shared" si="617"/>
        <v>-5.2217596739912997E-2</v>
      </c>
      <c r="T246" s="59">
        <f t="shared" si="618"/>
        <v>-9.5787701478946552E-3</v>
      </c>
      <c r="U246" s="59">
        <f t="shared" si="619"/>
        <v>9.3306739631335844E-3</v>
      </c>
      <c r="V246" s="61">
        <f>AVERAGE(V204:V215)</f>
        <v>-1.4686006877692942E-2</v>
      </c>
      <c r="W246" s="102">
        <f>(Z246/Z245-1)-(AD246/AD245-1)-(AJ246-AJ245)</f>
        <v>-1.3489653716905581E-2</v>
      </c>
      <c r="X246" s="60" t="s">
        <v>49</v>
      </c>
      <c r="Y246" s="58">
        <f t="shared" ref="Y246:AD246" si="645">SUM(Y204:Y215)</f>
        <v>49995.04032476851</v>
      </c>
      <c r="Z246" s="58">
        <f t="shared" si="645"/>
        <v>44962.059000000001</v>
      </c>
      <c r="AA246" s="58">
        <f t="shared" si="645"/>
        <v>1692.0174999999999</v>
      </c>
      <c r="AB246" s="58">
        <f t="shared" si="645"/>
        <v>1610.8825000000002</v>
      </c>
      <c r="AC246" s="58">
        <f t="shared" si="645"/>
        <v>1897.6999999999998</v>
      </c>
      <c r="AD246" s="58">
        <f t="shared" si="645"/>
        <v>1807.7549999999999</v>
      </c>
      <c r="AE246" s="59">
        <f t="shared" ref="AE246:AL246" si="646">AVERAGE(AE204:AE215)</f>
        <v>0.74386285028178201</v>
      </c>
      <c r="AF246" s="59">
        <f t="shared" si="646"/>
        <v>0.71591316871410771</v>
      </c>
      <c r="AG246" s="59">
        <f t="shared" si="646"/>
        <v>0.19033715938921048</v>
      </c>
      <c r="AH246" s="59">
        <f t="shared" si="646"/>
        <v>0.17174834889432924</v>
      </c>
      <c r="AI246" s="59">
        <f t="shared" si="646"/>
        <v>0.98499999999999988</v>
      </c>
      <c r="AJ246" s="59">
        <f t="shared" si="646"/>
        <v>0.97132709248333748</v>
      </c>
      <c r="AK246" s="59">
        <f t="shared" si="646"/>
        <v>0.9900000000000001</v>
      </c>
      <c r="AL246" s="61">
        <f t="shared" si="646"/>
        <v>0.99910594278033793</v>
      </c>
      <c r="AM246" s="95">
        <f t="shared" si="622"/>
        <v>-5.3272763450031735E-2</v>
      </c>
      <c r="AN246" s="65">
        <f t="shared" si="459"/>
        <v>-0.10066961226702065</v>
      </c>
      <c r="AO246" s="59">
        <f t="shared" si="461"/>
        <v>-4.7396848816988912E-2</v>
      </c>
      <c r="AP246" s="59">
        <f t="shared" si="462"/>
        <v>-1.3672907516662391E-2</v>
      </c>
      <c r="AQ246" s="59">
        <f t="shared" si="463"/>
        <v>9.1059427803378279E-3</v>
      </c>
      <c r="AR246" s="61">
        <f>AVERAGE(AR204:AR215)</f>
        <v>-1.4312049688055698E-2</v>
      </c>
    </row>
    <row r="247" spans="1:44" hidden="1">
      <c r="A247" s="102">
        <f>(D247/D246-1)-(H247/H246-1)-(N247-N246)</f>
        <v>-1.1665521072558693E-2</v>
      </c>
      <c r="B247" s="60" t="s">
        <v>74</v>
      </c>
      <c r="C247" s="58">
        <f t="shared" ref="C247:H247" si="647">SUM(C216:C227)</f>
        <v>49849.103288276987</v>
      </c>
      <c r="D247" s="58">
        <f t="shared" si="647"/>
        <v>42472.691999999995</v>
      </c>
      <c r="E247" s="58">
        <f t="shared" si="647"/>
        <v>1694.7999999999997</v>
      </c>
      <c r="F247" s="58">
        <f t="shared" si="647"/>
        <v>1591.9033333333332</v>
      </c>
      <c r="G247" s="58">
        <f t="shared" si="647"/>
        <v>1897.6999999999996</v>
      </c>
      <c r="H247" s="58">
        <f t="shared" si="647"/>
        <v>1752.5866666666666</v>
      </c>
      <c r="I247" s="59">
        <f t="shared" ref="I247:P247" si="648">AVERAGE(I216:I227)</f>
        <v>0.74184291696659888</v>
      </c>
      <c r="J247" s="59">
        <f t="shared" si="648"/>
        <v>0.69554602209946192</v>
      </c>
      <c r="K247" s="59">
        <f t="shared" si="648"/>
        <v>0.18976807652008873</v>
      </c>
      <c r="L247" s="59">
        <f t="shared" si="648"/>
        <v>0.16131941707349734</v>
      </c>
      <c r="M247" s="59">
        <f t="shared" si="648"/>
        <v>0.98499999999999988</v>
      </c>
      <c r="N247" s="59">
        <f t="shared" si="648"/>
        <v>0.97626444342654251</v>
      </c>
      <c r="O247" s="59">
        <f t="shared" si="648"/>
        <v>0.9900000000000001</v>
      </c>
      <c r="P247" s="61">
        <f t="shared" si="648"/>
        <v>0.99892891607959455</v>
      </c>
      <c r="Q247" s="83">
        <f t="shared" ref="Q247:Q248" si="649">R247-S247-T247</f>
        <v>-6.2771242289872853E-2</v>
      </c>
      <c r="R247" s="65">
        <f t="shared" si="616"/>
        <v>-0.14797480399234586</v>
      </c>
      <c r="S247" s="59">
        <f t="shared" si="617"/>
        <v>-7.6468005129015637E-2</v>
      </c>
      <c r="T247" s="59">
        <f t="shared" si="618"/>
        <v>-8.7355565734573704E-3</v>
      </c>
      <c r="U247" s="59">
        <f t="shared" si="619"/>
        <v>8.9289160795944511E-3</v>
      </c>
      <c r="V247" s="61">
        <f>AVERAGE(V216:V227)</f>
        <v>-1.9204447431302268E-2</v>
      </c>
      <c r="W247" s="102">
        <f>(Z247/Z246-1)-(AD247/AD246-1)-(AJ247-AJ246)</f>
        <v>-1.1385904714553585E-2</v>
      </c>
      <c r="X247" s="60" t="s">
        <v>74</v>
      </c>
      <c r="Y247" s="58">
        <f t="shared" ref="Y247:AD247" si="650">SUM(Y216:Y227)</f>
        <v>49745.065123144654</v>
      </c>
      <c r="Z247" s="58">
        <f t="shared" si="650"/>
        <v>43177.146000000001</v>
      </c>
      <c r="AA247" s="58">
        <f t="shared" si="650"/>
        <v>1694.7999999999997</v>
      </c>
      <c r="AB247" s="58">
        <f t="shared" si="650"/>
        <v>1582.29</v>
      </c>
      <c r="AC247" s="58">
        <f t="shared" si="650"/>
        <v>1897.6999999999998</v>
      </c>
      <c r="AD247" s="58">
        <f t="shared" si="650"/>
        <v>1762.5550000000001</v>
      </c>
      <c r="AE247" s="59">
        <f t="shared" ref="AE247:AL247" si="651">AVERAGE(AE216:AE227)</f>
        <v>0.74014353603037331</v>
      </c>
      <c r="AF247" s="59">
        <f t="shared" si="651"/>
        <v>0.7106684342858246</v>
      </c>
      <c r="AG247" s="59">
        <f t="shared" si="651"/>
        <v>0.18938547359226443</v>
      </c>
      <c r="AH247" s="59">
        <f t="shared" si="651"/>
        <v>0.16450836786243975</v>
      </c>
      <c r="AI247" s="59">
        <f t="shared" si="651"/>
        <v>0.98499999999999988</v>
      </c>
      <c r="AJ247" s="59">
        <f t="shared" si="651"/>
        <v>0.96801818116567995</v>
      </c>
      <c r="AK247" s="59">
        <f t="shared" si="651"/>
        <v>0.9900000000000001</v>
      </c>
      <c r="AL247" s="61">
        <f t="shared" si="651"/>
        <v>0.99879389939438878</v>
      </c>
      <c r="AM247" s="83">
        <f t="shared" ref="AM247:AM248" si="652">AN247-AO247-AP247</f>
        <v>-4.3834597489199711E-2</v>
      </c>
      <c r="AN247" s="65">
        <f t="shared" si="459"/>
        <v>-0.13203157151137845</v>
      </c>
      <c r="AO247" s="59">
        <f t="shared" si="461"/>
        <v>-7.1215155187858814E-2</v>
      </c>
      <c r="AP247" s="59">
        <f t="shared" si="462"/>
        <v>-1.6981818834319928E-2</v>
      </c>
      <c r="AQ247" s="59">
        <f t="shared" si="463"/>
        <v>8.7938993943886823E-3</v>
      </c>
      <c r="AR247" s="61">
        <f>AVERAGE(AR216:AR227)</f>
        <v>-1.7736355794354359E-2</v>
      </c>
    </row>
    <row r="248" spans="1:44">
      <c r="A248" s="102"/>
      <c r="B248" s="60" t="s">
        <v>107</v>
      </c>
      <c r="C248" s="58">
        <f t="shared" ref="C248:H248" si="653">SUM(C240:C240)</f>
        <v>46067.5418984145</v>
      </c>
      <c r="D248" s="58">
        <f t="shared" si="653"/>
        <v>32974.116999999998</v>
      </c>
      <c r="E248" s="58">
        <f t="shared" si="653"/>
        <v>1694.7999999999997</v>
      </c>
      <c r="F248" s="58" t="e">
        <f t="shared" si="653"/>
        <v>#DIV/0!</v>
      </c>
      <c r="G248" s="58">
        <f t="shared" si="653"/>
        <v>1897.6999999999998</v>
      </c>
      <c r="H248" s="58" t="e">
        <f t="shared" si="653"/>
        <v>#DIV/0!</v>
      </c>
      <c r="I248" s="59">
        <f t="shared" ref="I248:P248" si="654">AVERAGE(I240:I240)</f>
        <v>0.80512331913118118</v>
      </c>
      <c r="J248" s="59" t="e">
        <f t="shared" si="654"/>
        <v>#DIV/0!</v>
      </c>
      <c r="K248" s="59">
        <f t="shared" si="654"/>
        <v>0.2140659961943395</v>
      </c>
      <c r="L248" s="59">
        <f t="shared" si="654"/>
        <v>0.15715483472720032</v>
      </c>
      <c r="M248" s="59">
        <f t="shared" si="654"/>
        <v>0.98499999999999988</v>
      </c>
      <c r="N248" s="59" t="e">
        <f t="shared" si="654"/>
        <v>#DIV/0!</v>
      </c>
      <c r="O248" s="59">
        <f t="shared" si="654"/>
        <v>0.9900000000000001</v>
      </c>
      <c r="P248" s="61" t="e">
        <f t="shared" si="654"/>
        <v>#DIV/0!</v>
      </c>
      <c r="Q248" s="83" t="e">
        <f t="shared" si="649"/>
        <v>#DIV/0!</v>
      </c>
      <c r="R248" s="65">
        <f t="shared" si="616"/>
        <v>-0.28422234742386232</v>
      </c>
      <c r="S248" s="59" t="e">
        <f t="shared" si="617"/>
        <v>#DIV/0!</v>
      </c>
      <c r="T248" s="59" t="e">
        <f t="shared" si="618"/>
        <v>#DIV/0!</v>
      </c>
      <c r="U248" s="59" t="e">
        <f t="shared" si="619"/>
        <v>#DIV/0!</v>
      </c>
      <c r="V248" s="61" t="e">
        <f>AVERAGE(V240:V240)</f>
        <v>#DIV/0!</v>
      </c>
      <c r="W248" s="102"/>
      <c r="X248" s="60" t="s">
        <v>107</v>
      </c>
      <c r="Y248" s="58">
        <f t="shared" ref="Y248:AD248" si="655">SUM(Y240:Y240)</f>
        <v>42276.690035955929</v>
      </c>
      <c r="Z248" s="58">
        <f t="shared" si="655"/>
        <v>29220.497999999996</v>
      </c>
      <c r="AA248" s="58">
        <f t="shared" si="655"/>
        <v>1694.7999999999997</v>
      </c>
      <c r="AB248" s="58" t="e">
        <f t="shared" si="655"/>
        <v>#DIV/0!</v>
      </c>
      <c r="AC248" s="58">
        <f t="shared" si="655"/>
        <v>1897.6999999999998</v>
      </c>
      <c r="AD248" s="58" t="e">
        <f t="shared" si="655"/>
        <v>#DIV/0!</v>
      </c>
      <c r="AE248" s="59">
        <f t="shared" ref="AE248:AL248" si="656">AVERAGE(AE240:AE240)</f>
        <v>0.80311806892679083</v>
      </c>
      <c r="AF248" s="59" t="e">
        <f t="shared" si="656"/>
        <v>#DIV/0!</v>
      </c>
      <c r="AG248" s="59">
        <f t="shared" si="656"/>
        <v>0.21012786532644651</v>
      </c>
      <c r="AH248" s="59">
        <f t="shared" si="656"/>
        <v>0.14458095803464757</v>
      </c>
      <c r="AI248" s="59">
        <f t="shared" si="656"/>
        <v>0.98499999999999988</v>
      </c>
      <c r="AJ248" s="59" t="e">
        <f t="shared" si="656"/>
        <v>#DIV/0!</v>
      </c>
      <c r="AK248" s="59">
        <f t="shared" si="656"/>
        <v>0.9900000000000001</v>
      </c>
      <c r="AL248" s="61" t="e">
        <f t="shared" si="656"/>
        <v>#DIV/0!</v>
      </c>
      <c r="AM248" s="83" t="e">
        <f t="shared" si="652"/>
        <v>#DIV/0!</v>
      </c>
      <c r="AN248" s="65">
        <f t="shared" si="459"/>
        <v>-0.30882720536663977</v>
      </c>
      <c r="AO248" s="59" t="e">
        <f t="shared" si="461"/>
        <v>#DIV/0!</v>
      </c>
      <c r="AP248" s="59" t="e">
        <f t="shared" si="462"/>
        <v>#DIV/0!</v>
      </c>
      <c r="AQ248" s="59" t="e">
        <f t="shared" si="463"/>
        <v>#DIV/0!</v>
      </c>
      <c r="AR248" s="61" t="e">
        <f>AVERAGE(AR240:AR240)</f>
        <v>#DIV/0!</v>
      </c>
    </row>
    <row r="249" spans="1:44">
      <c r="B249" s="5"/>
      <c r="C249" s="2"/>
      <c r="D249" s="2"/>
      <c r="E249" s="2"/>
      <c r="F249" s="2"/>
      <c r="G249" s="2"/>
      <c r="H249" s="2"/>
      <c r="I249" s="74"/>
      <c r="J249" s="74"/>
      <c r="K249" s="74"/>
      <c r="L249" s="74"/>
      <c r="M249" s="74"/>
      <c r="N249" s="74"/>
      <c r="O249" s="74"/>
      <c r="P249" s="75"/>
      <c r="Q249" s="113"/>
      <c r="R249" s="97"/>
      <c r="S249" s="74"/>
      <c r="T249" s="74"/>
      <c r="U249" s="74"/>
      <c r="V249" s="75"/>
      <c r="X249" s="5"/>
      <c r="Y249" s="2"/>
      <c r="Z249" s="2"/>
      <c r="AA249" s="2"/>
      <c r="AB249" s="2"/>
      <c r="AC249" s="2"/>
      <c r="AD249" s="2"/>
      <c r="AE249" s="74"/>
      <c r="AF249" s="74"/>
      <c r="AG249" s="74"/>
      <c r="AH249" s="74"/>
      <c r="AI249" s="74"/>
      <c r="AJ249" s="74"/>
      <c r="AK249" s="74"/>
      <c r="AL249" s="75"/>
      <c r="AM249" s="113"/>
      <c r="AN249" s="97"/>
      <c r="AO249" s="74"/>
      <c r="AP249" s="74"/>
      <c r="AQ249" s="74"/>
      <c r="AR249" s="75"/>
    </row>
    <row r="250" spans="1:44" hidden="1">
      <c r="B250" s="60" t="s">
        <v>38</v>
      </c>
      <c r="C250" s="58">
        <f>SUM(C135:C146)</f>
        <v>54856.106837352774</v>
      </c>
      <c r="D250" s="58">
        <f>SUM(D135:D146)</f>
        <v>43074.422000000006</v>
      </c>
      <c r="E250" s="58">
        <f>AVERAGE(E157:E168)</f>
        <v>141.23333333333332</v>
      </c>
      <c r="F250" s="58" t="e">
        <f t="shared" ref="F250:L250" si="657">AVERAGE(F135:F146)</f>
        <v>#DIV/0!</v>
      </c>
      <c r="G250" s="58">
        <f t="shared" si="657"/>
        <v>158.14166666666665</v>
      </c>
      <c r="H250" s="58" t="e">
        <f t="shared" si="657"/>
        <v>#DIV/0!</v>
      </c>
      <c r="I250" s="59">
        <f t="shared" si="657"/>
        <v>0.80512331913118118</v>
      </c>
      <c r="J250" s="59" t="e">
        <f t="shared" si="657"/>
        <v>#DIV/0!</v>
      </c>
      <c r="K250" s="59">
        <f t="shared" si="657"/>
        <v>0.20882591798427211</v>
      </c>
      <c r="L250" s="59">
        <f t="shared" si="657"/>
        <v>0.16413157370071685</v>
      </c>
      <c r="M250" s="59">
        <f>AVERAGE(M168:M179)</f>
        <v>0.98499999999999988</v>
      </c>
      <c r="N250" s="59" t="e">
        <f>AVERAGE(N135:N146)</f>
        <v>#DIV/0!</v>
      </c>
      <c r="O250" s="59">
        <f>AVERAGE(O135:O146)</f>
        <v>0.9900000000000001</v>
      </c>
      <c r="P250" s="61" t="e">
        <f>AVERAGE(P135:P146)</f>
        <v>#DIV/0!</v>
      </c>
      <c r="Q250" s="112" t="e">
        <f t="shared" ref="Q250:Q254" si="658">R250-S250</f>
        <v>#DIV/0!</v>
      </c>
      <c r="R250" s="65">
        <f t="shared" ref="R250:R257" si="659">D250/C250-1</f>
        <v>-0.21477435269486445</v>
      </c>
      <c r="S250" s="59" t="e">
        <f t="shared" ref="S250:S257" si="660">H250/G250-1</f>
        <v>#DIV/0!</v>
      </c>
      <c r="T250" s="59" t="e">
        <f t="shared" ref="T250:T253" si="661">N250-M250</f>
        <v>#DIV/0!</v>
      </c>
      <c r="U250" s="59" t="e">
        <f t="shared" ref="U250:U254" si="662">P250-O250</f>
        <v>#DIV/0!</v>
      </c>
      <c r="V250" s="23"/>
      <c r="X250" s="60" t="s">
        <v>38</v>
      </c>
      <c r="Y250" s="58">
        <f>SUM(Y135:Y146)</f>
        <v>54739.959942541464</v>
      </c>
      <c r="Z250" s="58">
        <f>SUM(Z135:Z146)</f>
        <v>41065.092999999993</v>
      </c>
      <c r="AA250" s="58">
        <f>AVERAGE(AA157:AA168)</f>
        <v>141.23333333333332</v>
      </c>
      <c r="AB250" s="58" t="e">
        <f t="shared" ref="AB250:AH250" si="663">AVERAGE(AB135:AB146)</f>
        <v>#DIV/0!</v>
      </c>
      <c r="AC250" s="58">
        <f t="shared" si="663"/>
        <v>158.14166666666665</v>
      </c>
      <c r="AD250" s="58" t="e">
        <f t="shared" si="663"/>
        <v>#DIV/0!</v>
      </c>
      <c r="AE250" s="59">
        <f t="shared" si="663"/>
        <v>0.80311806892679083</v>
      </c>
      <c r="AF250" s="59" t="e">
        <f t="shared" si="663"/>
        <v>#DIV/0!</v>
      </c>
      <c r="AG250" s="59">
        <f t="shared" si="663"/>
        <v>0.20573618036636568</v>
      </c>
      <c r="AH250" s="59">
        <f t="shared" si="663"/>
        <v>0.15465355046722992</v>
      </c>
      <c r="AI250" s="59">
        <f>AVERAGE(AI168:AI179)</f>
        <v>0.98499999999999988</v>
      </c>
      <c r="AJ250" s="59" t="e">
        <f>AVERAGE(AJ135:AJ146)</f>
        <v>#DIV/0!</v>
      </c>
      <c r="AK250" s="59">
        <f>AVERAGE(AK135:AK146)</f>
        <v>0.9900000000000001</v>
      </c>
      <c r="AL250" s="61" t="e">
        <f>AVERAGE(AL135:AL146)</f>
        <v>#DIV/0!</v>
      </c>
      <c r="AM250" s="112" t="e">
        <f t="shared" ref="AM250:AM254" si="664">AN250-AO250</f>
        <v>#DIV/0!</v>
      </c>
      <c r="AN250" s="65">
        <f t="shared" ref="AN250:AN257" si="665">Z250/Y250-1</f>
        <v>-0.24981507032331551</v>
      </c>
      <c r="AO250" s="59" t="e">
        <f t="shared" ref="AO250:AO257" si="666">AD250/AC250-1</f>
        <v>#DIV/0!</v>
      </c>
      <c r="AP250" s="59" t="e">
        <f t="shared" ref="AP250:AP253" si="667">AJ250-AI250</f>
        <v>#DIV/0!</v>
      </c>
      <c r="AQ250" s="59" t="e">
        <f t="shared" ref="AQ250:AQ254" si="668">AL250-AK250</f>
        <v>#DIV/0!</v>
      </c>
      <c r="AR250" s="23"/>
    </row>
    <row r="251" spans="1:44" hidden="1">
      <c r="B251" s="60" t="s">
        <v>39</v>
      </c>
      <c r="C251" s="58">
        <f>SUM(C147:C158)</f>
        <v>51312.354879485465</v>
      </c>
      <c r="D251" s="58">
        <f>SUM(D147:D158)</f>
        <v>45457.667999999998</v>
      </c>
      <c r="E251" s="58">
        <f>AVERAGE(E158:E169)</f>
        <v>141.23333333333332</v>
      </c>
      <c r="F251" s="58">
        <f t="shared" ref="F251:L251" si="669">AVERAGE(F147:F158)</f>
        <v>123.26888888888887</v>
      </c>
      <c r="G251" s="58">
        <f t="shared" si="669"/>
        <v>158.14166666666665</v>
      </c>
      <c r="H251" s="58">
        <f t="shared" si="669"/>
        <v>137.40694444444443</v>
      </c>
      <c r="I251" s="59">
        <f t="shared" si="669"/>
        <v>0.76352270715076864</v>
      </c>
      <c r="J251" s="59">
        <f t="shared" si="669"/>
        <v>0.7887091480633851</v>
      </c>
      <c r="K251" s="59">
        <f t="shared" si="669"/>
        <v>0.1953351848336311</v>
      </c>
      <c r="L251" s="59">
        <f t="shared" si="669"/>
        <v>0.17282548141747736</v>
      </c>
      <c r="M251" s="59">
        <f>AVERAGE(M169:M180)</f>
        <v>0.98499999999999988</v>
      </c>
      <c r="N251" s="59">
        <f>AVERAGE(N147:N158)</f>
        <v>0.97193465555555536</v>
      </c>
      <c r="O251" s="59">
        <f>AVERAGE(O147:O158)</f>
        <v>0.9900000000000001</v>
      </c>
      <c r="P251" s="61">
        <f>AVERAGE(P147:P158)</f>
        <v>0.98851944444444451</v>
      </c>
      <c r="Q251" s="112">
        <f t="shared" si="658"/>
        <v>1.7015887568236687E-2</v>
      </c>
      <c r="R251" s="65">
        <f t="shared" si="659"/>
        <v>-0.11409897076904874</v>
      </c>
      <c r="S251" s="59">
        <f t="shared" si="660"/>
        <v>-0.13111485833728542</v>
      </c>
      <c r="T251" s="59">
        <f t="shared" si="661"/>
        <v>-1.3065344444444515E-2</v>
      </c>
      <c r="U251" s="59">
        <f t="shared" si="662"/>
        <v>-1.480555555555596E-3</v>
      </c>
      <c r="V251" s="61"/>
      <c r="X251" s="60" t="s">
        <v>39</v>
      </c>
      <c r="Y251" s="58">
        <f>SUM(Y147:Y158)</f>
        <v>51205.307370930568</v>
      </c>
      <c r="Z251" s="58">
        <f>SUM(Z147:Z158)</f>
        <v>47843.05999999999</v>
      </c>
      <c r="AA251" s="58">
        <f>AVERAGE(AA158:AA169)</f>
        <v>141.23333333333332</v>
      </c>
      <c r="AB251" s="58">
        <f t="shared" ref="AB251:AH251" si="670">AVERAGE(AB147:AB158)</f>
        <v>124.69043750000003</v>
      </c>
      <c r="AC251" s="58">
        <f t="shared" si="670"/>
        <v>158.14166666666665</v>
      </c>
      <c r="AD251" s="58">
        <f t="shared" si="670"/>
        <v>140.17000000000002</v>
      </c>
      <c r="AE251" s="59">
        <f t="shared" si="670"/>
        <v>0.76177462086650871</v>
      </c>
      <c r="AF251" s="59">
        <f t="shared" si="670"/>
        <v>0.813049085829333</v>
      </c>
      <c r="AG251" s="59">
        <f t="shared" si="670"/>
        <v>0.19494153098967351</v>
      </c>
      <c r="AH251" s="59">
        <f t="shared" si="670"/>
        <v>0.18218449506101728</v>
      </c>
      <c r="AI251" s="59">
        <f>AVERAGE(AI169:AI180)</f>
        <v>0.98499999999999988</v>
      </c>
      <c r="AJ251" s="59">
        <f>AVERAGE(AJ147:AJ158)</f>
        <v>0.97441706291666674</v>
      </c>
      <c r="AK251" s="59">
        <f>AVERAGE(AK147:AK158)</f>
        <v>0.9900000000000001</v>
      </c>
      <c r="AL251" s="61">
        <f>AVERAGE(AL147:AL158)</f>
        <v>0.98882916666666665</v>
      </c>
      <c r="AM251" s="112">
        <f t="shared" si="664"/>
        <v>4.7980743336650256E-2</v>
      </c>
      <c r="AN251" s="65">
        <f t="shared" si="665"/>
        <v>-6.5662087458522644E-2</v>
      </c>
      <c r="AO251" s="59">
        <f t="shared" si="666"/>
        <v>-0.1136428307951729</v>
      </c>
      <c r="AP251" s="59">
        <f t="shared" si="667"/>
        <v>-1.0582937083333133E-2</v>
      </c>
      <c r="AQ251" s="59">
        <f t="shared" si="668"/>
        <v>-1.1708333333334542E-3</v>
      </c>
      <c r="AR251" s="61"/>
    </row>
    <row r="252" spans="1:44" hidden="1">
      <c r="B252" s="60" t="s">
        <v>68</v>
      </c>
      <c r="C252" s="58">
        <f>SUM(C159:C170)</f>
        <v>51055.793105088029</v>
      </c>
      <c r="D252" s="58">
        <f>SUM(D159:D170)</f>
        <v>45413.112000000001</v>
      </c>
      <c r="E252" s="58">
        <f>AVERAGE(E159:E170)</f>
        <v>141.23333333333332</v>
      </c>
      <c r="F252" s="58">
        <f t="shared" ref="F252:L252" si="671">AVERAGE(F159:F170)</f>
        <v>134.11499999999998</v>
      </c>
      <c r="G252" s="58">
        <f t="shared" si="671"/>
        <v>158.14166666666665</v>
      </c>
      <c r="H252" s="58">
        <f t="shared" si="671"/>
        <v>148.94333333333336</v>
      </c>
      <c r="I252" s="59">
        <f t="shared" si="671"/>
        <v>0.7597050936150147</v>
      </c>
      <c r="J252" s="59">
        <f t="shared" si="671"/>
        <v>0.72887362155177104</v>
      </c>
      <c r="K252" s="59">
        <f t="shared" si="671"/>
        <v>0.19400231165888926</v>
      </c>
      <c r="L252" s="59">
        <f t="shared" si="671"/>
        <v>0.17279225755505823</v>
      </c>
      <c r="M252" s="59">
        <f>AVERAGE(M170:M181)</f>
        <v>0.98499999999999988</v>
      </c>
      <c r="N252" s="59">
        <f>AVERAGE(N159:N170)</f>
        <v>0.96898055555555551</v>
      </c>
      <c r="O252" s="59">
        <f>AVERAGE(O159:O170)</f>
        <v>0.9900000000000001</v>
      </c>
      <c r="P252" s="61">
        <f>AVERAGE(P159:P170)</f>
        <v>0.99133611111111131</v>
      </c>
      <c r="Q252" s="112">
        <f t="shared" si="658"/>
        <v>-5.2354751868217808E-2</v>
      </c>
      <c r="R252" s="65">
        <f t="shared" si="659"/>
        <v>-0.11051989915177129</v>
      </c>
      <c r="S252" s="59">
        <f t="shared" si="660"/>
        <v>-5.8165147283553487E-2</v>
      </c>
      <c r="T252" s="59">
        <f t="shared" si="661"/>
        <v>-1.6019444444444364E-2</v>
      </c>
      <c r="U252" s="59">
        <f t="shared" si="662"/>
        <v>1.3361111111112045E-3</v>
      </c>
      <c r="V252" s="61"/>
      <c r="X252" s="60" t="s">
        <v>68</v>
      </c>
      <c r="Y252" s="58">
        <f>SUM(Y159:Y170)</f>
        <v>50949.280834075922</v>
      </c>
      <c r="Z252" s="58">
        <f>SUM(Z159:Z170)</f>
        <v>46512.144</v>
      </c>
      <c r="AA252" s="58">
        <f>AVERAGE(AA159:AA170)</f>
        <v>141.23333333333332</v>
      </c>
      <c r="AB252" s="58">
        <f t="shared" ref="AB252:AH252" si="672">AVERAGE(AB159:AB170)</f>
        <v>133.95791666666668</v>
      </c>
      <c r="AC252" s="58">
        <f t="shared" si="672"/>
        <v>158.14166666666665</v>
      </c>
      <c r="AD252" s="58">
        <f t="shared" si="672"/>
        <v>147.96770833333335</v>
      </c>
      <c r="AE252" s="59">
        <f t="shared" si="672"/>
        <v>0.75796574776217618</v>
      </c>
      <c r="AF252" s="59">
        <f t="shared" si="672"/>
        <v>0.76534937944269654</v>
      </c>
      <c r="AG252" s="59">
        <f t="shared" si="672"/>
        <v>0.19343395816119022</v>
      </c>
      <c r="AH252" s="59">
        <f t="shared" si="672"/>
        <v>0.17717837527808677</v>
      </c>
      <c r="AI252" s="59">
        <f>AVERAGE(AI170:AI181)</f>
        <v>0.98499999999999988</v>
      </c>
      <c r="AJ252" s="59">
        <f>AVERAGE(AJ159:AJ170)</f>
        <v>0.95389791666666657</v>
      </c>
      <c r="AK252" s="59">
        <f>AVERAGE(AK159:AK170)</f>
        <v>0.9900000000000001</v>
      </c>
      <c r="AL252" s="61">
        <f>AVERAGE(AL159:AL170)</f>
        <v>0.99385000000000001</v>
      </c>
      <c r="AM252" s="112">
        <f t="shared" si="664"/>
        <v>-2.2754835251074024E-2</v>
      </c>
      <c r="AN252" s="65">
        <f t="shared" si="665"/>
        <v>-8.7089292752259517E-2</v>
      </c>
      <c r="AO252" s="59">
        <f t="shared" si="666"/>
        <v>-6.4334457501185494E-2</v>
      </c>
      <c r="AP252" s="59">
        <f t="shared" si="667"/>
        <v>-3.1102083333333308E-2</v>
      </c>
      <c r="AQ252" s="59">
        <f t="shared" si="668"/>
        <v>3.8499999999999091E-3</v>
      </c>
      <c r="AR252" s="61"/>
    </row>
    <row r="253" spans="1:44" hidden="1">
      <c r="B253" s="60" t="s">
        <v>69</v>
      </c>
      <c r="C253" s="58">
        <f>SUM(C171:C182)</f>
        <v>50800.514139562598</v>
      </c>
      <c r="D253" s="58">
        <f>SUM(D171:D182)</f>
        <v>46169.862000000001</v>
      </c>
      <c r="E253" s="58">
        <f t="shared" ref="E253:L253" si="673">AVERAGE(E171:E182)</f>
        <v>141.23333333333332</v>
      </c>
      <c r="F253" s="58">
        <f t="shared" si="673"/>
        <v>137.1</v>
      </c>
      <c r="G253" s="58">
        <f t="shared" si="673"/>
        <v>158.14166666666665</v>
      </c>
      <c r="H253" s="58">
        <f t="shared" si="673"/>
        <v>153.62527777777777</v>
      </c>
      <c r="I253" s="59">
        <f t="shared" si="673"/>
        <v>0.75590656814693968</v>
      </c>
      <c r="J253" s="59">
        <f t="shared" si="673"/>
        <v>0.71802515587031868</v>
      </c>
      <c r="K253" s="59">
        <f t="shared" si="673"/>
        <v>0.19338671636491558</v>
      </c>
      <c r="L253" s="59">
        <f t="shared" si="673"/>
        <v>0.17577217843275306</v>
      </c>
      <c r="M253" s="59">
        <f>AVERAGE(M171:M182)</f>
        <v>0.98499999999999988</v>
      </c>
      <c r="N253" s="59">
        <f>AVERAGE(N171:N182)</f>
        <v>0.96776404889912959</v>
      </c>
      <c r="O253" s="59">
        <f>AVERAGE(O171:O182)</f>
        <v>0.9900000000000001</v>
      </c>
      <c r="P253" s="61">
        <f>AVERAGE(P171:P182)</f>
        <v>0.99686666666666657</v>
      </c>
      <c r="Q253" s="112">
        <f t="shared" si="658"/>
        <v>-6.2594514137809143E-2</v>
      </c>
      <c r="R253" s="65">
        <f t="shared" si="659"/>
        <v>-9.1153647123353054E-2</v>
      </c>
      <c r="S253" s="59">
        <f t="shared" si="660"/>
        <v>-2.8559132985543911E-2</v>
      </c>
      <c r="T253" s="59">
        <f t="shared" si="661"/>
        <v>-1.7235951100870284E-2</v>
      </c>
      <c r="U253" s="59">
        <f t="shared" si="662"/>
        <v>6.8666666666664655E-3</v>
      </c>
      <c r="V253" s="61"/>
      <c r="X253" s="60" t="s">
        <v>69</v>
      </c>
      <c r="Y253" s="58">
        <f>SUM(Y171:Y182)</f>
        <v>50694.534429905543</v>
      </c>
      <c r="Z253" s="58">
        <f>SUM(Z171:Z182)</f>
        <v>47582.820000000007</v>
      </c>
      <c r="AA253" s="58">
        <f t="shared" ref="AA253:AH253" si="674">AVERAGE(AA171:AA182)</f>
        <v>141.23333333333332</v>
      </c>
      <c r="AB253" s="58">
        <f t="shared" si="674"/>
        <v>137.45833333333331</v>
      </c>
      <c r="AC253" s="58">
        <f t="shared" si="674"/>
        <v>158.14166666666665</v>
      </c>
      <c r="AD253" s="58">
        <f t="shared" si="674"/>
        <v>154.13479166666664</v>
      </c>
      <c r="AE253" s="59">
        <f t="shared" si="674"/>
        <v>0.75417591902336534</v>
      </c>
      <c r="AF253" s="59">
        <f t="shared" si="674"/>
        <v>0.74437110722489386</v>
      </c>
      <c r="AG253" s="59">
        <f t="shared" si="674"/>
        <v>0.19299698921805153</v>
      </c>
      <c r="AH253" s="59">
        <f t="shared" si="674"/>
        <v>0.18132781630024322</v>
      </c>
      <c r="AI253" s="59">
        <f>AVERAGE(AI171:AI182)</f>
        <v>0.98499999999999988</v>
      </c>
      <c r="AJ253" s="59">
        <f>AVERAGE(AJ171:AJ182)</f>
        <v>0.96098978690044179</v>
      </c>
      <c r="AK253" s="59">
        <f>AVERAGE(AK171:AK182)</f>
        <v>0.9900000000000001</v>
      </c>
      <c r="AL253" s="61">
        <f>AVERAGE(AL171:AL182)</f>
        <v>0.99764166666666665</v>
      </c>
      <c r="AM253" s="112">
        <f t="shared" si="664"/>
        <v>-3.6044404785217865E-2</v>
      </c>
      <c r="AN253" s="65">
        <f t="shared" si="665"/>
        <v>-6.1381655140911651E-2</v>
      </c>
      <c r="AO253" s="59">
        <f t="shared" si="666"/>
        <v>-2.5337250355693786E-2</v>
      </c>
      <c r="AP253" s="59">
        <f t="shared" si="667"/>
        <v>-2.4010213099558086E-2</v>
      </c>
      <c r="AQ253" s="59">
        <f t="shared" si="668"/>
        <v>7.6416666666665467E-3</v>
      </c>
      <c r="AR253" s="61"/>
    </row>
    <row r="254" spans="1:44" hidden="1">
      <c r="B254" s="60" t="s">
        <v>70</v>
      </c>
      <c r="C254" s="58">
        <f>SUM(C183:C194)</f>
        <v>50546.511568864786</v>
      </c>
      <c r="D254" s="58">
        <f>SUM(D183:D194)</f>
        <v>45838.944000000003</v>
      </c>
      <c r="E254" s="58">
        <f t="shared" ref="E254:P254" si="675">AVERAGE(E183:E194)</f>
        <v>141.23333333333332</v>
      </c>
      <c r="F254" s="58">
        <f t="shared" si="675"/>
        <v>133.065</v>
      </c>
      <c r="G254" s="58">
        <f t="shared" si="675"/>
        <v>158.14166666666665</v>
      </c>
      <c r="H254" s="58">
        <f t="shared" si="675"/>
        <v>151.05027777777778</v>
      </c>
      <c r="I254" s="59">
        <f t="shared" si="675"/>
        <v>0.75212703530620495</v>
      </c>
      <c r="J254" s="59">
        <f t="shared" si="675"/>
        <v>0.71911582237963279</v>
      </c>
      <c r="K254" s="59">
        <f t="shared" si="675"/>
        <v>0.19241978278309105</v>
      </c>
      <c r="L254" s="59">
        <f t="shared" si="675"/>
        <v>0.17467928459421408</v>
      </c>
      <c r="M254" s="59">
        <f t="shared" si="675"/>
        <v>0.98499999999999988</v>
      </c>
      <c r="N254" s="59">
        <f t="shared" si="675"/>
        <v>0.98159895671509367</v>
      </c>
      <c r="O254" s="59">
        <f t="shared" si="675"/>
        <v>0.9900000000000001</v>
      </c>
      <c r="P254" s="61">
        <f t="shared" si="675"/>
        <v>0.99860183094384702</v>
      </c>
      <c r="Q254" s="83">
        <f t="shared" si="658"/>
        <v>-4.8291380242102777E-2</v>
      </c>
      <c r="R254" s="65">
        <f t="shared" si="659"/>
        <v>-9.3133381963484752E-2</v>
      </c>
      <c r="S254" s="59">
        <f t="shared" si="660"/>
        <v>-4.4842001721381974E-2</v>
      </c>
      <c r="T254" s="59">
        <f>N254-M254</f>
        <v>-3.4010432849062022E-3</v>
      </c>
      <c r="U254" s="59">
        <f t="shared" si="662"/>
        <v>8.601830943846922E-3</v>
      </c>
      <c r="V254" s="61">
        <f>AVERAGE(V183:V194)</f>
        <v>-1.3325060907142194E-2</v>
      </c>
      <c r="X254" s="60" t="s">
        <v>70</v>
      </c>
      <c r="Y254" s="58">
        <f>SUM(Y183:Y194)</f>
        <v>50441.061757756004</v>
      </c>
      <c r="Z254" s="58">
        <f>SUM(Z183:Z194)</f>
        <v>47158.803</v>
      </c>
      <c r="AA254" s="58">
        <f t="shared" ref="AA254:AL254" si="676">AVERAGE(AA183:AA194)</f>
        <v>141.23333333333332</v>
      </c>
      <c r="AB254" s="58">
        <f t="shared" si="676"/>
        <v>134.93979166666665</v>
      </c>
      <c r="AC254" s="58">
        <f t="shared" si="676"/>
        <v>158.14166666666665</v>
      </c>
      <c r="AD254" s="58">
        <f t="shared" si="676"/>
        <v>151.33420833333332</v>
      </c>
      <c r="AE254" s="59">
        <f t="shared" si="676"/>
        <v>0.75040503942824843</v>
      </c>
      <c r="AF254" s="59">
        <f t="shared" si="676"/>
        <v>0.74220085781762712</v>
      </c>
      <c r="AG254" s="59">
        <f t="shared" si="676"/>
        <v>0.19203200427196129</v>
      </c>
      <c r="AH254" s="59">
        <f t="shared" si="676"/>
        <v>0.17960083193324372</v>
      </c>
      <c r="AI254" s="59">
        <f t="shared" si="676"/>
        <v>0.98499999999999988</v>
      </c>
      <c r="AJ254" s="59">
        <f t="shared" si="676"/>
        <v>0.97630044089414569</v>
      </c>
      <c r="AK254" s="59">
        <f t="shared" si="676"/>
        <v>0.9900000000000001</v>
      </c>
      <c r="AL254" s="61">
        <f t="shared" si="676"/>
        <v>0.99820567204301069</v>
      </c>
      <c r="AM254" s="83">
        <f t="shared" si="664"/>
        <v>-2.2024584383034895E-2</v>
      </c>
      <c r="AN254" s="65">
        <f t="shared" si="665"/>
        <v>-6.5071167088415094E-2</v>
      </c>
      <c r="AO254" s="59">
        <f t="shared" si="666"/>
        <v>-4.3046582705380199E-2</v>
      </c>
      <c r="AP254" s="59">
        <f>AJ254-AI254</f>
        <v>-8.6995591058541821E-3</v>
      </c>
      <c r="AQ254" s="59">
        <f t="shared" si="668"/>
        <v>8.2056720430105923E-3</v>
      </c>
      <c r="AR254" s="61">
        <f>AVERAGE(AR183:AR194)</f>
        <v>-1.2883451897052445E-2</v>
      </c>
    </row>
    <row r="255" spans="1:44" hidden="1">
      <c r="B255" s="60" t="s">
        <v>71</v>
      </c>
      <c r="C255" s="58">
        <f>SUM(C195:C206)</f>
        <v>50293.779011020451</v>
      </c>
      <c r="D255" s="58">
        <f>SUM(D195:D206)</f>
        <v>45306.575999999994</v>
      </c>
      <c r="E255" s="58">
        <f t="shared" ref="E255:P255" si="677">AVERAGE(E195:E206)</f>
        <v>141.23333333333332</v>
      </c>
      <c r="F255" s="58">
        <f t="shared" si="677"/>
        <v>131.11305555555555</v>
      </c>
      <c r="G255" s="58">
        <f t="shared" si="677"/>
        <v>158.14166666666665</v>
      </c>
      <c r="H255" s="58">
        <f t="shared" si="677"/>
        <v>150.62583333333333</v>
      </c>
      <c r="I255" s="59">
        <f t="shared" si="677"/>
        <v>0.74836640012967404</v>
      </c>
      <c r="J255" s="59">
        <f t="shared" si="677"/>
        <v>0.70631668797000824</v>
      </c>
      <c r="K255" s="59">
        <f t="shared" si="677"/>
        <v>0.19145768386917561</v>
      </c>
      <c r="L255" s="59">
        <f t="shared" si="677"/>
        <v>0.1725455485684417</v>
      </c>
      <c r="M255" s="59">
        <f t="shared" si="677"/>
        <v>0.98499999999999988</v>
      </c>
      <c r="N255" s="59">
        <f t="shared" si="677"/>
        <v>0.98847672324613922</v>
      </c>
      <c r="O255" s="59">
        <f t="shared" si="677"/>
        <v>0.9900000000000001</v>
      </c>
      <c r="P255" s="61">
        <f t="shared" si="677"/>
        <v>0.99976696428571421</v>
      </c>
      <c r="Q255" s="83">
        <f>R255-S255</f>
        <v>-5.1635476819080095E-2</v>
      </c>
      <c r="R255" s="65">
        <f t="shared" si="659"/>
        <v>-9.9161429287857983E-2</v>
      </c>
      <c r="S255" s="59">
        <f t="shared" si="660"/>
        <v>-4.7525952468777888E-2</v>
      </c>
      <c r="T255" s="59">
        <f>N255-M255</f>
        <v>3.476723246139346E-3</v>
      </c>
      <c r="U255" s="59">
        <f>P255-O255</f>
        <v>9.7669642857141081E-3</v>
      </c>
      <c r="V255" s="61">
        <f>AVERAGE(V195:V206)</f>
        <v>-1.4725848797313215E-2</v>
      </c>
      <c r="X255" s="60" t="s">
        <v>71</v>
      </c>
      <c r="Y255" s="58">
        <f>SUM(Y195:Y206)</f>
        <v>50188.856448967228</v>
      </c>
      <c r="Z255" s="58">
        <f>SUM(Z195:Z206)</f>
        <v>46323.456000000006</v>
      </c>
      <c r="AA255" s="58">
        <f t="shared" ref="AA255:AL255" si="678">AVERAGE(AA195:AA206)</f>
        <v>141.00145833333332</v>
      </c>
      <c r="AB255" s="58">
        <f t="shared" si="678"/>
        <v>135.861875</v>
      </c>
      <c r="AC255" s="58">
        <f t="shared" si="678"/>
        <v>158.14166666666665</v>
      </c>
      <c r="AD255" s="58">
        <f t="shared" si="678"/>
        <v>151.54333333333335</v>
      </c>
      <c r="AE255" s="59">
        <f t="shared" si="678"/>
        <v>0.74665301423110719</v>
      </c>
      <c r="AF255" s="59">
        <f t="shared" si="678"/>
        <v>0.71962958914190267</v>
      </c>
      <c r="AG255" s="59">
        <f t="shared" si="678"/>
        <v>0.19107184425060145</v>
      </c>
      <c r="AH255" s="59">
        <f t="shared" si="678"/>
        <v>0.17664454289074502</v>
      </c>
      <c r="AI255" s="59">
        <f t="shared" si="678"/>
        <v>0.98499999999999988</v>
      </c>
      <c r="AJ255" s="59">
        <f t="shared" si="678"/>
        <v>0.98655737119344911</v>
      </c>
      <c r="AK255" s="59">
        <f t="shared" si="678"/>
        <v>0.9900000000000001</v>
      </c>
      <c r="AL255" s="61">
        <f t="shared" si="678"/>
        <v>0.99933983166922669</v>
      </c>
      <c r="AM255" s="83">
        <f>AN255-AO255</f>
        <v>-3.5292912995003478E-2</v>
      </c>
      <c r="AN255" s="65">
        <f t="shared" si="665"/>
        <v>-7.7017105438487499E-2</v>
      </c>
      <c r="AO255" s="59">
        <f t="shared" si="666"/>
        <v>-4.1724192443484021E-2</v>
      </c>
      <c r="AP255" s="59">
        <f>AJ255-AI255</f>
        <v>1.5573711934492307E-3</v>
      </c>
      <c r="AQ255" s="59">
        <f>AL255-AK255</f>
        <v>9.3398316692265837E-3</v>
      </c>
      <c r="AR255" s="61">
        <f>AVERAGE(AR195:AR206)</f>
        <v>-1.4283060400025171E-2</v>
      </c>
    </row>
    <row r="256" spans="1:44" hidden="1">
      <c r="B256" s="60" t="s">
        <v>72</v>
      </c>
      <c r="C256" s="58">
        <f>SUM(C207:C218)</f>
        <v>50042.310115965345</v>
      </c>
      <c r="D256" s="58">
        <f>SUM(D207:D218)</f>
        <v>42995.166000000005</v>
      </c>
      <c r="E256" s="58">
        <f t="shared" ref="E256:P256" si="679">AVERAGE(E207:E218)</f>
        <v>141.23333333333332</v>
      </c>
      <c r="F256" s="58">
        <f t="shared" si="679"/>
        <v>131.72638888888889</v>
      </c>
      <c r="G256" s="58">
        <f t="shared" si="679"/>
        <v>158.14166666666665</v>
      </c>
      <c r="H256" s="58">
        <f t="shared" si="679"/>
        <v>147.23111111111112</v>
      </c>
      <c r="I256" s="59">
        <f t="shared" si="679"/>
        <v>0.74462456812902555</v>
      </c>
      <c r="J256" s="59">
        <f t="shared" si="679"/>
        <v>0.69597383781042632</v>
      </c>
      <c r="K256" s="59">
        <f t="shared" si="679"/>
        <v>0.19050039544982969</v>
      </c>
      <c r="L256" s="59">
        <f t="shared" si="679"/>
        <v>0.16336399592654394</v>
      </c>
      <c r="M256" s="59">
        <f t="shared" si="679"/>
        <v>0.98499999999999988</v>
      </c>
      <c r="N256" s="59">
        <f t="shared" si="679"/>
        <v>0.97347548386329941</v>
      </c>
      <c r="O256" s="59">
        <f t="shared" si="679"/>
        <v>0.9900000000000001</v>
      </c>
      <c r="P256" s="61">
        <f t="shared" si="679"/>
        <v>0.99905968668891365</v>
      </c>
      <c r="Q256" s="83">
        <f>R256-S256</f>
        <v>-7.1831428052261059E-2</v>
      </c>
      <c r="R256" s="65">
        <f t="shared" si="659"/>
        <v>-0.14082371696339901</v>
      </c>
      <c r="S256" s="59">
        <f t="shared" si="660"/>
        <v>-6.8992288911137956E-2</v>
      </c>
      <c r="T256" s="59">
        <f>N256-M256</f>
        <v>-1.1524516136700469E-2</v>
      </c>
      <c r="U256" s="59">
        <f>P256-O256</f>
        <v>9.0596866889135486E-3</v>
      </c>
      <c r="V256" s="61">
        <f>AVERAGE(V207:V218)</f>
        <v>-1.5413784655470721E-2</v>
      </c>
      <c r="X256" s="60" t="s">
        <v>72</v>
      </c>
      <c r="Y256" s="58">
        <f>SUM(Y207:Y218)</f>
        <v>49937.912166722395</v>
      </c>
      <c r="Z256" s="58">
        <f>SUM(Z207:Z218)</f>
        <v>43706.397000000012</v>
      </c>
      <c r="AA256" s="58">
        <f t="shared" ref="AA256:AL256" si="680">AVERAGE(AA207:AA218)</f>
        <v>141.23333333333332</v>
      </c>
      <c r="AB256" s="58">
        <f t="shared" si="680"/>
        <v>131.83291666666665</v>
      </c>
      <c r="AC256" s="58">
        <f t="shared" si="680"/>
        <v>158.14166666666665</v>
      </c>
      <c r="AD256" s="58">
        <f t="shared" si="680"/>
        <v>147.75624999999999</v>
      </c>
      <c r="AE256" s="59">
        <f t="shared" si="680"/>
        <v>0.74291974915995163</v>
      </c>
      <c r="AF256" s="59">
        <f t="shared" si="680"/>
        <v>0.70889502161868279</v>
      </c>
      <c r="AG256" s="59">
        <f t="shared" si="680"/>
        <v>0.19011648502934844</v>
      </c>
      <c r="AH256" s="59">
        <f t="shared" si="680"/>
        <v>0.16643971754881967</v>
      </c>
      <c r="AI256" s="59">
        <f t="shared" si="680"/>
        <v>0.98499999999999988</v>
      </c>
      <c r="AJ256" s="59">
        <f t="shared" si="680"/>
        <v>0.97005611245432999</v>
      </c>
      <c r="AK256" s="59">
        <f t="shared" si="680"/>
        <v>0.9900000000000001</v>
      </c>
      <c r="AL256" s="61">
        <f t="shared" si="680"/>
        <v>0.99873754634779388</v>
      </c>
      <c r="AM256" s="83">
        <f>AN256-AO256</f>
        <v>-5.9113653792025711E-2</v>
      </c>
      <c r="AN256" s="65">
        <f t="shared" si="665"/>
        <v>-0.12478525625816883</v>
      </c>
      <c r="AO256" s="59">
        <f t="shared" si="666"/>
        <v>-6.567160246614312E-2</v>
      </c>
      <c r="AP256" s="59">
        <f>AJ256-AI256</f>
        <v>-1.4943887545669887E-2</v>
      </c>
      <c r="AQ256" s="59">
        <f>AL256-AK256</f>
        <v>8.7375463477937787E-3</v>
      </c>
      <c r="AR256" s="61">
        <f>AVERAGE(AR207:AR218)</f>
        <v>-1.511421193402296E-2</v>
      </c>
    </row>
    <row r="257" spans="2:44" ht="15.75" thickBot="1">
      <c r="B257" s="60" t="s">
        <v>75</v>
      </c>
      <c r="C257" s="58">
        <f>SUM(C219:C240)</f>
        <v>87309.20543360681</v>
      </c>
      <c r="D257" s="58">
        <f>SUM(D219:D240)</f>
        <v>69153.52900000001</v>
      </c>
      <c r="E257" s="58">
        <f t="shared" ref="E257:P257" si="681">AVERAGE(E219:E240)</f>
        <v>283.64545454545447</v>
      </c>
      <c r="F257" s="58" t="e">
        <f t="shared" si="681"/>
        <v>#DIV/0!</v>
      </c>
      <c r="G257" s="58">
        <f t="shared" si="681"/>
        <v>315.46363636363634</v>
      </c>
      <c r="H257" s="58" t="e">
        <f t="shared" si="681"/>
        <v>#DIV/0!</v>
      </c>
      <c r="I257" s="59">
        <f t="shared" si="681"/>
        <v>0.74646082763266353</v>
      </c>
      <c r="J257" s="59" t="e">
        <f t="shared" si="681"/>
        <v>#DIV/0!</v>
      </c>
      <c r="K257" s="59">
        <f t="shared" si="681"/>
        <v>0.18981823878497614</v>
      </c>
      <c r="L257" s="59">
        <f t="shared" si="681"/>
        <v>0.16366931619057962</v>
      </c>
      <c r="M257" s="59">
        <f t="shared" si="681"/>
        <v>0.98499999999999988</v>
      </c>
      <c r="N257" s="59" t="e">
        <f t="shared" si="681"/>
        <v>#DIV/0!</v>
      </c>
      <c r="O257" s="59">
        <f t="shared" si="681"/>
        <v>0.9900000000000001</v>
      </c>
      <c r="P257" s="61" t="e">
        <f t="shared" si="681"/>
        <v>#DIV/0!</v>
      </c>
      <c r="Q257" s="83" t="e">
        <f>R257-S257</f>
        <v>#DIV/0!</v>
      </c>
      <c r="R257" s="65">
        <f t="shared" si="659"/>
        <v>-0.20794687505675513</v>
      </c>
      <c r="S257" s="59" t="e">
        <f t="shared" si="660"/>
        <v>#DIV/0!</v>
      </c>
      <c r="T257" s="59" t="e">
        <f>N257-M257</f>
        <v>#DIV/0!</v>
      </c>
      <c r="U257" s="59" t="e">
        <f>P257-O257</f>
        <v>#DIV/0!</v>
      </c>
      <c r="V257" s="61" t="e">
        <f>AVERAGE(V219:V240)</f>
        <v>#DIV/0!</v>
      </c>
      <c r="X257" s="60" t="s">
        <v>75</v>
      </c>
      <c r="Y257" s="58">
        <f>SUM(Y219:Y240)</f>
        <v>83430.088123476991</v>
      </c>
      <c r="Z257" s="58">
        <f>SUM(Z219:Z240)</f>
        <v>65990.240999999995</v>
      </c>
      <c r="AA257" s="58">
        <f t="shared" ref="AA257:AL257" si="682">AVERAGE(AA219:AA240)</f>
        <v>283.64545454545447</v>
      </c>
      <c r="AB257" s="58" t="e">
        <f t="shared" si="682"/>
        <v>#DIV/0!</v>
      </c>
      <c r="AC257" s="58">
        <f t="shared" si="682"/>
        <v>315.46363636363634</v>
      </c>
      <c r="AD257" s="58" t="e">
        <f t="shared" si="682"/>
        <v>#DIV/0!</v>
      </c>
      <c r="AE257" s="59">
        <f t="shared" si="682"/>
        <v>0.74468875808386759</v>
      </c>
      <c r="AF257" s="59" t="e">
        <f t="shared" si="682"/>
        <v>#DIV/0!</v>
      </c>
      <c r="AG257" s="59">
        <f t="shared" si="682"/>
        <v>0.18910928744027924</v>
      </c>
      <c r="AH257" s="59">
        <f t="shared" si="682"/>
        <v>0.1654601347480178</v>
      </c>
      <c r="AI257" s="59">
        <f t="shared" si="682"/>
        <v>0.98499999999999988</v>
      </c>
      <c r="AJ257" s="59" t="e">
        <f t="shared" si="682"/>
        <v>#DIV/0!</v>
      </c>
      <c r="AK257" s="59">
        <f t="shared" si="682"/>
        <v>0.9900000000000001</v>
      </c>
      <c r="AL257" s="61" t="e">
        <f t="shared" si="682"/>
        <v>#DIV/0!</v>
      </c>
      <c r="AM257" s="83" t="e">
        <f>AN257-AO257</f>
        <v>#DIV/0!</v>
      </c>
      <c r="AN257" s="65">
        <f t="shared" si="665"/>
        <v>-0.20903546329312184</v>
      </c>
      <c r="AO257" s="59" t="e">
        <f t="shared" si="666"/>
        <v>#DIV/0!</v>
      </c>
      <c r="AP257" s="59" t="e">
        <f>AJ257-AI257</f>
        <v>#DIV/0!</v>
      </c>
      <c r="AQ257" s="59" t="e">
        <f>AL257-AK257</f>
        <v>#DIV/0!</v>
      </c>
      <c r="AR257" s="61" t="e">
        <f>AVERAGE(AR219:AR240)</f>
        <v>#DIV/0!</v>
      </c>
    </row>
    <row r="258" spans="2:44" ht="14.65" customHeight="1" thickBot="1">
      <c r="B258" s="221" t="s">
        <v>17</v>
      </c>
      <c r="C258" s="222"/>
      <c r="D258" s="222"/>
      <c r="E258" s="222"/>
      <c r="F258" s="222"/>
      <c r="G258" s="222"/>
      <c r="H258" s="222"/>
      <c r="I258" s="222"/>
      <c r="J258" s="222"/>
      <c r="K258" s="222"/>
      <c r="L258" s="222"/>
      <c r="M258" s="222"/>
      <c r="N258" s="222"/>
      <c r="O258" s="222"/>
      <c r="P258" s="223"/>
      <c r="R258" s="215" t="s">
        <v>29</v>
      </c>
      <c r="S258" s="216"/>
      <c r="T258" s="216"/>
      <c r="U258" s="216"/>
      <c r="V258" s="217"/>
      <c r="X258" s="218" t="s">
        <v>11</v>
      </c>
      <c r="Y258" s="219"/>
      <c r="Z258" s="219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19"/>
      <c r="AL258" s="220"/>
      <c r="AM258" s="1"/>
      <c r="AN258" s="215" t="s">
        <v>33</v>
      </c>
      <c r="AO258" s="216"/>
      <c r="AP258" s="216"/>
      <c r="AQ258" s="216"/>
      <c r="AR258" s="217"/>
    </row>
    <row r="259" spans="2:44" ht="60">
      <c r="B259" s="7" t="s">
        <v>0</v>
      </c>
      <c r="C259" s="6" t="s">
        <v>1</v>
      </c>
      <c r="D259" s="6" t="s">
        <v>2</v>
      </c>
      <c r="E259" s="8" t="s">
        <v>4</v>
      </c>
      <c r="F259" s="8" t="s">
        <v>3</v>
      </c>
      <c r="G259" s="8" t="s">
        <v>5</v>
      </c>
      <c r="H259" s="8" t="s">
        <v>6</v>
      </c>
      <c r="I259" s="8" t="s">
        <v>19</v>
      </c>
      <c r="J259" s="6" t="s">
        <v>18</v>
      </c>
      <c r="K259" s="6" t="s">
        <v>41</v>
      </c>
      <c r="L259" s="6" t="s">
        <v>24</v>
      </c>
      <c r="M259" s="8" t="s">
        <v>20</v>
      </c>
      <c r="N259" s="8" t="s">
        <v>21</v>
      </c>
      <c r="O259" s="8" t="s">
        <v>22</v>
      </c>
      <c r="P259" s="9" t="s">
        <v>23</v>
      </c>
      <c r="R259" s="66" t="s">
        <v>25</v>
      </c>
      <c r="S259" s="67" t="s">
        <v>26</v>
      </c>
      <c r="T259" s="67" t="s">
        <v>27</v>
      </c>
      <c r="U259" s="67" t="s">
        <v>28</v>
      </c>
      <c r="V259" s="68" t="s">
        <v>40</v>
      </c>
      <c r="W259" s="42"/>
      <c r="X259" s="7" t="s">
        <v>0</v>
      </c>
      <c r="Y259" s="6" t="s">
        <v>1</v>
      </c>
      <c r="Z259" s="6" t="s">
        <v>2</v>
      </c>
      <c r="AA259" s="6" t="s">
        <v>4</v>
      </c>
      <c r="AB259" s="6" t="s">
        <v>3</v>
      </c>
      <c r="AC259" s="6" t="s">
        <v>5</v>
      </c>
      <c r="AD259" s="6" t="s">
        <v>6</v>
      </c>
      <c r="AE259" s="8" t="s">
        <v>19</v>
      </c>
      <c r="AF259" s="8" t="s">
        <v>18</v>
      </c>
      <c r="AG259" s="6" t="s">
        <v>41</v>
      </c>
      <c r="AH259" s="6" t="s">
        <v>24</v>
      </c>
      <c r="AI259" s="8" t="s">
        <v>20</v>
      </c>
      <c r="AJ259" s="8" t="s">
        <v>21</v>
      </c>
      <c r="AK259" s="8" t="s">
        <v>22</v>
      </c>
      <c r="AL259" s="9" t="s">
        <v>23</v>
      </c>
      <c r="AM259" s="1"/>
      <c r="AN259" s="66" t="s">
        <v>25</v>
      </c>
      <c r="AO259" s="67" t="s">
        <v>26</v>
      </c>
      <c r="AP259" s="67" t="s">
        <v>27</v>
      </c>
      <c r="AQ259" s="67" t="s">
        <v>28</v>
      </c>
      <c r="AR259" s="68" t="s">
        <v>40</v>
      </c>
    </row>
    <row r="260" spans="2:44" ht="14.65" hidden="1" customHeight="1">
      <c r="B260" s="5">
        <v>42766</v>
      </c>
      <c r="C260" s="2">
        <v>99</v>
      </c>
      <c r="D260" s="2">
        <v>0</v>
      </c>
      <c r="E260" s="2">
        <v>79.599999999999994</v>
      </c>
      <c r="F260" s="2"/>
      <c r="G260" s="2">
        <v>103.2</v>
      </c>
      <c r="H260" s="2"/>
      <c r="I260" s="12">
        <v>0.83330457335440766</v>
      </c>
      <c r="J260" s="2"/>
      <c r="K260" s="2"/>
      <c r="L260" s="2"/>
      <c r="M260" s="13">
        <v>0.98499999999999999</v>
      </c>
      <c r="N260" s="2"/>
      <c r="O260" s="10">
        <v>0.99</v>
      </c>
      <c r="P260" s="3"/>
      <c r="R260" s="77"/>
      <c r="S260" s="78"/>
      <c r="T260" s="78"/>
      <c r="U260" s="78"/>
      <c r="V260" s="79"/>
      <c r="W260" s="1"/>
      <c r="X260" s="5">
        <v>42766</v>
      </c>
      <c r="Y260" s="2"/>
      <c r="Z260" s="2">
        <v>0</v>
      </c>
      <c r="AA260" s="2">
        <v>79.599999999999994</v>
      </c>
      <c r="AB260" s="2"/>
      <c r="AC260" s="2">
        <v>103.2</v>
      </c>
      <c r="AD260" s="2"/>
      <c r="AE260" s="12">
        <v>0.82763481424572438</v>
      </c>
      <c r="AF260" s="2"/>
      <c r="AG260" s="2"/>
      <c r="AH260" s="2"/>
      <c r="AI260" s="10">
        <v>0.98499999999999999</v>
      </c>
      <c r="AJ260" s="2"/>
      <c r="AK260" s="10">
        <v>0.99</v>
      </c>
      <c r="AL260" s="3"/>
      <c r="AM260" s="1"/>
      <c r="AN260" s="77"/>
      <c r="AO260" s="78"/>
      <c r="AP260" s="78"/>
      <c r="AQ260" s="78"/>
      <c r="AR260" s="79"/>
    </row>
    <row r="261" spans="2:44" ht="14.65" hidden="1" customHeight="1">
      <c r="B261" s="5">
        <v>42794</v>
      </c>
      <c r="C261" s="2"/>
      <c r="D261" s="2">
        <v>100.501</v>
      </c>
      <c r="E261" s="2">
        <v>108.1</v>
      </c>
      <c r="F261" s="2"/>
      <c r="G261" s="2">
        <v>137.5</v>
      </c>
      <c r="H261" s="2"/>
      <c r="I261" s="14">
        <v>0.81924583515313509</v>
      </c>
      <c r="J261" s="2"/>
      <c r="K261" s="2"/>
      <c r="L261" s="2"/>
      <c r="M261" s="11">
        <v>0.98499999999999999</v>
      </c>
      <c r="N261" s="2"/>
      <c r="O261" s="10">
        <v>0.99</v>
      </c>
      <c r="P261" s="3"/>
      <c r="R261" s="77"/>
      <c r="S261" s="78"/>
      <c r="T261" s="78"/>
      <c r="U261" s="78"/>
      <c r="V261" s="79"/>
      <c r="W261" s="1"/>
      <c r="X261" s="5">
        <v>42794</v>
      </c>
      <c r="Y261" s="2"/>
      <c r="Z261" s="2">
        <v>0</v>
      </c>
      <c r="AA261" s="2">
        <v>108.1</v>
      </c>
      <c r="AB261" s="2"/>
      <c r="AC261" s="2">
        <v>137.5</v>
      </c>
      <c r="AD261" s="2"/>
      <c r="AE261" s="14">
        <v>0.81555559393111998</v>
      </c>
      <c r="AF261" s="2"/>
      <c r="AG261" s="2"/>
      <c r="AH261" s="2"/>
      <c r="AI261" s="10">
        <v>0.98499999999999999</v>
      </c>
      <c r="AJ261" s="2"/>
      <c r="AK261" s="10">
        <v>0.99</v>
      </c>
      <c r="AL261" s="3"/>
      <c r="AM261" s="1"/>
      <c r="AN261" s="77"/>
      <c r="AO261" s="78"/>
      <c r="AP261" s="78"/>
      <c r="AQ261" s="78"/>
      <c r="AR261" s="79"/>
    </row>
    <row r="262" spans="2:44" ht="14.65" hidden="1" customHeight="1">
      <c r="B262" s="5">
        <v>42825</v>
      </c>
      <c r="C262" s="2">
        <v>1807.8995808482773</v>
      </c>
      <c r="D262" s="2">
        <v>817.18799999999999</v>
      </c>
      <c r="E262" s="2">
        <v>161.4</v>
      </c>
      <c r="F262" s="2"/>
      <c r="G262" s="2">
        <v>187.8</v>
      </c>
      <c r="H262" s="2"/>
      <c r="I262" s="14">
        <v>0.80222736104378645</v>
      </c>
      <c r="J262" s="2"/>
      <c r="K262" s="2"/>
      <c r="L262" s="2"/>
      <c r="M262" s="11">
        <v>0.98499999999999999</v>
      </c>
      <c r="N262" s="2"/>
      <c r="O262" s="10">
        <v>0.99</v>
      </c>
      <c r="P262" s="3"/>
      <c r="R262" s="81">
        <f>D262/C262-1</f>
        <v>-0.5479903814035012</v>
      </c>
      <c r="S262" s="78"/>
      <c r="T262" s="78"/>
      <c r="U262" s="78"/>
      <c r="V262" s="79"/>
      <c r="W262" s="1"/>
      <c r="X262" s="5">
        <v>42825</v>
      </c>
      <c r="Y262" s="2"/>
      <c r="Z262" s="2">
        <v>7.08</v>
      </c>
      <c r="AA262" s="2">
        <v>161.4</v>
      </c>
      <c r="AB262" s="2"/>
      <c r="AC262" s="2">
        <v>187.8</v>
      </c>
      <c r="AD262" s="2"/>
      <c r="AE262" s="11">
        <v>0.80080060538540998</v>
      </c>
      <c r="AF262" s="2"/>
      <c r="AG262" s="2"/>
      <c r="AH262" s="2"/>
      <c r="AI262" s="10">
        <v>0.98499999999999999</v>
      </c>
      <c r="AJ262" s="2"/>
      <c r="AK262" s="10">
        <v>0.99</v>
      </c>
      <c r="AL262" s="3"/>
      <c r="AM262" s="1"/>
      <c r="AN262" s="81" t="e">
        <f>Z262/Y262-1</f>
        <v>#DIV/0!</v>
      </c>
      <c r="AO262" s="78"/>
      <c r="AP262" s="78"/>
      <c r="AQ262" s="78"/>
      <c r="AR262" s="79"/>
    </row>
    <row r="263" spans="2:44" ht="14.65" hidden="1" customHeight="1">
      <c r="B263" s="5">
        <v>42855</v>
      </c>
      <c r="C263" s="2">
        <v>1867.737819823722</v>
      </c>
      <c r="D263" s="2">
        <v>1239.354</v>
      </c>
      <c r="E263" s="2">
        <v>190.2</v>
      </c>
      <c r="F263" s="2"/>
      <c r="G263" s="2">
        <v>194</v>
      </c>
      <c r="H263" s="2"/>
      <c r="I263" s="14">
        <v>0.80229287793115212</v>
      </c>
      <c r="J263" s="2"/>
      <c r="K263" s="11">
        <f t="shared" ref="K263" si="683">C263/24/30/10</f>
        <v>0.25940803053107253</v>
      </c>
      <c r="L263" s="11">
        <f t="shared" ref="L263" si="684">D263/24/30/10</f>
        <v>0.17213249999999999</v>
      </c>
      <c r="M263" s="11">
        <v>0.98499999999999999</v>
      </c>
      <c r="N263" s="2"/>
      <c r="O263" s="10">
        <v>0.99</v>
      </c>
      <c r="P263" s="3"/>
      <c r="R263" s="81">
        <f t="shared" ref="R263:R286" si="685">D263/C263-1</f>
        <v>-0.33644112848934504</v>
      </c>
      <c r="S263" s="78"/>
      <c r="T263" s="78"/>
      <c r="U263" s="78"/>
      <c r="V263" s="79"/>
      <c r="W263" s="1"/>
      <c r="X263" s="5">
        <v>42855</v>
      </c>
      <c r="Y263" s="2">
        <v>1866.4750635306268</v>
      </c>
      <c r="Z263" s="2">
        <v>741.31200000000001</v>
      </c>
      <c r="AA263" s="2">
        <v>190.2</v>
      </c>
      <c r="AB263" s="2"/>
      <c r="AC263" s="2">
        <v>194</v>
      </c>
      <c r="AD263" s="2"/>
      <c r="AE263" s="11">
        <v>0.80175045684305279</v>
      </c>
      <c r="AF263" s="2"/>
      <c r="AG263" s="11">
        <f t="shared" ref="AG263" si="686">Y263/24/30/10</f>
        <v>0.25923264771258708</v>
      </c>
      <c r="AH263" s="11">
        <f t="shared" ref="AH263" si="687">Z263/24/30/10</f>
        <v>0.10296000000000001</v>
      </c>
      <c r="AI263" s="10">
        <v>0.98499999999999999</v>
      </c>
      <c r="AJ263" s="2"/>
      <c r="AK263" s="10">
        <v>0.99</v>
      </c>
      <c r="AL263" s="3"/>
      <c r="AM263" s="1"/>
      <c r="AN263" s="81">
        <f t="shared" ref="AN263:AN286" si="688">Z263/Y263-1</f>
        <v>-0.60282780387232537</v>
      </c>
      <c r="AO263" s="78"/>
      <c r="AP263" s="78"/>
      <c r="AQ263" s="78"/>
      <c r="AR263" s="79"/>
    </row>
    <row r="264" spans="2:44" ht="14.65" hidden="1" customHeight="1">
      <c r="B264" s="5">
        <v>42886</v>
      </c>
      <c r="C264" s="2">
        <v>1892.2616882562811</v>
      </c>
      <c r="D264" s="2">
        <v>1244.73</v>
      </c>
      <c r="E264" s="2">
        <v>197</v>
      </c>
      <c r="F264" s="2"/>
      <c r="G264" s="2">
        <v>197.7</v>
      </c>
      <c r="H264" s="2"/>
      <c r="I264" s="14">
        <v>0.79761494193908333</v>
      </c>
      <c r="J264" s="2"/>
      <c r="K264" s="11">
        <f>C264/24/31/10</f>
        <v>0.25433624842154318</v>
      </c>
      <c r="L264" s="11">
        <f>D264/24/31/10</f>
        <v>0.16730241935483872</v>
      </c>
      <c r="M264" s="11">
        <v>0.98499999999999999</v>
      </c>
      <c r="N264" s="2"/>
      <c r="O264" s="10">
        <v>0.99</v>
      </c>
      <c r="P264" s="3"/>
      <c r="R264" s="81">
        <f t="shared" si="685"/>
        <v>-0.34219986182407014</v>
      </c>
      <c r="S264" s="78"/>
      <c r="T264" s="78"/>
      <c r="U264" s="78"/>
      <c r="V264" s="79"/>
      <c r="W264" s="1"/>
      <c r="X264" s="5">
        <v>42886</v>
      </c>
      <c r="Y264" s="2">
        <v>1890.995229893352</v>
      </c>
      <c r="Z264" s="2">
        <v>1113.192</v>
      </c>
      <c r="AA264" s="2">
        <v>197</v>
      </c>
      <c r="AB264" s="2"/>
      <c r="AC264" s="2">
        <v>197.7</v>
      </c>
      <c r="AD264" s="2"/>
      <c r="AE264" s="14">
        <v>0.79708111190918562</v>
      </c>
      <c r="AF264" s="2"/>
      <c r="AG264" s="11">
        <f>Y264/24/31/10</f>
        <v>0.25416602552329998</v>
      </c>
      <c r="AH264" s="11">
        <f>Z264/24/31/10</f>
        <v>0.14962258064516129</v>
      </c>
      <c r="AI264" s="10">
        <v>0.98499999999999999</v>
      </c>
      <c r="AJ264" s="2"/>
      <c r="AK264" s="10">
        <v>0.99</v>
      </c>
      <c r="AL264" s="3"/>
      <c r="AM264" s="1"/>
      <c r="AN264" s="81">
        <f t="shared" si="688"/>
        <v>-0.41131950921802085</v>
      </c>
      <c r="AO264" s="78"/>
      <c r="AP264" s="78"/>
      <c r="AQ264" s="78"/>
      <c r="AR264" s="79"/>
    </row>
    <row r="265" spans="2:44" ht="14.65" hidden="1" customHeight="1">
      <c r="B265" s="5">
        <v>42916</v>
      </c>
      <c r="C265" s="2">
        <v>1701.9564692196207</v>
      </c>
      <c r="D265" s="2">
        <v>1231.002</v>
      </c>
      <c r="E265" s="2">
        <v>178.9</v>
      </c>
      <c r="F265" s="2">
        <v>152.65</v>
      </c>
      <c r="G265" s="2">
        <v>177.2</v>
      </c>
      <c r="H265" s="2">
        <v>146.05000000000001</v>
      </c>
      <c r="I265" s="14">
        <v>0.80039337341028061</v>
      </c>
      <c r="J265" s="10">
        <f>D265/12/H265</f>
        <v>0.70238616912016427</v>
      </c>
      <c r="K265" s="11">
        <f>C265/24/30/10</f>
        <v>0.23638284294716955</v>
      </c>
      <c r="L265" s="11">
        <f>D265/24/30/10</f>
        <v>0.1709725</v>
      </c>
      <c r="M265" s="11">
        <v>0.98499999999999999</v>
      </c>
      <c r="N265" s="82">
        <v>0.81046375999999998</v>
      </c>
      <c r="O265" s="10">
        <v>0.99</v>
      </c>
      <c r="P265" s="16">
        <v>0.99860000000000004</v>
      </c>
      <c r="Q265" s="83"/>
      <c r="R265" s="81">
        <f t="shared" si="685"/>
        <v>-0.27671358095049414</v>
      </c>
      <c r="S265" s="10">
        <f>H265/G265-1</f>
        <v>-0.1757900677200902</v>
      </c>
      <c r="T265" s="10">
        <f>N265-M265</f>
        <v>-0.17453624000000001</v>
      </c>
      <c r="U265" s="10">
        <f>P265-O265</f>
        <v>8.600000000000052E-3</v>
      </c>
      <c r="V265" s="23"/>
      <c r="W265" s="83"/>
      <c r="X265" s="5">
        <v>42916</v>
      </c>
      <c r="Y265" s="2">
        <v>1697.7763189550788</v>
      </c>
      <c r="Z265" s="2">
        <v>1325.7</v>
      </c>
      <c r="AA265" s="2">
        <v>178.9</v>
      </c>
      <c r="AB265" s="2">
        <v>155.33000000000001</v>
      </c>
      <c r="AC265" s="2">
        <v>177.2</v>
      </c>
      <c r="AD265" s="2">
        <v>148.03</v>
      </c>
      <c r="AE265" s="14">
        <v>0.79842753901198216</v>
      </c>
      <c r="AF265" s="10">
        <f>Z265/12/AD265</f>
        <v>0.74630142538674593</v>
      </c>
      <c r="AG265" s="11">
        <f>Y265/24/30/10</f>
        <v>0.23580226652153874</v>
      </c>
      <c r="AH265" s="11">
        <f>Z265/24/30/10</f>
        <v>0.18412500000000001</v>
      </c>
      <c r="AI265" s="10">
        <v>0.98499999999999999</v>
      </c>
      <c r="AJ265" s="11">
        <v>0.82015018000000006</v>
      </c>
      <c r="AK265" s="10">
        <v>0.99</v>
      </c>
      <c r="AL265" s="16">
        <v>0.99860000000000004</v>
      </c>
      <c r="AM265" s="83"/>
      <c r="AN265" s="81">
        <f t="shared" si="688"/>
        <v>-0.21915508821802776</v>
      </c>
      <c r="AO265" s="10">
        <f>AD265/AC265-1</f>
        <v>-0.16461625282167036</v>
      </c>
      <c r="AP265" s="10">
        <f>AJ265-AI265</f>
        <v>-0.16484981999999992</v>
      </c>
      <c r="AQ265" s="10">
        <f>AL265-AK265</f>
        <v>8.600000000000052E-3</v>
      </c>
      <c r="AR265" s="23"/>
    </row>
    <row r="266" spans="2:44" ht="14.65" hidden="1" customHeight="1">
      <c r="B266" s="5">
        <v>42947</v>
      </c>
      <c r="C266" s="2">
        <v>1509.6893407083551</v>
      </c>
      <c r="D266" s="2">
        <v>1049.0940000000001</v>
      </c>
      <c r="E266" s="2">
        <v>155.5</v>
      </c>
      <c r="F266" s="2">
        <v>156.31</v>
      </c>
      <c r="G266" s="2">
        <v>154.6</v>
      </c>
      <c r="H266" s="2">
        <v>154.55000000000001</v>
      </c>
      <c r="I266" s="14">
        <v>0.81376096415931176</v>
      </c>
      <c r="J266" s="10">
        <f t="shared" ref="J266:J274" si="689">D266/12/H266</f>
        <v>0.56567130378518282</v>
      </c>
      <c r="K266" s="11">
        <f>C266/24/31/10</f>
        <v>0.20291523396617675</v>
      </c>
      <c r="L266" s="11">
        <f>D266/24/31/10</f>
        <v>0.14100725806451614</v>
      </c>
      <c r="M266" s="11">
        <v>0.98499999999999999</v>
      </c>
      <c r="N266" s="82">
        <v>0.76363119000000013</v>
      </c>
      <c r="O266" s="10">
        <v>0.99</v>
      </c>
      <c r="P266" s="16">
        <v>0.99470000000000003</v>
      </c>
      <c r="Q266" s="83"/>
      <c r="R266" s="81">
        <f t="shared" si="685"/>
        <v>-0.30509279511256338</v>
      </c>
      <c r="S266" s="10">
        <f t="shared" ref="S266:S286" si="690">H266/G266-1</f>
        <v>-3.2341526520041075E-4</v>
      </c>
      <c r="T266" s="10">
        <f t="shared" ref="T266:T286" si="691">N266-M266</f>
        <v>-0.22136880999999986</v>
      </c>
      <c r="U266" s="10">
        <f t="shared" ref="U266:U286" si="692">P266-O266</f>
        <v>4.7000000000000375E-3</v>
      </c>
      <c r="V266" s="23"/>
      <c r="W266" s="83"/>
      <c r="X266" s="5">
        <v>42947</v>
      </c>
      <c r="Y266" s="2">
        <v>1502.5957947077879</v>
      </c>
      <c r="Z266" s="2">
        <v>725.21400000000006</v>
      </c>
      <c r="AA266" s="2">
        <v>155.5</v>
      </c>
      <c r="AB266" s="2">
        <v>154.75</v>
      </c>
      <c r="AC266" s="2">
        <v>154.6</v>
      </c>
      <c r="AD266" s="2">
        <v>153.06</v>
      </c>
      <c r="AE266" s="14">
        <v>0.80993736239100256</v>
      </c>
      <c r="AF266" s="10">
        <f t="shared" ref="AF266:AF274" si="693">Z266/12/AD266</f>
        <v>0.39484189206846992</v>
      </c>
      <c r="AG266" s="11">
        <f>Y266/24/31/10</f>
        <v>0.20196180036394998</v>
      </c>
      <c r="AH266" s="11">
        <f>Z266/24/31/10</f>
        <v>9.7475000000000006E-2</v>
      </c>
      <c r="AI266" s="10">
        <v>0.98499999999999999</v>
      </c>
      <c r="AJ266" s="15">
        <v>0.57236025000000001</v>
      </c>
      <c r="AK266" s="10">
        <v>0.99</v>
      </c>
      <c r="AL266" s="16">
        <v>0.99109999999999998</v>
      </c>
      <c r="AM266" s="83"/>
      <c r="AN266" s="81">
        <f t="shared" si="688"/>
        <v>-0.51735922424764036</v>
      </c>
      <c r="AO266" s="10">
        <f t="shared" ref="AO266:AO286" si="694">AD266/AC266-1</f>
        <v>-9.9611901681758708E-3</v>
      </c>
      <c r="AP266" s="10">
        <f t="shared" ref="AP266:AP286" si="695">AJ266-AI266</f>
        <v>-0.41263974999999997</v>
      </c>
      <c r="AQ266" s="10">
        <f t="shared" ref="AQ266:AQ286" si="696">AL266-AK266</f>
        <v>1.0999999999999899E-3</v>
      </c>
      <c r="AR266" s="23"/>
    </row>
    <row r="267" spans="2:44" ht="14.65" hidden="1" customHeight="1">
      <c r="B267" s="5">
        <v>42978</v>
      </c>
      <c r="C267" s="2">
        <v>1434.1558259360722</v>
      </c>
      <c r="D267" s="2">
        <v>1153.704</v>
      </c>
      <c r="E267" s="2">
        <v>145.4</v>
      </c>
      <c r="F267" s="2">
        <v>133.44999999999999</v>
      </c>
      <c r="G267" s="2">
        <v>146.30000000000001</v>
      </c>
      <c r="H267" s="2">
        <v>133.68</v>
      </c>
      <c r="I267" s="14">
        <v>0.81690352354526785</v>
      </c>
      <c r="J267" s="10">
        <f t="shared" si="689"/>
        <v>0.71919509275882698</v>
      </c>
      <c r="K267" s="11">
        <f>C267/24/31/10</f>
        <v>0.19276287983011725</v>
      </c>
      <c r="L267" s="11">
        <f>D267/24/31/10</f>
        <v>0.15506774193548387</v>
      </c>
      <c r="M267" s="11">
        <v>0.98499999999999999</v>
      </c>
      <c r="N267" s="82">
        <v>0.92563775999999998</v>
      </c>
      <c r="O267" s="10">
        <v>0.99</v>
      </c>
      <c r="P267" s="16">
        <v>0.99360000000000004</v>
      </c>
      <c r="Q267" s="83"/>
      <c r="R267" s="81">
        <f t="shared" si="685"/>
        <v>-0.19555185068750924</v>
      </c>
      <c r="S267" s="10">
        <f t="shared" si="690"/>
        <v>-8.6261107313738927E-2</v>
      </c>
      <c r="T267" s="10">
        <f t="shared" si="691"/>
        <v>-5.9362240000000011E-2</v>
      </c>
      <c r="U267" s="10">
        <f t="shared" si="692"/>
        <v>3.6000000000000476E-3</v>
      </c>
      <c r="V267" s="23"/>
      <c r="W267" s="83"/>
      <c r="X267" s="5">
        <v>42978</v>
      </c>
      <c r="Y267" s="2">
        <v>1427.0736823105949</v>
      </c>
      <c r="Z267" s="2">
        <v>1092.096</v>
      </c>
      <c r="AA267" s="2">
        <v>145.4</v>
      </c>
      <c r="AB267" s="2">
        <v>126.11</v>
      </c>
      <c r="AC267" s="2">
        <v>146.30000000000001</v>
      </c>
      <c r="AD267" s="2">
        <v>126.87</v>
      </c>
      <c r="AE267" s="14">
        <v>0.81286949322772539</v>
      </c>
      <c r="AF267" s="10">
        <f t="shared" si="693"/>
        <v>0.71733270276661143</v>
      </c>
      <c r="AG267" s="11">
        <f>Y267/24/31/10</f>
        <v>0.19181097880518747</v>
      </c>
      <c r="AH267" s="11">
        <f>Z267/24/31/10</f>
        <v>0.14678709677419355</v>
      </c>
      <c r="AI267" s="10">
        <v>0.98499999999999999</v>
      </c>
      <c r="AJ267" s="10">
        <v>0.86335919999999999</v>
      </c>
      <c r="AK267" s="10">
        <v>0.99</v>
      </c>
      <c r="AL267" s="16">
        <v>0.99099999999999999</v>
      </c>
      <c r="AM267" s="83"/>
      <c r="AN267" s="81">
        <f t="shared" si="688"/>
        <v>-0.23473047430054761</v>
      </c>
      <c r="AO267" s="10">
        <f t="shared" si="694"/>
        <v>-0.13280929596719071</v>
      </c>
      <c r="AP267" s="10">
        <f t="shared" si="695"/>
        <v>-0.12164079999999999</v>
      </c>
      <c r="AQ267" s="10">
        <f t="shared" si="696"/>
        <v>1.0000000000000009E-3</v>
      </c>
      <c r="AR267" s="23"/>
    </row>
    <row r="268" spans="2:44" ht="14.65" hidden="1" customHeight="1">
      <c r="B268" s="5">
        <v>43008</v>
      </c>
      <c r="C268" s="2">
        <v>1427.2891427749557</v>
      </c>
      <c r="D268" s="2">
        <v>1153.722</v>
      </c>
      <c r="E268" s="2">
        <v>141.6</v>
      </c>
      <c r="F268" s="2">
        <v>121.96</v>
      </c>
      <c r="G268" s="2">
        <v>145.5</v>
      </c>
      <c r="H268" s="2">
        <v>125.14</v>
      </c>
      <c r="I268" s="14">
        <v>0.8174622810853126</v>
      </c>
      <c r="J268" s="10">
        <f t="shared" si="689"/>
        <v>0.76828751797986261</v>
      </c>
      <c r="K268" s="11">
        <f>C268/24/30/10</f>
        <v>0.19823460316318831</v>
      </c>
      <c r="L268" s="11">
        <f>D268/24/30/10</f>
        <v>0.16023916666666665</v>
      </c>
      <c r="M268" s="11">
        <v>0.98499999999999999</v>
      </c>
      <c r="N268" s="82">
        <v>0.93744936000000001</v>
      </c>
      <c r="O268" s="10">
        <v>0.99</v>
      </c>
      <c r="P268" s="16">
        <v>0.99180000000000001</v>
      </c>
      <c r="Q268" s="83"/>
      <c r="R268" s="81">
        <f t="shared" si="685"/>
        <v>-0.19166904208567204</v>
      </c>
      <c r="S268" s="10">
        <f t="shared" si="690"/>
        <v>-0.13993127147766327</v>
      </c>
      <c r="T268" s="10">
        <f t="shared" si="691"/>
        <v>-4.7550639999999977E-2</v>
      </c>
      <c r="U268" s="10">
        <f t="shared" si="692"/>
        <v>1.8000000000000238E-3</v>
      </c>
      <c r="V268" s="23"/>
      <c r="W268" s="83"/>
      <c r="X268" s="5">
        <v>43008</v>
      </c>
      <c r="Y268" s="2">
        <v>1422.16964903805</v>
      </c>
      <c r="Z268" s="2">
        <v>1188.57</v>
      </c>
      <c r="AA268" s="2">
        <v>141.6</v>
      </c>
      <c r="AB268" s="2">
        <v>125.76</v>
      </c>
      <c r="AC268" s="2">
        <v>145.5</v>
      </c>
      <c r="AD268" s="2">
        <v>127.05</v>
      </c>
      <c r="AE268" s="14">
        <v>0.81453015408823026</v>
      </c>
      <c r="AF268" s="10">
        <f t="shared" si="693"/>
        <v>0.77959464777646592</v>
      </c>
      <c r="AG268" s="11">
        <f>Y268/24/30/10</f>
        <v>0.19752356236639584</v>
      </c>
      <c r="AH268" s="11">
        <f>Z268/24/30/10</f>
        <v>0.16507916666666667</v>
      </c>
      <c r="AI268" s="10">
        <v>0.98499999999999999</v>
      </c>
      <c r="AJ268" s="11">
        <v>0.96185839000000006</v>
      </c>
      <c r="AK268" s="10">
        <v>0.99</v>
      </c>
      <c r="AL268" s="16">
        <v>0.99129999999999996</v>
      </c>
      <c r="AM268" s="83"/>
      <c r="AN268" s="81">
        <f t="shared" si="688"/>
        <v>-0.16425582503188418</v>
      </c>
      <c r="AO268" s="10">
        <f t="shared" si="694"/>
        <v>-0.1268041237113402</v>
      </c>
      <c r="AP268" s="10">
        <f t="shared" si="695"/>
        <v>-2.3141609999999924E-2</v>
      </c>
      <c r="AQ268" s="10">
        <f t="shared" si="696"/>
        <v>1.2999999999999678E-3</v>
      </c>
      <c r="AR268" s="23"/>
    </row>
    <row r="269" spans="2:44" ht="14.65" hidden="1" customHeight="1">
      <c r="B269" s="5">
        <v>43039</v>
      </c>
      <c r="C269" s="2">
        <v>1632.3086828711521</v>
      </c>
      <c r="D269" s="2">
        <v>1389.684</v>
      </c>
      <c r="E269" s="2">
        <v>139.1</v>
      </c>
      <c r="F269" s="2">
        <v>126.05</v>
      </c>
      <c r="G269" s="2">
        <v>172.2</v>
      </c>
      <c r="H269" s="2">
        <v>150.63999999999999</v>
      </c>
      <c r="I269" s="14">
        <v>0.7899287083193729</v>
      </c>
      <c r="J269" s="10">
        <f t="shared" si="689"/>
        <v>0.76876659585767404</v>
      </c>
      <c r="K269" s="11">
        <f>C269/24/31/10</f>
        <v>0.2193963283428968</v>
      </c>
      <c r="L269" s="11">
        <f>D269/24/31/10</f>
        <v>0.18678548387096774</v>
      </c>
      <c r="M269" s="11">
        <v>0.98499999999999999</v>
      </c>
      <c r="N269" s="82">
        <v>0.97253900000000004</v>
      </c>
      <c r="O269" s="10">
        <v>0.99</v>
      </c>
      <c r="P269" s="16">
        <v>0.97399999999999998</v>
      </c>
      <c r="Q269" s="83"/>
      <c r="R269" s="81">
        <f t="shared" si="685"/>
        <v>-0.14863897093556289</v>
      </c>
      <c r="S269" s="10">
        <f t="shared" si="690"/>
        <v>-0.12520325203252036</v>
      </c>
      <c r="T269" s="10">
        <f t="shared" si="691"/>
        <v>-1.2460999999999944E-2</v>
      </c>
      <c r="U269" s="10">
        <f t="shared" si="692"/>
        <v>-1.6000000000000014E-2</v>
      </c>
      <c r="V269" s="23"/>
      <c r="W269" s="83"/>
      <c r="X269" s="5">
        <v>43039</v>
      </c>
      <c r="Y269" s="2">
        <v>1630.1006597939579</v>
      </c>
      <c r="Z269" s="2">
        <v>1407.702</v>
      </c>
      <c r="AA269" s="2">
        <v>139.1</v>
      </c>
      <c r="AB269" s="2">
        <v>125.88</v>
      </c>
      <c r="AC269" s="2">
        <v>172.2</v>
      </c>
      <c r="AD269" s="2">
        <v>153.46</v>
      </c>
      <c r="AE269" s="14">
        <v>0.78886017218058357</v>
      </c>
      <c r="AF269" s="10">
        <f t="shared" si="693"/>
        <v>0.76442395412485331</v>
      </c>
      <c r="AG269" s="11">
        <f>Y269/24/31/10</f>
        <v>0.21909955104757498</v>
      </c>
      <c r="AH269" s="11">
        <f>Z269/24/31/10</f>
        <v>0.18920725806451613</v>
      </c>
      <c r="AI269" s="10">
        <v>0.98499999999999999</v>
      </c>
      <c r="AJ269" s="11">
        <v>0.96874040000000006</v>
      </c>
      <c r="AK269" s="10">
        <v>0.99</v>
      </c>
      <c r="AL269" s="16">
        <v>0.97399999999999998</v>
      </c>
      <c r="AM269" s="1"/>
      <c r="AN269" s="81">
        <f t="shared" si="688"/>
        <v>-0.13643247026356564</v>
      </c>
      <c r="AO269" s="10">
        <f t="shared" si="694"/>
        <v>-0.10882694541231119</v>
      </c>
      <c r="AP269" s="10">
        <f t="shared" si="695"/>
        <v>-1.625959999999993E-2</v>
      </c>
      <c r="AQ269" s="10">
        <f t="shared" si="696"/>
        <v>-1.6000000000000014E-2</v>
      </c>
      <c r="AR269" s="23"/>
    </row>
    <row r="270" spans="2:44" ht="14.65" hidden="1" customHeight="1">
      <c r="B270" s="5">
        <v>43069</v>
      </c>
      <c r="C270" s="2">
        <v>1447.8891922583055</v>
      </c>
      <c r="D270" s="2">
        <v>1112.7539999999999</v>
      </c>
      <c r="E270" s="2">
        <v>108.1</v>
      </c>
      <c r="F270" s="2">
        <v>90.65</v>
      </c>
      <c r="G270" s="2">
        <v>152.1</v>
      </c>
      <c r="H270" s="2">
        <v>116.24</v>
      </c>
      <c r="I270" s="12">
        <v>0.79327700649698962</v>
      </c>
      <c r="J270" s="10">
        <f t="shared" si="689"/>
        <v>0.79774174122505159</v>
      </c>
      <c r="K270" s="11">
        <f>C270/24/30/10</f>
        <v>0.20109572114698687</v>
      </c>
      <c r="L270" s="11">
        <f>D270/24/30/10</f>
        <v>0.15454916666666665</v>
      </c>
      <c r="M270" s="13">
        <v>0.98499999999999999</v>
      </c>
      <c r="N270" s="82">
        <v>0.99051200000000006</v>
      </c>
      <c r="O270" s="10">
        <v>0.99</v>
      </c>
      <c r="P270" s="16">
        <v>0.99199999999999999</v>
      </c>
      <c r="Q270" s="83"/>
      <c r="R270" s="81">
        <f t="shared" si="685"/>
        <v>-0.23146466874000737</v>
      </c>
      <c r="S270" s="10">
        <f t="shared" si="690"/>
        <v>-0.23576594345825119</v>
      </c>
      <c r="T270" s="10">
        <f t="shared" si="691"/>
        <v>5.5120000000000724E-3</v>
      </c>
      <c r="U270" s="10">
        <f t="shared" si="692"/>
        <v>2.0000000000000018E-3</v>
      </c>
      <c r="V270" s="23"/>
      <c r="W270" s="83"/>
      <c r="X270" s="5">
        <v>43069</v>
      </c>
      <c r="Y270" s="2">
        <v>1442.7665887827388</v>
      </c>
      <c r="Z270" s="2">
        <v>1127.742</v>
      </c>
      <c r="AA270" s="2">
        <v>108.1</v>
      </c>
      <c r="AB270" s="2">
        <v>89.02</v>
      </c>
      <c r="AC270" s="2">
        <v>152.1</v>
      </c>
      <c r="AD270" s="2">
        <v>116.47</v>
      </c>
      <c r="AE270" s="12">
        <v>0.79047040805541247</v>
      </c>
      <c r="AF270" s="10">
        <f t="shared" si="693"/>
        <v>0.80689018631407228</v>
      </c>
      <c r="AG270" s="11">
        <f>Y270/24/30/10</f>
        <v>0.20038424844204705</v>
      </c>
      <c r="AH270" s="11">
        <f>Z270/24/30/10</f>
        <v>0.15663083333333333</v>
      </c>
      <c r="AI270" s="10">
        <v>0.98499999999999999</v>
      </c>
      <c r="AJ270" s="11">
        <v>0.97470800000000002</v>
      </c>
      <c r="AK270" s="10">
        <v>0.99</v>
      </c>
      <c r="AL270" s="16">
        <v>0.98</v>
      </c>
      <c r="AM270" s="1"/>
      <c r="AN270" s="81">
        <f t="shared" si="688"/>
        <v>-0.2183475769622063</v>
      </c>
      <c r="AO270" s="10">
        <f t="shared" si="694"/>
        <v>-0.23425378040762657</v>
      </c>
      <c r="AP270" s="10">
        <f t="shared" si="695"/>
        <v>-1.0291999999999968E-2</v>
      </c>
      <c r="AQ270" s="10">
        <f t="shared" si="696"/>
        <v>-1.0000000000000009E-2</v>
      </c>
      <c r="AR270" s="23"/>
    </row>
    <row r="271" spans="2:44" ht="14.65" hidden="1" customHeight="1">
      <c r="B271" s="5">
        <v>43100</v>
      </c>
      <c r="C271" s="2">
        <v>1218.3457837295498</v>
      </c>
      <c r="D271" s="2">
        <v>1027.1579999999999</v>
      </c>
      <c r="E271" s="2">
        <v>89.9</v>
      </c>
      <c r="F271" s="2">
        <v>77.64</v>
      </c>
      <c r="G271" s="2">
        <v>129.6</v>
      </c>
      <c r="H271" s="2">
        <v>103.55</v>
      </c>
      <c r="I271" s="14">
        <v>0.78340135270675793</v>
      </c>
      <c r="J271" s="10">
        <f t="shared" si="689"/>
        <v>0.82661999034282951</v>
      </c>
      <c r="K271" s="11">
        <f>C271/24/31/10</f>
        <v>0.16375615372709001</v>
      </c>
      <c r="L271" s="11">
        <f>D271/24/31/10</f>
        <v>0.13805887096774191</v>
      </c>
      <c r="M271" s="11">
        <v>0.98499999999999999</v>
      </c>
      <c r="N271" s="82">
        <v>0.98709999999999998</v>
      </c>
      <c r="O271" s="10">
        <v>0.99</v>
      </c>
      <c r="P271" s="16">
        <v>0.98709999999999998</v>
      </c>
      <c r="Q271" s="83"/>
      <c r="R271" s="81">
        <f t="shared" si="685"/>
        <v>-0.15692407384075624</v>
      </c>
      <c r="S271" s="10">
        <f t="shared" si="690"/>
        <v>-0.20100308641975306</v>
      </c>
      <c r="T271" s="10">
        <f t="shared" si="691"/>
        <v>2.0999999999999908E-3</v>
      </c>
      <c r="U271" s="10">
        <f t="shared" si="692"/>
        <v>-2.9000000000000137E-3</v>
      </c>
      <c r="V271" s="23"/>
      <c r="W271" s="83"/>
      <c r="X271" s="5">
        <v>43100</v>
      </c>
      <c r="Y271" s="2">
        <v>1212.2770249731238</v>
      </c>
      <c r="Z271" s="2">
        <v>1098.876</v>
      </c>
      <c r="AA271" s="2">
        <v>89.9</v>
      </c>
      <c r="AB271" s="2">
        <v>76.150000000000006</v>
      </c>
      <c r="AC271" s="2">
        <v>129.6</v>
      </c>
      <c r="AD271" s="2">
        <v>105.62</v>
      </c>
      <c r="AE271" s="14">
        <v>0.77949911585206011</v>
      </c>
      <c r="AF271" s="10">
        <f t="shared" si="693"/>
        <v>0.8670043552357507</v>
      </c>
      <c r="AG271" s="11">
        <f>Y271/24/31/10</f>
        <v>0.16294046034584997</v>
      </c>
      <c r="AH271" s="11">
        <f>Z271/24/31/10</f>
        <v>0.14769838709677419</v>
      </c>
      <c r="AI271" s="10">
        <v>0.98499999999999999</v>
      </c>
      <c r="AJ271" s="11">
        <v>0.9919</v>
      </c>
      <c r="AK271" s="10">
        <v>0.99</v>
      </c>
      <c r="AL271" s="16">
        <v>0.9919</v>
      </c>
      <c r="AM271" s="1"/>
      <c r="AN271" s="81">
        <f t="shared" si="688"/>
        <v>-9.354382095597169E-2</v>
      </c>
      <c r="AO271" s="10">
        <f t="shared" si="694"/>
        <v>-0.18503086419753079</v>
      </c>
      <c r="AP271" s="10">
        <f t="shared" si="695"/>
        <v>6.9000000000000172E-3</v>
      </c>
      <c r="AQ271" s="10">
        <f t="shared" si="696"/>
        <v>1.9000000000000128E-3</v>
      </c>
      <c r="AR271" s="23"/>
    </row>
    <row r="272" spans="2:44" ht="14.65" hidden="1" customHeight="1">
      <c r="B272" s="5">
        <v>43131</v>
      </c>
      <c r="C272" s="2">
        <v>1026.8045617238879</v>
      </c>
      <c r="D272" s="2">
        <v>905.23800000000006</v>
      </c>
      <c r="E272" s="2">
        <v>79.599999999999994</v>
      </c>
      <c r="F272" s="2">
        <v>72.37</v>
      </c>
      <c r="G272" s="2">
        <v>103.2</v>
      </c>
      <c r="H272" s="2">
        <v>91.91</v>
      </c>
      <c r="I272" s="12">
        <v>0.83330457335440766</v>
      </c>
      <c r="J272" s="10">
        <f t="shared" si="689"/>
        <v>0.82076487868567094</v>
      </c>
      <c r="K272" s="11">
        <f>C272/24/31/10</f>
        <v>0.13801136582310319</v>
      </c>
      <c r="L272" s="11">
        <f>D272/24/31/10</f>
        <v>0.1216717741935484</v>
      </c>
      <c r="M272" s="13">
        <v>0.98499999999999999</v>
      </c>
      <c r="N272" s="82">
        <v>0.98370000000000002</v>
      </c>
      <c r="O272" s="10">
        <v>0.99</v>
      </c>
      <c r="P272" s="16">
        <v>0.98509999999999998</v>
      </c>
      <c r="Q272" s="83"/>
      <c r="R272" s="81">
        <f t="shared" si="685"/>
        <v>-0.11839308691791495</v>
      </c>
      <c r="S272" s="10">
        <f t="shared" si="690"/>
        <v>-0.10939922480620157</v>
      </c>
      <c r="T272" s="10">
        <f t="shared" si="691"/>
        <v>-1.2999999999999678E-3</v>
      </c>
      <c r="U272" s="10">
        <f t="shared" si="692"/>
        <v>-4.9000000000000155E-3</v>
      </c>
      <c r="V272" s="23"/>
      <c r="W272" s="83"/>
      <c r="X272" s="5">
        <v>43131</v>
      </c>
      <c r="Y272" s="2">
        <v>1019.8182391920955</v>
      </c>
      <c r="Z272" s="2">
        <v>941.35199999999998</v>
      </c>
      <c r="AA272" s="2">
        <v>79.599999999999994</v>
      </c>
      <c r="AB272" s="2">
        <v>71.47</v>
      </c>
      <c r="AC272" s="2">
        <v>103.2</v>
      </c>
      <c r="AD272" s="2">
        <v>95.2</v>
      </c>
      <c r="AE272" s="12">
        <v>0.82763481424572438</v>
      </c>
      <c r="AF272" s="10">
        <f t="shared" si="693"/>
        <v>0.82401260504201679</v>
      </c>
      <c r="AG272" s="11">
        <f>Y272/24/31/10</f>
        <v>0.1370723439774322</v>
      </c>
      <c r="AH272" s="11">
        <f>Z272/24/31/10</f>
        <v>0.1265258064516129</v>
      </c>
      <c r="AI272" s="10">
        <v>0.98499999999999999</v>
      </c>
      <c r="AJ272" s="11">
        <v>0.98019999999999996</v>
      </c>
      <c r="AK272" s="10">
        <v>0.99</v>
      </c>
      <c r="AL272" s="16">
        <v>0.98570000000000002</v>
      </c>
      <c r="AM272" s="1"/>
      <c r="AN272" s="81">
        <f t="shared" si="688"/>
        <v>-7.6941396198460632E-2</v>
      </c>
      <c r="AO272" s="10">
        <f t="shared" si="694"/>
        <v>-7.7519379844961267E-2</v>
      </c>
      <c r="AP272" s="10">
        <f t="shared" si="695"/>
        <v>-4.8000000000000265E-3</v>
      </c>
      <c r="AQ272" s="10">
        <f t="shared" si="696"/>
        <v>-4.2999999999999705E-3</v>
      </c>
      <c r="AR272" s="23"/>
    </row>
    <row r="273" spans="2:44" ht="14.65" hidden="1" customHeight="1">
      <c r="B273" s="5">
        <v>43159</v>
      </c>
      <c r="C273" s="2">
        <v>1344.9968498626595</v>
      </c>
      <c r="D273" s="2">
        <f>1330560/1000</f>
        <v>1330.56</v>
      </c>
      <c r="E273" s="2">
        <v>108.1</v>
      </c>
      <c r="F273" s="2">
        <v>111.43</v>
      </c>
      <c r="G273" s="2">
        <v>137.5</v>
      </c>
      <c r="H273" s="2">
        <v>135.04</v>
      </c>
      <c r="I273" s="14">
        <v>0.81924583515313509</v>
      </c>
      <c r="J273" s="10">
        <f t="shared" si="689"/>
        <v>0.821090047393365</v>
      </c>
      <c r="K273" s="11">
        <f>C273/24/28/10</f>
        <v>0.20014834075337196</v>
      </c>
      <c r="L273" s="11">
        <f>D273/24/28/10</f>
        <v>0.19800000000000001</v>
      </c>
      <c r="M273" s="11">
        <v>0.98499999999999999</v>
      </c>
      <c r="N273" s="82">
        <v>0.96279999999999999</v>
      </c>
      <c r="O273" s="10">
        <v>0.99</v>
      </c>
      <c r="P273" s="84">
        <v>0.97989999999999999</v>
      </c>
      <c r="Q273" s="83"/>
      <c r="R273" s="81">
        <f t="shared" si="685"/>
        <v>-1.0733742509607902E-2</v>
      </c>
      <c r="S273" s="10">
        <f t="shared" si="690"/>
        <v>-1.7890909090909179E-2</v>
      </c>
      <c r="T273" s="10">
        <f t="shared" si="691"/>
        <v>-2.2199999999999998E-2</v>
      </c>
      <c r="U273" s="10">
        <f t="shared" si="692"/>
        <v>-1.0099999999999998E-2</v>
      </c>
      <c r="V273" s="23"/>
      <c r="W273" s="83"/>
      <c r="X273" s="5">
        <v>43159</v>
      </c>
      <c r="Y273" s="2">
        <v>1338.9383963364162</v>
      </c>
      <c r="Z273" s="2">
        <f>1352974/1000</f>
        <v>1352.9739999999999</v>
      </c>
      <c r="AA273" s="2">
        <v>108.1</v>
      </c>
      <c r="AB273" s="2">
        <v>108.7</v>
      </c>
      <c r="AC273" s="2">
        <v>137.5</v>
      </c>
      <c r="AD273" s="2">
        <v>138.41</v>
      </c>
      <c r="AE273" s="14">
        <v>0.81555559393111998</v>
      </c>
      <c r="AF273" s="10">
        <f t="shared" si="693"/>
        <v>0.81459311706764925</v>
      </c>
      <c r="AG273" s="11">
        <f>Y273/24/28/10</f>
        <v>0.19924678516910957</v>
      </c>
      <c r="AH273" s="11">
        <f>Z273/24/28/10</f>
        <v>0.20133541666666668</v>
      </c>
      <c r="AI273" s="10">
        <v>0.98499999999999999</v>
      </c>
      <c r="AJ273" s="11">
        <v>0.93910000000000005</v>
      </c>
      <c r="AK273" s="10">
        <v>0.99</v>
      </c>
      <c r="AL273" s="17">
        <v>0.97389999999999999</v>
      </c>
      <c r="AM273" s="1"/>
      <c r="AN273" s="81">
        <f t="shared" si="688"/>
        <v>1.0482635871812862E-2</v>
      </c>
      <c r="AO273" s="10">
        <f t="shared" si="694"/>
        <v>6.6181818181818564E-3</v>
      </c>
      <c r="AP273" s="10">
        <f t="shared" si="695"/>
        <v>-4.5899999999999941E-2</v>
      </c>
      <c r="AQ273" s="10">
        <f t="shared" si="696"/>
        <v>-1.6100000000000003E-2</v>
      </c>
      <c r="AR273" s="23"/>
    </row>
    <row r="274" spans="2:44" ht="14.65" hidden="1" customHeight="1">
      <c r="B274" s="5">
        <v>43190</v>
      </c>
      <c r="C274" s="2">
        <v>1799</v>
      </c>
      <c r="D274" s="2">
        <v>1719.816</v>
      </c>
      <c r="E274" s="2">
        <v>161.4</v>
      </c>
      <c r="F274" s="2">
        <v>165.02</v>
      </c>
      <c r="G274" s="2">
        <v>187.8</v>
      </c>
      <c r="H274" s="2">
        <v>178.69</v>
      </c>
      <c r="I274" s="14">
        <v>0.80222736104378645</v>
      </c>
      <c r="J274" s="10">
        <f t="shared" si="689"/>
        <v>0.80204823996866093</v>
      </c>
      <c r="K274" s="11">
        <f>C274/24/31/10</f>
        <v>0.24180107526881719</v>
      </c>
      <c r="L274" s="11">
        <f>D274/24/31/10</f>
        <v>0.23115806451612902</v>
      </c>
      <c r="M274" s="11">
        <v>0.98499999999999999</v>
      </c>
      <c r="N274" s="82">
        <v>0.99790000000000001</v>
      </c>
      <c r="O274" s="10">
        <v>0.99</v>
      </c>
      <c r="P274" s="17">
        <v>0.99790000000000001</v>
      </c>
      <c r="Q274" s="83"/>
      <c r="R274" s="81">
        <f t="shared" si="685"/>
        <v>-4.4015564202334656E-2</v>
      </c>
      <c r="S274" s="10">
        <f t="shared" si="690"/>
        <v>-4.8509052183173695E-2</v>
      </c>
      <c r="T274" s="10">
        <f t="shared" si="691"/>
        <v>1.2900000000000023E-2</v>
      </c>
      <c r="U274" s="10">
        <f t="shared" si="692"/>
        <v>7.9000000000000181E-3</v>
      </c>
      <c r="V274" s="23"/>
      <c r="W274" s="83"/>
      <c r="X274" s="5">
        <v>43190</v>
      </c>
      <c r="Y274" s="2">
        <v>1795</v>
      </c>
      <c r="Z274" s="2">
        <v>1683.57</v>
      </c>
      <c r="AA274" s="2">
        <v>161.4</v>
      </c>
      <c r="AB274" s="2">
        <v>161.56</v>
      </c>
      <c r="AC274" s="2">
        <v>187.8</v>
      </c>
      <c r="AD274" s="2">
        <v>184.76</v>
      </c>
      <c r="AE274" s="11">
        <v>0.80080060538540998</v>
      </c>
      <c r="AF274" s="10">
        <f t="shared" si="693"/>
        <v>0.75934996752543837</v>
      </c>
      <c r="AG274" s="11">
        <f>Y274/24/31/10</f>
        <v>0.24126344086021506</v>
      </c>
      <c r="AH274" s="11">
        <f>Z274/24/31/10</f>
        <v>0.22628629032258063</v>
      </c>
      <c r="AI274" s="10">
        <v>0.98499999999999999</v>
      </c>
      <c r="AJ274" s="11">
        <v>0.92793580000000009</v>
      </c>
      <c r="AK274" s="10">
        <v>0.99</v>
      </c>
      <c r="AL274" s="17">
        <v>0.99950000000000006</v>
      </c>
      <c r="AM274" s="1"/>
      <c r="AN274" s="81">
        <f t="shared" si="688"/>
        <v>-6.2077994428969441E-2</v>
      </c>
      <c r="AO274" s="10">
        <f t="shared" si="694"/>
        <v>-1.6187433439829757E-2</v>
      </c>
      <c r="AP274" s="10">
        <f t="shared" si="695"/>
        <v>-5.7064199999999898E-2</v>
      </c>
      <c r="AQ274" s="10">
        <f t="shared" si="696"/>
        <v>9.5000000000000639E-3</v>
      </c>
      <c r="AR274" s="23"/>
    </row>
    <row r="275" spans="2:44" s="89" customFormat="1" ht="14.65" hidden="1" customHeight="1">
      <c r="B275" s="25">
        <v>43220</v>
      </c>
      <c r="C275" s="26">
        <v>1746.8951828811271</v>
      </c>
      <c r="D275" s="26">
        <v>1355.046</v>
      </c>
      <c r="E275" s="26">
        <v>190.2</v>
      </c>
      <c r="F275" s="26">
        <v>147.37</v>
      </c>
      <c r="G275" s="26">
        <v>194</v>
      </c>
      <c r="H275" s="26">
        <v>151.99</v>
      </c>
      <c r="I275" s="27">
        <f t="shared" ref="I275:I288" si="697">C275/12/G275/M275</f>
        <v>0.76181170429340761</v>
      </c>
      <c r="J275" s="27">
        <f t="shared" ref="J275:J288" si="698">D275/12/H275/N275</f>
        <v>0.7828996845222056</v>
      </c>
      <c r="K275" s="27">
        <f>C275/24/30/10</f>
        <v>0.24262433095571212</v>
      </c>
      <c r="L275" s="27">
        <f>D275/24/30/10</f>
        <v>0.18820083333333334</v>
      </c>
      <c r="M275" s="28">
        <v>0.98499999999999999</v>
      </c>
      <c r="N275" s="85">
        <v>0.94896820000000004</v>
      </c>
      <c r="O275" s="29">
        <v>0.99</v>
      </c>
      <c r="P275" s="30">
        <v>0.97399999999999998</v>
      </c>
      <c r="Q275" s="86"/>
      <c r="R275" s="87">
        <f t="shared" si="685"/>
        <v>-0.22431178854981804</v>
      </c>
      <c r="S275" s="29">
        <f t="shared" si="690"/>
        <v>-0.21654639175257728</v>
      </c>
      <c r="T275" s="29">
        <f t="shared" si="691"/>
        <v>-3.6031799999999947E-2</v>
      </c>
      <c r="U275" s="29">
        <f t="shared" si="692"/>
        <v>-1.6000000000000014E-2</v>
      </c>
      <c r="V275" s="32"/>
      <c r="W275" s="86"/>
      <c r="X275" s="25">
        <v>43220</v>
      </c>
      <c r="Y275" s="26">
        <v>1746.1959679843237</v>
      </c>
      <c r="Z275" s="26">
        <v>1446.8040000000001</v>
      </c>
      <c r="AA275" s="26">
        <v>190.2</v>
      </c>
      <c r="AB275" s="26">
        <v>153.19</v>
      </c>
      <c r="AC275" s="26">
        <v>194</v>
      </c>
      <c r="AD275" s="26">
        <v>158.58000000000001</v>
      </c>
      <c r="AE275" s="27">
        <f t="shared" ref="AE275:AE297" si="699">Y275/12/AC275/AI275</f>
        <v>0.7615067803933242</v>
      </c>
      <c r="AF275" s="27">
        <f t="shared" ref="AF275:AF297" si="700">Z275/12/AD275/AJ275</f>
        <v>0.79879709389985321</v>
      </c>
      <c r="AG275" s="27">
        <f>Y275/24/30/10</f>
        <v>0.24252721777560052</v>
      </c>
      <c r="AH275" s="27">
        <f>Z275/24/30/10</f>
        <v>0.20094500000000001</v>
      </c>
      <c r="AI275" s="29">
        <v>0.98499999999999999</v>
      </c>
      <c r="AJ275" s="28">
        <v>0.95179532</v>
      </c>
      <c r="AK275" s="29">
        <v>0.99</v>
      </c>
      <c r="AL275" s="30">
        <v>0.97540000000000004</v>
      </c>
      <c r="AM275" s="88"/>
      <c r="AN275" s="87">
        <f t="shared" si="688"/>
        <v>-0.17145381931554859</v>
      </c>
      <c r="AO275" s="29">
        <f t="shared" si="694"/>
        <v>-0.18257731958762879</v>
      </c>
      <c r="AP275" s="29">
        <f t="shared" si="695"/>
        <v>-3.3204679999999986E-2</v>
      </c>
      <c r="AQ275" s="29">
        <f t="shared" si="696"/>
        <v>-1.4599999999999946E-2</v>
      </c>
      <c r="AR275" s="32"/>
    </row>
    <row r="276" spans="2:44" ht="14.65" hidden="1" customHeight="1">
      <c r="B276" s="5">
        <v>43251</v>
      </c>
      <c r="C276" s="2">
        <v>1769.8323570260998</v>
      </c>
      <c r="D276" s="2">
        <f>1526538/1000</f>
        <v>1526.538</v>
      </c>
      <c r="E276" s="2">
        <v>197</v>
      </c>
      <c r="F276" s="2">
        <v>164.16</v>
      </c>
      <c r="G276" s="2">
        <v>197.7</v>
      </c>
      <c r="H276" s="2">
        <v>165.63</v>
      </c>
      <c r="I276" s="10">
        <f t="shared" si="697"/>
        <v>0.75736980222906047</v>
      </c>
      <c r="J276" s="10">
        <f t="shared" si="698"/>
        <v>0.77113077074342173</v>
      </c>
      <c r="K276" s="11">
        <f>C276/24/31/10</f>
        <v>0.2378806931486693</v>
      </c>
      <c r="L276" s="11">
        <f>D276/24/31/10</f>
        <v>0.20517983870967743</v>
      </c>
      <c r="M276" s="11">
        <v>0.98499999999999999</v>
      </c>
      <c r="N276" s="82">
        <v>0.996</v>
      </c>
      <c r="O276" s="10">
        <v>0.99</v>
      </c>
      <c r="P276" s="17">
        <v>0.99819999999999998</v>
      </c>
      <c r="Q276" s="83"/>
      <c r="R276" s="81">
        <f t="shared" si="685"/>
        <v>-0.13746745902810498</v>
      </c>
      <c r="S276" s="10">
        <f t="shared" si="690"/>
        <v>-0.16221547799696512</v>
      </c>
      <c r="T276" s="10">
        <f t="shared" si="691"/>
        <v>1.100000000000001E-2</v>
      </c>
      <c r="U276" s="10">
        <f t="shared" si="692"/>
        <v>8.1999999999999851E-3</v>
      </c>
      <c r="V276" s="23"/>
      <c r="W276" s="83"/>
      <c r="X276" s="5">
        <v>43251</v>
      </c>
      <c r="Y276" s="2">
        <v>1769.4373987065187</v>
      </c>
      <c r="Z276" s="2">
        <f>1630950/1000</f>
        <v>1630.95</v>
      </c>
      <c r="AA276" s="2">
        <v>197</v>
      </c>
      <c r="AB276" s="2">
        <v>169.9</v>
      </c>
      <c r="AC276" s="2">
        <v>197.7</v>
      </c>
      <c r="AD276" s="2">
        <v>171.73</v>
      </c>
      <c r="AE276" s="10">
        <f t="shared" si="699"/>
        <v>0.75720078650098765</v>
      </c>
      <c r="AF276" s="10">
        <f t="shared" si="700"/>
        <v>0.79381275486624081</v>
      </c>
      <c r="AG276" s="11">
        <f>Y276/24/31/10</f>
        <v>0.23782760735302672</v>
      </c>
      <c r="AH276" s="11">
        <f>Z276/24/31/10</f>
        <v>0.21921370967741932</v>
      </c>
      <c r="AI276" s="10">
        <v>0.98499999999999999</v>
      </c>
      <c r="AJ276" s="11">
        <v>0.997</v>
      </c>
      <c r="AK276" s="10">
        <v>0.99</v>
      </c>
      <c r="AL276" s="17">
        <v>0.999</v>
      </c>
      <c r="AM276" s="1"/>
      <c r="AN276" s="81">
        <f t="shared" si="688"/>
        <v>-7.8266345454071851E-2</v>
      </c>
      <c r="AO276" s="10">
        <f t="shared" si="694"/>
        <v>-0.1313606474456247</v>
      </c>
      <c r="AP276" s="10">
        <f t="shared" si="695"/>
        <v>1.2000000000000011E-2</v>
      </c>
      <c r="AQ276" s="10">
        <f t="shared" si="696"/>
        <v>9.000000000000008E-3</v>
      </c>
      <c r="AR276" s="23"/>
    </row>
    <row r="277" spans="2:44" ht="14.65" hidden="1" customHeight="1">
      <c r="B277" s="5">
        <v>43281</v>
      </c>
      <c r="C277" s="2">
        <v>1591.8398856611111</v>
      </c>
      <c r="D277" s="2">
        <f>1476846/1000</f>
        <v>1476.846</v>
      </c>
      <c r="E277" s="2">
        <v>178.9</v>
      </c>
      <c r="F277" s="2">
        <f>5.14*30</f>
        <v>154.19999999999999</v>
      </c>
      <c r="G277" s="2">
        <v>177.2</v>
      </c>
      <c r="H277" s="2">
        <f>5.16*30</f>
        <v>154.80000000000001</v>
      </c>
      <c r="I277" s="10">
        <f t="shared" si="697"/>
        <v>0.76000804279252332</v>
      </c>
      <c r="J277" s="10">
        <f t="shared" si="698"/>
        <v>0.80623574664581876</v>
      </c>
      <c r="K277" s="11">
        <f>C277/24/30/10</f>
        <v>0.22108887300848762</v>
      </c>
      <c r="L277" s="11">
        <f>D277/24/30/10</f>
        <v>0.20511749999999998</v>
      </c>
      <c r="M277" s="11">
        <v>0.98499999999999999</v>
      </c>
      <c r="N277" s="82">
        <v>0.98609999999999998</v>
      </c>
      <c r="O277" s="10">
        <v>0.99</v>
      </c>
      <c r="P277" s="17">
        <v>0.98740000000000006</v>
      </c>
      <c r="Q277" s="83"/>
      <c r="R277" s="81">
        <f t="shared" si="685"/>
        <v>-7.2239605689583986E-2</v>
      </c>
      <c r="S277" s="10">
        <f t="shared" si="690"/>
        <v>-0.12641083521444685</v>
      </c>
      <c r="T277" s="10">
        <f t="shared" si="691"/>
        <v>1.0999999999999899E-3</v>
      </c>
      <c r="U277" s="10">
        <f t="shared" si="692"/>
        <v>-2.5999999999999357E-3</v>
      </c>
      <c r="V277" s="23"/>
      <c r="W277" s="83"/>
      <c r="X277" s="5">
        <v>43281</v>
      </c>
      <c r="Y277" s="2">
        <v>1588.3988857125746</v>
      </c>
      <c r="Z277" s="2">
        <f>1531740/1000</f>
        <v>1531.74</v>
      </c>
      <c r="AA277" s="2">
        <v>178.9</v>
      </c>
      <c r="AB277" s="2">
        <f>5.22*30</f>
        <v>156.6</v>
      </c>
      <c r="AC277" s="2">
        <v>177.2</v>
      </c>
      <c r="AD277" s="2">
        <f>5.25*30</f>
        <v>157.5</v>
      </c>
      <c r="AE277" s="10">
        <f t="shared" si="699"/>
        <v>0.75836517176027107</v>
      </c>
      <c r="AF277" s="10">
        <f t="shared" si="700"/>
        <v>0.81879616533081878</v>
      </c>
      <c r="AG277" s="11">
        <f>Y277/24/30/10</f>
        <v>0.22061095634896871</v>
      </c>
      <c r="AH277" s="11">
        <f>Z277/24/30/10</f>
        <v>0.21274166666666666</v>
      </c>
      <c r="AI277" s="10">
        <v>0.98499999999999999</v>
      </c>
      <c r="AJ277" s="11">
        <v>0.98980000000000001</v>
      </c>
      <c r="AK277" s="10">
        <v>0.99</v>
      </c>
      <c r="AL277" s="17">
        <v>0.99050000000000005</v>
      </c>
      <c r="AM277" s="1"/>
      <c r="AN277" s="81">
        <f t="shared" si="688"/>
        <v>-3.5670439095754403E-2</v>
      </c>
      <c r="AO277" s="10">
        <f t="shared" si="694"/>
        <v>-0.11117381489841982</v>
      </c>
      <c r="AP277" s="10">
        <f t="shared" si="695"/>
        <v>4.8000000000000265E-3</v>
      </c>
      <c r="AQ277" s="10">
        <f t="shared" si="696"/>
        <v>5.0000000000005596E-4</v>
      </c>
      <c r="AR277" s="23"/>
    </row>
    <row r="278" spans="2:44" ht="14.65" hidden="1" customHeight="1">
      <c r="B278" s="5">
        <v>43312</v>
      </c>
      <c r="C278" s="2">
        <v>1412.0124403645248</v>
      </c>
      <c r="D278" s="2">
        <f>1216494/1000</f>
        <v>1216.4939999999999</v>
      </c>
      <c r="E278" s="2">
        <v>155.5</v>
      </c>
      <c r="F278" s="2">
        <v>128.13</v>
      </c>
      <c r="G278" s="2">
        <v>154.6</v>
      </c>
      <c r="H278" s="2">
        <v>126.33</v>
      </c>
      <c r="I278" s="10">
        <f t="shared" si="697"/>
        <v>0.77270114698294867</v>
      </c>
      <c r="J278" s="10">
        <f t="shared" si="698"/>
        <v>0.81841697959413007</v>
      </c>
      <c r="K278" s="11">
        <f>C278/24/31/10</f>
        <v>0.18978661832856517</v>
      </c>
      <c r="L278" s="11">
        <f>D278/24/31/10</f>
        <v>0.1635072580645161</v>
      </c>
      <c r="M278" s="11">
        <v>0.98499999999999999</v>
      </c>
      <c r="N278" s="82">
        <v>0.98050000000000004</v>
      </c>
      <c r="O278" s="10">
        <v>0.99</v>
      </c>
      <c r="P278" s="17">
        <v>0.9879</v>
      </c>
      <c r="Q278" s="83"/>
      <c r="R278" s="81">
        <f t="shared" si="685"/>
        <v>-0.13846793043413264</v>
      </c>
      <c r="S278" s="10">
        <f t="shared" si="690"/>
        <v>-0.18285899094437252</v>
      </c>
      <c r="T278" s="10">
        <f t="shared" si="691"/>
        <v>-4.4999999999999485E-3</v>
      </c>
      <c r="U278" s="10">
        <f t="shared" si="692"/>
        <v>-2.0999999999999908E-3</v>
      </c>
      <c r="V278" s="23"/>
      <c r="W278" s="83"/>
      <c r="X278" s="5">
        <v>43312</v>
      </c>
      <c r="Y278" s="2">
        <v>1406.1371395227259</v>
      </c>
      <c r="Z278" s="2">
        <f>1265856/1000</f>
        <v>1265.856</v>
      </c>
      <c r="AA278" s="2">
        <v>155.5</v>
      </c>
      <c r="AB278" s="2">
        <v>130.11000000000001</v>
      </c>
      <c r="AC278" s="2">
        <v>154.6</v>
      </c>
      <c r="AD278" s="2">
        <v>128.13999999999999</v>
      </c>
      <c r="AE278" s="10">
        <f t="shared" si="699"/>
        <v>0.76948598288839154</v>
      </c>
      <c r="AF278" s="10">
        <f t="shared" si="700"/>
        <v>0.84122685274456654</v>
      </c>
      <c r="AG278" s="11">
        <f>Y278/24/31/10</f>
        <v>0.18899692735520507</v>
      </c>
      <c r="AH278" s="11">
        <f>Z278/24/31/10</f>
        <v>0.17014193548387097</v>
      </c>
      <c r="AI278" s="10">
        <v>0.98499999999999999</v>
      </c>
      <c r="AJ278" s="11">
        <v>0.97860000000000003</v>
      </c>
      <c r="AK278" s="10">
        <v>0.99</v>
      </c>
      <c r="AL278" s="17">
        <v>0.99009999999999998</v>
      </c>
      <c r="AM278" s="1"/>
      <c r="AN278" s="81">
        <f t="shared" si="688"/>
        <v>-9.976348364594112E-2</v>
      </c>
      <c r="AO278" s="10">
        <f t="shared" si="694"/>
        <v>-0.17115135834411388</v>
      </c>
      <c r="AP278" s="10">
        <f t="shared" si="695"/>
        <v>-6.3999999999999613E-3</v>
      </c>
      <c r="AQ278" s="10">
        <f t="shared" si="696"/>
        <v>9.9999999999988987E-5</v>
      </c>
      <c r="AR278" s="23"/>
    </row>
    <row r="279" spans="2:44" ht="14.65" hidden="1" customHeight="1">
      <c r="B279" s="5">
        <v>43343</v>
      </c>
      <c r="C279" s="2">
        <v>1341.3659439980083</v>
      </c>
      <c r="D279" s="2">
        <f>1036044/1000</f>
        <v>1036.0440000000001</v>
      </c>
      <c r="E279" s="2">
        <v>145.4</v>
      </c>
      <c r="F279" s="2">
        <v>111.41</v>
      </c>
      <c r="G279" s="2">
        <v>146.30000000000001</v>
      </c>
      <c r="H279" s="2">
        <v>110.13</v>
      </c>
      <c r="I279" s="10">
        <f t="shared" si="697"/>
        <v>0.77568514271257771</v>
      </c>
      <c r="J279" s="10">
        <f t="shared" si="698"/>
        <v>0.80886847454021904</v>
      </c>
      <c r="K279" s="11">
        <f>C279/24/31/10</f>
        <v>0.18029112150510868</v>
      </c>
      <c r="L279" s="11">
        <f>D279/24/31/10</f>
        <v>0.13925322580645161</v>
      </c>
      <c r="M279" s="11">
        <v>0.98499999999999999</v>
      </c>
      <c r="N279" s="82">
        <v>0.96919999999999995</v>
      </c>
      <c r="O279" s="10">
        <v>0.99</v>
      </c>
      <c r="P279" s="17">
        <v>0.99780000000000002</v>
      </c>
      <c r="Q279" s="83"/>
      <c r="R279" s="81">
        <f t="shared" si="685"/>
        <v>-0.22762016984565814</v>
      </c>
      <c r="S279" s="10">
        <f t="shared" si="690"/>
        <v>-0.24723171565276836</v>
      </c>
      <c r="T279" s="10">
        <f t="shared" si="691"/>
        <v>-1.5800000000000036E-2</v>
      </c>
      <c r="U279" s="10">
        <f t="shared" si="692"/>
        <v>7.8000000000000291E-3</v>
      </c>
      <c r="V279" s="23"/>
      <c r="W279" s="83"/>
      <c r="X279" s="5">
        <v>43343</v>
      </c>
      <c r="Y279" s="2">
        <v>1334.577997562282</v>
      </c>
      <c r="Z279" s="2">
        <f>1116492/1000</f>
        <v>1116.492</v>
      </c>
      <c r="AA279" s="2">
        <v>145.4</v>
      </c>
      <c r="AB279" s="2">
        <v>113.72</v>
      </c>
      <c r="AC279" s="2">
        <v>146.30000000000001</v>
      </c>
      <c r="AD279" s="2">
        <v>112.81</v>
      </c>
      <c r="AE279" s="10">
        <f t="shared" si="699"/>
        <v>0.77175980882194062</v>
      </c>
      <c r="AF279" s="10">
        <f t="shared" si="700"/>
        <v>0.84625327662672656</v>
      </c>
      <c r="AG279" s="11">
        <f>Y279/24/31/10</f>
        <v>0.17937876311320994</v>
      </c>
      <c r="AH279" s="11">
        <f>Z279/24/31/10</f>
        <v>0.15006612903225808</v>
      </c>
      <c r="AI279" s="10">
        <v>0.98499999999999999</v>
      </c>
      <c r="AJ279" s="11">
        <v>0.97460000000000002</v>
      </c>
      <c r="AK279" s="10">
        <v>0.99</v>
      </c>
      <c r="AL279" s="17">
        <v>0.99939999999999996</v>
      </c>
      <c r="AM279" s="1"/>
      <c r="AN279" s="81">
        <f t="shared" si="688"/>
        <v>-0.16341195341196568</v>
      </c>
      <c r="AO279" s="10">
        <f t="shared" si="694"/>
        <v>-0.22891319207108685</v>
      </c>
      <c r="AP279" s="10">
        <f t="shared" si="695"/>
        <v>-1.0399999999999965E-2</v>
      </c>
      <c r="AQ279" s="10">
        <f t="shared" si="696"/>
        <v>9.3999999999999639E-3</v>
      </c>
      <c r="AR279" s="23"/>
    </row>
    <row r="280" spans="2:44" ht="14.65" hidden="1" customHeight="1">
      <c r="B280" s="5">
        <v>43373</v>
      </c>
      <c r="C280" s="2">
        <v>1334.9435352374162</v>
      </c>
      <c r="D280" s="2">
        <f>1117884/1000</f>
        <v>1117.884</v>
      </c>
      <c r="E280" s="2">
        <v>141.6</v>
      </c>
      <c r="F280" s="2">
        <v>118.09</v>
      </c>
      <c r="G280" s="2">
        <v>145.5</v>
      </c>
      <c r="H280" s="2">
        <v>119.04</v>
      </c>
      <c r="I280" s="10">
        <f t="shared" si="697"/>
        <v>0.77621570710567811</v>
      </c>
      <c r="J280" s="10">
        <f t="shared" si="698"/>
        <v>0.80156599857482547</v>
      </c>
      <c r="K280" s="11">
        <f>C280/24/30/10</f>
        <v>0.18540882433853001</v>
      </c>
      <c r="L280" s="11">
        <f>D280/24/30/10</f>
        <v>0.15526166666666666</v>
      </c>
      <c r="M280" s="11">
        <v>0.98499999999999999</v>
      </c>
      <c r="N280" s="82">
        <v>0.97629999999999995</v>
      </c>
      <c r="O280" s="10">
        <v>0.99</v>
      </c>
      <c r="P280" s="17">
        <v>0.98529999999999995</v>
      </c>
      <c r="Q280" s="83"/>
      <c r="R280" s="81">
        <f t="shared" si="685"/>
        <v>-0.16259828937170195</v>
      </c>
      <c r="S280" s="10">
        <f t="shared" si="690"/>
        <v>-0.18185567010309278</v>
      </c>
      <c r="T280" s="10">
        <f t="shared" si="691"/>
        <v>-8.700000000000041E-3</v>
      </c>
      <c r="U280" s="10">
        <f t="shared" si="692"/>
        <v>-4.7000000000000375E-3</v>
      </c>
      <c r="V280" s="23"/>
      <c r="W280" s="83"/>
      <c r="X280" s="5">
        <v>43373</v>
      </c>
      <c r="Y280" s="2">
        <v>1330.2966813766141</v>
      </c>
      <c r="Z280" s="2">
        <f>1189860/1000</f>
        <v>1189.8599999999999</v>
      </c>
      <c r="AA280" s="2">
        <v>141.6</v>
      </c>
      <c r="AB280" s="2">
        <v>120.92</v>
      </c>
      <c r="AC280" s="2">
        <v>145.5</v>
      </c>
      <c r="AD280" s="2">
        <v>124.22</v>
      </c>
      <c r="AE280" s="10">
        <f t="shared" si="699"/>
        <v>0.77351374941221074</v>
      </c>
      <c r="AF280" s="10">
        <f t="shared" si="700"/>
        <v>0.82426775960972087</v>
      </c>
      <c r="AG280" s="11">
        <f>Y280/24/30/10</f>
        <v>0.18476342796897419</v>
      </c>
      <c r="AH280" s="11">
        <f>Z280/24/30/10</f>
        <v>0.16525833333333331</v>
      </c>
      <c r="AI280" s="10">
        <v>0.98499999999999999</v>
      </c>
      <c r="AJ280" s="11">
        <v>0.96840000000000004</v>
      </c>
      <c r="AK280" s="10">
        <v>0.99</v>
      </c>
      <c r="AL280" s="17">
        <v>0.98180000000000001</v>
      </c>
      <c r="AM280" s="1"/>
      <c r="AN280" s="81">
        <f t="shared" si="688"/>
        <v>-0.10556794085307941</v>
      </c>
      <c r="AO280" s="10">
        <f t="shared" si="694"/>
        <v>-0.14625429553264602</v>
      </c>
      <c r="AP280" s="10">
        <f t="shared" si="695"/>
        <v>-1.6599999999999948E-2</v>
      </c>
      <c r="AQ280" s="10">
        <f t="shared" si="696"/>
        <v>-8.1999999999999851E-3</v>
      </c>
      <c r="AR280" s="23"/>
    </row>
    <row r="281" spans="2:44" ht="14.65" hidden="1" customHeight="1">
      <c r="B281" s="5">
        <v>43404</v>
      </c>
      <c r="C281" s="2">
        <v>1526.6983110893887</v>
      </c>
      <c r="D281" s="2">
        <f>1482006/1000</f>
        <v>1482.0060000000001</v>
      </c>
      <c r="E281" s="2">
        <v>139.1</v>
      </c>
      <c r="F281" s="2">
        <f>4.5*31</f>
        <v>139.5</v>
      </c>
      <c r="G281" s="2">
        <v>172.2</v>
      </c>
      <c r="H281" s="2">
        <f>5.26*31</f>
        <v>163.06</v>
      </c>
      <c r="I281" s="10">
        <f t="shared" si="697"/>
        <v>0.75007139176762383</v>
      </c>
      <c r="J281" s="10">
        <f t="shared" si="698"/>
        <v>0.77761086671211843</v>
      </c>
      <c r="K281" s="11">
        <f>C281/24/31/10</f>
        <v>0.20520138589911138</v>
      </c>
      <c r="L281" s="11">
        <f>D281/24/31/10</f>
        <v>0.19919435483870968</v>
      </c>
      <c r="M281" s="11">
        <v>0.98499999999999999</v>
      </c>
      <c r="N281" s="82">
        <v>0.97399999999999998</v>
      </c>
      <c r="O281" s="10">
        <v>0.99</v>
      </c>
      <c r="P281" s="17">
        <v>0.97460000000000002</v>
      </c>
      <c r="Q281" s="83"/>
      <c r="R281" s="81">
        <f t="shared" si="685"/>
        <v>-2.9273832796407606E-2</v>
      </c>
      <c r="S281" s="10">
        <f t="shared" si="690"/>
        <v>-5.307781649245058E-2</v>
      </c>
      <c r="T281" s="10">
        <f t="shared" si="691"/>
        <v>-1.100000000000001E-2</v>
      </c>
      <c r="U281" s="10">
        <f t="shared" si="692"/>
        <v>-1.5399999999999969E-2</v>
      </c>
      <c r="V281" s="23"/>
      <c r="W281" s="83"/>
      <c r="X281" s="5">
        <v>43404</v>
      </c>
      <c r="Y281" s="2">
        <v>1524.1791429275609</v>
      </c>
      <c r="Z281" s="2">
        <f>1545108/1000</f>
        <v>1545.1079999999999</v>
      </c>
      <c r="AA281" s="2">
        <v>139.1</v>
      </c>
      <c r="AB281" s="2">
        <f>4.36*31</f>
        <v>135.16</v>
      </c>
      <c r="AC281" s="2">
        <v>172.2</v>
      </c>
      <c r="AD281" s="2">
        <f>5.35*31</f>
        <v>165.85</v>
      </c>
      <c r="AE281" s="10">
        <f t="shared" si="699"/>
        <v>0.74883371700535173</v>
      </c>
      <c r="AF281" s="10">
        <f t="shared" si="700"/>
        <v>0.79553043852782102</v>
      </c>
      <c r="AG281" s="11">
        <f>Y281/24/31/10</f>
        <v>0.20486278802789798</v>
      </c>
      <c r="AH281" s="11">
        <f>Z281/24/31/10</f>
        <v>0.20767580645161288</v>
      </c>
      <c r="AI281" s="10">
        <v>0.98499999999999999</v>
      </c>
      <c r="AJ281" s="11">
        <v>0.97589999999999999</v>
      </c>
      <c r="AK281" s="10">
        <v>0.99</v>
      </c>
      <c r="AL281" s="17">
        <v>0.97660000000000002</v>
      </c>
      <c r="AM281" s="1"/>
      <c r="AN281" s="81">
        <f t="shared" si="688"/>
        <v>1.3731231771247021E-2</v>
      </c>
      <c r="AO281" s="10">
        <f t="shared" si="694"/>
        <v>-3.6875725900116119E-2</v>
      </c>
      <c r="AP281" s="10">
        <f t="shared" si="695"/>
        <v>-9.099999999999997E-3</v>
      </c>
      <c r="AQ281" s="10">
        <f t="shared" si="696"/>
        <v>-1.3399999999999967E-2</v>
      </c>
      <c r="AR281" s="23"/>
    </row>
    <row r="282" spans="2:44" ht="14.65" hidden="1" customHeight="1">
      <c r="B282" s="5">
        <v>43434</v>
      </c>
      <c r="C282" s="2">
        <v>1354.2107615191931</v>
      </c>
      <c r="D282" s="2">
        <f>1146594/1000</f>
        <v>1146.5940000000001</v>
      </c>
      <c r="E282" s="2">
        <v>108.1</v>
      </c>
      <c r="F282" s="2">
        <f>3.28*30</f>
        <v>98.399999999999991</v>
      </c>
      <c r="G282" s="2">
        <v>152.1</v>
      </c>
      <c r="H282" s="2">
        <f>4.42*30</f>
        <v>132.6</v>
      </c>
      <c r="I282" s="10">
        <f t="shared" si="697"/>
        <v>0.75325074535698933</v>
      </c>
      <c r="J282" s="10">
        <f t="shared" si="698"/>
        <v>0.75233291350496234</v>
      </c>
      <c r="K282" s="11">
        <f>C282/24/30/10</f>
        <v>0.18808482798877682</v>
      </c>
      <c r="L282" s="11">
        <f>D282/24/30/10</f>
        <v>0.15924916666666669</v>
      </c>
      <c r="M282" s="11">
        <v>0.98499999999999999</v>
      </c>
      <c r="N282" s="82">
        <v>0.95779999999999998</v>
      </c>
      <c r="O282" s="10">
        <v>0.99</v>
      </c>
      <c r="P282" s="17">
        <v>0.99990000000000001</v>
      </c>
      <c r="Q282" s="83"/>
      <c r="R282" s="81">
        <f t="shared" si="685"/>
        <v>-0.15331200092242836</v>
      </c>
      <c r="S282" s="10">
        <f t="shared" si="690"/>
        <v>-0.12820512820512819</v>
      </c>
      <c r="T282" s="10">
        <f t="shared" si="691"/>
        <v>-2.7200000000000002E-2</v>
      </c>
      <c r="U282" s="10">
        <f t="shared" si="692"/>
        <v>9.9000000000000199E-3</v>
      </c>
      <c r="V282" s="23"/>
      <c r="W282" s="83"/>
      <c r="X282" s="5">
        <v>43434</v>
      </c>
      <c r="Y282" s="2">
        <v>1349.2567959131422</v>
      </c>
      <c r="Z282" s="2">
        <f>1248954/1000</f>
        <v>1248.954</v>
      </c>
      <c r="AA282" s="2">
        <v>108.1</v>
      </c>
      <c r="AB282" s="2">
        <f>3.23*30</f>
        <v>96.9</v>
      </c>
      <c r="AC282" s="2">
        <v>152.1</v>
      </c>
      <c r="AD282" s="2">
        <f>4.54*30</f>
        <v>136.19999999999999</v>
      </c>
      <c r="AE282" s="10">
        <f t="shared" si="699"/>
        <v>0.7504952080423658</v>
      </c>
      <c r="AF282" s="10">
        <f t="shared" si="700"/>
        <v>0.77336976689268966</v>
      </c>
      <c r="AG282" s="11">
        <f>Y282/24/30/10</f>
        <v>0.18739677721015863</v>
      </c>
      <c r="AH282" s="11">
        <f>Z282/24/30/10</f>
        <v>0.17346583333333332</v>
      </c>
      <c r="AI282" s="10">
        <v>0.98499999999999999</v>
      </c>
      <c r="AJ282" s="11">
        <v>0.98809999999999998</v>
      </c>
      <c r="AK282" s="10">
        <v>0.99</v>
      </c>
      <c r="AL282" s="17">
        <v>0.99990000000000001</v>
      </c>
      <c r="AM282" s="1"/>
      <c r="AN282" s="81">
        <f t="shared" si="688"/>
        <v>-7.433929272541473E-2</v>
      </c>
      <c r="AO282" s="10">
        <f t="shared" si="694"/>
        <v>-0.10453648915187386</v>
      </c>
      <c r="AP282" s="10">
        <f t="shared" si="695"/>
        <v>3.0999999999999917E-3</v>
      </c>
      <c r="AQ282" s="10">
        <f t="shared" si="696"/>
        <v>9.9000000000000199E-3</v>
      </c>
      <c r="AR282" s="23"/>
    </row>
    <row r="283" spans="2:44" ht="14.65" hidden="1" customHeight="1">
      <c r="B283" s="5">
        <v>43465</v>
      </c>
      <c r="C283" s="2">
        <v>1139.5188115222481</v>
      </c>
      <c r="D283" s="2">
        <f>1131264/1000</f>
        <v>1131.2639999999999</v>
      </c>
      <c r="E283" s="2">
        <v>89.9</v>
      </c>
      <c r="F283" s="2">
        <v>86.18</v>
      </c>
      <c r="G283" s="2">
        <v>129.6</v>
      </c>
      <c r="H283" s="2">
        <v>121.83</v>
      </c>
      <c r="I283" s="10">
        <f t="shared" si="697"/>
        <v>0.74387338597627495</v>
      </c>
      <c r="J283" s="10">
        <f t="shared" si="698"/>
        <v>0.79396630079973196</v>
      </c>
      <c r="K283" s="11">
        <f>C283/24/31/10</f>
        <v>0.15316113058094732</v>
      </c>
      <c r="L283" s="11">
        <f>D283/24/31/10</f>
        <v>0.1520516129032258</v>
      </c>
      <c r="M283" s="11">
        <v>0.98499999999999999</v>
      </c>
      <c r="N283" s="82">
        <v>0.97460000000000002</v>
      </c>
      <c r="O283" s="10">
        <v>0.99</v>
      </c>
      <c r="P283" s="17">
        <v>1</v>
      </c>
      <c r="Q283" s="83"/>
      <c r="R283" s="81">
        <f t="shared" si="685"/>
        <v>-7.2441204469638754E-3</v>
      </c>
      <c r="S283" s="10">
        <f t="shared" si="690"/>
        <v>-5.9953703703703676E-2</v>
      </c>
      <c r="T283" s="10">
        <f t="shared" si="691"/>
        <v>-1.0399999999999965E-2</v>
      </c>
      <c r="U283" s="10">
        <f t="shared" si="692"/>
        <v>1.0000000000000009E-2</v>
      </c>
      <c r="V283" s="23"/>
      <c r="W283" s="83"/>
      <c r="X283" s="5">
        <v>43465</v>
      </c>
      <c r="Y283" s="2">
        <v>1132.7445202379524</v>
      </c>
      <c r="Z283" s="2">
        <f>1132326/1000</f>
        <v>1132.326</v>
      </c>
      <c r="AA283" s="2">
        <v>89.9</v>
      </c>
      <c r="AB283" s="2">
        <v>84.63</v>
      </c>
      <c r="AC283" s="2">
        <v>129.6</v>
      </c>
      <c r="AD283" s="2">
        <v>126.48</v>
      </c>
      <c r="AE283" s="10">
        <f t="shared" si="699"/>
        <v>0.73945115534323524</v>
      </c>
      <c r="AF283" s="10">
        <f t="shared" si="700"/>
        <v>0.7860612780668873</v>
      </c>
      <c r="AG283" s="11">
        <f>Y283/24/31/10</f>
        <v>0.15225060755886458</v>
      </c>
      <c r="AH283" s="11">
        <f>Z283/24/31/10</f>
        <v>0.15219435483870969</v>
      </c>
      <c r="AI283" s="10">
        <v>0.98499999999999999</v>
      </c>
      <c r="AJ283" s="11">
        <v>0.94910000000000005</v>
      </c>
      <c r="AK283" s="10">
        <v>0.99</v>
      </c>
      <c r="AL283" s="17">
        <v>0.99829999999999997</v>
      </c>
      <c r="AM283" s="1"/>
      <c r="AN283" s="81">
        <f t="shared" si="688"/>
        <v>-3.6947452004842951E-4</v>
      </c>
      <c r="AO283" s="10">
        <f t="shared" si="694"/>
        <v>-2.4074074074074026E-2</v>
      </c>
      <c r="AP283" s="10">
        <f t="shared" si="695"/>
        <v>-3.5899999999999932E-2</v>
      </c>
      <c r="AQ283" s="10">
        <f t="shared" si="696"/>
        <v>8.2999999999999741E-3</v>
      </c>
      <c r="AR283" s="23"/>
    </row>
    <row r="284" spans="2:44" s="94" customFormat="1" ht="14.65" hidden="1" customHeight="1">
      <c r="B284" s="46">
        <v>43496</v>
      </c>
      <c r="C284" s="47">
        <v>960.37030658035246</v>
      </c>
      <c r="D284" s="47">
        <f>1086210/1000</f>
        <v>1086.21</v>
      </c>
      <c r="E284" s="47">
        <v>79.599999999999994</v>
      </c>
      <c r="F284" s="47">
        <v>87.73</v>
      </c>
      <c r="G284" s="47">
        <v>103.2</v>
      </c>
      <c r="H284" s="47">
        <v>117.8</v>
      </c>
      <c r="I284" s="49">
        <f t="shared" si="697"/>
        <v>0.78730235393003611</v>
      </c>
      <c r="J284" s="49">
        <f t="shared" si="698"/>
        <v>0.78184760909718465</v>
      </c>
      <c r="K284" s="48">
        <f>C284/24/31/10</f>
        <v>0.12908203045434846</v>
      </c>
      <c r="L284" s="48">
        <f>D284/24/31/10</f>
        <v>0.14599596774193549</v>
      </c>
      <c r="M284" s="48">
        <v>0.98499999999999999</v>
      </c>
      <c r="N284" s="90">
        <v>0.98280000000000001</v>
      </c>
      <c r="O284" s="49">
        <v>0.99</v>
      </c>
      <c r="P284" s="50">
        <v>0.98399999999999999</v>
      </c>
      <c r="Q284" s="91"/>
      <c r="R284" s="92">
        <f t="shared" si="685"/>
        <v>0.13103247003516016</v>
      </c>
      <c r="S284" s="49">
        <f t="shared" si="690"/>
        <v>0.14147286821705429</v>
      </c>
      <c r="T284" s="49">
        <f t="shared" si="691"/>
        <v>-2.1999999999999797E-3</v>
      </c>
      <c r="U284" s="49">
        <f t="shared" si="692"/>
        <v>-6.0000000000000053E-3</v>
      </c>
      <c r="V284" s="52"/>
      <c r="W284" s="91"/>
      <c r="X284" s="46">
        <v>43496</v>
      </c>
      <c r="Y284" s="47">
        <v>953.64162087237878</v>
      </c>
      <c r="Z284" s="47">
        <f>1116102/1000</f>
        <v>1116.1020000000001</v>
      </c>
      <c r="AA284" s="47">
        <v>79.599999999999994</v>
      </c>
      <c r="AB284" s="47">
        <v>87.73</v>
      </c>
      <c r="AC284" s="47">
        <v>103.2</v>
      </c>
      <c r="AD284" s="47">
        <v>120.28</v>
      </c>
      <c r="AE284" s="49">
        <f t="shared" si="699"/>
        <v>0.78178624200899371</v>
      </c>
      <c r="AF284" s="49">
        <f t="shared" si="700"/>
        <v>0.78816282206601351</v>
      </c>
      <c r="AG284" s="48">
        <f>Y284/24/31/10</f>
        <v>0.12817763721402939</v>
      </c>
      <c r="AH284" s="48">
        <f>Z284/24/31/10</f>
        <v>0.15001370967741939</v>
      </c>
      <c r="AI284" s="49">
        <v>0.98499999999999999</v>
      </c>
      <c r="AJ284" s="48">
        <v>0.98109999999999997</v>
      </c>
      <c r="AK284" s="49">
        <v>0.99</v>
      </c>
      <c r="AL284" s="50">
        <v>0.99409999999999998</v>
      </c>
      <c r="AM284" s="93"/>
      <c r="AN284" s="92">
        <f t="shared" si="688"/>
        <v>0.17035789501196974</v>
      </c>
      <c r="AO284" s="49">
        <f t="shared" si="694"/>
        <v>0.16550387596899219</v>
      </c>
      <c r="AP284" s="49">
        <f t="shared" si="695"/>
        <v>-3.9000000000000146E-3</v>
      </c>
      <c r="AQ284" s="49">
        <f t="shared" si="696"/>
        <v>4.0999999999999925E-3</v>
      </c>
      <c r="AR284" s="52"/>
    </row>
    <row r="285" spans="2:44" ht="14.65" hidden="1" customHeight="1">
      <c r="B285" s="5">
        <v>43524</v>
      </c>
      <c r="C285" s="2">
        <v>1257.9755536765454</v>
      </c>
      <c r="D285" s="2">
        <v>1015.398</v>
      </c>
      <c r="E285" s="2">
        <v>108.1</v>
      </c>
      <c r="F285" s="2">
        <v>91.28</v>
      </c>
      <c r="G285" s="2">
        <v>137.5</v>
      </c>
      <c r="H285" s="2">
        <v>109.48</v>
      </c>
      <c r="I285" s="10">
        <f t="shared" si="697"/>
        <v>0.77401972230521165</v>
      </c>
      <c r="J285" s="10">
        <f t="shared" si="698"/>
        <v>0.8146880917251571</v>
      </c>
      <c r="K285" s="11">
        <f>C285/24/28/10</f>
        <v>0.18719874310662876</v>
      </c>
      <c r="L285" s="11">
        <f>D285/24/28/10</f>
        <v>0.15110089285714284</v>
      </c>
      <c r="M285" s="11">
        <v>0.98499999999999999</v>
      </c>
      <c r="N285" s="82">
        <v>0.94869999999999999</v>
      </c>
      <c r="O285" s="10">
        <v>0.99</v>
      </c>
      <c r="P285" s="17">
        <v>0.97789999999999999</v>
      </c>
      <c r="Q285" s="83"/>
      <c r="R285" s="81">
        <f t="shared" si="685"/>
        <v>-0.19283169133739597</v>
      </c>
      <c r="S285" s="10">
        <f t="shared" si="690"/>
        <v>-0.20378181818181818</v>
      </c>
      <c r="T285" s="10">
        <f t="shared" si="691"/>
        <v>-3.6299999999999999E-2</v>
      </c>
      <c r="U285" s="10">
        <f t="shared" si="692"/>
        <v>-1.21E-2</v>
      </c>
      <c r="V285" s="23"/>
      <c r="W285" s="83"/>
      <c r="X285" s="5">
        <v>43524</v>
      </c>
      <c r="Y285" s="2">
        <v>1251.8352932041269</v>
      </c>
      <c r="Z285" s="2">
        <v>1026.6300000000001</v>
      </c>
      <c r="AA285" s="2">
        <v>108.1</v>
      </c>
      <c r="AB285" s="2">
        <v>85.399999999999991</v>
      </c>
      <c r="AC285" s="2">
        <v>137.5</v>
      </c>
      <c r="AD285" s="2">
        <v>108.36</v>
      </c>
      <c r="AE285" s="10">
        <f t="shared" si="699"/>
        <v>0.7702416817130453</v>
      </c>
      <c r="AF285" s="10">
        <f t="shared" si="700"/>
        <v>0.84215577703949807</v>
      </c>
      <c r="AG285" s="11">
        <f>Y285/24/28/10</f>
        <v>0.18628501386966173</v>
      </c>
      <c r="AH285" s="11">
        <f>Z285/24/28/10</f>
        <v>0.15277232142857144</v>
      </c>
      <c r="AI285" s="10">
        <v>0.98499999999999999</v>
      </c>
      <c r="AJ285" s="11">
        <v>0.9375</v>
      </c>
      <c r="AK285" s="10">
        <v>0.99</v>
      </c>
      <c r="AL285" s="17">
        <v>0.96640000000000004</v>
      </c>
      <c r="AM285" s="1"/>
      <c r="AN285" s="81">
        <f t="shared" si="688"/>
        <v>-0.17990009901997894</v>
      </c>
      <c r="AO285" s="10">
        <f t="shared" si="694"/>
        <v>-0.21192727272727274</v>
      </c>
      <c r="AP285" s="10">
        <f t="shared" si="695"/>
        <v>-4.7499999999999987E-2</v>
      </c>
      <c r="AQ285" s="10">
        <f t="shared" si="696"/>
        <v>-2.3599999999999954E-2</v>
      </c>
      <c r="AR285" s="23"/>
    </row>
    <row r="286" spans="2:44" ht="14.65" hidden="1" customHeight="1">
      <c r="B286" s="5">
        <v>43555</v>
      </c>
      <c r="C286" s="2">
        <v>1682.4738355775567</v>
      </c>
      <c r="D286" s="2">
        <f>1635012/1000</f>
        <v>1635.0119999999999</v>
      </c>
      <c r="E286" s="2">
        <v>161.4</v>
      </c>
      <c r="F286" s="2">
        <v>156.35</v>
      </c>
      <c r="G286" s="2">
        <v>187.8</v>
      </c>
      <c r="H286" s="2">
        <v>178.04</v>
      </c>
      <c r="I286" s="10">
        <f t="shared" si="697"/>
        <v>0.75794074571607328</v>
      </c>
      <c r="J286" s="10">
        <f t="shared" si="698"/>
        <v>0.77091073078813466</v>
      </c>
      <c r="K286" s="11">
        <f>C286/24/31/10</f>
        <v>0.22613895639483289</v>
      </c>
      <c r="L286" s="11">
        <f>D286/24/31/10</f>
        <v>0.21975967741935482</v>
      </c>
      <c r="M286" s="11">
        <v>0.98499999999999999</v>
      </c>
      <c r="N286" s="82">
        <v>0.99270000000000003</v>
      </c>
      <c r="O286" s="10">
        <v>0.99</v>
      </c>
      <c r="P286" s="17">
        <v>0.99509999999999998</v>
      </c>
      <c r="Q286" s="83"/>
      <c r="R286" s="81">
        <f t="shared" si="685"/>
        <v>-2.8209553440849855E-2</v>
      </c>
      <c r="S286" s="10">
        <f t="shared" si="690"/>
        <v>-5.1970181043663577E-2</v>
      </c>
      <c r="T286" s="10">
        <f t="shared" si="691"/>
        <v>7.7000000000000401E-3</v>
      </c>
      <c r="U286" s="10">
        <f t="shared" si="692"/>
        <v>5.0999999999999934E-3</v>
      </c>
      <c r="V286" s="23"/>
      <c r="W286" s="83"/>
      <c r="X286" s="5">
        <v>43555</v>
      </c>
      <c r="Y286" s="2">
        <v>1679.0433707079778</v>
      </c>
      <c r="Z286" s="2">
        <f>1710192/1000</f>
        <v>1710.192</v>
      </c>
      <c r="AA286" s="2">
        <v>161.4</v>
      </c>
      <c r="AB286" s="2">
        <v>152.38999999999999</v>
      </c>
      <c r="AC286" s="2">
        <v>187.8</v>
      </c>
      <c r="AD286" s="2">
        <v>182</v>
      </c>
      <c r="AE286" s="10">
        <f t="shared" si="699"/>
        <v>0.75639534926091301</v>
      </c>
      <c r="AF286" s="10">
        <f t="shared" si="700"/>
        <v>0.79522183919462275</v>
      </c>
      <c r="AG286" s="11">
        <f>Y286/24/31/10</f>
        <v>0.22567787240698625</v>
      </c>
      <c r="AH286" s="11">
        <f>Z286/24/31/10</f>
        <v>0.22986451612903225</v>
      </c>
      <c r="AI286" s="10">
        <v>0.98499999999999999</v>
      </c>
      <c r="AJ286" s="11">
        <v>0.98470000000000002</v>
      </c>
      <c r="AK286" s="10">
        <v>0.99</v>
      </c>
      <c r="AL286" s="17">
        <v>0.99419999999999997</v>
      </c>
      <c r="AM286" s="1"/>
      <c r="AN286" s="81">
        <f t="shared" si="688"/>
        <v>1.8551414356192675E-2</v>
      </c>
      <c r="AO286" s="10">
        <f t="shared" si="694"/>
        <v>-3.0883919062832832E-2</v>
      </c>
      <c r="AP286" s="10">
        <f t="shared" si="695"/>
        <v>-2.9999999999996696E-4</v>
      </c>
      <c r="AQ286" s="10">
        <f t="shared" si="696"/>
        <v>4.1999999999999815E-3</v>
      </c>
      <c r="AR286" s="23"/>
    </row>
    <row r="287" spans="2:44" s="89" customFormat="1" ht="14.65" hidden="1" customHeight="1">
      <c r="B287" s="25">
        <v>43585</v>
      </c>
      <c r="C287" s="26">
        <v>1738.1607069667216</v>
      </c>
      <c r="D287" s="176">
        <f>1577820/1000</f>
        <v>1577.82</v>
      </c>
      <c r="E287" s="26">
        <v>190.2</v>
      </c>
      <c r="F287" s="26">
        <f>5.92*30</f>
        <v>177.6</v>
      </c>
      <c r="G287" s="26">
        <v>194</v>
      </c>
      <c r="H287" s="26">
        <f>6.01*30</f>
        <v>180.29999999999998</v>
      </c>
      <c r="I287" s="27">
        <f t="shared" si="697"/>
        <v>0.75800264577194065</v>
      </c>
      <c r="J287" s="27">
        <f t="shared" si="698"/>
        <v>0.73893686719205176</v>
      </c>
      <c r="K287" s="28">
        <f>C287/24/30/10</f>
        <v>0.24141120930093357</v>
      </c>
      <c r="L287" s="28">
        <f>D287/24/30/10</f>
        <v>0.21914166666666665</v>
      </c>
      <c r="M287" s="28">
        <v>0.98499999999999999</v>
      </c>
      <c r="N287" s="85">
        <v>0.9869</v>
      </c>
      <c r="O287" s="29">
        <v>0.99</v>
      </c>
      <c r="P287" s="30">
        <v>0.99239999999999995</v>
      </c>
      <c r="Q287" s="86"/>
      <c r="R287" s="87">
        <f t="shared" ref="R287" si="701">D287/C287-1</f>
        <v>-9.2247343024186468E-2</v>
      </c>
      <c r="S287" s="29">
        <f t="shared" ref="S287" si="702">H287/G287-1</f>
        <v>-7.061855670103101E-2</v>
      </c>
      <c r="T287" s="29">
        <f t="shared" ref="T287" si="703">N287-M287</f>
        <v>1.9000000000000128E-3</v>
      </c>
      <c r="U287" s="29">
        <f t="shared" ref="U287" si="704">P287-O287</f>
        <v>2.3999999999999577E-3</v>
      </c>
      <c r="V287" s="32">
        <v>-3.6499999999999998E-2</v>
      </c>
      <c r="W287" s="86">
        <v>0</v>
      </c>
      <c r="X287" s="25">
        <v>43585</v>
      </c>
      <c r="Y287" s="26">
        <v>1737.4649881444018</v>
      </c>
      <c r="Z287" s="26">
        <f>1646268/1000</f>
        <v>1646.268</v>
      </c>
      <c r="AA287" s="26">
        <v>190.2</v>
      </c>
      <c r="AB287" s="26">
        <f>5.72*30</f>
        <v>171.6</v>
      </c>
      <c r="AC287" s="26">
        <v>194</v>
      </c>
      <c r="AD287" s="26">
        <f>6.07*30</f>
        <v>182.10000000000002</v>
      </c>
      <c r="AE287" s="27">
        <f t="shared" si="699"/>
        <v>0.75769924649135745</v>
      </c>
      <c r="AF287" s="27">
        <f t="shared" si="700"/>
        <v>0.76082788704371473</v>
      </c>
      <c r="AG287" s="28">
        <f>Y287/24/30/10</f>
        <v>0.24131458168672251</v>
      </c>
      <c r="AH287" s="28">
        <f>Z287/24/30/10</f>
        <v>0.22864833333333334</v>
      </c>
      <c r="AI287" s="29">
        <v>0.98499999999999999</v>
      </c>
      <c r="AJ287" s="28">
        <v>0.99019999999999997</v>
      </c>
      <c r="AK287" s="29">
        <v>0.99</v>
      </c>
      <c r="AL287" s="30">
        <v>0.99560000000000004</v>
      </c>
      <c r="AM287" s="86"/>
      <c r="AN287" s="87">
        <f t="shared" ref="AN287" si="705">Z287/Y287-1</f>
        <v>-5.2488532872135396E-2</v>
      </c>
      <c r="AO287" s="29">
        <f t="shared" ref="AO287" si="706">AD287/AC287-1</f>
        <v>-6.1340206185566903E-2</v>
      </c>
      <c r="AP287" s="29">
        <f t="shared" ref="AP287" si="707">AJ287-AI287</f>
        <v>5.1999999999999824E-3</v>
      </c>
      <c r="AQ287" s="29">
        <f t="shared" ref="AQ287" si="708">AL287-AK287</f>
        <v>5.6000000000000494E-3</v>
      </c>
      <c r="AR287" s="32"/>
    </row>
    <row r="288" spans="2:44" ht="14.65" hidden="1" customHeight="1">
      <c r="B288" s="5">
        <v>43616</v>
      </c>
      <c r="C288" s="2">
        <v>1760.9831952409693</v>
      </c>
      <c r="D288" s="177">
        <f>1573734/1000</f>
        <v>1573.7339999999999</v>
      </c>
      <c r="E288" s="2">
        <v>197</v>
      </c>
      <c r="F288" s="2">
        <v>196.71</v>
      </c>
      <c r="G288" s="2">
        <v>197.7</v>
      </c>
      <c r="H288" s="2">
        <v>194.43</v>
      </c>
      <c r="I288" s="10">
        <f t="shared" si="697"/>
        <v>0.75358295321791524</v>
      </c>
      <c r="J288" s="10">
        <f t="shared" si="698"/>
        <v>0.70275842346889517</v>
      </c>
      <c r="K288" s="14">
        <f>C288/24/31/10</f>
        <v>0.23669128968292599</v>
      </c>
      <c r="L288" s="14">
        <f>D288/24/31/10</f>
        <v>0.21152338709677418</v>
      </c>
      <c r="M288" s="11">
        <v>0.98499999999999999</v>
      </c>
      <c r="N288" s="82">
        <v>0.95979999999999999</v>
      </c>
      <c r="O288" s="10">
        <v>0.99</v>
      </c>
      <c r="P288" s="17">
        <v>0.98570000000000002</v>
      </c>
      <c r="Q288" s="83"/>
      <c r="R288" s="81">
        <f t="shared" ref="R288:R291" si="709">D288/C288-1</f>
        <v>-0.10633218746607431</v>
      </c>
      <c r="S288" s="10">
        <f t="shared" ref="S288:S291" si="710">H288/G288-1</f>
        <v>-1.6540212443095559E-2</v>
      </c>
      <c r="T288" s="10">
        <f t="shared" ref="T288:T298" si="711">N288-M288</f>
        <v>-2.52E-2</v>
      </c>
      <c r="U288" s="10">
        <f t="shared" ref="U288:U299" si="712">P288-O288</f>
        <v>-4.2999999999999705E-3</v>
      </c>
      <c r="V288" s="23">
        <v>-3.6499999999999998E-2</v>
      </c>
      <c r="W288" s="83">
        <v>0</v>
      </c>
      <c r="X288" s="5">
        <v>43616</v>
      </c>
      <c r="Y288" s="2">
        <v>1760.5902117129863</v>
      </c>
      <c r="Z288" s="2">
        <f>1664004/1000</f>
        <v>1664.0039999999999</v>
      </c>
      <c r="AA288" s="2">
        <v>197</v>
      </c>
      <c r="AB288" s="2">
        <v>193.26</v>
      </c>
      <c r="AC288" s="2">
        <v>197.7</v>
      </c>
      <c r="AD288" s="2">
        <v>196.83</v>
      </c>
      <c r="AE288" s="10">
        <f t="shared" si="699"/>
        <v>0.7534147825684826</v>
      </c>
      <c r="AF288" s="10">
        <f t="shared" si="700"/>
        <v>0.72681455312027299</v>
      </c>
      <c r="AG288" s="14">
        <f>Y288/24/31/10</f>
        <v>0.23663846931626159</v>
      </c>
      <c r="AH288" s="14">
        <f>Z288/24/31/10</f>
        <v>0.22365645161290323</v>
      </c>
      <c r="AI288" s="10">
        <v>0.98499999999999999</v>
      </c>
      <c r="AJ288" s="11">
        <v>0.96930000000000005</v>
      </c>
      <c r="AK288" s="10">
        <v>0.99</v>
      </c>
      <c r="AL288" s="17">
        <v>0.9859</v>
      </c>
      <c r="AM288" s="83"/>
      <c r="AN288" s="81">
        <f t="shared" ref="AN288:AN291" si="713">Z288/Y288-1</f>
        <v>-5.486013217068364E-2</v>
      </c>
      <c r="AO288" s="10">
        <f t="shared" ref="AO288:AO291" si="714">AD288/AC288-1</f>
        <v>-4.400606980273003E-3</v>
      </c>
      <c r="AP288" s="10">
        <f t="shared" ref="AP288:AP297" si="715">AJ288-AI288</f>
        <v>-1.5699999999999936E-2</v>
      </c>
      <c r="AQ288" s="10">
        <f t="shared" ref="AQ288:AQ297" si="716">AL288-AK288</f>
        <v>-4.0999999999999925E-3</v>
      </c>
      <c r="AR288" s="23"/>
    </row>
    <row r="289" spans="2:44" ht="14.65" hidden="1" customHeight="1">
      <c r="B289" s="5">
        <v>43646</v>
      </c>
      <c r="C289" s="2">
        <v>1583.8806862328054</v>
      </c>
      <c r="D289" s="2">
        <f>1637196/1000</f>
        <v>1637.1959999999999</v>
      </c>
      <c r="E289" s="2">
        <v>178.9</v>
      </c>
      <c r="F289" s="2">
        <v>194.1</v>
      </c>
      <c r="G289" s="2">
        <v>177.2</v>
      </c>
      <c r="H289" s="2">
        <v>189.29999999999998</v>
      </c>
      <c r="I289" s="10">
        <f t="shared" ref="I289:I300" si="717">C289/12/G289/M289</f>
        <v>0.75620800257856058</v>
      </c>
      <c r="J289" s="10">
        <f>D289/12/H289/N289</f>
        <v>0.72398163632808288</v>
      </c>
      <c r="K289" s="14">
        <f>C289/24/30/10</f>
        <v>0.21998342864344517</v>
      </c>
      <c r="L289" s="14">
        <f>D289/24/30/10</f>
        <v>0.2273883333333333</v>
      </c>
      <c r="M289" s="11">
        <v>0.98499999999999999</v>
      </c>
      <c r="N289" s="82">
        <v>0.99550000000000005</v>
      </c>
      <c r="O289" s="10">
        <v>0.99</v>
      </c>
      <c r="P289" s="17">
        <v>0.99809999999999999</v>
      </c>
      <c r="Q289" s="83"/>
      <c r="R289" s="81">
        <f t="shared" si="709"/>
        <v>3.3661193188738725E-2</v>
      </c>
      <c r="S289" s="10">
        <f t="shared" si="710"/>
        <v>6.8284424379232433E-2</v>
      </c>
      <c r="T289" s="10">
        <f t="shared" si="711"/>
        <v>1.0500000000000065E-2</v>
      </c>
      <c r="U289" s="10">
        <f t="shared" si="712"/>
        <v>8.0999999999999961E-3</v>
      </c>
      <c r="V289" s="23">
        <v>-3.6499999999999998E-2</v>
      </c>
      <c r="W289" s="83">
        <v>-2.63E-2</v>
      </c>
      <c r="X289" s="5">
        <v>43646</v>
      </c>
      <c r="Y289" s="2">
        <v>1580.456891284012</v>
      </c>
      <c r="Z289" s="2">
        <f>1626438/1000</f>
        <v>1626.4380000000001</v>
      </c>
      <c r="AA289" s="2">
        <v>178.9</v>
      </c>
      <c r="AB289" s="2">
        <v>186.3</v>
      </c>
      <c r="AC289" s="2">
        <v>177.2</v>
      </c>
      <c r="AD289" s="2">
        <v>189.60000000000002</v>
      </c>
      <c r="AE289" s="10">
        <f t="shared" si="699"/>
        <v>0.75457334590146985</v>
      </c>
      <c r="AF289" s="10">
        <f t="shared" si="700"/>
        <v>0.71801422037555962</v>
      </c>
      <c r="AG289" s="14">
        <f>Y289/24/30/10</f>
        <v>0.21950790156722394</v>
      </c>
      <c r="AH289" s="14">
        <f>Z289/24/30/10</f>
        <v>0.22589416666666667</v>
      </c>
      <c r="AI289" s="10">
        <v>0.98499999999999999</v>
      </c>
      <c r="AJ289" s="11">
        <v>0.99560000000000004</v>
      </c>
      <c r="AK289" s="10">
        <v>0.99</v>
      </c>
      <c r="AL289" s="17">
        <v>0.99909999999999999</v>
      </c>
      <c r="AM289" s="83"/>
      <c r="AN289" s="81">
        <f t="shared" si="713"/>
        <v>2.9093554509184827E-2</v>
      </c>
      <c r="AO289" s="10">
        <f t="shared" si="714"/>
        <v>6.997742663656914E-2</v>
      </c>
      <c r="AP289" s="10">
        <f t="shared" si="715"/>
        <v>1.0600000000000054E-2</v>
      </c>
      <c r="AQ289" s="10">
        <f t="shared" si="716"/>
        <v>9.099999999999997E-3</v>
      </c>
      <c r="AR289" s="23"/>
    </row>
    <row r="290" spans="2:44" ht="14.65" hidden="1" customHeight="1">
      <c r="B290" s="5">
        <v>43677</v>
      </c>
      <c r="C290" s="2">
        <v>1404.952378162702</v>
      </c>
      <c r="D290" s="2">
        <v>1272.492</v>
      </c>
      <c r="E290" s="2">
        <v>155.5</v>
      </c>
      <c r="F290" s="2">
        <v>145</v>
      </c>
      <c r="G290" s="2">
        <v>154.6</v>
      </c>
      <c r="H290" s="2">
        <v>142</v>
      </c>
      <c r="I290" s="10">
        <f t="shared" si="717"/>
        <v>0.76883764124803389</v>
      </c>
      <c r="J290" s="10">
        <f t="shared" ref="J290:J301" si="718">D290/12/H290/N290</f>
        <v>0.77869406218331894</v>
      </c>
      <c r="K290" s="14">
        <f>C290/24/31/10</f>
        <v>0.18883768523692229</v>
      </c>
      <c r="L290" s="14">
        <f>D290/24/31/10</f>
        <v>0.17103387096774195</v>
      </c>
      <c r="M290" s="11">
        <v>0.98499999999999999</v>
      </c>
      <c r="N290" s="82">
        <v>0.95899999999999996</v>
      </c>
      <c r="O290" s="10">
        <v>0.99</v>
      </c>
      <c r="P290" s="17">
        <v>0.98199999999999998</v>
      </c>
      <c r="Q290" s="83"/>
      <c r="R290" s="81">
        <f t="shared" si="709"/>
        <v>-9.4281044839344963E-2</v>
      </c>
      <c r="S290" s="10">
        <f t="shared" si="710"/>
        <v>-8.1500646830530377E-2</v>
      </c>
      <c r="T290" s="10">
        <f t="shared" si="711"/>
        <v>-2.6000000000000023E-2</v>
      </c>
      <c r="U290" s="10">
        <f t="shared" si="712"/>
        <v>-8.0000000000000071E-3</v>
      </c>
      <c r="V290" s="23">
        <v>-1.0200000000000001E-2</v>
      </c>
      <c r="W290" s="83">
        <v>-2.3599999999999999E-2</v>
      </c>
      <c r="X290" s="5">
        <v>43677</v>
      </c>
      <c r="Y290" s="2">
        <v>1399.1064538251123</v>
      </c>
      <c r="Z290" s="2">
        <v>1268.5740000000001</v>
      </c>
      <c r="AA290" s="2">
        <v>155.5</v>
      </c>
      <c r="AB290" s="2">
        <v>142.6</v>
      </c>
      <c r="AC290" s="2">
        <v>154.6</v>
      </c>
      <c r="AD290" s="2">
        <v>141.97999999999999</v>
      </c>
      <c r="AE290" s="10">
        <f t="shared" si="699"/>
        <v>0.76563855297394967</v>
      </c>
      <c r="AF290" s="10">
        <f t="shared" si="700"/>
        <v>0.79787095940959185</v>
      </c>
      <c r="AG290" s="14">
        <f>Y290/24/31/10</f>
        <v>0.18805194271842907</v>
      </c>
      <c r="AH290" s="14">
        <f>Z290/24/31/10</f>
        <v>0.17050725806451611</v>
      </c>
      <c r="AI290" s="10">
        <v>0.98499999999999999</v>
      </c>
      <c r="AJ290" s="11">
        <v>0.93320000000000003</v>
      </c>
      <c r="AK290" s="10">
        <v>0.99</v>
      </c>
      <c r="AL290" s="17">
        <v>0.98119999999999996</v>
      </c>
      <c r="AM290" s="83"/>
      <c r="AN290" s="81">
        <f t="shared" si="713"/>
        <v>-9.3297013581947752E-2</v>
      </c>
      <c r="AO290" s="10">
        <f t="shared" si="714"/>
        <v>-8.1630012936610652E-2</v>
      </c>
      <c r="AP290" s="10">
        <f t="shared" si="715"/>
        <v>-5.1799999999999957E-2</v>
      </c>
      <c r="AQ290" s="10">
        <f t="shared" si="716"/>
        <v>-8.80000000000003E-3</v>
      </c>
      <c r="AR290" s="23"/>
    </row>
    <row r="291" spans="2:44" ht="14.65" hidden="1" customHeight="1">
      <c r="B291" s="5">
        <v>43708</v>
      </c>
      <c r="C291" s="2">
        <v>1334.6591142780183</v>
      </c>
      <c r="D291" s="2">
        <f>1262502/1000</f>
        <v>1262.502</v>
      </c>
      <c r="E291" s="2">
        <v>145.4</v>
      </c>
      <c r="F291" s="2">
        <v>141</v>
      </c>
      <c r="G291" s="2">
        <v>146.30000000000001</v>
      </c>
      <c r="H291" s="2">
        <v>142</v>
      </c>
      <c r="I291" s="10">
        <f t="shared" si="717"/>
        <v>0.7718067169990146</v>
      </c>
      <c r="J291" s="10">
        <f t="shared" si="718"/>
        <v>0.77169558335325994</v>
      </c>
      <c r="K291" s="14">
        <f>C291/24/31/10</f>
        <v>0.17938966589758309</v>
      </c>
      <c r="L291" s="14">
        <f>D291/24/31/10</f>
        <v>0.16969112903225808</v>
      </c>
      <c r="M291" s="11">
        <v>0.98499999999999999</v>
      </c>
      <c r="N291" s="82">
        <v>0.96009999999999995</v>
      </c>
      <c r="O291" s="10">
        <v>0.99</v>
      </c>
      <c r="P291" s="17">
        <v>0.98019999999999996</v>
      </c>
      <c r="Q291" s="83"/>
      <c r="R291" s="81">
        <f t="shared" si="709"/>
        <v>-5.4064077865344395E-2</v>
      </c>
      <c r="S291" s="10">
        <f t="shared" si="710"/>
        <v>-2.9391660970608413E-2</v>
      </c>
      <c r="T291" s="10">
        <f t="shared" si="711"/>
        <v>-2.4900000000000033E-2</v>
      </c>
      <c r="U291" s="10">
        <f t="shared" si="712"/>
        <v>-9.8000000000000309E-3</v>
      </c>
      <c r="V291" s="23">
        <v>-8.9999999999999993E-3</v>
      </c>
      <c r="W291" s="83">
        <v>-2.18E-2</v>
      </c>
      <c r="X291" s="5">
        <v>43708</v>
      </c>
      <c r="Y291" s="2">
        <v>1327.9051075744708</v>
      </c>
      <c r="Z291" s="2">
        <f>1281810/1000</f>
        <v>1281.81</v>
      </c>
      <c r="AA291" s="2">
        <v>145.4</v>
      </c>
      <c r="AB291" s="2">
        <v>142</v>
      </c>
      <c r="AC291" s="2">
        <v>146.30000000000001</v>
      </c>
      <c r="AD291" s="2">
        <v>142</v>
      </c>
      <c r="AE291" s="10">
        <f t="shared" si="699"/>
        <v>0.76790100977783093</v>
      </c>
      <c r="AF291" s="10">
        <f t="shared" si="700"/>
        <v>0.80608220691487109</v>
      </c>
      <c r="AG291" s="14">
        <f>Y291/24/31/10</f>
        <v>0.17848186929764392</v>
      </c>
      <c r="AH291" s="14">
        <f>Z291/24/31/10</f>
        <v>0.17228629032258064</v>
      </c>
      <c r="AI291" s="10">
        <v>0.98499999999999999</v>
      </c>
      <c r="AJ291" s="11">
        <v>0.93320000000000003</v>
      </c>
      <c r="AK291" s="10">
        <v>0.99</v>
      </c>
      <c r="AL291" s="17">
        <v>0.98119999999999996</v>
      </c>
      <c r="AM291" s="83"/>
      <c r="AN291" s="81">
        <f t="shared" si="713"/>
        <v>-3.4712651763699753E-2</v>
      </c>
      <c r="AO291" s="10">
        <f t="shared" si="714"/>
        <v>-2.9391660970608413E-2</v>
      </c>
      <c r="AP291" s="10">
        <f t="shared" si="715"/>
        <v>-5.1799999999999957E-2</v>
      </c>
      <c r="AQ291" s="10">
        <f t="shared" si="716"/>
        <v>-8.80000000000003E-3</v>
      </c>
      <c r="AR291" s="23"/>
    </row>
    <row r="292" spans="2:44" ht="14.65" hidden="1" customHeight="1">
      <c r="B292" s="5">
        <v>43738</v>
      </c>
      <c r="C292" s="2">
        <v>1328.2688175612288</v>
      </c>
      <c r="D292" s="2">
        <f>1304826/1000</f>
        <v>1304.826</v>
      </c>
      <c r="E292" s="2">
        <v>141.6</v>
      </c>
      <c r="F292" s="2">
        <v>143</v>
      </c>
      <c r="G292" s="2">
        <v>145.5</v>
      </c>
      <c r="H292" s="2">
        <v>152</v>
      </c>
      <c r="I292" s="10">
        <f t="shared" si="717"/>
        <v>0.77233462857014956</v>
      </c>
      <c r="J292" s="10">
        <f t="shared" si="718"/>
        <v>0.72486080816592102</v>
      </c>
      <c r="K292" s="14">
        <f>C292/24/30/10</f>
        <v>0.18448178021683731</v>
      </c>
      <c r="L292" s="14">
        <f>D292/24/30/10</f>
        <v>0.18122583333333334</v>
      </c>
      <c r="M292" s="11">
        <v>0.98499999999999999</v>
      </c>
      <c r="N292" s="82">
        <v>0.9869</v>
      </c>
      <c r="O292" s="10">
        <v>0.99</v>
      </c>
      <c r="P292" s="17">
        <v>0.99790000000000001</v>
      </c>
      <c r="Q292" s="83"/>
      <c r="R292" s="81">
        <f t="shared" ref="R292" si="719">D292/C292-1</f>
        <v>-1.7649151475430336E-2</v>
      </c>
      <c r="S292" s="10">
        <f t="shared" ref="S292" si="720">H292/G292-1</f>
        <v>4.4673539518900407E-2</v>
      </c>
      <c r="T292" s="10">
        <f t="shared" si="711"/>
        <v>1.9000000000000128E-3</v>
      </c>
      <c r="U292" s="10">
        <f t="shared" si="712"/>
        <v>7.9000000000000181E-3</v>
      </c>
      <c r="V292" s="23">
        <v>-1.46E-2</v>
      </c>
      <c r="W292" s="83">
        <v>-1.8100000000000002E-2</v>
      </c>
      <c r="X292" s="5">
        <v>43738</v>
      </c>
      <c r="Y292" s="2">
        <v>1323.645197969731</v>
      </c>
      <c r="Z292" s="2">
        <f>1301310/1000</f>
        <v>1301.31</v>
      </c>
      <c r="AA292" s="2">
        <v>141.6</v>
      </c>
      <c r="AB292" s="2">
        <v>144</v>
      </c>
      <c r="AC292" s="2">
        <v>145.5</v>
      </c>
      <c r="AD292" s="2">
        <v>150</v>
      </c>
      <c r="AE292" s="10">
        <f t="shared" si="699"/>
        <v>0.76964618066514967</v>
      </c>
      <c r="AF292" s="10">
        <f t="shared" si="700"/>
        <v>0.75244587843463784</v>
      </c>
      <c r="AG292" s="14">
        <f>Y292/24/30/10</f>
        <v>0.18383961082912931</v>
      </c>
      <c r="AH292" s="14">
        <f>Z292/24/30/10</f>
        <v>0.1807375</v>
      </c>
      <c r="AI292" s="10">
        <v>0.98499999999999999</v>
      </c>
      <c r="AJ292" s="11">
        <v>0.96079999999999999</v>
      </c>
      <c r="AK292" s="10">
        <v>0.99</v>
      </c>
      <c r="AL292" s="17">
        <v>0.99760000000000004</v>
      </c>
      <c r="AM292" s="83"/>
      <c r="AN292" s="81">
        <f t="shared" ref="AN292" si="721">Z292/Y292-1</f>
        <v>-1.6874006723244128E-2</v>
      </c>
      <c r="AO292" s="10">
        <f t="shared" ref="AO292" si="722">AD292/AC292-1</f>
        <v>3.0927835051546282E-2</v>
      </c>
      <c r="AP292" s="10">
        <f t="shared" si="715"/>
        <v>-2.4199999999999999E-2</v>
      </c>
      <c r="AQ292" s="10">
        <f t="shared" si="716"/>
        <v>7.6000000000000512E-3</v>
      </c>
      <c r="AR292" s="23"/>
    </row>
    <row r="293" spans="2:44" ht="14.65" hidden="1" customHeight="1">
      <c r="B293" s="5">
        <v>43769</v>
      </c>
      <c r="C293" s="2">
        <v>1519.0648195339418</v>
      </c>
      <c r="D293" s="2">
        <f>1252716/1000</f>
        <v>1252.7159999999999</v>
      </c>
      <c r="E293" s="2">
        <v>139.1</v>
      </c>
      <c r="F293" s="2">
        <v>126.48</v>
      </c>
      <c r="G293" s="2">
        <v>172.2</v>
      </c>
      <c r="H293" s="2">
        <v>152.82999999999998</v>
      </c>
      <c r="I293" s="10">
        <f t="shared" si="717"/>
        <v>0.74632103480878575</v>
      </c>
      <c r="J293" s="10">
        <f t="shared" si="718"/>
        <v>0.7172804283666081</v>
      </c>
      <c r="K293" s="14">
        <f>C293/24/31/10</f>
        <v>0.20417537896961582</v>
      </c>
      <c r="L293" s="14">
        <f>D293/24/31/10</f>
        <v>0.16837580645161287</v>
      </c>
      <c r="M293" s="11">
        <v>0.98499999999999999</v>
      </c>
      <c r="N293" s="82">
        <v>0.95230000000000004</v>
      </c>
      <c r="O293" s="10">
        <v>0.99</v>
      </c>
      <c r="P293" s="17">
        <v>0.98880000000000001</v>
      </c>
      <c r="Q293" s="83"/>
      <c r="R293" s="81">
        <f t="shared" ref="R293" si="723">D293/C293-1</f>
        <v>-0.17533736290177482</v>
      </c>
      <c r="S293" s="10">
        <f t="shared" ref="S293:S298" si="724">H293/G293-1</f>
        <v>-0.11248548199767716</v>
      </c>
      <c r="T293" s="10">
        <f t="shared" si="711"/>
        <v>-3.2699999999999951E-2</v>
      </c>
      <c r="U293" s="10">
        <f t="shared" si="712"/>
        <v>-1.1999999999999789E-3</v>
      </c>
      <c r="V293" s="23">
        <v>-2.3400000000000001E-2</v>
      </c>
      <c r="W293" s="83">
        <v>-7.0000000000000001E-3</v>
      </c>
      <c r="X293" s="5">
        <v>43769</v>
      </c>
      <c r="Y293" s="2">
        <v>1516.5582472129233</v>
      </c>
      <c r="Z293" s="2">
        <f>1195944/1000</f>
        <v>1195.944</v>
      </c>
      <c r="AA293" s="2">
        <v>139.1</v>
      </c>
      <c r="AB293" s="2">
        <v>129.58000000000001</v>
      </c>
      <c r="AC293" s="2">
        <v>172.2</v>
      </c>
      <c r="AD293" s="2">
        <v>150.66</v>
      </c>
      <c r="AE293" s="10">
        <f t="shared" si="699"/>
        <v>0.74508954842032515</v>
      </c>
      <c r="AF293" s="10">
        <f t="shared" si="700"/>
        <v>0.73672204183021739</v>
      </c>
      <c r="AG293" s="14">
        <f>Y293/24/31/10</f>
        <v>0.20383847408775851</v>
      </c>
      <c r="AH293" s="14">
        <f>Z293/24/31/10</f>
        <v>0.16074516129032257</v>
      </c>
      <c r="AI293" s="10">
        <v>0.98499999999999999</v>
      </c>
      <c r="AJ293" s="11">
        <v>0.89790000000000003</v>
      </c>
      <c r="AK293" s="10">
        <v>0.99</v>
      </c>
      <c r="AL293" s="17">
        <v>0.98880000000000001</v>
      </c>
      <c r="AM293" s="83"/>
      <c r="AN293" s="81">
        <f t="shared" ref="AN293:AN294" si="725">Z293/Y293-1</f>
        <v>-0.21140912180731386</v>
      </c>
      <c r="AO293" s="10">
        <f t="shared" ref="AO293:AO294" si="726">AD293/AC293-1</f>
        <v>-0.1250871080139373</v>
      </c>
      <c r="AP293" s="10">
        <f t="shared" si="715"/>
        <v>-8.7099999999999955E-2</v>
      </c>
      <c r="AQ293" s="10">
        <f t="shared" si="716"/>
        <v>-1.1999999999999789E-3</v>
      </c>
      <c r="AR293" s="23"/>
    </row>
    <row r="294" spans="2:44" ht="14.65" hidden="1" customHeight="1">
      <c r="B294" s="5">
        <v>43799</v>
      </c>
      <c r="C294" s="2">
        <v>1347.4397077115971</v>
      </c>
      <c r="D294" s="2">
        <f>1097586/1000</f>
        <v>1097.586</v>
      </c>
      <c r="E294" s="2">
        <v>108.1</v>
      </c>
      <c r="F294" s="2">
        <v>96.3</v>
      </c>
      <c r="G294" s="2">
        <v>152.1</v>
      </c>
      <c r="H294" s="2">
        <v>130.80000000000001</v>
      </c>
      <c r="I294" s="10">
        <f t="shared" si="717"/>
        <v>0.74948449163020425</v>
      </c>
      <c r="J294" s="10">
        <f t="shared" si="718"/>
        <v>0.70159277910683238</v>
      </c>
      <c r="K294" s="14">
        <f>C294/24/30/10</f>
        <v>0.18714440384883291</v>
      </c>
      <c r="L294" s="14">
        <f>D294/24/30/10</f>
        <v>0.15244250000000001</v>
      </c>
      <c r="M294" s="11">
        <v>0.98499999999999999</v>
      </c>
      <c r="N294" s="82">
        <v>0.99670000000000003</v>
      </c>
      <c r="O294" s="10">
        <v>0.99</v>
      </c>
      <c r="P294" s="17">
        <v>1</v>
      </c>
      <c r="Q294" s="83"/>
      <c r="R294" s="81">
        <f t="shared" ref="R294" si="727">D294/C294-1</f>
        <v>-0.18542848802929535</v>
      </c>
      <c r="S294" s="10">
        <f t="shared" si="724"/>
        <v>-0.14003944773175536</v>
      </c>
      <c r="T294" s="10">
        <f t="shared" si="711"/>
        <v>1.1700000000000044E-2</v>
      </c>
      <c r="U294" s="10">
        <f t="shared" si="712"/>
        <v>1.0000000000000009E-2</v>
      </c>
      <c r="V294" s="23">
        <v>-3.3700000000000001E-2</v>
      </c>
      <c r="W294" s="83">
        <v>0</v>
      </c>
      <c r="X294" s="5">
        <v>43799</v>
      </c>
      <c r="Y294" s="2">
        <v>1342.5105119335763</v>
      </c>
      <c r="Z294" s="2">
        <f>1126668/1000</f>
        <v>1126.6679999999999</v>
      </c>
      <c r="AA294" s="2">
        <v>108.1</v>
      </c>
      <c r="AB294" s="2">
        <v>95.7</v>
      </c>
      <c r="AC294" s="2">
        <v>152.1</v>
      </c>
      <c r="AD294" s="2">
        <v>125.4</v>
      </c>
      <c r="AE294" s="10">
        <f t="shared" si="699"/>
        <v>0.74674273200215391</v>
      </c>
      <c r="AF294" s="10">
        <f t="shared" si="700"/>
        <v>0.75757979201957959</v>
      </c>
      <c r="AG294" s="14">
        <f>Y294/24/30/10</f>
        <v>0.18645979332410784</v>
      </c>
      <c r="AH294" s="14">
        <f>Z294/24/30/10</f>
        <v>0.15648166666666666</v>
      </c>
      <c r="AI294" s="10">
        <v>0.98499999999999999</v>
      </c>
      <c r="AJ294" s="11">
        <v>0.98829999999999996</v>
      </c>
      <c r="AK294" s="10">
        <v>0.99</v>
      </c>
      <c r="AL294" s="17">
        <v>1</v>
      </c>
      <c r="AM294" s="83"/>
      <c r="AN294" s="81">
        <f t="shared" si="725"/>
        <v>-0.16077528631243643</v>
      </c>
      <c r="AO294" s="10">
        <f t="shared" si="726"/>
        <v>-0.17554240631163698</v>
      </c>
      <c r="AP294" s="10">
        <f t="shared" si="715"/>
        <v>3.2999999999999696E-3</v>
      </c>
      <c r="AQ294" s="10">
        <f t="shared" si="716"/>
        <v>1.0000000000000009E-2</v>
      </c>
      <c r="AR294" s="23"/>
    </row>
    <row r="295" spans="2:44" s="94" customFormat="1" ht="14.65" hidden="1" customHeight="1">
      <c r="B295" s="46">
        <v>43830</v>
      </c>
      <c r="C295" s="47">
        <v>1133.8212174646367</v>
      </c>
      <c r="D295" s="47">
        <f>825690/1000</f>
        <v>825.69</v>
      </c>
      <c r="E295" s="47">
        <v>89.9</v>
      </c>
      <c r="F295" s="47">
        <v>67.89</v>
      </c>
      <c r="G295" s="47">
        <v>129.6</v>
      </c>
      <c r="H295" s="47">
        <v>95.48</v>
      </c>
      <c r="I295" s="49">
        <f t="shared" si="717"/>
        <v>0.74015401904639333</v>
      </c>
      <c r="J295" s="49">
        <f t="shared" si="718"/>
        <v>0.7339324812196697</v>
      </c>
      <c r="K295" s="57">
        <f>C295/24/31/10</f>
        <v>0.15239532492804256</v>
      </c>
      <c r="L295" s="57">
        <f>D295/24/31/10</f>
        <v>0.11097983870967743</v>
      </c>
      <c r="M295" s="48">
        <v>0.98499999999999999</v>
      </c>
      <c r="N295" s="90">
        <v>0.9819</v>
      </c>
      <c r="O295" s="49">
        <v>0.99</v>
      </c>
      <c r="P295" s="50">
        <v>0.99870000000000003</v>
      </c>
      <c r="Q295" s="91"/>
      <c r="R295" s="92">
        <f t="shared" ref="R295:R297" si="728">D295/C295-1</f>
        <v>-0.27176349561852076</v>
      </c>
      <c r="S295" s="49">
        <f t="shared" si="724"/>
        <v>-0.26327160493827151</v>
      </c>
      <c r="T295" s="49">
        <f t="shared" si="711"/>
        <v>-3.0999999999999917E-3</v>
      </c>
      <c r="U295" s="49">
        <f t="shared" si="712"/>
        <v>8.700000000000041E-3</v>
      </c>
      <c r="V295" s="52">
        <v>-3.1899999999999998E-2</v>
      </c>
      <c r="W295" s="91">
        <v>0</v>
      </c>
      <c r="X295" s="46">
        <v>43830</v>
      </c>
      <c r="Y295" s="47">
        <v>1127.0807976367626</v>
      </c>
      <c r="Z295" s="47">
        <f>815292/1000</f>
        <v>815.29200000000003</v>
      </c>
      <c r="AA295" s="47">
        <v>89.9</v>
      </c>
      <c r="AB295" s="47">
        <v>70.680000000000007</v>
      </c>
      <c r="AC295" s="47">
        <v>129.6</v>
      </c>
      <c r="AD295" s="47">
        <v>91.45</v>
      </c>
      <c r="AE295" s="49">
        <f t="shared" si="699"/>
        <v>0.73575389956651904</v>
      </c>
      <c r="AF295" s="49">
        <f t="shared" si="700"/>
        <v>0.78917629397627131</v>
      </c>
      <c r="AG295" s="57">
        <f>Y295/24/31/10</f>
        <v>0.15148935452107024</v>
      </c>
      <c r="AH295" s="57">
        <f>Z295/24/31/10</f>
        <v>0.10958225806451613</v>
      </c>
      <c r="AI295" s="49">
        <v>0.98499999999999999</v>
      </c>
      <c r="AJ295" s="48">
        <v>0.94140000000000001</v>
      </c>
      <c r="AK295" s="49">
        <v>0.99</v>
      </c>
      <c r="AL295" s="50">
        <v>0.99939999999999996</v>
      </c>
      <c r="AM295" s="91"/>
      <c r="AN295" s="92">
        <f t="shared" ref="AN295:AN297" si="729">Z295/Y295-1</f>
        <v>-0.2766339363517808</v>
      </c>
      <c r="AO295" s="49">
        <f t="shared" ref="AO295:AO297" si="730">AD295/AC295-1</f>
        <v>-0.29436728395061718</v>
      </c>
      <c r="AP295" s="49">
        <f t="shared" si="715"/>
        <v>-4.3599999999999972E-2</v>
      </c>
      <c r="AQ295" s="49">
        <f t="shared" si="716"/>
        <v>9.3999999999999639E-3</v>
      </c>
      <c r="AR295" s="52"/>
    </row>
    <row r="296" spans="2:44" ht="14.65" hidden="1" customHeight="1">
      <c r="B296" s="5">
        <v>43861</v>
      </c>
      <c r="C296" s="2">
        <v>955.56845504745058</v>
      </c>
      <c r="D296" s="2">
        <f>815004/1000</f>
        <v>815.00400000000002</v>
      </c>
      <c r="E296" s="2">
        <v>79.599999999999994</v>
      </c>
      <c r="F296" s="2">
        <v>73.099999999999994</v>
      </c>
      <c r="G296" s="2">
        <v>103.2</v>
      </c>
      <c r="H296" s="2">
        <v>98.13</v>
      </c>
      <c r="I296" s="10">
        <f t="shared" si="717"/>
        <v>0.78336584216038596</v>
      </c>
      <c r="J296" s="10">
        <f t="shared" si="718"/>
        <v>0.75607658271953393</v>
      </c>
      <c r="K296" s="14">
        <f>C296/24/31/10</f>
        <v>0.1284366203020767</v>
      </c>
      <c r="L296" s="14">
        <f>D296/24/31/10</f>
        <v>0.10954354838709676</v>
      </c>
      <c r="M296" s="11">
        <v>0.98499999999999999</v>
      </c>
      <c r="N296" s="82">
        <v>0.91539999999999999</v>
      </c>
      <c r="O296" s="10">
        <v>0.99</v>
      </c>
      <c r="P296" s="17">
        <v>0.98850000000000005</v>
      </c>
      <c r="Q296" s="83"/>
      <c r="R296" s="81">
        <f t="shared" si="728"/>
        <v>-0.14710035090104623</v>
      </c>
      <c r="S296" s="10">
        <f t="shared" si="724"/>
        <v>-4.9127906976744296E-2</v>
      </c>
      <c r="T296" s="10">
        <f t="shared" si="711"/>
        <v>-6.9599999999999995E-2</v>
      </c>
      <c r="U296" s="10">
        <f t="shared" si="712"/>
        <v>-1.4999999999999458E-3</v>
      </c>
      <c r="V296" s="23"/>
      <c r="W296" s="83"/>
      <c r="X296" s="5">
        <v>43861</v>
      </c>
      <c r="Y296" s="2">
        <v>948.87341276801669</v>
      </c>
      <c r="Z296" s="2">
        <f>857376/1000</f>
        <v>857.37599999999998</v>
      </c>
      <c r="AA296" s="2">
        <v>79.599999999999994</v>
      </c>
      <c r="AB296" s="2">
        <v>73.040000000000006</v>
      </c>
      <c r="AC296" s="2">
        <v>103.2</v>
      </c>
      <c r="AD296" s="2">
        <v>95.66</v>
      </c>
      <c r="AE296" s="10">
        <f t="shared" si="699"/>
        <v>0.77787731079894862</v>
      </c>
      <c r="AF296" s="10">
        <f t="shared" si="700"/>
        <v>0.83025261674596573</v>
      </c>
      <c r="AG296" s="14">
        <f>Y296/24/31/10</f>
        <v>0.12753674902795925</v>
      </c>
      <c r="AH296" s="14">
        <f>Z296/24/31/10</f>
        <v>0.11523870967741934</v>
      </c>
      <c r="AI296" s="10">
        <v>0.98499999999999999</v>
      </c>
      <c r="AJ296" s="11">
        <v>0.89959999999999996</v>
      </c>
      <c r="AK296" s="10">
        <v>0.99</v>
      </c>
      <c r="AL296" s="17">
        <v>0.998</v>
      </c>
      <c r="AM296" s="83"/>
      <c r="AN296" s="81">
        <f t="shared" si="729"/>
        <v>-9.6427417542561344E-2</v>
      </c>
      <c r="AO296" s="10">
        <f t="shared" si="730"/>
        <v>-7.3062015503876032E-2</v>
      </c>
      <c r="AP296" s="10">
        <f t="shared" si="715"/>
        <v>-8.5400000000000031E-2</v>
      </c>
      <c r="AQ296" s="10">
        <f t="shared" si="716"/>
        <v>8.0000000000000071E-3</v>
      </c>
      <c r="AR296" s="23"/>
    </row>
    <row r="297" spans="2:44" ht="14.65" hidden="1" customHeight="1">
      <c r="B297" s="5">
        <v>43890</v>
      </c>
      <c r="C297" s="2">
        <v>1251.6856759081627</v>
      </c>
      <c r="D297" s="2">
        <f>1281138/1000</f>
        <v>1281.1379999999999</v>
      </c>
      <c r="E297" s="2">
        <v>108.1</v>
      </c>
      <c r="F297" s="2">
        <v>114.84</v>
      </c>
      <c r="G297" s="2">
        <v>137.5</v>
      </c>
      <c r="H297" s="2">
        <v>149.35</v>
      </c>
      <c r="I297" s="10">
        <f t="shared" si="717"/>
        <v>0.77014962369368567</v>
      </c>
      <c r="J297" s="10">
        <f t="shared" si="718"/>
        <v>0.7179280682629986</v>
      </c>
      <c r="K297" s="14">
        <f>C297/24/29/10</f>
        <v>0.1798398959638165</v>
      </c>
      <c r="L297" s="14">
        <f>D297/24/29/10</f>
        <v>0.18407155172413794</v>
      </c>
      <c r="M297" s="11">
        <v>0.98499999999999999</v>
      </c>
      <c r="N297" s="82">
        <v>0.99570000000000003</v>
      </c>
      <c r="O297" s="10">
        <v>0.99</v>
      </c>
      <c r="P297" s="17">
        <v>0.99939999999999996</v>
      </c>
      <c r="Q297" s="83"/>
      <c r="R297" s="81">
        <f t="shared" si="728"/>
        <v>2.3530127937645418E-2</v>
      </c>
      <c r="S297" s="10">
        <f t="shared" si="724"/>
        <v>8.6181818181818137E-2</v>
      </c>
      <c r="T297" s="10">
        <f t="shared" si="711"/>
        <v>1.0700000000000043E-2</v>
      </c>
      <c r="U297" s="10">
        <f t="shared" si="712"/>
        <v>9.3999999999999639E-3</v>
      </c>
      <c r="V297" s="23"/>
      <c r="W297" s="83"/>
      <c r="X297" s="5">
        <v>43890</v>
      </c>
      <c r="Y297" s="2">
        <v>1245.5761167381061</v>
      </c>
      <c r="Z297" s="2">
        <f>1293564/1000</f>
        <v>1293.5640000000001</v>
      </c>
      <c r="AA297" s="2">
        <v>108.1</v>
      </c>
      <c r="AB297" s="2">
        <v>113.97</v>
      </c>
      <c r="AC297" s="2">
        <v>137.5</v>
      </c>
      <c r="AD297" s="2">
        <v>144.41999999999999</v>
      </c>
      <c r="AE297" s="10">
        <f t="shared" si="699"/>
        <v>0.76639047330447996</v>
      </c>
      <c r="AF297" s="10">
        <f t="shared" si="700"/>
        <v>0.77791895691876067</v>
      </c>
      <c r="AG297" s="14">
        <f>Y297/24/29/10</f>
        <v>0.17896208573823363</v>
      </c>
      <c r="AH297" s="14">
        <f>Z297/24/29/10</f>
        <v>0.18585689655172416</v>
      </c>
      <c r="AI297" s="10">
        <v>0.98499999999999999</v>
      </c>
      <c r="AJ297" s="11">
        <v>0.95950000000000002</v>
      </c>
      <c r="AK297" s="10">
        <v>0.99</v>
      </c>
      <c r="AL297" s="17">
        <v>1</v>
      </c>
      <c r="AM297" s="83"/>
      <c r="AN297" s="81">
        <f t="shared" si="729"/>
        <v>3.8526656554369376E-2</v>
      </c>
      <c r="AO297" s="10">
        <f t="shared" si="730"/>
        <v>5.0327272727272554E-2</v>
      </c>
      <c r="AP297" s="10">
        <f t="shared" si="715"/>
        <v>-2.5499999999999967E-2</v>
      </c>
      <c r="AQ297" s="10">
        <f t="shared" si="716"/>
        <v>1.0000000000000009E-2</v>
      </c>
      <c r="AR297" s="23"/>
    </row>
    <row r="298" spans="2:44" ht="14.65" hidden="1" customHeight="1">
      <c r="B298" s="5">
        <v>43921</v>
      </c>
      <c r="C298" s="2">
        <v>1674.0614663996689</v>
      </c>
      <c r="D298" s="2">
        <f>1494312/1000</f>
        <v>1494.3119999999999</v>
      </c>
      <c r="E298" s="2">
        <v>161.4</v>
      </c>
      <c r="F298" s="2">
        <v>152.19999999999999</v>
      </c>
      <c r="G298" s="2">
        <v>187.8</v>
      </c>
      <c r="H298" s="2">
        <v>172.5</v>
      </c>
      <c r="I298" s="10">
        <f t="shared" si="717"/>
        <v>0.75415104198749294</v>
      </c>
      <c r="J298" s="10">
        <f t="shared" si="718"/>
        <v>0.75701536815484871</v>
      </c>
      <c r="K298" s="14">
        <f>C298/24/31/10</f>
        <v>0.22500826161285875</v>
      </c>
      <c r="L298" s="14">
        <f>D298/24/31/10</f>
        <v>0.20084838709677419</v>
      </c>
      <c r="M298" s="11">
        <v>0.98499999999999999</v>
      </c>
      <c r="N298" s="82">
        <v>0.9536</v>
      </c>
      <c r="O298" s="10">
        <v>0.99</v>
      </c>
      <c r="P298" s="17">
        <v>0.98780000000000001</v>
      </c>
      <c r="Q298" s="83"/>
      <c r="R298" s="81">
        <f t="shared" ref="R298" si="731">D298/C298-1</f>
        <v>-0.10737327750948622</v>
      </c>
      <c r="S298" s="10">
        <f t="shared" si="724"/>
        <v>-8.1469648562300323E-2</v>
      </c>
      <c r="T298" s="10">
        <f t="shared" si="711"/>
        <v>-3.1399999999999983E-2</v>
      </c>
      <c r="U298" s="10">
        <f t="shared" si="712"/>
        <v>-2.1999999999999797E-3</v>
      </c>
      <c r="V298" s="23"/>
      <c r="W298" s="83"/>
      <c r="X298" s="5">
        <v>43921</v>
      </c>
      <c r="Y298" s="2">
        <v>1670.6481538544376</v>
      </c>
      <c r="Z298" s="2">
        <f>1568502/1000</f>
        <v>1568.502</v>
      </c>
      <c r="AA298" s="2">
        <v>161.4</v>
      </c>
      <c r="AB298" s="2">
        <v>153.18</v>
      </c>
      <c r="AC298" s="2">
        <v>187.8</v>
      </c>
      <c r="AD298" s="2">
        <v>172</v>
      </c>
      <c r="AE298" s="10">
        <f t="shared" ref="AE298:AF307" si="732">Y298/12/AC298/AI298</f>
        <v>0.75261337251460836</v>
      </c>
      <c r="AF298" s="10">
        <f t="shared" ref="AF298:AF303" si="733">Z298/12/AD298/AJ298</f>
        <v>0.7935809727807891</v>
      </c>
      <c r="AG298" s="14">
        <f>Y298/24/31/10</f>
        <v>0.22454948304495131</v>
      </c>
      <c r="AH298" s="14">
        <f>Z298/24/31/10</f>
        <v>0.21082016129032258</v>
      </c>
      <c r="AI298" s="10">
        <v>0.98499999999999999</v>
      </c>
      <c r="AJ298" s="11">
        <v>0.95760000000000001</v>
      </c>
      <c r="AK298" s="10">
        <v>0.99</v>
      </c>
      <c r="AL298" s="17">
        <v>0.99939999999999996</v>
      </c>
      <c r="AM298" s="83"/>
      <c r="AN298" s="81">
        <f t="shared" ref="AN298" si="734">Z298/Y298-1</f>
        <v>-6.1141631539095243E-2</v>
      </c>
      <c r="AO298" s="10">
        <f t="shared" ref="AO298" si="735">AD298/AC298-1</f>
        <v>-8.4132055378061787E-2</v>
      </c>
      <c r="AP298" s="10">
        <f t="shared" ref="AP298:AP299" si="736">AJ298-AI298</f>
        <v>-2.739999999999998E-2</v>
      </c>
      <c r="AQ298" s="10">
        <f t="shared" ref="AQ298:AQ299" si="737">AL298-AK298</f>
        <v>9.3999999999999639E-3</v>
      </c>
      <c r="AR298" s="23"/>
    </row>
    <row r="299" spans="2:44" s="89" customFormat="1" ht="14.65" hidden="1" customHeight="1">
      <c r="B299" s="25">
        <v>43951</v>
      </c>
      <c r="C299" s="26">
        <v>1729.4699034318878</v>
      </c>
      <c r="D299" s="26">
        <f>1541622/1000</f>
        <v>1541.6220000000001</v>
      </c>
      <c r="E299" s="26">
        <v>190.2</v>
      </c>
      <c r="F299" s="26">
        <v>178.20000000000002</v>
      </c>
      <c r="G299" s="26">
        <v>194</v>
      </c>
      <c r="H299" s="26">
        <v>177.89999999999998</v>
      </c>
      <c r="I299" s="29">
        <f t="shared" si="717"/>
        <v>0.75421263254308091</v>
      </c>
      <c r="J299" s="29">
        <f t="shared" si="718"/>
        <v>0.72649782902021476</v>
      </c>
      <c r="K299" s="27">
        <f>C299/24/30/10</f>
        <v>0.24020415325442887</v>
      </c>
      <c r="L299" s="27">
        <f>D299/24/30/10</f>
        <v>0.21411416666666669</v>
      </c>
      <c r="M299" s="28">
        <v>0.98499999999999999</v>
      </c>
      <c r="N299" s="85">
        <v>0.99399999999999999</v>
      </c>
      <c r="O299" s="29">
        <v>0.99</v>
      </c>
      <c r="P299" s="30">
        <v>0.999</v>
      </c>
      <c r="Q299" s="86"/>
      <c r="R299" s="87">
        <f t="shared" ref="R299" si="738">D299/C299-1</f>
        <v>-0.1086158845893358</v>
      </c>
      <c r="S299" s="29">
        <f t="shared" ref="S299" si="739">H299/G299-1</f>
        <v>-8.2989690721649634E-2</v>
      </c>
      <c r="T299" s="29">
        <f>N299-M299</f>
        <v>9.000000000000008E-3</v>
      </c>
      <c r="U299" s="29">
        <f t="shared" si="712"/>
        <v>9.000000000000008E-3</v>
      </c>
      <c r="V299" s="32"/>
      <c r="W299" s="86"/>
      <c r="X299" s="25">
        <v>43951</v>
      </c>
      <c r="Y299" s="44">
        <v>1728.77766320368</v>
      </c>
      <c r="Z299" s="26">
        <f>1592076/1000</f>
        <v>1592.076</v>
      </c>
      <c r="AA299" s="26">
        <v>190.2</v>
      </c>
      <c r="AB299" s="26">
        <v>177.6</v>
      </c>
      <c r="AC299" s="26">
        <v>194</v>
      </c>
      <c r="AD299" s="26">
        <v>179.1</v>
      </c>
      <c r="AE299" s="29">
        <f t="shared" si="732"/>
        <v>0.75391075025890075</v>
      </c>
      <c r="AF299" s="29">
        <f t="shared" si="733"/>
        <v>0.75443130943670611</v>
      </c>
      <c r="AG299" s="27">
        <f>Y299/24/30/10</f>
        <v>0.24010800877828889</v>
      </c>
      <c r="AH299" s="27">
        <f>Z299/24/30/10</f>
        <v>0.22112166666666666</v>
      </c>
      <c r="AI299" s="29">
        <v>0.98499999999999999</v>
      </c>
      <c r="AJ299" s="28">
        <v>0.9819</v>
      </c>
      <c r="AK299" s="29">
        <v>0.99</v>
      </c>
      <c r="AL299" s="30">
        <v>0.99880000000000002</v>
      </c>
      <c r="AM299" s="86"/>
      <c r="AN299" s="87">
        <f t="shared" ref="AN299" si="740">Z299/Y299-1</f>
        <v>-7.9074172528555087E-2</v>
      </c>
      <c r="AO299" s="29">
        <f t="shared" ref="AO299" si="741">AD299/AC299-1</f>
        <v>-7.6804123711340266E-2</v>
      </c>
      <c r="AP299" s="29">
        <f t="shared" si="736"/>
        <v>-3.0999999999999917E-3</v>
      </c>
      <c r="AQ299" s="29">
        <f t="shared" si="737"/>
        <v>8.80000000000003E-3</v>
      </c>
      <c r="AR299" s="32"/>
    </row>
    <row r="300" spans="2:44" ht="14.65" hidden="1" customHeight="1">
      <c r="B300" s="5">
        <v>43982</v>
      </c>
      <c r="C300" s="114">
        <v>1752.1782792647641</v>
      </c>
      <c r="D300" s="2">
        <f>1583364/1000</f>
        <v>1583.364</v>
      </c>
      <c r="E300" s="2">
        <v>197</v>
      </c>
      <c r="F300" s="2">
        <v>192.51</v>
      </c>
      <c r="G300" s="2">
        <v>197.7</v>
      </c>
      <c r="H300" s="2">
        <v>190.03</v>
      </c>
      <c r="I300" s="10">
        <f t="shared" si="717"/>
        <v>0.74981503845182551</v>
      </c>
      <c r="J300" s="29">
        <f t="shared" si="718"/>
        <v>0.72660973294362297</v>
      </c>
      <c r="K300" s="14">
        <f t="shared" ref="K300:L300" si="742">C300/24/31/10</f>
        <v>0.2355078332345113</v>
      </c>
      <c r="L300" s="14">
        <f t="shared" si="742"/>
        <v>0.21281774193548389</v>
      </c>
      <c r="M300" s="11">
        <v>0.98499999999999999</v>
      </c>
      <c r="N300" s="82">
        <v>0.9556</v>
      </c>
      <c r="O300" s="10">
        <v>0.99</v>
      </c>
      <c r="P300" s="17">
        <v>0.98860000000000003</v>
      </c>
      <c r="Q300" s="83"/>
      <c r="R300" s="81">
        <f t="shared" ref="R300:R306" si="743">D300/C300-1</f>
        <v>-9.6345378357047484E-2</v>
      </c>
      <c r="S300" s="10">
        <f t="shared" ref="S300" si="744">H300/G300-1</f>
        <v>-3.8796155791603337E-2</v>
      </c>
      <c r="T300" s="10">
        <f t="shared" ref="T300:T307" si="745">N300-M300</f>
        <v>-2.9399999999999982E-2</v>
      </c>
      <c r="U300" s="10">
        <f t="shared" ref="U300:U308" si="746">P300-O300</f>
        <v>-1.3999999999999568E-3</v>
      </c>
      <c r="V300" s="23"/>
      <c r="W300" s="83"/>
      <c r="X300" s="5">
        <v>43982</v>
      </c>
      <c r="Y300" s="43">
        <v>1751.7872606544213</v>
      </c>
      <c r="Z300" s="2">
        <f>1662258/1000</f>
        <v>1662.258</v>
      </c>
      <c r="AA300" s="2">
        <v>197</v>
      </c>
      <c r="AB300" s="2">
        <v>193.75</v>
      </c>
      <c r="AC300" s="2">
        <v>197.7</v>
      </c>
      <c r="AD300" s="2">
        <v>190.96</v>
      </c>
      <c r="AE300" s="10">
        <f t="shared" si="732"/>
        <v>0.74964770865564034</v>
      </c>
      <c r="AF300" s="74">
        <f t="shared" si="733"/>
        <v>0.74675249203034177</v>
      </c>
      <c r="AG300" s="14">
        <f t="shared" ref="AG300:AH300" si="747">Y300/24/31/10</f>
        <v>0.23545527696968033</v>
      </c>
      <c r="AH300" s="14">
        <f t="shared" si="747"/>
        <v>0.22342177419354839</v>
      </c>
      <c r="AI300" s="10">
        <v>0.98499999999999999</v>
      </c>
      <c r="AJ300" s="11">
        <v>0.97140000000000004</v>
      </c>
      <c r="AK300" s="10">
        <v>0.99</v>
      </c>
      <c r="AL300" s="17">
        <v>0.99729999999999996</v>
      </c>
      <c r="AM300" s="83"/>
      <c r="AN300" s="81">
        <f t="shared" ref="AN300" si="748">Z300/Y300-1</f>
        <v>-5.1107381966561061E-2</v>
      </c>
      <c r="AO300" s="10">
        <f t="shared" ref="AO300" si="749">AD300/AC300-1</f>
        <v>-3.4092058674759618E-2</v>
      </c>
      <c r="AP300" s="10">
        <f t="shared" ref="AP300:AP307" si="750">AJ300-AI300</f>
        <v>-1.3599999999999945E-2</v>
      </c>
      <c r="AQ300" s="10">
        <f t="shared" ref="AQ300:AQ307" si="751">AL300-AK300</f>
        <v>7.2999999999999732E-3</v>
      </c>
      <c r="AR300" s="23"/>
    </row>
    <row r="301" spans="2:44" ht="14.65" hidden="1" customHeight="1">
      <c r="B301" s="5">
        <v>44012</v>
      </c>
      <c r="C301" s="114">
        <v>1575.9612828016416</v>
      </c>
      <c r="D301" s="2">
        <f>1580274/1000</f>
        <v>1580.2739999999999</v>
      </c>
      <c r="E301" s="2">
        <v>178.9</v>
      </c>
      <c r="F301" s="2">
        <v>188.75</v>
      </c>
      <c r="G301" s="2">
        <v>177.2</v>
      </c>
      <c r="H301" s="2">
        <v>184.28</v>
      </c>
      <c r="I301" s="10">
        <f t="shared" ref="I301:I307" si="752">C301/12/G301/M301</f>
        <v>0.75242696256566788</v>
      </c>
      <c r="J301" s="10">
        <f t="shared" si="718"/>
        <v>0.72344234125618401</v>
      </c>
      <c r="K301" s="14">
        <f>C301/24/30/10</f>
        <v>0.21888351150022797</v>
      </c>
      <c r="L301" s="14">
        <f>D301/24/30/10</f>
        <v>0.21948249999999997</v>
      </c>
      <c r="M301" s="11">
        <v>0.98499999999999999</v>
      </c>
      <c r="N301" s="82">
        <v>0.98780000000000001</v>
      </c>
      <c r="O301" s="10">
        <v>0.99</v>
      </c>
      <c r="P301" s="17">
        <v>0.99850000000000005</v>
      </c>
      <c r="Q301" s="83"/>
      <c r="R301" s="81">
        <f t="shared" si="743"/>
        <v>2.7365629126949731E-3</v>
      </c>
      <c r="S301" s="10">
        <f t="shared" ref="S301" si="753">H301/G301-1</f>
        <v>3.9954853273137747E-2</v>
      </c>
      <c r="T301" s="10">
        <f t="shared" si="745"/>
        <v>2.8000000000000247E-3</v>
      </c>
      <c r="U301" s="10">
        <f t="shared" si="746"/>
        <v>8.5000000000000631E-3</v>
      </c>
      <c r="V301" s="23"/>
      <c r="W301" s="83"/>
      <c r="X301" s="5">
        <v>44012</v>
      </c>
      <c r="Y301" s="43">
        <v>1572.5546068275917</v>
      </c>
      <c r="Z301" s="2">
        <f>1634364/1000</f>
        <v>1634.364</v>
      </c>
      <c r="AA301" s="2">
        <v>178.9</v>
      </c>
      <c r="AB301" s="2">
        <v>188.28</v>
      </c>
      <c r="AC301" s="2">
        <v>177.2</v>
      </c>
      <c r="AD301" s="2">
        <v>184.28</v>
      </c>
      <c r="AE301" s="10">
        <f t="shared" si="732"/>
        <v>0.75080047917196235</v>
      </c>
      <c r="AF301" s="10">
        <f t="shared" si="733"/>
        <v>0.76295695826358734</v>
      </c>
      <c r="AG301" s="14">
        <f>Y301/24/30/10</f>
        <v>0.21841036205938774</v>
      </c>
      <c r="AH301" s="14">
        <f>Z301/24/30/10</f>
        <v>0.226995</v>
      </c>
      <c r="AI301" s="10">
        <v>0.98499999999999999</v>
      </c>
      <c r="AJ301" s="11">
        <v>0.96870000000000001</v>
      </c>
      <c r="AK301" s="10">
        <v>0.99</v>
      </c>
      <c r="AL301" s="17">
        <v>0.99850000000000005</v>
      </c>
      <c r="AM301" s="83"/>
      <c r="AN301" s="81">
        <f t="shared" ref="AN301" si="754">Z301/Y301-1</f>
        <v>3.9305085434902631E-2</v>
      </c>
      <c r="AO301" s="10">
        <f t="shared" ref="AO301" si="755">AD301/AC301-1</f>
        <v>3.9954853273137747E-2</v>
      </c>
      <c r="AP301" s="10">
        <f t="shared" si="750"/>
        <v>-1.6299999999999981E-2</v>
      </c>
      <c r="AQ301" s="10">
        <f t="shared" si="751"/>
        <v>8.5000000000000631E-3</v>
      </c>
      <c r="AR301" s="23"/>
    </row>
    <row r="302" spans="2:44" ht="14.65" hidden="1" customHeight="1">
      <c r="B302" s="5">
        <v>44043</v>
      </c>
      <c r="C302" s="114">
        <v>1397.9276162718886</v>
      </c>
      <c r="D302" s="2">
        <f>1333482/1000</f>
        <v>1333.482</v>
      </c>
      <c r="E302" s="2">
        <v>155.5</v>
      </c>
      <c r="F302" s="2">
        <v>156.01999999999998</v>
      </c>
      <c r="G302" s="2">
        <v>154.6</v>
      </c>
      <c r="H302" s="2">
        <v>153.03000000000006</v>
      </c>
      <c r="I302" s="10">
        <f t="shared" si="752"/>
        <v>0.76499345304179378</v>
      </c>
      <c r="J302" s="10">
        <f t="shared" ref="J302:J307" si="756">D302/12/H302/N302</f>
        <v>0.77415245446389447</v>
      </c>
      <c r="K302" s="14">
        <f>C302/24/31/10</f>
        <v>0.18789349681073772</v>
      </c>
      <c r="L302" s="14">
        <f>D302/24/31/10</f>
        <v>0.17923145161290321</v>
      </c>
      <c r="M302" s="11">
        <v>0.98499999999999999</v>
      </c>
      <c r="N302" s="82">
        <v>0.93799999999999994</v>
      </c>
      <c r="O302" s="10">
        <v>0.99</v>
      </c>
      <c r="P302" s="17">
        <v>0.98960000000000004</v>
      </c>
      <c r="Q302" s="83"/>
      <c r="R302" s="81">
        <f t="shared" si="743"/>
        <v>-4.6100824908057558E-2</v>
      </c>
      <c r="S302" s="10">
        <f t="shared" ref="S302:S307" si="757">H302/G302-1</f>
        <v>-1.0155239327295784E-2</v>
      </c>
      <c r="T302" s="10">
        <f t="shared" si="745"/>
        <v>-4.7000000000000042E-2</v>
      </c>
      <c r="U302" s="10">
        <f t="shared" si="746"/>
        <v>-3.9999999999995595E-4</v>
      </c>
      <c r="V302" s="23"/>
      <c r="W302" s="83"/>
      <c r="X302" s="5">
        <v>44043</v>
      </c>
      <c r="Y302" s="43">
        <v>1392.1109215559866</v>
      </c>
      <c r="Z302" s="2">
        <f>1397856/1000</f>
        <v>1397.856</v>
      </c>
      <c r="AA302" s="2">
        <v>155.5</v>
      </c>
      <c r="AB302" s="2">
        <v>155.22</v>
      </c>
      <c r="AC302" s="2">
        <v>154.6</v>
      </c>
      <c r="AD302" s="2">
        <v>153.15</v>
      </c>
      <c r="AE302" s="10">
        <f t="shared" si="732"/>
        <v>0.76181036020907988</v>
      </c>
      <c r="AF302" s="10">
        <f t="shared" si="733"/>
        <v>0.79131687197510892</v>
      </c>
      <c r="AG302" s="14">
        <f>Y302/24/31/10</f>
        <v>0.18711168300483691</v>
      </c>
      <c r="AH302" s="14">
        <f>Z302/24/31/10</f>
        <v>0.18788387096774192</v>
      </c>
      <c r="AI302" s="10">
        <v>0.98499999999999999</v>
      </c>
      <c r="AJ302" s="11">
        <v>0.96120000000000005</v>
      </c>
      <c r="AK302" s="10">
        <v>0.99</v>
      </c>
      <c r="AL302" s="17">
        <v>0.98670000000000002</v>
      </c>
      <c r="AM302" s="83"/>
      <c r="AN302" s="81">
        <f t="shared" ref="AN302:AN304" si="758">Z302/Y302-1</f>
        <v>4.1268826751190701E-3</v>
      </c>
      <c r="AO302" s="10">
        <f t="shared" ref="AO302:AO304" si="759">AD302/AC302-1</f>
        <v>-9.3790426908149094E-3</v>
      </c>
      <c r="AP302" s="10">
        <f t="shared" si="750"/>
        <v>-2.3799999999999932E-2</v>
      </c>
      <c r="AQ302" s="10">
        <f t="shared" si="751"/>
        <v>-3.2999999999999696E-3</v>
      </c>
      <c r="AR302" s="23"/>
    </row>
    <row r="303" spans="2:44" ht="14.65" hidden="1" customHeight="1">
      <c r="B303" s="5">
        <v>44074</v>
      </c>
      <c r="C303" s="114">
        <v>1327.9858187066282</v>
      </c>
      <c r="D303" s="2">
        <v>1166.8320000000001</v>
      </c>
      <c r="E303" s="2">
        <v>145.4</v>
      </c>
      <c r="F303" s="2">
        <v>135.93</v>
      </c>
      <c r="G303" s="2">
        <v>146.30000000000001</v>
      </c>
      <c r="H303" s="2">
        <v>136.41999999999999</v>
      </c>
      <c r="I303" s="10">
        <f t="shared" si="752"/>
        <v>0.76794768341401964</v>
      </c>
      <c r="J303" s="10">
        <f t="shared" si="756"/>
        <v>0.75980107520806983</v>
      </c>
      <c r="K303" s="14">
        <f>C303/24/31/10</f>
        <v>0.17849271756809518</v>
      </c>
      <c r="L303" s="14">
        <f>D303/24/31/10</f>
        <v>0.15683225806451612</v>
      </c>
      <c r="M303" s="11">
        <v>0.98499999999999999</v>
      </c>
      <c r="N303" s="82">
        <v>0.93810000000000004</v>
      </c>
      <c r="O303" s="10">
        <v>0.99</v>
      </c>
      <c r="P303" s="17">
        <v>0.99860000000000004</v>
      </c>
      <c r="Q303" s="83"/>
      <c r="R303" s="81">
        <f t="shared" si="743"/>
        <v>-0.12135206297879098</v>
      </c>
      <c r="S303" s="10">
        <f t="shared" si="757"/>
        <v>-6.7532467532467666E-2</v>
      </c>
      <c r="T303" s="10">
        <f t="shared" si="745"/>
        <v>-4.6899999999999942E-2</v>
      </c>
      <c r="U303" s="10">
        <f t="shared" si="746"/>
        <v>8.600000000000052E-3</v>
      </c>
      <c r="V303" s="23"/>
      <c r="W303" s="83"/>
      <c r="X303" s="5">
        <v>44074</v>
      </c>
      <c r="Y303" s="43">
        <v>1321.2655820365981</v>
      </c>
      <c r="Z303" s="2">
        <v>1174.7460000000001</v>
      </c>
      <c r="AA303" s="2">
        <v>145.4</v>
      </c>
      <c r="AB303" s="2">
        <v>135.4</v>
      </c>
      <c r="AC303" s="2">
        <v>146.30000000000001</v>
      </c>
      <c r="AD303" s="2">
        <v>135.54</v>
      </c>
      <c r="AE303" s="10">
        <f t="shared" si="732"/>
        <v>0.76406150472894163</v>
      </c>
      <c r="AF303" s="10">
        <f t="shared" si="733"/>
        <v>0.79702361581246406</v>
      </c>
      <c r="AG303" s="14">
        <f>Y303/24/31/10</f>
        <v>0.17758945995115566</v>
      </c>
      <c r="AH303" s="14">
        <f>Z303/24/31/10</f>
        <v>0.15789596774193551</v>
      </c>
      <c r="AI303" s="10">
        <v>0.98499999999999999</v>
      </c>
      <c r="AJ303" s="11">
        <v>0.90620000000000001</v>
      </c>
      <c r="AK303" s="10">
        <v>0.99</v>
      </c>
      <c r="AL303" s="17">
        <v>0.99880000000000002</v>
      </c>
      <c r="AM303" s="83"/>
      <c r="AN303" s="81">
        <f t="shared" si="758"/>
        <v>-0.11089336165916985</v>
      </c>
      <c r="AO303" s="10">
        <f t="shared" si="759"/>
        <v>-7.3547505126452584E-2</v>
      </c>
      <c r="AP303" s="10">
        <f t="shared" si="750"/>
        <v>-7.8799999999999981E-2</v>
      </c>
      <c r="AQ303" s="10">
        <f t="shared" si="751"/>
        <v>8.80000000000003E-3</v>
      </c>
      <c r="AR303" s="23"/>
    </row>
    <row r="304" spans="2:44" ht="14.65" hidden="1" customHeight="1">
      <c r="B304" s="5">
        <v>44104</v>
      </c>
      <c r="C304" s="114">
        <v>1321.6274734734229</v>
      </c>
      <c r="D304" s="2">
        <f>1335456/1000</f>
        <v>1335.4559999999999</v>
      </c>
      <c r="E304" s="2">
        <v>141.6</v>
      </c>
      <c r="F304" s="2">
        <v>146.83000000000001</v>
      </c>
      <c r="G304" s="2">
        <v>145.5</v>
      </c>
      <c r="H304" s="2">
        <v>157.63999999999999</v>
      </c>
      <c r="I304" s="10">
        <f t="shared" si="752"/>
        <v>0.76847295542729899</v>
      </c>
      <c r="J304" s="10">
        <f t="shared" si="756"/>
        <v>0.71475443309211817</v>
      </c>
      <c r="K304" s="14">
        <f>C304/24/30/10</f>
        <v>0.1835593713157532</v>
      </c>
      <c r="L304" s="14">
        <f>D304/24/30/10</f>
        <v>0.18548000000000001</v>
      </c>
      <c r="M304" s="11">
        <v>0.98499999999999999</v>
      </c>
      <c r="N304" s="82">
        <v>0.98770000000000002</v>
      </c>
      <c r="O304" s="10">
        <v>0.99</v>
      </c>
      <c r="P304" s="17">
        <v>0.99429999999999996</v>
      </c>
      <c r="Q304" s="83"/>
      <c r="R304" s="81">
        <f t="shared" si="743"/>
        <v>1.0463255950811767E-2</v>
      </c>
      <c r="S304" s="10">
        <f t="shared" si="757"/>
        <v>8.3436426116838325E-2</v>
      </c>
      <c r="T304" s="10">
        <f t="shared" si="745"/>
        <v>2.7000000000000357E-3</v>
      </c>
      <c r="U304" s="10">
        <f t="shared" si="746"/>
        <v>4.2999999999999705E-3</v>
      </c>
      <c r="V304" s="23"/>
      <c r="W304" s="83"/>
      <c r="X304" s="5">
        <v>44104</v>
      </c>
      <c r="Y304" s="43">
        <v>1317.0269719798825</v>
      </c>
      <c r="Z304" s="2">
        <f>1359738/1000</f>
        <v>1359.7380000000001</v>
      </c>
      <c r="AA304" s="2">
        <v>141.6</v>
      </c>
      <c r="AB304" s="2">
        <v>145.79</v>
      </c>
      <c r="AC304" s="2">
        <v>145.5</v>
      </c>
      <c r="AD304" s="2">
        <v>154.88999999999999</v>
      </c>
      <c r="AE304" s="10">
        <f t="shared" si="732"/>
        <v>0.76579794976182392</v>
      </c>
      <c r="AF304" s="10">
        <f t="shared" si="732"/>
        <v>0.76435180010763126</v>
      </c>
      <c r="AG304" s="14">
        <f>Y304/24/30/10</f>
        <v>0.18292041277498367</v>
      </c>
      <c r="AH304" s="14">
        <f>Z304/24/30/10</f>
        <v>0.18885250000000003</v>
      </c>
      <c r="AI304" s="10">
        <v>0.98499999999999999</v>
      </c>
      <c r="AJ304" s="11">
        <v>0.95709999999999995</v>
      </c>
      <c r="AK304" s="10">
        <v>0.99</v>
      </c>
      <c r="AL304" s="17">
        <v>0.99739999999999995</v>
      </c>
      <c r="AM304" s="83"/>
      <c r="AN304" s="81">
        <f t="shared" si="758"/>
        <v>3.2429881034182761E-2</v>
      </c>
      <c r="AO304" s="10">
        <f t="shared" si="759"/>
        <v>6.4536082474226708E-2</v>
      </c>
      <c r="AP304" s="10">
        <f t="shared" si="750"/>
        <v>-2.7900000000000036E-2</v>
      </c>
      <c r="AQ304" s="10">
        <f t="shared" si="751"/>
        <v>7.3999999999999622E-3</v>
      </c>
      <c r="AR304" s="23"/>
    </row>
    <row r="305" spans="2:66" ht="14.65" hidden="1" customHeight="1">
      <c r="B305" s="5">
        <v>44135</v>
      </c>
      <c r="C305" s="114">
        <v>1511.4694954362719</v>
      </c>
      <c r="D305" s="2">
        <f>1422570/1000</f>
        <v>1422.57</v>
      </c>
      <c r="E305" s="2">
        <v>139.1</v>
      </c>
      <c r="F305" s="2">
        <v>135.99</v>
      </c>
      <c r="G305" s="2">
        <v>172.2</v>
      </c>
      <c r="H305" s="2">
        <v>172.93</v>
      </c>
      <c r="I305" s="10">
        <f t="shared" si="752"/>
        <v>0.74258942963474184</v>
      </c>
      <c r="J305" s="10">
        <f t="shared" si="756"/>
        <v>0.68737896721773317</v>
      </c>
      <c r="K305" s="14">
        <f>C305/24/31/10</f>
        <v>0.20315450207476773</v>
      </c>
      <c r="L305" s="14">
        <f>D305/24/31/10</f>
        <v>0.19120564516129032</v>
      </c>
      <c r="M305" s="11">
        <v>0.98499999999999999</v>
      </c>
      <c r="N305" s="82">
        <v>0.99729999999999996</v>
      </c>
      <c r="O305" s="10">
        <v>0.99</v>
      </c>
      <c r="P305" s="17">
        <v>0.99970000000000003</v>
      </c>
      <c r="Q305" s="83"/>
      <c r="R305" s="81">
        <f t="shared" si="743"/>
        <v>-5.8816599147184179E-2</v>
      </c>
      <c r="S305" s="10">
        <f t="shared" si="757"/>
        <v>4.239256678281178E-3</v>
      </c>
      <c r="T305" s="10">
        <f t="shared" si="745"/>
        <v>1.2299999999999978E-2</v>
      </c>
      <c r="U305" s="10">
        <f t="shared" si="746"/>
        <v>9.7000000000000419E-3</v>
      </c>
      <c r="V305" s="23"/>
      <c r="W305" s="83"/>
      <c r="X305" s="5">
        <v>44135</v>
      </c>
      <c r="Y305" s="43">
        <v>1508.9754559768585</v>
      </c>
      <c r="Z305" s="2">
        <f>1479510/1000</f>
        <v>1479.51</v>
      </c>
      <c r="AA305" s="2">
        <v>139.1</v>
      </c>
      <c r="AB305" s="2">
        <v>139.43</v>
      </c>
      <c r="AC305" s="2">
        <v>172.2</v>
      </c>
      <c r="AD305" s="2">
        <v>173.46</v>
      </c>
      <c r="AE305" s="10">
        <f t="shared" si="732"/>
        <v>0.74136410067822334</v>
      </c>
      <c r="AF305" s="10">
        <f t="shared" si="732"/>
        <v>0.71500197759656414</v>
      </c>
      <c r="AG305" s="14">
        <f>Y305/24/31/10</f>
        <v>0.20281928171731969</v>
      </c>
      <c r="AH305" s="14">
        <f>Z305/24/31/10</f>
        <v>0.19885887096774196</v>
      </c>
      <c r="AI305" s="10">
        <v>0.98499999999999999</v>
      </c>
      <c r="AJ305" s="11">
        <v>0.99409999999999998</v>
      </c>
      <c r="AK305" s="10">
        <v>0.99</v>
      </c>
      <c r="AL305" s="17">
        <v>1</v>
      </c>
      <c r="AM305" s="83"/>
      <c r="AN305" s="81">
        <f t="shared" ref="AN305" si="760">Z305/Y305-1</f>
        <v>-1.952679605234775E-2</v>
      </c>
      <c r="AO305" s="10">
        <f t="shared" ref="AO305" si="761">AD305/AC305-1</f>
        <v>7.3170731707317138E-3</v>
      </c>
      <c r="AP305" s="10">
        <f t="shared" si="750"/>
        <v>9.099999999999997E-3</v>
      </c>
      <c r="AQ305" s="10">
        <f t="shared" si="751"/>
        <v>1.0000000000000009E-2</v>
      </c>
      <c r="AR305" s="23"/>
    </row>
    <row r="306" spans="2:66" ht="14.65" hidden="1" customHeight="1">
      <c r="B306" s="5">
        <v>44165</v>
      </c>
      <c r="C306" s="114">
        <v>1340.7025091730388</v>
      </c>
      <c r="D306" s="2">
        <f>1109790/1000</f>
        <v>1109.79</v>
      </c>
      <c r="E306" s="2">
        <v>108.1</v>
      </c>
      <c r="F306" s="2">
        <v>102.51</v>
      </c>
      <c r="G306" s="2">
        <v>152.1</v>
      </c>
      <c r="H306" s="2">
        <v>140.22999999999999</v>
      </c>
      <c r="I306" s="10">
        <f t="shared" si="752"/>
        <v>0.74573706917205318</v>
      </c>
      <c r="J306" s="10">
        <f t="shared" si="756"/>
        <v>0.68813210755476006</v>
      </c>
      <c r="K306" s="14">
        <f>C306/24/30/10</f>
        <v>0.18620868182958872</v>
      </c>
      <c r="L306" s="14">
        <f>D306/24/30/10</f>
        <v>0.15413749999999998</v>
      </c>
      <c r="M306" s="11">
        <v>0.98499999999999999</v>
      </c>
      <c r="N306" s="82">
        <v>0.95840000000000003</v>
      </c>
      <c r="O306" s="10">
        <v>0.99</v>
      </c>
      <c r="P306" s="17">
        <v>0.99629999999999996</v>
      </c>
      <c r="Q306" s="83"/>
      <c r="R306" s="81">
        <f t="shared" si="743"/>
        <v>-0.17223247334374603</v>
      </c>
      <c r="S306" s="10">
        <f t="shared" si="757"/>
        <v>-7.8040762656147344E-2</v>
      </c>
      <c r="T306" s="10">
        <f t="shared" si="745"/>
        <v>-2.6599999999999957E-2</v>
      </c>
      <c r="U306" s="10">
        <f t="shared" si="746"/>
        <v>6.2999999999999723E-3</v>
      </c>
      <c r="V306" s="23"/>
      <c r="W306" s="83"/>
      <c r="X306" s="5">
        <v>44165</v>
      </c>
      <c r="Y306" s="43">
        <v>1335.7979593739085</v>
      </c>
      <c r="Z306" s="2">
        <f>1178604/1000</f>
        <v>1178.604</v>
      </c>
      <c r="AA306" s="2">
        <v>108.1</v>
      </c>
      <c r="AB306" s="2">
        <v>101.92</v>
      </c>
      <c r="AC306" s="2">
        <v>152.1</v>
      </c>
      <c r="AD306" s="2">
        <v>143.38999999999999</v>
      </c>
      <c r="AE306" s="10">
        <f t="shared" si="732"/>
        <v>0.74300901834214328</v>
      </c>
      <c r="AF306" s="10">
        <f t="shared" si="732"/>
        <v>0.70995448172346998</v>
      </c>
      <c r="AG306" s="14">
        <f>Y306/24/30/10</f>
        <v>0.1855274943574873</v>
      </c>
      <c r="AH306" s="14">
        <f>Z306/24/30/10</f>
        <v>0.16369499999999998</v>
      </c>
      <c r="AI306" s="10">
        <v>0.98499999999999999</v>
      </c>
      <c r="AJ306" s="11">
        <v>0.96479999999999999</v>
      </c>
      <c r="AK306" s="10">
        <v>0.99</v>
      </c>
      <c r="AL306" s="17">
        <v>0.99629999999999996</v>
      </c>
      <c r="AM306" s="83"/>
      <c r="AN306" s="81">
        <f t="shared" ref="AN306:AN307" si="762">Z306/Y306-1</f>
        <v>-0.11767794543389298</v>
      </c>
      <c r="AO306" s="10">
        <f t="shared" ref="AO306:AO307" si="763">AD306/AC306-1</f>
        <v>-5.7264957264957284E-2</v>
      </c>
      <c r="AP306" s="10">
        <f t="shared" si="750"/>
        <v>-2.0199999999999996E-2</v>
      </c>
      <c r="AQ306" s="10">
        <f t="shared" si="751"/>
        <v>6.2999999999999723E-3</v>
      </c>
      <c r="AR306" s="23"/>
    </row>
    <row r="307" spans="2:66" ht="14.65" hidden="1" customHeight="1">
      <c r="B307" s="5">
        <v>44196</v>
      </c>
      <c r="C307" s="114">
        <v>1128.1521113773138</v>
      </c>
      <c r="D307" s="2">
        <f>983274/1000</f>
        <v>983.274</v>
      </c>
      <c r="E307" s="2">
        <v>89.9</v>
      </c>
      <c r="F307" s="2">
        <v>83.85</v>
      </c>
      <c r="G307" s="2">
        <v>129.6</v>
      </c>
      <c r="H307" s="2">
        <v>119.27</v>
      </c>
      <c r="I307" s="10">
        <f t="shared" si="752"/>
        <v>0.73645324895116149</v>
      </c>
      <c r="J307" s="10">
        <f t="shared" si="756"/>
        <v>0.69185142817868783</v>
      </c>
      <c r="K307" s="14">
        <f>C307/24/31/10</f>
        <v>0.15163334830340239</v>
      </c>
      <c r="L307" s="14">
        <f>D307/24/31/10</f>
        <v>0.13216048387096774</v>
      </c>
      <c r="M307" s="11">
        <v>0.98499999999999999</v>
      </c>
      <c r="N307" s="82">
        <v>0.99299999999999999</v>
      </c>
      <c r="O307" s="10">
        <v>0.99</v>
      </c>
      <c r="P307" s="17">
        <v>0.99780000000000002</v>
      </c>
      <c r="Q307" s="83"/>
      <c r="R307" s="81">
        <f t="shared" ref="R307" si="764">D307/C307-1</f>
        <v>-0.12842072440075314</v>
      </c>
      <c r="S307" s="10">
        <f t="shared" si="757"/>
        <v>-7.9706790123456828E-2</v>
      </c>
      <c r="T307" s="10">
        <f t="shared" si="745"/>
        <v>8.0000000000000071E-3</v>
      </c>
      <c r="U307" s="10">
        <f t="shared" si="746"/>
        <v>7.8000000000000291E-3</v>
      </c>
      <c r="V307" s="23"/>
      <c r="W307" s="83"/>
      <c r="X307" s="5">
        <v>44196</v>
      </c>
      <c r="Y307" s="43">
        <v>1121.4453936485791</v>
      </c>
      <c r="Z307" s="2">
        <f>1043346/1000</f>
        <v>1043.346</v>
      </c>
      <c r="AA307" s="2">
        <v>89.9</v>
      </c>
      <c r="AB307" s="2">
        <v>82.04</v>
      </c>
      <c r="AC307" s="2">
        <v>129.6</v>
      </c>
      <c r="AD307" s="2">
        <v>121.14</v>
      </c>
      <c r="AE307" s="10">
        <f t="shared" si="732"/>
        <v>0.73207513006868663</v>
      </c>
      <c r="AF307" s="10">
        <f t="shared" si="732"/>
        <v>0.7238074050187332</v>
      </c>
      <c r="AG307" s="14">
        <f>Y307/24/31/10</f>
        <v>0.15073190774846495</v>
      </c>
      <c r="AH307" s="14">
        <f>Z307/24/31/10</f>
        <v>0.14023467741935483</v>
      </c>
      <c r="AI307" s="10">
        <v>0.98499999999999999</v>
      </c>
      <c r="AJ307" s="11">
        <v>0.99160000000000004</v>
      </c>
      <c r="AK307" s="10">
        <v>0.99</v>
      </c>
      <c r="AL307" s="17">
        <v>0.99790000000000001</v>
      </c>
      <c r="AM307" s="83"/>
      <c r="AN307" s="81">
        <f t="shared" si="762"/>
        <v>-6.9641726731326403E-2</v>
      </c>
      <c r="AO307" s="10">
        <f t="shared" si="763"/>
        <v>-6.5277777777777768E-2</v>
      </c>
      <c r="AP307" s="10">
        <f t="shared" si="750"/>
        <v>6.6000000000000503E-3</v>
      </c>
      <c r="AQ307" s="10">
        <f t="shared" si="751"/>
        <v>7.9000000000000181E-3</v>
      </c>
      <c r="AR307" s="23"/>
    </row>
    <row r="308" spans="2:66" ht="14.65" hidden="1" customHeight="1">
      <c r="B308" s="5">
        <v>44227</v>
      </c>
      <c r="C308" s="114">
        <v>950.79061277221342</v>
      </c>
      <c r="D308" s="2">
        <v>766.13400000000001</v>
      </c>
      <c r="E308" s="2">
        <v>79.599999999999994</v>
      </c>
      <c r="F308" s="2">
        <v>71.559999999999988</v>
      </c>
      <c r="G308" s="2">
        <v>103.2</v>
      </c>
      <c r="H308" s="2">
        <v>93.47999999999999</v>
      </c>
      <c r="I308" s="10">
        <f t="shared" ref="I308:I309" si="765">C308/12/G308/M308</f>
        <v>0.77944901294958402</v>
      </c>
      <c r="J308" s="10">
        <f t="shared" ref="J308:J309" si="766">D308/12/H308/N308</f>
        <v>0.69769636112736133</v>
      </c>
      <c r="K308" s="14">
        <f>C308/24/31/10</f>
        <v>0.12779443720056632</v>
      </c>
      <c r="L308" s="14">
        <f>D308/24/31/10</f>
        <v>0.10297500000000001</v>
      </c>
      <c r="M308" s="11">
        <v>0.98499999999999999</v>
      </c>
      <c r="N308" s="82">
        <v>0.97889999999999999</v>
      </c>
      <c r="O308" s="10">
        <v>0.99</v>
      </c>
      <c r="P308" s="17">
        <v>1</v>
      </c>
      <c r="Q308" s="83"/>
      <c r="R308" s="81">
        <f t="shared" ref="R308" si="767">D308/C308-1</f>
        <v>-0.1942137525251868</v>
      </c>
      <c r="S308" s="10">
        <f t="shared" ref="S308" si="768">H308/G308-1</f>
        <v>-9.4186046511627985E-2</v>
      </c>
      <c r="T308" s="10">
        <f t="shared" ref="T308" si="769">N308-M308</f>
        <v>-6.0999999999999943E-3</v>
      </c>
      <c r="U308" s="10">
        <f t="shared" si="746"/>
        <v>1.0000000000000009E-2</v>
      </c>
      <c r="V308" s="23"/>
      <c r="W308" s="83"/>
      <c r="X308" s="5">
        <v>44227</v>
      </c>
      <c r="Y308" s="43">
        <v>944.12904570417686</v>
      </c>
      <c r="Z308" s="2">
        <v>827.86800000000005</v>
      </c>
      <c r="AA308" s="2">
        <v>79.599999999999994</v>
      </c>
      <c r="AB308" s="2">
        <v>69.38</v>
      </c>
      <c r="AC308" s="2">
        <v>103.2</v>
      </c>
      <c r="AD308" s="2">
        <v>93.970000000000013</v>
      </c>
      <c r="AE308" s="10">
        <f t="shared" ref="AE308:AE309" si="770">Y308/12/AC308/AI308</f>
        <v>0.773987924244954</v>
      </c>
      <c r="AF308" s="10">
        <f t="shared" ref="AF308:AF309" si="771">Z308/12/AD308/AJ308</f>
        <v>0.74112642665682282</v>
      </c>
      <c r="AG308" s="14">
        <f>Y308/24/31/10</f>
        <v>0.12689906528281947</v>
      </c>
      <c r="AH308" s="14">
        <f>Z308/24/31/10</f>
        <v>0.1112725806451613</v>
      </c>
      <c r="AI308" s="10">
        <v>0.98499999999999999</v>
      </c>
      <c r="AJ308" s="11">
        <v>0.99060000000000004</v>
      </c>
      <c r="AK308" s="10">
        <v>0.99</v>
      </c>
      <c r="AL308" s="17">
        <v>1</v>
      </c>
      <c r="AM308" s="83"/>
      <c r="AN308" s="81">
        <f t="shared" ref="AN308" si="772">Z308/Y308-1</f>
        <v>-0.12314105389847818</v>
      </c>
      <c r="AO308" s="10">
        <f t="shared" ref="AO308" si="773">AD308/AC308-1</f>
        <v>-8.9437984496123946E-2</v>
      </c>
      <c r="AP308" s="10">
        <f t="shared" ref="AP308" si="774">AJ308-AI308</f>
        <v>5.6000000000000494E-3</v>
      </c>
      <c r="AQ308" s="10">
        <f t="shared" ref="AQ308" si="775">AL308-AK308</f>
        <v>1.0000000000000009E-2</v>
      </c>
      <c r="AR308" s="23"/>
    </row>
    <row r="309" spans="2:66" ht="14.65" hidden="1" customHeight="1">
      <c r="B309" s="5">
        <v>44255</v>
      </c>
      <c r="C309" s="114">
        <v>1245.4272475286218</v>
      </c>
      <c r="D309" s="2">
        <v>1096.2239999999999</v>
      </c>
      <c r="E309" s="2">
        <v>108.1</v>
      </c>
      <c r="F309" s="2">
        <v>106.51</v>
      </c>
      <c r="G309" s="2">
        <v>137.5</v>
      </c>
      <c r="H309" s="2">
        <v>140.61000000000004</v>
      </c>
      <c r="I309" s="10">
        <f t="shared" si="765"/>
        <v>0.76629887557521725</v>
      </c>
      <c r="J309" s="10">
        <f t="shared" si="766"/>
        <v>0.72286308226138463</v>
      </c>
      <c r="K309" s="14">
        <f>C309/24/28/10</f>
        <v>0.18533143564414017</v>
      </c>
      <c r="L309" s="14">
        <f>D309/24/28/10</f>
        <v>0.1631285714285714</v>
      </c>
      <c r="M309" s="11">
        <v>0.98499999999999999</v>
      </c>
      <c r="N309" s="82">
        <v>0.89876428571428579</v>
      </c>
      <c r="O309" s="10">
        <v>0.99</v>
      </c>
      <c r="P309" s="17">
        <v>1</v>
      </c>
      <c r="Q309" s="83"/>
      <c r="R309" s="81">
        <f t="shared" ref="R309" si="776">D309/C309-1</f>
        <v>-0.11980085374291838</v>
      </c>
      <c r="S309" s="10">
        <f t="shared" ref="S309" si="777">H309/G309-1</f>
        <v>2.2618181818182093E-2</v>
      </c>
      <c r="T309" s="10">
        <f t="shared" ref="T309" si="778">N309-M309</f>
        <v>-8.6235714285714193E-2</v>
      </c>
      <c r="U309" s="10">
        <f t="shared" ref="U309" si="779">P309-O309</f>
        <v>1.0000000000000009E-2</v>
      </c>
      <c r="V309" s="23"/>
      <c r="W309" s="83"/>
      <c r="X309" s="5">
        <v>44255</v>
      </c>
      <c r="Y309" s="43">
        <v>1239.3482361544156</v>
      </c>
      <c r="Z309" s="2">
        <v>1140.3720000000001</v>
      </c>
      <c r="AA309" s="2">
        <v>108.1</v>
      </c>
      <c r="AB309" s="2">
        <v>108.91999999999997</v>
      </c>
      <c r="AC309" s="2">
        <v>137.5</v>
      </c>
      <c r="AD309" s="2">
        <v>144.48000000000002</v>
      </c>
      <c r="AE309" s="10">
        <f t="shared" si="770"/>
        <v>0.76255852093795773</v>
      </c>
      <c r="AF309" s="10">
        <f t="shared" si="771"/>
        <v>0.7541070565314959</v>
      </c>
      <c r="AG309" s="14">
        <f>Y309/24/28/10</f>
        <v>0.18442682085631185</v>
      </c>
      <c r="AH309" s="14">
        <f>Z309/24/28/10</f>
        <v>0.1696982142857143</v>
      </c>
      <c r="AI309" s="10">
        <v>0.98499999999999999</v>
      </c>
      <c r="AJ309" s="11">
        <v>0.87221702928571432</v>
      </c>
      <c r="AK309" s="10">
        <v>0.99</v>
      </c>
      <c r="AL309" s="17">
        <v>1</v>
      </c>
      <c r="AM309" s="83"/>
      <c r="AN309" s="81">
        <f t="shared" ref="AN309" si="780">Z309/Y309-1</f>
        <v>-7.986152177981054E-2</v>
      </c>
      <c r="AO309" s="10">
        <f t="shared" ref="AO309" si="781">AD309/AC309-1</f>
        <v>5.0763636363636566E-2</v>
      </c>
      <c r="AP309" s="10">
        <f t="shared" ref="AP309" si="782">AJ309-AI309</f>
        <v>-0.11278297071428567</v>
      </c>
      <c r="AQ309" s="10">
        <f t="shared" ref="AQ309" si="783">AL309-AK309</f>
        <v>1.0000000000000009E-2</v>
      </c>
      <c r="AR309" s="23"/>
    </row>
    <row r="310" spans="2:66" ht="14.65" hidden="1" customHeight="1">
      <c r="B310" s="5">
        <v>44286</v>
      </c>
      <c r="C310" s="114">
        <v>1665.6911590676705</v>
      </c>
      <c r="D310" s="2">
        <v>1485.7739999999999</v>
      </c>
      <c r="E310" s="2">
        <v>161.4</v>
      </c>
      <c r="F310" s="2">
        <v>155.31</v>
      </c>
      <c r="G310" s="2">
        <v>187.8</v>
      </c>
      <c r="H310" s="2">
        <v>180.7</v>
      </c>
      <c r="I310" s="10">
        <f t="shared" ref="I310:I321" si="784">C310/12/G310/M310</f>
        <v>0.75038028677755531</v>
      </c>
      <c r="J310" s="10">
        <f t="shared" ref="J310:J321" si="785">D310/12/H310/N310</f>
        <v>0.6887351227676326</v>
      </c>
      <c r="K310" s="14">
        <f>C310/24/31/10</f>
        <v>0.22388322030479441</v>
      </c>
      <c r="L310" s="14">
        <f>D310/24/31/10</f>
        <v>0.19970080645161289</v>
      </c>
      <c r="M310" s="11">
        <v>0.98499999999999999</v>
      </c>
      <c r="N310" s="82">
        <v>0.99485806451612901</v>
      </c>
      <c r="O310" s="10">
        <v>0.99</v>
      </c>
      <c r="P310" s="17">
        <v>1</v>
      </c>
      <c r="Q310" s="83"/>
      <c r="R310" s="81">
        <f t="shared" ref="R310:R318" si="786">D310/C310-1</f>
        <v>-0.10801351624413658</v>
      </c>
      <c r="S310" s="10">
        <f t="shared" ref="S310:S318" si="787">H310/G310-1</f>
        <v>-3.7806176783812706E-2</v>
      </c>
      <c r="T310" s="10">
        <f t="shared" ref="T310" si="788">N310-M310</f>
        <v>9.8580645161290281E-3</v>
      </c>
      <c r="U310" s="10">
        <f t="shared" ref="U310:U318" si="789">P310-O310</f>
        <v>1.0000000000000009E-2</v>
      </c>
      <c r="V310" s="23"/>
      <c r="W310" s="83"/>
      <c r="X310" s="5">
        <v>44286</v>
      </c>
      <c r="Y310" s="43">
        <v>1662.2949130851657</v>
      </c>
      <c r="Z310" s="2">
        <v>1543.4760000000001</v>
      </c>
      <c r="AA310" s="2">
        <v>161.4</v>
      </c>
      <c r="AB310" s="2">
        <v>161.71999999999997</v>
      </c>
      <c r="AC310" s="2">
        <v>187.8</v>
      </c>
      <c r="AD310" s="2">
        <v>185.17999999999998</v>
      </c>
      <c r="AE310" s="10">
        <f t="shared" ref="AE310:AE321" si="790">Y310/12/AC310/AI310</f>
        <v>0.74885030565203548</v>
      </c>
      <c r="AF310" s="10">
        <f t="shared" ref="AF310:AF321" si="791">Z310/12/AD310/AJ310</f>
        <v>0.7121861326927732</v>
      </c>
      <c r="AG310" s="14">
        <f>Y310/24/31/10</f>
        <v>0.22342673562972659</v>
      </c>
      <c r="AH310" s="14">
        <f>Z310/24/31/10</f>
        <v>0.20745645161290324</v>
      </c>
      <c r="AI310" s="10">
        <v>0.98499999999999999</v>
      </c>
      <c r="AJ310" s="11">
        <v>0.97528387096774194</v>
      </c>
      <c r="AK310" s="10">
        <v>0.99</v>
      </c>
      <c r="AL310" s="17">
        <v>1</v>
      </c>
      <c r="AM310" s="83"/>
      <c r="AN310" s="81">
        <f t="shared" ref="AN310:AN321" si="792">Z310/Y310-1</f>
        <v>-7.1478840577476999E-2</v>
      </c>
      <c r="AO310" s="10">
        <f t="shared" ref="AO310:AO321" si="793">AD310/AC310-1</f>
        <v>-1.3951011714590122E-2</v>
      </c>
      <c r="AP310" s="10">
        <f t="shared" ref="AP310:AP321" si="794">AJ310-AI310</f>
        <v>-9.7161290322580474E-3</v>
      </c>
      <c r="AQ310" s="10">
        <f t="shared" ref="AQ310:AQ321" si="795">AL310-AK310</f>
        <v>1.0000000000000009E-2</v>
      </c>
      <c r="AR310" s="23"/>
    </row>
    <row r="311" spans="2:66" s="89" customFormat="1" ht="14.65" hidden="1" customHeight="1">
      <c r="B311" s="25">
        <v>44316</v>
      </c>
      <c r="C311" s="115">
        <v>1720.8225539147284</v>
      </c>
      <c r="D311" s="26">
        <v>1509.5219999999999</v>
      </c>
      <c r="E311" s="26">
        <v>190.2</v>
      </c>
      <c r="F311" s="26">
        <v>179.77000000000004</v>
      </c>
      <c r="G311" s="26">
        <v>194</v>
      </c>
      <c r="H311" s="26">
        <v>185.49999999999997</v>
      </c>
      <c r="I311" s="29">
        <f t="shared" si="784"/>
        <v>0.75044156938036544</v>
      </c>
      <c r="J311" s="29">
        <f t="shared" si="785"/>
        <v>0.69148404461171242</v>
      </c>
      <c r="K311" s="27">
        <f>C311/24/30/10</f>
        <v>0.23900313248815674</v>
      </c>
      <c r="L311" s="27">
        <f>D311/24/30/10</f>
        <v>0.20965583333333332</v>
      </c>
      <c r="M311" s="28">
        <v>0.98499999999999999</v>
      </c>
      <c r="N311" s="85">
        <v>0.98069085</v>
      </c>
      <c r="O311" s="29">
        <v>0.99</v>
      </c>
      <c r="P311" s="30">
        <v>0.98850000000000005</v>
      </c>
      <c r="Q311" s="86"/>
      <c r="R311" s="87">
        <f>D311/C311-1</f>
        <v>-0.12279043730222927</v>
      </c>
      <c r="S311" s="29">
        <f t="shared" si="787"/>
        <v>-4.3814432989690899E-2</v>
      </c>
      <c r="T311" s="29">
        <f>N311-M311</f>
        <v>-4.3091499999999838E-3</v>
      </c>
      <c r="U311" s="29">
        <f t="shared" si="789"/>
        <v>-1.4999999999999458E-3</v>
      </c>
      <c r="V311" s="32">
        <v>-2.1460316435409899E-2</v>
      </c>
      <c r="W311" s="86"/>
      <c r="X311" s="25">
        <v>44316</v>
      </c>
      <c r="Y311" s="44">
        <v>1720.1337748876615</v>
      </c>
      <c r="Z311" s="26">
        <v>1548.7619999999999</v>
      </c>
      <c r="AA311" s="26">
        <v>190.2</v>
      </c>
      <c r="AB311" s="26">
        <v>181.16</v>
      </c>
      <c r="AC311" s="26">
        <v>194</v>
      </c>
      <c r="AD311" s="26">
        <v>183.29</v>
      </c>
      <c r="AE311" s="29">
        <f t="shared" si="790"/>
        <v>0.75014119650760613</v>
      </c>
      <c r="AF311" s="29">
        <f t="shared" si="791"/>
        <v>0.73178024801567976</v>
      </c>
      <c r="AG311" s="27">
        <f>Y311/24/30/10</f>
        <v>0.23890746873439742</v>
      </c>
      <c r="AH311" s="27">
        <f>Z311/24/30/10</f>
        <v>0.21510583333333333</v>
      </c>
      <c r="AI311" s="29">
        <v>0.98499999999999999</v>
      </c>
      <c r="AJ311" s="28">
        <v>0.96224127999999998</v>
      </c>
      <c r="AK311" s="29">
        <v>0.99</v>
      </c>
      <c r="AL311" s="30">
        <v>0.98560000000000003</v>
      </c>
      <c r="AM311" s="86"/>
      <c r="AN311" s="87">
        <f t="shared" si="792"/>
        <v>-9.9627004242070383E-2</v>
      </c>
      <c r="AO311" s="29">
        <f t="shared" si="793"/>
        <v>-5.5206185567010402E-2</v>
      </c>
      <c r="AP311" s="29">
        <f t="shared" si="794"/>
        <v>-2.275872000000001E-2</v>
      </c>
      <c r="AQ311" s="29">
        <f t="shared" si="795"/>
        <v>-4.3999999999999595E-3</v>
      </c>
      <c r="AR311" s="32">
        <v>-2.5237905310785239E-2</v>
      </c>
      <c r="BN311" s="95"/>
    </row>
    <row r="312" spans="2:66" ht="14.65" hidden="1" customHeight="1">
      <c r="B312" s="5">
        <v>44347</v>
      </c>
      <c r="C312" s="114">
        <v>1743.4173878684401</v>
      </c>
      <c r="D312" s="2">
        <v>1461.636</v>
      </c>
      <c r="E312" s="2">
        <v>197</v>
      </c>
      <c r="F312" s="2">
        <v>179.44</v>
      </c>
      <c r="G312" s="2">
        <v>197.7</v>
      </c>
      <c r="H312" s="2">
        <v>180.14000000000001</v>
      </c>
      <c r="I312" s="10">
        <f t="shared" si="784"/>
        <v>0.74606596325956631</v>
      </c>
      <c r="J312" s="29">
        <f t="shared" si="785"/>
        <v>0.70772182657272653</v>
      </c>
      <c r="K312" s="14">
        <f t="shared" ref="K312" si="796">C312/24/31/10</f>
        <v>0.23433029406833872</v>
      </c>
      <c r="L312" s="14">
        <f t="shared" ref="L312" si="797">D312/24/31/10</f>
        <v>0.1964564516129032</v>
      </c>
      <c r="M312" s="11">
        <v>0.98499999999999999</v>
      </c>
      <c r="N312" s="82">
        <v>0.95540000000000003</v>
      </c>
      <c r="O312" s="10">
        <v>0.99</v>
      </c>
      <c r="P312" s="17">
        <v>1</v>
      </c>
      <c r="Q312" s="83"/>
      <c r="R312" s="81">
        <f t="shared" si="786"/>
        <v>-0.16162589052352827</v>
      </c>
      <c r="S312" s="10">
        <f t="shared" si="787"/>
        <v>-8.8821446636317525E-2</v>
      </c>
      <c r="T312" s="10">
        <f t="shared" ref="T312:T318" si="798">N312-M312</f>
        <v>-2.959999999999996E-2</v>
      </c>
      <c r="U312" s="10">
        <f t="shared" si="789"/>
        <v>1.0000000000000009E-2</v>
      </c>
      <c r="V312" s="23">
        <v>-1.0797789094995E-2</v>
      </c>
      <c r="W312" s="83"/>
      <c r="X312" s="5">
        <v>44347</v>
      </c>
      <c r="Y312" s="43">
        <v>1743.0283243511492</v>
      </c>
      <c r="Z312" s="2">
        <v>1489.758</v>
      </c>
      <c r="AA312" s="2">
        <v>197</v>
      </c>
      <c r="AB312" s="2">
        <v>180.35999999999996</v>
      </c>
      <c r="AC312" s="2">
        <v>197.7</v>
      </c>
      <c r="AD312" s="2">
        <v>181.3</v>
      </c>
      <c r="AE312" s="10">
        <f t="shared" si="790"/>
        <v>0.74589947011236213</v>
      </c>
      <c r="AF312" s="74">
        <f t="shared" si="791"/>
        <v>0.71988783466015227</v>
      </c>
      <c r="AG312" s="14">
        <f t="shared" ref="AG312" si="799">Y312/24/31/10</f>
        <v>0.23427800058483189</v>
      </c>
      <c r="AH312" s="14">
        <f t="shared" ref="AH312" si="800">Z312/24/31/10</f>
        <v>0.20023629032258064</v>
      </c>
      <c r="AI312" s="10">
        <v>0.98499999999999999</v>
      </c>
      <c r="AJ312" s="11">
        <v>0.95120000000000005</v>
      </c>
      <c r="AK312" s="10">
        <v>0.99</v>
      </c>
      <c r="AL312" s="17">
        <v>1</v>
      </c>
      <c r="AM312" s="83"/>
      <c r="AN312" s="81">
        <f t="shared" si="792"/>
        <v>-0.14530476688921867</v>
      </c>
      <c r="AO312" s="10">
        <f t="shared" si="793"/>
        <v>-8.2953970662620002E-2</v>
      </c>
      <c r="AP312" s="10">
        <f t="shared" si="794"/>
        <v>-3.3799999999999941E-2</v>
      </c>
      <c r="AQ312" s="10">
        <f t="shared" si="795"/>
        <v>1.0000000000000009E-2</v>
      </c>
      <c r="AR312" s="23">
        <v>-1.5411252411288946E-2</v>
      </c>
      <c r="BN312" s="95"/>
    </row>
    <row r="313" spans="2:66" ht="14.65" hidden="1" customHeight="1">
      <c r="B313" s="5">
        <v>44377</v>
      </c>
      <c r="C313" s="114">
        <v>1568.0814763876335</v>
      </c>
      <c r="D313" s="2">
        <v>1546.896</v>
      </c>
      <c r="E313" s="2">
        <v>178.9</v>
      </c>
      <c r="F313" s="2">
        <v>182.26999999999998</v>
      </c>
      <c r="G313" s="2">
        <v>177.2</v>
      </c>
      <c r="H313" s="2">
        <v>180.01999999999998</v>
      </c>
      <c r="I313" s="10">
        <f t="shared" si="784"/>
        <v>0.74866482775283971</v>
      </c>
      <c r="J313" s="10">
        <f t="shared" si="785"/>
        <v>0.72293666046429994</v>
      </c>
      <c r="K313" s="14">
        <f>C313/24/30/10</f>
        <v>0.21778909394272689</v>
      </c>
      <c r="L313" s="14">
        <f>D313/24/30/10</f>
        <v>0.21484666666666663</v>
      </c>
      <c r="M313" s="11">
        <v>0.98499999999999999</v>
      </c>
      <c r="N313" s="82">
        <v>0.99051</v>
      </c>
      <c r="O313" s="10">
        <v>0.99</v>
      </c>
      <c r="P313" s="17">
        <v>1</v>
      </c>
      <c r="Q313" s="83"/>
      <c r="R313" s="81">
        <f t="shared" si="786"/>
        <v>-1.3510443625951329E-2</v>
      </c>
      <c r="S313" s="10">
        <f t="shared" si="787"/>
        <v>1.5914221218961577E-2</v>
      </c>
      <c r="T313" s="10">
        <f t="shared" si="798"/>
        <v>5.5100000000000149E-3</v>
      </c>
      <c r="U313" s="10">
        <f t="shared" si="789"/>
        <v>1.0000000000000009E-2</v>
      </c>
      <c r="V313" s="23">
        <v>-1.8800000000000001E-2</v>
      </c>
      <c r="W313" s="83"/>
      <c r="X313" s="5">
        <v>44377</v>
      </c>
      <c r="Y313" s="43">
        <v>1564.691833793454</v>
      </c>
      <c r="Z313" s="2">
        <v>1608.894</v>
      </c>
      <c r="AA313" s="2">
        <v>178.9</v>
      </c>
      <c r="AB313" s="2">
        <v>182.75</v>
      </c>
      <c r="AC313" s="2">
        <v>177.2</v>
      </c>
      <c r="AD313" s="2">
        <v>182.90999999999994</v>
      </c>
      <c r="AE313" s="10">
        <f t="shared" si="790"/>
        <v>0.7470464767761027</v>
      </c>
      <c r="AF313" s="10">
        <f t="shared" si="791"/>
        <v>0.73884491154055065</v>
      </c>
      <c r="AG313" s="14">
        <f>Y313/24/30/10</f>
        <v>0.21731831024909085</v>
      </c>
      <c r="AH313" s="14">
        <f>Z313/24/30/10</f>
        <v>0.2234575</v>
      </c>
      <c r="AI313" s="10">
        <v>0.98499999999999999</v>
      </c>
      <c r="AJ313" s="11">
        <v>0.99209999999999998</v>
      </c>
      <c r="AK313" s="10">
        <v>0.99</v>
      </c>
      <c r="AL313" s="17">
        <v>1</v>
      </c>
      <c r="AM313" s="83"/>
      <c r="AN313" s="81">
        <f t="shared" si="792"/>
        <v>2.8249758356175381E-2</v>
      </c>
      <c r="AO313" s="10">
        <f t="shared" si="793"/>
        <v>3.2223476297968068E-2</v>
      </c>
      <c r="AP313" s="10">
        <f t="shared" si="794"/>
        <v>7.0999999999999952E-3</v>
      </c>
      <c r="AQ313" s="10">
        <f t="shared" si="795"/>
        <v>1.0000000000000009E-2</v>
      </c>
      <c r="AR313" s="23">
        <v>-1.6799999999999999E-2</v>
      </c>
    </row>
    <row r="314" spans="2:66" ht="14.65" hidden="1" customHeight="1">
      <c r="B314" s="5">
        <v>44408</v>
      </c>
      <c r="C314" s="114">
        <v>1390.9379781905291</v>
      </c>
      <c r="D314" s="2">
        <f>1237806/1000</f>
        <v>1237.806</v>
      </c>
      <c r="E314" s="2">
        <v>155.5</v>
      </c>
      <c r="F314" s="2">
        <v>145.87000000000003</v>
      </c>
      <c r="G314" s="2">
        <v>154.6</v>
      </c>
      <c r="H314" s="2">
        <v>145.22999999999999</v>
      </c>
      <c r="I314" s="10">
        <f t="shared" si="784"/>
        <v>0.7611684857765848</v>
      </c>
      <c r="J314" s="10">
        <f t="shared" si="785"/>
        <v>0.72661194593658129</v>
      </c>
      <c r="K314" s="14">
        <f>C314/24/31/10</f>
        <v>0.18695402932668401</v>
      </c>
      <c r="L314" s="14">
        <f>D314/24/31/10</f>
        <v>0.1663717741935484</v>
      </c>
      <c r="M314" s="11">
        <v>0.98499999999999999</v>
      </c>
      <c r="N314" s="82">
        <v>0.97749032258064528</v>
      </c>
      <c r="O314" s="10">
        <v>0.99</v>
      </c>
      <c r="P314" s="17">
        <v>1</v>
      </c>
      <c r="Q314" s="83"/>
      <c r="R314" s="81">
        <f t="shared" si="786"/>
        <v>-0.11009259980789254</v>
      </c>
      <c r="S314" s="10">
        <f t="shared" si="787"/>
        <v>-6.0608020698576959E-2</v>
      </c>
      <c r="T314" s="10">
        <f t="shared" si="798"/>
        <v>-7.50967741935471E-3</v>
      </c>
      <c r="U314" s="10">
        <f t="shared" si="789"/>
        <v>1.0000000000000009E-2</v>
      </c>
      <c r="V314" s="23">
        <v>-9.2999999999999992E-3</v>
      </c>
      <c r="W314" s="83"/>
      <c r="X314" s="5">
        <v>44408</v>
      </c>
      <c r="Y314" s="43">
        <v>1385.1503669482067</v>
      </c>
      <c r="Z314" s="2">
        <v>1285.662</v>
      </c>
      <c r="AA314" s="2">
        <v>155.5</v>
      </c>
      <c r="AB314" s="2">
        <v>144.62</v>
      </c>
      <c r="AC314" s="2">
        <v>154.6</v>
      </c>
      <c r="AD314" s="2">
        <v>146.04</v>
      </c>
      <c r="AE314" s="10">
        <f t="shared" si="790"/>
        <v>0.75800130840803448</v>
      </c>
      <c r="AF314" s="10">
        <f t="shared" si="791"/>
        <v>0.78574456044983798</v>
      </c>
      <c r="AG314" s="14">
        <f>Y314/24/31/10</f>
        <v>0.18617612458981275</v>
      </c>
      <c r="AH314" s="14">
        <f>Z314/24/31/10</f>
        <v>0.17280403225806454</v>
      </c>
      <c r="AI314" s="10">
        <v>0.98499999999999999</v>
      </c>
      <c r="AJ314" s="11">
        <v>0.93366774193548396</v>
      </c>
      <c r="AK314" s="10">
        <v>0.99</v>
      </c>
      <c r="AL314" s="17">
        <v>1</v>
      </c>
      <c r="AM314" s="83"/>
      <c r="AN314" s="81">
        <f t="shared" si="792"/>
        <v>-7.1824958013332219E-2</v>
      </c>
      <c r="AO314" s="10">
        <f t="shared" si="793"/>
        <v>-5.5368693402328639E-2</v>
      </c>
      <c r="AP314" s="10">
        <f t="shared" si="794"/>
        <v>-5.1332258064516023E-2</v>
      </c>
      <c r="AQ314" s="10">
        <f t="shared" si="795"/>
        <v>1.0000000000000009E-2</v>
      </c>
      <c r="AR314" s="23">
        <v>-8.3000000000000001E-3</v>
      </c>
    </row>
    <row r="315" spans="2:66" ht="14.65" hidden="1" customHeight="1">
      <c r="B315" s="5">
        <v>44439</v>
      </c>
      <c r="C315" s="114">
        <v>1321.3458896130949</v>
      </c>
      <c r="D315" s="2">
        <v>1250.0999999999999</v>
      </c>
      <c r="E315" s="2">
        <v>145.4</v>
      </c>
      <c r="F315" s="2">
        <v>140.78000000000003</v>
      </c>
      <c r="G315" s="2">
        <v>146.30000000000001</v>
      </c>
      <c r="H315" s="2">
        <v>144.21999999999997</v>
      </c>
      <c r="I315" s="10">
        <f t="shared" si="784"/>
        <v>0.76410794499694945</v>
      </c>
      <c r="J315" s="10">
        <f t="shared" si="785"/>
        <v>0.73633135581488929</v>
      </c>
      <c r="K315" s="14">
        <f>C315/24/31/10</f>
        <v>0.1776002539802547</v>
      </c>
      <c r="L315" s="14">
        <f>D315/24/31/10</f>
        <v>0.1680241935483871</v>
      </c>
      <c r="M315" s="11">
        <v>0.98499999999999999</v>
      </c>
      <c r="N315" s="82">
        <v>0.98099032258064511</v>
      </c>
      <c r="O315" s="10">
        <v>0.99</v>
      </c>
      <c r="P315" s="17">
        <v>1</v>
      </c>
      <c r="Q315" s="83"/>
      <c r="R315" s="81">
        <f t="shared" si="786"/>
        <v>-5.3919182080292782E-2</v>
      </c>
      <c r="S315" s="10">
        <f t="shared" si="787"/>
        <v>-1.4217361585782906E-2</v>
      </c>
      <c r="T315" s="10">
        <f t="shared" si="798"/>
        <v>-4.0096774193548734E-3</v>
      </c>
      <c r="U315" s="10">
        <f t="shared" si="789"/>
        <v>1.0000000000000009E-2</v>
      </c>
      <c r="V315" s="23">
        <v>-4.5999999999999999E-3</v>
      </c>
      <c r="W315" s="83"/>
      <c r="X315" s="5">
        <v>44439</v>
      </c>
      <c r="Y315" s="43">
        <v>1314.6592541264151</v>
      </c>
      <c r="Z315" s="2">
        <v>1307.43</v>
      </c>
      <c r="AA315" s="2">
        <v>145.4</v>
      </c>
      <c r="AB315" s="2">
        <v>141.18000000000004</v>
      </c>
      <c r="AC315" s="2">
        <v>146.30000000000001</v>
      </c>
      <c r="AD315" s="2">
        <v>144.81</v>
      </c>
      <c r="AE315" s="10">
        <f t="shared" si="790"/>
        <v>0.76024119720529693</v>
      </c>
      <c r="AF315" s="10">
        <f t="shared" si="791"/>
        <v>0.76265424079461797</v>
      </c>
      <c r="AG315" s="14">
        <f>Y315/24/31/10</f>
        <v>0.17670151265139988</v>
      </c>
      <c r="AH315" s="14">
        <f>Z315/24/31/10</f>
        <v>0.17572983870967743</v>
      </c>
      <c r="AI315" s="10">
        <v>0.98499999999999999</v>
      </c>
      <c r="AJ315" s="11">
        <v>0.98653150000000001</v>
      </c>
      <c r="AK315" s="10">
        <v>0.99</v>
      </c>
      <c r="AL315" s="17">
        <v>0.997</v>
      </c>
      <c r="AM315" s="83"/>
      <c r="AN315" s="81">
        <f t="shared" si="792"/>
        <v>-5.4989565575445098E-3</v>
      </c>
      <c r="AO315" s="10">
        <f t="shared" si="793"/>
        <v>-1.0184552289815518E-2</v>
      </c>
      <c r="AP315" s="10">
        <f t="shared" si="794"/>
        <v>1.531500000000019E-3</v>
      </c>
      <c r="AQ315" s="10">
        <f t="shared" si="795"/>
        <v>7.0000000000000062E-3</v>
      </c>
      <c r="AR315" s="23">
        <v>-7.1000000000000004E-3</v>
      </c>
    </row>
    <row r="316" spans="2:66" ht="14.65" hidden="1" customHeight="1">
      <c r="B316" s="5">
        <v>44469</v>
      </c>
      <c r="C316" s="114">
        <v>1315.0193361060558</v>
      </c>
      <c r="D316" s="2">
        <v>1196.2080000000001</v>
      </c>
      <c r="E316" s="2">
        <v>141.6</v>
      </c>
      <c r="F316" s="2">
        <v>129.68999999999997</v>
      </c>
      <c r="G316" s="2">
        <v>145.5</v>
      </c>
      <c r="H316" s="2">
        <v>140.90999999999997</v>
      </c>
      <c r="I316" s="10">
        <f t="shared" si="784"/>
        <v>0.76463059065016237</v>
      </c>
      <c r="J316" s="10">
        <f t="shared" si="785"/>
        <v>0.71440511593464984</v>
      </c>
      <c r="K316" s="14">
        <f>C316/24/30/10</f>
        <v>0.18264157445917442</v>
      </c>
      <c r="L316" s="14">
        <f>D316/24/30/10</f>
        <v>0.16614000000000001</v>
      </c>
      <c r="M316" s="11">
        <v>0.98499999999999999</v>
      </c>
      <c r="N316" s="82">
        <v>0.99023685422222218</v>
      </c>
      <c r="O316" s="10">
        <v>0.99</v>
      </c>
      <c r="P316" s="17">
        <v>0.99776666666666669</v>
      </c>
      <c r="Q316" s="83"/>
      <c r="R316" s="81">
        <f t="shared" si="786"/>
        <v>-9.0349497413377722E-2</v>
      </c>
      <c r="S316" s="10">
        <f t="shared" si="787"/>
        <v>-3.1546391752577563E-2</v>
      </c>
      <c r="T316" s="10">
        <f t="shared" si="798"/>
        <v>5.2368542222221981E-3</v>
      </c>
      <c r="U316" s="10">
        <f t="shared" si="789"/>
        <v>7.7666666666666995E-3</v>
      </c>
      <c r="V316" s="23">
        <v>-3.8999999999999998E-3</v>
      </c>
      <c r="W316" s="83"/>
      <c r="X316" s="5">
        <v>44469</v>
      </c>
      <c r="Y316" s="43">
        <v>1310.4418371199831</v>
      </c>
      <c r="Z316" s="2">
        <v>1257.144</v>
      </c>
      <c r="AA316" s="2">
        <v>141.6</v>
      </c>
      <c r="AB316" s="2">
        <v>133.11999999999998</v>
      </c>
      <c r="AC316" s="2">
        <v>145.5</v>
      </c>
      <c r="AD316" s="2">
        <v>143.69</v>
      </c>
      <c r="AE316" s="10">
        <f t="shared" si="790"/>
        <v>0.76196896001301495</v>
      </c>
      <c r="AF316" s="10">
        <f t="shared" si="791"/>
        <v>0.73876781133290503</v>
      </c>
      <c r="AG316" s="14">
        <f>Y316/24/30/10</f>
        <v>0.18200581071110877</v>
      </c>
      <c r="AH316" s="14">
        <f>Z316/24/30/10</f>
        <v>0.17460333333333333</v>
      </c>
      <c r="AI316" s="10">
        <v>0.98499999999999999</v>
      </c>
      <c r="AJ316" s="11">
        <v>0.98689118873333337</v>
      </c>
      <c r="AK316" s="10">
        <v>0.99</v>
      </c>
      <c r="AL316" s="17">
        <v>0.99878</v>
      </c>
      <c r="AM316" s="83"/>
      <c r="AN316" s="81">
        <f t="shared" si="792"/>
        <v>-4.0671654101885335E-2</v>
      </c>
      <c r="AO316" s="10">
        <f t="shared" si="793"/>
        <v>-1.2439862542955371E-2</v>
      </c>
      <c r="AP316" s="10">
        <f t="shared" si="794"/>
        <v>1.8911887333333821E-3</v>
      </c>
      <c r="AQ316" s="10">
        <f t="shared" si="795"/>
        <v>8.78000000000001E-3</v>
      </c>
      <c r="AR316" s="23">
        <v>-4.0000000000000001E-3</v>
      </c>
    </row>
    <row r="317" spans="2:66" ht="14.65" hidden="1" customHeight="1">
      <c r="B317" s="5">
        <v>44500</v>
      </c>
      <c r="C317" s="114">
        <v>1503.9121479590906</v>
      </c>
      <c r="D317" s="2">
        <v>1369.548</v>
      </c>
      <c r="E317" s="2">
        <v>139.1</v>
      </c>
      <c r="F317" s="2">
        <v>127.41</v>
      </c>
      <c r="G317" s="2">
        <v>172.2</v>
      </c>
      <c r="H317" s="2">
        <v>162.55999999999997</v>
      </c>
      <c r="I317" s="10">
        <f t="shared" si="784"/>
        <v>0.73887648248656812</v>
      </c>
      <c r="J317" s="10">
        <f t="shared" si="785"/>
        <v>0.71413162161866572</v>
      </c>
      <c r="K317" s="14">
        <f>C317/24/31/10</f>
        <v>0.20213872956439388</v>
      </c>
      <c r="L317" s="14">
        <f>D317/24/31/10</f>
        <v>0.18407903225806452</v>
      </c>
      <c r="M317" s="11">
        <v>0.98499999999999999</v>
      </c>
      <c r="N317" s="82">
        <v>0.98311439999999994</v>
      </c>
      <c r="O317" s="10">
        <v>0.99</v>
      </c>
      <c r="P317" s="17">
        <v>0.99912580645161286</v>
      </c>
      <c r="Q317" s="83"/>
      <c r="R317" s="81">
        <f t="shared" si="786"/>
        <v>-8.9343083066010021E-2</v>
      </c>
      <c r="S317" s="10">
        <f t="shared" si="787"/>
        <v>-5.5981416957026853E-2</v>
      </c>
      <c r="T317" s="10">
        <f t="shared" si="798"/>
        <v>-1.8856000000000428E-3</v>
      </c>
      <c r="U317" s="10">
        <f t="shared" si="789"/>
        <v>9.1258064516128723E-3</v>
      </c>
      <c r="V317" s="23">
        <v>-2.2700000000000001E-2</v>
      </c>
      <c r="W317" s="83"/>
      <c r="X317" s="5">
        <v>44500</v>
      </c>
      <c r="Y317" s="43">
        <v>1501.4305786969742</v>
      </c>
      <c r="Z317" s="2">
        <v>1446.2339999999999</v>
      </c>
      <c r="AA317" s="2">
        <v>139.1</v>
      </c>
      <c r="AB317" s="2">
        <v>133.1</v>
      </c>
      <c r="AC317" s="2">
        <v>172.2</v>
      </c>
      <c r="AD317" s="2">
        <v>163.27999999999997</v>
      </c>
      <c r="AE317" s="10">
        <f t="shared" si="790"/>
        <v>0.73765728017483223</v>
      </c>
      <c r="AF317" s="10">
        <f t="shared" si="791"/>
        <v>0.75186282258588066</v>
      </c>
      <c r="AG317" s="14">
        <f>Y317/24/31/10</f>
        <v>0.20180518530873309</v>
      </c>
      <c r="AH317" s="14">
        <f>Z317/24/31/10</f>
        <v>0.19438629032258065</v>
      </c>
      <c r="AI317" s="10">
        <v>0.98499999999999999</v>
      </c>
      <c r="AJ317" s="11">
        <v>0.98171565999999999</v>
      </c>
      <c r="AK317" s="10">
        <v>0.99</v>
      </c>
      <c r="AL317" s="17">
        <v>0.99908064516129025</v>
      </c>
      <c r="AM317" s="83"/>
      <c r="AN317" s="81">
        <f t="shared" si="792"/>
        <v>-3.676265788117683E-2</v>
      </c>
      <c r="AO317" s="10">
        <f t="shared" si="793"/>
        <v>-5.1800232288037207E-2</v>
      </c>
      <c r="AP317" s="10">
        <f t="shared" si="794"/>
        <v>-3.2843399999999967E-3</v>
      </c>
      <c r="AQ317" s="10">
        <f t="shared" si="795"/>
        <v>9.0806451612902572E-3</v>
      </c>
      <c r="AR317" s="23">
        <v>-1.52E-2</v>
      </c>
    </row>
    <row r="318" spans="2:66" ht="14.65" hidden="1" customHeight="1">
      <c r="B318" s="5">
        <v>44530</v>
      </c>
      <c r="C318" s="114">
        <v>1333.9989966271737</v>
      </c>
      <c r="D318" s="2">
        <v>1243.356</v>
      </c>
      <c r="E318" s="2">
        <v>108.1</v>
      </c>
      <c r="F318" s="2">
        <v>103.86999999999999</v>
      </c>
      <c r="G318" s="2">
        <v>152.1</v>
      </c>
      <c r="H318" s="2">
        <v>152.04999999999998</v>
      </c>
      <c r="I318" s="10">
        <f t="shared" si="784"/>
        <v>0.74200838382619294</v>
      </c>
      <c r="J318" s="10">
        <f t="shared" si="785"/>
        <v>0.68503905418360778</v>
      </c>
      <c r="K318" s="14">
        <f>C318/24/30/10</f>
        <v>0.18527763842044079</v>
      </c>
      <c r="L318" s="14">
        <f>D318/24/30/10</f>
        <v>0.17268833333333333</v>
      </c>
      <c r="M318" s="11">
        <v>0.98499999999999999</v>
      </c>
      <c r="N318" s="82">
        <v>0.99474666666666656</v>
      </c>
      <c r="O318" s="10">
        <v>0.99</v>
      </c>
      <c r="P318" s="17">
        <v>1</v>
      </c>
      <c r="Q318" s="83"/>
      <c r="R318" s="81">
        <f t="shared" si="786"/>
        <v>-6.7948324441286401E-2</v>
      </c>
      <c r="S318" s="10">
        <f t="shared" si="787"/>
        <v>-3.2873109796194289E-4</v>
      </c>
      <c r="T318" s="10">
        <f t="shared" si="798"/>
        <v>9.7466666666665702E-3</v>
      </c>
      <c r="U318" s="10">
        <f t="shared" si="789"/>
        <v>1.0000000000000009E-2</v>
      </c>
      <c r="V318" s="23">
        <v>-2.03920901217211E-2</v>
      </c>
      <c r="W318" s="83"/>
      <c r="X318" s="5">
        <v>44530</v>
      </c>
      <c r="Y318" s="43">
        <v>1329.118969577039</v>
      </c>
      <c r="Z318" s="2">
        <v>1328.4960000000001</v>
      </c>
      <c r="AA318" s="2">
        <v>108.1</v>
      </c>
      <c r="AB318" s="2">
        <v>110.03999999999999</v>
      </c>
      <c r="AC318" s="2">
        <v>152.1</v>
      </c>
      <c r="AD318" s="2">
        <v>152.82</v>
      </c>
      <c r="AE318" s="10">
        <f t="shared" si="790"/>
        <v>0.73929397325043256</v>
      </c>
      <c r="AF318" s="10">
        <f t="shared" si="791"/>
        <v>0.72705135950487076</v>
      </c>
      <c r="AG318" s="14">
        <f>Y318/24/30/10</f>
        <v>0.18459985688569985</v>
      </c>
      <c r="AH318" s="14">
        <f>Z318/24/30/10</f>
        <v>0.18451333333333336</v>
      </c>
      <c r="AI318" s="10">
        <v>0.98499999999999999</v>
      </c>
      <c r="AJ318" s="11">
        <v>0.99639999999999995</v>
      </c>
      <c r="AK318" s="10">
        <v>0.99</v>
      </c>
      <c r="AL318" s="17">
        <v>1</v>
      </c>
      <c r="AM318" s="83"/>
      <c r="AN318" s="81">
        <f t="shared" si="792"/>
        <v>-4.6870866438475378E-4</v>
      </c>
      <c r="AO318" s="10">
        <f t="shared" si="793"/>
        <v>4.7337278106509562E-3</v>
      </c>
      <c r="AP318" s="10">
        <f t="shared" si="794"/>
        <v>1.1399999999999966E-2</v>
      </c>
      <c r="AQ318" s="10">
        <f t="shared" si="795"/>
        <v>1.0000000000000009E-2</v>
      </c>
      <c r="AR318" s="23">
        <v>-1.3599999999999999E-2</v>
      </c>
    </row>
    <row r="319" spans="2:66" ht="14.65" hidden="1" customHeight="1">
      <c r="B319" s="5">
        <v>44561</v>
      </c>
      <c r="C319" s="114">
        <v>1122.511350820427</v>
      </c>
      <c r="D319" s="2">
        <v>1027.356</v>
      </c>
      <c r="E319" s="2">
        <v>89.9</v>
      </c>
      <c r="F319" s="2">
        <v>82.52000000000001</v>
      </c>
      <c r="G319" s="2">
        <v>129.6</v>
      </c>
      <c r="H319" s="2">
        <v>124.14</v>
      </c>
      <c r="I319" s="10">
        <f t="shared" si="784"/>
        <v>0.7327709827064055</v>
      </c>
      <c r="J319" s="10">
        <f t="shared" si="785"/>
        <v>0.69876656019914374</v>
      </c>
      <c r="K319" s="14">
        <f>C319/24/31/10</f>
        <v>0.15087518156188534</v>
      </c>
      <c r="L319" s="14">
        <f>D319/24/31/10</f>
        <v>0.13808548387096775</v>
      </c>
      <c r="M319" s="11">
        <v>0.98499999999999999</v>
      </c>
      <c r="N319" s="82">
        <v>0.98695161290322586</v>
      </c>
      <c r="O319" s="10">
        <v>0.99</v>
      </c>
      <c r="P319" s="17">
        <v>1</v>
      </c>
      <c r="Q319" s="83"/>
      <c r="R319" s="81">
        <f t="shared" ref="R319:R320" si="801">D319/C319-1</f>
        <v>-8.4770056668807214E-2</v>
      </c>
      <c r="S319" s="10">
        <f t="shared" ref="S319:S320" si="802">H319/G319-1</f>
        <v>-4.2129629629629628E-2</v>
      </c>
      <c r="T319" s="10">
        <f t="shared" ref="T319:T320" si="803">N319-M319</f>
        <v>1.9516129032258744E-3</v>
      </c>
      <c r="U319" s="10">
        <f t="shared" ref="U319:U320" si="804">P319-O319</f>
        <v>1.0000000000000009E-2</v>
      </c>
      <c r="V319" s="23">
        <v>-2.0400000000000001E-2</v>
      </c>
      <c r="W319" s="83"/>
      <c r="X319" s="5">
        <v>44561</v>
      </c>
      <c r="Y319" s="43">
        <v>1115.8381666803361</v>
      </c>
      <c r="Z319" s="2">
        <v>1113.8040000000001</v>
      </c>
      <c r="AA319" s="2">
        <v>89.9</v>
      </c>
      <c r="AB319" s="2">
        <v>87.910000000000025</v>
      </c>
      <c r="AC319" s="2">
        <v>129.6</v>
      </c>
      <c r="AD319" s="2">
        <v>124.42</v>
      </c>
      <c r="AE319" s="10">
        <f t="shared" si="790"/>
        <v>0.72841475441834314</v>
      </c>
      <c r="AF319" s="10">
        <f t="shared" si="791"/>
        <v>0.74814048856249671</v>
      </c>
      <c r="AG319" s="14">
        <f>Y319/24/31/10</f>
        <v>0.14997824820972258</v>
      </c>
      <c r="AH319" s="14">
        <f>Z319/24/31/10</f>
        <v>0.14970483870967743</v>
      </c>
      <c r="AI319" s="10">
        <v>0.98499999999999999</v>
      </c>
      <c r="AJ319" s="11">
        <v>0.99713548387096773</v>
      </c>
      <c r="AK319" s="10">
        <v>0.99</v>
      </c>
      <c r="AL319" s="17">
        <v>1</v>
      </c>
      <c r="AM319" s="83"/>
      <c r="AN319" s="81">
        <f t="shared" si="792"/>
        <v>-1.8229943562405593E-3</v>
      </c>
      <c r="AO319" s="10">
        <f t="shared" si="793"/>
        <v>-3.996913580246908E-2</v>
      </c>
      <c r="AP319" s="10">
        <f t="shared" si="794"/>
        <v>1.2135483870967745E-2</v>
      </c>
      <c r="AQ319" s="10">
        <f t="shared" si="795"/>
        <v>1.0000000000000009E-2</v>
      </c>
      <c r="AR319" s="23">
        <v>-1.8200000000000001E-2</v>
      </c>
    </row>
    <row r="320" spans="2:66" ht="14.65" hidden="1" customHeight="1">
      <c r="B320" s="5">
        <v>44592</v>
      </c>
      <c r="C320" s="114">
        <v>946.03665970835232</v>
      </c>
      <c r="D320" s="2">
        <v>658.30799999999999</v>
      </c>
      <c r="E320" s="2">
        <v>79.599999999999994</v>
      </c>
      <c r="F320" s="2">
        <v>56.830000000000005</v>
      </c>
      <c r="G320" s="2">
        <v>103.2</v>
      </c>
      <c r="H320" s="2">
        <v>72.97</v>
      </c>
      <c r="I320" s="10">
        <f t="shared" si="784"/>
        <v>0.77555176788483604</v>
      </c>
      <c r="J320" s="10">
        <f t="shared" si="785"/>
        <v>0.76031766834177983</v>
      </c>
      <c r="K320" s="14">
        <f>C320/24/31/10</f>
        <v>0.12715546501456348</v>
      </c>
      <c r="L320" s="14">
        <f>D320/24/31/10</f>
        <v>8.8482258064516123E-2</v>
      </c>
      <c r="M320" s="11">
        <v>0.98499999999999999</v>
      </c>
      <c r="N320" s="82">
        <v>0.98880000000000001</v>
      </c>
      <c r="O320" s="10">
        <v>0.99</v>
      </c>
      <c r="P320" s="17">
        <v>1</v>
      </c>
      <c r="Q320" s="83"/>
      <c r="R320" s="81">
        <f t="shared" si="801"/>
        <v>-0.30414113106045426</v>
      </c>
      <c r="S320" s="10">
        <f t="shared" si="802"/>
        <v>-0.29292635658914734</v>
      </c>
      <c r="T320" s="10">
        <f t="shared" si="803"/>
        <v>3.8000000000000256E-3</v>
      </c>
      <c r="U320" s="10">
        <f t="shared" si="804"/>
        <v>1.0000000000000009E-2</v>
      </c>
      <c r="V320" s="23">
        <v>0</v>
      </c>
      <c r="W320" s="83"/>
      <c r="X320" s="5">
        <v>44592</v>
      </c>
      <c r="Y320" s="43">
        <v>939.40840047565598</v>
      </c>
      <c r="Z320" s="2">
        <v>690.40800000000002</v>
      </c>
      <c r="AA320" s="2">
        <v>79.599999999999994</v>
      </c>
      <c r="AB320" s="2">
        <v>58.81</v>
      </c>
      <c r="AC320" s="2">
        <v>103.2</v>
      </c>
      <c r="AD320" s="2">
        <v>74.639999999999986</v>
      </c>
      <c r="AE320" s="10">
        <f t="shared" si="790"/>
        <v>0.77011798462372927</v>
      </c>
      <c r="AF320" s="10">
        <f t="shared" si="791"/>
        <v>0.77508289159509147</v>
      </c>
      <c r="AG320" s="14">
        <f>Y320/24/31/10</f>
        <v>0.12626456995640539</v>
      </c>
      <c r="AH320" s="14">
        <f>Z320/24/31/10</f>
        <v>9.2796774193548384E-2</v>
      </c>
      <c r="AI320" s="10">
        <v>0.98499999999999999</v>
      </c>
      <c r="AJ320" s="11">
        <v>0.99450000000000005</v>
      </c>
      <c r="AK320" s="10">
        <v>0.99</v>
      </c>
      <c r="AL320" s="17">
        <v>1</v>
      </c>
      <c r="AM320" s="83"/>
      <c r="AN320" s="81">
        <f t="shared" si="792"/>
        <v>-0.26506086208040958</v>
      </c>
      <c r="AO320" s="10">
        <f t="shared" si="793"/>
        <v>-0.27674418604651174</v>
      </c>
      <c r="AP320" s="10">
        <f t="shared" si="794"/>
        <v>9.5000000000000639E-3</v>
      </c>
      <c r="AQ320" s="10">
        <f t="shared" si="795"/>
        <v>1.0000000000000009E-2</v>
      </c>
      <c r="AR320" s="23">
        <v>0</v>
      </c>
    </row>
    <row r="321" spans="2:66" ht="14.65" hidden="1" customHeight="1">
      <c r="B321" s="5">
        <v>44620</v>
      </c>
      <c r="C321" s="114">
        <v>1239.2001112909788</v>
      </c>
      <c r="D321" s="2">
        <v>1237.596</v>
      </c>
      <c r="E321" s="2">
        <v>108.1</v>
      </c>
      <c r="F321" s="2">
        <v>106.95000000000002</v>
      </c>
      <c r="G321" s="2">
        <v>137.5</v>
      </c>
      <c r="H321" s="2">
        <v>143.46</v>
      </c>
      <c r="I321" s="10">
        <f t="shared" si="784"/>
        <v>0.76246738119734125</v>
      </c>
      <c r="J321" s="10">
        <f t="shared" si="785"/>
        <v>0.72490452287280727</v>
      </c>
      <c r="K321" s="14">
        <f>C321/24/28/10</f>
        <v>0.18440477846591946</v>
      </c>
      <c r="L321" s="14">
        <f>D321/24/28/10</f>
        <v>0.18416607142857142</v>
      </c>
      <c r="M321" s="11">
        <v>0.98499999999999999</v>
      </c>
      <c r="N321" s="82">
        <v>0.99171302000000006</v>
      </c>
      <c r="O321" s="10">
        <v>0.99</v>
      </c>
      <c r="P321" s="17">
        <v>0.99790000000000001</v>
      </c>
      <c r="Q321" s="83"/>
      <c r="R321" s="81">
        <f t="shared" ref="R321" si="805">D321/C321-1</f>
        <v>-1.2944731656839847E-3</v>
      </c>
      <c r="S321" s="10">
        <f t="shared" ref="S321" si="806">H321/G321-1</f>
        <v>4.3345454545454576E-2</v>
      </c>
      <c r="T321" s="10">
        <f t="shared" ref="T321" si="807">N321-M321</f>
        <v>6.7130200000000695E-3</v>
      </c>
      <c r="U321" s="10">
        <f t="shared" ref="U321" si="808">P321-O321</f>
        <v>7.9000000000000181E-3</v>
      </c>
      <c r="V321" s="23">
        <v>-1.18E-2</v>
      </c>
      <c r="W321" s="83"/>
      <c r="X321" s="5">
        <v>44620</v>
      </c>
      <c r="Y321" s="43">
        <v>1233.1514949736434</v>
      </c>
      <c r="Z321" s="2">
        <v>1282.5419999999999</v>
      </c>
      <c r="AA321" s="2">
        <v>108.1</v>
      </c>
      <c r="AB321" s="2">
        <v>113.94</v>
      </c>
      <c r="AC321" s="2">
        <v>137.5</v>
      </c>
      <c r="AD321" s="2">
        <v>144.71999999999997</v>
      </c>
      <c r="AE321" s="10">
        <f t="shared" si="790"/>
        <v>0.7587457283332677</v>
      </c>
      <c r="AF321" s="10">
        <f t="shared" si="791"/>
        <v>0.74959319717564643</v>
      </c>
      <c r="AG321" s="14">
        <f>Y321/24/28/10</f>
        <v>0.18350468675203027</v>
      </c>
      <c r="AH321" s="14">
        <f>Z321/24/28/10</f>
        <v>0.19085446428571426</v>
      </c>
      <c r="AI321" s="10">
        <v>0.98499999999999999</v>
      </c>
      <c r="AJ321" s="11">
        <v>0.98522666999999997</v>
      </c>
      <c r="AK321" s="10">
        <v>0.99</v>
      </c>
      <c r="AL321" s="17">
        <v>0.99790000000000001</v>
      </c>
      <c r="AM321" s="83"/>
      <c r="AN321" s="81">
        <f t="shared" si="792"/>
        <v>4.0052260592209121E-2</v>
      </c>
      <c r="AO321" s="10">
        <f t="shared" si="793"/>
        <v>5.2509090909090617E-2</v>
      </c>
      <c r="AP321" s="10">
        <f t="shared" si="794"/>
        <v>2.2666999999998438E-4</v>
      </c>
      <c r="AQ321" s="10">
        <f t="shared" si="795"/>
        <v>7.9000000000000181E-3</v>
      </c>
      <c r="AR321" s="23">
        <v>-1.18E-2</v>
      </c>
    </row>
    <row r="322" spans="2:66" ht="14.65" hidden="1" customHeight="1">
      <c r="B322" s="5">
        <v>44651</v>
      </c>
      <c r="C322" s="114">
        <v>1657.3627032723323</v>
      </c>
      <c r="D322" s="2">
        <f>[1]Database!$I$427/1000</f>
        <v>1543.3920000000001</v>
      </c>
      <c r="E322" s="2">
        <v>161.4</v>
      </c>
      <c r="F322" s="2">
        <v>158.37</v>
      </c>
      <c r="G322" s="2">
        <v>187.8</v>
      </c>
      <c r="H322" s="2">
        <v>188.27999999999997</v>
      </c>
      <c r="I322" s="10">
        <f t="shared" ref="I322:I333" si="809">C322/12/G322/M322</f>
        <v>0.7466283853436676</v>
      </c>
      <c r="J322" s="10">
        <f t="shared" ref="J322:J333" si="810">D322/12/H322/N322</f>
        <v>0.70722669149284445</v>
      </c>
      <c r="K322" s="14">
        <f>C322/24/31/10</f>
        <v>0.22276380420327047</v>
      </c>
      <c r="L322" s="14">
        <f>D322/24/31/10</f>
        <v>0.20744516129032262</v>
      </c>
      <c r="M322" s="11">
        <v>0.98499999999999999</v>
      </c>
      <c r="N322" s="82">
        <v>0.96589999999999998</v>
      </c>
      <c r="O322" s="10">
        <v>0.99</v>
      </c>
      <c r="P322" s="17">
        <v>1</v>
      </c>
      <c r="Q322" s="83"/>
      <c r="R322" s="81">
        <f t="shared" ref="R322" si="811">D322/C322-1</f>
        <v>-6.8766301454296075E-2</v>
      </c>
      <c r="S322" s="10">
        <f t="shared" ref="S322:S333" si="812">H322/G322-1</f>
        <v>2.5559105431307572E-3</v>
      </c>
      <c r="T322" s="10">
        <f t="shared" ref="T322" si="813">N322-M322</f>
        <v>-1.9100000000000006E-2</v>
      </c>
      <c r="U322" s="10">
        <f t="shared" ref="U322:U333" si="814">P322-O322</f>
        <v>1.0000000000000009E-2</v>
      </c>
      <c r="V322" s="23">
        <v>-1.33647803193354E-2</v>
      </c>
      <c r="W322" s="83"/>
      <c r="X322" s="5">
        <v>44651</v>
      </c>
      <c r="Y322" s="43">
        <v>1653.9834385197398</v>
      </c>
      <c r="Z322" s="2">
        <f>[1]Database!$I$428/1000</f>
        <v>1557.162</v>
      </c>
      <c r="AA322" s="2">
        <v>161.4</v>
      </c>
      <c r="AB322" s="2">
        <v>169.10000000000002</v>
      </c>
      <c r="AC322" s="2">
        <v>187.8</v>
      </c>
      <c r="AD322" s="2">
        <v>191.58999999999992</v>
      </c>
      <c r="AE322" s="10">
        <f t="shared" ref="AE322:AE333" si="815">Y322/12/AC322/AI322</f>
        <v>0.74510605412377517</v>
      </c>
      <c r="AF322" s="10">
        <f t="shared" ref="AF322:AF333" si="816">Z322/12/AD322/AJ322</f>
        <v>0.71846597610269247</v>
      </c>
      <c r="AG322" s="14">
        <f>Y322/24/31/10</f>
        <v>0.22230960195157792</v>
      </c>
      <c r="AH322" s="14">
        <f>Z322/24/31/10</f>
        <v>0.20929596774193548</v>
      </c>
      <c r="AI322" s="10">
        <v>0.98499999999999999</v>
      </c>
      <c r="AJ322" s="11">
        <v>0.94269999999999998</v>
      </c>
      <c r="AK322" s="10">
        <v>0.99</v>
      </c>
      <c r="AL322" s="17">
        <v>1</v>
      </c>
      <c r="AM322" s="83"/>
      <c r="AN322" s="81">
        <f t="shared" ref="AN322:AN333" si="817">Z322/Y322-1</f>
        <v>-5.8538336155525061E-2</v>
      </c>
      <c r="AO322" s="10">
        <f t="shared" ref="AO322:AO333" si="818">AD322/AC322-1</f>
        <v>2.0181043663471288E-2</v>
      </c>
      <c r="AP322" s="10">
        <f t="shared" ref="AP322:AP333" si="819">AJ322-AI322</f>
        <v>-4.2300000000000004E-2</v>
      </c>
      <c r="AQ322" s="10">
        <f t="shared" ref="AQ322:AQ333" si="820">AL322-AK322</f>
        <v>1.0000000000000009E-2</v>
      </c>
      <c r="AR322" s="23">
        <v>-1.3403058434342661E-2</v>
      </c>
    </row>
    <row r="323" spans="2:66" hidden="1">
      <c r="B323" s="5">
        <v>44681</v>
      </c>
      <c r="C323" s="116">
        <v>1712.2184411451547</v>
      </c>
      <c r="D323" s="2">
        <v>1499.85</v>
      </c>
      <c r="E323" s="2">
        <v>190.2</v>
      </c>
      <c r="F323" s="2">
        <v>168.23000000000002</v>
      </c>
      <c r="G323" s="2">
        <v>194</v>
      </c>
      <c r="H323" s="2">
        <v>184.26</v>
      </c>
      <c r="I323" s="74">
        <f t="shared" si="809"/>
        <v>0.74668936153346355</v>
      </c>
      <c r="J323" s="74">
        <f t="shared" si="810"/>
        <v>0.67995328155858004</v>
      </c>
      <c r="K323" s="14">
        <f>C323/24/30/10</f>
        <v>0.23780811682571593</v>
      </c>
      <c r="L323" s="14">
        <f>D323/24/30/10</f>
        <v>0.20831249999999998</v>
      </c>
      <c r="M323" s="11">
        <v>0.98499999999999999</v>
      </c>
      <c r="N323" s="82">
        <v>0.99760000000000004</v>
      </c>
      <c r="O323" s="74">
        <v>0.99</v>
      </c>
      <c r="P323" s="17">
        <v>1</v>
      </c>
      <c r="Q323" s="96"/>
      <c r="R323" s="97">
        <f>D323/C323-1</f>
        <v>-0.12403116100251776</v>
      </c>
      <c r="S323" s="74">
        <f t="shared" si="812"/>
        <v>-5.0206185567010397E-2</v>
      </c>
      <c r="T323" s="74">
        <f>N323-M323</f>
        <v>1.2600000000000056E-2</v>
      </c>
      <c r="U323" s="74">
        <f t="shared" si="814"/>
        <v>1.0000000000000009E-2</v>
      </c>
      <c r="V323" s="75">
        <v>-2.1600000000000001E-2</v>
      </c>
      <c r="W323" s="96"/>
      <c r="X323" s="5">
        <v>44681</v>
      </c>
      <c r="Y323" s="73">
        <v>1711.533106013223</v>
      </c>
      <c r="Z323" s="2">
        <v>1496.94</v>
      </c>
      <c r="AA323" s="2">
        <v>190.2</v>
      </c>
      <c r="AB323" s="2">
        <v>180.85000000000002</v>
      </c>
      <c r="AC323" s="2">
        <v>194</v>
      </c>
      <c r="AD323" s="2">
        <v>185.76</v>
      </c>
      <c r="AE323" s="74">
        <f t="shared" si="815"/>
        <v>0.7463904905250679</v>
      </c>
      <c r="AF323" s="74">
        <f t="shared" si="816"/>
        <v>0.68503370841406908</v>
      </c>
      <c r="AG323" s="14">
        <f>Y323/24/30/10</f>
        <v>0.23771293139072541</v>
      </c>
      <c r="AH323" s="14">
        <f>Z323/24/30/10</f>
        <v>0.20790833333333336</v>
      </c>
      <c r="AI323" s="74">
        <v>0.98499999999999999</v>
      </c>
      <c r="AJ323" s="11">
        <v>0.98029999999999995</v>
      </c>
      <c r="AK323" s="74">
        <v>0.99</v>
      </c>
      <c r="AL323" s="17">
        <v>1</v>
      </c>
      <c r="AM323" s="96"/>
      <c r="AN323" s="97">
        <f t="shared" si="817"/>
        <v>-0.1253806340404876</v>
      </c>
      <c r="AO323" s="74">
        <f t="shared" si="818"/>
        <v>-4.2474226804123716E-2</v>
      </c>
      <c r="AP323" s="74">
        <f t="shared" si="819"/>
        <v>-4.7000000000000375E-3</v>
      </c>
      <c r="AQ323" s="74">
        <f t="shared" si="820"/>
        <v>1.0000000000000009E-2</v>
      </c>
      <c r="AR323" s="75">
        <v>-2.3199999999999998E-2</v>
      </c>
      <c r="BN323" s="98"/>
    </row>
    <row r="324" spans="2:66" hidden="1">
      <c r="B324" s="5">
        <v>44712</v>
      </c>
      <c r="C324" s="114">
        <v>1734.7003009290979</v>
      </c>
      <c r="D324" s="2">
        <v>1525.3620000000001</v>
      </c>
      <c r="E324" s="2">
        <v>197</v>
      </c>
      <c r="F324" s="2">
        <v>179.49</v>
      </c>
      <c r="G324" s="2">
        <v>197.7</v>
      </c>
      <c r="H324" s="2">
        <v>186.24</v>
      </c>
      <c r="I324" s="10">
        <f t="shared" si="809"/>
        <v>0.74233563344326847</v>
      </c>
      <c r="J324" s="29">
        <f t="shared" si="810"/>
        <v>0.70454804448347241</v>
      </c>
      <c r="K324" s="14">
        <f t="shared" ref="K324" si="821">C324/24/31/10</f>
        <v>0.23315864259799701</v>
      </c>
      <c r="L324" s="14">
        <f t="shared" ref="L324" si="822">D324/24/31/10</f>
        <v>0.20502177419354842</v>
      </c>
      <c r="M324" s="11">
        <v>0.98499999999999999</v>
      </c>
      <c r="N324" s="82">
        <v>0.968741935483871</v>
      </c>
      <c r="O324" s="10">
        <v>0.99</v>
      </c>
      <c r="P324" s="17">
        <v>1</v>
      </c>
      <c r="Q324" s="83"/>
      <c r="R324" s="81">
        <f t="shared" ref="R324:R334" si="823">D324/C324-1</f>
        <v>-0.12067692662356555</v>
      </c>
      <c r="S324" s="10">
        <f t="shared" si="812"/>
        <v>-5.7966616084977107E-2</v>
      </c>
      <c r="T324" s="10">
        <f t="shared" ref="T324:T334" si="824">N324-M324</f>
        <v>-1.6258064516128989E-2</v>
      </c>
      <c r="U324" s="10">
        <f t="shared" si="814"/>
        <v>1.0000000000000009E-2</v>
      </c>
      <c r="V324" s="23">
        <v>-8.0000000000000002E-3</v>
      </c>
      <c r="W324" s="83"/>
      <c r="X324" s="5">
        <v>44712</v>
      </c>
      <c r="Y324" s="43">
        <v>1734.3131827293935</v>
      </c>
      <c r="Z324" s="2">
        <v>1578.3</v>
      </c>
      <c r="AA324" s="2">
        <v>197</v>
      </c>
      <c r="AB324" s="2">
        <v>187.55</v>
      </c>
      <c r="AC324" s="2">
        <v>197.7</v>
      </c>
      <c r="AD324" s="2">
        <v>188.78000000000003</v>
      </c>
      <c r="AE324" s="10">
        <f t="shared" si="815"/>
        <v>0.74216997276180041</v>
      </c>
      <c r="AF324" s="74">
        <f t="shared" si="816"/>
        <v>0.71340175642041603</v>
      </c>
      <c r="AG324" s="14">
        <f t="shared" ref="AG324" si="825">Y324/24/31/10</f>
        <v>0.23310661058190774</v>
      </c>
      <c r="AH324" s="14">
        <f t="shared" ref="AH324" si="826">Z324/24/31/10</f>
        <v>0.21213709677419357</v>
      </c>
      <c r="AI324" s="10">
        <v>0.98499999999999999</v>
      </c>
      <c r="AJ324" s="11">
        <v>0.97660322580645187</v>
      </c>
      <c r="AK324" s="10">
        <v>0.99</v>
      </c>
      <c r="AL324" s="17">
        <v>1</v>
      </c>
      <c r="AM324" s="83"/>
      <c r="AN324" s="81">
        <f t="shared" si="817"/>
        <v>-8.995675307262907E-2</v>
      </c>
      <c r="AO324" s="10">
        <f t="shared" si="818"/>
        <v>-4.5118866970156546E-2</v>
      </c>
      <c r="AP324" s="10">
        <f t="shared" si="819"/>
        <v>-8.3967741935481177E-3</v>
      </c>
      <c r="AQ324" s="10">
        <f t="shared" si="820"/>
        <v>1.0000000000000009E-2</v>
      </c>
      <c r="AR324" s="23">
        <v>-7.9000000000000008E-3</v>
      </c>
      <c r="BN324" s="95"/>
    </row>
    <row r="325" spans="2:66" hidden="1">
      <c r="B325" s="5">
        <v>44742</v>
      </c>
      <c r="C325" s="114">
        <v>1560.2410690056954</v>
      </c>
      <c r="D325" s="2">
        <v>1383.7619999999999</v>
      </c>
      <c r="E325" s="2">
        <v>178.9</v>
      </c>
      <c r="F325" s="2">
        <v>167.48000000000002</v>
      </c>
      <c r="G325" s="2">
        <v>177.2</v>
      </c>
      <c r="H325" s="2">
        <v>166.64999999999998</v>
      </c>
      <c r="I325" s="10">
        <f t="shared" si="809"/>
        <v>0.74492150361407561</v>
      </c>
      <c r="J325" s="10">
        <f t="shared" si="810"/>
        <v>0.69426995830549476</v>
      </c>
      <c r="K325" s="14">
        <f>C325/24/30/10</f>
        <v>0.21670014847301328</v>
      </c>
      <c r="L325" s="14">
        <f>D325/24/30/10</f>
        <v>0.19218916666666666</v>
      </c>
      <c r="M325" s="11">
        <v>0.98499999999999999</v>
      </c>
      <c r="N325" s="82">
        <v>0.99665870133333334</v>
      </c>
      <c r="O325" s="10">
        <v>0.99</v>
      </c>
      <c r="P325" s="17">
        <v>0.99919999999999998</v>
      </c>
      <c r="Q325" s="83"/>
      <c r="R325" s="81">
        <f t="shared" si="823"/>
        <v>-0.11311012926878117</v>
      </c>
      <c r="S325" s="10">
        <f t="shared" si="812"/>
        <v>-5.9537246049661485E-2</v>
      </c>
      <c r="T325" s="10">
        <f t="shared" si="824"/>
        <v>1.1658701333333354E-2</v>
      </c>
      <c r="U325" s="10">
        <f t="shared" si="814"/>
        <v>9.199999999999986E-3</v>
      </c>
      <c r="V325" s="23">
        <v>-1.14E-2</v>
      </c>
      <c r="W325" s="83"/>
      <c r="X325" s="5">
        <v>44742</v>
      </c>
      <c r="Y325" s="43">
        <v>1556.8683746244865</v>
      </c>
      <c r="Z325" s="2">
        <v>1423.62</v>
      </c>
      <c r="AA325" s="2">
        <v>178.9</v>
      </c>
      <c r="AB325" s="2">
        <v>169.21000000000006</v>
      </c>
      <c r="AC325" s="2">
        <v>177.2</v>
      </c>
      <c r="AD325" s="2">
        <v>169.51000000000002</v>
      </c>
      <c r="AE325" s="10">
        <f t="shared" si="815"/>
        <v>0.74331124439222196</v>
      </c>
      <c r="AF325" s="10">
        <f t="shared" si="816"/>
        <v>0.70244659003971577</v>
      </c>
      <c r="AG325" s="14">
        <f>Y325/24/30/10</f>
        <v>0.21623171869784535</v>
      </c>
      <c r="AH325" s="14">
        <f>Z325/24/30/10</f>
        <v>0.19772499999999998</v>
      </c>
      <c r="AI325" s="10">
        <v>0.98499999999999999</v>
      </c>
      <c r="AJ325" s="11">
        <v>0.99633228215555547</v>
      </c>
      <c r="AK325" s="10">
        <v>0.99</v>
      </c>
      <c r="AL325" s="17">
        <v>0.99920666666666658</v>
      </c>
      <c r="AM325" s="83"/>
      <c r="AN325" s="81">
        <f t="shared" si="817"/>
        <v>-8.5587437445780123E-2</v>
      </c>
      <c r="AO325" s="10">
        <f t="shared" si="818"/>
        <v>-4.3397291196388132E-2</v>
      </c>
      <c r="AP325" s="10">
        <f t="shared" si="819"/>
        <v>1.1332282155555484E-2</v>
      </c>
      <c r="AQ325" s="10">
        <f t="shared" si="820"/>
        <v>9.2066666666665853E-3</v>
      </c>
      <c r="AR325" s="23">
        <v>-1.32E-2</v>
      </c>
    </row>
    <row r="326" spans="2:66" hidden="1">
      <c r="B326" s="5">
        <v>44773</v>
      </c>
      <c r="C326" s="114">
        <v>1383.9832882995765</v>
      </c>
      <c r="D326" s="2">
        <v>1309.74</v>
      </c>
      <c r="E326" s="2">
        <v>155.5</v>
      </c>
      <c r="F326" s="2">
        <v>150.19</v>
      </c>
      <c r="G326" s="2">
        <v>154.6</v>
      </c>
      <c r="H326" s="2">
        <v>151.57000000000002</v>
      </c>
      <c r="I326" s="10">
        <f t="shared" si="809"/>
        <v>0.75736264334770176</v>
      </c>
      <c r="J326" s="10">
        <f t="shared" si="810"/>
        <v>0.73660823026617239</v>
      </c>
      <c r="K326" s="14">
        <f>C326/24/31/10</f>
        <v>0.18601925918005061</v>
      </c>
      <c r="L326" s="14">
        <f>D326/24/31/10</f>
        <v>0.17604032258064514</v>
      </c>
      <c r="M326" s="11">
        <v>0.98499999999999999</v>
      </c>
      <c r="N326" s="82">
        <v>0.97758387096774213</v>
      </c>
      <c r="O326" s="10">
        <v>0.99</v>
      </c>
      <c r="P326" s="17">
        <v>1</v>
      </c>
      <c r="Q326" s="83"/>
      <c r="R326" s="81">
        <f t="shared" si="823"/>
        <v>-5.3644642191305048E-2</v>
      </c>
      <c r="S326" s="10">
        <f t="shared" si="812"/>
        <v>-1.959896507115122E-2</v>
      </c>
      <c r="T326" s="10">
        <f t="shared" si="824"/>
        <v>-7.4161290322578566E-3</v>
      </c>
      <c r="U326" s="10">
        <f t="shared" si="814"/>
        <v>1.0000000000000009E-2</v>
      </c>
      <c r="V326" s="23">
        <v>-6.7999999999999996E-3</v>
      </c>
      <c r="W326" s="83"/>
      <c r="X326" s="5">
        <v>44773</v>
      </c>
      <c r="Y326" s="43">
        <v>1378.2246151134657</v>
      </c>
      <c r="Z326" s="2">
        <v>1275.42</v>
      </c>
      <c r="AA326" s="2">
        <v>155.5</v>
      </c>
      <c r="AB326" s="2">
        <v>150.62999999999997</v>
      </c>
      <c r="AC326" s="2">
        <v>154.6</v>
      </c>
      <c r="AD326" s="2">
        <v>152.83999999999997</v>
      </c>
      <c r="AE326" s="10">
        <f t="shared" si="815"/>
        <v>0.75421130186599428</v>
      </c>
      <c r="AF326" s="10">
        <f t="shared" si="816"/>
        <v>0.75300532619225791</v>
      </c>
      <c r="AG326" s="14">
        <f>Y326/24/31/10</f>
        <v>0.18524524396686368</v>
      </c>
      <c r="AH326" s="14">
        <f>Z326/24/31/10</f>
        <v>0.17142741935483871</v>
      </c>
      <c r="AI326" s="10">
        <v>0.98499999999999999</v>
      </c>
      <c r="AJ326" s="11">
        <v>0.9235000000000001</v>
      </c>
      <c r="AK326" s="10">
        <v>0.99</v>
      </c>
      <c r="AL326" s="17">
        <v>1</v>
      </c>
      <c r="AM326" s="83"/>
      <c r="AN326" s="81">
        <f t="shared" si="817"/>
        <v>-7.4592061399949672E-2</v>
      </c>
      <c r="AO326" s="10">
        <f t="shared" si="818"/>
        <v>-1.1384217335058344E-2</v>
      </c>
      <c r="AP326" s="10">
        <f t="shared" si="819"/>
        <v>-6.1499999999999888E-2</v>
      </c>
      <c r="AQ326" s="10">
        <f t="shared" si="820"/>
        <v>1.0000000000000009E-2</v>
      </c>
      <c r="AR326" s="23">
        <v>-6.3E-3</v>
      </c>
    </row>
    <row r="327" spans="2:66" hidden="1">
      <c r="B327" s="5">
        <v>44804</v>
      </c>
      <c r="C327" s="114">
        <v>1314.7391601650295</v>
      </c>
      <c r="D327" s="2">
        <v>1383.81</v>
      </c>
      <c r="E327" s="2">
        <v>145.4</v>
      </c>
      <c r="F327" s="2">
        <v>155.39000000000001</v>
      </c>
      <c r="G327" s="2">
        <v>146.30000000000001</v>
      </c>
      <c r="H327" s="2">
        <v>162.41</v>
      </c>
      <c r="I327" s="10">
        <f t="shared" si="809"/>
        <v>0.76028740527196481</v>
      </c>
      <c r="J327" s="10">
        <f t="shared" si="810"/>
        <v>0.72557370541744359</v>
      </c>
      <c r="K327" s="14">
        <f>C327/24/31/10</f>
        <v>0.17671225271035343</v>
      </c>
      <c r="L327" s="14">
        <f>D327/24/31/10</f>
        <v>0.18599596774193547</v>
      </c>
      <c r="M327" s="11">
        <v>0.98499999999999999</v>
      </c>
      <c r="N327" s="82">
        <v>0.97859032258064516</v>
      </c>
      <c r="O327" s="10">
        <v>0.99</v>
      </c>
      <c r="P327" s="17">
        <v>1</v>
      </c>
      <c r="Q327" s="83"/>
      <c r="R327" s="81">
        <f t="shared" si="823"/>
        <v>5.2535774340440655E-2</v>
      </c>
      <c r="S327" s="10">
        <f t="shared" si="812"/>
        <v>0.11011619958988361</v>
      </c>
      <c r="T327" s="10">
        <f t="shared" si="824"/>
        <v>-6.4096774193548312E-3</v>
      </c>
      <c r="U327" s="10">
        <f t="shared" si="814"/>
        <v>1.0000000000000009E-2</v>
      </c>
      <c r="V327" s="23">
        <v>-1.29E-2</v>
      </c>
      <c r="W327" s="83"/>
      <c r="X327" s="5">
        <v>44804</v>
      </c>
      <c r="Y327" s="43">
        <v>1308.0859578557829</v>
      </c>
      <c r="Z327" s="2">
        <v>1422.354</v>
      </c>
      <c r="AA327" s="2">
        <v>145.4</v>
      </c>
      <c r="AB327" s="2">
        <v>160.46</v>
      </c>
      <c r="AC327" s="2">
        <v>146.30000000000001</v>
      </c>
      <c r="AD327" s="2">
        <v>163.84</v>
      </c>
      <c r="AE327" s="10">
        <f t="shared" si="815"/>
        <v>0.75643999121927052</v>
      </c>
      <c r="AF327" s="10">
        <f t="shared" si="816"/>
        <v>0.74484534110532119</v>
      </c>
      <c r="AG327" s="14">
        <f>Y327/24/31/10</f>
        <v>0.17581800508814288</v>
      </c>
      <c r="AH327" s="14">
        <f>Z327/24/31/10</f>
        <v>0.1911766129032258</v>
      </c>
      <c r="AI327" s="10">
        <v>0.98499999999999999</v>
      </c>
      <c r="AJ327" s="11">
        <v>0.97127096774193566</v>
      </c>
      <c r="AK327" s="10">
        <v>0.99</v>
      </c>
      <c r="AL327" s="17">
        <v>1</v>
      </c>
      <c r="AM327" s="83"/>
      <c r="AN327" s="81">
        <f t="shared" si="817"/>
        <v>8.7355147769895503E-2</v>
      </c>
      <c r="AO327" s="10">
        <f t="shared" si="818"/>
        <v>0.11989063568010927</v>
      </c>
      <c r="AP327" s="10">
        <f t="shared" si="819"/>
        <v>-1.3729032258064322E-2</v>
      </c>
      <c r="AQ327" s="10">
        <f t="shared" si="820"/>
        <v>1.0000000000000009E-2</v>
      </c>
      <c r="AR327" s="23">
        <v>-1.2E-2</v>
      </c>
    </row>
    <row r="328" spans="2:66" hidden="1">
      <c r="B328" s="5">
        <v>44834</v>
      </c>
      <c r="C328" s="114">
        <v>1308.4442394255254</v>
      </c>
      <c r="D328" s="2">
        <v>1154.8679999999999</v>
      </c>
      <c r="E328" s="2">
        <v>141.6</v>
      </c>
      <c r="F328" s="2">
        <v>124.96999999999997</v>
      </c>
      <c r="G328" s="2">
        <v>145.5</v>
      </c>
      <c r="H328" s="2">
        <v>137.80000000000001</v>
      </c>
      <c r="I328" s="10">
        <f t="shared" si="809"/>
        <v>0.7608074376969115</v>
      </c>
      <c r="J328" s="10">
        <f t="shared" si="810"/>
        <v>0.7092813305682143</v>
      </c>
      <c r="K328" s="14">
        <f>C328/24/30/10</f>
        <v>0.18172836658687855</v>
      </c>
      <c r="L328" s="14">
        <f>D328/24/30/10</f>
        <v>0.16039833333333331</v>
      </c>
      <c r="M328" s="11">
        <v>0.98499999999999999</v>
      </c>
      <c r="N328" s="82">
        <v>0.98465333333333349</v>
      </c>
      <c r="O328" s="10">
        <v>0.99</v>
      </c>
      <c r="P328" s="17">
        <v>1</v>
      </c>
      <c r="Q328" s="83"/>
      <c r="R328" s="81">
        <f t="shared" si="823"/>
        <v>-0.11737316333247294</v>
      </c>
      <c r="S328" s="10">
        <f t="shared" si="812"/>
        <v>-5.2920962199312638E-2</v>
      </c>
      <c r="T328" s="10">
        <f t="shared" si="824"/>
        <v>-3.4666666666649526E-4</v>
      </c>
      <c r="U328" s="10">
        <f t="shared" si="814"/>
        <v>1.0000000000000009E-2</v>
      </c>
      <c r="V328" s="23">
        <v>-1.03E-2</v>
      </c>
      <c r="W328" s="83"/>
      <c r="X328" s="5">
        <v>44834</v>
      </c>
      <c r="Y328" s="43">
        <v>1303.8896279343833</v>
      </c>
      <c r="Z328" s="2">
        <v>1194.492</v>
      </c>
      <c r="AA328" s="2">
        <v>141.6</v>
      </c>
      <c r="AB328" s="2">
        <v>130.42000000000002</v>
      </c>
      <c r="AC328" s="2">
        <v>145.5</v>
      </c>
      <c r="AD328" s="2">
        <v>138.44000000000003</v>
      </c>
      <c r="AE328" s="10">
        <f t="shared" si="815"/>
        <v>0.75815911521294987</v>
      </c>
      <c r="AF328" s="10">
        <f t="shared" si="816"/>
        <v>0.73223344249189082</v>
      </c>
      <c r="AG328" s="14">
        <f>Y328/24/30/10</f>
        <v>0.18109578165755322</v>
      </c>
      <c r="AH328" s="14">
        <f>Z328/24/30/10</f>
        <v>0.16590166666666667</v>
      </c>
      <c r="AI328" s="10">
        <v>0.98499999999999999</v>
      </c>
      <c r="AJ328" s="11">
        <v>0.98195333333333334</v>
      </c>
      <c r="AK328" s="10">
        <v>0.99</v>
      </c>
      <c r="AL328" s="17">
        <v>1</v>
      </c>
      <c r="AM328" s="83"/>
      <c r="AN328" s="81">
        <f t="shared" si="817"/>
        <v>-8.3900987929239501E-2</v>
      </c>
      <c r="AO328" s="10">
        <f t="shared" si="818"/>
        <v>-4.8522336769759256E-2</v>
      </c>
      <c r="AP328" s="10">
        <f t="shared" si="819"/>
        <v>-3.046666666666642E-3</v>
      </c>
      <c r="AQ328" s="10">
        <f t="shared" si="820"/>
        <v>1.0000000000000009E-2</v>
      </c>
      <c r="AR328" s="23">
        <v>-9.1999999999999998E-3</v>
      </c>
    </row>
    <row r="329" spans="2:66" hidden="1">
      <c r="B329" s="5">
        <v>44865</v>
      </c>
      <c r="C329" s="114">
        <v>1496.3925872192951</v>
      </c>
      <c r="D329" s="2">
        <v>1354.242</v>
      </c>
      <c r="E329" s="2">
        <v>139.1</v>
      </c>
      <c r="F329" s="2">
        <v>131.32999999999998</v>
      </c>
      <c r="G329" s="2">
        <v>172.2</v>
      </c>
      <c r="H329" s="2">
        <v>163.07999999999998</v>
      </c>
      <c r="I329" s="10">
        <f t="shared" si="809"/>
        <v>0.7351821000741352</v>
      </c>
      <c r="J329" s="10">
        <f t="shared" si="810"/>
        <v>0.69467979645126221</v>
      </c>
      <c r="K329" s="14">
        <f>C329/24/31/10</f>
        <v>0.20112803591657191</v>
      </c>
      <c r="L329" s="14">
        <f>D329/24/31/10</f>
        <v>0.1820217741935484</v>
      </c>
      <c r="M329" s="11">
        <v>0.98499999999999999</v>
      </c>
      <c r="N329" s="82">
        <v>0.99616129032258072</v>
      </c>
      <c r="O329" s="10">
        <v>0.99</v>
      </c>
      <c r="P329" s="17">
        <v>1</v>
      </c>
      <c r="Q329" s="83"/>
      <c r="R329" s="81">
        <f t="shared" si="823"/>
        <v>-9.4995516840570393E-2</v>
      </c>
      <c r="S329" s="10">
        <f t="shared" si="812"/>
        <v>-5.2961672473867627E-2</v>
      </c>
      <c r="T329" s="10">
        <f t="shared" si="824"/>
        <v>1.116129032258073E-2</v>
      </c>
      <c r="U329" s="10">
        <f t="shared" si="814"/>
        <v>1.0000000000000009E-2</v>
      </c>
      <c r="V329" s="23">
        <v>-1.75064168557344E-2</v>
      </c>
      <c r="W329" s="83"/>
      <c r="X329" s="5">
        <v>44865</v>
      </c>
      <c r="Y329" s="43">
        <v>1493.9234258034892</v>
      </c>
      <c r="Z329" s="2">
        <v>1396.3920000000001</v>
      </c>
      <c r="AA329" s="2">
        <v>139.1</v>
      </c>
      <c r="AB329" s="2">
        <v>131.51999999999998</v>
      </c>
      <c r="AC329" s="2">
        <v>172.2</v>
      </c>
      <c r="AD329" s="2">
        <v>161.66999999999999</v>
      </c>
      <c r="AE329" s="10">
        <f t="shared" si="815"/>
        <v>0.73396899377395808</v>
      </c>
      <c r="AF329" s="10">
        <f t="shared" si="816"/>
        <v>0.72460398494793932</v>
      </c>
      <c r="AG329" s="14">
        <f>Y329/24/31/10</f>
        <v>0.20079615938218942</v>
      </c>
      <c r="AH329" s="14">
        <f>Z329/24/31/10</f>
        <v>0.18768709677419354</v>
      </c>
      <c r="AI329" s="10">
        <v>0.98499999999999999</v>
      </c>
      <c r="AJ329" s="11">
        <v>0.99333548387096782</v>
      </c>
      <c r="AK329" s="10">
        <v>0.99</v>
      </c>
      <c r="AL329" s="17">
        <v>0.99724193548387097</v>
      </c>
      <c r="AM329" s="83"/>
      <c r="AN329" s="81">
        <f t="shared" si="817"/>
        <v>-6.5285425021722965E-2</v>
      </c>
      <c r="AO329" s="10">
        <f t="shared" si="818"/>
        <v>-6.11498257839721E-2</v>
      </c>
      <c r="AP329" s="10">
        <f t="shared" si="819"/>
        <v>8.3354838709678303E-3</v>
      </c>
      <c r="AQ329" s="10">
        <f t="shared" si="820"/>
        <v>7.241935483870976E-3</v>
      </c>
      <c r="AR329" s="23">
        <v>-1.59264847685519E-2</v>
      </c>
    </row>
    <row r="330" spans="2:66" hidden="1">
      <c r="B330" s="5">
        <v>44895</v>
      </c>
      <c r="C330" s="114">
        <v>1327.3290016440376</v>
      </c>
      <c r="D330" s="2">
        <v>1104.846</v>
      </c>
      <c r="E330" s="2">
        <v>108.1</v>
      </c>
      <c r="F330" s="2">
        <v>91.19</v>
      </c>
      <c r="G330" s="2">
        <v>152.1</v>
      </c>
      <c r="H330" s="2">
        <v>137.23000000000002</v>
      </c>
      <c r="I330" s="10">
        <f t="shared" si="809"/>
        <v>0.73829834190706178</v>
      </c>
      <c r="J330" s="10">
        <f t="shared" si="810"/>
        <v>0.67261832162777002</v>
      </c>
      <c r="K330" s="14">
        <f>C330/24/30/10</f>
        <v>0.18435125022833856</v>
      </c>
      <c r="L330" s="14">
        <f>D330/24/30/10</f>
        <v>0.15345083333333334</v>
      </c>
      <c r="M330" s="11">
        <v>0.98499999999999999</v>
      </c>
      <c r="N330" s="82">
        <v>0.99747666666666679</v>
      </c>
      <c r="O330" s="10">
        <v>0.99</v>
      </c>
      <c r="P330" s="17">
        <v>1</v>
      </c>
      <c r="Q330" s="83"/>
      <c r="R330" s="81">
        <f t="shared" si="823"/>
        <v>-0.16761707260857617</v>
      </c>
      <c r="S330" s="10">
        <f t="shared" si="812"/>
        <v>-9.7764628533859144E-2</v>
      </c>
      <c r="T330" s="10">
        <f t="shared" si="824"/>
        <v>1.2476666666666802E-2</v>
      </c>
      <c r="U330" s="10">
        <f t="shared" si="814"/>
        <v>1.0000000000000009E-2</v>
      </c>
      <c r="V330" s="23">
        <v>-2.52E-2</v>
      </c>
      <c r="W330" s="83"/>
      <c r="X330" s="5">
        <v>44895</v>
      </c>
      <c r="Y330" s="43">
        <v>1322.4733747291539</v>
      </c>
      <c r="Z330" s="2">
        <v>1157.7180000000001</v>
      </c>
      <c r="AA330" s="2">
        <v>108.1</v>
      </c>
      <c r="AB330" s="2">
        <v>100.87</v>
      </c>
      <c r="AC330" s="2">
        <v>152.1</v>
      </c>
      <c r="AD330" s="2">
        <v>138.27000000000001</v>
      </c>
      <c r="AE330" s="10">
        <f t="shared" si="815"/>
        <v>0.7355975033841804</v>
      </c>
      <c r="AF330" s="10">
        <f t="shared" si="816"/>
        <v>0.70040379823680465</v>
      </c>
      <c r="AG330" s="14">
        <f>Y330/24/30/10</f>
        <v>0.18367685760127136</v>
      </c>
      <c r="AH330" s="14">
        <f>Z330/24/30/10</f>
        <v>0.16079416666666665</v>
      </c>
      <c r="AI330" s="10">
        <v>0.98499999999999999</v>
      </c>
      <c r="AJ330" s="11">
        <v>0.99619666666666662</v>
      </c>
      <c r="AK330" s="10">
        <v>0.99</v>
      </c>
      <c r="AL330" s="17">
        <v>1</v>
      </c>
      <c r="AM330" s="83"/>
      <c r="AN330" s="81">
        <f t="shared" si="817"/>
        <v>-0.12458124139013094</v>
      </c>
      <c r="AO330" s="10">
        <f t="shared" si="818"/>
        <v>-9.092702169625233E-2</v>
      </c>
      <c r="AP330" s="10">
        <f t="shared" si="819"/>
        <v>1.1196666666666633E-2</v>
      </c>
      <c r="AQ330" s="10">
        <f t="shared" si="820"/>
        <v>1.0000000000000009E-2</v>
      </c>
      <c r="AR330" s="23">
        <v>-2.4799999999999999E-2</v>
      </c>
    </row>
    <row r="331" spans="2:66" hidden="1">
      <c r="B331" s="5">
        <v>44926</v>
      </c>
      <c r="C331" s="114">
        <v>1116.8987940663249</v>
      </c>
      <c r="D331" s="2">
        <v>962.65800000000002</v>
      </c>
      <c r="E331" s="2">
        <v>89.9</v>
      </c>
      <c r="F331" s="2">
        <v>72.790000000000006</v>
      </c>
      <c r="G331" s="2">
        <v>129.6</v>
      </c>
      <c r="H331" s="2">
        <v>115.19000000000001</v>
      </c>
      <c r="I331" s="10">
        <f t="shared" si="809"/>
        <v>0.72910712779287368</v>
      </c>
      <c r="J331" s="10">
        <f t="shared" si="810"/>
        <v>0.69724859527952243</v>
      </c>
      <c r="K331" s="14">
        <f>C331/24/31/10</f>
        <v>0.15012080565407593</v>
      </c>
      <c r="L331" s="14">
        <f>D331/24/31/10</f>
        <v>0.12938951612903227</v>
      </c>
      <c r="M331" s="11">
        <v>0.98499999999999999</v>
      </c>
      <c r="N331" s="82">
        <v>0.99882258064516127</v>
      </c>
      <c r="O331" s="10">
        <v>0.99</v>
      </c>
      <c r="P331" s="17">
        <v>1</v>
      </c>
      <c r="Q331" s="83"/>
      <c r="R331" s="81">
        <f t="shared" si="823"/>
        <v>-0.13809737720709325</v>
      </c>
      <c r="S331" s="10">
        <f t="shared" si="812"/>
        <v>-0.11118827160493816</v>
      </c>
      <c r="T331" s="10">
        <f t="shared" si="824"/>
        <v>1.3822580645161286E-2</v>
      </c>
      <c r="U331" s="10">
        <f t="shared" si="814"/>
        <v>1.0000000000000009E-2</v>
      </c>
      <c r="V331" s="23">
        <v>-1.9599999999999999E-2</v>
      </c>
      <c r="W331" s="83"/>
      <c r="X331" s="5">
        <v>44926</v>
      </c>
      <c r="Y331" s="43">
        <v>1110.2589758469346</v>
      </c>
      <c r="Z331" s="2">
        <v>1017.876</v>
      </c>
      <c r="AA331" s="2">
        <v>89.9</v>
      </c>
      <c r="AB331" s="2">
        <v>84.870000000000033</v>
      </c>
      <c r="AC331" s="2">
        <v>129.6</v>
      </c>
      <c r="AD331" s="2">
        <v>120.86</v>
      </c>
      <c r="AE331" s="10">
        <f>Y331/12/AC331/AI331</f>
        <v>0.72477268064625144</v>
      </c>
      <c r="AF331" s="10">
        <f t="shared" si="816"/>
        <v>0.70595040141303855</v>
      </c>
      <c r="AG331" s="41">
        <f>Y331/24/31/10</f>
        <v>0.14922835696867401</v>
      </c>
      <c r="AH331" s="41">
        <f>Z331/24/31/10</f>
        <v>0.13681129032258063</v>
      </c>
      <c r="AI331" s="11">
        <v>0.98499999999999999</v>
      </c>
      <c r="AJ331" s="82">
        <v>0.9941612903225806</v>
      </c>
      <c r="AK331" s="10">
        <v>0.99</v>
      </c>
      <c r="AL331" s="17">
        <v>1</v>
      </c>
      <c r="AM331" s="83"/>
      <c r="AN331" s="81">
        <f t="shared" si="817"/>
        <v>-8.3208492664031408E-2</v>
      </c>
      <c r="AO331" s="10">
        <f t="shared" si="818"/>
        <v>-6.7438271604938205E-2</v>
      </c>
      <c r="AP331" s="10">
        <f t="shared" si="819"/>
        <v>9.1612903225806175E-3</v>
      </c>
      <c r="AQ331" s="10">
        <f t="shared" si="820"/>
        <v>1.0000000000000009E-2</v>
      </c>
      <c r="AR331" s="23">
        <v>-2.23E-2</v>
      </c>
    </row>
    <row r="332" spans="2:66" hidden="1">
      <c r="B332" s="5">
        <v>44957</v>
      </c>
      <c r="C332" s="114">
        <v>941.30647640981044</v>
      </c>
      <c r="D332" s="2">
        <v>750.58799999999997</v>
      </c>
      <c r="E332" s="2">
        <v>79.599999999999994</v>
      </c>
      <c r="F332" s="2">
        <v>61.790000000000006</v>
      </c>
      <c r="G332" s="2">
        <v>103.2</v>
      </c>
      <c r="H332" s="2">
        <v>85.230000000000018</v>
      </c>
      <c r="I332" s="10">
        <f t="shared" si="809"/>
        <v>0.77167400904541172</v>
      </c>
      <c r="J332" s="10">
        <f t="shared" si="810"/>
        <v>0.73887336932783487</v>
      </c>
      <c r="K332" s="14">
        <f>C332/24/31/10</f>
        <v>0.12651968768949065</v>
      </c>
      <c r="L332" s="14">
        <f>D332/24/31/10</f>
        <v>0.10088548387096774</v>
      </c>
      <c r="M332" s="11">
        <v>0.98499999999999999</v>
      </c>
      <c r="N332" s="82">
        <v>0.99324838709677421</v>
      </c>
      <c r="O332" s="10">
        <v>0.99</v>
      </c>
      <c r="P332" s="17">
        <v>1</v>
      </c>
      <c r="Q332" s="83">
        <f t="shared" ref="Q332:Q337" si="827">R332-S332</f>
        <v>-2.8482487394725919E-2</v>
      </c>
      <c r="R332" s="81">
        <f t="shared" si="823"/>
        <v>-0.20261039437146999</v>
      </c>
      <c r="S332" s="10">
        <f t="shared" si="812"/>
        <v>-0.17412790697674407</v>
      </c>
      <c r="T332" s="10">
        <f t="shared" si="824"/>
        <v>8.2483870967742234E-3</v>
      </c>
      <c r="U332" s="10">
        <f t="shared" si="814"/>
        <v>1.0000000000000009E-2</v>
      </c>
      <c r="V332" s="23">
        <v>-1.11E-2</v>
      </c>
      <c r="W332" s="83"/>
      <c r="X332" s="5">
        <v>44957</v>
      </c>
      <c r="Y332" s="43">
        <v>934.71135847327776</v>
      </c>
      <c r="Z332" s="2">
        <v>769.66800000000001</v>
      </c>
      <c r="AA332" s="2">
        <v>79.599999999999994</v>
      </c>
      <c r="AB332" s="2">
        <v>66.399999999999991</v>
      </c>
      <c r="AC332" s="2">
        <v>103.2</v>
      </c>
      <c r="AD332" s="2">
        <v>87.009999999999962</v>
      </c>
      <c r="AE332" s="10">
        <f t="shared" si="815"/>
        <v>0.76626739470061067</v>
      </c>
      <c r="AF332" s="10">
        <f t="shared" si="816"/>
        <v>0.74466871187631267</v>
      </c>
      <c r="AG332" s="14">
        <f>Y332/24/31/10</f>
        <v>0.12563324710662332</v>
      </c>
      <c r="AH332" s="14">
        <f>Z332/24/31/10</f>
        <v>0.10345</v>
      </c>
      <c r="AI332" s="10">
        <v>0.98499999999999999</v>
      </c>
      <c r="AJ332" s="11">
        <v>0.98989677419354838</v>
      </c>
      <c r="AK332" s="10">
        <v>0.99</v>
      </c>
      <c r="AL332" s="17">
        <v>0.99762580645161292</v>
      </c>
      <c r="AM332" s="83">
        <f t="shared" ref="AM332:AM337" si="828">AN332-AO332</f>
        <v>-1.9691624912468009E-2</v>
      </c>
      <c r="AN332" s="81">
        <f t="shared" si="817"/>
        <v>-0.17657146987370875</v>
      </c>
      <c r="AO332" s="10">
        <f t="shared" si="818"/>
        <v>-0.15687984496124074</v>
      </c>
      <c r="AP332" s="10">
        <f t="shared" si="819"/>
        <v>4.8967741935483922E-3</v>
      </c>
      <c r="AQ332" s="10">
        <f t="shared" si="820"/>
        <v>7.6258064516129265E-3</v>
      </c>
      <c r="AR332" s="23">
        <v>-1.0800000000000001E-2</v>
      </c>
    </row>
    <row r="333" spans="2:66" ht="14.65" hidden="1" customHeight="1">
      <c r="B333" s="5">
        <v>44985</v>
      </c>
      <c r="C333" s="114">
        <v>1233.0041107345237</v>
      </c>
      <c r="D333" s="2">
        <v>1225.008</v>
      </c>
      <c r="E333" s="2">
        <v>108.1</v>
      </c>
      <c r="F333" s="2">
        <v>104.71000000000002</v>
      </c>
      <c r="G333" s="2">
        <v>137.5</v>
      </c>
      <c r="H333" s="2">
        <v>146.39999999999998</v>
      </c>
      <c r="I333" s="10">
        <f t="shared" si="809"/>
        <v>0.75865504429135433</v>
      </c>
      <c r="J333" s="10">
        <f t="shared" si="810"/>
        <v>0.70020039886804897</v>
      </c>
      <c r="K333" s="14">
        <f>C333/24/28/10</f>
        <v>0.18348275457358981</v>
      </c>
      <c r="L333" s="14">
        <f>D333/24/28/10</f>
        <v>0.18229285714285715</v>
      </c>
      <c r="M333" s="11">
        <v>0.98499999999999999</v>
      </c>
      <c r="N333" s="82">
        <v>0.99585073515306122</v>
      </c>
      <c r="O333" s="10">
        <v>0.99</v>
      </c>
      <c r="P333" s="17">
        <v>0.99800357142857143</v>
      </c>
      <c r="Q333" s="83">
        <f t="shared" si="827"/>
        <v>-7.1212336860400405E-2</v>
      </c>
      <c r="R333" s="81">
        <f t="shared" si="823"/>
        <v>-6.4850641331278824E-3</v>
      </c>
      <c r="S333" s="10">
        <f t="shared" si="812"/>
        <v>6.4727272727272522E-2</v>
      </c>
      <c r="T333" s="10">
        <f t="shared" si="824"/>
        <v>1.0850735153061231E-2</v>
      </c>
      <c r="U333" s="10">
        <f t="shared" si="814"/>
        <v>8.0035714285714432E-3</v>
      </c>
      <c r="V333" s="23">
        <v>-1.8499999999999999E-2</v>
      </c>
      <c r="W333" s="83"/>
      <c r="X333" s="5">
        <v>44985</v>
      </c>
      <c r="Y333" s="43">
        <v>1226.9857374987751</v>
      </c>
      <c r="Z333" s="2">
        <v>1270.92</v>
      </c>
      <c r="AA333" s="2">
        <v>108.1</v>
      </c>
      <c r="AB333" s="2">
        <v>117.49000000000004</v>
      </c>
      <c r="AC333" s="2">
        <v>137.5</v>
      </c>
      <c r="AD333" s="2">
        <v>150.66</v>
      </c>
      <c r="AE333" s="10">
        <f t="shared" si="815"/>
        <v>0.75495199969160132</v>
      </c>
      <c r="AF333" s="10">
        <f t="shared" si="816"/>
        <v>0.70675247896848492</v>
      </c>
      <c r="AG333" s="14">
        <f>Y333/24/28/10</f>
        <v>0.1825871633182701</v>
      </c>
      <c r="AH333" s="14">
        <f>Z333/24/28/10</f>
        <v>0.18912500000000002</v>
      </c>
      <c r="AI333" s="10">
        <v>0.98499999999999999</v>
      </c>
      <c r="AJ333" s="11">
        <v>0.99465315484693895</v>
      </c>
      <c r="AK333" s="10">
        <v>0.99</v>
      </c>
      <c r="AL333" s="17">
        <v>0.99800357142857143</v>
      </c>
      <c r="AM333" s="83">
        <f t="shared" si="828"/>
        <v>-5.9902429789471467E-2</v>
      </c>
      <c r="AN333" s="81">
        <f t="shared" si="817"/>
        <v>3.5806661119619498E-2</v>
      </c>
      <c r="AO333" s="10">
        <f t="shared" si="818"/>
        <v>9.5709090909090966E-2</v>
      </c>
      <c r="AP333" s="10">
        <f t="shared" si="819"/>
        <v>9.6531548469389605E-3</v>
      </c>
      <c r="AQ333" s="10">
        <f t="shared" si="820"/>
        <v>8.0035714285714432E-3</v>
      </c>
      <c r="AR333" s="23">
        <v>-1.6899999999999998E-2</v>
      </c>
    </row>
    <row r="334" spans="2:66" hidden="1">
      <c r="B334" s="5">
        <v>45016</v>
      </c>
      <c r="C334" s="114">
        <v>1649.0758897559706</v>
      </c>
      <c r="D334" s="2">
        <v>1405.32</v>
      </c>
      <c r="E334" s="2">
        <v>161.4</v>
      </c>
      <c r="F334" s="2">
        <v>142.55000000000001</v>
      </c>
      <c r="G334" s="2">
        <v>187.8</v>
      </c>
      <c r="H334" s="2">
        <v>171.12999999999997</v>
      </c>
      <c r="I334" s="10">
        <f t="shared" ref="I334:I335" si="829">C334/12/G334/M334</f>
        <v>0.74289524341694935</v>
      </c>
      <c r="J334" s="10">
        <f t="shared" ref="J334:J335" si="830">D334/12/H334/N334</f>
        <v>0.69331986768689846</v>
      </c>
      <c r="K334" s="14">
        <f>C334/24/31/10</f>
        <v>0.22164998518225412</v>
      </c>
      <c r="L334" s="14">
        <f>D334/24/31/10</f>
        <v>0.18888709677419355</v>
      </c>
      <c r="M334" s="11">
        <v>0.98499999999999999</v>
      </c>
      <c r="N334" s="82">
        <v>0.98703870967741947</v>
      </c>
      <c r="O334" s="10">
        <v>0.99</v>
      </c>
      <c r="P334" s="17">
        <v>1</v>
      </c>
      <c r="Q334" s="83">
        <f t="shared" si="827"/>
        <v>-5.9048984546520966E-2</v>
      </c>
      <c r="R334" s="81">
        <f t="shared" si="823"/>
        <v>-0.14781362778400786</v>
      </c>
      <c r="S334" s="10">
        <f t="shared" ref="S334" si="831">H334/G334-1</f>
        <v>-8.8764643237486895E-2</v>
      </c>
      <c r="T334" s="10">
        <f t="shared" si="824"/>
        <v>2.0387096774194813E-3</v>
      </c>
      <c r="U334" s="10">
        <f t="shared" ref="U334" si="832">P334-O334</f>
        <v>1.0000000000000009E-2</v>
      </c>
      <c r="V334" s="23">
        <v>-1.4200000000000001E-2</v>
      </c>
      <c r="W334" s="83"/>
      <c r="X334" s="5">
        <v>45016</v>
      </c>
      <c r="Y334" s="43">
        <v>1645.7135213271411</v>
      </c>
      <c r="Z334" s="2">
        <v>1471.86</v>
      </c>
      <c r="AA334" s="2">
        <v>150.26999999999998</v>
      </c>
      <c r="AB334" s="2">
        <v>171.93999999999997</v>
      </c>
      <c r="AC334" s="2">
        <v>187.8</v>
      </c>
      <c r="AD334" s="2">
        <v>171.93999999999997</v>
      </c>
      <c r="AE334" s="10">
        <f t="shared" ref="AE334" si="833">Y334/12/AC334/AI334</f>
        <v>0.74138052385315634</v>
      </c>
      <c r="AF334" s="10">
        <f t="shared" ref="AF334" si="834">Z334/12/AD334/AJ334</f>
        <v>0.71662806002276502</v>
      </c>
      <c r="AG334" s="14">
        <f>Y334/24/31/10</f>
        <v>0.22119805394182004</v>
      </c>
      <c r="AH334" s="14">
        <f>Z334/24/31/10</f>
        <v>0.19783064516129029</v>
      </c>
      <c r="AI334" s="10">
        <v>0.98499999999999999</v>
      </c>
      <c r="AJ334" s="11">
        <v>0.99543870967741943</v>
      </c>
      <c r="AK334" s="10">
        <v>0.99</v>
      </c>
      <c r="AL334" s="17">
        <v>1</v>
      </c>
      <c r="AM334" s="83">
        <f t="shared" si="828"/>
        <v>-2.1188665399542783E-2</v>
      </c>
      <c r="AN334" s="81">
        <f t="shared" ref="AN334" si="835">Z334/Y334-1</f>
        <v>-0.10564020959549614</v>
      </c>
      <c r="AO334" s="10">
        <f t="shared" ref="AO334" si="836">AD334/AC334-1</f>
        <v>-8.4451544195953354E-2</v>
      </c>
      <c r="AP334" s="10">
        <f t="shared" ref="AP334" si="837">AJ334-AI334</f>
        <v>1.0438709677419444E-2</v>
      </c>
      <c r="AQ334" s="10">
        <f t="shared" ref="AQ334" si="838">AL334-AK334</f>
        <v>1.0000000000000009E-2</v>
      </c>
      <c r="AR334" s="23">
        <v>-1.0200000000000001E-2</v>
      </c>
    </row>
    <row r="335" spans="2:66" hidden="1">
      <c r="B335" s="5">
        <f>EOMONTH(B334,1)</f>
        <v>45046</v>
      </c>
      <c r="C335" s="114">
        <v>1703.6573489394289</v>
      </c>
      <c r="D335" s="2">
        <v>1495.83</v>
      </c>
      <c r="E335" s="2">
        <v>190.2</v>
      </c>
      <c r="F335" s="2">
        <v>179.47999999999996</v>
      </c>
      <c r="G335" s="2">
        <v>194</v>
      </c>
      <c r="H335" s="2">
        <v>187.25</v>
      </c>
      <c r="I335" s="10">
        <f t="shared" si="829"/>
        <v>0.74295591472579625</v>
      </c>
      <c r="J335" s="10">
        <f t="shared" si="830"/>
        <v>0.68223140143623928</v>
      </c>
      <c r="K335" s="14">
        <f t="shared" ref="K335:K347" si="839">C335/24/DAY(B335)/10</f>
        <v>0.23661907624158734</v>
      </c>
      <c r="L335" s="14">
        <f t="shared" ref="L335:L347" si="840">D335/24/DAY(B335)/10</f>
        <v>0.20775416666666663</v>
      </c>
      <c r="M335" s="11">
        <v>0.98499999999999999</v>
      </c>
      <c r="N335" s="82">
        <v>0.97577000000000003</v>
      </c>
      <c r="O335" s="10">
        <v>0.99</v>
      </c>
      <c r="P335" s="17">
        <v>1</v>
      </c>
      <c r="Q335" s="83">
        <f t="shared" si="827"/>
        <v>-8.7195122525963287E-2</v>
      </c>
      <c r="R335" s="81">
        <f t="shared" ref="R335:R337" si="841">D335/C335-1</f>
        <v>-0.12198893695895296</v>
      </c>
      <c r="S335" s="10">
        <f t="shared" ref="S335:S337" si="842">H335/G335-1</f>
        <v>-3.4793814432989678E-2</v>
      </c>
      <c r="T335" s="10">
        <f t="shared" ref="T335:T337" si="843">N335-M335</f>
        <v>-9.2299999999999605E-3</v>
      </c>
      <c r="U335" s="10">
        <f t="shared" ref="U335:U337" si="844">P335-O335</f>
        <v>1.0000000000000009E-2</v>
      </c>
      <c r="V335" s="23">
        <v>-2.5373395155103232E-2</v>
      </c>
      <c r="W335" s="83"/>
      <c r="X335" s="5">
        <f>EOMONTH(X334,1)</f>
        <v>45046</v>
      </c>
      <c r="Y335" s="43">
        <v>1702.9754404831567</v>
      </c>
      <c r="Z335" s="2">
        <v>1568.556</v>
      </c>
      <c r="AA335" s="2">
        <v>190.2</v>
      </c>
      <c r="AB335" s="2">
        <v>184.35000000000002</v>
      </c>
      <c r="AC335" s="2">
        <v>194</v>
      </c>
      <c r="AD335" s="2">
        <v>189.76</v>
      </c>
      <c r="AE335" s="10">
        <f t="shared" ref="AE335:AE337" si="845">Y335/12/AC335/AI335</f>
        <v>0.74265853807244264</v>
      </c>
      <c r="AF335" s="10">
        <f t="shared" ref="AF335:AF337" si="846">Z335/12/AD335/AJ335</f>
        <v>0.70417728613399988</v>
      </c>
      <c r="AG335" s="14">
        <f>Y335/24/DAY(X335)/10</f>
        <v>0.23652436673377175</v>
      </c>
      <c r="AH335" s="14">
        <f>Z335/24/DAY(X335)/10</f>
        <v>0.21785499999999999</v>
      </c>
      <c r="AI335" s="10">
        <v>0.98499999999999999</v>
      </c>
      <c r="AJ335" s="11">
        <v>0.97820999999999991</v>
      </c>
      <c r="AK335" s="10">
        <v>0.99</v>
      </c>
      <c r="AL335" s="17">
        <v>1</v>
      </c>
      <c r="AM335" s="83">
        <f t="shared" si="828"/>
        <v>-5.7076437364657839E-2</v>
      </c>
      <c r="AN335" s="81">
        <f t="shared" ref="AN335:AN337" si="847">Z335/Y335-1</f>
        <v>-7.8932107467750701E-2</v>
      </c>
      <c r="AO335" s="10">
        <f t="shared" ref="AO335:AO337" si="848">AD335/AC335-1</f>
        <v>-2.1855670103092861E-2</v>
      </c>
      <c r="AP335" s="10">
        <f t="shared" ref="AP335:AP337" si="849">AJ335-AI335</f>
        <v>-6.7900000000000738E-3</v>
      </c>
      <c r="AQ335" s="10">
        <f t="shared" ref="AQ335:AQ337" si="850">AL335-AK335</f>
        <v>1.0000000000000009E-2</v>
      </c>
      <c r="AR335" s="23">
        <v>-2.5341325165222434E-2</v>
      </c>
    </row>
    <row r="336" spans="2:66" hidden="1">
      <c r="B336" s="5">
        <f t="shared" ref="B336:B367" si="851">EOMONTH(B335,1)</f>
        <v>45077</v>
      </c>
      <c r="C336" s="114">
        <v>1726.0267994244525</v>
      </c>
      <c r="D336" s="2">
        <v>1501.644</v>
      </c>
      <c r="E336" s="2">
        <v>197</v>
      </c>
      <c r="F336" s="2">
        <v>194.24</v>
      </c>
      <c r="G336" s="2">
        <v>197.7</v>
      </c>
      <c r="H336" s="2">
        <v>191.43</v>
      </c>
      <c r="I336" s="10">
        <f t="shared" ref="I336:I337" si="852">C336/12/G336/M336</f>
        <v>0.73862395527605229</v>
      </c>
      <c r="J336" s="10">
        <f t="shared" ref="J336:J337" si="853">D336/12/H336/N336</f>
        <v>0.68455265741782634</v>
      </c>
      <c r="K336" s="14">
        <f t="shared" si="839"/>
        <v>0.23199284938500705</v>
      </c>
      <c r="L336" s="14">
        <f t="shared" si="840"/>
        <v>0.20183387096774194</v>
      </c>
      <c r="M336" s="11">
        <v>0.98499999999999999</v>
      </c>
      <c r="N336" s="82">
        <v>0.954924155005203</v>
      </c>
      <c r="O336" s="10">
        <v>0.99</v>
      </c>
      <c r="P336" s="17">
        <v>0.99396451612903225</v>
      </c>
      <c r="Q336" s="83">
        <f t="shared" si="827"/>
        <v>-9.8284884152421426E-2</v>
      </c>
      <c r="R336" s="81">
        <f t="shared" si="841"/>
        <v>-0.12999960342404504</v>
      </c>
      <c r="S336" s="10">
        <f t="shared" si="842"/>
        <v>-3.1714719271623615E-2</v>
      </c>
      <c r="T336" s="10">
        <f t="shared" si="843"/>
        <v>-3.0075844994796985E-2</v>
      </c>
      <c r="U336" s="10">
        <f t="shared" si="844"/>
        <v>3.9645161290322584E-3</v>
      </c>
      <c r="V336" s="23">
        <v>-1.3899999999999999E-2</v>
      </c>
      <c r="W336" s="83"/>
      <c r="X336" s="5">
        <f t="shared" ref="X336:X367" si="854">EOMONTH(X335,1)</f>
        <v>45077</v>
      </c>
      <c r="Y336" s="43">
        <v>1725.6416168157466</v>
      </c>
      <c r="Z336" s="2">
        <v>1474.71</v>
      </c>
      <c r="AA336" s="2">
        <v>197</v>
      </c>
      <c r="AB336" s="2">
        <v>191.15000000000003</v>
      </c>
      <c r="AC336" s="2">
        <v>197.7</v>
      </c>
      <c r="AD336" s="2">
        <v>192.21999999999997</v>
      </c>
      <c r="AE336" s="10">
        <f t="shared" si="845"/>
        <v>0.73845912289799132</v>
      </c>
      <c r="AF336" s="10">
        <f t="shared" si="846"/>
        <v>0.6954546914609907</v>
      </c>
      <c r="AG336" s="14">
        <f>Y336/24/DAY(X336)/10</f>
        <v>0.2319410775289982</v>
      </c>
      <c r="AH336" s="14">
        <f>Z336/24/DAY(X336)/10</f>
        <v>0.19821370967741936</v>
      </c>
      <c r="AI336" s="10">
        <v>0.98499999999999999</v>
      </c>
      <c r="AJ336" s="11">
        <v>0.91930149222684709</v>
      </c>
      <c r="AK336" s="10">
        <v>0.99</v>
      </c>
      <c r="AL336" s="17">
        <v>0.99364193548387103</v>
      </c>
      <c r="AM336" s="83">
        <f t="shared" si="828"/>
        <v>-0.11769475132824569</v>
      </c>
      <c r="AN336" s="81">
        <f t="shared" si="847"/>
        <v>-0.14541351713502371</v>
      </c>
      <c r="AO336" s="10">
        <f t="shared" si="848"/>
        <v>-2.7718765806778012E-2</v>
      </c>
      <c r="AP336" s="10">
        <f t="shared" si="849"/>
        <v>-6.5698507773152892E-2</v>
      </c>
      <c r="AQ336" s="10">
        <f t="shared" si="850"/>
        <v>3.6419354838710394E-3</v>
      </c>
      <c r="AR336" s="23">
        <v>-1.52E-2</v>
      </c>
    </row>
    <row r="337" spans="2:44" hidden="1">
      <c r="B337" s="5">
        <f t="shared" si="851"/>
        <v>45107</v>
      </c>
      <c r="C337" s="114">
        <v>1552.4398636606668</v>
      </c>
      <c r="D337" s="2">
        <v>1396.4459999999999</v>
      </c>
      <c r="E337" s="2">
        <v>178.9</v>
      </c>
      <c r="F337" s="2">
        <v>173.85999999999999</v>
      </c>
      <c r="G337" s="2">
        <v>177.2</v>
      </c>
      <c r="H337" s="2">
        <v>167.66000000000003</v>
      </c>
      <c r="I337" s="10">
        <f t="shared" si="852"/>
        <v>0.74119689609600492</v>
      </c>
      <c r="J337" s="10">
        <f t="shared" si="853"/>
        <v>0.70083528981491228</v>
      </c>
      <c r="K337" s="14">
        <f t="shared" si="839"/>
        <v>0.21561664773064818</v>
      </c>
      <c r="L337" s="14">
        <f t="shared" si="840"/>
        <v>0.19395083333333332</v>
      </c>
      <c r="M337" s="11">
        <v>0.98499999999999999</v>
      </c>
      <c r="N337" s="82">
        <v>0.99037000000000019</v>
      </c>
      <c r="O337" s="10">
        <v>0.99</v>
      </c>
      <c r="P337" s="17">
        <v>1</v>
      </c>
      <c r="Q337" s="83">
        <f t="shared" si="827"/>
        <v>-4.664555967715156E-2</v>
      </c>
      <c r="R337" s="81">
        <f t="shared" si="841"/>
        <v>-0.10048303146044701</v>
      </c>
      <c r="S337" s="10">
        <f t="shared" si="842"/>
        <v>-5.3837471783295454E-2</v>
      </c>
      <c r="T337" s="10">
        <f t="shared" si="843"/>
        <v>5.3700000000002079E-3</v>
      </c>
      <c r="U337" s="10">
        <f t="shared" si="844"/>
        <v>1.0000000000000009E-2</v>
      </c>
      <c r="V337" s="23">
        <v>-1.47E-2</v>
      </c>
      <c r="W337" s="83"/>
      <c r="X337" s="5">
        <f t="shared" si="854"/>
        <v>45107</v>
      </c>
      <c r="Y337" s="43">
        <v>1549.0840327513642</v>
      </c>
      <c r="Z337" s="2">
        <v>1414.59</v>
      </c>
      <c r="AA337" s="2">
        <v>178.9</v>
      </c>
      <c r="AB337" s="2">
        <v>171.63000000000002</v>
      </c>
      <c r="AC337" s="2">
        <v>177.2</v>
      </c>
      <c r="AD337" s="2">
        <v>169.80999999999995</v>
      </c>
      <c r="AE337" s="10">
        <f t="shared" si="845"/>
        <v>0.73959468817026108</v>
      </c>
      <c r="AF337" s="10">
        <f t="shared" si="846"/>
        <v>0.70249411601200262</v>
      </c>
      <c r="AG337" s="14">
        <f>Y337/24/DAY(X337)/10</f>
        <v>0.21515056010435613</v>
      </c>
      <c r="AH337" s="14">
        <f>Z337/24/DAY(X337)/10</f>
        <v>0.19647083333333332</v>
      </c>
      <c r="AI337" s="10">
        <v>0.98499999999999999</v>
      </c>
      <c r="AJ337" s="11">
        <v>0.98819666666666661</v>
      </c>
      <c r="AK337" s="10">
        <v>0.99</v>
      </c>
      <c r="AL337" s="17">
        <v>1</v>
      </c>
      <c r="AM337" s="83">
        <f t="shared" si="828"/>
        <v>-4.5117361731819683E-2</v>
      </c>
      <c r="AN337" s="81">
        <f t="shared" si="847"/>
        <v>-8.6821650670871886E-2</v>
      </c>
      <c r="AO337" s="10">
        <f t="shared" si="848"/>
        <v>-4.1704288939052203E-2</v>
      </c>
      <c r="AP337" s="10">
        <f t="shared" si="849"/>
        <v>3.1966666666666255E-3</v>
      </c>
      <c r="AQ337" s="10">
        <f t="shared" si="850"/>
        <v>1.0000000000000009E-2</v>
      </c>
      <c r="AR337" s="23">
        <v>-1.61E-2</v>
      </c>
    </row>
    <row r="338" spans="2:44" hidden="1">
      <c r="B338" s="5">
        <f t="shared" si="851"/>
        <v>45138</v>
      </c>
      <c r="C338" s="114">
        <v>1377.0633718580787</v>
      </c>
      <c r="D338" s="2">
        <v>1099.1460000000043</v>
      </c>
      <c r="E338" s="2">
        <v>155.5</v>
      </c>
      <c r="F338" s="2">
        <v>140.26</v>
      </c>
      <c r="G338" s="2">
        <v>154.6</v>
      </c>
      <c r="H338" s="2">
        <v>136.38999999999999</v>
      </c>
      <c r="I338" s="10">
        <f t="shared" ref="I338" si="855">C338/12/G338/M338</f>
        <v>0.75357583013096341</v>
      </c>
      <c r="J338" s="10">
        <f t="shared" ref="J338" si="856">D338/12/H338/N338</f>
        <v>0.71199090931603626</v>
      </c>
      <c r="K338" s="14">
        <f t="shared" si="839"/>
        <v>0.18508916288415037</v>
      </c>
      <c r="L338" s="14">
        <f t="shared" si="840"/>
        <v>0.14773467741935542</v>
      </c>
      <c r="M338" s="11">
        <v>0.98499999999999999</v>
      </c>
      <c r="N338" s="82">
        <v>0.94322903225806454</v>
      </c>
      <c r="O338" s="10">
        <v>0.99</v>
      </c>
      <c r="P338" s="17">
        <v>1</v>
      </c>
      <c r="Q338" s="83">
        <f t="shared" ref="Q338:Q342" si="857">R338-S338</f>
        <v>-8.4031029129562285E-2</v>
      </c>
      <c r="R338" s="81">
        <f t="shared" ref="R338" si="858">D338/C338-1</f>
        <v>-0.20181886871559085</v>
      </c>
      <c r="S338" s="10">
        <f t="shared" ref="S338" si="859">H338/G338-1</f>
        <v>-0.11778783958602856</v>
      </c>
      <c r="T338" s="10">
        <f t="shared" ref="T338" si="860">N338-M338</f>
        <v>-4.177096774193545E-2</v>
      </c>
      <c r="U338" s="10">
        <f t="shared" ref="U338" si="861">P338-O338</f>
        <v>1.0000000000000009E-2</v>
      </c>
      <c r="V338" s="23">
        <v>0</v>
      </c>
      <c r="W338" s="83"/>
      <c r="X338" s="5">
        <f t="shared" si="854"/>
        <v>45138</v>
      </c>
      <c r="Y338" s="43">
        <v>1371.3334920378982</v>
      </c>
      <c r="Z338" s="2">
        <v>1140.8520000000001</v>
      </c>
      <c r="AA338" s="2">
        <v>155.5</v>
      </c>
      <c r="AB338" s="2">
        <v>140.13</v>
      </c>
      <c r="AC338" s="2">
        <v>154.6</v>
      </c>
      <c r="AD338" s="2">
        <v>140.33000000000001</v>
      </c>
      <c r="AE338" s="10">
        <f t="shared" ref="AE338" si="862">Y338/12/AC338/AI338</f>
        <v>0.75044024535666431</v>
      </c>
      <c r="AF338" s="10">
        <f t="shared" ref="AF338" si="863">Z338/12/AD338/AJ338</f>
        <v>0.71104528137064693</v>
      </c>
      <c r="AG338" s="14">
        <f>Y338/24/DAY(X338)/10</f>
        <v>0.18431901774702933</v>
      </c>
      <c r="AH338" s="14">
        <f>Z338/24/DAY(X338)/10</f>
        <v>0.15334032258064517</v>
      </c>
      <c r="AI338" s="10">
        <v>0.98499999999999999</v>
      </c>
      <c r="AJ338" s="11">
        <v>0.95279677419354836</v>
      </c>
      <c r="AK338" s="10">
        <v>0.99</v>
      </c>
      <c r="AL338" s="17">
        <v>1</v>
      </c>
      <c r="AM338" s="83">
        <f t="shared" ref="AM338" si="864">AN338-AO338</f>
        <v>-7.5768356742194065E-2</v>
      </c>
      <c r="AN338" s="81">
        <f t="shared" ref="AN338" si="865">Z338/Y338-1</f>
        <v>-0.1680710734304216</v>
      </c>
      <c r="AO338" s="10">
        <f t="shared" ref="AO338" si="866">AD338/AC338-1</f>
        <v>-9.2302716688227537E-2</v>
      </c>
      <c r="AP338" s="10">
        <f t="shared" ref="AP338" si="867">AJ338-AI338</f>
        <v>-3.220322580645163E-2</v>
      </c>
      <c r="AQ338" s="10">
        <f t="shared" ref="AQ338" si="868">AL338-AK338</f>
        <v>1.0000000000000009E-2</v>
      </c>
      <c r="AR338" s="23">
        <v>0</v>
      </c>
    </row>
    <row r="339" spans="2:44" hidden="1">
      <c r="B339" s="5">
        <f t="shared" si="851"/>
        <v>45169</v>
      </c>
      <c r="C339" s="114">
        <v>1308.1654643642044</v>
      </c>
      <c r="D339" s="2">
        <f>1109034/1000</f>
        <v>1109.0340000000001</v>
      </c>
      <c r="E339" s="2">
        <v>145.4</v>
      </c>
      <c r="F339" s="2">
        <v>132.69999999999999</v>
      </c>
      <c r="G339" s="2">
        <v>146.30000000000001</v>
      </c>
      <c r="H339" s="2">
        <v>133.33000000000001</v>
      </c>
      <c r="I339" s="10">
        <f t="shared" ref="I339:I347" si="869">C339/12/G339/M339</f>
        <v>0.75648596824560499</v>
      </c>
      <c r="J339" s="10">
        <f t="shared" ref="J339:J347" si="870">D339/12/H339/N339</f>
        <v>0.70427291638339606</v>
      </c>
      <c r="K339" s="14">
        <f t="shared" si="839"/>
        <v>0.17582869144680166</v>
      </c>
      <c r="L339" s="14">
        <f t="shared" si="840"/>
        <v>0.14906370967741939</v>
      </c>
      <c r="M339" s="11">
        <v>0.98499999999999999</v>
      </c>
      <c r="N339" s="82">
        <v>0.98422580645161284</v>
      </c>
      <c r="O339" s="10">
        <v>0.99</v>
      </c>
      <c r="P339" s="17">
        <v>1</v>
      </c>
      <c r="Q339" s="83">
        <f t="shared" si="857"/>
        <v>-6.3568472546659871E-2</v>
      </c>
      <c r="R339" s="81">
        <f t="shared" ref="R339" si="871">D339/C339-1</f>
        <v>-0.15222192435800641</v>
      </c>
      <c r="S339" s="10">
        <f t="shared" ref="S339" si="872">H339/G339-1</f>
        <v>-8.865345181134654E-2</v>
      </c>
      <c r="T339" s="10">
        <f t="shared" ref="T339" si="873">N339-M339</f>
        <v>-7.741935483871476E-4</v>
      </c>
      <c r="U339" s="10">
        <f t="shared" ref="U339" si="874">P339-O339</f>
        <v>1.0000000000000009E-2</v>
      </c>
      <c r="V339" s="23">
        <v>-5.5999999999999999E-3</v>
      </c>
      <c r="W339" s="83"/>
      <c r="X339" s="5">
        <f t="shared" si="854"/>
        <v>45169</v>
      </c>
      <c r="Y339" s="43">
        <v>1301.5455280665039</v>
      </c>
      <c r="Z339" s="2">
        <f>1127358/1000</f>
        <v>1127.3579999999999</v>
      </c>
      <c r="AA339" s="2">
        <v>145.4</v>
      </c>
      <c r="AB339" s="2">
        <v>134.40999999999997</v>
      </c>
      <c r="AC339" s="2">
        <v>146.30000000000001</v>
      </c>
      <c r="AD339" s="2">
        <v>135.88999999999996</v>
      </c>
      <c r="AE339" s="10">
        <f t="shared" ref="AE339:AE342" si="875">Y339/12/AC339/AI339</f>
        <v>0.752657791263174</v>
      </c>
      <c r="AF339" s="10">
        <f t="shared" ref="AF339:AF342" si="876">Z339/12/AD339/AJ339</f>
        <v>0.71441081788849892</v>
      </c>
      <c r="AG339" s="14">
        <f>Y339/24/DAY(X339)/10</f>
        <v>0.17493891506270215</v>
      </c>
      <c r="AH339" s="14">
        <f>Z339/24/DAY(X339)/10</f>
        <v>0.1515266129032258</v>
      </c>
      <c r="AI339" s="10">
        <v>0.98499999999999999</v>
      </c>
      <c r="AJ339" s="11">
        <v>0.96770967741935487</v>
      </c>
      <c r="AK339" s="10">
        <v>0.99</v>
      </c>
      <c r="AL339" s="17">
        <v>1</v>
      </c>
      <c r="AM339" s="83">
        <f t="shared" ref="AM339:AM342" si="877">AN339-AO339</f>
        <v>-6.2676137862315739E-2</v>
      </c>
      <c r="AN339" s="81">
        <f t="shared" ref="AN339:AN342" si="878">Z339/Y339-1</f>
        <v>-0.13383129849116093</v>
      </c>
      <c r="AO339" s="10">
        <f t="shared" ref="AO339:AO342" si="879">AD339/AC339-1</f>
        <v>-7.1155160628845193E-2</v>
      </c>
      <c r="AP339" s="10">
        <f t="shared" ref="AP339:AP342" si="880">AJ339-AI339</f>
        <v>-1.7290322580645112E-2</v>
      </c>
      <c r="AQ339" s="10">
        <f t="shared" ref="AQ339:AQ342" si="881">AL339-AK339</f>
        <v>1.0000000000000009E-2</v>
      </c>
      <c r="AR339" s="23">
        <v>-6.1000000000000004E-3</v>
      </c>
    </row>
    <row r="340" spans="2:44" hidden="1">
      <c r="B340" s="5">
        <f t="shared" si="851"/>
        <v>45199</v>
      </c>
      <c r="C340" s="114">
        <v>1301.902018228398</v>
      </c>
      <c r="D340" s="2">
        <v>1230.1320000000001</v>
      </c>
      <c r="E340" s="2">
        <v>141.6</v>
      </c>
      <c r="F340" s="2">
        <v>140.91999999999999</v>
      </c>
      <c r="G340" s="2">
        <v>145.5</v>
      </c>
      <c r="H340" s="2">
        <v>149.81000000000006</v>
      </c>
      <c r="I340" s="10">
        <f t="shared" si="869"/>
        <v>0.75700340050842707</v>
      </c>
      <c r="J340" s="10">
        <f t="shared" si="870"/>
        <v>0.70599208276250391</v>
      </c>
      <c r="K340" s="14">
        <f t="shared" si="839"/>
        <v>0.18081972475394417</v>
      </c>
      <c r="L340" s="14">
        <f t="shared" si="840"/>
        <v>0.17085166666666668</v>
      </c>
      <c r="M340" s="11">
        <v>0.98499999999999999</v>
      </c>
      <c r="N340" s="82">
        <v>0.96923666666666675</v>
      </c>
      <c r="O340" s="10">
        <v>0.99</v>
      </c>
      <c r="P340" s="17">
        <v>1</v>
      </c>
      <c r="Q340" s="83">
        <f t="shared" si="857"/>
        <v>-8.4749043568364324E-2</v>
      </c>
      <c r="R340" s="81">
        <f t="shared" ref="R340" si="882">D340/C340-1</f>
        <v>-5.512705044121613E-2</v>
      </c>
      <c r="S340" s="10">
        <f t="shared" ref="S340" si="883">H340/G340-1</f>
        <v>2.9621993127148194E-2</v>
      </c>
      <c r="T340" s="10">
        <f t="shared" ref="T340" si="884">N340-M340</f>
        <v>-1.576333333333324E-2</v>
      </c>
      <c r="U340" s="10">
        <f t="shared" ref="U340" si="885">P340-O340</f>
        <v>1.0000000000000009E-2</v>
      </c>
      <c r="V340" s="23">
        <v>-1.18E-2</v>
      </c>
      <c r="W340" s="83"/>
      <c r="X340" s="5">
        <f t="shared" si="854"/>
        <v>45199</v>
      </c>
      <c r="Y340" s="43">
        <v>1297.3701797947112</v>
      </c>
      <c r="Z340" s="2">
        <f>1276674/1000</f>
        <v>1276.674</v>
      </c>
      <c r="AA340" s="2">
        <v>141.6</v>
      </c>
      <c r="AB340" s="2">
        <v>140.84999999999997</v>
      </c>
      <c r="AC340" s="2">
        <v>145.5</v>
      </c>
      <c r="AD340" s="2">
        <v>151.80000000000001</v>
      </c>
      <c r="AE340" s="10">
        <f t="shared" si="875"/>
        <v>0.75436831963688511</v>
      </c>
      <c r="AF340" s="10">
        <f t="shared" si="876"/>
        <v>0.71013455481055709</v>
      </c>
      <c r="AG340" s="14">
        <f t="shared" ref="AG340:AG342" si="886">Y340/24/DAY(X340)/10</f>
        <v>0.18019030274926545</v>
      </c>
      <c r="AH340" s="14">
        <f t="shared" ref="AH340:AH342" si="887">Z340/24/DAY(X340)/10</f>
        <v>0.17731583333333334</v>
      </c>
      <c r="AI340" s="10">
        <v>0.98499999999999999</v>
      </c>
      <c r="AJ340" s="11">
        <v>0.98692999999999997</v>
      </c>
      <c r="AK340" s="10">
        <v>0.99</v>
      </c>
      <c r="AL340" s="17">
        <v>1</v>
      </c>
      <c r="AM340" s="83">
        <f t="shared" si="877"/>
        <v>-5.9251378120125486E-2</v>
      </c>
      <c r="AN340" s="81">
        <f t="shared" si="878"/>
        <v>-1.595240904796047E-2</v>
      </c>
      <c r="AO340" s="10">
        <f t="shared" si="879"/>
        <v>4.3298969072165017E-2</v>
      </c>
      <c r="AP340" s="10">
        <f t="shared" si="880"/>
        <v>1.9299999999999873E-3</v>
      </c>
      <c r="AQ340" s="10">
        <f t="shared" si="881"/>
        <v>1.0000000000000009E-2</v>
      </c>
      <c r="AR340" s="23">
        <v>-1.1900000000000001E-2</v>
      </c>
    </row>
    <row r="341" spans="2:44" hidden="1">
      <c r="B341" s="5">
        <f t="shared" si="851"/>
        <v>45230</v>
      </c>
      <c r="C341" s="114">
        <v>1488.9106242831986</v>
      </c>
      <c r="D341" s="2">
        <f>1391814/1000</f>
        <v>1391.8140000000001</v>
      </c>
      <c r="E341" s="2">
        <v>139.1</v>
      </c>
      <c r="F341" s="2">
        <v>136.64999999999998</v>
      </c>
      <c r="G341" s="2">
        <v>172.2</v>
      </c>
      <c r="H341" s="2">
        <v>173.2</v>
      </c>
      <c r="I341" s="10">
        <f t="shared" si="869"/>
        <v>0.73150618957376456</v>
      </c>
      <c r="J341" s="10">
        <f t="shared" si="870"/>
        <v>0.71194606263310889</v>
      </c>
      <c r="K341" s="14">
        <f t="shared" si="839"/>
        <v>0.20012239573698903</v>
      </c>
      <c r="L341" s="14">
        <f t="shared" si="840"/>
        <v>0.18707177419354842</v>
      </c>
      <c r="M341" s="11">
        <v>0.98499999999999999</v>
      </c>
      <c r="N341" s="82">
        <v>0.94059999999999999</v>
      </c>
      <c r="O341" s="10">
        <v>0.99</v>
      </c>
      <c r="P341" s="17">
        <v>1</v>
      </c>
      <c r="Q341" s="83">
        <f t="shared" si="857"/>
        <v>-7.1020399558816893E-2</v>
      </c>
      <c r="R341" s="81">
        <f t="shared" ref="R341:R342" si="888">D341/C341-1</f>
        <v>-6.5213198629664793E-2</v>
      </c>
      <c r="S341" s="10">
        <f t="shared" ref="S341:S342" si="889">H341/G341-1</f>
        <v>5.807200929152101E-3</v>
      </c>
      <c r="T341" s="10">
        <f t="shared" ref="T341:T342" si="890">N341-M341</f>
        <v>-4.4399999999999995E-2</v>
      </c>
      <c r="U341" s="10">
        <f t="shared" ref="U341:U342" si="891">P341-O341</f>
        <v>1.0000000000000009E-2</v>
      </c>
      <c r="V341" s="23">
        <v>-1.9900000000000001E-2</v>
      </c>
      <c r="W341" s="83"/>
      <c r="X341" s="5">
        <f t="shared" si="854"/>
        <v>45230</v>
      </c>
      <c r="Y341" s="43">
        <v>1486.4538086744719</v>
      </c>
      <c r="Z341" s="2">
        <f>1359402/1000</f>
        <v>1359.402</v>
      </c>
      <c r="AA341" s="2">
        <v>139.1</v>
      </c>
      <c r="AB341" s="2">
        <v>136.37000000000003</v>
      </c>
      <c r="AC341" s="2">
        <v>172.2</v>
      </c>
      <c r="AD341" s="2">
        <v>176.63000000000002</v>
      </c>
      <c r="AE341" s="10">
        <f t="shared" si="875"/>
        <v>0.73029914880508839</v>
      </c>
      <c r="AF341" s="10">
        <f t="shared" si="876"/>
        <v>0.7213016329918025</v>
      </c>
      <c r="AG341" s="14">
        <f t="shared" si="886"/>
        <v>0.19979217858527848</v>
      </c>
      <c r="AH341" s="14">
        <f t="shared" si="887"/>
        <v>0.18271532258064516</v>
      </c>
      <c r="AI341" s="10">
        <v>0.98499999999999999</v>
      </c>
      <c r="AJ341" s="11">
        <v>0.88917096774193549</v>
      </c>
      <c r="AK341" s="10">
        <v>0.99</v>
      </c>
      <c r="AL341" s="17">
        <v>1</v>
      </c>
      <c r="AM341" s="83">
        <f t="shared" si="877"/>
        <v>-0.11119899583767823</v>
      </c>
      <c r="AN341" s="81">
        <f t="shared" si="878"/>
        <v>-8.5473095721533943E-2</v>
      </c>
      <c r="AO341" s="10">
        <f t="shared" si="879"/>
        <v>2.5725900116144285E-2</v>
      </c>
      <c r="AP341" s="10">
        <f t="shared" si="880"/>
        <v>-9.5829032258064495E-2</v>
      </c>
      <c r="AQ341" s="10">
        <f t="shared" si="881"/>
        <v>1.0000000000000009E-2</v>
      </c>
      <c r="AR341" s="23">
        <v>-1.9599999999999999E-2</v>
      </c>
    </row>
    <row r="342" spans="2:44" hidden="1">
      <c r="B342" s="5">
        <f t="shared" si="851"/>
        <v>45260</v>
      </c>
      <c r="C342" s="114">
        <v>1320.6923566358175</v>
      </c>
      <c r="D342" s="2">
        <f>1077684/1000</f>
        <v>1077.684</v>
      </c>
      <c r="E342" s="2">
        <v>108.1</v>
      </c>
      <c r="F342" s="2">
        <v>93.580000000000013</v>
      </c>
      <c r="G342" s="2">
        <v>152.1</v>
      </c>
      <c r="H342" s="2">
        <v>134.56</v>
      </c>
      <c r="I342" s="10">
        <f t="shared" si="869"/>
        <v>0.73460685019752658</v>
      </c>
      <c r="J342" s="10">
        <f t="shared" si="870"/>
        <v>0.67061112182876881</v>
      </c>
      <c r="K342" s="14">
        <f t="shared" si="839"/>
        <v>0.18342949397719688</v>
      </c>
      <c r="L342" s="14">
        <f t="shared" si="840"/>
        <v>0.14967833333333333</v>
      </c>
      <c r="M342" s="11">
        <v>0.98499999999999999</v>
      </c>
      <c r="N342" s="82">
        <v>0.99523000000000006</v>
      </c>
      <c r="O342" s="10">
        <v>0.99</v>
      </c>
      <c r="P342" s="17">
        <v>1</v>
      </c>
      <c r="Q342" s="83">
        <f t="shared" si="857"/>
        <v>-6.8681860009203177E-2</v>
      </c>
      <c r="R342" s="81">
        <f t="shared" si="888"/>
        <v>-0.18400072917422616</v>
      </c>
      <c r="S342" s="10">
        <f t="shared" si="889"/>
        <v>-0.11531886916502299</v>
      </c>
      <c r="T342" s="10">
        <f t="shared" si="890"/>
        <v>1.0230000000000072E-2</v>
      </c>
      <c r="U342" s="10">
        <f t="shared" si="891"/>
        <v>1.0000000000000009E-2</v>
      </c>
      <c r="V342" s="23">
        <v>-1.9199999999999998E-2</v>
      </c>
      <c r="W342" s="83"/>
      <c r="X342" s="5">
        <f t="shared" si="854"/>
        <v>45260</v>
      </c>
      <c r="Y342" s="43">
        <v>1315.8610078555082</v>
      </c>
      <c r="Z342" s="2">
        <v>1120.9380000000001</v>
      </c>
      <c r="AA342" s="2">
        <v>108.1</v>
      </c>
      <c r="AB342" s="2">
        <v>92.499999999999986</v>
      </c>
      <c r="AC342" s="2">
        <v>152.1</v>
      </c>
      <c r="AD342" s="2">
        <v>132.76</v>
      </c>
      <c r="AE342" s="10">
        <f t="shared" si="875"/>
        <v>0.73191951586725956</v>
      </c>
      <c r="AF342" s="10">
        <f t="shared" si="876"/>
        <v>0.70685861790841709</v>
      </c>
      <c r="AG342" s="14">
        <f t="shared" si="886"/>
        <v>0.18275847331326503</v>
      </c>
      <c r="AH342" s="14">
        <f t="shared" si="887"/>
        <v>0.15568583333333336</v>
      </c>
      <c r="AI342" s="10">
        <v>0.98499999999999999</v>
      </c>
      <c r="AJ342" s="11">
        <v>0.99540666666666666</v>
      </c>
      <c r="AK342" s="10">
        <v>0.99</v>
      </c>
      <c r="AL342" s="17">
        <v>1</v>
      </c>
      <c r="AM342" s="83">
        <f t="shared" si="877"/>
        <v>-2.0980243860758141E-2</v>
      </c>
      <c r="AN342" s="81">
        <f t="shared" si="878"/>
        <v>-0.14813343255240841</v>
      </c>
      <c r="AO342" s="10">
        <f t="shared" si="879"/>
        <v>-0.12715318869165027</v>
      </c>
      <c r="AP342" s="10">
        <f t="shared" si="880"/>
        <v>1.0406666666666675E-2</v>
      </c>
      <c r="AQ342" s="10">
        <f t="shared" si="881"/>
        <v>1.0000000000000009E-2</v>
      </c>
      <c r="AR342" s="23">
        <v>-1.72E-2</v>
      </c>
    </row>
    <row r="343" spans="2:44" hidden="1">
      <c r="B343" s="5">
        <f t="shared" si="851"/>
        <v>45291</v>
      </c>
      <c r="C343" s="114">
        <v>1111.3143000959931</v>
      </c>
      <c r="D343" s="2">
        <v>990.73199999999997</v>
      </c>
      <c r="E343" s="2">
        <v>89.9</v>
      </c>
      <c r="F343" s="2">
        <v>80.819999999999993</v>
      </c>
      <c r="G343" s="2">
        <v>129.6</v>
      </c>
      <c r="H343" s="2">
        <v>125.42</v>
      </c>
      <c r="I343" s="10">
        <f t="shared" si="869"/>
        <v>0.72546159215390915</v>
      </c>
      <c r="J343" s="10">
        <f t="shared" si="870"/>
        <v>0.6631859070161944</v>
      </c>
      <c r="K343" s="14">
        <f t="shared" si="839"/>
        <v>0.14937020162580553</v>
      </c>
      <c r="L343" s="14">
        <f t="shared" si="840"/>
        <v>0.13316290322580643</v>
      </c>
      <c r="M343" s="11">
        <v>0.98499999999999999</v>
      </c>
      <c r="N343" s="82">
        <v>0.99259677419354841</v>
      </c>
      <c r="O343" s="10">
        <v>0.99</v>
      </c>
      <c r="P343" s="17">
        <v>1</v>
      </c>
      <c r="Q343" s="83">
        <f t="shared" ref="Q343:Q349" si="892">R343-S343</f>
        <v>-7.6251141489109053E-2</v>
      </c>
      <c r="R343" s="81">
        <f t="shared" ref="R343" si="893">D343/C343-1</f>
        <v>-0.10850422790886205</v>
      </c>
      <c r="S343" s="10">
        <f t="shared" ref="S343" si="894">H343/G343-1</f>
        <v>-3.2253086419752997E-2</v>
      </c>
      <c r="T343" s="10">
        <f t="shared" ref="T343" si="895">N343-M343</f>
        <v>7.5967741935484279E-3</v>
      </c>
      <c r="U343" s="10">
        <f t="shared" ref="U343" si="896">P343-O343</f>
        <v>1.0000000000000009E-2</v>
      </c>
      <c r="V343" s="23">
        <v>-2.41E-2</v>
      </c>
      <c r="W343" s="83"/>
      <c r="X343" s="5">
        <f t="shared" si="854"/>
        <v>45291</v>
      </c>
      <c r="Y343" s="43">
        <v>1104.7076809677001</v>
      </c>
      <c r="Z343" s="2">
        <v>1017.504</v>
      </c>
      <c r="AA343" s="2">
        <v>89.9</v>
      </c>
      <c r="AB343" s="2">
        <v>80.960000000000008</v>
      </c>
      <c r="AC343" s="2">
        <v>129.6</v>
      </c>
      <c r="AD343" s="2">
        <v>124.72999999999999</v>
      </c>
      <c r="AE343" s="10">
        <f t="shared" ref="AE343" si="897">Y343/12/AC343/AI343</f>
        <v>0.72114881724302038</v>
      </c>
      <c r="AF343" s="10">
        <f t="shared" ref="AF343" si="898">Z343/12/AD343/AJ343</f>
        <v>0.68142661242294267</v>
      </c>
      <c r="AG343" s="14">
        <f t="shared" ref="AG343" si="899">Y343/24/DAY(X343)/10</f>
        <v>0.14848221518383067</v>
      </c>
      <c r="AH343" s="14">
        <f t="shared" ref="AH343" si="900">Z343/24/DAY(X343)/10</f>
        <v>0.13676129032258064</v>
      </c>
      <c r="AI343" s="10">
        <v>0.98499999999999999</v>
      </c>
      <c r="AJ343" s="11">
        <v>0.99761935483870967</v>
      </c>
      <c r="AK343" s="10">
        <v>0.99</v>
      </c>
      <c r="AL343" s="17">
        <v>1</v>
      </c>
      <c r="AM343" s="83">
        <f t="shared" ref="AM343" si="901">AN343-AO343</f>
        <v>-4.1361080336825395E-2</v>
      </c>
      <c r="AN343" s="81">
        <f t="shared" ref="AN343" si="902">Z343/Y343-1</f>
        <v>-7.8938240830652595E-2</v>
      </c>
      <c r="AO343" s="10">
        <f t="shared" ref="AO343" si="903">AD343/AC343-1</f>
        <v>-3.75771604938272E-2</v>
      </c>
      <c r="AP343" s="10">
        <f t="shared" ref="AP343" si="904">AJ343-AI343</f>
        <v>1.2619354838709684E-2</v>
      </c>
      <c r="AQ343" s="10">
        <f t="shared" ref="AQ343" si="905">AL343-AK343</f>
        <v>1.0000000000000009E-2</v>
      </c>
      <c r="AR343" s="23">
        <v>-2.4500000000000001E-2</v>
      </c>
    </row>
    <row r="344" spans="2:44" hidden="1">
      <c r="B344" s="5">
        <f t="shared" si="851"/>
        <v>45322</v>
      </c>
      <c r="C344" s="114">
        <v>936.59994402776147</v>
      </c>
      <c r="D344" s="2">
        <v>421.41</v>
      </c>
      <c r="E344" s="2">
        <v>79.599999999999994</v>
      </c>
      <c r="F344" s="2">
        <v>43.269999999999989</v>
      </c>
      <c r="G344" s="2">
        <v>103.2</v>
      </c>
      <c r="H344" s="2">
        <v>51.410000000000004</v>
      </c>
      <c r="I344" s="10">
        <f t="shared" si="869"/>
        <v>0.76781563900018479</v>
      </c>
      <c r="J344" s="10">
        <f t="shared" si="870"/>
        <v>0.68934441641226951</v>
      </c>
      <c r="K344" s="14">
        <f t="shared" si="839"/>
        <v>0.12588708925104319</v>
      </c>
      <c r="L344" s="14">
        <f t="shared" si="840"/>
        <v>5.6641129032258063E-2</v>
      </c>
      <c r="M344" s="11">
        <v>0.98499999999999999</v>
      </c>
      <c r="N344" s="82">
        <v>0.99092258064516137</v>
      </c>
      <c r="O344" s="10">
        <v>0.99</v>
      </c>
      <c r="P344" s="17">
        <v>1</v>
      </c>
      <c r="Q344" s="83">
        <f t="shared" si="892"/>
        <v>-4.8222949339056798E-2</v>
      </c>
      <c r="R344" s="81">
        <f t="shared" ref="R344:R347" si="906">D344/C344-1</f>
        <v>-0.55006403461037456</v>
      </c>
      <c r="S344" s="10">
        <f t="shared" ref="S344:S347" si="907">H344/G344-1</f>
        <v>-0.50184108527131777</v>
      </c>
      <c r="T344" s="10">
        <f t="shared" ref="T344:T347" si="908">N344-M344</f>
        <v>5.9225806451613794E-3</v>
      </c>
      <c r="U344" s="10">
        <f t="shared" ref="U344:U347" si="909">P344-O344</f>
        <v>1.0000000000000009E-2</v>
      </c>
      <c r="V344" s="23">
        <v>-1.49E-2</v>
      </c>
      <c r="W344" s="83"/>
      <c r="X344" s="5">
        <f t="shared" si="854"/>
        <v>45322</v>
      </c>
      <c r="Y344" s="43">
        <v>930.03780168091134</v>
      </c>
      <c r="Z344" s="2">
        <v>413.976</v>
      </c>
      <c r="AA344" s="2">
        <v>79.599999999999994</v>
      </c>
      <c r="AB344" s="2">
        <v>43.110000000000007</v>
      </c>
      <c r="AC344" s="2">
        <v>103.2</v>
      </c>
      <c r="AD344" s="2">
        <v>52.24</v>
      </c>
      <c r="AE344" s="10">
        <f t="shared" ref="AE344" si="910">Y344/12/AC344/AI344</f>
        <v>0.76243605772710765</v>
      </c>
      <c r="AF344" s="10">
        <f t="shared" ref="AF344" si="911">Z344/12/AD344/AJ344</f>
        <v>0.66469571356235124</v>
      </c>
      <c r="AG344" s="14">
        <f t="shared" ref="AG344:AG346" si="912">Y344/24/DAY(X344)/10</f>
        <v>0.12500508087109025</v>
      </c>
      <c r="AH344" s="14">
        <f t="shared" ref="AH344" si="913">Z344/24/DAY(X344)/10</f>
        <v>5.5641935483870961E-2</v>
      </c>
      <c r="AI344" s="10">
        <v>0.98499999999999999</v>
      </c>
      <c r="AJ344" s="11">
        <v>0.99350000000000005</v>
      </c>
      <c r="AK344" s="10">
        <v>0.99</v>
      </c>
      <c r="AL344" s="17">
        <v>1</v>
      </c>
      <c r="AM344" s="83">
        <f t="shared" ref="AM344:AM352" si="914">AN344-AO344</f>
        <v>-6.1084159189306764E-2</v>
      </c>
      <c r="AN344" s="81">
        <f t="shared" ref="AN344" si="915">Z344/Y344-1</f>
        <v>-0.55488260880170981</v>
      </c>
      <c r="AO344" s="10">
        <f t="shared" ref="AO344" si="916">AD344/AC344-1</f>
        <v>-0.49379844961240305</v>
      </c>
      <c r="AP344" s="10">
        <f t="shared" ref="AP344" si="917">AJ344-AI344</f>
        <v>8.5000000000000631E-3</v>
      </c>
      <c r="AQ344" s="10">
        <f t="shared" ref="AQ344" si="918">AL344-AK344</f>
        <v>1.0000000000000009E-2</v>
      </c>
      <c r="AR344" s="23">
        <v>-1.55E-2</v>
      </c>
    </row>
    <row r="345" spans="2:44" ht="16.5" hidden="1" customHeight="1">
      <c r="B345" s="5">
        <f t="shared" si="851"/>
        <v>45351</v>
      </c>
      <c r="C345" s="114">
        <v>1226.8390901808511</v>
      </c>
      <c r="D345" s="2">
        <v>1160.4360000000042</v>
      </c>
      <c r="E345" s="2">
        <v>108.1</v>
      </c>
      <c r="F345" s="2">
        <v>109.64999999999999</v>
      </c>
      <c r="G345" s="2">
        <v>137.5</v>
      </c>
      <c r="H345" s="2">
        <v>144.81</v>
      </c>
      <c r="I345" s="10">
        <f t="shared" si="869"/>
        <v>0.75486176906989766</v>
      </c>
      <c r="J345" s="10">
        <f t="shared" si="870"/>
        <v>0.69186933230284753</v>
      </c>
      <c r="K345" s="14">
        <f>C345/24/28/10</f>
        <v>0.1825653408007219</v>
      </c>
      <c r="L345" s="14">
        <f t="shared" si="840"/>
        <v>0.16672931034482821</v>
      </c>
      <c r="M345" s="11">
        <v>0.98499999999999999</v>
      </c>
      <c r="N345" s="82">
        <v>0.96519999999999995</v>
      </c>
      <c r="O345" s="10">
        <v>0.99</v>
      </c>
      <c r="P345" s="17">
        <v>0.99475172413793111</v>
      </c>
      <c r="Q345" s="83">
        <f t="shared" si="892"/>
        <v>-0.10728898231349371</v>
      </c>
      <c r="R345" s="81">
        <f t="shared" si="906"/>
        <v>-5.4125345949857406E-2</v>
      </c>
      <c r="S345" s="10">
        <f t="shared" si="907"/>
        <v>5.3163636363636302E-2</v>
      </c>
      <c r="T345" s="10">
        <f t="shared" si="908"/>
        <v>-1.980000000000004E-2</v>
      </c>
      <c r="U345" s="10">
        <f t="shared" si="909"/>
        <v>4.7517241379311237E-3</v>
      </c>
      <c r="V345" s="23">
        <v>-1.7500000000000002E-2</v>
      </c>
      <c r="W345" s="83"/>
      <c r="X345" s="5">
        <f t="shared" si="854"/>
        <v>45351</v>
      </c>
      <c r="Y345" s="43">
        <v>1220.8508088112812</v>
      </c>
      <c r="Z345" s="2">
        <v>1173.288</v>
      </c>
      <c r="AA345" s="2">
        <v>108.1</v>
      </c>
      <c r="AB345" s="2">
        <v>109.59</v>
      </c>
      <c r="AC345" s="2">
        <v>137.5</v>
      </c>
      <c r="AD345" s="2">
        <v>144.81000000000003</v>
      </c>
      <c r="AE345" s="10">
        <f t="shared" ref="AE345:AE346" si="919">Y345/12/AC345/AI345</f>
        <v>0.75117723969314343</v>
      </c>
      <c r="AF345" s="10">
        <f t="shared" ref="AF345:AF346" si="920">Z345/12/AD345/AJ345</f>
        <v>0.69571167193409911</v>
      </c>
      <c r="AG345" s="14">
        <f>Y345/24/28/10</f>
        <v>0.18167422750167878</v>
      </c>
      <c r="AH345" s="14">
        <f t="shared" ref="AH345:AH346" si="921">Z345/24/DAY(X345)/10</f>
        <v>0.16857586206896552</v>
      </c>
      <c r="AI345" s="10">
        <v>0.98499999999999999</v>
      </c>
      <c r="AJ345" s="11">
        <v>0.97050000000000003</v>
      </c>
      <c r="AK345" s="10">
        <v>0.99</v>
      </c>
      <c r="AL345" s="17">
        <v>0.99589310344827586</v>
      </c>
      <c r="AM345" s="83">
        <f t="shared" si="914"/>
        <v>-9.2122376013071827E-2</v>
      </c>
      <c r="AN345" s="81">
        <f t="shared" ref="AN345:AN346" si="922">Z345/Y345-1</f>
        <v>-3.8958739649435303E-2</v>
      </c>
      <c r="AO345" s="10">
        <f t="shared" ref="AO345:AO346" si="923">AD345/AC345-1</f>
        <v>5.3163636363636524E-2</v>
      </c>
      <c r="AP345" s="10">
        <f t="shared" ref="AP345:AP346" si="924">AJ345-AI345</f>
        <v>-1.4499999999999957E-2</v>
      </c>
      <c r="AQ345" s="10">
        <f t="shared" ref="AQ345:AQ346" si="925">AL345-AK345</f>
        <v>5.8931034482758715E-3</v>
      </c>
      <c r="AR345" s="23">
        <v>-1.55E-2</v>
      </c>
    </row>
    <row r="346" spans="2:44" hidden="1">
      <c r="B346" s="5">
        <f t="shared" si="851"/>
        <v>45382</v>
      </c>
      <c r="C346" s="114">
        <v>1640.8305103071907</v>
      </c>
      <c r="D346" s="2">
        <v>1448.4</v>
      </c>
      <c r="E346" s="2">
        <v>161.4</v>
      </c>
      <c r="F346" s="2">
        <v>152.10000000000002</v>
      </c>
      <c r="G346" s="2">
        <v>187.8</v>
      </c>
      <c r="H346" s="2">
        <v>176.4</v>
      </c>
      <c r="I346" s="10">
        <f t="shared" si="869"/>
        <v>0.7391807671998647</v>
      </c>
      <c r="J346" s="10">
        <f t="shared" si="870"/>
        <v>0.69194551088787182</v>
      </c>
      <c r="K346" s="14">
        <f t="shared" si="839"/>
        <v>0.22054173525634285</v>
      </c>
      <c r="L346" s="14">
        <f t="shared" si="840"/>
        <v>0.1946774193548387</v>
      </c>
      <c r="M346" s="11">
        <v>0.98499999999999999</v>
      </c>
      <c r="N346" s="82">
        <v>0.98886451612903215</v>
      </c>
      <c r="O346" s="10">
        <v>0.99</v>
      </c>
      <c r="P346" s="17">
        <v>1</v>
      </c>
      <c r="Q346" s="83">
        <f t="shared" si="892"/>
        <v>-5.6573411882232971E-2</v>
      </c>
      <c r="R346" s="81">
        <f t="shared" si="906"/>
        <v>-0.117276287281594</v>
      </c>
      <c r="S346" s="10">
        <f t="shared" si="907"/>
        <v>-6.0702875399361034E-2</v>
      </c>
      <c r="T346" s="10">
        <f t="shared" si="908"/>
        <v>3.8645161290321584E-3</v>
      </c>
      <c r="U346" s="10">
        <f t="shared" si="909"/>
        <v>1.0000000000000009E-2</v>
      </c>
      <c r="V346" s="23">
        <v>-1.9800000000000002E-2</v>
      </c>
      <c r="W346" s="83"/>
      <c r="X346" s="5">
        <f t="shared" si="854"/>
        <v>45382</v>
      </c>
      <c r="Y346" s="43">
        <v>1637.4849537205052</v>
      </c>
      <c r="Z346" s="2">
        <v>1482.3420000000001</v>
      </c>
      <c r="AA346" s="2">
        <v>161.4</v>
      </c>
      <c r="AB346" s="2">
        <v>151.69</v>
      </c>
      <c r="AC346" s="2">
        <v>187.8</v>
      </c>
      <c r="AD346" s="2">
        <v>178.00000000000003</v>
      </c>
      <c r="AE346" s="10">
        <f t="shared" si="919"/>
        <v>0.73767362123389046</v>
      </c>
      <c r="AF346" s="10">
        <f t="shared" si="920"/>
        <v>0.69537107923712571</v>
      </c>
      <c r="AG346" s="14">
        <f t="shared" si="912"/>
        <v>0.22009206367211093</v>
      </c>
      <c r="AH346" s="14">
        <f t="shared" si="921"/>
        <v>0.19923951612903229</v>
      </c>
      <c r="AI346" s="10">
        <v>0.98499999999999999</v>
      </c>
      <c r="AJ346" s="11">
        <v>0.99800000000000011</v>
      </c>
      <c r="AK346" s="10">
        <v>0.99</v>
      </c>
      <c r="AL346" s="17">
        <v>1</v>
      </c>
      <c r="AM346" s="83">
        <f t="shared" si="914"/>
        <v>-4.2561485510389629E-2</v>
      </c>
      <c r="AN346" s="81">
        <f t="shared" si="922"/>
        <v>-9.4744659099313955E-2</v>
      </c>
      <c r="AO346" s="10">
        <f t="shared" si="923"/>
        <v>-5.2183173588924325E-2</v>
      </c>
      <c r="AP346" s="10">
        <f t="shared" si="924"/>
        <v>1.3000000000000123E-2</v>
      </c>
      <c r="AQ346" s="10">
        <f t="shared" si="925"/>
        <v>1.0000000000000009E-2</v>
      </c>
      <c r="AR346" s="23">
        <v>-1.7999999999999999E-2</v>
      </c>
    </row>
    <row r="347" spans="2:44" hidden="1">
      <c r="B347" s="5">
        <f t="shared" si="851"/>
        <v>45412</v>
      </c>
      <c r="C347" s="114">
        <v>1695.1390621947317</v>
      </c>
      <c r="D347" s="2">
        <v>1507.3979999999999</v>
      </c>
      <c r="E347" s="2">
        <v>190.2</v>
      </c>
      <c r="F347" s="2">
        <v>184.02999999999997</v>
      </c>
      <c r="G347" s="2">
        <v>194</v>
      </c>
      <c r="H347" s="2">
        <v>189.00000000000006</v>
      </c>
      <c r="I347" s="10">
        <f t="shared" si="869"/>
        <v>0.73924113515216727</v>
      </c>
      <c r="J347" s="10">
        <f t="shared" si="870"/>
        <v>0.67049855322728191</v>
      </c>
      <c r="K347" s="14">
        <f t="shared" si="839"/>
        <v>0.23543598086037942</v>
      </c>
      <c r="L347" s="14">
        <f t="shared" si="840"/>
        <v>0.2093608333333333</v>
      </c>
      <c r="M347" s="11">
        <v>0.98499999999999999</v>
      </c>
      <c r="N347" s="82">
        <v>0.99125876251111111</v>
      </c>
      <c r="O347" s="10">
        <v>0.99</v>
      </c>
      <c r="P347" s="17">
        <v>0.99975333333333327</v>
      </c>
      <c r="Q347" s="83">
        <f t="shared" si="892"/>
        <v>-8.4979406303534843E-2</v>
      </c>
      <c r="R347" s="81">
        <f t="shared" si="906"/>
        <v>-0.11075260217982319</v>
      </c>
      <c r="S347" s="10">
        <f t="shared" si="907"/>
        <v>-2.5773195876288346E-2</v>
      </c>
      <c r="T347" s="10">
        <f t="shared" si="908"/>
        <v>6.2587625111111267E-3</v>
      </c>
      <c r="U347" s="10">
        <f t="shared" si="909"/>
        <v>9.7533333333332806E-3</v>
      </c>
      <c r="V347" s="23">
        <v>-2.5743333333333299E-2</v>
      </c>
      <c r="W347" s="83"/>
      <c r="X347" s="5">
        <f t="shared" si="854"/>
        <v>45412</v>
      </c>
      <c r="Y347" s="43">
        <v>1694.4605632807411</v>
      </c>
      <c r="Z347" s="2">
        <v>1517.088</v>
      </c>
      <c r="AA347" s="2">
        <v>190.20000000000002</v>
      </c>
      <c r="AB347" s="2">
        <v>181.57</v>
      </c>
      <c r="AC347" s="2">
        <v>194</v>
      </c>
      <c r="AD347" s="2">
        <v>191.08999999999997</v>
      </c>
      <c r="AE347" s="10">
        <f t="shared" ref="AE347" si="926">Y347/12/AC347/AI347</f>
        <v>0.7389452453820804</v>
      </c>
      <c r="AF347" s="10">
        <f t="shared" ref="AF347" si="927">Z347/12/AD347/AJ347</f>
        <v>0.67549824855319807</v>
      </c>
      <c r="AG347" s="14">
        <f t="shared" ref="AG347" si="928">Y347/24/DAY(X347)/10</f>
        <v>0.2353417449001029</v>
      </c>
      <c r="AH347" s="14">
        <f t="shared" ref="AH347" si="929">Z347/24/DAY(X347)/10</f>
        <v>0.21070666666666665</v>
      </c>
      <c r="AI347" s="10">
        <v>0.98499999999999999</v>
      </c>
      <c r="AJ347" s="11">
        <v>0.97941632670282641</v>
      </c>
      <c r="AK347" s="10">
        <v>0.99</v>
      </c>
      <c r="AL347" s="17">
        <v>0.99956333333333325</v>
      </c>
      <c r="AM347" s="83">
        <f t="shared" si="914"/>
        <v>-8.9677894029778882E-2</v>
      </c>
      <c r="AN347" s="81">
        <f t="shared" ref="AN347" si="930">Z347/Y347-1</f>
        <v>-0.10467789402977901</v>
      </c>
      <c r="AO347" s="10">
        <f t="shared" ref="AO347" si="931">AD347/AC347-1</f>
        <v>-1.5000000000000124E-2</v>
      </c>
      <c r="AP347" s="10">
        <f t="shared" ref="AP347" si="932">AJ347-AI347</f>
        <v>-5.5836732971735747E-3</v>
      </c>
      <c r="AQ347" s="10">
        <f t="shared" ref="AQ347" si="933">AL347-AK347</f>
        <v>9.5633333333332571E-3</v>
      </c>
      <c r="AR347" s="23">
        <v>-2.21333333333333E-2</v>
      </c>
    </row>
    <row r="348" spans="2:44" hidden="1">
      <c r="B348" s="5">
        <f t="shared" si="851"/>
        <v>45443</v>
      </c>
      <c r="C348" s="114">
        <v>1717.3966654273302</v>
      </c>
      <c r="D348" s="2">
        <v>1404.0419999999999</v>
      </c>
      <c r="E348" s="2">
        <v>197</v>
      </c>
      <c r="F348" s="2">
        <v>195.99999999999997</v>
      </c>
      <c r="G348" s="2">
        <v>197.7</v>
      </c>
      <c r="H348" s="2">
        <v>197.27999999999992</v>
      </c>
      <c r="I348" s="10">
        <f t="shared" ref="I348:I350" si="934">C348/12/G348/M348</f>
        <v>0.73493083549967175</v>
      </c>
      <c r="J348" s="10">
        <f t="shared" ref="J348:J350" si="935">D348/12/H348/N348</f>
        <v>0.61573295294858366</v>
      </c>
      <c r="K348" s="14">
        <f t="shared" ref="K348:K350" si="936">C348/24/DAY(B348)/10</f>
        <v>0.23083288513808201</v>
      </c>
      <c r="L348" s="14">
        <f t="shared" ref="L348:L350" si="937">D348/24/DAY(B348)/10</f>
        <v>0.18871532258064513</v>
      </c>
      <c r="M348" s="11">
        <v>0.98499999999999999</v>
      </c>
      <c r="N348" s="82">
        <v>0.9632153547604746</v>
      </c>
      <c r="O348" s="10">
        <v>0.99</v>
      </c>
      <c r="P348" s="17">
        <v>0.99889354838709676</v>
      </c>
      <c r="Q348" s="83">
        <f t="shared" si="892"/>
        <v>-0.18033467807538361</v>
      </c>
      <c r="R348" s="81">
        <f t="shared" ref="R348:R349" si="938">D348/C348-1</f>
        <v>-0.18245910903137796</v>
      </c>
      <c r="S348" s="10">
        <f t="shared" ref="S348:S349" si="939">H348/G348-1</f>
        <v>-2.1244309559943497E-3</v>
      </c>
      <c r="T348" s="10">
        <f t="shared" ref="T348:T349" si="940">N348-M348</f>
        <v>-2.1784645239525391E-2</v>
      </c>
      <c r="U348" s="10">
        <f t="shared" ref="U348:U349" si="941">P348-O348</f>
        <v>8.8935483870967724E-3</v>
      </c>
      <c r="V348" s="23">
        <v>-3.8300000000000001E-2</v>
      </c>
      <c r="W348" s="83"/>
      <c r="X348" s="5">
        <f t="shared" si="854"/>
        <v>45443</v>
      </c>
      <c r="Y348" s="43">
        <v>1717.0134087316678</v>
      </c>
      <c r="Z348" s="2">
        <v>1416.672</v>
      </c>
      <c r="AA348" s="2">
        <v>197</v>
      </c>
      <c r="AB348" s="2">
        <v>192.53</v>
      </c>
      <c r="AC348" s="2">
        <v>197.7</v>
      </c>
      <c r="AD348" s="2">
        <v>197.54</v>
      </c>
      <c r="AE348" s="10">
        <f t="shared" ref="AE348" si="942">Y348/12/AC348/AI348</f>
        <v>0.7347668272835014</v>
      </c>
      <c r="AF348" s="10">
        <f t="shared" ref="AF348" si="943">Z348/12/AD348/AJ348</f>
        <v>0.62313691597963272</v>
      </c>
      <c r="AG348" s="14">
        <f t="shared" ref="AG348" si="944">Y348/24/DAY(X348)/10</f>
        <v>0.23078137214135325</v>
      </c>
      <c r="AH348" s="14">
        <f t="shared" ref="AH348" si="945">Z348/24/DAY(X348)/10</f>
        <v>0.19041290322580645</v>
      </c>
      <c r="AI348" s="10">
        <v>0.98499999999999999</v>
      </c>
      <c r="AJ348" s="11">
        <v>0.95906829502022051</v>
      </c>
      <c r="AK348" s="10">
        <v>0.99</v>
      </c>
      <c r="AL348" s="17">
        <v>0.99957419354838706</v>
      </c>
      <c r="AM348" s="83">
        <f t="shared" si="914"/>
        <v>-0.17411152189471868</v>
      </c>
      <c r="AN348" s="81">
        <f t="shared" ref="AN348" si="946">Z348/Y348-1</f>
        <v>-0.17492082892557348</v>
      </c>
      <c r="AO348" s="10">
        <f t="shared" ref="AO348" si="947">AD348/AC348-1</f>
        <v>-8.0930703085480005E-4</v>
      </c>
      <c r="AP348" s="10">
        <f t="shared" ref="AP348" si="948">AJ348-AI348</f>
        <v>-2.593170497977948E-2</v>
      </c>
      <c r="AQ348" s="10">
        <f t="shared" ref="AQ348" si="949">AL348-AK348</f>
        <v>9.5741935483870666E-3</v>
      </c>
      <c r="AR348" s="23">
        <v>-3.6299999999999999E-2</v>
      </c>
    </row>
    <row r="349" spans="2:44" hidden="1">
      <c r="B349" s="5">
        <f t="shared" si="851"/>
        <v>45473</v>
      </c>
      <c r="C349" s="114">
        <v>1544.6776643423636</v>
      </c>
      <c r="D349" s="2">
        <v>1432.0319999999999</v>
      </c>
      <c r="E349" s="2">
        <v>178.9</v>
      </c>
      <c r="F349" s="2">
        <v>191.7</v>
      </c>
      <c r="G349" s="2">
        <v>177.2</v>
      </c>
      <c r="H349" s="2">
        <v>184.18000000000004</v>
      </c>
      <c r="I349" s="10">
        <f t="shared" si="934"/>
        <v>0.73749091161552516</v>
      </c>
      <c r="J349" s="10">
        <f t="shared" si="935"/>
        <v>0.65853376510256867</v>
      </c>
      <c r="K349" s="14">
        <f t="shared" si="936"/>
        <v>0.21453856449199496</v>
      </c>
      <c r="L349" s="14">
        <f t="shared" si="937"/>
        <v>0.19889333333333331</v>
      </c>
      <c r="M349" s="11">
        <v>0.98499999999999999</v>
      </c>
      <c r="N349" s="82">
        <v>0.9839</v>
      </c>
      <c r="O349" s="10">
        <v>0.99</v>
      </c>
      <c r="P349" s="17">
        <v>1</v>
      </c>
      <c r="Q349" s="83">
        <f t="shared" si="892"/>
        <v>-0.11231554875352556</v>
      </c>
      <c r="R349" s="81">
        <f t="shared" si="938"/>
        <v>-7.2925029566166422E-2</v>
      </c>
      <c r="S349" s="10">
        <f t="shared" si="939"/>
        <v>3.9390519187359141E-2</v>
      </c>
      <c r="T349" s="10">
        <f t="shared" si="940"/>
        <v>-1.0999999999999899E-3</v>
      </c>
      <c r="U349" s="10">
        <f t="shared" si="941"/>
        <v>1.0000000000000009E-2</v>
      </c>
      <c r="V349" s="23">
        <v>-2.6599999999999999E-2</v>
      </c>
      <c r="W349" s="83"/>
      <c r="X349" s="5">
        <f t="shared" si="854"/>
        <v>45473</v>
      </c>
      <c r="Y349" s="43">
        <v>1541.3386125876073</v>
      </c>
      <c r="Z349" s="2">
        <v>1453.326</v>
      </c>
      <c r="AA349" s="2">
        <v>178.90000000000003</v>
      </c>
      <c r="AB349" s="2">
        <v>187.66000000000003</v>
      </c>
      <c r="AC349" s="2">
        <v>177.20000000000002</v>
      </c>
      <c r="AD349" s="2">
        <v>188.35000000000005</v>
      </c>
      <c r="AE349" s="10">
        <f t="shared" ref="AE349" si="950">Y349/12/AC349/AI349</f>
        <v>0.73589671472940954</v>
      </c>
      <c r="AF349" s="10">
        <f t="shared" ref="AF349" si="951">Z349/12/AD349/AJ349</f>
        <v>0.6762807093329477</v>
      </c>
      <c r="AG349" s="14">
        <f t="shared" ref="AG349" si="952">Y349/24/DAY(X349)/10</f>
        <v>0.21407480730383438</v>
      </c>
      <c r="AH349" s="14">
        <f t="shared" ref="AH349" si="953">Z349/24/DAY(X349)/10</f>
        <v>0.20185083333333337</v>
      </c>
      <c r="AI349" s="10">
        <v>0.98499999999999999</v>
      </c>
      <c r="AJ349" s="11">
        <v>0.95079999999999998</v>
      </c>
      <c r="AK349" s="10">
        <v>0.99</v>
      </c>
      <c r="AL349" s="17">
        <v>1</v>
      </c>
      <c r="AM349" s="83">
        <f t="shared" si="914"/>
        <v>-0.12002466349776564</v>
      </c>
      <c r="AN349" s="81">
        <f t="shared" ref="AN349" si="954">Z349/Y349-1</f>
        <v>-5.7101412933431406E-2</v>
      </c>
      <c r="AO349" s="10">
        <f t="shared" ref="AO349" si="955">AD349/AC349-1</f>
        <v>6.2923250564334232E-2</v>
      </c>
      <c r="AP349" s="10">
        <f t="shared" ref="AP349" si="956">AJ349-AI349</f>
        <v>-3.4200000000000008E-2</v>
      </c>
      <c r="AQ349" s="10">
        <f t="shared" ref="AQ349" si="957">AL349-AK349</f>
        <v>1.0000000000000009E-2</v>
      </c>
      <c r="AR349" s="23">
        <v>-2.4500000000000001E-2</v>
      </c>
    </row>
    <row r="350" spans="2:44" hidden="1">
      <c r="B350" s="5">
        <f t="shared" si="851"/>
        <v>45504</v>
      </c>
      <c r="C350" s="114">
        <v>1370.1780549987882</v>
      </c>
      <c r="D350" s="2">
        <v>1182.5340000000001</v>
      </c>
      <c r="E350" s="2">
        <v>155.5</v>
      </c>
      <c r="F350" s="2">
        <v>144.38</v>
      </c>
      <c r="G350" s="2">
        <v>154.6</v>
      </c>
      <c r="H350" s="2">
        <v>141.64999999999998</v>
      </c>
      <c r="I350" s="10">
        <f t="shared" si="934"/>
        <v>0.7498079509803085</v>
      </c>
      <c r="J350" s="10">
        <f t="shared" si="935"/>
        <v>0.72782728755495529</v>
      </c>
      <c r="K350" s="14">
        <f t="shared" si="936"/>
        <v>0.18416371706972962</v>
      </c>
      <c r="L350" s="14">
        <f t="shared" si="937"/>
        <v>0.15894274193548391</v>
      </c>
      <c r="M350" s="11">
        <v>0.98499999999999999</v>
      </c>
      <c r="N350" s="82">
        <v>0.95584501032258062</v>
      </c>
      <c r="O350" s="10">
        <v>0.99</v>
      </c>
      <c r="P350" s="17">
        <v>1</v>
      </c>
      <c r="Q350" s="83">
        <f t="shared" ref="Q350:Q351" si="958">R350-S350</f>
        <v>-5.3184110987858135E-2</v>
      </c>
      <c r="R350" s="81">
        <f t="shared" ref="R350" si="959">D350/C350-1</f>
        <v>-0.13694866467479228</v>
      </c>
      <c r="S350" s="10">
        <f t="shared" ref="S350" si="960">H350/G350-1</f>
        <v>-8.376455368693414E-2</v>
      </c>
      <c r="T350" s="10">
        <f t="shared" ref="T350" si="961">N350-M350</f>
        <v>-2.9154989677419363E-2</v>
      </c>
      <c r="U350" s="10">
        <f t="shared" ref="U350" si="962">P350-O350</f>
        <v>1.0000000000000009E-2</v>
      </c>
      <c r="V350" s="23">
        <v>-9.7999999999999997E-3</v>
      </c>
      <c r="W350" s="83"/>
      <c r="X350" s="5">
        <f t="shared" si="854"/>
        <v>45504</v>
      </c>
      <c r="Y350" s="43">
        <v>1364.4768245777088</v>
      </c>
      <c r="Z350" s="2">
        <v>1195.6980000000001</v>
      </c>
      <c r="AA350" s="2">
        <v>155.5</v>
      </c>
      <c r="AB350" s="2">
        <v>143.95999999999998</v>
      </c>
      <c r="AC350" s="2">
        <v>154.6</v>
      </c>
      <c r="AD350" s="2">
        <v>144.26</v>
      </c>
      <c r="AE350" s="10">
        <f t="shared" ref="AE350" si="963">Y350/12/AC350/AI350</f>
        <v>0.74668804412988099</v>
      </c>
      <c r="AF350" s="10">
        <f t="shared" ref="AF350" si="964">Z350/12/AD350/AJ350</f>
        <v>0.74063856920999271</v>
      </c>
      <c r="AG350" s="14">
        <f t="shared" ref="AG350" si="965">Y350/24/DAY(X350)/10</f>
        <v>0.1833974226582942</v>
      </c>
      <c r="AH350" s="14">
        <f t="shared" ref="AH350" si="966">Z350/24/DAY(X350)/10</f>
        <v>0.16071209677419357</v>
      </c>
      <c r="AI350" s="10">
        <v>0.98499999999999999</v>
      </c>
      <c r="AJ350" s="11">
        <v>0.93258409514477403</v>
      </c>
      <c r="AK350" s="10">
        <v>0.99</v>
      </c>
      <c r="AL350" s="17">
        <v>1</v>
      </c>
      <c r="AM350" s="83">
        <f t="shared" si="914"/>
        <v>-5.6812623309889565E-2</v>
      </c>
      <c r="AN350" s="81">
        <f t="shared" ref="AN350:AN351" si="967">Z350/Y350-1</f>
        <v>-0.1236949001533566</v>
      </c>
      <c r="AO350" s="10">
        <f t="shared" ref="AO350:AO351" si="968">AD350/AC350-1</f>
        <v>-6.6882276843467037E-2</v>
      </c>
      <c r="AP350" s="10">
        <f t="shared" ref="AP350:AP351" si="969">AJ350-AI350</f>
        <v>-5.2415904855225959E-2</v>
      </c>
      <c r="AQ350" s="10">
        <f t="shared" ref="AQ350:AQ351" si="970">AL350-AK350</f>
        <v>1.0000000000000009E-2</v>
      </c>
      <c r="AR350" s="23">
        <v>-8.2000000000000007E-3</v>
      </c>
    </row>
    <row r="351" spans="2:44" hidden="1">
      <c r="B351" s="5">
        <f t="shared" si="851"/>
        <v>45535</v>
      </c>
      <c r="C351" s="114">
        <v>1301.6246370423833</v>
      </c>
      <c r="D351" s="2">
        <v>1303.9860000000001</v>
      </c>
      <c r="E351" s="2">
        <v>145.4</v>
      </c>
      <c r="F351" s="2">
        <v>161.13999999999996</v>
      </c>
      <c r="G351" s="2">
        <v>146.30000000000001</v>
      </c>
      <c r="H351" s="2">
        <v>164.68</v>
      </c>
      <c r="I351" s="10">
        <f t="shared" ref="I351" si="971">C351/12/G351/M351</f>
        <v>0.75270353840437687</v>
      </c>
      <c r="J351" s="10">
        <f t="shared" ref="J351" si="972">D351/12/H351/N351</f>
        <v>0.6947269838331851</v>
      </c>
      <c r="K351" s="14">
        <f t="shared" ref="K351" si="973">C351/24/DAY(B351)/10</f>
        <v>0.17494954798956766</v>
      </c>
      <c r="L351" s="14">
        <f t="shared" ref="L351" si="974">D351/24/DAY(B351)/10</f>
        <v>0.17526693548387098</v>
      </c>
      <c r="M351" s="11">
        <v>0.98499999999999999</v>
      </c>
      <c r="N351" s="82">
        <v>0.9498098229032258</v>
      </c>
      <c r="O351" s="10">
        <v>0.99</v>
      </c>
      <c r="P351" s="17">
        <v>1</v>
      </c>
      <c r="Q351" s="83">
        <f t="shared" si="958"/>
        <v>-0.12381809663083976</v>
      </c>
      <c r="R351" s="81">
        <f t="shared" ref="R351" si="975">D351/C351-1</f>
        <v>1.8141658435280039E-3</v>
      </c>
      <c r="S351" s="10">
        <f t="shared" ref="S351" si="976">H351/G351-1</f>
        <v>0.12563226247436776</v>
      </c>
      <c r="T351" s="10">
        <f t="shared" ref="T351" si="977">N351-M351</f>
        <v>-3.5190177096774189E-2</v>
      </c>
      <c r="U351" s="10">
        <f t="shared" ref="U351" si="978">P351-O351</f>
        <v>1.0000000000000009E-2</v>
      </c>
      <c r="V351" s="23">
        <v>-7.1000000000000004E-3</v>
      </c>
      <c r="W351" s="83"/>
      <c r="X351" s="5">
        <f t="shared" si="854"/>
        <v>45535</v>
      </c>
      <c r="Y351" s="43">
        <v>1295.0378004261715</v>
      </c>
      <c r="Z351" s="2">
        <v>1335.27</v>
      </c>
      <c r="AA351" s="2">
        <v>145.4</v>
      </c>
      <c r="AB351" s="2">
        <v>161.69</v>
      </c>
      <c r="AC351" s="2">
        <v>146.29999999999998</v>
      </c>
      <c r="AD351" s="2">
        <v>165.67999999999995</v>
      </c>
      <c r="AE351" s="10">
        <f t="shared" ref="AE351" si="979">Y351/12/AC351/AI351</f>
        <v>0.74889450230685828</v>
      </c>
      <c r="AF351" s="10">
        <f t="shared" ref="AF351" si="980">Z351/12/AD351/AJ351</f>
        <v>0.71614706144400986</v>
      </c>
      <c r="AG351" s="14">
        <f t="shared" ref="AG351" si="981">Y351/24/DAY(X351)/10</f>
        <v>0.17406422048738865</v>
      </c>
      <c r="AH351" s="14">
        <f t="shared" ref="AH351" si="982">Z351/24/DAY(X351)/10</f>
        <v>0.17947177419354837</v>
      </c>
      <c r="AI351" s="11">
        <v>0.98499999999999999</v>
      </c>
      <c r="AJ351" s="11">
        <v>0.93781148161290329</v>
      </c>
      <c r="AK351" s="10">
        <v>0.99</v>
      </c>
      <c r="AL351" s="17">
        <v>1</v>
      </c>
      <c r="AM351" s="83">
        <f t="shared" si="914"/>
        <v>-0.10140110370337663</v>
      </c>
      <c r="AN351" s="81">
        <f t="shared" si="967"/>
        <v>3.1066428764155551E-2</v>
      </c>
      <c r="AO351" s="10">
        <f t="shared" si="968"/>
        <v>0.13246753246753218</v>
      </c>
      <c r="AP351" s="10">
        <f t="shared" si="969"/>
        <v>-4.7188518387096701E-2</v>
      </c>
      <c r="AQ351" s="10">
        <f t="shared" si="970"/>
        <v>1.0000000000000009E-2</v>
      </c>
      <c r="AR351" s="23">
        <v>-1.1299999999999999E-2</v>
      </c>
    </row>
    <row r="352" spans="2:44" hidden="1">
      <c r="B352" s="5">
        <f t="shared" si="851"/>
        <v>45565</v>
      </c>
      <c r="C352" s="114">
        <v>1295.3925081372558</v>
      </c>
      <c r="D352" s="2">
        <v>1061.874</v>
      </c>
      <c r="E352" s="2">
        <v>141.6</v>
      </c>
      <c r="F352" s="2">
        <v>119.97000000000001</v>
      </c>
      <c r="G352" s="2">
        <v>145.5</v>
      </c>
      <c r="H352" s="2">
        <v>127.23000000000002</v>
      </c>
      <c r="I352" s="10">
        <f t="shared" ref="I352" si="983">C352/12/G352/M352</f>
        <v>0.75321838350588488</v>
      </c>
      <c r="J352" s="10">
        <f t="shared" ref="J352" si="984">D352/12/H352/N352</f>
        <v>0.71756312839930814</v>
      </c>
      <c r="K352" s="14">
        <f t="shared" ref="K352" si="985">C352/24/DAY(B352)/10</f>
        <v>0.17991562613017442</v>
      </c>
      <c r="L352" s="14">
        <f t="shared" ref="L352" si="986">D352/24/DAY(B352)/10</f>
        <v>0.14748250000000002</v>
      </c>
      <c r="M352" s="11">
        <v>0.98499999999999999</v>
      </c>
      <c r="N352" s="82">
        <v>0.96926403733333333</v>
      </c>
      <c r="O352" s="10">
        <v>0.99</v>
      </c>
      <c r="P352" s="17">
        <v>1</v>
      </c>
      <c r="Q352" s="83">
        <f t="shared" ref="Q352:Q353" si="987">R352-S352</f>
        <v>-5.4701523490604531E-2</v>
      </c>
      <c r="R352" s="81">
        <f t="shared" ref="R352" si="988">D352/C352-1</f>
        <v>-0.18026853379988272</v>
      </c>
      <c r="S352" s="10">
        <f t="shared" ref="S352" si="989">H352/G352-1</f>
        <v>-0.12556701030927819</v>
      </c>
      <c r="T352" s="10">
        <f t="shared" ref="T352" si="990">N352-M352</f>
        <v>-1.5735962666666659E-2</v>
      </c>
      <c r="U352" s="10">
        <f t="shared" ref="U352" si="991">P352-O352</f>
        <v>1.0000000000000009E-2</v>
      </c>
      <c r="V352" s="23">
        <v>-1.0500000000000001E-2</v>
      </c>
      <c r="W352" s="83"/>
      <c r="X352" s="5">
        <f t="shared" si="854"/>
        <v>45565</v>
      </c>
      <c r="Y352" s="43">
        <v>1290.8833288957376</v>
      </c>
      <c r="Z352" s="2">
        <v>1103.424</v>
      </c>
      <c r="AA352" s="2">
        <v>141.6</v>
      </c>
      <c r="AB352" s="2">
        <v>120.91000000000003</v>
      </c>
      <c r="AC352" s="2">
        <v>145.5</v>
      </c>
      <c r="AD352" s="2">
        <v>130.43</v>
      </c>
      <c r="AE352" s="10">
        <f t="shared" ref="AE352" si="992">Y352/12/AC352/AI352</f>
        <v>0.75059647803870055</v>
      </c>
      <c r="AF352" s="10">
        <f t="shared" ref="AF352" si="993">Z352/12/AD352/AJ352</f>
        <v>0.75317088369314356</v>
      </c>
      <c r="AG352" s="14">
        <f t="shared" ref="AG352" si="994">Y352/24/DAY(X352)/10</f>
        <v>0.17928935123551912</v>
      </c>
      <c r="AH352" s="14">
        <f t="shared" ref="AH352" si="995">Z352/24/DAY(X352)/10</f>
        <v>0.15325333333333332</v>
      </c>
      <c r="AI352" s="11">
        <v>0.98499999999999999</v>
      </c>
      <c r="AJ352" s="11">
        <v>0.93603085073223657</v>
      </c>
      <c r="AK352" s="10">
        <v>0.99</v>
      </c>
      <c r="AL352" s="17">
        <v>1</v>
      </c>
      <c r="AM352" s="83">
        <f t="shared" si="914"/>
        <v>-4.1643987965614859E-2</v>
      </c>
      <c r="AN352" s="81">
        <f t="shared" ref="AN352" si="996">Z352/Y352-1</f>
        <v>-0.14521787112712681</v>
      </c>
      <c r="AO352" s="10">
        <f t="shared" ref="AO352" si="997">AD352/AC352-1</f>
        <v>-0.10357388316151195</v>
      </c>
      <c r="AP352" s="10">
        <f t="shared" ref="AP352" si="998">AJ352-AI352</f>
        <v>-4.8969149267763412E-2</v>
      </c>
      <c r="AQ352" s="10">
        <f t="shared" ref="AQ352" si="999">AL352-AK352</f>
        <v>1.0000000000000009E-2</v>
      </c>
      <c r="AR352" s="23">
        <v>-8.5000000000000006E-3</v>
      </c>
    </row>
    <row r="353" spans="2:44" hidden="1">
      <c r="B353" s="5">
        <f t="shared" si="851"/>
        <v>45596</v>
      </c>
      <c r="C353" s="114">
        <v>1481.4660711617826</v>
      </c>
      <c r="D353" s="2">
        <v>1277.028</v>
      </c>
      <c r="E353" s="2">
        <v>139.1</v>
      </c>
      <c r="F353" s="2">
        <v>127.17</v>
      </c>
      <c r="G353" s="2">
        <v>172.20000000000002</v>
      </c>
      <c r="H353" s="2">
        <v>153.45999999999995</v>
      </c>
      <c r="I353" s="10">
        <f t="shared" ref="I353" si="1000">C353/12/G353/M353</f>
        <v>0.72784865862589565</v>
      </c>
      <c r="J353" s="10">
        <f t="shared" ref="J353" si="1001">D353/12/H353/N353</f>
        <v>0.70334677463612449</v>
      </c>
      <c r="K353" s="14">
        <f t="shared" ref="K353" si="1002">C353/24/DAY(B353)/10</f>
        <v>0.19912178375830411</v>
      </c>
      <c r="L353" s="14">
        <f t="shared" ref="L353" si="1003">D353/24/DAY(B353)/10</f>
        <v>0.17164354838709678</v>
      </c>
      <c r="M353" s="11">
        <v>0.98499999999999999</v>
      </c>
      <c r="N353" s="82">
        <v>0.98594906507804358</v>
      </c>
      <c r="O353" s="10">
        <v>0.99</v>
      </c>
      <c r="P353" s="17">
        <v>0.99374838709677416</v>
      </c>
      <c r="Q353" s="83">
        <f t="shared" si="987"/>
        <v>-2.917018806335403E-2</v>
      </c>
      <c r="R353" s="81">
        <f t="shared" ref="R353" si="1004">D353/C353-1</f>
        <v>-0.13799713347566567</v>
      </c>
      <c r="S353" s="10">
        <f t="shared" ref="S353" si="1005">H353/G353-1</f>
        <v>-0.10882694541231164</v>
      </c>
      <c r="T353" s="10">
        <f t="shared" ref="T353" si="1006">N353-M353</f>
        <v>9.490650780435983E-4</v>
      </c>
      <c r="U353" s="10">
        <f t="shared" ref="U353" si="1007">P353-O353</f>
        <v>3.7483870967741639E-3</v>
      </c>
      <c r="V353" s="23">
        <v>-2.5654838709677399E-2</v>
      </c>
      <c r="W353" s="83"/>
      <c r="X353" s="5">
        <f t="shared" si="854"/>
        <v>45596</v>
      </c>
      <c r="Y353" s="43">
        <v>1479.0215396310994</v>
      </c>
      <c r="Z353" s="2">
        <v>1283.7</v>
      </c>
      <c r="AA353" s="2">
        <v>139.1</v>
      </c>
      <c r="AB353" s="2">
        <v>123.08999999999997</v>
      </c>
      <c r="AC353" s="2">
        <v>172.20000000000002</v>
      </c>
      <c r="AD353" s="2">
        <v>154.30000000000001</v>
      </c>
      <c r="AE353" s="10">
        <f t="shared" ref="AE353" si="1008">Y353/12/AC353/AI353</f>
        <v>0.72664765306106271</v>
      </c>
      <c r="AF353" s="10">
        <f t="shared" ref="AF353" si="1009">Z353/12/AD353/AJ353</f>
        <v>0.71985499766262107</v>
      </c>
      <c r="AG353" s="14">
        <f t="shared" ref="AG353" si="1010">Y353/24/DAY(X353)/10</f>
        <v>0.19879321769235209</v>
      </c>
      <c r="AH353" s="14">
        <f t="shared" ref="AH353" si="1011">Z353/24/DAY(X353)/10</f>
        <v>0.17254032258064517</v>
      </c>
      <c r="AI353" s="11">
        <v>0.98499999999999999</v>
      </c>
      <c r="AJ353" s="11">
        <v>0.96309991595844113</v>
      </c>
      <c r="AK353" s="10">
        <v>0.99</v>
      </c>
      <c r="AL353" s="17">
        <v>0.99528709677419358</v>
      </c>
      <c r="AM353" s="83">
        <f t="shared" ref="AM353" si="1012">AN353-AO353</f>
        <v>-2.8112425260633067E-2</v>
      </c>
      <c r="AN353" s="81">
        <f t="shared" ref="AN353" si="1013">Z353/Y353-1</f>
        <v>-0.13206132189245656</v>
      </c>
      <c r="AO353" s="10">
        <f t="shared" ref="AO353" si="1014">AD353/AC353-1</f>
        <v>-0.1039488966318235</v>
      </c>
      <c r="AP353" s="10">
        <f t="shared" ref="AP353" si="1015">AJ353-AI353</f>
        <v>-2.1900084041558854E-2</v>
      </c>
      <c r="AQ353" s="10">
        <f t="shared" ref="AQ353" si="1016">AL353-AK353</f>
        <v>5.2870967741935893E-3</v>
      </c>
      <c r="AR353" s="23">
        <v>-1.9199999999999998E-2</v>
      </c>
    </row>
    <row r="354" spans="2:44" hidden="1">
      <c r="B354" s="5">
        <f t="shared" si="851"/>
        <v>45626</v>
      </c>
      <c r="C354" s="114">
        <v>1314.0888948526385</v>
      </c>
      <c r="D354" s="2">
        <v>937.66800000000001</v>
      </c>
      <c r="E354" s="2">
        <v>108.10000000000001</v>
      </c>
      <c r="F354" s="2">
        <v>84.36999999999999</v>
      </c>
      <c r="G354" s="2">
        <v>152.1</v>
      </c>
      <c r="H354" s="2">
        <v>111.37</v>
      </c>
      <c r="I354" s="10">
        <f t="shared" ref="I354" si="1017">C354/12/G354/M354</f>
        <v>0.73093381594653895</v>
      </c>
      <c r="J354" s="10">
        <f t="shared" ref="J354" si="1018">D354/12/H354/N354</f>
        <v>0.71419644688837469</v>
      </c>
      <c r="K354" s="14">
        <f t="shared" ref="K354" si="1019">C354/24/DAY(B354)/10</f>
        <v>0.18251234650731091</v>
      </c>
      <c r="L354" s="14">
        <f t="shared" ref="L354" si="1020">D354/24/DAY(B354)/10</f>
        <v>0.13023166666666666</v>
      </c>
      <c r="M354" s="11">
        <v>0.98499999999999999</v>
      </c>
      <c r="N354" s="82">
        <v>0.98238550083970488</v>
      </c>
      <c r="O354" s="10">
        <v>0.99</v>
      </c>
      <c r="P354" s="17">
        <v>1</v>
      </c>
      <c r="Q354" s="83">
        <f t="shared" ref="Q354" si="1021">R354-S354</f>
        <v>-1.8665747229824392E-2</v>
      </c>
      <c r="R354" s="81">
        <f t="shared" ref="R354" si="1022">D354/C354-1</f>
        <v>-0.28645009962956136</v>
      </c>
      <c r="S354" s="10">
        <f t="shared" ref="S354" si="1023">H354/G354-1</f>
        <v>-0.26778435239973697</v>
      </c>
      <c r="T354" s="10">
        <f t="shared" ref="T354" si="1024">N354-M354</f>
        <v>-2.6144991602951029E-3</v>
      </c>
      <c r="U354" s="10">
        <f t="shared" ref="U354" si="1025">P354-O354</f>
        <v>1.0000000000000009E-2</v>
      </c>
      <c r="V354" s="23">
        <v>-2.2800000000000001E-2</v>
      </c>
      <c r="W354" s="83"/>
      <c r="X354" s="5">
        <f t="shared" si="854"/>
        <v>45626</v>
      </c>
      <c r="Y354" s="43">
        <v>1309.2817028162308</v>
      </c>
      <c r="Z354" s="2">
        <v>975.78</v>
      </c>
      <c r="AA354" s="2">
        <v>108.10000000000001</v>
      </c>
      <c r="AB354" s="2">
        <v>80.53</v>
      </c>
      <c r="AC354" s="2">
        <v>152.1</v>
      </c>
      <c r="AD354" s="2">
        <v>111.11000000000001</v>
      </c>
      <c r="AE354" s="10">
        <f t="shared" ref="AE354" si="1026">Y354/12/AC354/AI354</f>
        <v>0.72825991828792336</v>
      </c>
      <c r="AF354" s="10">
        <f t="shared" ref="AF354" si="1027">Z354/12/AD354/AJ354</f>
        <v>0.74463010134937069</v>
      </c>
      <c r="AG354" s="14">
        <f t="shared" ref="AG354" si="1028">Y354/24/DAY(X354)/10</f>
        <v>0.18184468094669873</v>
      </c>
      <c r="AH354" s="14">
        <f t="shared" ref="AH354" si="1029">Z354/24/DAY(X354)/10</f>
        <v>0.13552500000000001</v>
      </c>
      <c r="AI354" s="11">
        <v>0.98499999999999999</v>
      </c>
      <c r="AJ354" s="11">
        <v>0.98282666400000029</v>
      </c>
      <c r="AK354" s="10">
        <v>0.99</v>
      </c>
      <c r="AL354" s="17">
        <v>1</v>
      </c>
      <c r="AM354" s="83">
        <f t="shared" ref="AM354:AM356" si="1030">AN354-AO354</f>
        <v>1.4772633284737435E-2</v>
      </c>
      <c r="AN354" s="81">
        <f t="shared" ref="AN354" si="1031">Z354/Y354-1</f>
        <v>-0.25472112082440113</v>
      </c>
      <c r="AO354" s="10">
        <f t="shared" ref="AO354" si="1032">AD354/AC354-1</f>
        <v>-0.26949375410913856</v>
      </c>
      <c r="AP354" s="10">
        <f t="shared" ref="AP354" si="1033">AJ354-AI354</f>
        <v>-2.1733359999996926E-3</v>
      </c>
      <c r="AQ354" s="10">
        <f t="shared" ref="AQ354" si="1034">AL354-AK354</f>
        <v>1.0000000000000009E-2</v>
      </c>
      <c r="AR354" s="23">
        <v>-1.9699999999999999E-2</v>
      </c>
    </row>
    <row r="355" spans="2:44" hidden="1">
      <c r="B355" s="5">
        <f t="shared" si="851"/>
        <v>45657</v>
      </c>
      <c r="C355" s="114">
        <v>1105.7577285955131</v>
      </c>
      <c r="D355" s="2">
        <v>996.61199999999997</v>
      </c>
      <c r="E355" s="2">
        <v>89.9</v>
      </c>
      <c r="F355" s="2">
        <v>77.62</v>
      </c>
      <c r="G355" s="2">
        <v>129.6</v>
      </c>
      <c r="H355" s="2">
        <v>112.75</v>
      </c>
      <c r="I355" s="10">
        <f t="shared" ref="I355" si="1035">C355/12/G355/M355</f>
        <v>0.72183428419313955</v>
      </c>
      <c r="J355" s="10">
        <f t="shared" ref="J355" si="1036">D355/12/H355/N355</f>
        <v>0.7388671677694385</v>
      </c>
      <c r="K355" s="14">
        <f t="shared" ref="K355:K356" si="1037">C355/24/DAY(B355)/10</f>
        <v>0.14862335061767648</v>
      </c>
      <c r="L355" s="14">
        <f t="shared" ref="L355:L356" si="1038">D355/24/DAY(B355)/10</f>
        <v>0.13395322580645161</v>
      </c>
      <c r="M355" s="11">
        <v>0.98499999999999999</v>
      </c>
      <c r="N355" s="82">
        <v>0.99692376000000005</v>
      </c>
      <c r="O355" s="10">
        <v>0.99</v>
      </c>
      <c r="P355" s="17">
        <v>1</v>
      </c>
      <c r="Q355" s="83">
        <f t="shared" ref="Q355" si="1039">R355-S355</f>
        <v>3.1308702972715929E-2</v>
      </c>
      <c r="R355" s="81">
        <f t="shared" ref="R355" si="1040">D355/C355-1</f>
        <v>-9.8706729126049497E-2</v>
      </c>
      <c r="S355" s="10">
        <f t="shared" ref="S355" si="1041">H355/G355-1</f>
        <v>-0.13001543209876543</v>
      </c>
      <c r="T355" s="10">
        <f t="shared" ref="T355" si="1042">N355-M355</f>
        <v>1.1923760000000061E-2</v>
      </c>
      <c r="U355" s="10">
        <f t="shared" ref="U355" si="1043">P355-O355</f>
        <v>1.0000000000000009E-2</v>
      </c>
      <c r="V355" s="23">
        <v>-1.54E-2</v>
      </c>
      <c r="W355" s="83"/>
      <c r="X355" s="5">
        <f t="shared" si="854"/>
        <v>45657</v>
      </c>
      <c r="Y355" s="43">
        <v>1099.1841425628616</v>
      </c>
      <c r="Z355" s="2">
        <v>1055.424</v>
      </c>
      <c r="AA355" s="2">
        <v>89.9</v>
      </c>
      <c r="AB355" s="2">
        <v>75.180000000000007</v>
      </c>
      <c r="AC355" s="2">
        <v>129.6</v>
      </c>
      <c r="AD355" s="2">
        <v>117.79</v>
      </c>
      <c r="AE355" s="10">
        <f t="shared" ref="AE355:AE356" si="1044">Y355/12/AC355/AI355</f>
        <v>0.71754307315680532</v>
      </c>
      <c r="AF355" s="10">
        <f t="shared" ref="AF355:AF356" si="1045">Z355/12/AD355/AJ355</f>
        <v>0.75136993309367195</v>
      </c>
      <c r="AG355" s="14">
        <f t="shared" ref="AG355:AG356" si="1046">Y355/24/DAY(X355)/10</f>
        <v>0.14773980410791149</v>
      </c>
      <c r="AH355" s="14">
        <f t="shared" ref="AH355:AH356" si="1047">Z355/24/DAY(X355)/10</f>
        <v>0.14185806451612903</v>
      </c>
      <c r="AI355" s="11">
        <v>0.98499999999999999</v>
      </c>
      <c r="AJ355" s="11">
        <v>0.99376451612903238</v>
      </c>
      <c r="AK355" s="10">
        <v>0.99</v>
      </c>
      <c r="AL355" s="17">
        <v>1</v>
      </c>
      <c r="AM355" s="83">
        <f t="shared" si="1030"/>
        <v>5.1315067708755935E-2</v>
      </c>
      <c r="AN355" s="81">
        <f t="shared" ref="AN355:AN356" si="1048">Z355/Y355-1</f>
        <v>-3.9811475501120519E-2</v>
      </c>
      <c r="AO355" s="10">
        <f t="shared" ref="AO355:AO356" si="1049">AD355/AC355-1</f>
        <v>-9.1126543209876454E-2</v>
      </c>
      <c r="AP355" s="10">
        <f t="shared" ref="AP355:AP356" si="1050">AJ355-AI355</f>
        <v>8.7645161290323959E-3</v>
      </c>
      <c r="AQ355" s="10">
        <f t="shared" ref="AQ355:AQ356" si="1051">AL355-AK355</f>
        <v>1.0000000000000009E-2</v>
      </c>
      <c r="AR355" s="23">
        <v>-1.33774193548387E-2</v>
      </c>
    </row>
    <row r="356" spans="2:44">
      <c r="B356" s="5">
        <f t="shared" si="851"/>
        <v>45688</v>
      </c>
      <c r="C356" s="114">
        <v>931.91694430762266</v>
      </c>
      <c r="D356" s="2">
        <v>917.58600000000001</v>
      </c>
      <c r="E356" s="2">
        <v>79.600000000000009</v>
      </c>
      <c r="F356" s="2">
        <v>79.710000000000008</v>
      </c>
      <c r="G356" s="2">
        <v>103.20000000000002</v>
      </c>
      <c r="H356" s="2">
        <v>105.60000000000001</v>
      </c>
      <c r="I356" s="10">
        <f t="shared" ref="I356" si="1052">C356/12/G356/M356</f>
        <v>0.76397656080518384</v>
      </c>
      <c r="J356" s="10">
        <f t="shared" ref="J356" si="1053">D356/12/H356/N356</f>
        <v>0.73227234435483934</v>
      </c>
      <c r="K356" s="14">
        <f t="shared" si="1037"/>
        <v>0.12525765380478798</v>
      </c>
      <c r="L356" s="14">
        <f t="shared" si="1038"/>
        <v>0.12333145161290324</v>
      </c>
      <c r="M356" s="11">
        <v>0.98499999999999999</v>
      </c>
      <c r="N356" s="82">
        <v>0.98884673061677442</v>
      </c>
      <c r="O356" s="10">
        <v>0.99</v>
      </c>
      <c r="P356" s="17">
        <v>1</v>
      </c>
      <c r="Q356" s="83">
        <f t="shared" ref="Q356" si="1054">R356-S356</f>
        <v>-3.8633734051582325E-2</v>
      </c>
      <c r="R356" s="81">
        <f t="shared" ref="R356" si="1055">D356/C356-1</f>
        <v>-1.5377920098094133E-2</v>
      </c>
      <c r="S356" s="10">
        <f t="shared" ref="S356" si="1056">H356/G356-1</f>
        <v>2.3255813953488191E-2</v>
      </c>
      <c r="T356" s="10">
        <f t="shared" ref="T356" si="1057">N356-M356</f>
        <v>3.8467306167744297E-3</v>
      </c>
      <c r="U356" s="10">
        <f t="shared" ref="U356" si="1058">P356-O356</f>
        <v>1.0000000000000009E-2</v>
      </c>
      <c r="V356" s="23">
        <v>-1.7106451612903199E-2</v>
      </c>
      <c r="X356" s="5">
        <f t="shared" si="854"/>
        <v>45688</v>
      </c>
      <c r="Y356" s="43">
        <v>925.38761267250675</v>
      </c>
      <c r="Z356" s="2">
        <v>956.25</v>
      </c>
      <c r="AA356" s="2">
        <v>79.600000000000009</v>
      </c>
      <c r="AB356" s="2">
        <v>77.609999999999985</v>
      </c>
      <c r="AC356" s="2">
        <v>103.20000000000002</v>
      </c>
      <c r="AD356" s="2">
        <v>107.49000000000001</v>
      </c>
      <c r="AE356" s="10">
        <f t="shared" si="1044"/>
        <v>0.75862387743847193</v>
      </c>
      <c r="AF356" s="10">
        <f t="shared" si="1045"/>
        <v>0.74498367092533846</v>
      </c>
      <c r="AG356" s="14">
        <f t="shared" si="1046"/>
        <v>0.12438005546673477</v>
      </c>
      <c r="AH356" s="14">
        <f t="shared" si="1047"/>
        <v>0.12852822580645162</v>
      </c>
      <c r="AI356" s="11">
        <v>0.98499999999999999</v>
      </c>
      <c r="AJ356" s="11">
        <v>0.99511984129032249</v>
      </c>
      <c r="AK356" s="10">
        <v>0.99</v>
      </c>
      <c r="AL356" s="17">
        <v>1</v>
      </c>
      <c r="AM356" s="83">
        <f t="shared" si="1030"/>
        <v>-8.2189997150663441E-3</v>
      </c>
      <c r="AN356" s="81">
        <f t="shared" si="1048"/>
        <v>3.3350767726794128E-2</v>
      </c>
      <c r="AO356" s="10">
        <f t="shared" si="1049"/>
        <v>4.1569767441860472E-2</v>
      </c>
      <c r="AP356" s="10">
        <f t="shared" si="1050"/>
        <v>1.0119841290322507E-2</v>
      </c>
      <c r="AQ356" s="10">
        <f t="shared" si="1051"/>
        <v>1.0000000000000009E-2</v>
      </c>
      <c r="AR356" s="23">
        <v>-2.0003225806451599E-2</v>
      </c>
    </row>
    <row r="357" spans="2:44">
      <c r="B357" s="5">
        <f t="shared" si="851"/>
        <v>45716</v>
      </c>
      <c r="C357" s="114">
        <v>1220.704894729947</v>
      </c>
      <c r="D357" s="2"/>
      <c r="E357" s="2">
        <v>108.10000000000001</v>
      </c>
      <c r="F357" s="2"/>
      <c r="G357" s="2">
        <v>137.5</v>
      </c>
      <c r="H357" s="2"/>
      <c r="I357" s="12"/>
      <c r="J357" s="10"/>
      <c r="K357" s="12"/>
      <c r="L357" s="12"/>
      <c r="M357" s="12"/>
      <c r="N357" s="10"/>
      <c r="O357" s="10"/>
      <c r="P357" s="23"/>
      <c r="Q357" s="83"/>
      <c r="R357" s="81"/>
      <c r="S357" s="10"/>
      <c r="T357" s="10"/>
      <c r="U357" s="10"/>
      <c r="V357" s="23"/>
      <c r="X357" s="5">
        <f t="shared" si="854"/>
        <v>45716</v>
      </c>
      <c r="Y357" s="43">
        <v>1214.7465547672248</v>
      </c>
      <c r="Z357" s="2"/>
      <c r="AA357" s="2">
        <v>108.10000000000001</v>
      </c>
      <c r="AB357" s="2"/>
      <c r="AC357" s="2">
        <v>137.5</v>
      </c>
      <c r="AD357" s="2"/>
      <c r="AE357" s="12"/>
      <c r="AF357" s="10"/>
      <c r="AG357" s="12"/>
      <c r="AH357" s="12"/>
      <c r="AI357" s="12"/>
      <c r="AJ357" s="10"/>
      <c r="AK357" s="10"/>
      <c r="AL357" s="23"/>
      <c r="AM357" s="83"/>
      <c r="AN357" s="81"/>
      <c r="AO357" s="10"/>
      <c r="AP357" s="10"/>
      <c r="AQ357" s="10"/>
      <c r="AR357" s="23"/>
    </row>
    <row r="358" spans="2:44">
      <c r="B358" s="5">
        <f t="shared" si="851"/>
        <v>45747</v>
      </c>
      <c r="C358" s="114">
        <v>1632.6263577556547</v>
      </c>
      <c r="D358" s="2"/>
      <c r="E358" s="2">
        <v>159.81</v>
      </c>
      <c r="F358" s="2"/>
      <c r="G358" s="2">
        <v>187.79999999999998</v>
      </c>
      <c r="H358" s="2"/>
      <c r="I358" s="12"/>
      <c r="J358" s="10"/>
      <c r="K358" s="12"/>
      <c r="L358" s="12"/>
      <c r="M358" s="12"/>
      <c r="N358" s="10"/>
      <c r="O358" s="10"/>
      <c r="P358" s="23"/>
      <c r="Q358" s="83"/>
      <c r="R358" s="81"/>
      <c r="S358" s="10"/>
      <c r="T358" s="10"/>
      <c r="U358" s="10"/>
      <c r="V358" s="23"/>
      <c r="X358" s="5">
        <f t="shared" si="854"/>
        <v>45747</v>
      </c>
      <c r="Y358" s="43">
        <v>1629.2975289519027</v>
      </c>
      <c r="Z358" s="2"/>
      <c r="AA358" s="2">
        <v>159.81</v>
      </c>
      <c r="AB358" s="2"/>
      <c r="AC358" s="2">
        <v>187.79999999999998</v>
      </c>
      <c r="AD358" s="2"/>
      <c r="AE358" s="12"/>
      <c r="AF358" s="10"/>
      <c r="AG358" s="12"/>
      <c r="AH358" s="12"/>
      <c r="AI358" s="12"/>
      <c r="AJ358" s="10"/>
      <c r="AK358" s="10"/>
      <c r="AL358" s="23"/>
      <c r="AM358" s="83"/>
      <c r="AN358" s="81"/>
      <c r="AO358" s="10"/>
      <c r="AP358" s="10"/>
      <c r="AQ358" s="10"/>
      <c r="AR358" s="23"/>
    </row>
    <row r="359" spans="2:44">
      <c r="B359" s="5">
        <f t="shared" si="851"/>
        <v>45777</v>
      </c>
      <c r="C359" s="114">
        <v>1686.663366883758</v>
      </c>
      <c r="D359" s="2"/>
      <c r="E359" s="2">
        <v>190.20000000000002</v>
      </c>
      <c r="F359" s="2"/>
      <c r="G359" s="2">
        <v>194</v>
      </c>
      <c r="H359" s="2"/>
      <c r="I359" s="12"/>
      <c r="J359" s="10"/>
      <c r="K359" s="12"/>
      <c r="L359" s="12"/>
      <c r="M359" s="12"/>
      <c r="N359" s="10"/>
      <c r="O359" s="10"/>
      <c r="P359" s="23"/>
      <c r="Q359" s="83"/>
      <c r="R359" s="81"/>
      <c r="S359" s="10"/>
      <c r="T359" s="10"/>
      <c r="U359" s="10"/>
      <c r="V359" s="23"/>
      <c r="X359" s="5">
        <f t="shared" si="854"/>
        <v>45777</v>
      </c>
      <c r="Y359" s="43">
        <v>1685.9882604643374</v>
      </c>
      <c r="Z359" s="2"/>
      <c r="AA359" s="2">
        <v>190.20000000000002</v>
      </c>
      <c r="AB359" s="2"/>
      <c r="AC359" s="2">
        <v>194</v>
      </c>
      <c r="AD359" s="2"/>
      <c r="AE359" s="12"/>
      <c r="AF359" s="10"/>
      <c r="AG359" s="12"/>
      <c r="AH359" s="12"/>
      <c r="AI359" s="12"/>
      <c r="AJ359" s="10"/>
      <c r="AK359" s="10"/>
      <c r="AL359" s="23"/>
      <c r="AM359" s="83"/>
      <c r="AN359" s="81"/>
      <c r="AO359" s="10"/>
      <c r="AP359" s="10"/>
      <c r="AQ359" s="10"/>
      <c r="AR359" s="23"/>
    </row>
    <row r="360" spans="2:44">
      <c r="B360" s="5">
        <f t="shared" si="851"/>
        <v>45808</v>
      </c>
      <c r="C360" s="114">
        <v>1708.8096821001934</v>
      </c>
      <c r="D360" s="2"/>
      <c r="E360" s="2">
        <v>197</v>
      </c>
      <c r="F360" s="2"/>
      <c r="G360" s="2">
        <v>197.70000000000002</v>
      </c>
      <c r="H360" s="2"/>
      <c r="I360" s="12"/>
      <c r="J360" s="10"/>
      <c r="K360" s="12"/>
      <c r="L360" s="12"/>
      <c r="M360" s="12"/>
      <c r="N360" s="10"/>
      <c r="O360" s="10"/>
      <c r="P360" s="23"/>
      <c r="Q360" s="83"/>
      <c r="R360" s="81"/>
      <c r="S360" s="10"/>
      <c r="T360" s="10"/>
      <c r="U360" s="10"/>
      <c r="V360" s="23"/>
      <c r="X360" s="5">
        <f t="shared" si="854"/>
        <v>45808</v>
      </c>
      <c r="Y360" s="43">
        <v>1708.4283416880096</v>
      </c>
      <c r="Z360" s="2"/>
      <c r="AA360" s="2">
        <v>197</v>
      </c>
      <c r="AB360" s="2"/>
      <c r="AC360" s="2">
        <v>197.70000000000002</v>
      </c>
      <c r="AD360" s="2"/>
      <c r="AE360" s="12"/>
      <c r="AF360" s="10"/>
      <c r="AG360" s="12"/>
      <c r="AH360" s="12"/>
      <c r="AI360" s="12"/>
      <c r="AJ360" s="10"/>
      <c r="AK360" s="10"/>
      <c r="AL360" s="23"/>
      <c r="AM360" s="83"/>
      <c r="AN360" s="81"/>
      <c r="AO360" s="10"/>
      <c r="AP360" s="10"/>
      <c r="AQ360" s="10"/>
      <c r="AR360" s="23"/>
    </row>
    <row r="361" spans="2:44">
      <c r="B361" s="5">
        <f t="shared" si="851"/>
        <v>45838</v>
      </c>
      <c r="C361" s="114">
        <v>1536.9542760206518</v>
      </c>
      <c r="D361" s="2"/>
      <c r="E361" s="2">
        <v>178.90000000000003</v>
      </c>
      <c r="F361" s="2"/>
      <c r="G361" s="2">
        <v>177.20000000000002</v>
      </c>
      <c r="H361" s="2"/>
      <c r="I361" s="12"/>
      <c r="J361" s="10"/>
      <c r="K361" s="12"/>
      <c r="L361" s="12"/>
      <c r="M361" s="12"/>
      <c r="N361" s="10"/>
      <c r="O361" s="10"/>
      <c r="P361" s="23"/>
      <c r="Q361" s="83"/>
      <c r="R361" s="81"/>
      <c r="S361" s="10"/>
      <c r="T361" s="10"/>
      <c r="U361" s="10"/>
      <c r="V361" s="23"/>
      <c r="X361" s="5">
        <f t="shared" si="854"/>
        <v>45838</v>
      </c>
      <c r="Y361" s="43">
        <v>1533.6319195246692</v>
      </c>
      <c r="Z361" s="2"/>
      <c r="AA361" s="2">
        <v>178.90000000000003</v>
      </c>
      <c r="AB361" s="2"/>
      <c r="AC361" s="2">
        <v>177.20000000000002</v>
      </c>
      <c r="AD361" s="2"/>
      <c r="AE361" s="12"/>
      <c r="AF361" s="10"/>
      <c r="AG361" s="12"/>
      <c r="AH361" s="12"/>
      <c r="AI361" s="12"/>
      <c r="AJ361" s="10"/>
      <c r="AK361" s="10"/>
      <c r="AL361" s="23"/>
      <c r="AM361" s="83"/>
      <c r="AN361" s="81"/>
      <c r="AO361" s="10"/>
      <c r="AP361" s="10"/>
      <c r="AQ361" s="10"/>
      <c r="AR361" s="23"/>
    </row>
    <row r="362" spans="2:44">
      <c r="B362" s="5">
        <f t="shared" si="851"/>
        <v>45869</v>
      </c>
      <c r="C362" s="114">
        <v>1363.3271647237943</v>
      </c>
      <c r="D362" s="2"/>
      <c r="E362" s="2">
        <v>155.5</v>
      </c>
      <c r="F362" s="2"/>
      <c r="G362" s="2">
        <v>154.6</v>
      </c>
      <c r="H362" s="2"/>
      <c r="I362" s="12"/>
      <c r="J362" s="10"/>
      <c r="K362" s="12"/>
      <c r="L362" s="12"/>
      <c r="M362" s="12"/>
      <c r="N362" s="10"/>
      <c r="O362" s="10"/>
      <c r="P362" s="23"/>
      <c r="Q362" s="83"/>
      <c r="R362" s="81"/>
      <c r="S362" s="10"/>
      <c r="T362" s="10"/>
      <c r="U362" s="10"/>
      <c r="V362" s="23"/>
      <c r="X362" s="5">
        <f t="shared" si="854"/>
        <v>45869</v>
      </c>
      <c r="Y362" s="43">
        <v>1357.6544404548204</v>
      </c>
      <c r="Z362" s="2"/>
      <c r="AA362" s="2">
        <v>155.5</v>
      </c>
      <c r="AB362" s="2"/>
      <c r="AC362" s="2">
        <v>154.6</v>
      </c>
      <c r="AD362" s="2"/>
      <c r="AE362" s="12"/>
      <c r="AF362" s="10"/>
      <c r="AG362" s="12"/>
      <c r="AH362" s="12"/>
      <c r="AI362" s="12"/>
      <c r="AJ362" s="10"/>
      <c r="AK362" s="10"/>
      <c r="AL362" s="23"/>
      <c r="AM362" s="83"/>
      <c r="AN362" s="81"/>
      <c r="AO362" s="10"/>
      <c r="AP362" s="10"/>
      <c r="AQ362" s="10"/>
      <c r="AR362" s="23"/>
    </row>
    <row r="363" spans="2:44">
      <c r="B363" s="5">
        <f t="shared" si="851"/>
        <v>45900</v>
      </c>
      <c r="C363" s="114">
        <v>1295.1165138571714</v>
      </c>
      <c r="D363" s="2"/>
      <c r="E363" s="2">
        <v>145.4</v>
      </c>
      <c r="F363" s="2"/>
      <c r="G363" s="2">
        <v>146.29999999999998</v>
      </c>
      <c r="H363" s="2"/>
      <c r="I363" s="12"/>
      <c r="J363" s="10"/>
      <c r="K363" s="12"/>
      <c r="L363" s="12"/>
      <c r="M363" s="12"/>
      <c r="N363" s="10"/>
      <c r="O363" s="10"/>
      <c r="P363" s="23"/>
      <c r="Q363" s="83"/>
      <c r="R363" s="81"/>
      <c r="S363" s="10"/>
      <c r="T363" s="10"/>
      <c r="U363" s="10"/>
      <c r="V363" s="23"/>
      <c r="X363" s="5">
        <f t="shared" si="854"/>
        <v>45900</v>
      </c>
      <c r="Y363" s="43">
        <v>1288.5626114240406</v>
      </c>
      <c r="Z363" s="2"/>
      <c r="AA363" s="2">
        <v>145.4</v>
      </c>
      <c r="AB363" s="2"/>
      <c r="AC363" s="2">
        <v>146.29999999999998</v>
      </c>
      <c r="AD363" s="2"/>
      <c r="AE363" s="12"/>
      <c r="AF363" s="10"/>
      <c r="AG363" s="12"/>
      <c r="AH363" s="12"/>
      <c r="AI363" s="12"/>
      <c r="AJ363" s="10"/>
      <c r="AK363" s="10"/>
      <c r="AL363" s="23"/>
      <c r="AM363" s="83"/>
      <c r="AN363" s="81"/>
      <c r="AO363" s="10"/>
      <c r="AP363" s="10"/>
      <c r="AQ363" s="10"/>
      <c r="AR363" s="23"/>
    </row>
    <row r="364" spans="2:44">
      <c r="B364" s="5">
        <f t="shared" si="851"/>
        <v>45930</v>
      </c>
      <c r="C364" s="114">
        <v>1288.9155455965695</v>
      </c>
      <c r="D364" s="2"/>
      <c r="E364" s="2">
        <v>141.6</v>
      </c>
      <c r="F364" s="2"/>
      <c r="G364" s="2">
        <v>145.5</v>
      </c>
      <c r="H364" s="2"/>
      <c r="I364" s="12"/>
      <c r="J364" s="10"/>
      <c r="K364" s="12"/>
      <c r="L364" s="12"/>
      <c r="M364" s="12"/>
      <c r="N364" s="10"/>
      <c r="O364" s="10"/>
      <c r="P364" s="23"/>
      <c r="Q364" s="83"/>
      <c r="R364" s="81"/>
      <c r="S364" s="10"/>
      <c r="T364" s="10"/>
      <c r="U364" s="10"/>
      <c r="V364" s="23"/>
      <c r="X364" s="5">
        <f t="shared" si="854"/>
        <v>45930</v>
      </c>
      <c r="Y364" s="43">
        <v>1284.4289122512589</v>
      </c>
      <c r="Z364" s="2"/>
      <c r="AA364" s="2">
        <v>141.6</v>
      </c>
      <c r="AB364" s="2"/>
      <c r="AC364" s="2">
        <v>145.5</v>
      </c>
      <c r="AD364" s="2"/>
      <c r="AE364" s="12"/>
      <c r="AF364" s="10"/>
      <c r="AG364" s="12"/>
      <c r="AH364" s="12"/>
      <c r="AI364" s="12"/>
      <c r="AJ364" s="10"/>
      <c r="AK364" s="10"/>
      <c r="AL364" s="23"/>
      <c r="AM364" s="83"/>
      <c r="AN364" s="81"/>
      <c r="AO364" s="10"/>
      <c r="AP364" s="10"/>
      <c r="AQ364" s="10"/>
      <c r="AR364" s="23"/>
    </row>
    <row r="365" spans="2:44">
      <c r="B365" s="5">
        <f t="shared" si="851"/>
        <v>45961</v>
      </c>
      <c r="C365" s="114">
        <v>1474.0587408059737</v>
      </c>
      <c r="D365" s="2"/>
      <c r="E365" s="2">
        <v>139.1</v>
      </c>
      <c r="F365" s="2"/>
      <c r="G365" s="2">
        <v>172.20000000000002</v>
      </c>
      <c r="H365" s="2"/>
      <c r="I365" s="12"/>
      <c r="J365" s="10"/>
      <c r="K365" s="12"/>
      <c r="L365" s="12"/>
      <c r="M365" s="12"/>
      <c r="N365" s="10"/>
      <c r="O365" s="10"/>
      <c r="P365" s="23"/>
      <c r="Q365" s="83"/>
      <c r="R365" s="81"/>
      <c r="S365" s="10"/>
      <c r="T365" s="10"/>
      <c r="U365" s="10"/>
      <c r="V365" s="23"/>
      <c r="X365" s="5">
        <f t="shared" si="854"/>
        <v>45961</v>
      </c>
      <c r="Y365" s="43">
        <v>1471.6264319329439</v>
      </c>
      <c r="Z365" s="2"/>
      <c r="AA365" s="2">
        <v>139.1</v>
      </c>
      <c r="AB365" s="2"/>
      <c r="AC365" s="2">
        <v>172.20000000000002</v>
      </c>
      <c r="AD365" s="2"/>
      <c r="AE365" s="12"/>
      <c r="AF365" s="10"/>
      <c r="AG365" s="12"/>
      <c r="AH365" s="12"/>
      <c r="AI365" s="12"/>
      <c r="AJ365" s="10"/>
      <c r="AK365" s="10"/>
      <c r="AL365" s="23"/>
      <c r="AM365" s="83"/>
      <c r="AN365" s="81"/>
      <c r="AO365" s="10"/>
      <c r="AP365" s="10"/>
      <c r="AQ365" s="10"/>
      <c r="AR365" s="23"/>
    </row>
    <row r="366" spans="2:44">
      <c r="B366" s="5">
        <f t="shared" si="851"/>
        <v>45991</v>
      </c>
      <c r="C366" s="114">
        <v>1307.5184503783753</v>
      </c>
      <c r="D366" s="2"/>
      <c r="E366" s="2">
        <v>108.10000000000001</v>
      </c>
      <c r="F366" s="2"/>
      <c r="G366" s="2">
        <v>152.1</v>
      </c>
      <c r="H366" s="2"/>
      <c r="I366" s="12"/>
      <c r="J366" s="10"/>
      <c r="K366" s="12"/>
      <c r="L366" s="12"/>
      <c r="M366" s="12"/>
      <c r="N366" s="10"/>
      <c r="O366" s="10"/>
      <c r="P366" s="23"/>
      <c r="Q366" s="83"/>
      <c r="R366" s="81"/>
      <c r="S366" s="10"/>
      <c r="T366" s="10"/>
      <c r="U366" s="10"/>
      <c r="V366" s="23"/>
      <c r="X366" s="5">
        <f t="shared" si="854"/>
        <v>45991</v>
      </c>
      <c r="Y366" s="43">
        <v>1302.7352943021497</v>
      </c>
      <c r="Z366" s="2"/>
      <c r="AA366" s="2">
        <v>108.10000000000001</v>
      </c>
      <c r="AB366" s="2"/>
      <c r="AC366" s="2">
        <v>152.1</v>
      </c>
      <c r="AD366" s="2"/>
      <c r="AE366" s="12"/>
      <c r="AF366" s="10"/>
      <c r="AG366" s="12"/>
      <c r="AH366" s="12"/>
      <c r="AI366" s="12"/>
      <c r="AJ366" s="10"/>
      <c r="AK366" s="10"/>
      <c r="AL366" s="23"/>
      <c r="AM366" s="83"/>
      <c r="AN366" s="81"/>
      <c r="AO366" s="10"/>
      <c r="AP366" s="10"/>
      <c r="AQ366" s="10"/>
      <c r="AR366" s="23"/>
    </row>
    <row r="367" spans="2:44">
      <c r="B367" s="5">
        <f t="shared" si="851"/>
        <v>46022</v>
      </c>
      <c r="C367" s="114">
        <v>1100.2289399525355</v>
      </c>
      <c r="D367" s="2"/>
      <c r="E367" s="2">
        <v>89.899999999999991</v>
      </c>
      <c r="F367" s="2"/>
      <c r="G367" s="2">
        <v>129.6</v>
      </c>
      <c r="H367" s="2"/>
      <c r="I367" s="12"/>
      <c r="J367" s="10"/>
      <c r="K367" s="12"/>
      <c r="L367" s="12"/>
      <c r="M367" s="12"/>
      <c r="N367" s="10"/>
      <c r="O367" s="10"/>
      <c r="P367" s="23"/>
      <c r="Q367" s="83"/>
      <c r="R367" s="81"/>
      <c r="S367" s="10"/>
      <c r="T367" s="10"/>
      <c r="U367" s="10"/>
      <c r="V367" s="23"/>
      <c r="X367" s="5">
        <f t="shared" si="854"/>
        <v>46022</v>
      </c>
      <c r="Y367" s="43">
        <v>1093.6882218500473</v>
      </c>
      <c r="Z367" s="2"/>
      <c r="AA367" s="2">
        <v>89.899999999999991</v>
      </c>
      <c r="AB367" s="2"/>
      <c r="AC367" s="2">
        <v>129.6</v>
      </c>
      <c r="AD367" s="2"/>
      <c r="AE367" s="12"/>
      <c r="AF367" s="10"/>
      <c r="AG367" s="12"/>
      <c r="AH367" s="12"/>
      <c r="AI367" s="12"/>
      <c r="AJ367" s="10"/>
      <c r="AK367" s="10"/>
      <c r="AL367" s="23"/>
      <c r="AM367" s="83"/>
      <c r="AN367" s="81"/>
      <c r="AO367" s="10"/>
      <c r="AP367" s="10"/>
      <c r="AQ367" s="10"/>
      <c r="AR367" s="23"/>
    </row>
    <row r="368" spans="2:44" hidden="1">
      <c r="B368" s="60" t="s">
        <v>43</v>
      </c>
      <c r="C368" s="58">
        <f t="shared" ref="C368:H368" si="1059">SUM(C260:C271)</f>
        <v>16038.533526426294</v>
      </c>
      <c r="D368" s="58">
        <f t="shared" si="1059"/>
        <v>11518.891</v>
      </c>
      <c r="E368" s="58">
        <f t="shared" si="1059"/>
        <v>1694.7999999999997</v>
      </c>
      <c r="F368" s="58">
        <f t="shared" si="1059"/>
        <v>858.70999999999992</v>
      </c>
      <c r="G368" s="58">
        <f t="shared" si="1059"/>
        <v>1897.6999999999998</v>
      </c>
      <c r="H368" s="58">
        <f t="shared" si="1059"/>
        <v>929.85</v>
      </c>
      <c r="I368" s="59">
        <f t="shared" ref="I368:P368" si="1060">AVERAGE(I260:I271)</f>
        <v>0.8058177332620714</v>
      </c>
      <c r="J368" s="59">
        <f t="shared" si="1060"/>
        <v>0.73552405872422733</v>
      </c>
      <c r="K368" s="59">
        <f t="shared" si="1060"/>
        <v>0.21425422689736009</v>
      </c>
      <c r="L368" s="59">
        <f t="shared" si="1060"/>
        <v>0.16067945639187575</v>
      </c>
      <c r="M368" s="59">
        <f t="shared" si="1060"/>
        <v>0.98499999999999988</v>
      </c>
      <c r="N368" s="59">
        <f t="shared" si="1060"/>
        <v>0.91247615285714279</v>
      </c>
      <c r="O368" s="59">
        <f t="shared" si="1060"/>
        <v>0.9900000000000001</v>
      </c>
      <c r="P368" s="61">
        <f t="shared" si="1060"/>
        <v>0.99025714285714284</v>
      </c>
      <c r="Q368" s="83">
        <f t="shared" ref="Q368:Q374" si="1061">R368-S368</f>
        <v>0.22821313133140464</v>
      </c>
      <c r="R368" s="65">
        <f t="shared" ref="R368:R376" si="1062">D368/C368-1</f>
        <v>-0.28179898860325303</v>
      </c>
      <c r="S368" s="59">
        <f t="shared" ref="S368:S376" si="1063">H368/G368-1</f>
        <v>-0.51001211993465767</v>
      </c>
      <c r="T368" s="59">
        <f t="shared" ref="T368:T376" si="1064">N368-M368</f>
        <v>-7.252384714285709E-2</v>
      </c>
      <c r="U368" s="59">
        <f t="shared" ref="U368:U376" si="1065">P368-O368</f>
        <v>2.5714285714273366E-4</v>
      </c>
      <c r="V368" s="61" t="e">
        <f>AVERAGE(V260:V271)</f>
        <v>#DIV/0!</v>
      </c>
      <c r="W368" s="83"/>
      <c r="X368" s="60" t="s">
        <v>43</v>
      </c>
      <c r="Y368" s="58">
        <f t="shared" ref="Y368:AD368" si="1066">SUM(Y260:Y271)</f>
        <v>14092.23001198531</v>
      </c>
      <c r="Z368" s="58">
        <f t="shared" si="1066"/>
        <v>9827.4840000000004</v>
      </c>
      <c r="AA368" s="58">
        <f t="shared" si="1066"/>
        <v>1694.7999999999997</v>
      </c>
      <c r="AB368" s="58">
        <f t="shared" si="1066"/>
        <v>853</v>
      </c>
      <c r="AC368" s="58">
        <f t="shared" si="1066"/>
        <v>1897.6999999999998</v>
      </c>
      <c r="AD368" s="58">
        <f t="shared" si="1066"/>
        <v>930.56000000000006</v>
      </c>
      <c r="AE368" s="59">
        <f t="shared" ref="AE368:AL368" si="1067">AVERAGE(AE260:AE271)</f>
        <v>0.80311806892679083</v>
      </c>
      <c r="AF368" s="59">
        <f t="shared" si="1067"/>
        <v>0.72519845195328136</v>
      </c>
      <c r="AG368" s="59">
        <f t="shared" si="1067"/>
        <v>0.21365794901427013</v>
      </c>
      <c r="AH368" s="59">
        <f t="shared" si="1067"/>
        <v>0.14884281362007171</v>
      </c>
      <c r="AI368" s="59">
        <f t="shared" si="1067"/>
        <v>0.98499999999999988</v>
      </c>
      <c r="AJ368" s="59">
        <f t="shared" si="1067"/>
        <v>0.87901091714285717</v>
      </c>
      <c r="AK368" s="59">
        <f t="shared" si="1067"/>
        <v>0.9900000000000001</v>
      </c>
      <c r="AL368" s="61">
        <f t="shared" si="1067"/>
        <v>0.98827142857142858</v>
      </c>
      <c r="AM368" s="83">
        <f t="shared" ref="AM368:AM374" si="1068">AN368-AO368</f>
        <v>0.20700695789777535</v>
      </c>
      <c r="AN368" s="65">
        <f t="shared" ref="AN368:AN376" si="1069">Z368/Y368-1</f>
        <v>-0.30263102492353466</v>
      </c>
      <c r="AO368" s="59">
        <f t="shared" ref="AO368:AO376" si="1070">AD368/AC368-1</f>
        <v>-0.50963798282131001</v>
      </c>
      <c r="AP368" s="59">
        <f t="shared" ref="AP368:AP376" si="1071">AJ368-AI368</f>
        <v>-0.1059890828571427</v>
      </c>
      <c r="AQ368" s="59">
        <f t="shared" ref="AQ368:AQ376" si="1072">AL368-AK368</f>
        <v>-1.7285714285715237E-3</v>
      </c>
      <c r="AR368" s="61" t="e">
        <f>AVERAGE(AR260:AR271)</f>
        <v>#DIV/0!</v>
      </c>
    </row>
    <row r="369" spans="1:66" hidden="1">
      <c r="B369" s="60" t="s">
        <v>44</v>
      </c>
      <c r="C369" s="58">
        <f t="shared" ref="C369:H369" si="1073">SUM(C272:C283)</f>
        <v>17388.118640885663</v>
      </c>
      <c r="D369" s="58">
        <f t="shared" si="1073"/>
        <v>15444.329999999998</v>
      </c>
      <c r="E369" s="58">
        <f t="shared" si="1073"/>
        <v>1694.7999999999997</v>
      </c>
      <c r="F369" s="58">
        <f t="shared" si="1073"/>
        <v>1496.26</v>
      </c>
      <c r="G369" s="58">
        <f t="shared" si="1073"/>
        <v>1897.6999999999998</v>
      </c>
      <c r="H369" s="58">
        <f t="shared" si="1073"/>
        <v>1651.0499999999997</v>
      </c>
      <c r="I369" s="59">
        <f t="shared" ref="I369:P369" si="1074">AVERAGE(I272:I283)</f>
        <v>0.77548040323070122</v>
      </c>
      <c r="J369" s="59">
        <f t="shared" si="1074"/>
        <v>0.79641090847376095</v>
      </c>
      <c r="K369" s="59">
        <f t="shared" si="1074"/>
        <v>0.1986240489666001</v>
      </c>
      <c r="L369" s="59">
        <f t="shared" si="1074"/>
        <v>0.17648710797491041</v>
      </c>
      <c r="M369" s="59">
        <f t="shared" si="1074"/>
        <v>0.98499999999999988</v>
      </c>
      <c r="N369" s="59">
        <f t="shared" si="1074"/>
        <v>0.97565568333333352</v>
      </c>
      <c r="O369" s="59">
        <f t="shared" si="1074"/>
        <v>0.9900000000000001</v>
      </c>
      <c r="P369" s="61">
        <f t="shared" si="1074"/>
        <v>0.98899999999999999</v>
      </c>
      <c r="Q369" s="83">
        <f t="shared" si="1061"/>
        <v>1.8184801333071099E-2</v>
      </c>
      <c r="R369" s="65">
        <f t="shared" si="1062"/>
        <v>-0.11178832402920957</v>
      </c>
      <c r="S369" s="59">
        <f t="shared" si="1063"/>
        <v>-0.12997312536228067</v>
      </c>
      <c r="T369" s="59">
        <f t="shared" si="1064"/>
        <v>-9.3443166666663524E-3</v>
      </c>
      <c r="U369" s="59">
        <f t="shared" si="1065"/>
        <v>-1.0000000000001119E-3</v>
      </c>
      <c r="V369" s="61" t="e">
        <f>AVERAGE(V272:V283)</f>
        <v>#DIV/0!</v>
      </c>
      <c r="W369" s="83"/>
      <c r="X369" s="60" t="s">
        <v>44</v>
      </c>
      <c r="Y369" s="58">
        <f t="shared" ref="Y369:AD369" si="1075">SUM(Y272:Y283)</f>
        <v>17334.981165472207</v>
      </c>
      <c r="Z369" s="58">
        <f t="shared" si="1075"/>
        <v>16085.986000000001</v>
      </c>
      <c r="AA369" s="58">
        <f t="shared" si="1075"/>
        <v>1694.7999999999997</v>
      </c>
      <c r="AB369" s="58">
        <f t="shared" si="1075"/>
        <v>1502.8600000000001</v>
      </c>
      <c r="AC369" s="58">
        <f t="shared" si="1075"/>
        <v>1897.6999999999998</v>
      </c>
      <c r="AD369" s="58">
        <f t="shared" si="1075"/>
        <v>1699.88</v>
      </c>
      <c r="AE369" s="59">
        <f t="shared" ref="AE369:AL369" si="1076">AVERAGE(AE272:AE283)</f>
        <v>0.77288361447752774</v>
      </c>
      <c r="AF369" s="59">
        <f t="shared" si="1076"/>
        <v>0.80633925635003578</v>
      </c>
      <c r="AG369" s="59">
        <f t="shared" si="1076"/>
        <v>0.19801647022655525</v>
      </c>
      <c r="AH369" s="59">
        <f t="shared" si="1076"/>
        <v>0.1838208568548387</v>
      </c>
      <c r="AI369" s="59">
        <f t="shared" si="1076"/>
        <v>0.98499999999999988</v>
      </c>
      <c r="AJ369" s="59">
        <f t="shared" si="1076"/>
        <v>0.96837759333333329</v>
      </c>
      <c r="AK369" s="59">
        <f t="shared" si="1076"/>
        <v>0.9900000000000001</v>
      </c>
      <c r="AL369" s="61">
        <f t="shared" si="1076"/>
        <v>0.98917500000000003</v>
      </c>
      <c r="AM369" s="83">
        <f t="shared" si="1068"/>
        <v>3.2191413385730616E-2</v>
      </c>
      <c r="AN369" s="65">
        <f t="shared" si="1069"/>
        <v>-7.205056374447949E-2</v>
      </c>
      <c r="AO369" s="59">
        <f t="shared" si="1070"/>
        <v>-0.10424197713021011</v>
      </c>
      <c r="AP369" s="59">
        <f t="shared" si="1071"/>
        <v>-1.6622406666666589E-2</v>
      </c>
      <c r="AQ369" s="59">
        <f t="shared" si="1072"/>
        <v>-8.2500000000007567E-4</v>
      </c>
      <c r="AR369" s="61" t="e">
        <f>AVERAGE(AR272:AR283)</f>
        <v>#DIV/0!</v>
      </c>
    </row>
    <row r="370" spans="1:66" hidden="1">
      <c r="B370" s="60" t="s">
        <v>45</v>
      </c>
      <c r="C370" s="58">
        <f t="shared" ref="C370:H370" si="1077">SUM(C284:C295)</f>
        <v>17052.050338987076</v>
      </c>
      <c r="D370" s="58">
        <f t="shared" si="1077"/>
        <v>15541.181999999999</v>
      </c>
      <c r="E370" s="58">
        <f t="shared" si="1077"/>
        <v>1694.7999999999997</v>
      </c>
      <c r="F370" s="58">
        <f t="shared" si="1077"/>
        <v>1623.44</v>
      </c>
      <c r="G370" s="58">
        <f t="shared" si="1077"/>
        <v>1897.6999999999998</v>
      </c>
      <c r="H370" s="58">
        <f t="shared" si="1077"/>
        <v>1784.4599999999998</v>
      </c>
      <c r="I370" s="59">
        <f t="shared" ref="I370:P370" si="1078">AVERAGE(I284:I295)</f>
        <v>0.76133291298519323</v>
      </c>
      <c r="J370" s="59">
        <f t="shared" si="1078"/>
        <v>0.74676495841625978</v>
      </c>
      <c r="K370" s="59">
        <f t="shared" si="1078"/>
        <v>0.19474415805674575</v>
      </c>
      <c r="L370" s="59">
        <f t="shared" si="1078"/>
        <v>0.17738824196748593</v>
      </c>
      <c r="M370" s="59">
        <f t="shared" si="1078"/>
        <v>0.98499999999999988</v>
      </c>
      <c r="N370" s="59">
        <f t="shared" si="1078"/>
        <v>0.97527499999999989</v>
      </c>
      <c r="O370" s="59">
        <f t="shared" si="1078"/>
        <v>0.9900000000000001</v>
      </c>
      <c r="P370" s="61">
        <f t="shared" si="1078"/>
        <v>0.99006666666666654</v>
      </c>
      <c r="Q370" s="83">
        <f t="shared" si="1061"/>
        <v>-2.8931089068486293E-2</v>
      </c>
      <c r="R370" s="65">
        <f t="shared" si="1062"/>
        <v>-8.8603323879046458E-2</v>
      </c>
      <c r="S370" s="59">
        <f t="shared" si="1063"/>
        <v>-5.9672234810560165E-2</v>
      </c>
      <c r="T370" s="59">
        <f t="shared" si="1064"/>
        <v>-9.7249999999999837E-3</v>
      </c>
      <c r="U370" s="59">
        <f t="shared" si="1065"/>
        <v>6.666666666643728E-5</v>
      </c>
      <c r="V370" s="61">
        <f>AVERAGE(V284:V295)</f>
        <v>-2.5811111111111111E-2</v>
      </c>
      <c r="W370" s="83"/>
      <c r="X370" s="60" t="s">
        <v>45</v>
      </c>
      <c r="Y370" s="58">
        <f t="shared" ref="Y370:AD370" si="1079">SUM(Y284:Y295)</f>
        <v>16999.838692078458</v>
      </c>
      <c r="Z370" s="58">
        <f t="shared" si="1079"/>
        <v>15779.231999999998</v>
      </c>
      <c r="AA370" s="58">
        <f t="shared" si="1079"/>
        <v>1694.7999999999997</v>
      </c>
      <c r="AB370" s="58">
        <f t="shared" si="1079"/>
        <v>1601.2400000000002</v>
      </c>
      <c r="AC370" s="58">
        <f t="shared" si="1079"/>
        <v>1897.6999999999998</v>
      </c>
      <c r="AD370" s="58">
        <f t="shared" si="1079"/>
        <v>1780.6600000000003</v>
      </c>
      <c r="AE370" s="59">
        <f t="shared" ref="AE370:AL370" si="1080">AVERAGE(AE284:AE295)</f>
        <v>0.7587402142791827</v>
      </c>
      <c r="AF370" s="59">
        <f t="shared" si="1080"/>
        <v>0.77258952261873759</v>
      </c>
      <c r="AG370" s="59">
        <f t="shared" si="1080"/>
        <v>0.19414687673658534</v>
      </c>
      <c r="AH370" s="59">
        <f t="shared" si="1080"/>
        <v>0.18009913610471071</v>
      </c>
      <c r="AI370" s="59">
        <f t="shared" si="1080"/>
        <v>0.98499999999999988</v>
      </c>
      <c r="AJ370" s="59">
        <f t="shared" si="1080"/>
        <v>0.95943333333333347</v>
      </c>
      <c r="AK370" s="59">
        <f t="shared" si="1080"/>
        <v>0.9900000000000001</v>
      </c>
      <c r="AL370" s="61">
        <f t="shared" si="1080"/>
        <v>0.99029166666666668</v>
      </c>
      <c r="AM370" s="83">
        <f t="shared" si="1068"/>
        <v>-1.0126416153133477E-2</v>
      </c>
      <c r="AN370" s="65">
        <f t="shared" si="1069"/>
        <v>-7.1801074950624932E-2</v>
      </c>
      <c r="AO370" s="59">
        <f t="shared" si="1070"/>
        <v>-6.1674658797491455E-2</v>
      </c>
      <c r="AP370" s="59">
        <f t="shared" si="1071"/>
        <v>-2.5566666666666404E-2</v>
      </c>
      <c r="AQ370" s="59">
        <f t="shared" si="1072"/>
        <v>2.9166666666657903E-4</v>
      </c>
      <c r="AR370" s="61" t="e">
        <f>AVERAGE(AR284:AR295)</f>
        <v>#DIV/0!</v>
      </c>
    </row>
    <row r="371" spans="1:66" hidden="1">
      <c r="B371" s="60" t="s">
        <v>46</v>
      </c>
      <c r="C371" s="58">
        <f t="shared" ref="C371:H371" si="1081">SUM(C296:C307)</f>
        <v>16966.790087292138</v>
      </c>
      <c r="D371" s="58">
        <f t="shared" si="1081"/>
        <v>15647.118</v>
      </c>
      <c r="E371" s="58">
        <f t="shared" si="1081"/>
        <v>1694.7999999999997</v>
      </c>
      <c r="F371" s="58">
        <f t="shared" si="1081"/>
        <v>1660.7299999999998</v>
      </c>
      <c r="G371" s="58">
        <f t="shared" si="1081"/>
        <v>1897.6999999999998</v>
      </c>
      <c r="H371" s="58">
        <f t="shared" si="1081"/>
        <v>1851.7100000000003</v>
      </c>
      <c r="I371" s="59">
        <f t="shared" ref="I371:P371" si="1082">AVERAGE(I296:I307)</f>
        <v>0.75752624842026739</v>
      </c>
      <c r="J371" s="59">
        <f t="shared" si="1082"/>
        <v>0.72697003233938895</v>
      </c>
      <c r="K371" s="59">
        <f t="shared" si="1082"/>
        <v>0.19323519948085544</v>
      </c>
      <c r="L371" s="59">
        <f t="shared" si="1082"/>
        <v>0.17832710287665307</v>
      </c>
      <c r="M371" s="59">
        <f t="shared" si="1082"/>
        <v>0.98499999999999988</v>
      </c>
      <c r="N371" s="59">
        <f t="shared" si="1082"/>
        <v>0.9678833333333331</v>
      </c>
      <c r="O371" s="59">
        <f t="shared" si="1082"/>
        <v>0.9900000000000001</v>
      </c>
      <c r="P371" s="61">
        <f t="shared" si="1082"/>
        <v>0.99484166666666674</v>
      </c>
      <c r="Q371" s="83">
        <f t="shared" si="1061"/>
        <v>-5.3545114622370105E-2</v>
      </c>
      <c r="R371" s="65">
        <f t="shared" si="1062"/>
        <v>-7.777971440104936E-2</v>
      </c>
      <c r="S371" s="59">
        <f t="shared" si="1063"/>
        <v>-2.4234599778679256E-2</v>
      </c>
      <c r="T371" s="59">
        <f t="shared" si="1064"/>
        <v>-1.711666666666678E-2</v>
      </c>
      <c r="U371" s="59">
        <f t="shared" si="1065"/>
        <v>4.841666666666633E-3</v>
      </c>
      <c r="V371" s="61" t="e">
        <f>AVERAGE(V296:V307)</f>
        <v>#DIV/0!</v>
      </c>
      <c r="W371" s="83"/>
      <c r="X371" s="60" t="s">
        <v>46</v>
      </c>
      <c r="Y371" s="58">
        <f t="shared" ref="Y371:AD371" si="1083">SUM(Y296:Y307)</f>
        <v>16914.839498618068</v>
      </c>
      <c r="Z371" s="58">
        <f t="shared" si="1083"/>
        <v>16241.939999999997</v>
      </c>
      <c r="AA371" s="58">
        <f t="shared" si="1083"/>
        <v>1694.7999999999997</v>
      </c>
      <c r="AB371" s="58">
        <f t="shared" si="1083"/>
        <v>1659.6200000000001</v>
      </c>
      <c r="AC371" s="58">
        <f t="shared" si="1083"/>
        <v>1897.6999999999998</v>
      </c>
      <c r="AD371" s="58">
        <f t="shared" si="1083"/>
        <v>1847.99</v>
      </c>
      <c r="AE371" s="59">
        <f t="shared" ref="AE371:AL371" si="1084">AVERAGE(AE296:AE307)</f>
        <v>0.7549465132077865</v>
      </c>
      <c r="AF371" s="59">
        <f t="shared" si="1084"/>
        <v>0.76394578820084369</v>
      </c>
      <c r="AG371" s="59">
        <f t="shared" si="1084"/>
        <v>0.19264351709772912</v>
      </c>
      <c r="AH371" s="59">
        <f t="shared" si="1084"/>
        <v>0.18507292462303795</v>
      </c>
      <c r="AI371" s="59">
        <f t="shared" si="1084"/>
        <v>0.98499999999999988</v>
      </c>
      <c r="AJ371" s="59">
        <f t="shared" si="1084"/>
        <v>0.95947499999999997</v>
      </c>
      <c r="AK371" s="59">
        <f t="shared" si="1084"/>
        <v>0.9900000000000001</v>
      </c>
      <c r="AL371" s="61">
        <f t="shared" si="1084"/>
        <v>0.9974249999999999</v>
      </c>
      <c r="AM371" s="83">
        <f t="shared" si="1068"/>
        <v>-1.358673960073864E-2</v>
      </c>
      <c r="AN371" s="65">
        <f t="shared" si="1069"/>
        <v>-3.9781607071887826E-2</v>
      </c>
      <c r="AO371" s="59">
        <f t="shared" si="1070"/>
        <v>-2.6194867471149186E-2</v>
      </c>
      <c r="AP371" s="59">
        <f t="shared" si="1071"/>
        <v>-2.5524999999999909E-2</v>
      </c>
      <c r="AQ371" s="59">
        <f t="shared" si="1072"/>
        <v>7.4249999999997929E-3</v>
      </c>
      <c r="AR371" s="61" t="e">
        <f>AVERAGE(AR296:AR307)</f>
        <v>#DIV/0!</v>
      </c>
    </row>
    <row r="372" spans="1:66" hidden="1">
      <c r="B372" s="60" t="s">
        <v>47</v>
      </c>
      <c r="C372" s="58">
        <f t="shared" ref="C372:H372" si="1085">SUM(C308:C319)</f>
        <v>16881.956136855679</v>
      </c>
      <c r="D372" s="58">
        <f t="shared" si="1085"/>
        <v>15190.56</v>
      </c>
      <c r="E372" s="58">
        <f t="shared" si="1085"/>
        <v>1694.7999999999997</v>
      </c>
      <c r="F372" s="58">
        <f t="shared" si="1085"/>
        <v>1605.0000000000002</v>
      </c>
      <c r="G372" s="58">
        <f t="shared" si="1085"/>
        <v>1897.6999999999998</v>
      </c>
      <c r="H372" s="58">
        <f t="shared" si="1085"/>
        <v>1829.56</v>
      </c>
      <c r="I372" s="59">
        <f t="shared" ref="I372:P372" si="1086">AVERAGE(I308:I319)</f>
        <v>0.75373861717816582</v>
      </c>
      <c r="J372" s="59">
        <f t="shared" si="1086"/>
        <v>0.70889356262438807</v>
      </c>
      <c r="K372" s="59">
        <f t="shared" si="1086"/>
        <v>0.19280158508012971</v>
      </c>
      <c r="L372" s="59">
        <f t="shared" si="1086"/>
        <v>0.17351267889144906</v>
      </c>
      <c r="M372" s="59">
        <f t="shared" si="1086"/>
        <v>0.98499999999999988</v>
      </c>
      <c r="N372" s="59">
        <f t="shared" si="1086"/>
        <v>0.97605444826531829</v>
      </c>
      <c r="O372" s="59">
        <f t="shared" si="1086"/>
        <v>0.9900000000000001</v>
      </c>
      <c r="P372" s="61">
        <f t="shared" si="1086"/>
        <v>0.99878270609318998</v>
      </c>
      <c r="Q372" s="83">
        <f t="shared" si="1061"/>
        <v>-6.4282958675694224E-2</v>
      </c>
      <c r="R372" s="65">
        <f t="shared" si="1062"/>
        <v>-0.10018958248346144</v>
      </c>
      <c r="S372" s="59">
        <f t="shared" si="1063"/>
        <v>-3.5906623807767213E-2</v>
      </c>
      <c r="T372" s="59">
        <f t="shared" si="1064"/>
        <v>-8.9455517346815894E-3</v>
      </c>
      <c r="U372" s="59">
        <f t="shared" si="1065"/>
        <v>8.7827060931898737E-3</v>
      </c>
      <c r="V372" s="61">
        <f>AVERAGE(V308:V319)</f>
        <v>-1.4705577294680666E-2</v>
      </c>
      <c r="W372" s="83"/>
      <c r="X372" s="60" t="s">
        <v>47</v>
      </c>
      <c r="Y372" s="58">
        <f t="shared" ref="Y372:AD372" si="1087">SUM(Y308:Y319)</f>
        <v>16830.265301124975</v>
      </c>
      <c r="Z372" s="58">
        <f t="shared" si="1087"/>
        <v>15897.900000000001</v>
      </c>
      <c r="AA372" s="58">
        <f t="shared" si="1087"/>
        <v>1694.7999999999997</v>
      </c>
      <c r="AB372" s="58">
        <f t="shared" si="1087"/>
        <v>1634.2599999999998</v>
      </c>
      <c r="AC372" s="58">
        <f t="shared" si="1087"/>
        <v>1897.6999999999998</v>
      </c>
      <c r="AD372" s="58">
        <f t="shared" si="1087"/>
        <v>1846.19</v>
      </c>
      <c r="AE372" s="59">
        <f t="shared" ref="AE372:AL372" si="1088">AVERAGE(AE308:AE319)</f>
        <v>0.75117178064174783</v>
      </c>
      <c r="AF372" s="59">
        <f t="shared" si="1088"/>
        <v>0.74267949111067366</v>
      </c>
      <c r="AG372" s="59">
        <f t="shared" si="1088"/>
        <v>0.19221026164113786</v>
      </c>
      <c r="AH372" s="59">
        <f t="shared" si="1088"/>
        <v>0.18158071140553</v>
      </c>
      <c r="AI372" s="59">
        <f t="shared" si="1088"/>
        <v>0.98499999999999988</v>
      </c>
      <c r="AJ372" s="59">
        <f t="shared" si="1088"/>
        <v>0.96883197956610345</v>
      </c>
      <c r="AK372" s="59">
        <f t="shared" si="1088"/>
        <v>0.9900000000000001</v>
      </c>
      <c r="AL372" s="61">
        <f t="shared" si="1088"/>
        <v>0.99837172043010758</v>
      </c>
      <c r="AM372" s="83">
        <f t="shared" si="1068"/>
        <v>-2.8254750421439878E-2</v>
      </c>
      <c r="AN372" s="65">
        <f t="shared" si="1069"/>
        <v>-5.5398134517977704E-2</v>
      </c>
      <c r="AO372" s="59">
        <f t="shared" si="1070"/>
        <v>-2.7143384096537826E-2</v>
      </c>
      <c r="AP372" s="59">
        <f t="shared" si="1071"/>
        <v>-1.6168020433896424E-2</v>
      </c>
      <c r="AQ372" s="59">
        <f t="shared" si="1072"/>
        <v>8.3717204301074766E-3</v>
      </c>
      <c r="AR372" s="61">
        <f>AVERAGE(AR308:AR319)</f>
        <v>-1.376101752467491E-2</v>
      </c>
    </row>
    <row r="373" spans="1:66" hidden="1">
      <c r="B373" s="60" t="s">
        <v>48</v>
      </c>
      <c r="C373" s="58">
        <f t="shared" ref="C373:H373" si="1089">SUM(C320:C331)</f>
        <v>16797.546356171399</v>
      </c>
      <c r="D373" s="58">
        <f t="shared" si="1089"/>
        <v>15118.433999999999</v>
      </c>
      <c r="E373" s="58">
        <f t="shared" si="1089"/>
        <v>1694.7999999999997</v>
      </c>
      <c r="F373" s="58">
        <f t="shared" si="1089"/>
        <v>1563.2100000000003</v>
      </c>
      <c r="G373" s="58">
        <f t="shared" si="1089"/>
        <v>1897.6999999999998</v>
      </c>
      <c r="H373" s="58">
        <f t="shared" si="1089"/>
        <v>1809.14</v>
      </c>
      <c r="I373" s="59">
        <f t="shared" ref="I373:P373" si="1090">AVERAGE(I320:I331)</f>
        <v>0.74996992409227514</v>
      </c>
      <c r="J373" s="59">
        <f t="shared" si="1090"/>
        <v>0.70893584555544698</v>
      </c>
      <c r="K373" s="59">
        <f t="shared" si="1090"/>
        <v>0.19183757715472907</v>
      </c>
      <c r="L373" s="59">
        <f t="shared" si="1090"/>
        <v>0.17274280657962107</v>
      </c>
      <c r="M373" s="59">
        <f t="shared" si="1090"/>
        <v>0.98499999999999988</v>
      </c>
      <c r="N373" s="59">
        <f t="shared" si="1090"/>
        <v>0.98689181011111138</v>
      </c>
      <c r="O373" s="59">
        <f t="shared" si="1090"/>
        <v>0.9900000000000001</v>
      </c>
      <c r="P373" s="61">
        <f t="shared" si="1090"/>
        <v>0.9997583333333333</v>
      </c>
      <c r="Q373" s="83">
        <f t="shared" si="1061"/>
        <v>-5.3294745527040277E-2</v>
      </c>
      <c r="R373" s="65">
        <f t="shared" si="1062"/>
        <v>-9.9961763496160594E-2</v>
      </c>
      <c r="S373" s="59">
        <f t="shared" si="1063"/>
        <v>-4.6667017969120317E-2</v>
      </c>
      <c r="T373" s="59">
        <f t="shared" si="1064"/>
        <v>1.8918101111115027E-3</v>
      </c>
      <c r="U373" s="59">
        <f t="shared" si="1065"/>
        <v>9.7583333333332023E-3</v>
      </c>
      <c r="V373" s="61">
        <f>AVERAGE(V320:V331)</f>
        <v>-1.3205933097922484E-2</v>
      </c>
      <c r="W373" s="83"/>
      <c r="X373" s="60" t="s">
        <v>48</v>
      </c>
      <c r="Y373" s="58">
        <f t="shared" ref="Y373:AD373" si="1091">SUM(Y320:Y331)</f>
        <v>16746.113974619351</v>
      </c>
      <c r="Z373" s="58">
        <f t="shared" si="1091"/>
        <v>15493.224</v>
      </c>
      <c r="AA373" s="58">
        <f t="shared" si="1091"/>
        <v>1694.7999999999997</v>
      </c>
      <c r="AB373" s="58">
        <f t="shared" si="1091"/>
        <v>1638.2300000000002</v>
      </c>
      <c r="AC373" s="58">
        <f t="shared" si="1091"/>
        <v>1897.6999999999998</v>
      </c>
      <c r="AD373" s="58">
        <f t="shared" si="1091"/>
        <v>1830.9199999999996</v>
      </c>
      <c r="AE373" s="59">
        <f t="shared" ref="AE373:AL373" si="1092">AVERAGE(AE320:AE331)</f>
        <v>0.74741592173853899</v>
      </c>
      <c r="AF373" s="59">
        <f t="shared" si="1092"/>
        <v>0.72542220117790712</v>
      </c>
      <c r="AG373" s="59">
        <f t="shared" si="1092"/>
        <v>0.19124921033293221</v>
      </c>
      <c r="AH373" s="59">
        <f t="shared" si="1092"/>
        <v>0.17704299075140806</v>
      </c>
      <c r="AI373" s="59">
        <f t="shared" si="1092"/>
        <v>0.98499999999999988</v>
      </c>
      <c r="AJ373" s="59">
        <f t="shared" si="1092"/>
        <v>0.97800665999145764</v>
      </c>
      <c r="AK373" s="59">
        <f t="shared" si="1092"/>
        <v>0.9900000000000001</v>
      </c>
      <c r="AL373" s="61">
        <f t="shared" si="1092"/>
        <v>0.99952905017921145</v>
      </c>
      <c r="AM373" s="83">
        <f t="shared" si="1068"/>
        <v>-3.9626792269365385E-2</v>
      </c>
      <c r="AN373" s="65">
        <f t="shared" si="1069"/>
        <v>-7.4816759071283601E-2</v>
      </c>
      <c r="AO373" s="59">
        <f t="shared" si="1070"/>
        <v>-3.5189966801918215E-2</v>
      </c>
      <c r="AP373" s="59">
        <f t="shared" si="1071"/>
        <v>-6.993340008542237E-3</v>
      </c>
      <c r="AQ373" s="59">
        <f t="shared" si="1072"/>
        <v>9.5290501792113513E-3</v>
      </c>
      <c r="AR373" s="61">
        <f>AVERAGE(AR320:AR331)</f>
        <v>-1.3335795266907877E-2</v>
      </c>
    </row>
    <row r="374" spans="1:66" hidden="1">
      <c r="B374" s="60" t="s">
        <v>49</v>
      </c>
      <c r="C374" s="58">
        <f t="shared" ref="C374:H374" si="1093">SUM(C332:C343)</f>
        <v>16713.558624390545</v>
      </c>
      <c r="D374" s="58">
        <f t="shared" si="1093"/>
        <v>14673.378000000002</v>
      </c>
      <c r="E374" s="58">
        <f t="shared" si="1093"/>
        <v>1694.7999999999997</v>
      </c>
      <c r="F374" s="58">
        <f t="shared" si="1093"/>
        <v>1581.5599999999997</v>
      </c>
      <c r="G374" s="58">
        <f t="shared" si="1093"/>
        <v>1897.6999999999998</v>
      </c>
      <c r="H374" s="58">
        <f t="shared" si="1093"/>
        <v>1801.8100000000002</v>
      </c>
      <c r="I374" s="59">
        <f t="shared" ref="I374:P374" si="1094">AVERAGE(I332:I343)</f>
        <v>0.74622007447181371</v>
      </c>
      <c r="J374" s="59">
        <f t="shared" si="1094"/>
        <v>0.69733433204098061</v>
      </c>
      <c r="K374" s="59">
        <f t="shared" si="1094"/>
        <v>0.19087838926895542</v>
      </c>
      <c r="L374" s="59">
        <f t="shared" si="1094"/>
        <v>0.16776394777265749</v>
      </c>
      <c r="M374" s="59">
        <f t="shared" si="1094"/>
        <v>0.98499999999999988</v>
      </c>
      <c r="N374" s="59">
        <f t="shared" si="1094"/>
        <v>0.97686002220852919</v>
      </c>
      <c r="O374" s="59">
        <f t="shared" si="1094"/>
        <v>0.9900000000000001</v>
      </c>
      <c r="P374" s="61">
        <f t="shared" si="1094"/>
        <v>0.99933067396313369</v>
      </c>
      <c r="Q374" s="112">
        <f t="shared" si="1061"/>
        <v>-7.1537810256283918E-2</v>
      </c>
      <c r="R374" s="65">
        <f t="shared" si="1062"/>
        <v>-0.12206739870545902</v>
      </c>
      <c r="S374" s="59">
        <f t="shared" si="1063"/>
        <v>-5.05295884491751E-2</v>
      </c>
      <c r="T374" s="59">
        <f t="shared" si="1064"/>
        <v>-8.1399777914706872E-3</v>
      </c>
      <c r="U374" s="59">
        <f t="shared" si="1065"/>
        <v>9.3306739631335844E-3</v>
      </c>
      <c r="V374" s="61">
        <f>AVERAGE(V332:V343)</f>
        <v>-1.4864449596258605E-2</v>
      </c>
      <c r="X374" s="60" t="s">
        <v>49</v>
      </c>
      <c r="Y374" s="58">
        <f t="shared" ref="Y374:AD374" si="1095">SUM(Y332:Y343)</f>
        <v>16662.383404746255</v>
      </c>
      <c r="Z374" s="58">
        <f t="shared" si="1095"/>
        <v>15013.032000000003</v>
      </c>
      <c r="AA374" s="58">
        <f t="shared" si="1095"/>
        <v>1683.6699999999998</v>
      </c>
      <c r="AB374" s="58">
        <f t="shared" si="1095"/>
        <v>1628.18</v>
      </c>
      <c r="AC374" s="58">
        <f t="shared" si="1095"/>
        <v>1897.6999999999998</v>
      </c>
      <c r="AD374" s="58">
        <f t="shared" si="1095"/>
        <v>1823.5399999999997</v>
      </c>
      <c r="AE374" s="59">
        <f t="shared" ref="AE374:AL374" si="1096">AVERAGE(AE332:AE343)</f>
        <v>0.74367884212984636</v>
      </c>
      <c r="AF374" s="59">
        <f t="shared" si="1096"/>
        <v>0.70961273848895179</v>
      </c>
      <c r="AG374" s="59">
        <f t="shared" si="1096"/>
        <v>0.19029296428126755</v>
      </c>
      <c r="AH374" s="59">
        <f t="shared" si="1096"/>
        <v>0.17169086693548385</v>
      </c>
      <c r="AI374" s="59">
        <f t="shared" si="1096"/>
        <v>0.98499999999999988</v>
      </c>
      <c r="AJ374" s="59">
        <f t="shared" si="1096"/>
        <v>0.97127751987263622</v>
      </c>
      <c r="AK374" s="59">
        <f t="shared" si="1096"/>
        <v>0.9900000000000001</v>
      </c>
      <c r="AL374" s="61">
        <f t="shared" si="1096"/>
        <v>0.99910594278033793</v>
      </c>
      <c r="AM374" s="95">
        <f t="shared" si="1068"/>
        <v>-5.9907638431141663E-2</v>
      </c>
      <c r="AN374" s="65">
        <f t="shared" si="1069"/>
        <v>-9.8986523397153192E-2</v>
      </c>
      <c r="AO374" s="59">
        <f t="shared" si="1070"/>
        <v>-3.9078884966011529E-2</v>
      </c>
      <c r="AP374" s="59">
        <f t="shared" si="1071"/>
        <v>-1.3722480127363657E-2</v>
      </c>
      <c r="AQ374" s="59">
        <f t="shared" si="1072"/>
        <v>9.1059427803378279E-3</v>
      </c>
      <c r="AR374" s="61">
        <f>AVERAGE(AR332:AR343)</f>
        <v>-1.4486777097101869E-2</v>
      </c>
    </row>
    <row r="375" spans="1:66" hidden="1">
      <c r="A375" s="102">
        <f>(D375/D374-1)-(H375/H374-1)-(N375-N374)</f>
        <v>-1.0487661709909335E-2</v>
      </c>
      <c r="B375" s="60" t="s">
        <v>74</v>
      </c>
      <c r="C375" s="58">
        <f t="shared" ref="C375:H375" si="1097">SUM(C344:C355)</f>
        <v>16629.990831268591</v>
      </c>
      <c r="D375" s="58">
        <f t="shared" si="1097"/>
        <v>14133.420000000006</v>
      </c>
      <c r="E375" s="58">
        <f t="shared" si="1097"/>
        <v>1694.7999999999997</v>
      </c>
      <c r="F375" s="58">
        <f t="shared" si="1097"/>
        <v>1591.4</v>
      </c>
      <c r="G375" s="58">
        <f t="shared" si="1097"/>
        <v>1897.6999999999998</v>
      </c>
      <c r="H375" s="58">
        <f t="shared" si="1097"/>
        <v>1754.2200000000003</v>
      </c>
      <c r="I375" s="59">
        <f t="shared" ref="I375:P375" si="1098">AVERAGE(I344:I355)</f>
        <v>0.74248897409945469</v>
      </c>
      <c r="J375" s="59">
        <f t="shared" si="1098"/>
        <v>0.69287102666356748</v>
      </c>
      <c r="K375" s="59">
        <f t="shared" si="1098"/>
        <v>0.18992399732261064</v>
      </c>
      <c r="L375" s="59">
        <f t="shared" si="1098"/>
        <v>0.16104483052156723</v>
      </c>
      <c r="M375" s="59">
        <f t="shared" si="1098"/>
        <v>0.98499999999999988</v>
      </c>
      <c r="N375" s="59">
        <f t="shared" si="1098"/>
        <v>0.97696153421022214</v>
      </c>
      <c r="O375" s="59">
        <f t="shared" si="1098"/>
        <v>0.9900000000000001</v>
      </c>
      <c r="P375" s="61">
        <f t="shared" si="1098"/>
        <v>0.99892891607959455</v>
      </c>
      <c r="Q375" s="83">
        <f t="shared" ref="Q375:Q376" si="1099">R375-S375-T375</f>
        <v>-6.6478826690895332E-2</v>
      </c>
      <c r="R375" s="65">
        <f t="shared" si="1062"/>
        <v>-0.15012460659776194</v>
      </c>
      <c r="S375" s="59">
        <f t="shared" si="1063"/>
        <v>-7.5607314117088875E-2</v>
      </c>
      <c r="T375" s="59">
        <f t="shared" si="1064"/>
        <v>-8.0384657897777378E-3</v>
      </c>
      <c r="U375" s="59">
        <f t="shared" si="1065"/>
        <v>8.9289160795944511E-3</v>
      </c>
      <c r="V375" s="61">
        <f>AVERAGE(V344:V355)</f>
        <v>-1.9508181003584223E-2</v>
      </c>
      <c r="W375" s="102">
        <f>(Z375/Z374-1)-(AD375/AD374-1)-(AJ375-AJ374)</f>
        <v>-9.317604663900636E-3</v>
      </c>
      <c r="X375" s="60" t="s">
        <v>74</v>
      </c>
      <c r="Y375" s="58">
        <f t="shared" ref="Y375:AD375" si="1100">SUM(Y344:Y355)</f>
        <v>16579.071487722525</v>
      </c>
      <c r="Z375" s="58">
        <f t="shared" si="1100"/>
        <v>14405.988000000001</v>
      </c>
      <c r="AA375" s="58">
        <f t="shared" si="1100"/>
        <v>1694.8</v>
      </c>
      <c r="AB375" s="58">
        <f t="shared" si="1100"/>
        <v>1571.5100000000002</v>
      </c>
      <c r="AC375" s="58">
        <f t="shared" si="1100"/>
        <v>1897.6999999999998</v>
      </c>
      <c r="AD375" s="58">
        <f t="shared" si="1100"/>
        <v>1775.6</v>
      </c>
      <c r="AE375" s="59">
        <f t="shared" ref="AE375:AL375" si="1101">AVERAGE(AE344:AE355)</f>
        <v>0.73996044791919713</v>
      </c>
      <c r="AF375" s="59">
        <f t="shared" si="1101"/>
        <v>0.70470882375434707</v>
      </c>
      <c r="AG375" s="59">
        <f t="shared" si="1101"/>
        <v>0.18934149945986123</v>
      </c>
      <c r="AH375" s="59">
        <f t="shared" si="1101"/>
        <v>0.16414902569212705</v>
      </c>
      <c r="AI375" s="59">
        <f t="shared" si="1101"/>
        <v>0.98499999999999988</v>
      </c>
      <c r="AJ375" s="59">
        <f t="shared" si="1101"/>
        <v>0.96645017877503625</v>
      </c>
      <c r="AK375" s="59">
        <f t="shared" si="1101"/>
        <v>0.9900000000000001</v>
      </c>
      <c r="AL375" s="61">
        <f t="shared" si="1101"/>
        <v>0.99919314392534908</v>
      </c>
      <c r="AM375" s="83">
        <f t="shared" ref="AM375:AM376" si="1102">AN375-AO375-AP375</f>
        <v>-4.8183030097351365E-2</v>
      </c>
      <c r="AN375" s="65">
        <f t="shared" si="1069"/>
        <v>-0.13107389574451023</v>
      </c>
      <c r="AO375" s="59">
        <f t="shared" si="1070"/>
        <v>-6.4341044422195237E-2</v>
      </c>
      <c r="AP375" s="59">
        <f t="shared" si="1071"/>
        <v>-1.8549821224963625E-2</v>
      </c>
      <c r="AQ375" s="59">
        <f t="shared" si="1072"/>
        <v>9.1931439253489788E-3</v>
      </c>
      <c r="AR375" s="61">
        <f>AVERAGE(AR344:AR355)</f>
        <v>-1.7684229390681001E-2</v>
      </c>
    </row>
    <row r="376" spans="1:66">
      <c r="A376" s="102"/>
      <c r="B376" s="60" t="s">
        <v>107</v>
      </c>
      <c r="C376" s="58">
        <f t="shared" ref="C376:H376" si="1103">SUM(C368:C368)</f>
        <v>16038.533526426294</v>
      </c>
      <c r="D376" s="58">
        <f t="shared" si="1103"/>
        <v>11518.891</v>
      </c>
      <c r="E376" s="58">
        <f t="shared" si="1103"/>
        <v>1694.7999999999997</v>
      </c>
      <c r="F376" s="58">
        <f t="shared" si="1103"/>
        <v>858.70999999999992</v>
      </c>
      <c r="G376" s="58">
        <f t="shared" si="1103"/>
        <v>1897.6999999999998</v>
      </c>
      <c r="H376" s="58">
        <f t="shared" si="1103"/>
        <v>929.85</v>
      </c>
      <c r="I376" s="59">
        <f t="shared" ref="I376:P376" si="1104">AVERAGE(I368:I368)</f>
        <v>0.8058177332620714</v>
      </c>
      <c r="J376" s="59">
        <f t="shared" si="1104"/>
        <v>0.73552405872422733</v>
      </c>
      <c r="K376" s="59">
        <f t="shared" si="1104"/>
        <v>0.21425422689736009</v>
      </c>
      <c r="L376" s="59">
        <f t="shared" si="1104"/>
        <v>0.16067945639187575</v>
      </c>
      <c r="M376" s="59">
        <f t="shared" si="1104"/>
        <v>0.98499999999999988</v>
      </c>
      <c r="N376" s="59">
        <f t="shared" si="1104"/>
        <v>0.91247615285714279</v>
      </c>
      <c r="O376" s="59">
        <f t="shared" si="1104"/>
        <v>0.9900000000000001</v>
      </c>
      <c r="P376" s="61">
        <f t="shared" si="1104"/>
        <v>0.99025714285714284</v>
      </c>
      <c r="Q376" s="83">
        <f t="shared" si="1099"/>
        <v>0.30073697847426173</v>
      </c>
      <c r="R376" s="65">
        <f t="shared" si="1062"/>
        <v>-0.28179898860325303</v>
      </c>
      <c r="S376" s="59">
        <f t="shared" si="1063"/>
        <v>-0.51001211993465767</v>
      </c>
      <c r="T376" s="59">
        <f t="shared" si="1064"/>
        <v>-7.252384714285709E-2</v>
      </c>
      <c r="U376" s="59">
        <f t="shared" si="1065"/>
        <v>2.5714285714273366E-4</v>
      </c>
      <c r="V376" s="61" t="e">
        <f>AVERAGE(V368:V368)</f>
        <v>#DIV/0!</v>
      </c>
      <c r="W376" s="102"/>
      <c r="X376" s="60" t="s">
        <v>107</v>
      </c>
      <c r="Y376" s="58">
        <f t="shared" ref="Y376:AD376" si="1105">SUM(Y368:Y368)</f>
        <v>14092.23001198531</v>
      </c>
      <c r="Z376" s="58">
        <f t="shared" si="1105"/>
        <v>9827.4840000000004</v>
      </c>
      <c r="AA376" s="58">
        <f t="shared" si="1105"/>
        <v>1694.7999999999997</v>
      </c>
      <c r="AB376" s="58">
        <f t="shared" si="1105"/>
        <v>853</v>
      </c>
      <c r="AC376" s="58">
        <f t="shared" si="1105"/>
        <v>1897.6999999999998</v>
      </c>
      <c r="AD376" s="58">
        <f t="shared" si="1105"/>
        <v>930.56000000000006</v>
      </c>
      <c r="AE376" s="59">
        <f t="shared" ref="AE376:AL376" si="1106">AVERAGE(AE368:AE368)</f>
        <v>0.80311806892679083</v>
      </c>
      <c r="AF376" s="59">
        <f t="shared" si="1106"/>
        <v>0.72519845195328136</v>
      </c>
      <c r="AG376" s="59">
        <f t="shared" si="1106"/>
        <v>0.21365794901427013</v>
      </c>
      <c r="AH376" s="59">
        <f t="shared" si="1106"/>
        <v>0.14884281362007171</v>
      </c>
      <c r="AI376" s="59">
        <f t="shared" si="1106"/>
        <v>0.98499999999999988</v>
      </c>
      <c r="AJ376" s="59">
        <f t="shared" si="1106"/>
        <v>0.87901091714285717</v>
      </c>
      <c r="AK376" s="59">
        <f t="shared" si="1106"/>
        <v>0.9900000000000001</v>
      </c>
      <c r="AL376" s="61">
        <f t="shared" si="1106"/>
        <v>0.98827142857142858</v>
      </c>
      <c r="AM376" s="83">
        <f t="shared" si="1102"/>
        <v>0.31299604075491805</v>
      </c>
      <c r="AN376" s="65">
        <f t="shared" si="1069"/>
        <v>-0.30263102492353466</v>
      </c>
      <c r="AO376" s="59">
        <f t="shared" si="1070"/>
        <v>-0.50963798282131001</v>
      </c>
      <c r="AP376" s="59">
        <f t="shared" si="1071"/>
        <v>-0.1059890828571427</v>
      </c>
      <c r="AQ376" s="59">
        <f t="shared" si="1072"/>
        <v>-1.7285714285715237E-3</v>
      </c>
      <c r="AR376" s="61" t="e">
        <f>AVERAGE(AR368:AR368)</f>
        <v>#DIV/0!</v>
      </c>
    </row>
    <row r="377" spans="1:66">
      <c r="B377" s="5"/>
      <c r="C377" s="2"/>
      <c r="D377" s="2"/>
      <c r="E377" s="2"/>
      <c r="F377" s="2"/>
      <c r="G377" s="2"/>
      <c r="H377" s="2"/>
      <c r="I377" s="74"/>
      <c r="J377" s="74"/>
      <c r="K377" s="74"/>
      <c r="L377" s="74"/>
      <c r="M377" s="74"/>
      <c r="N377" s="74"/>
      <c r="O377" s="74"/>
      <c r="P377" s="75"/>
      <c r="Q377" s="113"/>
      <c r="R377" s="97"/>
      <c r="S377" s="74"/>
      <c r="T377" s="74"/>
      <c r="U377" s="74"/>
      <c r="V377" s="75"/>
      <c r="X377" s="5"/>
      <c r="Y377" s="2"/>
      <c r="Z377" s="2"/>
      <c r="AA377" s="2"/>
      <c r="AB377" s="2"/>
      <c r="AC377" s="2"/>
      <c r="AD377" s="2"/>
      <c r="AE377" s="74"/>
      <c r="AF377" s="74"/>
      <c r="AG377" s="74"/>
      <c r="AH377" s="74"/>
      <c r="AI377" s="74"/>
      <c r="AJ377" s="74"/>
      <c r="AK377" s="74"/>
      <c r="AL377" s="75"/>
      <c r="AM377" s="113"/>
      <c r="AN377" s="97"/>
      <c r="AO377" s="74"/>
      <c r="AP377" s="74"/>
      <c r="AQ377" s="74"/>
      <c r="AR377" s="75"/>
    </row>
    <row r="378" spans="1:66" hidden="1">
      <c r="B378" s="60" t="s">
        <v>38</v>
      </c>
      <c r="C378" s="58">
        <f>SUM(C263:C274)</f>
        <v>18302.435357164562</v>
      </c>
      <c r="D378" s="58">
        <f>SUM(D263:D274)</f>
        <v>14556.815999999997</v>
      </c>
      <c r="E378" s="58">
        <f>AVERAGE(E285:E296)</f>
        <v>141.23333333333332</v>
      </c>
      <c r="F378" s="58">
        <f t="shared" ref="F378:L378" si="1107">AVERAGE(F263:F274)</f>
        <v>120.753</v>
      </c>
      <c r="G378" s="58">
        <f t="shared" si="1107"/>
        <v>158.14166666666665</v>
      </c>
      <c r="H378" s="58">
        <f t="shared" si="1107"/>
        <v>133.54900000000001</v>
      </c>
      <c r="I378" s="59">
        <f t="shared" si="1107"/>
        <v>0.8058177332620714</v>
      </c>
      <c r="J378" s="59">
        <f t="shared" si="1107"/>
        <v>0.75925715771172875</v>
      </c>
      <c r="K378" s="59">
        <f t="shared" si="1107"/>
        <v>0.20902073532679444</v>
      </c>
      <c r="L378" s="59">
        <f t="shared" si="1107"/>
        <v>0.1664120788530466</v>
      </c>
      <c r="M378" s="59">
        <f>AVERAGE(M296:M307)</f>
        <v>0.98499999999999988</v>
      </c>
      <c r="N378" s="59">
        <f>AVERAGE(N263:N274)</f>
        <v>0.9331733069999999</v>
      </c>
      <c r="O378" s="59">
        <f>AVERAGE(O263:O274)</f>
        <v>0.9900000000000001</v>
      </c>
      <c r="P378" s="61">
        <f>AVERAGE(P263:P274)</f>
        <v>0.98947000000000007</v>
      </c>
      <c r="Q378" s="112">
        <f t="shared" ref="Q378:Q382" si="1108">R378-S378</f>
        <v>-4.9141063822816466E-2</v>
      </c>
      <c r="R378" s="65">
        <f t="shared" ref="R378:R385" si="1109">D378/C378-1</f>
        <v>-0.20465141846264345</v>
      </c>
      <c r="S378" s="59">
        <f t="shared" ref="S378:S385" si="1110">H378/G378-1</f>
        <v>-0.15551035463982699</v>
      </c>
      <c r="T378" s="59">
        <f t="shared" ref="T378:T381" si="1111">N378-M378</f>
        <v>-5.1826692999999979E-2</v>
      </c>
      <c r="U378" s="59">
        <f t="shared" ref="U378:U382" si="1112">P378-O378</f>
        <v>-5.3000000000003045E-4</v>
      </c>
      <c r="V378" s="23"/>
      <c r="X378" s="60" t="s">
        <v>38</v>
      </c>
      <c r="Y378" s="58">
        <f>SUM(Y263:Y274)</f>
        <v>18245.986647513822</v>
      </c>
      <c r="Z378" s="58">
        <f>SUM(Z263:Z274)</f>
        <v>13798.3</v>
      </c>
      <c r="AA378" s="58">
        <f>AVERAGE(AA285:AA296)</f>
        <v>141.23333333333332</v>
      </c>
      <c r="AB378" s="58">
        <f t="shared" ref="AB378:AH378" si="1113">AVERAGE(AB263:AB274)</f>
        <v>119.473</v>
      </c>
      <c r="AC378" s="58">
        <f t="shared" si="1113"/>
        <v>158.14166666666665</v>
      </c>
      <c r="AD378" s="58">
        <f t="shared" si="1113"/>
        <v>134.893</v>
      </c>
      <c r="AE378" s="59">
        <f t="shared" si="1113"/>
        <v>0.80311806892679083</v>
      </c>
      <c r="AF378" s="59">
        <f t="shared" si="1113"/>
        <v>0.74743448533080747</v>
      </c>
      <c r="AG378" s="59">
        <f t="shared" si="1113"/>
        <v>0.208375342594599</v>
      </c>
      <c r="AH378" s="59">
        <f t="shared" si="1113"/>
        <v>0.15781106966845879</v>
      </c>
      <c r="AI378" s="59">
        <f>AVERAGE(AI296:AI307)</f>
        <v>0.98499999999999988</v>
      </c>
      <c r="AJ378" s="59">
        <f>AVERAGE(AJ263:AJ274)</f>
        <v>0.90003122200000019</v>
      </c>
      <c r="AK378" s="59">
        <f>AVERAGE(AK263:AK274)</f>
        <v>0.9900000000000001</v>
      </c>
      <c r="AL378" s="61">
        <f>AVERAGE(AL263:AL274)</f>
        <v>0.98770000000000002</v>
      </c>
      <c r="AM378" s="112">
        <f t="shared" ref="AM378:AM382" si="1114">AN378-AO378</f>
        <v>-9.6750817457971761E-2</v>
      </c>
      <c r="AN378" s="65">
        <f t="shared" ref="AN378:AN385" si="1115">Z378/Y378-1</f>
        <v>-0.24376246313431671</v>
      </c>
      <c r="AO378" s="59">
        <f t="shared" ref="AO378:AO385" si="1116">AD378/AC378-1</f>
        <v>-0.14701164567634495</v>
      </c>
      <c r="AP378" s="59">
        <f t="shared" ref="AP378:AP381" si="1117">AJ378-AI378</f>
        <v>-8.4968777999999689E-2</v>
      </c>
      <c r="AQ378" s="59">
        <f t="shared" ref="AQ378:AQ382" si="1118">AL378-AK378</f>
        <v>-2.3000000000000798E-3</v>
      </c>
      <c r="AR378" s="23"/>
    </row>
    <row r="379" spans="1:66" hidden="1">
      <c r="B379" s="60" t="s">
        <v>39</v>
      </c>
      <c r="C379" s="58">
        <f>SUM(C275:C286)</f>
        <v>17118.136925133571</v>
      </c>
      <c r="D379" s="58">
        <f>SUM(D275:D286)</f>
        <v>15225.335999999999</v>
      </c>
      <c r="E379" s="58">
        <f>AVERAGE(E286:E297)</f>
        <v>141.23333333333332</v>
      </c>
      <c r="F379" s="58">
        <f t="shared" ref="F379:L379" si="1119">AVERAGE(F275:F286)</f>
        <v>123.56666666666666</v>
      </c>
      <c r="G379" s="58">
        <f t="shared" si="1119"/>
        <v>158.14166666666665</v>
      </c>
      <c r="H379" s="58">
        <f t="shared" si="1119"/>
        <v>137.56083333333331</v>
      </c>
      <c r="I379" s="59">
        <f t="shared" si="1119"/>
        <v>0.76418749093070026</v>
      </c>
      <c r="J379" s="59">
        <f t="shared" si="1119"/>
        <v>0.79003951393732585</v>
      </c>
      <c r="K379" s="59">
        <f t="shared" si="1119"/>
        <v>0.19549562797580988</v>
      </c>
      <c r="L379" s="59">
        <f t="shared" si="1119"/>
        <v>0.17365599958397337</v>
      </c>
      <c r="M379" s="59">
        <f>AVERAGE(M297:M308)</f>
        <v>0.98499999999999988</v>
      </c>
      <c r="N379" s="59">
        <f>AVERAGE(N275:N286)</f>
        <v>0.97397234999999993</v>
      </c>
      <c r="O379" s="59">
        <f>AVERAGE(O275:O286)</f>
        <v>0.9900000000000001</v>
      </c>
      <c r="P379" s="61">
        <f>AVERAGE(P275:P286)</f>
        <v>0.98850833333333332</v>
      </c>
      <c r="Q379" s="112">
        <f t="shared" si="1108"/>
        <v>1.9568915808651499E-2</v>
      </c>
      <c r="R379" s="65">
        <f t="shared" si="1109"/>
        <v>-0.11057283473147606</v>
      </c>
      <c r="S379" s="59">
        <f t="shared" si="1110"/>
        <v>-0.13014175054012755</v>
      </c>
      <c r="T379" s="59">
        <f t="shared" si="1111"/>
        <v>-1.1027649999999944E-2</v>
      </c>
      <c r="U379" s="59">
        <f t="shared" si="1112"/>
        <v>-1.4916666666667799E-3</v>
      </c>
      <c r="V379" s="61"/>
      <c r="X379" s="60" t="s">
        <v>39</v>
      </c>
      <c r="Y379" s="58">
        <f>SUM(Y275:Y286)</f>
        <v>17065.744814728179</v>
      </c>
      <c r="Z379" s="58">
        <f>SUM(Z275:Z286)</f>
        <v>15961.013999999999</v>
      </c>
      <c r="AA379" s="58">
        <f>AVERAGE(AA286:AA297)</f>
        <v>141.23333333333332</v>
      </c>
      <c r="AB379" s="58">
        <f t="shared" ref="AB379:AH379" si="1120">AVERAGE(AB275:AB286)</f>
        <v>123.8875</v>
      </c>
      <c r="AC379" s="58">
        <f t="shared" si="1120"/>
        <v>158.14166666666665</v>
      </c>
      <c r="AD379" s="58">
        <f t="shared" si="1120"/>
        <v>141.01249999999999</v>
      </c>
      <c r="AE379" s="59">
        <f t="shared" si="1120"/>
        <v>0.76158630276258588</v>
      </c>
      <c r="AF379" s="59">
        <f t="shared" si="1120"/>
        <v>0.80863798540545495</v>
      </c>
      <c r="AG379" s="59">
        <f t="shared" si="1120"/>
        <v>0.19489629968354863</v>
      </c>
      <c r="AH379" s="59">
        <f t="shared" si="1120"/>
        <v>0.18202944300435223</v>
      </c>
      <c r="AI379" s="59">
        <f>AVERAGE(AI297:AI308)</f>
        <v>0.98499999999999988</v>
      </c>
      <c r="AJ379" s="59">
        <f>AVERAGE(AJ275:AJ286)</f>
        <v>0.97304961000000001</v>
      </c>
      <c r="AK379" s="59">
        <f>AVERAGE(AK275:AK286)</f>
        <v>0.9900000000000001</v>
      </c>
      <c r="AL379" s="61">
        <f>AVERAGE(AL275:AL286)</f>
        <v>0.98880833333333318</v>
      </c>
      <c r="AM379" s="112">
        <f t="shared" si="1114"/>
        <v>4.3581511325333389E-2</v>
      </c>
      <c r="AN379" s="65">
        <f t="shared" si="1115"/>
        <v>-6.4733817757240186E-2</v>
      </c>
      <c r="AO379" s="59">
        <f t="shared" si="1116"/>
        <v>-0.10831532908257357</v>
      </c>
      <c r="AP379" s="59">
        <f t="shared" si="1117"/>
        <v>-1.1950389999999866E-2</v>
      </c>
      <c r="AQ379" s="59">
        <f t="shared" si="1118"/>
        <v>-1.191666666666924E-3</v>
      </c>
      <c r="AR379" s="61"/>
    </row>
    <row r="380" spans="1:66" hidden="1">
      <c r="B380" s="60" t="s">
        <v>68</v>
      </c>
      <c r="C380" s="58">
        <f>SUM(C287:C298)</f>
        <v>17032.546240507902</v>
      </c>
      <c r="D380" s="58">
        <f>SUM(D287:D298)</f>
        <v>15395.016000000001</v>
      </c>
      <c r="E380" s="58">
        <f>AVERAGE(E287:E298)</f>
        <v>141.23333333333332</v>
      </c>
      <c r="F380" s="58">
        <f t="shared" ref="F380:L380" si="1121">AVERAGE(F287:F298)</f>
        <v>135.68499999999997</v>
      </c>
      <c r="G380" s="58">
        <f t="shared" si="1121"/>
        <v>158.14166666666665</v>
      </c>
      <c r="H380" s="58">
        <f t="shared" si="1121"/>
        <v>149.92666666666665</v>
      </c>
      <c r="I380" s="59">
        <f t="shared" si="1121"/>
        <v>0.76036655347604676</v>
      </c>
      <c r="J380" s="59">
        <f t="shared" si="1121"/>
        <v>0.73539609071016843</v>
      </c>
      <c r="K380" s="59">
        <f t="shared" si="1121"/>
        <v>0.19398291205032422</v>
      </c>
      <c r="L380" s="59">
        <f t="shared" si="1121"/>
        <v>0.17552215439995059</v>
      </c>
      <c r="M380" s="59">
        <f>AVERAGE(M298:M309)</f>
        <v>0.98499999999999988</v>
      </c>
      <c r="N380" s="59">
        <f>AVERAGE(N287:N298)</f>
        <v>0.97031666666666661</v>
      </c>
      <c r="O380" s="59">
        <f>AVERAGE(O287:O298)</f>
        <v>0.9900000000000001</v>
      </c>
      <c r="P380" s="61">
        <f>AVERAGE(P287:P298)</f>
        <v>0.99162499999999998</v>
      </c>
      <c r="Q380" s="112">
        <f t="shared" si="1108"/>
        <v>-4.4194153464259145E-2</v>
      </c>
      <c r="R380" s="65">
        <f t="shared" si="1109"/>
        <v>-9.6141247314709743E-2</v>
      </c>
      <c r="S380" s="59">
        <f t="shared" si="1110"/>
        <v>-5.1947093850450599E-2</v>
      </c>
      <c r="T380" s="59">
        <f t="shared" si="1111"/>
        <v>-1.4683333333333271E-2</v>
      </c>
      <c r="U380" s="59">
        <f t="shared" si="1112"/>
        <v>1.6249999999998765E-3</v>
      </c>
      <c r="V380" s="61"/>
      <c r="X380" s="60" t="s">
        <v>68</v>
      </c>
      <c r="Y380" s="58">
        <f>SUM(Y287:Y298)</f>
        <v>16980.416090654537</v>
      </c>
      <c r="Z380" s="58">
        <f>SUM(Z287:Z298)</f>
        <v>15645.749999999998</v>
      </c>
      <c r="AA380" s="58">
        <f>AVERAGE(AA287:AA298)</f>
        <v>141.23333333333332</v>
      </c>
      <c r="AB380" s="58">
        <f t="shared" ref="AB380:AH380" si="1122">AVERAGE(AB287:AB298)</f>
        <v>134.65916666666669</v>
      </c>
      <c r="AC380" s="58">
        <f t="shared" si="1122"/>
        <v>158.14166666666665</v>
      </c>
      <c r="AD380" s="58">
        <f t="shared" si="1122"/>
        <v>148.50833333333335</v>
      </c>
      <c r="AE380" s="59">
        <f t="shared" si="1122"/>
        <v>0.75777837124877279</v>
      </c>
      <c r="AF380" s="59">
        <f t="shared" si="1122"/>
        <v>0.77060719829751934</v>
      </c>
      <c r="AG380" s="59">
        <f t="shared" si="1122"/>
        <v>0.1933891929299576</v>
      </c>
      <c r="AH380" s="59">
        <f t="shared" si="1122"/>
        <v>0.17837123779508093</v>
      </c>
      <c r="AI380" s="59">
        <f>AVERAGE(AI298:AI309)</f>
        <v>0.98499999999999988</v>
      </c>
      <c r="AJ380" s="59">
        <f>AVERAGE(AJ287:AJ298)</f>
        <v>0.9522166666666666</v>
      </c>
      <c r="AK380" s="59">
        <f>AVERAGE(AK287:AK298)</f>
        <v>0.9900000000000001</v>
      </c>
      <c r="AL380" s="61">
        <f>AVERAGE(AL287:AL298)</f>
        <v>0.99385000000000001</v>
      </c>
      <c r="AM380" s="112">
        <f t="shared" si="1114"/>
        <v>-1.7684471687572922E-2</v>
      </c>
      <c r="AN380" s="65">
        <f t="shared" si="1115"/>
        <v>-7.8600317184753465E-2</v>
      </c>
      <c r="AO380" s="59">
        <f t="shared" si="1116"/>
        <v>-6.0915845497180543E-2</v>
      </c>
      <c r="AP380" s="59">
        <f t="shared" si="1117"/>
        <v>-3.2783333333333275E-2</v>
      </c>
      <c r="AQ380" s="59">
        <f t="shared" si="1118"/>
        <v>3.8499999999999091E-3</v>
      </c>
      <c r="AR380" s="61"/>
    </row>
    <row r="381" spans="1:66" hidden="1">
      <c r="B381" s="60" t="s">
        <v>69</v>
      </c>
      <c r="C381" s="58">
        <f>SUM(C299:C310)</f>
        <v>16947.383509305364</v>
      </c>
      <c r="D381" s="58">
        <f>SUM(D299:D310)</f>
        <v>15404.795999999998</v>
      </c>
      <c r="E381" s="58">
        <f t="shared" ref="E381:L381" si="1123">AVERAGE(E299:E310)</f>
        <v>141.23333333333332</v>
      </c>
      <c r="F381" s="58">
        <f t="shared" si="1123"/>
        <v>137.83083333333332</v>
      </c>
      <c r="G381" s="58">
        <f t="shared" si="1123"/>
        <v>158.14166666666665</v>
      </c>
      <c r="H381" s="58">
        <f t="shared" si="1123"/>
        <v>153.87666666666669</v>
      </c>
      <c r="I381" s="59">
        <f t="shared" si="1123"/>
        <v>0.75656472070866665</v>
      </c>
      <c r="J381" s="59">
        <f t="shared" si="1123"/>
        <v>0.71682624459097199</v>
      </c>
      <c r="K381" s="59">
        <f t="shared" si="1123"/>
        <v>0.1935455590867512</v>
      </c>
      <c r="L381" s="59">
        <f t="shared" si="1123"/>
        <v>0.17593884376600102</v>
      </c>
      <c r="M381" s="59">
        <f>AVERAGE(M299:M310)</f>
        <v>0.98499999999999988</v>
      </c>
      <c r="N381" s="59">
        <f>AVERAGE(N299:N310)</f>
        <v>0.96853519585253445</v>
      </c>
      <c r="O381" s="59">
        <f>AVERAGE(O299:O310)</f>
        <v>0.9900000000000001</v>
      </c>
      <c r="P381" s="61">
        <f>AVERAGE(P299:P310)</f>
        <v>0.99686666666666657</v>
      </c>
      <c r="Q381" s="112">
        <f t="shared" si="1108"/>
        <v>-6.4052673918922109E-2</v>
      </c>
      <c r="R381" s="65">
        <f t="shared" si="1109"/>
        <v>-9.1022163300805148E-2</v>
      </c>
      <c r="S381" s="59">
        <f t="shared" si="1110"/>
        <v>-2.6969489381883038E-2</v>
      </c>
      <c r="T381" s="59">
        <f t="shared" si="1111"/>
        <v>-1.6464804147465428E-2</v>
      </c>
      <c r="U381" s="59">
        <f t="shared" si="1112"/>
        <v>6.8666666666664655E-3</v>
      </c>
      <c r="V381" s="61"/>
      <c r="X381" s="60" t="s">
        <v>69</v>
      </c>
      <c r="Y381" s="58">
        <f>SUM(Y299:Y310)</f>
        <v>16895.514010201267</v>
      </c>
      <c r="Z381" s="58">
        <f>SUM(Z299:Z310)</f>
        <v>16034.214</v>
      </c>
      <c r="AA381" s="58">
        <f t="shared" ref="AA381:AH381" si="1124">AVERAGE(AA299:AA310)</f>
        <v>141.23333333333332</v>
      </c>
      <c r="AB381" s="58">
        <f t="shared" si="1124"/>
        <v>138.28749999999999</v>
      </c>
      <c r="AC381" s="58">
        <f t="shared" si="1124"/>
        <v>158.14166666666665</v>
      </c>
      <c r="AD381" s="58">
        <f t="shared" si="1124"/>
        <v>154.96166666666667</v>
      </c>
      <c r="AE381" s="59">
        <f t="shared" si="1124"/>
        <v>0.75398947939252914</v>
      </c>
      <c r="AF381" s="59">
        <f t="shared" si="1124"/>
        <v>0.74775137732047492</v>
      </c>
      <c r="AG381" s="59">
        <f t="shared" si="1124"/>
        <v>0.1929522090942053</v>
      </c>
      <c r="AH381" s="59">
        <f t="shared" si="1124"/>
        <v>0.18311554787506401</v>
      </c>
      <c r="AI381" s="59">
        <f>AVERAGE(AI299:AI310)</f>
        <v>0.98499999999999988</v>
      </c>
      <c r="AJ381" s="59">
        <f>AVERAGE(AJ299:AJ310)</f>
        <v>0.96125840835445475</v>
      </c>
      <c r="AK381" s="59">
        <f>AVERAGE(AK299:AK310)</f>
        <v>0.9900000000000001</v>
      </c>
      <c r="AL381" s="61">
        <f>AVERAGE(AL299:AL310)</f>
        <v>0.99764166666666665</v>
      </c>
      <c r="AM381" s="112">
        <f t="shared" si="1114"/>
        <v>-3.0869476957215869E-2</v>
      </c>
      <c r="AN381" s="65">
        <f t="shared" si="1115"/>
        <v>-5.0978029415454706E-2</v>
      </c>
      <c r="AO381" s="59">
        <f t="shared" si="1116"/>
        <v>-2.0108552458238838E-2</v>
      </c>
      <c r="AP381" s="59">
        <f t="shared" si="1117"/>
        <v>-2.3741591645545124E-2</v>
      </c>
      <c r="AQ381" s="59">
        <f t="shared" si="1118"/>
        <v>7.6416666666665467E-3</v>
      </c>
      <c r="AR381" s="61"/>
    </row>
    <row r="382" spans="1:66" hidden="1">
      <c r="B382" s="60" t="s">
        <v>70</v>
      </c>
      <c r="C382" s="58">
        <f>SUM(C311:C322)</f>
        <v>16862.646591758836</v>
      </c>
      <c r="D382" s="58">
        <f>SUM(D311:D322)</f>
        <v>15281.724</v>
      </c>
      <c r="E382" s="58">
        <f t="shared" ref="E382:P382" si="1125">AVERAGE(E311:E322)</f>
        <v>141.23333333333332</v>
      </c>
      <c r="F382" s="58">
        <f t="shared" si="1125"/>
        <v>132.81416666666667</v>
      </c>
      <c r="G382" s="58">
        <f t="shared" si="1125"/>
        <v>158.14166666666665</v>
      </c>
      <c r="H382" s="58">
        <f t="shared" si="1125"/>
        <v>151.62333333333333</v>
      </c>
      <c r="I382" s="59">
        <f t="shared" si="1125"/>
        <v>0.75278189710512333</v>
      </c>
      <c r="J382" s="59">
        <f t="shared" si="1125"/>
        <v>0.71582308900364222</v>
      </c>
      <c r="K382" s="59">
        <f t="shared" si="1125"/>
        <v>0.19257783129131742</v>
      </c>
      <c r="L382" s="59">
        <f t="shared" si="1125"/>
        <v>0.17470343830005119</v>
      </c>
      <c r="M382" s="59">
        <f t="shared" si="1125"/>
        <v>0.98499999999999988</v>
      </c>
      <c r="N382" s="59">
        <f t="shared" si="1125"/>
        <v>0.98221200407945031</v>
      </c>
      <c r="O382" s="59">
        <f t="shared" si="1125"/>
        <v>0.9900000000000001</v>
      </c>
      <c r="P382" s="61">
        <f t="shared" si="1125"/>
        <v>0.99860770609318994</v>
      </c>
      <c r="Q382" s="83">
        <f t="shared" si="1108"/>
        <v>-5.2534617017490515E-2</v>
      </c>
      <c r="R382" s="65">
        <f t="shared" si="1109"/>
        <v>-9.3752933927434001E-2</v>
      </c>
      <c r="S382" s="59">
        <f t="shared" si="1110"/>
        <v>-4.1218316909943487E-2</v>
      </c>
      <c r="T382" s="59">
        <f>N382-M382</f>
        <v>-2.7879959205495686E-3</v>
      </c>
      <c r="U382" s="59">
        <f t="shared" si="1112"/>
        <v>8.6077060931898375E-3</v>
      </c>
      <c r="V382" s="61">
        <f>AVERAGE(V311:V322)</f>
        <v>-1.3126247997621784E-2</v>
      </c>
      <c r="X382" s="60" t="s">
        <v>70</v>
      </c>
      <c r="Y382" s="58">
        <f>SUM(Y311:Y322)</f>
        <v>16811.036440150259</v>
      </c>
      <c r="Z382" s="58">
        <f>SUM(Z311:Z322)</f>
        <v>15916.296</v>
      </c>
      <c r="AA382" s="58">
        <f t="shared" ref="AA382:AL382" si="1126">AVERAGE(AA311:AA322)</f>
        <v>141.23333333333332</v>
      </c>
      <c r="AB382" s="58">
        <f t="shared" si="1126"/>
        <v>136.34083333333334</v>
      </c>
      <c r="AC382" s="58">
        <f t="shared" si="1126"/>
        <v>158.14166666666665</v>
      </c>
      <c r="AD382" s="58">
        <f t="shared" si="1126"/>
        <v>152.79249999999999</v>
      </c>
      <c r="AE382" s="59">
        <f t="shared" si="1126"/>
        <v>0.75021953199556635</v>
      </c>
      <c r="AF382" s="59">
        <f t="shared" si="1126"/>
        <v>0.74565636186003514</v>
      </c>
      <c r="AG382" s="59">
        <f t="shared" si="1126"/>
        <v>0.19198744804873424</v>
      </c>
      <c r="AH382" s="59">
        <f t="shared" si="1126"/>
        <v>0.18195737471198151</v>
      </c>
      <c r="AI382" s="59">
        <f t="shared" si="1126"/>
        <v>0.98499999999999988</v>
      </c>
      <c r="AJ382" s="59">
        <f t="shared" si="1126"/>
        <v>0.97585912704498223</v>
      </c>
      <c r="AK382" s="59">
        <f t="shared" si="1126"/>
        <v>0.9900000000000001</v>
      </c>
      <c r="AL382" s="61">
        <f t="shared" si="1126"/>
        <v>0.99819672043010754</v>
      </c>
      <c r="AM382" s="83">
        <f t="shared" si="1114"/>
        <v>-1.9398238667704515E-2</v>
      </c>
      <c r="AN382" s="65">
        <f t="shared" si="1115"/>
        <v>-5.3223395436424514E-2</v>
      </c>
      <c r="AO382" s="59">
        <f t="shared" si="1116"/>
        <v>-3.3825156768719999E-2</v>
      </c>
      <c r="AP382" s="59">
        <f>AJ382-AI382</f>
        <v>-9.1408729550176426E-3</v>
      </c>
      <c r="AQ382" s="59">
        <f t="shared" si="1118"/>
        <v>8.1967204301074403E-3</v>
      </c>
      <c r="AR382" s="61">
        <f>AVERAGE(AR311:AR322)</f>
        <v>-1.2421018013034739E-2</v>
      </c>
      <c r="BN382" s="98"/>
    </row>
    <row r="383" spans="1:66" hidden="1">
      <c r="B383" s="60" t="s">
        <v>71</v>
      </c>
      <c r="C383" s="58">
        <f>SUM(C323:C334)</f>
        <v>16778.333358800042</v>
      </c>
      <c r="D383" s="58">
        <f>SUM(D323:D334)</f>
        <v>15060.053999999998</v>
      </c>
      <c r="E383" s="58">
        <f t="shared" ref="E383:P383" si="1127">AVERAGE(E323:E334)</f>
        <v>141.23333333333332</v>
      </c>
      <c r="F383" s="58">
        <f t="shared" si="1127"/>
        <v>129.17583333333332</v>
      </c>
      <c r="G383" s="58">
        <f t="shared" si="1127"/>
        <v>158.14166666666665</v>
      </c>
      <c r="H383" s="58">
        <f t="shared" si="1127"/>
        <v>150.59916666666666</v>
      </c>
      <c r="I383" s="59">
        <f t="shared" si="1127"/>
        <v>0.74901798761959759</v>
      </c>
      <c r="J383" s="59">
        <f t="shared" si="1127"/>
        <v>0.70393124165339283</v>
      </c>
      <c r="K383" s="59">
        <f t="shared" si="1127"/>
        <v>0.19161494213486083</v>
      </c>
      <c r="L383" s="59">
        <f t="shared" si="1127"/>
        <v>0.17207380216333842</v>
      </c>
      <c r="M383" s="59">
        <f t="shared" si="1127"/>
        <v>0.98499999999999988</v>
      </c>
      <c r="N383" s="59">
        <f t="shared" si="1127"/>
        <v>0.98936887777171556</v>
      </c>
      <c r="O383" s="59">
        <f t="shared" si="1127"/>
        <v>0.9900000000000001</v>
      </c>
      <c r="P383" s="61">
        <f t="shared" si="1127"/>
        <v>0.99976696428571421</v>
      </c>
      <c r="Q383" s="83">
        <f>R383-S383</f>
        <v>-5.4716032636000667E-2</v>
      </c>
      <c r="R383" s="65">
        <f t="shared" si="1109"/>
        <v>-0.10241061028262544</v>
      </c>
      <c r="S383" s="59">
        <f t="shared" si="1110"/>
        <v>-4.769457764662477E-2</v>
      </c>
      <c r="T383" s="59">
        <f>N383-M383</f>
        <v>4.3688777717156846E-3</v>
      </c>
      <c r="U383" s="59">
        <f>P383-O383</f>
        <v>9.7669642857141081E-3</v>
      </c>
      <c r="V383" s="61">
        <f>AVERAGE(V323:V334)</f>
        <v>-1.47588680713112E-2</v>
      </c>
      <c r="X383" s="60" t="s">
        <v>71</v>
      </c>
      <c r="Y383" s="58">
        <f>SUM(Y323:Y334)</f>
        <v>16726.981257949505</v>
      </c>
      <c r="Z383" s="58">
        <f>SUM(Z323:Z334)</f>
        <v>15475.560000000001</v>
      </c>
      <c r="AA383" s="58">
        <f t="shared" ref="AA383:AL383" si="1128">AVERAGE(AA323:AA334)</f>
        <v>140.30583333333331</v>
      </c>
      <c r="AB383" s="58">
        <f t="shared" si="1128"/>
        <v>137.6841666666667</v>
      </c>
      <c r="AC383" s="58">
        <f t="shared" si="1128"/>
        <v>158.14166666666665</v>
      </c>
      <c r="AD383" s="58">
        <f t="shared" si="1128"/>
        <v>152.465</v>
      </c>
      <c r="AE383" s="59">
        <f t="shared" si="1128"/>
        <v>0.74646843433558863</v>
      </c>
      <c r="AF383" s="59">
        <f t="shared" si="1128"/>
        <v>0.71916446667741807</v>
      </c>
      <c r="AG383" s="59">
        <f t="shared" si="1128"/>
        <v>0.19102751080849056</v>
      </c>
      <c r="AH383" s="59">
        <f t="shared" si="1128"/>
        <v>0.17683119399641575</v>
      </c>
      <c r="AI383" s="59">
        <f t="shared" si="1128"/>
        <v>0.98499999999999988</v>
      </c>
      <c r="AJ383" s="59">
        <f t="shared" si="1128"/>
        <v>0.98280349071794981</v>
      </c>
      <c r="AK383" s="59">
        <f t="shared" si="1128"/>
        <v>0.9900000000000001</v>
      </c>
      <c r="AL383" s="61">
        <f t="shared" si="1128"/>
        <v>0.99933983166922669</v>
      </c>
      <c r="AM383" s="83">
        <f>AN383-AO383</f>
        <v>-3.8918446271241969E-2</v>
      </c>
      <c r="AN383" s="65">
        <f t="shared" si="1115"/>
        <v>-7.4814531005393703E-2</v>
      </c>
      <c r="AO383" s="59">
        <f t="shared" si="1116"/>
        <v>-3.5896084734151734E-2</v>
      </c>
      <c r="AP383" s="59">
        <f>AJ383-AI383</f>
        <v>-2.1965092820500631E-3</v>
      </c>
      <c r="AQ383" s="59">
        <f>AL383-AK383</f>
        <v>9.3398316692265837E-3</v>
      </c>
      <c r="AR383" s="61">
        <f>AVERAGE(AR323:AR334)</f>
        <v>-1.4393873730712659E-2</v>
      </c>
      <c r="BN383" s="98"/>
    </row>
    <row r="384" spans="1:66" hidden="1">
      <c r="B384" s="60" t="s">
        <v>72</v>
      </c>
      <c r="C384" s="58">
        <f>SUM(C335:C346)</f>
        <v>16694.441692006039</v>
      </c>
      <c r="D384" s="58">
        <f>SUM(D335:D346)</f>
        <v>14322.708000000008</v>
      </c>
      <c r="E384" s="58">
        <f t="shared" ref="E384:P384" si="1129">AVERAGE(E335:E346)</f>
        <v>141.23333333333332</v>
      </c>
      <c r="F384" s="58">
        <f t="shared" si="1129"/>
        <v>131.46083333333331</v>
      </c>
      <c r="G384" s="58">
        <f t="shared" si="1129"/>
        <v>158.14166666666665</v>
      </c>
      <c r="H384" s="58">
        <f t="shared" si="1129"/>
        <v>147.63916666666668</v>
      </c>
      <c r="I384" s="59">
        <f t="shared" si="1129"/>
        <v>0.74527289768149974</v>
      </c>
      <c r="J384" s="59">
        <f t="shared" si="1129"/>
        <v>0.69239813401766437</v>
      </c>
      <c r="K384" s="59">
        <f t="shared" si="1129"/>
        <v>0.1906568674241865</v>
      </c>
      <c r="L384" s="59">
        <f t="shared" si="1129"/>
        <v>0.16326248285131637</v>
      </c>
      <c r="M384" s="59">
        <f t="shared" si="1129"/>
        <v>0.98499999999999988</v>
      </c>
      <c r="N384" s="59">
        <f t="shared" si="1129"/>
        <v>0.97426412761244074</v>
      </c>
      <c r="O384" s="59">
        <f t="shared" si="1129"/>
        <v>0.9900000000000001</v>
      </c>
      <c r="P384" s="61">
        <f t="shared" si="1129"/>
        <v>0.99905968668891365</v>
      </c>
      <c r="Q384" s="83">
        <f>R384-S384</f>
        <v>-7.5655293817610159E-2</v>
      </c>
      <c r="R384" s="65">
        <f t="shared" si="1109"/>
        <v>-0.14206726620523713</v>
      </c>
      <c r="S384" s="59">
        <f t="shared" si="1110"/>
        <v>-6.6411972387626972E-2</v>
      </c>
      <c r="T384" s="59">
        <f>N384-M384</f>
        <v>-1.0735872387559131E-2</v>
      </c>
      <c r="U384" s="59">
        <f>P384-O384</f>
        <v>9.0596866889135486E-3</v>
      </c>
      <c r="V384" s="61">
        <f>AVERAGE(V335:V346)</f>
        <v>-1.5564449596258604E-2</v>
      </c>
      <c r="X384" s="60" t="s">
        <v>72</v>
      </c>
      <c r="Y384" s="58">
        <f>SUM(Y335:Y346)</f>
        <v>16643.346351659759</v>
      </c>
      <c r="Z384" s="58">
        <f>SUM(Z335:Z346)</f>
        <v>14570.190000000002</v>
      </c>
      <c r="AA384" s="58">
        <f t="shared" ref="AA384:AL384" si="1130">AVERAGE(AA335:AA346)</f>
        <v>141.23333333333332</v>
      </c>
      <c r="AB384" s="58">
        <f t="shared" si="1130"/>
        <v>131.39500000000001</v>
      </c>
      <c r="AC384" s="58">
        <f t="shared" si="1130"/>
        <v>158.14166666666665</v>
      </c>
      <c r="AD384" s="58">
        <f t="shared" si="1130"/>
        <v>149.08166666666668</v>
      </c>
      <c r="AE384" s="59">
        <f t="shared" si="1130"/>
        <v>0.74273609216391068</v>
      </c>
      <c r="AF384" s="59">
        <f t="shared" si="1130"/>
        <v>0.70025683964445296</v>
      </c>
      <c r="AG384" s="59">
        <f t="shared" si="1130"/>
        <v>0.19007237325444812</v>
      </c>
      <c r="AH384" s="59">
        <f t="shared" si="1130"/>
        <v>0.16611183931219872</v>
      </c>
      <c r="AI384" s="59">
        <f t="shared" si="1130"/>
        <v>0.98499999999999988</v>
      </c>
      <c r="AJ384" s="59">
        <f t="shared" si="1130"/>
        <v>0.96977846664614409</v>
      </c>
      <c r="AK384" s="59">
        <f t="shared" si="1130"/>
        <v>0.9900000000000001</v>
      </c>
      <c r="AL384" s="61">
        <f t="shared" si="1130"/>
        <v>0.99912791991101235</v>
      </c>
      <c r="AM384" s="83">
        <f>AN384-AO384</f>
        <v>-6.7273268771602224E-2</v>
      </c>
      <c r="AN384" s="65">
        <f t="shared" si="1115"/>
        <v>-0.1245636729450752</v>
      </c>
      <c r="AO384" s="59">
        <f t="shared" si="1116"/>
        <v>-5.7290404173472975E-2</v>
      </c>
      <c r="AP384" s="59">
        <f>AJ384-AI384</f>
        <v>-1.5221533353855787E-2</v>
      </c>
      <c r="AQ384" s="59">
        <f>AL384-AK384</f>
        <v>9.12791991101225E-3</v>
      </c>
      <c r="AR384" s="61">
        <f>AVERAGE(AR335:AR346)</f>
        <v>-1.5411777097101868E-2</v>
      </c>
      <c r="BN384" s="98"/>
    </row>
    <row r="385" spans="2:66">
      <c r="B385" s="60" t="s">
        <v>75</v>
      </c>
      <c r="C385" s="58">
        <f>SUM(C347:C368)</f>
        <v>45411.095690291324</v>
      </c>
      <c r="D385" s="58">
        <f>SUM(D347:D368)</f>
        <v>23539.650999999998</v>
      </c>
      <c r="E385" s="58">
        <f t="shared" ref="E385:P385" si="1131">AVERAGE(E347:E368)</f>
        <v>215.16863636363632</v>
      </c>
      <c r="F385" s="58">
        <f t="shared" si="1131"/>
        <v>202.25454545454548</v>
      </c>
      <c r="G385" s="58">
        <f t="shared" si="1131"/>
        <v>239.29999999999993</v>
      </c>
      <c r="H385" s="58">
        <f t="shared" si="1131"/>
        <v>219.73181818181817</v>
      </c>
      <c r="I385" s="59">
        <f t="shared" si="1131"/>
        <v>0.74707307345370577</v>
      </c>
      <c r="J385" s="59">
        <f t="shared" si="1131"/>
        <v>0.70082631485808067</v>
      </c>
      <c r="K385" s="59">
        <f t="shared" si="1131"/>
        <v>0.18996415302412431</v>
      </c>
      <c r="L385" s="59">
        <f t="shared" si="1131"/>
        <v>0.16350009232106008</v>
      </c>
      <c r="M385" s="59">
        <f t="shared" si="1131"/>
        <v>0.98499999999999988</v>
      </c>
      <c r="N385" s="59">
        <f t="shared" si="1131"/>
        <v>0.97089765429294483</v>
      </c>
      <c r="O385" s="59">
        <f t="shared" si="1131"/>
        <v>0.9900000000000001</v>
      </c>
      <c r="P385" s="61">
        <f t="shared" si="1131"/>
        <v>0.99842294651584984</v>
      </c>
      <c r="Q385" s="83">
        <f>R385-S385</f>
        <v>-0.39985957857336707</v>
      </c>
      <c r="R385" s="65">
        <f t="shared" si="1109"/>
        <v>-0.48163217288252613</v>
      </c>
      <c r="S385" s="59">
        <f t="shared" si="1110"/>
        <v>-8.1772594309159063E-2</v>
      </c>
      <c r="T385" s="59">
        <f>N385-M385</f>
        <v>-1.4102345707055042E-2</v>
      </c>
      <c r="U385" s="59">
        <f>P385-O385</f>
        <v>8.4229465158497385E-3</v>
      </c>
      <c r="V385" s="61" t="e">
        <f>AVERAGE(V347:V368)</f>
        <v>#DIV/0!</v>
      </c>
      <c r="X385" s="60" t="s">
        <v>75</v>
      </c>
      <c r="Y385" s="58">
        <f>SUM(Y347:Y368)</f>
        <v>43379.104065779044</v>
      </c>
      <c r="Z385" s="58">
        <f>SUM(Z347:Z368)</f>
        <v>22120.116000000002</v>
      </c>
      <c r="AA385" s="58">
        <f t="shared" ref="AA385:AL385" si="1132">AVERAGE(AA347:AA368)</f>
        <v>215.16863636363632</v>
      </c>
      <c r="AB385" s="58">
        <f t="shared" si="1132"/>
        <v>199.79363636363635</v>
      </c>
      <c r="AC385" s="58">
        <f t="shared" si="1132"/>
        <v>239.29999999999993</v>
      </c>
      <c r="AD385" s="58">
        <f t="shared" si="1132"/>
        <v>221.69090909090909</v>
      </c>
      <c r="AE385" s="59">
        <f t="shared" si="1132"/>
        <v>0.74454367297649859</v>
      </c>
      <c r="AF385" s="59">
        <f t="shared" si="1132"/>
        <v>0.71553723119974622</v>
      </c>
      <c r="AG385" s="59">
        <f t="shared" si="1132"/>
        <v>0.18939678417767813</v>
      </c>
      <c r="AH385" s="59">
        <f t="shared" si="1132"/>
        <v>0.16579109400456171</v>
      </c>
      <c r="AI385" s="59">
        <f t="shared" si="1132"/>
        <v>0.98499999999999988</v>
      </c>
      <c r="AJ385" s="59">
        <f t="shared" si="1132"/>
        <v>0.95541208215760109</v>
      </c>
      <c r="AK385" s="59">
        <f t="shared" si="1132"/>
        <v>0.9900000000000001</v>
      </c>
      <c r="AL385" s="61">
        <f t="shared" si="1132"/>
        <v>0.99842691383884918</v>
      </c>
      <c r="AM385" s="83">
        <f>AN385-AO385</f>
        <v>-0.41648855487073699</v>
      </c>
      <c r="AN385" s="65">
        <f t="shared" si="1115"/>
        <v>-0.49007439235126704</v>
      </c>
      <c r="AO385" s="59">
        <f t="shared" si="1116"/>
        <v>-7.3585837480530047E-2</v>
      </c>
      <c r="AP385" s="59">
        <f>AJ385-AI385</f>
        <v>-2.9587917842398781E-2</v>
      </c>
      <c r="AQ385" s="59">
        <f>AL385-AK385</f>
        <v>8.4269138388490816E-3</v>
      </c>
      <c r="AR385" s="61" t="e">
        <f>AVERAGE(AR347:AR368)</f>
        <v>#DIV/0!</v>
      </c>
      <c r="BN385" s="98"/>
    </row>
    <row r="386" spans="2:66" ht="29.1" customHeight="1" thickBot="1">
      <c r="I386" s="62"/>
      <c r="J386" s="71"/>
      <c r="K386" s="1"/>
      <c r="L386" s="71"/>
      <c r="M386" s="1"/>
      <c r="N386" s="71"/>
      <c r="O386" s="1"/>
      <c r="P386" s="7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99"/>
      <c r="AC386" s="100"/>
      <c r="AD386" s="99"/>
      <c r="AE386" s="100"/>
      <c r="AF386" s="71"/>
      <c r="AG386" s="1"/>
      <c r="AH386" s="71"/>
      <c r="AI386" s="1"/>
      <c r="AJ386" s="71"/>
      <c r="AK386" s="1"/>
      <c r="AL386" s="71"/>
      <c r="AM386" s="1"/>
      <c r="AN386" s="1"/>
      <c r="AO386" s="1"/>
      <c r="AP386" s="1"/>
      <c r="AQ386" s="1"/>
      <c r="AR386" s="1"/>
    </row>
    <row r="387" spans="2:66" ht="15.75" thickBot="1">
      <c r="B387" s="230" t="s">
        <v>7</v>
      </c>
      <c r="C387" s="231"/>
      <c r="D387" s="231"/>
      <c r="E387" s="231"/>
      <c r="F387" s="231"/>
      <c r="G387" s="231"/>
      <c r="H387" s="231"/>
      <c r="I387" s="231"/>
      <c r="J387" s="231"/>
      <c r="K387" s="231"/>
      <c r="L387" s="231"/>
      <c r="M387" s="231"/>
      <c r="N387" s="231"/>
      <c r="O387" s="231"/>
      <c r="P387" s="232"/>
      <c r="R387" s="215" t="s">
        <v>32</v>
      </c>
      <c r="S387" s="216"/>
      <c r="T387" s="216"/>
      <c r="U387" s="216"/>
      <c r="V387" s="217"/>
      <c r="W387" s="1"/>
      <c r="X387" s="218" t="s">
        <v>10</v>
      </c>
      <c r="Y387" s="219"/>
      <c r="Z387" s="219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19"/>
      <c r="AL387" s="220"/>
      <c r="AM387" s="1"/>
      <c r="AN387" s="215" t="s">
        <v>30</v>
      </c>
      <c r="AO387" s="216"/>
      <c r="AP387" s="216"/>
      <c r="AQ387" s="216"/>
      <c r="AR387" s="217"/>
    </row>
    <row r="388" spans="2:66" ht="60">
      <c r="B388" s="7" t="s">
        <v>0</v>
      </c>
      <c r="C388" s="6" t="s">
        <v>1</v>
      </c>
      <c r="D388" s="6" t="s">
        <v>2</v>
      </c>
      <c r="E388" s="8" t="s">
        <v>4</v>
      </c>
      <c r="F388" s="8" t="s">
        <v>3</v>
      </c>
      <c r="G388" s="8" t="s">
        <v>5</v>
      </c>
      <c r="H388" s="8" t="s">
        <v>6</v>
      </c>
      <c r="I388" s="8" t="s">
        <v>19</v>
      </c>
      <c r="J388" s="8" t="s">
        <v>18</v>
      </c>
      <c r="K388" s="6" t="s">
        <v>41</v>
      </c>
      <c r="L388" s="6" t="s">
        <v>24</v>
      </c>
      <c r="M388" s="8" t="s">
        <v>20</v>
      </c>
      <c r="N388" s="8" t="s">
        <v>21</v>
      </c>
      <c r="O388" s="8" t="s">
        <v>22</v>
      </c>
      <c r="P388" s="9" t="s">
        <v>23</v>
      </c>
      <c r="R388" s="66" t="s">
        <v>25</v>
      </c>
      <c r="S388" s="67" t="s">
        <v>26</v>
      </c>
      <c r="T388" s="67" t="s">
        <v>27</v>
      </c>
      <c r="U388" s="67" t="s">
        <v>28</v>
      </c>
      <c r="V388" s="68" t="s">
        <v>40</v>
      </c>
      <c r="W388" s="1"/>
      <c r="X388" s="7" t="s">
        <v>0</v>
      </c>
      <c r="Y388" s="6" t="s">
        <v>1</v>
      </c>
      <c r="Z388" s="6" t="s">
        <v>2</v>
      </c>
      <c r="AA388" s="6" t="s">
        <v>4</v>
      </c>
      <c r="AB388" s="6" t="s">
        <v>3</v>
      </c>
      <c r="AC388" s="6" t="s">
        <v>5</v>
      </c>
      <c r="AD388" s="6" t="s">
        <v>6</v>
      </c>
      <c r="AE388" s="8" t="s">
        <v>19</v>
      </c>
      <c r="AF388" s="6" t="s">
        <v>18</v>
      </c>
      <c r="AG388" s="6" t="s">
        <v>41</v>
      </c>
      <c r="AH388" s="6" t="s">
        <v>24</v>
      </c>
      <c r="AI388" s="8" t="s">
        <v>20</v>
      </c>
      <c r="AJ388" s="8" t="s">
        <v>21</v>
      </c>
      <c r="AK388" s="8" t="s">
        <v>22</v>
      </c>
      <c r="AL388" s="9" t="s">
        <v>23</v>
      </c>
      <c r="AM388" s="1"/>
      <c r="AN388" s="66" t="s">
        <v>25</v>
      </c>
      <c r="AO388" s="67" t="s">
        <v>26</v>
      </c>
      <c r="AP388" s="67" t="s">
        <v>27</v>
      </c>
      <c r="AQ388" s="67" t="s">
        <v>28</v>
      </c>
      <c r="AR388" s="68" t="s">
        <v>40</v>
      </c>
    </row>
    <row r="389" spans="2:66" ht="14.65" customHeight="1">
      <c r="B389" s="5">
        <v>42766</v>
      </c>
      <c r="C389" s="2"/>
      <c r="D389" s="2">
        <v>0</v>
      </c>
      <c r="E389" s="2">
        <v>79.599999999999994</v>
      </c>
      <c r="F389" s="2"/>
      <c r="G389" s="2">
        <v>103.2</v>
      </c>
      <c r="H389" s="2"/>
      <c r="I389" s="12">
        <v>0.83104704670606167</v>
      </c>
      <c r="J389" s="2"/>
      <c r="K389" s="2"/>
      <c r="L389" s="2"/>
      <c r="M389" s="10">
        <v>0.98499999999999999</v>
      </c>
      <c r="N389" s="2"/>
      <c r="O389" s="10">
        <v>0.99</v>
      </c>
      <c r="P389" s="3"/>
      <c r="R389" s="77"/>
      <c r="S389" s="78"/>
      <c r="T389" s="78"/>
      <c r="U389" s="78"/>
      <c r="V389" s="79"/>
      <c r="W389" s="1"/>
      <c r="X389" s="5">
        <v>42766</v>
      </c>
      <c r="Y389" s="2"/>
      <c r="Z389" s="2">
        <v>0</v>
      </c>
      <c r="AA389" s="2">
        <v>79.599999999999994</v>
      </c>
      <c r="AB389" s="2"/>
      <c r="AC389" s="2">
        <v>103.2</v>
      </c>
      <c r="AD389" s="2"/>
      <c r="AE389" s="12">
        <v>0.82763481424572438</v>
      </c>
      <c r="AF389" s="2"/>
      <c r="AG389" s="2"/>
      <c r="AH389" s="2"/>
      <c r="AI389" s="10">
        <v>0.98499999999999999</v>
      </c>
      <c r="AJ389" s="2"/>
      <c r="AK389" s="10">
        <v>0.99</v>
      </c>
      <c r="AL389" s="3"/>
      <c r="AM389" s="1"/>
      <c r="AN389" s="77"/>
      <c r="AO389" s="78"/>
      <c r="AP389" s="78"/>
      <c r="AQ389" s="78"/>
      <c r="AR389" s="79"/>
    </row>
    <row r="390" spans="2:66" ht="14.65" customHeight="1">
      <c r="B390" s="5">
        <v>42794</v>
      </c>
      <c r="C390" s="2"/>
      <c r="D390" s="2">
        <v>28.943999999999999</v>
      </c>
      <c r="E390" s="2">
        <v>108.1</v>
      </c>
      <c r="F390" s="2"/>
      <c r="G390" s="2">
        <v>137.5</v>
      </c>
      <c r="H390" s="2"/>
      <c r="I390" s="14">
        <v>0.81636242274348869</v>
      </c>
      <c r="J390" s="2"/>
      <c r="K390" s="2"/>
      <c r="L390" s="2"/>
      <c r="M390" s="10">
        <v>0.98499999999999999</v>
      </c>
      <c r="N390" s="2"/>
      <c r="O390" s="10">
        <v>0.99</v>
      </c>
      <c r="P390" s="3"/>
      <c r="R390" s="77"/>
      <c r="S390" s="78"/>
      <c r="T390" s="78"/>
      <c r="U390" s="78"/>
      <c r="V390" s="79"/>
      <c r="W390" s="1"/>
      <c r="X390" s="5">
        <v>42794</v>
      </c>
      <c r="Y390" s="2"/>
      <c r="Z390" s="2">
        <v>0</v>
      </c>
      <c r="AA390" s="2">
        <v>108.1</v>
      </c>
      <c r="AB390" s="2"/>
      <c r="AC390" s="2">
        <v>137.5</v>
      </c>
      <c r="AD390" s="2"/>
      <c r="AE390" s="14">
        <v>0.81555559393111998</v>
      </c>
      <c r="AF390" s="2"/>
      <c r="AG390" s="2"/>
      <c r="AH390" s="2"/>
      <c r="AI390" s="10">
        <v>0.98499999999999999</v>
      </c>
      <c r="AJ390" s="2"/>
      <c r="AK390" s="10">
        <v>0.99</v>
      </c>
      <c r="AL390" s="3"/>
      <c r="AM390" s="1"/>
      <c r="AN390" s="77"/>
      <c r="AO390" s="78"/>
      <c r="AP390" s="78"/>
      <c r="AQ390" s="78"/>
      <c r="AR390" s="79"/>
    </row>
    <row r="391" spans="2:66" ht="14.65" customHeight="1">
      <c r="B391" s="5">
        <v>42825</v>
      </c>
      <c r="C391" s="2">
        <v>1803.1419503723607</v>
      </c>
      <c r="D391" s="2">
        <v>796.524</v>
      </c>
      <c r="E391" s="2">
        <v>161.4</v>
      </c>
      <c r="F391" s="2"/>
      <c r="G391" s="2">
        <v>187.8</v>
      </c>
      <c r="H391" s="2"/>
      <c r="I391" s="14">
        <v>0.80011623640946072</v>
      </c>
      <c r="J391" s="2"/>
      <c r="K391" s="2"/>
      <c r="L391" s="2"/>
      <c r="M391" s="10">
        <v>0.98499999999999999</v>
      </c>
      <c r="N391" s="2"/>
      <c r="O391" s="10">
        <v>0.99</v>
      </c>
      <c r="P391" s="3"/>
      <c r="R391" s="81">
        <f>D391/C391-1</f>
        <v>-0.55825774014324692</v>
      </c>
      <c r="S391" s="78"/>
      <c r="T391" s="78"/>
      <c r="U391" s="78"/>
      <c r="V391" s="79"/>
      <c r="W391" s="1"/>
      <c r="X391" s="5">
        <v>42825</v>
      </c>
      <c r="Y391" s="2"/>
      <c r="Z391" s="2">
        <v>51.893999999999998</v>
      </c>
      <c r="AA391" s="2">
        <v>161.4</v>
      </c>
      <c r="AB391" s="2"/>
      <c r="AC391" s="2">
        <v>187.8</v>
      </c>
      <c r="AD391" s="2"/>
      <c r="AE391" s="11">
        <v>0.80080060538540998</v>
      </c>
      <c r="AF391" s="2"/>
      <c r="AG391" s="2"/>
      <c r="AH391" s="2"/>
      <c r="AI391" s="10">
        <v>0.98499999999999999</v>
      </c>
      <c r="AJ391" s="2"/>
      <c r="AK391" s="10">
        <v>0.99</v>
      </c>
      <c r="AL391" s="3"/>
      <c r="AM391" s="1"/>
      <c r="AN391" s="81" t="e">
        <f t="shared" ref="AN391:AN422" si="1133">Z391/Y391-1</f>
        <v>#DIV/0!</v>
      </c>
      <c r="AO391" s="78"/>
      <c r="AP391" s="78"/>
      <c r="AQ391" s="78"/>
      <c r="AR391" s="79"/>
    </row>
    <row r="392" spans="2:66" ht="14.65" customHeight="1">
      <c r="B392" s="5">
        <v>42855</v>
      </c>
      <c r="C392" s="2">
        <v>1865.923053559713</v>
      </c>
      <c r="D392" s="2">
        <v>1187.6759999999999</v>
      </c>
      <c r="E392" s="2">
        <v>190.2</v>
      </c>
      <c r="F392" s="2"/>
      <c r="G392" s="2">
        <v>194</v>
      </c>
      <c r="H392" s="2"/>
      <c r="I392" s="11">
        <v>0.80151333915795231</v>
      </c>
      <c r="J392" s="2"/>
      <c r="K392" s="11">
        <f t="shared" ref="K392" si="1134">C392/24/30/10</f>
        <v>0.25915597966107123</v>
      </c>
      <c r="L392" s="11">
        <f t="shared" ref="L392" si="1135">D392/24/30/10</f>
        <v>0.16495500000000002</v>
      </c>
      <c r="M392" s="10">
        <v>0.98499999999999999</v>
      </c>
      <c r="N392" s="2"/>
      <c r="O392" s="10">
        <v>0.99</v>
      </c>
      <c r="P392" s="3"/>
      <c r="R392" s="81">
        <f t="shared" ref="R392:R415" si="1136">D392/C392-1</f>
        <v>-0.36349143779846005</v>
      </c>
      <c r="S392" s="78"/>
      <c r="T392" s="78"/>
      <c r="U392" s="78"/>
      <c r="V392" s="79"/>
      <c r="W392" s="1"/>
      <c r="X392" s="5">
        <v>42855</v>
      </c>
      <c r="Y392" s="2">
        <v>1866.4750635306268</v>
      </c>
      <c r="Z392" s="2">
        <v>716.32799999999997</v>
      </c>
      <c r="AA392" s="2">
        <v>190.2</v>
      </c>
      <c r="AB392" s="2"/>
      <c r="AC392" s="2">
        <v>194</v>
      </c>
      <c r="AD392" s="2"/>
      <c r="AE392" s="11">
        <v>0.80175045684305279</v>
      </c>
      <c r="AF392" s="2"/>
      <c r="AG392" s="11">
        <f t="shared" ref="AG392" si="1137">Y392/24/30/10</f>
        <v>0.25923264771258708</v>
      </c>
      <c r="AH392" s="11">
        <f t="shared" ref="AH392" si="1138">Z392/24/30/10</f>
        <v>9.9489999999999995E-2</v>
      </c>
      <c r="AI392" s="10">
        <v>0.98499999999999999</v>
      </c>
      <c r="AJ392" s="2"/>
      <c r="AK392" s="10">
        <v>0.99</v>
      </c>
      <c r="AL392" s="3"/>
      <c r="AM392" s="1"/>
      <c r="AN392" s="81">
        <f t="shared" si="1133"/>
        <v>-0.61621346355145357</v>
      </c>
      <c r="AO392" s="78"/>
      <c r="AP392" s="78"/>
      <c r="AQ392" s="78"/>
      <c r="AR392" s="79"/>
    </row>
    <row r="393" spans="2:66" ht="14.65" customHeight="1">
      <c r="B393" s="5">
        <v>42886</v>
      </c>
      <c r="C393" s="2">
        <v>1890.4469219922721</v>
      </c>
      <c r="D393" s="2">
        <v>1141.3499999999999</v>
      </c>
      <c r="E393" s="2">
        <v>197</v>
      </c>
      <c r="F393" s="2"/>
      <c r="G393" s="2">
        <v>197.7</v>
      </c>
      <c r="H393" s="2"/>
      <c r="I393" s="14">
        <v>0.79684999240948917</v>
      </c>
      <c r="J393" s="2"/>
      <c r="K393" s="11">
        <f>C393/24/31/10</f>
        <v>0.25409232822476774</v>
      </c>
      <c r="L393" s="11">
        <f>D393/24/31/10</f>
        <v>0.15340725806451611</v>
      </c>
      <c r="M393" s="10">
        <v>0.98499999999999999</v>
      </c>
      <c r="N393" s="2"/>
      <c r="O393" s="10">
        <v>0.99</v>
      </c>
      <c r="P393" s="3"/>
      <c r="R393" s="81">
        <f t="shared" si="1136"/>
        <v>-0.39625387694187497</v>
      </c>
      <c r="S393" s="78"/>
      <c r="T393" s="78"/>
      <c r="U393" s="78"/>
      <c r="V393" s="79"/>
      <c r="W393" s="1"/>
      <c r="X393" s="5">
        <v>42886</v>
      </c>
      <c r="Y393" s="2">
        <v>1890.995229893352</v>
      </c>
      <c r="Z393" s="2">
        <v>1126.944</v>
      </c>
      <c r="AA393" s="2">
        <v>197</v>
      </c>
      <c r="AB393" s="2"/>
      <c r="AC393" s="2">
        <v>197.7</v>
      </c>
      <c r="AD393" s="2"/>
      <c r="AE393" s="14">
        <v>0.79708111190918562</v>
      </c>
      <c r="AF393" s="2"/>
      <c r="AG393" s="11">
        <f>Y393/24/31/10</f>
        <v>0.25416602552329998</v>
      </c>
      <c r="AH393" s="11">
        <f>Z393/24/31/10</f>
        <v>0.15147096774193547</v>
      </c>
      <c r="AI393" s="10">
        <v>0.98499999999999999</v>
      </c>
      <c r="AJ393" s="2"/>
      <c r="AK393" s="10">
        <v>0.99</v>
      </c>
      <c r="AL393" s="3"/>
      <c r="AM393" s="1"/>
      <c r="AN393" s="81">
        <f t="shared" si="1133"/>
        <v>-0.40404714819742982</v>
      </c>
      <c r="AO393" s="78"/>
      <c r="AP393" s="78"/>
      <c r="AQ393" s="78"/>
      <c r="AR393" s="79"/>
    </row>
    <row r="394" spans="2:66" ht="14.65" customHeight="1">
      <c r="B394" s="5">
        <v>42916</v>
      </c>
      <c r="C394" s="2">
        <v>1700.1417029556114</v>
      </c>
      <c r="D394" s="2">
        <v>1130.55</v>
      </c>
      <c r="E394" s="2">
        <v>178.9</v>
      </c>
      <c r="F394" s="2">
        <v>152.65</v>
      </c>
      <c r="G394" s="2">
        <v>177.2</v>
      </c>
      <c r="H394" s="2">
        <v>146.05000000000001</v>
      </c>
      <c r="I394" s="14">
        <v>0.79953992802652918</v>
      </c>
      <c r="J394" s="10">
        <f>D394/12/H394</f>
        <v>0.64507018144471062</v>
      </c>
      <c r="K394" s="11">
        <f>C394/24/30/10</f>
        <v>0.23613079207716825</v>
      </c>
      <c r="L394" s="11">
        <f>D394/24/30/10</f>
        <v>0.15702083333333333</v>
      </c>
      <c r="M394" s="10">
        <v>0.98499999999999999</v>
      </c>
      <c r="N394" s="15">
        <v>0.78010632000000002</v>
      </c>
      <c r="O394" s="10">
        <v>0.99</v>
      </c>
      <c r="P394" s="16">
        <v>0.99860000000000004</v>
      </c>
      <c r="Q394" s="83"/>
      <c r="R394" s="81">
        <f t="shared" si="1136"/>
        <v>-0.33502601692870937</v>
      </c>
      <c r="S394" s="10">
        <f>H394/G394-1</f>
        <v>-0.1757900677200902</v>
      </c>
      <c r="T394" s="10">
        <f>N394-M394</f>
        <v>-0.20489367999999997</v>
      </c>
      <c r="U394" s="10">
        <f>P394-O394</f>
        <v>8.600000000000052E-3</v>
      </c>
      <c r="V394" s="23"/>
      <c r="W394" s="83"/>
      <c r="X394" s="5">
        <v>42916</v>
      </c>
      <c r="Y394" s="2">
        <v>1697.7763189550788</v>
      </c>
      <c r="Z394" s="2">
        <v>1235.1780000000001</v>
      </c>
      <c r="AA394" s="2">
        <v>178.9</v>
      </c>
      <c r="AB394" s="2">
        <v>155.33000000000001</v>
      </c>
      <c r="AC394" s="2">
        <v>177.2</v>
      </c>
      <c r="AD394" s="2">
        <v>147.88999999999999</v>
      </c>
      <c r="AE394" s="14">
        <v>0.79842753901198216</v>
      </c>
      <c r="AF394" s="10">
        <f>Z394/12/AD394</f>
        <v>0.69600040570694455</v>
      </c>
      <c r="AG394" s="11">
        <f>Y394/24/30/10</f>
        <v>0.23580226652153874</v>
      </c>
      <c r="AH394" s="11">
        <f>Z394/24/30/10</f>
        <v>0.17155250000000002</v>
      </c>
      <c r="AI394" s="10">
        <v>0.98499999999999999</v>
      </c>
      <c r="AJ394" s="11">
        <v>0.78849455999999996</v>
      </c>
      <c r="AK394" s="10">
        <v>0.99</v>
      </c>
      <c r="AL394" s="16">
        <v>0.99860000000000004</v>
      </c>
      <c r="AM394" s="1"/>
      <c r="AN394" s="81">
        <f t="shared" si="1133"/>
        <v>-0.2724730659688972</v>
      </c>
      <c r="AO394" s="10">
        <f t="shared" ref="AO394:AO425" si="1139">AD394/AC394-1</f>
        <v>-0.16540632054176074</v>
      </c>
      <c r="AP394" s="10">
        <f t="shared" ref="AP394:AP425" si="1140">AJ394-AI394</f>
        <v>-0.19650544000000003</v>
      </c>
      <c r="AQ394" s="10">
        <f t="shared" ref="AQ394:AQ425" si="1141">AL394-AK394</f>
        <v>8.600000000000052E-3</v>
      </c>
      <c r="AR394" s="23"/>
    </row>
    <row r="395" spans="2:66" ht="14.65" customHeight="1">
      <c r="B395" s="5">
        <v>42947</v>
      </c>
      <c r="C395" s="2">
        <v>1507.8745744443459</v>
      </c>
      <c r="D395" s="2">
        <v>1004.04</v>
      </c>
      <c r="E395" s="2">
        <v>155.5</v>
      </c>
      <c r="F395" s="2">
        <v>156.31</v>
      </c>
      <c r="G395" s="2">
        <v>154.6</v>
      </c>
      <c r="H395" s="2">
        <v>154.55000000000001</v>
      </c>
      <c r="I395" s="14">
        <v>0.81278275897172592</v>
      </c>
      <c r="J395" s="10">
        <f t="shared" ref="J395:J403" si="1142">D395/12/H395</f>
        <v>0.54137819475897764</v>
      </c>
      <c r="K395" s="11">
        <f>C395/24/31/10</f>
        <v>0.20267131376940131</v>
      </c>
      <c r="L395" s="11">
        <f>D395/24/31/10</f>
        <v>0.13495161290322583</v>
      </c>
      <c r="M395" s="10">
        <v>0.98499999999999999</v>
      </c>
      <c r="N395" s="15">
        <v>0.79665522999999994</v>
      </c>
      <c r="O395" s="10">
        <v>0.99</v>
      </c>
      <c r="P395" s="16">
        <v>0.99470000000000003</v>
      </c>
      <c r="Q395" s="83"/>
      <c r="R395" s="81">
        <f t="shared" si="1136"/>
        <v>-0.33413559919598068</v>
      </c>
      <c r="S395" s="10">
        <f t="shared" ref="S395:S415" si="1143">H395/G395-1</f>
        <v>-3.2341526520041075E-4</v>
      </c>
      <c r="T395" s="10">
        <f t="shared" ref="T395:T415" si="1144">N395-M395</f>
        <v>-0.18834477000000005</v>
      </c>
      <c r="U395" s="10">
        <f t="shared" ref="U395:U415" si="1145">P395-O395</f>
        <v>4.7000000000000375E-3</v>
      </c>
      <c r="V395" s="23"/>
      <c r="W395" s="83"/>
      <c r="X395" s="5">
        <v>42947</v>
      </c>
      <c r="Y395" s="2">
        <v>1502.5957947077879</v>
      </c>
      <c r="Z395" s="2">
        <v>830.04</v>
      </c>
      <c r="AA395" s="2">
        <v>155.5</v>
      </c>
      <c r="AB395" s="2">
        <v>154.75</v>
      </c>
      <c r="AC395" s="2">
        <v>154.6</v>
      </c>
      <c r="AD395" s="2">
        <v>153.06</v>
      </c>
      <c r="AE395" s="14">
        <v>0.80993736239100256</v>
      </c>
      <c r="AF395" s="10">
        <f t="shared" ref="AF395:AF403" si="1146">Z395/12/AD395</f>
        <v>0.45191428198092254</v>
      </c>
      <c r="AG395" s="11">
        <f>Y395/24/31/10</f>
        <v>0.20196180036394998</v>
      </c>
      <c r="AH395" s="11">
        <f>Z395/24/31/10</f>
        <v>0.11156451612903226</v>
      </c>
      <c r="AI395" s="10">
        <v>0.98499999999999999</v>
      </c>
      <c r="AJ395" s="15">
        <v>0.64580075999999997</v>
      </c>
      <c r="AK395" s="10">
        <v>0.99</v>
      </c>
      <c r="AL395" s="16">
        <v>0.99109999999999998</v>
      </c>
      <c r="AM395" s="1"/>
      <c r="AN395" s="81">
        <f t="shared" si="1133"/>
        <v>-0.44759595167014354</v>
      </c>
      <c r="AO395" s="10">
        <f t="shared" si="1139"/>
        <v>-9.9611901681758708E-3</v>
      </c>
      <c r="AP395" s="10">
        <f t="shared" si="1140"/>
        <v>-0.33919924000000001</v>
      </c>
      <c r="AQ395" s="10">
        <f t="shared" si="1141"/>
        <v>1.0999999999999899E-3</v>
      </c>
      <c r="AR395" s="23"/>
    </row>
    <row r="396" spans="2:66" ht="14.65" customHeight="1">
      <c r="B396" s="5">
        <v>42978</v>
      </c>
      <c r="C396" s="2">
        <v>1432.341059672063</v>
      </c>
      <c r="D396" s="2">
        <v>1050.864</v>
      </c>
      <c r="E396" s="2">
        <v>145.4</v>
      </c>
      <c r="F396" s="2">
        <v>132.52000000000001</v>
      </c>
      <c r="G396" s="2">
        <v>146.30000000000001</v>
      </c>
      <c r="H396" s="2">
        <v>133.94999999999999</v>
      </c>
      <c r="I396" s="14">
        <v>0.8158698220961853</v>
      </c>
      <c r="J396" s="10">
        <f t="shared" si="1142"/>
        <v>0.65376633072041812</v>
      </c>
      <c r="K396" s="11">
        <f>C396/24/31/10</f>
        <v>0.19251895963334181</v>
      </c>
      <c r="L396" s="11">
        <f>D396/24/31/10</f>
        <v>0.14124516129032258</v>
      </c>
      <c r="M396" s="10">
        <v>0.98499999999999999</v>
      </c>
      <c r="N396" s="15">
        <v>0.92086847999999999</v>
      </c>
      <c r="O396" s="10">
        <v>0.99</v>
      </c>
      <c r="P396" s="16">
        <v>0.99360000000000004</v>
      </c>
      <c r="Q396" s="83"/>
      <c r="R396" s="81">
        <f t="shared" si="1136"/>
        <v>-0.26633116260690226</v>
      </c>
      <c r="S396" s="10">
        <f t="shared" si="1143"/>
        <v>-8.441558441558461E-2</v>
      </c>
      <c r="T396" s="10">
        <f t="shared" si="1144"/>
        <v>-6.4131519999999997E-2</v>
      </c>
      <c r="U396" s="10">
        <f t="shared" si="1145"/>
        <v>3.6000000000000476E-3</v>
      </c>
      <c r="V396" s="23"/>
      <c r="W396" s="83"/>
      <c r="X396" s="5">
        <v>42978</v>
      </c>
      <c r="Y396" s="2">
        <v>1427.0736823105949</v>
      </c>
      <c r="Z396" s="2">
        <v>1067.2380000000001</v>
      </c>
      <c r="AA396" s="2">
        <v>145.4</v>
      </c>
      <c r="AB396" s="2">
        <v>126.7</v>
      </c>
      <c r="AC396" s="2">
        <v>146.30000000000001</v>
      </c>
      <c r="AD396" s="2">
        <v>127.36</v>
      </c>
      <c r="AE396" s="14">
        <v>0.81286949322772539</v>
      </c>
      <c r="AF396" s="10">
        <f t="shared" si="1146"/>
        <v>0.69830794597989954</v>
      </c>
      <c r="AG396" s="11">
        <f>Y396/24/31/10</f>
        <v>0.19181097880518747</v>
      </c>
      <c r="AH396" s="11">
        <f>Z396/24/31/10</f>
        <v>0.14344596774193549</v>
      </c>
      <c r="AI396" s="10">
        <v>0.98499999999999999</v>
      </c>
      <c r="AJ396" s="10">
        <v>0.86742229999999998</v>
      </c>
      <c r="AK396" s="10">
        <v>0.99</v>
      </c>
      <c r="AL396" s="16">
        <v>0.99099999999999999</v>
      </c>
      <c r="AM396" s="1"/>
      <c r="AN396" s="81">
        <f t="shared" si="1133"/>
        <v>-0.25214933662568839</v>
      </c>
      <c r="AO396" s="10">
        <f t="shared" si="1139"/>
        <v>-0.12946001367054005</v>
      </c>
      <c r="AP396" s="10">
        <f t="shared" si="1140"/>
        <v>-0.11757770000000001</v>
      </c>
      <c r="AQ396" s="10">
        <f t="shared" si="1141"/>
        <v>1.0000000000000009E-3</v>
      </c>
      <c r="AR396" s="23"/>
    </row>
    <row r="397" spans="2:66" ht="14.65" customHeight="1">
      <c r="B397" s="5">
        <v>43008</v>
      </c>
      <c r="C397" s="2">
        <v>1425.4743765109463</v>
      </c>
      <c r="D397" s="2">
        <v>1090.02</v>
      </c>
      <c r="E397" s="2">
        <v>141.6</v>
      </c>
      <c r="F397" s="2">
        <v>118.9</v>
      </c>
      <c r="G397" s="2">
        <v>145.5</v>
      </c>
      <c r="H397" s="2">
        <v>125.63</v>
      </c>
      <c r="I397" s="14">
        <v>0.81642289605437934</v>
      </c>
      <c r="J397" s="10">
        <f t="shared" si="1142"/>
        <v>0.72303589906869381</v>
      </c>
      <c r="K397" s="11">
        <f>C397/24/30/10</f>
        <v>0.19798255229318698</v>
      </c>
      <c r="L397" s="11">
        <f>D397/24/30/10</f>
        <v>0.15139166666666665</v>
      </c>
      <c r="M397" s="10">
        <v>0.98499999999999999</v>
      </c>
      <c r="N397" s="15">
        <v>0.96710417999999998</v>
      </c>
      <c r="O397" s="10">
        <v>0.99</v>
      </c>
      <c r="P397" s="16">
        <v>0.99180000000000001</v>
      </c>
      <c r="Q397" s="83"/>
      <c r="R397" s="81">
        <f t="shared" si="1136"/>
        <v>-0.23532824022555854</v>
      </c>
      <c r="S397" s="10">
        <f t="shared" si="1143"/>
        <v>-0.13656357388316154</v>
      </c>
      <c r="T397" s="10">
        <f t="shared" si="1144"/>
        <v>-1.7895820000000007E-2</v>
      </c>
      <c r="U397" s="10">
        <f t="shared" si="1145"/>
        <v>1.8000000000000238E-3</v>
      </c>
      <c r="V397" s="23"/>
      <c r="W397" s="83"/>
      <c r="X397" s="5">
        <v>43008</v>
      </c>
      <c r="Y397" s="2">
        <v>1422.16964903805</v>
      </c>
      <c r="Z397" s="2">
        <v>1167.6959999999999</v>
      </c>
      <c r="AA397" s="2">
        <v>141.6</v>
      </c>
      <c r="AB397" s="2">
        <v>124.77</v>
      </c>
      <c r="AC397" s="2">
        <v>145.5</v>
      </c>
      <c r="AD397" s="2">
        <v>126.34</v>
      </c>
      <c r="AE397" s="14">
        <v>0.81453015408823026</v>
      </c>
      <c r="AF397" s="10">
        <f t="shared" si="1146"/>
        <v>0.77020737691942365</v>
      </c>
      <c r="AG397" s="11">
        <f>Y397/24/30/10</f>
        <v>0.19752356236639584</v>
      </c>
      <c r="AH397" s="11">
        <f>Z397/24/30/10</f>
        <v>0.16217999999999999</v>
      </c>
      <c r="AI397" s="10">
        <v>0.98499999999999999</v>
      </c>
      <c r="AJ397" s="11">
        <v>0.96691402000000004</v>
      </c>
      <c r="AK397" s="10">
        <v>0.99</v>
      </c>
      <c r="AL397" s="16">
        <v>0.99129999999999996</v>
      </c>
      <c r="AM397" s="1"/>
      <c r="AN397" s="81">
        <f t="shared" si="1133"/>
        <v>-0.17893339884603432</v>
      </c>
      <c r="AO397" s="10">
        <f t="shared" si="1139"/>
        <v>-0.13168384879725081</v>
      </c>
      <c r="AP397" s="10">
        <f t="shared" si="1140"/>
        <v>-1.8085979999999946E-2</v>
      </c>
      <c r="AQ397" s="10">
        <f t="shared" si="1141"/>
        <v>1.2999999999999678E-3</v>
      </c>
      <c r="AR397" s="23"/>
    </row>
    <row r="398" spans="2:66" ht="14.65" customHeight="1">
      <c r="B398" s="5">
        <v>43039</v>
      </c>
      <c r="C398" s="2">
        <v>1630.4939166071431</v>
      </c>
      <c r="D398" s="2">
        <v>1365.21</v>
      </c>
      <c r="E398" s="2">
        <v>139.1</v>
      </c>
      <c r="F398" s="2">
        <v>121.97</v>
      </c>
      <c r="G398" s="2">
        <v>172.2</v>
      </c>
      <c r="H398" s="2">
        <v>153.08000000000001</v>
      </c>
      <c r="I398" s="14">
        <v>0.78905048229149399</v>
      </c>
      <c r="J398" s="10">
        <f t="shared" si="1142"/>
        <v>0.74318983538019334</v>
      </c>
      <c r="K398" s="11">
        <f>C398/24/31/10</f>
        <v>0.21915240814612136</v>
      </c>
      <c r="L398" s="11">
        <f>D398/24/31/10</f>
        <v>0.1834959677419355</v>
      </c>
      <c r="M398" s="10">
        <v>0.98499999999999999</v>
      </c>
      <c r="N398" s="15">
        <v>0.96776640000000003</v>
      </c>
      <c r="O398" s="10">
        <v>0.99</v>
      </c>
      <c r="P398" s="16">
        <v>0.97399999999999998</v>
      </c>
      <c r="Q398" s="83"/>
      <c r="R398" s="81">
        <f t="shared" si="1136"/>
        <v>-0.16270156785323442</v>
      </c>
      <c r="S398" s="10">
        <f t="shared" si="1143"/>
        <v>-0.11103368176538897</v>
      </c>
      <c r="T398" s="10">
        <f t="shared" si="1144"/>
        <v>-1.723359999999996E-2</v>
      </c>
      <c r="U398" s="10">
        <f t="shared" si="1145"/>
        <v>-1.6000000000000014E-2</v>
      </c>
      <c r="V398" s="23"/>
      <c r="W398" s="83"/>
      <c r="X398" s="5">
        <v>43039</v>
      </c>
      <c r="Y398" s="2">
        <v>1630.1006597939579</v>
      </c>
      <c r="Z398" s="2">
        <v>1411.59</v>
      </c>
      <c r="AA398" s="2">
        <v>139.1</v>
      </c>
      <c r="AB398" s="2">
        <v>125.93</v>
      </c>
      <c r="AC398" s="2">
        <v>172.2</v>
      </c>
      <c r="AD398" s="2">
        <v>150.22999999999999</v>
      </c>
      <c r="AE398" s="14">
        <v>0.78886017218058357</v>
      </c>
      <c r="AF398" s="10">
        <f t="shared" si="1146"/>
        <v>0.7830160420688278</v>
      </c>
      <c r="AG398" s="11">
        <f>Y398/24/31/10</f>
        <v>0.21909955104757498</v>
      </c>
      <c r="AH398" s="11">
        <f>Z398/24/31/10</f>
        <v>0.18972983870967741</v>
      </c>
      <c r="AI398" s="10">
        <v>0.98499999999999999</v>
      </c>
      <c r="AJ398" s="11">
        <v>0.971078</v>
      </c>
      <c r="AK398" s="10">
        <v>0.99</v>
      </c>
      <c r="AL398" s="16">
        <v>0.97399999999999998</v>
      </c>
      <c r="AM398" s="1"/>
      <c r="AN398" s="81">
        <f t="shared" si="1133"/>
        <v>-0.13404734148232134</v>
      </c>
      <c r="AO398" s="10">
        <f t="shared" si="1139"/>
        <v>-0.12758420441347273</v>
      </c>
      <c r="AP398" s="10">
        <f t="shared" si="1140"/>
        <v>-1.392199999999999E-2</v>
      </c>
      <c r="AQ398" s="10">
        <f t="shared" si="1141"/>
        <v>-1.6000000000000014E-2</v>
      </c>
      <c r="AR398" s="23"/>
    </row>
    <row r="399" spans="2:66" ht="14.65" customHeight="1">
      <c r="B399" s="5">
        <v>43069</v>
      </c>
      <c r="C399" s="2">
        <v>1442.1506070450866</v>
      </c>
      <c r="D399" s="2">
        <v>1132.3140000000001</v>
      </c>
      <c r="E399" s="2">
        <v>108.1</v>
      </c>
      <c r="F399" s="2">
        <v>90.63</v>
      </c>
      <c r="G399" s="2">
        <v>152.1</v>
      </c>
      <c r="H399" s="2">
        <v>118.01</v>
      </c>
      <c r="I399" s="12">
        <v>0.79013292080050768</v>
      </c>
      <c r="J399" s="10">
        <f t="shared" si="1142"/>
        <v>0.79958901787984071</v>
      </c>
      <c r="K399" s="11">
        <f>C399/24/30/10</f>
        <v>0.20029869542292872</v>
      </c>
      <c r="L399" s="11">
        <f>D399/24/30/10</f>
        <v>0.15726583333333335</v>
      </c>
      <c r="M399" s="10">
        <v>0.98499999999999999</v>
      </c>
      <c r="N399" s="15">
        <v>0.98614800000000014</v>
      </c>
      <c r="O399" s="10">
        <v>0.99</v>
      </c>
      <c r="P399" s="16">
        <v>0.99250000000000005</v>
      </c>
      <c r="Q399" s="83"/>
      <c r="R399" s="81">
        <f t="shared" si="1136"/>
        <v>-0.2148434466771334</v>
      </c>
      <c r="S399" s="10">
        <f t="shared" si="1143"/>
        <v>-0.22412886259040099</v>
      </c>
      <c r="T399" s="10">
        <f t="shared" si="1144"/>
        <v>1.1480000000001489E-3</v>
      </c>
      <c r="U399" s="10">
        <f t="shared" si="1145"/>
        <v>2.5000000000000577E-3</v>
      </c>
      <c r="V399" s="23"/>
      <c r="W399" s="83"/>
      <c r="X399" s="5">
        <v>43069</v>
      </c>
      <c r="Y399" s="2">
        <v>1442.7665887827388</v>
      </c>
      <c r="Z399" s="2">
        <v>1105.3499999999999</v>
      </c>
      <c r="AA399" s="2">
        <v>108.1</v>
      </c>
      <c r="AB399" s="2">
        <v>86.1</v>
      </c>
      <c r="AC399" s="2">
        <v>152.1</v>
      </c>
      <c r="AD399" s="2">
        <v>114.52</v>
      </c>
      <c r="AE399" s="12">
        <v>0.79047040805541247</v>
      </c>
      <c r="AF399" s="10">
        <f t="shared" si="1146"/>
        <v>0.80433548725113513</v>
      </c>
      <c r="AG399" s="11">
        <f>Y399/24/30/10</f>
        <v>0.20038424844204705</v>
      </c>
      <c r="AH399" s="11">
        <f>Z399/24/30/10</f>
        <v>0.15352083333333333</v>
      </c>
      <c r="AI399" s="10">
        <v>0.98499999999999999</v>
      </c>
      <c r="AJ399" s="11">
        <v>0.97705999999999993</v>
      </c>
      <c r="AK399" s="10">
        <v>0.99</v>
      </c>
      <c r="AL399" s="16">
        <v>0.98</v>
      </c>
      <c r="AM399" s="1"/>
      <c r="AN399" s="81">
        <f t="shared" si="1133"/>
        <v>-0.23386775893349254</v>
      </c>
      <c r="AO399" s="10">
        <f t="shared" si="1139"/>
        <v>-0.24707429322813934</v>
      </c>
      <c r="AP399" s="10">
        <f t="shared" si="1140"/>
        <v>-7.9400000000000581E-3</v>
      </c>
      <c r="AQ399" s="10">
        <f t="shared" si="1141"/>
        <v>-1.0000000000000009E-2</v>
      </c>
      <c r="AR399" s="23"/>
    </row>
    <row r="400" spans="2:66" ht="14.65" customHeight="1">
      <c r="B400" s="5">
        <v>43100</v>
      </c>
      <c r="C400" s="2">
        <v>1208.6833795671214</v>
      </c>
      <c r="D400" s="2">
        <v>1041.4860000000001</v>
      </c>
      <c r="E400" s="2">
        <v>89.9</v>
      </c>
      <c r="F400" s="2">
        <v>74.430000000000007</v>
      </c>
      <c r="G400" s="2">
        <v>129.6</v>
      </c>
      <c r="H400" s="2">
        <v>103.96</v>
      </c>
      <c r="I400" s="14">
        <v>0.77718838706733628</v>
      </c>
      <c r="J400" s="10">
        <f t="shared" si="1142"/>
        <v>0.83484513274336292</v>
      </c>
      <c r="K400" s="11">
        <f>C400/24/31/10</f>
        <v>0.16245744349020447</v>
      </c>
      <c r="L400" s="11">
        <f>D400/24/31/10</f>
        <v>0.13998467741935486</v>
      </c>
      <c r="M400" s="10">
        <v>0.98499999999999999</v>
      </c>
      <c r="N400" s="21">
        <v>0.98709999999999998</v>
      </c>
      <c r="O400" s="10">
        <v>0.99</v>
      </c>
      <c r="P400" s="16">
        <v>0.98709999999999998</v>
      </c>
      <c r="Q400" s="83"/>
      <c r="R400" s="81">
        <f t="shared" si="1136"/>
        <v>-0.13833017181637874</v>
      </c>
      <c r="S400" s="10">
        <f t="shared" si="1143"/>
        <v>-0.19783950617283952</v>
      </c>
      <c r="T400" s="10">
        <f t="shared" si="1144"/>
        <v>2.0999999999999908E-3</v>
      </c>
      <c r="U400" s="10">
        <f t="shared" si="1145"/>
        <v>-2.9000000000000137E-3</v>
      </c>
      <c r="V400" s="23"/>
      <c r="W400" s="83"/>
      <c r="X400" s="5">
        <v>43100</v>
      </c>
      <c r="Y400" s="2">
        <v>1212.2770249731238</v>
      </c>
      <c r="Z400" s="2">
        <v>1063.1220000000001</v>
      </c>
      <c r="AA400" s="2">
        <v>89.9</v>
      </c>
      <c r="AB400" s="2">
        <v>73.45</v>
      </c>
      <c r="AC400" s="2">
        <v>129.6</v>
      </c>
      <c r="AD400" s="2">
        <v>102.7</v>
      </c>
      <c r="AE400" s="14">
        <v>0.77949911585206011</v>
      </c>
      <c r="AF400" s="10">
        <f t="shared" si="1146"/>
        <v>0.86264362220058421</v>
      </c>
      <c r="AG400" s="11">
        <f>Y400/24/31/10</f>
        <v>0.16294046034584997</v>
      </c>
      <c r="AH400" s="11">
        <f>Z400/24/31/10</f>
        <v>0.1428927419354839</v>
      </c>
      <c r="AI400" s="10">
        <v>0.98499999999999999</v>
      </c>
      <c r="AJ400" s="11">
        <v>0.99129999999999996</v>
      </c>
      <c r="AK400" s="10">
        <v>0.99</v>
      </c>
      <c r="AL400" s="16">
        <v>0.99129999999999996</v>
      </c>
      <c r="AM400" s="1"/>
      <c r="AN400" s="81">
        <f t="shared" si="1133"/>
        <v>-0.12303707972724343</v>
      </c>
      <c r="AO400" s="10">
        <f t="shared" si="1139"/>
        <v>-0.20756172839506171</v>
      </c>
      <c r="AP400" s="10">
        <f t="shared" si="1140"/>
        <v>6.2999999999999723E-3</v>
      </c>
      <c r="AQ400" s="10">
        <f t="shared" si="1141"/>
        <v>1.2999999999999678E-3</v>
      </c>
      <c r="AR400" s="23"/>
    </row>
    <row r="401" spans="2:88" ht="14.65" customHeight="1">
      <c r="B401" s="5">
        <v>43131</v>
      </c>
      <c r="C401" s="2">
        <v>1024.022819327583</v>
      </c>
      <c r="D401" s="2">
        <v>925.31399999999996</v>
      </c>
      <c r="E401" s="2">
        <v>79.599999999999994</v>
      </c>
      <c r="F401" s="2">
        <v>69.81</v>
      </c>
      <c r="G401" s="2">
        <v>103.2</v>
      </c>
      <c r="H401" s="2">
        <v>93.06</v>
      </c>
      <c r="I401" s="12">
        <v>0.83104704670606167</v>
      </c>
      <c r="J401" s="10">
        <f t="shared" si="1142"/>
        <v>0.8285998280679131</v>
      </c>
      <c r="K401" s="11">
        <f>C401/24/31/10</f>
        <v>0.13763747571607299</v>
      </c>
      <c r="L401" s="11">
        <f>D401/24/31/10</f>
        <v>0.12437016129032256</v>
      </c>
      <c r="M401" s="10">
        <v>0.98499999999999999</v>
      </c>
      <c r="N401" s="15">
        <v>0.98450000000000004</v>
      </c>
      <c r="O401" s="10">
        <v>0.99</v>
      </c>
      <c r="P401" s="16">
        <v>0.98540000000000005</v>
      </c>
      <c r="Q401" s="83"/>
      <c r="R401" s="81">
        <f t="shared" si="1136"/>
        <v>-9.6393183300738761E-2</v>
      </c>
      <c r="S401" s="10">
        <f t="shared" si="1143"/>
        <v>-9.8255813953488369E-2</v>
      </c>
      <c r="T401" s="10">
        <f t="shared" si="1144"/>
        <v>-4.9999999999994493E-4</v>
      </c>
      <c r="U401" s="10">
        <f t="shared" si="1145"/>
        <v>-4.5999999999999375E-3</v>
      </c>
      <c r="V401" s="23"/>
      <c r="W401" s="83"/>
      <c r="X401" s="5">
        <v>43131</v>
      </c>
      <c r="Y401" s="2">
        <v>1019.8182391920955</v>
      </c>
      <c r="Z401" s="2">
        <v>936.97799999999995</v>
      </c>
      <c r="AA401" s="2">
        <v>79.599999999999994</v>
      </c>
      <c r="AB401" s="2">
        <v>68.25</v>
      </c>
      <c r="AC401" s="2">
        <v>103.2</v>
      </c>
      <c r="AD401" s="2">
        <v>93.83</v>
      </c>
      <c r="AE401" s="12">
        <v>0.82763481424572438</v>
      </c>
      <c r="AF401" s="10">
        <f t="shared" si="1146"/>
        <v>0.83215922412874344</v>
      </c>
      <c r="AG401" s="11">
        <f>Y401/24/31/10</f>
        <v>0.1370723439774322</v>
      </c>
      <c r="AH401" s="11">
        <f>Z401/24/31/10</f>
        <v>0.12593790322580645</v>
      </c>
      <c r="AI401" s="10">
        <v>0.98499999999999999</v>
      </c>
      <c r="AJ401" s="11">
        <v>0.97989999999999999</v>
      </c>
      <c r="AK401" s="10">
        <v>0.99</v>
      </c>
      <c r="AL401" s="16">
        <v>0.98509999999999998</v>
      </c>
      <c r="AM401" s="1"/>
      <c r="AN401" s="81">
        <f t="shared" si="1133"/>
        <v>-8.1230395778881026E-2</v>
      </c>
      <c r="AO401" s="10">
        <f t="shared" si="1139"/>
        <v>-9.0794573643410925E-2</v>
      </c>
      <c r="AP401" s="10">
        <f t="shared" si="1140"/>
        <v>-5.0999999999999934E-3</v>
      </c>
      <c r="AQ401" s="10">
        <f t="shared" si="1141"/>
        <v>-4.9000000000000155E-3</v>
      </c>
      <c r="AR401" s="23"/>
    </row>
    <row r="402" spans="2:88" ht="14.65" customHeight="1">
      <c r="B402" s="5">
        <v>43159</v>
      </c>
      <c r="C402" s="2">
        <v>1340.2630075391226</v>
      </c>
      <c r="D402" s="2">
        <f>1343016/1000</f>
        <v>1343.0160000000001</v>
      </c>
      <c r="E402" s="2">
        <v>108.1</v>
      </c>
      <c r="F402" s="2">
        <v>106.48</v>
      </c>
      <c r="G402" s="2">
        <v>137.5</v>
      </c>
      <c r="H402" s="2">
        <v>138.08000000000001</v>
      </c>
      <c r="I402" s="14">
        <v>0.81636242274348869</v>
      </c>
      <c r="J402" s="10">
        <f t="shared" si="1142"/>
        <v>0.81053012746234065</v>
      </c>
      <c r="K402" s="11">
        <f>C402/24/28/10</f>
        <v>0.19944389993141703</v>
      </c>
      <c r="L402" s="11">
        <f>D402/24/28/10</f>
        <v>0.19985357142857144</v>
      </c>
      <c r="M402" s="10">
        <v>0.98499999999999999</v>
      </c>
      <c r="N402" s="15">
        <v>0.96430000000000005</v>
      </c>
      <c r="O402" s="10">
        <v>0.99</v>
      </c>
      <c r="P402" s="17">
        <v>0.97989999999999999</v>
      </c>
      <c r="Q402" s="83"/>
      <c r="R402" s="81">
        <f t="shared" si="1136"/>
        <v>2.0540688248438244E-3</v>
      </c>
      <c r="S402" s="10">
        <f t="shared" si="1143"/>
        <v>4.2181818181818986E-3</v>
      </c>
      <c r="T402" s="10">
        <f t="shared" si="1144"/>
        <v>-2.0699999999999941E-2</v>
      </c>
      <c r="U402" s="10">
        <f t="shared" si="1145"/>
        <v>-1.0099999999999998E-2</v>
      </c>
      <c r="V402" s="23"/>
      <c r="W402" s="83"/>
      <c r="X402" s="5">
        <v>43159</v>
      </c>
      <c r="Y402" s="2">
        <v>1338.9383963364162</v>
      </c>
      <c r="Z402" s="2">
        <f>1360578/1000</f>
        <v>1360.578</v>
      </c>
      <c r="AA402" s="2">
        <v>108.1</v>
      </c>
      <c r="AB402" s="2">
        <v>107.74</v>
      </c>
      <c r="AC402" s="2">
        <v>137.5</v>
      </c>
      <c r="AD402" s="2">
        <v>136.29</v>
      </c>
      <c r="AE402" s="14">
        <v>0.81555559393111998</v>
      </c>
      <c r="AF402" s="10">
        <f t="shared" si="1146"/>
        <v>0.83191356665932947</v>
      </c>
      <c r="AG402" s="11">
        <f>Y402/24/28/10</f>
        <v>0.19924678516910957</v>
      </c>
      <c r="AH402" s="11">
        <f>Z402/24/28/10</f>
        <v>0.20246696428571428</v>
      </c>
      <c r="AI402" s="10">
        <v>0.98499999999999999</v>
      </c>
      <c r="AJ402" s="11">
        <v>0.93530000000000002</v>
      </c>
      <c r="AK402" s="10">
        <v>0.99</v>
      </c>
      <c r="AL402" s="17">
        <v>0.97399999999999998</v>
      </c>
      <c r="AM402" s="1"/>
      <c r="AN402" s="81">
        <f t="shared" si="1133"/>
        <v>1.6161761977095956E-2</v>
      </c>
      <c r="AO402" s="10">
        <f t="shared" si="1139"/>
        <v>-8.80000000000003E-3</v>
      </c>
      <c r="AP402" s="10">
        <f t="shared" si="1140"/>
        <v>-4.9699999999999966E-2</v>
      </c>
      <c r="AQ402" s="10">
        <f t="shared" si="1141"/>
        <v>-1.6000000000000014E-2</v>
      </c>
      <c r="AR402" s="23"/>
    </row>
    <row r="403" spans="2:88" ht="14.65" customHeight="1">
      <c r="B403" s="5">
        <v>43190</v>
      </c>
      <c r="C403" s="2">
        <v>1794</v>
      </c>
      <c r="D403" s="2">
        <v>1740.75</v>
      </c>
      <c r="E403" s="2">
        <v>161.4</v>
      </c>
      <c r="F403" s="2">
        <v>161.91</v>
      </c>
      <c r="G403" s="2">
        <v>187.8</v>
      </c>
      <c r="H403" s="2">
        <v>180.92</v>
      </c>
      <c r="I403" s="14">
        <v>0.80011623640946072</v>
      </c>
      <c r="J403" s="10">
        <f t="shared" si="1142"/>
        <v>0.80180466504532399</v>
      </c>
      <c r="K403" s="11">
        <f>C403/24/31/10</f>
        <v>0.24112903225806451</v>
      </c>
      <c r="L403" s="11">
        <f>D403/24/31/10</f>
        <v>0.23397177419354839</v>
      </c>
      <c r="M403" s="10">
        <v>0.98499999999999999</v>
      </c>
      <c r="N403" s="11">
        <v>0.99790000000000001</v>
      </c>
      <c r="O403" s="10">
        <v>0.99</v>
      </c>
      <c r="P403" s="17">
        <v>0.99790000000000001</v>
      </c>
      <c r="Q403" s="83"/>
      <c r="R403" s="81">
        <f t="shared" si="1136"/>
        <v>-2.9682274247491591E-2</v>
      </c>
      <c r="S403" s="10">
        <f t="shared" si="1143"/>
        <v>-3.6634717784877702E-2</v>
      </c>
      <c r="T403" s="10">
        <f t="shared" si="1144"/>
        <v>1.2900000000000023E-2</v>
      </c>
      <c r="U403" s="10">
        <f t="shared" si="1145"/>
        <v>7.9000000000000181E-3</v>
      </c>
      <c r="V403" s="23"/>
      <c r="W403" s="83"/>
      <c r="X403" s="5">
        <v>43190</v>
      </c>
      <c r="Y403" s="2">
        <v>1796</v>
      </c>
      <c r="Z403" s="2">
        <v>1700.17</v>
      </c>
      <c r="AA403" s="2">
        <v>161.4</v>
      </c>
      <c r="AB403" s="2">
        <v>160.63</v>
      </c>
      <c r="AC403" s="2">
        <v>187.8</v>
      </c>
      <c r="AD403" s="2">
        <v>186.57</v>
      </c>
      <c r="AE403" s="11">
        <v>0.80080060538540998</v>
      </c>
      <c r="AF403" s="10">
        <f t="shared" si="1146"/>
        <v>0.75939772382126469</v>
      </c>
      <c r="AG403" s="11">
        <f>Y403/24/31/10</f>
        <v>0.24139784946236556</v>
      </c>
      <c r="AH403" s="11">
        <f>Z403/24/31/10</f>
        <v>0.22851747311827958</v>
      </c>
      <c r="AI403" s="10">
        <v>0.98499999999999999</v>
      </c>
      <c r="AJ403" s="11">
        <v>0.92643655000000003</v>
      </c>
      <c r="AK403" s="10">
        <v>0.99</v>
      </c>
      <c r="AL403" s="17">
        <v>0.99950000000000006</v>
      </c>
      <c r="AM403" s="1"/>
      <c r="AN403" s="81">
        <f t="shared" si="1133"/>
        <v>-5.3357461024498898E-2</v>
      </c>
      <c r="AO403" s="10">
        <f t="shared" si="1139"/>
        <v>-6.5495207667732869E-3</v>
      </c>
      <c r="AP403" s="10">
        <f t="shared" si="1140"/>
        <v>-5.8563449999999961E-2</v>
      </c>
      <c r="AQ403" s="10">
        <f t="shared" si="1141"/>
        <v>9.5000000000000639E-3</v>
      </c>
      <c r="AR403" s="23"/>
    </row>
    <row r="404" spans="2:88" s="89" customFormat="1" ht="14.65" customHeight="1">
      <c r="B404" s="25">
        <v>43220</v>
      </c>
      <c r="C404" s="26">
        <v>1745.1978319943994</v>
      </c>
      <c r="D404" s="26">
        <v>1292.3579999999999</v>
      </c>
      <c r="E404" s="26">
        <v>190.2</v>
      </c>
      <c r="F404" s="26">
        <v>148.85</v>
      </c>
      <c r="G404" s="26">
        <v>194</v>
      </c>
      <c r="H404" s="26">
        <v>153.6</v>
      </c>
      <c r="I404" s="27">
        <f t="shared" ref="I404:J434" si="1147">C404/12/G404/M404</f>
        <v>0.76107149859333278</v>
      </c>
      <c r="J404" s="27">
        <f t="shared" ref="J404:J430" si="1148">D404/12/H404/N404</f>
        <v>0.7745487346516936</v>
      </c>
      <c r="K404" s="27">
        <f>C404/24/30/10</f>
        <v>0.24238858777699993</v>
      </c>
      <c r="L404" s="27">
        <f>D404/24/30/10</f>
        <v>0.17949416666666668</v>
      </c>
      <c r="M404" s="29">
        <v>0.98499999999999999</v>
      </c>
      <c r="N404" s="28">
        <v>0.90523560000000003</v>
      </c>
      <c r="O404" s="29">
        <v>0.99</v>
      </c>
      <c r="P404" s="30">
        <v>0.97399999999999998</v>
      </c>
      <c r="Q404" s="86"/>
      <c r="R404" s="87">
        <f t="shared" si="1136"/>
        <v>-0.25947764986442678</v>
      </c>
      <c r="S404" s="29">
        <f t="shared" si="1143"/>
        <v>-0.20824742268041241</v>
      </c>
      <c r="T404" s="29">
        <f t="shared" si="1144"/>
        <v>-7.9764399999999958E-2</v>
      </c>
      <c r="U404" s="29">
        <f t="shared" si="1145"/>
        <v>-1.6000000000000014E-2</v>
      </c>
      <c r="V404" s="32"/>
      <c r="W404" s="86"/>
      <c r="X404" s="25">
        <v>43220</v>
      </c>
      <c r="Y404" s="26">
        <v>1745.714126920195</v>
      </c>
      <c r="Z404" s="26">
        <v>1423.5239999999999</v>
      </c>
      <c r="AA404" s="26">
        <v>190.2</v>
      </c>
      <c r="AB404" s="26">
        <v>152.47999999999999</v>
      </c>
      <c r="AC404" s="26">
        <v>194</v>
      </c>
      <c r="AD404" s="26">
        <v>157.5</v>
      </c>
      <c r="AE404" s="27">
        <f t="shared" ref="AE404:AE428" si="1149">Y404/12/AC404/AI404</f>
        <v>0.76129665206630159</v>
      </c>
      <c r="AF404" s="27">
        <f t="shared" ref="AF404:AF428" si="1150">Z404/12/AD404/AJ404</f>
        <v>0.78187829432232747</v>
      </c>
      <c r="AG404" s="27">
        <f>Y404/24/30/10</f>
        <v>0.24246029540558264</v>
      </c>
      <c r="AH404" s="27">
        <f>Z404/24/30/10</f>
        <v>0.19771166666666667</v>
      </c>
      <c r="AI404" s="29">
        <v>0.98499999999999999</v>
      </c>
      <c r="AJ404" s="28">
        <v>0.96330504000000006</v>
      </c>
      <c r="AK404" s="29">
        <v>0.99</v>
      </c>
      <c r="AL404" s="30">
        <v>0.97540000000000004</v>
      </c>
      <c r="AN404" s="87">
        <f t="shared" si="1133"/>
        <v>-0.1845606459567386</v>
      </c>
      <c r="AO404" s="29">
        <f t="shared" si="1139"/>
        <v>-0.18814432989690721</v>
      </c>
      <c r="AP404" s="29">
        <f t="shared" si="1140"/>
        <v>-2.169495999999993E-2</v>
      </c>
      <c r="AQ404" s="29">
        <f t="shared" si="1141"/>
        <v>-1.4599999999999946E-2</v>
      </c>
      <c r="AR404" s="32"/>
      <c r="BO404" s="76"/>
      <c r="BP404" s="76"/>
      <c r="BQ404" s="76"/>
      <c r="BR404" s="76"/>
      <c r="BS404" s="76"/>
      <c r="BT404" s="76"/>
      <c r="BU404" s="76"/>
      <c r="BV404" s="76"/>
      <c r="BW404" s="76"/>
      <c r="BX404" s="76"/>
      <c r="BY404" s="76"/>
      <c r="BZ404" s="76"/>
      <c r="CA404" s="76"/>
      <c r="CB404" s="76"/>
      <c r="CC404" s="76"/>
      <c r="CD404" s="76"/>
      <c r="CE404" s="76"/>
      <c r="CF404" s="76"/>
      <c r="CG404" s="76"/>
      <c r="CH404" s="76"/>
      <c r="CI404" s="76"/>
      <c r="CJ404" s="76"/>
    </row>
    <row r="405" spans="2:88" ht="14.65" customHeight="1">
      <c r="B405" s="5">
        <v>43251</v>
      </c>
      <c r="C405" s="2">
        <v>1768.1350061393723</v>
      </c>
      <c r="D405" s="2">
        <f>1515798/1000</f>
        <v>1515.798</v>
      </c>
      <c r="E405" s="2">
        <v>197</v>
      </c>
      <c r="F405" s="2">
        <v>163.84</v>
      </c>
      <c r="G405" s="2">
        <v>197.7</v>
      </c>
      <c r="H405" s="2">
        <v>165.36</v>
      </c>
      <c r="I405" s="10">
        <f t="shared" si="1147"/>
        <v>0.75664344964527452</v>
      </c>
      <c r="J405" s="10">
        <f t="shared" si="1148"/>
        <v>0.76803527145278261</v>
      </c>
      <c r="K405" s="11">
        <f>C405/24/31/10</f>
        <v>0.2376525545886253</v>
      </c>
      <c r="L405" s="11">
        <f>D405/24/31/10</f>
        <v>0.20373629032258064</v>
      </c>
      <c r="M405" s="10">
        <v>0.98499999999999999</v>
      </c>
      <c r="N405" s="11">
        <v>0.99460000000000004</v>
      </c>
      <c r="O405" s="10">
        <v>0.99</v>
      </c>
      <c r="P405" s="17">
        <v>0.99819999999999998</v>
      </c>
      <c r="Q405" s="83"/>
      <c r="R405" s="81">
        <f t="shared" si="1136"/>
        <v>-0.14271365323530161</v>
      </c>
      <c r="S405" s="10">
        <f t="shared" si="1143"/>
        <v>-0.16358118361153251</v>
      </c>
      <c r="T405" s="10">
        <f t="shared" si="1144"/>
        <v>9.6000000000000529E-3</v>
      </c>
      <c r="U405" s="10">
        <f t="shared" si="1145"/>
        <v>8.1999999999999851E-3</v>
      </c>
      <c r="V405" s="23"/>
      <c r="W405" s="83"/>
      <c r="X405" s="5">
        <v>43251</v>
      </c>
      <c r="Y405" s="2">
        <v>1768.647838519252</v>
      </c>
      <c r="Z405" s="2">
        <f>1618200/1000</f>
        <v>1618.2</v>
      </c>
      <c r="AA405" s="2">
        <v>197</v>
      </c>
      <c r="AB405" s="2">
        <v>170.16</v>
      </c>
      <c r="AC405" s="2">
        <v>197.7</v>
      </c>
      <c r="AD405" s="2">
        <v>171.85</v>
      </c>
      <c r="AE405" s="10">
        <f t="shared" si="1149"/>
        <v>0.75686290758239727</v>
      </c>
      <c r="AF405" s="10">
        <f t="shared" si="1150"/>
        <v>0.79014797681541193</v>
      </c>
      <c r="AG405" s="11">
        <f>Y405/24/31/10</f>
        <v>0.23772148367194243</v>
      </c>
      <c r="AH405" s="11">
        <f>Z405/24/31/10</f>
        <v>0.21749999999999997</v>
      </c>
      <c r="AI405" s="10">
        <v>0.98499999999999999</v>
      </c>
      <c r="AJ405" s="11">
        <v>0.99309999999999998</v>
      </c>
      <c r="AK405" s="10">
        <v>0.99</v>
      </c>
      <c r="AL405" s="17">
        <v>0.999</v>
      </c>
      <c r="AN405" s="81">
        <f t="shared" si="1133"/>
        <v>-8.5063761842611885E-2</v>
      </c>
      <c r="AO405" s="10">
        <f t="shared" si="1139"/>
        <v>-0.13075366717248349</v>
      </c>
      <c r="AP405" s="10">
        <f t="shared" si="1140"/>
        <v>8.0999999999999961E-3</v>
      </c>
      <c r="AQ405" s="10">
        <f t="shared" si="1141"/>
        <v>9.000000000000008E-3</v>
      </c>
      <c r="AR405" s="23"/>
    </row>
    <row r="406" spans="2:88" ht="14.65" customHeight="1">
      <c r="B406" s="5">
        <v>43281</v>
      </c>
      <c r="C406" s="2">
        <v>1590.1425347743834</v>
      </c>
      <c r="D406" s="2">
        <f>1487388/1000</f>
        <v>1487.3879999999999</v>
      </c>
      <c r="E406" s="2">
        <v>178.9</v>
      </c>
      <c r="F406" s="2">
        <f>5.16*30</f>
        <v>154.80000000000001</v>
      </c>
      <c r="G406" s="2">
        <v>177.2</v>
      </c>
      <c r="H406" s="2">
        <f>5.18*30</f>
        <v>155.39999999999998</v>
      </c>
      <c r="I406" s="10">
        <f t="shared" si="1147"/>
        <v>0.75919765957686569</v>
      </c>
      <c r="J406" s="10">
        <f t="shared" si="1148"/>
        <v>0.80852773706296266</v>
      </c>
      <c r="K406" s="11">
        <f>C406/24/30/10</f>
        <v>0.22085312982977548</v>
      </c>
      <c r="L406" s="11">
        <f>D406/24/30/10</f>
        <v>0.20658166666666666</v>
      </c>
      <c r="M406" s="10">
        <v>0.98499999999999999</v>
      </c>
      <c r="N406" s="11">
        <v>0.98650000000000004</v>
      </c>
      <c r="O406" s="10">
        <v>0.99</v>
      </c>
      <c r="P406" s="17">
        <v>0.98760000000000003</v>
      </c>
      <c r="Q406" s="83"/>
      <c r="R406" s="81">
        <f t="shared" si="1136"/>
        <v>-6.4619700767241439E-2</v>
      </c>
      <c r="S406" s="10">
        <f t="shared" si="1143"/>
        <v>-0.12302483069977432</v>
      </c>
      <c r="T406" s="10">
        <f t="shared" si="1144"/>
        <v>1.5000000000000568E-3</v>
      </c>
      <c r="U406" s="10">
        <f t="shared" si="1145"/>
        <v>-2.3999999999999577E-3</v>
      </c>
      <c r="V406" s="23"/>
      <c r="W406" s="83"/>
      <c r="X406" s="5">
        <v>43281</v>
      </c>
      <c r="Y406" s="2">
        <v>1587.9301911186853</v>
      </c>
      <c r="Z406" s="2">
        <f>1566774/1000</f>
        <v>1566.7739999999999</v>
      </c>
      <c r="AA406" s="2">
        <v>178.9</v>
      </c>
      <c r="AB406" s="2">
        <f>5.27*30</f>
        <v>158.1</v>
      </c>
      <c r="AC406" s="2">
        <v>177.2</v>
      </c>
      <c r="AD406" s="2">
        <f>5.29*30</f>
        <v>158.69999999999999</v>
      </c>
      <c r="AE406" s="10">
        <f t="shared" si="1149"/>
        <v>0.75814139821107307</v>
      </c>
      <c r="AF406" s="10">
        <f t="shared" si="1150"/>
        <v>0.83110684453624328</v>
      </c>
      <c r="AG406" s="11">
        <f>Y406/24/30/10</f>
        <v>0.2205458598775952</v>
      </c>
      <c r="AH406" s="11">
        <f>Z406/24/30/10</f>
        <v>0.21760749999999995</v>
      </c>
      <c r="AI406" s="10">
        <v>0.98499999999999999</v>
      </c>
      <c r="AJ406" s="11">
        <v>0.9899</v>
      </c>
      <c r="AK406" s="10">
        <v>0.99</v>
      </c>
      <c r="AL406" s="17">
        <v>0.99050000000000005</v>
      </c>
      <c r="AN406" s="81">
        <f t="shared" si="1133"/>
        <v>-1.3323124175742884E-2</v>
      </c>
      <c r="AO406" s="10">
        <f t="shared" si="1139"/>
        <v>-0.10440180586907455</v>
      </c>
      <c r="AP406" s="10">
        <f t="shared" si="1140"/>
        <v>4.9000000000000155E-3</v>
      </c>
      <c r="AQ406" s="10">
        <f t="shared" si="1141"/>
        <v>5.0000000000005596E-4</v>
      </c>
      <c r="AR406" s="23"/>
    </row>
    <row r="407" spans="2:88" ht="14.65" customHeight="1">
      <c r="B407" s="5">
        <v>43312</v>
      </c>
      <c r="C407" s="2">
        <v>1410.3150894777968</v>
      </c>
      <c r="D407" s="2">
        <f>1218084/1000</f>
        <v>1218.0840000000001</v>
      </c>
      <c r="E407" s="2">
        <v>155.5</v>
      </c>
      <c r="F407" s="2">
        <v>128.25</v>
      </c>
      <c r="G407" s="2">
        <v>154.6</v>
      </c>
      <c r="H407" s="2">
        <v>126.45</v>
      </c>
      <c r="I407" s="10">
        <f t="shared" si="1147"/>
        <v>0.77177229895051302</v>
      </c>
      <c r="J407" s="10">
        <f t="shared" si="1148"/>
        <v>0.82239951608974471</v>
      </c>
      <c r="K407" s="11">
        <f>C407/24/31/10</f>
        <v>0.18955847976852108</v>
      </c>
      <c r="L407" s="11">
        <f>D407/24/31/10</f>
        <v>0.16372096774193551</v>
      </c>
      <c r="M407" s="10">
        <v>0.98499999999999999</v>
      </c>
      <c r="N407" s="11">
        <v>0.97609999999999997</v>
      </c>
      <c r="O407" s="10">
        <v>0.99</v>
      </c>
      <c r="P407" s="17">
        <v>0.9879</v>
      </c>
      <c r="Q407" s="83"/>
      <c r="R407" s="81">
        <f t="shared" si="1136"/>
        <v>-0.1363036465482157</v>
      </c>
      <c r="S407" s="10">
        <f t="shared" si="1143"/>
        <v>-0.18208279430789132</v>
      </c>
      <c r="T407" s="10">
        <f t="shared" si="1144"/>
        <v>-8.900000000000019E-3</v>
      </c>
      <c r="U407" s="10">
        <f t="shared" si="1145"/>
        <v>-2.0999999999999908E-3</v>
      </c>
      <c r="V407" s="23"/>
      <c r="W407" s="83"/>
      <c r="X407" s="5">
        <v>43312</v>
      </c>
      <c r="Y407" s="2">
        <v>1405.3778467901941</v>
      </c>
      <c r="Z407" s="2">
        <f>1264512/1000</f>
        <v>1264.5119999999999</v>
      </c>
      <c r="AA407" s="2">
        <v>155.5</v>
      </c>
      <c r="AB407" s="2">
        <v>129.63</v>
      </c>
      <c r="AC407" s="2">
        <v>154.6</v>
      </c>
      <c r="AD407" s="2">
        <v>127.09</v>
      </c>
      <c r="AE407" s="10">
        <f t="shared" si="1149"/>
        <v>0.76907047212619772</v>
      </c>
      <c r="AF407" s="10">
        <f t="shared" si="1150"/>
        <v>0.84108815236951684</v>
      </c>
      <c r="AG407" s="11">
        <f>Y407/24/31/10</f>
        <v>0.18889487188040244</v>
      </c>
      <c r="AH407" s="11">
        <f>Z407/24/31/10</f>
        <v>0.16996129032258062</v>
      </c>
      <c r="AI407" s="10">
        <v>0.98499999999999999</v>
      </c>
      <c r="AJ407" s="11">
        <v>0.98580000000000001</v>
      </c>
      <c r="AK407" s="10">
        <v>0.99</v>
      </c>
      <c r="AL407" s="17">
        <v>0.99009999999999998</v>
      </c>
      <c r="AN407" s="81">
        <f t="shared" si="1133"/>
        <v>-0.10023343338727309</v>
      </c>
      <c r="AO407" s="10">
        <f t="shared" si="1139"/>
        <v>-0.17794307891332461</v>
      </c>
      <c r="AP407" s="10">
        <f t="shared" si="1140"/>
        <v>8.0000000000002292E-4</v>
      </c>
      <c r="AQ407" s="10">
        <f t="shared" si="1141"/>
        <v>9.9999999999988987E-5</v>
      </c>
      <c r="AR407" s="23"/>
    </row>
    <row r="408" spans="2:88" ht="14.65" customHeight="1">
      <c r="B408" s="5">
        <v>43343</v>
      </c>
      <c r="C408" s="2">
        <v>1339.6685931112804</v>
      </c>
      <c r="D408" s="2">
        <f>1036572/1000</f>
        <v>1036.5719999999999</v>
      </c>
      <c r="E408" s="2">
        <v>145.4</v>
      </c>
      <c r="F408" s="2">
        <v>110.9</v>
      </c>
      <c r="G408" s="2">
        <v>146.30000000000001</v>
      </c>
      <c r="H408" s="2">
        <v>109.83</v>
      </c>
      <c r="I408" s="10">
        <f t="shared" si="1147"/>
        <v>0.7747035985853421</v>
      </c>
      <c r="J408" s="10">
        <f t="shared" si="1148"/>
        <v>0.80857131081605293</v>
      </c>
      <c r="K408" s="11">
        <f>C408/24/31/10</f>
        <v>0.18006298294506456</v>
      </c>
      <c r="L408" s="11">
        <f>D408/24/31/10</f>
        <v>0.13932419354838707</v>
      </c>
      <c r="M408" s="10">
        <v>0.98499999999999999</v>
      </c>
      <c r="N408" s="11">
        <v>0.97270000000000001</v>
      </c>
      <c r="O408" s="10">
        <v>0.99</v>
      </c>
      <c r="P408" s="17">
        <v>0.99780000000000002</v>
      </c>
      <c r="Q408" s="83"/>
      <c r="R408" s="81">
        <f t="shared" si="1136"/>
        <v>-0.22624744259127649</v>
      </c>
      <c r="S408" s="10">
        <f t="shared" si="1143"/>
        <v>-0.24928229665071777</v>
      </c>
      <c r="T408" s="10">
        <f t="shared" si="1144"/>
        <v>-1.2299999999999978E-2</v>
      </c>
      <c r="U408" s="10">
        <f t="shared" si="1145"/>
        <v>7.8000000000000291E-3</v>
      </c>
      <c r="V408" s="23"/>
      <c r="W408" s="83"/>
      <c r="X408" s="5">
        <v>43343</v>
      </c>
      <c r="Y408" s="2">
        <v>1334.7420150650994</v>
      </c>
      <c r="Z408" s="2">
        <f>1100610/1000</f>
        <v>1100.6099999999999</v>
      </c>
      <c r="AA408" s="2">
        <v>145.4</v>
      </c>
      <c r="AB408" s="2">
        <v>113.41</v>
      </c>
      <c r="AC408" s="2">
        <v>146.30000000000001</v>
      </c>
      <c r="AD408" s="2">
        <v>111.84</v>
      </c>
      <c r="AE408" s="10">
        <f t="shared" si="1149"/>
        <v>0.7718546568689254</v>
      </c>
      <c r="AF408" s="10">
        <f t="shared" si="1150"/>
        <v>0.84084670327034838</v>
      </c>
      <c r="AG408" s="11">
        <f>Y408/24/31/10</f>
        <v>0.17940080847649184</v>
      </c>
      <c r="AH408" s="11">
        <f>Z408/24/31/10</f>
        <v>0.14793145161290319</v>
      </c>
      <c r="AI408" s="10">
        <v>0.98499999999999999</v>
      </c>
      <c r="AJ408" s="11">
        <v>0.97529999999999994</v>
      </c>
      <c r="AK408" s="10">
        <v>0.99</v>
      </c>
      <c r="AL408" s="17">
        <v>0.99939999999999996</v>
      </c>
      <c r="AN408" s="81">
        <f t="shared" si="1133"/>
        <v>-0.17541368475890839</v>
      </c>
      <c r="AO408" s="10">
        <f t="shared" si="1139"/>
        <v>-0.23554340396445661</v>
      </c>
      <c r="AP408" s="10">
        <f t="shared" si="1140"/>
        <v>-9.7000000000000419E-3</v>
      </c>
      <c r="AQ408" s="10">
        <f t="shared" si="1141"/>
        <v>9.3999999999999639E-3</v>
      </c>
      <c r="AR408" s="23"/>
    </row>
    <row r="409" spans="2:88" ht="14.65" customHeight="1">
      <c r="B409" s="5">
        <v>43373</v>
      </c>
      <c r="C409" s="2">
        <v>1333.2461843506883</v>
      </c>
      <c r="D409" s="2">
        <f>1107012/1000</f>
        <v>1107.0119999999999</v>
      </c>
      <c r="E409" s="2">
        <v>141.6</v>
      </c>
      <c r="F409" s="2">
        <v>117.65</v>
      </c>
      <c r="G409" s="2">
        <v>145.5</v>
      </c>
      <c r="H409" s="2">
        <v>118.37</v>
      </c>
      <c r="I409" s="10">
        <f t="shared" si="1147"/>
        <v>0.77522876617224479</v>
      </c>
      <c r="J409" s="10">
        <f t="shared" si="1148"/>
        <v>0.79875415443983566</v>
      </c>
      <c r="K409" s="11">
        <f>C409/24/30/10</f>
        <v>0.18517308115981782</v>
      </c>
      <c r="L409" s="11">
        <f>D409/24/30/10</f>
        <v>0.15375166666666665</v>
      </c>
      <c r="M409" s="10">
        <v>0.98499999999999999</v>
      </c>
      <c r="N409" s="11">
        <v>0.97570000000000001</v>
      </c>
      <c r="O409" s="10">
        <v>0.99</v>
      </c>
      <c r="P409" s="17">
        <v>0.98529999999999995</v>
      </c>
      <c r="Q409" s="83"/>
      <c r="R409" s="81">
        <f t="shared" si="1136"/>
        <v>-0.16968672928238526</v>
      </c>
      <c r="S409" s="10">
        <f t="shared" si="1143"/>
        <v>-0.18646048109965629</v>
      </c>
      <c r="T409" s="10">
        <f t="shared" si="1144"/>
        <v>-9.299999999999975E-3</v>
      </c>
      <c r="U409" s="10">
        <f t="shared" si="1145"/>
        <v>-4.7000000000000375E-3</v>
      </c>
      <c r="V409" s="23"/>
      <c r="W409" s="83"/>
      <c r="X409" s="5">
        <v>43373</v>
      </c>
      <c r="Y409" s="2">
        <v>1330.1552727452881</v>
      </c>
      <c r="Z409" s="2">
        <f>1165686/1000</f>
        <v>1165.6859999999999</v>
      </c>
      <c r="AA409" s="2">
        <v>141.6</v>
      </c>
      <c r="AB409" s="2">
        <v>118.87</v>
      </c>
      <c r="AC409" s="2">
        <v>145.5</v>
      </c>
      <c r="AD409" s="2">
        <v>121.68</v>
      </c>
      <c r="AE409" s="10">
        <f t="shared" si="1149"/>
        <v>0.77343152600885456</v>
      </c>
      <c r="AF409" s="10">
        <f t="shared" si="1150"/>
        <v>0.82591307732166241</v>
      </c>
      <c r="AG409" s="11">
        <f>Y409/24/30/10</f>
        <v>0.18474378788129003</v>
      </c>
      <c r="AH409" s="11">
        <f>Z409/24/30/10</f>
        <v>0.16190083333333333</v>
      </c>
      <c r="AI409" s="10">
        <v>0.98499999999999999</v>
      </c>
      <c r="AJ409" s="11">
        <v>0.96660000000000001</v>
      </c>
      <c r="AK409" s="10">
        <v>0.99</v>
      </c>
      <c r="AL409" s="17">
        <v>0.98180000000000001</v>
      </c>
      <c r="AN409" s="81">
        <f t="shared" si="1133"/>
        <v>-0.12364667202035928</v>
      </c>
      <c r="AO409" s="10">
        <f t="shared" si="1139"/>
        <v>-0.1637113402061855</v>
      </c>
      <c r="AP409" s="10">
        <f t="shared" si="1140"/>
        <v>-1.8399999999999972E-2</v>
      </c>
      <c r="AQ409" s="10">
        <f t="shared" si="1141"/>
        <v>-8.1999999999999851E-3</v>
      </c>
      <c r="AR409" s="23"/>
    </row>
    <row r="410" spans="2:88" ht="14.65" customHeight="1">
      <c r="B410" s="5">
        <v>43404</v>
      </c>
      <c r="C410" s="2">
        <v>1525.0009602026607</v>
      </c>
      <c r="D410" s="2">
        <f>1467342/1000</f>
        <v>1467.3420000000001</v>
      </c>
      <c r="E410" s="2">
        <v>139.1</v>
      </c>
      <c r="F410" s="2">
        <f>4.46*31</f>
        <v>138.26</v>
      </c>
      <c r="G410" s="2">
        <v>172.2</v>
      </c>
      <c r="H410" s="2">
        <f>5.22*31</f>
        <v>161.82</v>
      </c>
      <c r="I410" s="10">
        <f t="shared" si="1147"/>
        <v>0.7492374782611515</v>
      </c>
      <c r="J410" s="10">
        <f t="shared" si="1148"/>
        <v>0.77797298598818354</v>
      </c>
      <c r="K410" s="11">
        <f>C410/24/31/10</f>
        <v>0.2049732473390673</v>
      </c>
      <c r="L410" s="11">
        <f>D410/24/31/10</f>
        <v>0.1972233870967742</v>
      </c>
      <c r="M410" s="10">
        <v>0.98499999999999999</v>
      </c>
      <c r="N410" s="11">
        <v>0.97130000000000005</v>
      </c>
      <c r="O410" s="10">
        <v>0.99</v>
      </c>
      <c r="P410" s="17">
        <v>0.97460000000000002</v>
      </c>
      <c r="Q410" s="83"/>
      <c r="R410" s="81">
        <f t="shared" si="1136"/>
        <v>-3.7809130425070836E-2</v>
      </c>
      <c r="S410" s="10">
        <f t="shared" si="1143"/>
        <v>-6.027874564459923E-2</v>
      </c>
      <c r="T410" s="10">
        <f t="shared" si="1144"/>
        <v>-1.3699999999999934E-2</v>
      </c>
      <c r="U410" s="10">
        <f t="shared" si="1145"/>
        <v>-1.5399999999999969E-2</v>
      </c>
      <c r="V410" s="23"/>
      <c r="W410" s="83"/>
      <c r="X410" s="5">
        <v>43404</v>
      </c>
      <c r="Y410" s="2">
        <v>1524.633147105289</v>
      </c>
      <c r="Z410" s="2">
        <f>1567104/1000</f>
        <v>1567.104</v>
      </c>
      <c r="AA410" s="2">
        <v>139.1</v>
      </c>
      <c r="AB410" s="2">
        <f>4.43*31</f>
        <v>137.32999999999998</v>
      </c>
      <c r="AC410" s="2">
        <v>172.2</v>
      </c>
      <c r="AD410" s="2">
        <f>5.32*31</f>
        <v>164.92000000000002</v>
      </c>
      <c r="AE410" s="10">
        <f t="shared" si="1149"/>
        <v>0.74905677059949238</v>
      </c>
      <c r="AF410" s="10">
        <f t="shared" si="1150"/>
        <v>0.81082387285224677</v>
      </c>
      <c r="AG410" s="11">
        <f>Y410/24/31/10</f>
        <v>0.2049238100947969</v>
      </c>
      <c r="AH410" s="11">
        <f>Z410/24/31/10</f>
        <v>0.21063225806451613</v>
      </c>
      <c r="AI410" s="10">
        <v>0.98499999999999999</v>
      </c>
      <c r="AJ410" s="11">
        <v>0.97660000000000002</v>
      </c>
      <c r="AK410" s="10">
        <v>0.99</v>
      </c>
      <c r="AL410" s="17">
        <v>0.97660000000000002</v>
      </c>
      <c r="AN410" s="81">
        <f t="shared" si="1133"/>
        <v>2.7856440728281084E-2</v>
      </c>
      <c r="AO410" s="10">
        <f t="shared" si="1139"/>
        <v>-4.2276422764227495E-2</v>
      </c>
      <c r="AP410" s="10">
        <f t="shared" si="1140"/>
        <v>-8.3999999999999631E-3</v>
      </c>
      <c r="AQ410" s="10">
        <f t="shared" si="1141"/>
        <v>-1.3399999999999967E-2</v>
      </c>
      <c r="AR410" s="23"/>
    </row>
    <row r="411" spans="2:88" ht="14.65" customHeight="1">
      <c r="B411" s="5">
        <v>43434</v>
      </c>
      <c r="C411" s="2">
        <v>1348.8434627692695</v>
      </c>
      <c r="D411" s="2">
        <f>1148178/1000</f>
        <v>1148.1780000000001</v>
      </c>
      <c r="E411" s="2">
        <v>108.1</v>
      </c>
      <c r="F411" s="2">
        <f>3.27*30</f>
        <v>98.1</v>
      </c>
      <c r="G411" s="2">
        <v>152.1</v>
      </c>
      <c r="H411" s="2">
        <f>4.4*30</f>
        <v>132</v>
      </c>
      <c r="I411" s="10">
        <f t="shared" si="1147"/>
        <v>0.75026530032965977</v>
      </c>
      <c r="J411" s="10">
        <f t="shared" si="1148"/>
        <v>0.7534925659925662</v>
      </c>
      <c r="K411" s="11">
        <f>C411/24/30/10</f>
        <v>0.18733936982906521</v>
      </c>
      <c r="L411" s="11">
        <f>D411/24/30/10</f>
        <v>0.15946916666666669</v>
      </c>
      <c r="M411" s="10">
        <v>0.98499999999999999</v>
      </c>
      <c r="N411" s="11">
        <v>0.96199999999999997</v>
      </c>
      <c r="O411" s="10">
        <v>0.99</v>
      </c>
      <c r="P411" s="17">
        <v>0.99990000000000001</v>
      </c>
      <c r="Q411" s="83"/>
      <c r="R411" s="81">
        <f t="shared" si="1136"/>
        <v>-0.14876853267857282</v>
      </c>
      <c r="S411" s="10">
        <f t="shared" si="1143"/>
        <v>-0.13214990138067062</v>
      </c>
      <c r="T411" s="10">
        <f t="shared" si="1144"/>
        <v>-2.300000000000002E-2</v>
      </c>
      <c r="U411" s="10">
        <f t="shared" si="1145"/>
        <v>9.9000000000000199E-3</v>
      </c>
      <c r="V411" s="23"/>
      <c r="W411" s="83"/>
      <c r="X411" s="5">
        <v>43434</v>
      </c>
      <c r="Y411" s="2">
        <v>1349.4195904884955</v>
      </c>
      <c r="Z411" s="2">
        <f>1213506/1000</f>
        <v>1213.5060000000001</v>
      </c>
      <c r="AA411" s="2">
        <v>108.1</v>
      </c>
      <c r="AB411" s="2">
        <f>3.3*30</f>
        <v>99</v>
      </c>
      <c r="AC411" s="2">
        <v>152.1</v>
      </c>
      <c r="AD411" s="2">
        <f>4.47*30</f>
        <v>134.1</v>
      </c>
      <c r="AE411" s="10">
        <f t="shared" si="1149"/>
        <v>0.75058575903982472</v>
      </c>
      <c r="AF411" s="10">
        <f t="shared" si="1150"/>
        <v>0.75926816896281746</v>
      </c>
      <c r="AG411" s="11">
        <f>Y411/24/30/10</f>
        <v>0.1874193875678466</v>
      </c>
      <c r="AH411" s="11">
        <f>Z411/24/30/10</f>
        <v>0.16854249999999998</v>
      </c>
      <c r="AI411" s="10">
        <v>0.98499999999999999</v>
      </c>
      <c r="AJ411" s="11">
        <v>0.99319999999999997</v>
      </c>
      <c r="AK411" s="10">
        <v>0.99</v>
      </c>
      <c r="AL411" s="17">
        <v>0.99990000000000001</v>
      </c>
      <c r="AN411" s="81">
        <f t="shared" si="1133"/>
        <v>-0.10072003655978801</v>
      </c>
      <c r="AO411" s="10">
        <f t="shared" si="1139"/>
        <v>-0.11834319526627224</v>
      </c>
      <c r="AP411" s="10">
        <f t="shared" si="1140"/>
        <v>8.1999999999999851E-3</v>
      </c>
      <c r="AQ411" s="10">
        <f t="shared" si="1141"/>
        <v>9.9000000000000199E-3</v>
      </c>
      <c r="AR411" s="23"/>
    </row>
    <row r="412" spans="2:88" ht="14.65" customHeight="1">
      <c r="B412" s="5">
        <v>43465</v>
      </c>
      <c r="C412" s="2">
        <v>1130.4815649091288</v>
      </c>
      <c r="D412" s="2">
        <f>1116936/1000</f>
        <v>1116.9359999999999</v>
      </c>
      <c r="E412" s="2">
        <v>89.9</v>
      </c>
      <c r="F412" s="2">
        <v>86.49</v>
      </c>
      <c r="G412" s="2">
        <v>129.6</v>
      </c>
      <c r="H412" s="2">
        <v>122.14</v>
      </c>
      <c r="I412" s="10">
        <f t="shared" si="1147"/>
        <v>0.73797390702952259</v>
      </c>
      <c r="J412" s="10">
        <f t="shared" si="1148"/>
        <v>0.78757744029191945</v>
      </c>
      <c r="K412" s="11">
        <f>C412/24/31/10</f>
        <v>0.15194644689638828</v>
      </c>
      <c r="L412" s="11">
        <f>D412/24/31/10</f>
        <v>0.15012580645161289</v>
      </c>
      <c r="M412" s="10">
        <v>0.98499999999999999</v>
      </c>
      <c r="N412" s="11">
        <v>0.96760000000000002</v>
      </c>
      <c r="O412" s="10">
        <v>0.99</v>
      </c>
      <c r="P412" s="17">
        <v>1</v>
      </c>
      <c r="Q412" s="83"/>
      <c r="R412" s="81">
        <f t="shared" si="1136"/>
        <v>-1.1982119239792866E-2</v>
      </c>
      <c r="S412" s="10">
        <f t="shared" si="1143"/>
        <v>-5.7561728395061684E-2</v>
      </c>
      <c r="T412" s="10">
        <f t="shared" si="1144"/>
        <v>-1.7399999999999971E-2</v>
      </c>
      <c r="U412" s="10">
        <f t="shared" si="1145"/>
        <v>1.0000000000000009E-2</v>
      </c>
      <c r="V412" s="23"/>
      <c r="W412" s="83"/>
      <c r="X412" s="5">
        <v>43465</v>
      </c>
      <c r="Y412" s="2">
        <v>1133.8427014573629</v>
      </c>
      <c r="Z412" s="2">
        <f>1111938/1000</f>
        <v>1111.9380000000001</v>
      </c>
      <c r="AA412" s="2">
        <v>89.9</v>
      </c>
      <c r="AB412" s="2">
        <v>86.8</v>
      </c>
      <c r="AC412" s="2">
        <v>129.6</v>
      </c>
      <c r="AD412" s="2">
        <v>125.55</v>
      </c>
      <c r="AE412" s="10">
        <f t="shared" si="1149"/>
        <v>0.74016804371211364</v>
      </c>
      <c r="AF412" s="10">
        <f t="shared" si="1150"/>
        <v>0.77648038268651076</v>
      </c>
      <c r="AG412" s="11">
        <f>Y412/24/31/10</f>
        <v>0.15239821256147351</v>
      </c>
      <c r="AH412" s="11">
        <f>Z412/24/31/10</f>
        <v>0.14945403225806453</v>
      </c>
      <c r="AI412" s="10">
        <v>0.98499999999999999</v>
      </c>
      <c r="AJ412" s="11">
        <v>0.95050000000000001</v>
      </c>
      <c r="AK412" s="10">
        <v>0.99</v>
      </c>
      <c r="AL412" s="17">
        <v>0.99829999999999997</v>
      </c>
      <c r="AN412" s="81">
        <f t="shared" si="1133"/>
        <v>-1.9318994979822146E-2</v>
      </c>
      <c r="AO412" s="10">
        <f t="shared" si="1139"/>
        <v>-3.125E-2</v>
      </c>
      <c r="AP412" s="10">
        <f t="shared" si="1140"/>
        <v>-3.4499999999999975E-2</v>
      </c>
      <c r="AQ412" s="10">
        <f t="shared" si="1141"/>
        <v>8.2999999999999741E-3</v>
      </c>
      <c r="AR412" s="23"/>
    </row>
    <row r="413" spans="2:88" s="94" customFormat="1" ht="14.65" customHeight="1">
      <c r="B413" s="46">
        <v>43496</v>
      </c>
      <c r="C413" s="47">
        <v>957.76854291708833</v>
      </c>
      <c r="D413" s="47">
        <f>1080282/1000</f>
        <v>1080.2819999999999</v>
      </c>
      <c r="E413" s="47">
        <v>79.599999999999994</v>
      </c>
      <c r="F413" s="47">
        <v>88.039999999999992</v>
      </c>
      <c r="G413" s="47">
        <v>103.2</v>
      </c>
      <c r="H413" s="47">
        <v>118.11</v>
      </c>
      <c r="I413" s="49">
        <f t="shared" si="1147"/>
        <v>0.78516945306625241</v>
      </c>
      <c r="J413" s="49">
        <f t="shared" si="1148"/>
        <v>0.77672525330444186</v>
      </c>
      <c r="K413" s="48">
        <f>C413/24/31/10</f>
        <v>0.12873233103724305</v>
      </c>
      <c r="L413" s="48">
        <f>D413/24/31/10</f>
        <v>0.14519919354838709</v>
      </c>
      <c r="M413" s="49">
        <v>0.98499999999999999</v>
      </c>
      <c r="N413" s="48">
        <v>0.98129999999999995</v>
      </c>
      <c r="O413" s="49">
        <v>0.99</v>
      </c>
      <c r="P413" s="50">
        <v>0.98399999999999999</v>
      </c>
      <c r="Q413" s="91"/>
      <c r="R413" s="92">
        <f t="shared" si="1136"/>
        <v>0.12791551569418935</v>
      </c>
      <c r="S413" s="49">
        <f t="shared" si="1143"/>
        <v>0.14447674418604639</v>
      </c>
      <c r="T413" s="49">
        <f t="shared" si="1144"/>
        <v>-3.7000000000000366E-3</v>
      </c>
      <c r="U413" s="49">
        <f t="shared" si="1145"/>
        <v>-6.0000000000000053E-3</v>
      </c>
      <c r="V413" s="52"/>
      <c r="W413" s="91"/>
      <c r="X413" s="46">
        <v>43496</v>
      </c>
      <c r="Y413" s="47">
        <v>953.83599911636691</v>
      </c>
      <c r="Z413" s="47">
        <f>1119978/1000</f>
        <v>1119.9780000000001</v>
      </c>
      <c r="AA413" s="47">
        <v>79.599999999999994</v>
      </c>
      <c r="AB413" s="47">
        <v>84.01</v>
      </c>
      <c r="AC413" s="47">
        <v>103.2</v>
      </c>
      <c r="AD413" s="47">
        <v>119.97</v>
      </c>
      <c r="AE413" s="49">
        <f t="shared" si="1149"/>
        <v>0.78194559142660491</v>
      </c>
      <c r="AF413" s="49">
        <f t="shared" si="1150"/>
        <v>0.79205557854542041</v>
      </c>
      <c r="AG413" s="48">
        <f>Y413/24/31/10</f>
        <v>0.12820376332209232</v>
      </c>
      <c r="AH413" s="48">
        <f>Z413/24/31/10</f>
        <v>0.15053467741935483</v>
      </c>
      <c r="AI413" s="49">
        <v>0.98499999999999999</v>
      </c>
      <c r="AJ413" s="48">
        <v>0.98219999999999996</v>
      </c>
      <c r="AK413" s="49">
        <v>0.99</v>
      </c>
      <c r="AL413" s="50">
        <v>0.99409999999999998</v>
      </c>
      <c r="AM413" s="76"/>
      <c r="AN413" s="92">
        <f t="shared" si="1133"/>
        <v>0.17418298432597124</v>
      </c>
      <c r="AO413" s="49">
        <f t="shared" si="1139"/>
        <v>0.16249999999999987</v>
      </c>
      <c r="AP413" s="49">
        <f t="shared" si="1140"/>
        <v>-2.8000000000000247E-3</v>
      </c>
      <c r="AQ413" s="49">
        <f t="shared" si="1141"/>
        <v>4.0999999999999925E-3</v>
      </c>
      <c r="AR413" s="52"/>
      <c r="BO413" s="76"/>
      <c r="BP413" s="76"/>
      <c r="BQ413" s="76"/>
      <c r="BR413" s="76"/>
      <c r="BS413" s="76"/>
      <c r="BT413" s="76"/>
      <c r="BU413" s="76"/>
      <c r="BV413" s="76"/>
      <c r="BW413" s="76"/>
      <c r="BX413" s="76"/>
      <c r="BY413" s="76"/>
      <c r="BZ413" s="76"/>
      <c r="CA413" s="76"/>
      <c r="CB413" s="76"/>
      <c r="CC413" s="76"/>
      <c r="CD413" s="76"/>
      <c r="CE413" s="76"/>
      <c r="CF413" s="76"/>
      <c r="CG413" s="76"/>
      <c r="CH413" s="76"/>
      <c r="CI413" s="76"/>
      <c r="CJ413" s="76"/>
    </row>
    <row r="414" spans="2:88" ht="14.65" customHeight="1">
      <c r="B414" s="5">
        <v>43524</v>
      </c>
      <c r="C414" s="2">
        <v>1253.5479909513413</v>
      </c>
      <c r="D414" s="2">
        <v>1014.0119999999999</v>
      </c>
      <c r="E414" s="2">
        <v>108.1</v>
      </c>
      <c r="F414" s="2">
        <v>92.399999999999991</v>
      </c>
      <c r="G414" s="2">
        <v>137.5</v>
      </c>
      <c r="H414" s="2">
        <v>110.32</v>
      </c>
      <c r="I414" s="10">
        <f t="shared" si="1147"/>
        <v>0.77129548743352794</v>
      </c>
      <c r="J414" s="10">
        <f t="shared" si="1148"/>
        <v>0.80738131558677328</v>
      </c>
      <c r="K414" s="11">
        <f>C414/24/28/10</f>
        <v>0.18653987960585436</v>
      </c>
      <c r="L414" s="11">
        <f>D414/24/28/10</f>
        <v>0.15089464285714285</v>
      </c>
      <c r="M414" s="10">
        <v>0.98499999999999999</v>
      </c>
      <c r="N414" s="11">
        <v>0.94869999999999999</v>
      </c>
      <c r="O414" s="10">
        <v>0.99</v>
      </c>
      <c r="P414" s="17">
        <v>0.97789999999999999</v>
      </c>
      <c r="Q414" s="83"/>
      <c r="R414" s="81">
        <f t="shared" si="1136"/>
        <v>-0.19108641446551478</v>
      </c>
      <c r="S414" s="10">
        <f t="shared" si="1143"/>
        <v>-0.19767272727272733</v>
      </c>
      <c r="T414" s="10">
        <f t="shared" si="1144"/>
        <v>-3.6299999999999999E-2</v>
      </c>
      <c r="U414" s="10">
        <f t="shared" si="1145"/>
        <v>-1.21E-2</v>
      </c>
      <c r="V414" s="23"/>
      <c r="W414" s="83"/>
      <c r="X414" s="5">
        <v>43524</v>
      </c>
      <c r="Y414" s="2">
        <v>1252.3090820934501</v>
      </c>
      <c r="Z414" s="2">
        <v>1006.722</v>
      </c>
      <c r="AA414" s="2">
        <v>108.1</v>
      </c>
      <c r="AB414" s="2">
        <v>88.2</v>
      </c>
      <c r="AC414" s="2">
        <v>137.5</v>
      </c>
      <c r="AD414" s="2">
        <v>107.24000000000001</v>
      </c>
      <c r="AE414" s="10">
        <f t="shared" si="1149"/>
        <v>0.77053319925762209</v>
      </c>
      <c r="AF414" s="10">
        <f t="shared" si="1150"/>
        <v>0.83444983215218194</v>
      </c>
      <c r="AG414" s="11">
        <f>Y414/24/28/10</f>
        <v>0.18635551816866819</v>
      </c>
      <c r="AH414" s="11">
        <f>Z414/24/28/10</f>
        <v>0.14980982142857144</v>
      </c>
      <c r="AI414" s="10">
        <v>0.98499999999999999</v>
      </c>
      <c r="AJ414" s="11">
        <v>0.9375</v>
      </c>
      <c r="AK414" s="10">
        <v>0.99</v>
      </c>
      <c r="AL414" s="17">
        <v>0.96640000000000004</v>
      </c>
      <c r="AN414" s="81">
        <f t="shared" si="1133"/>
        <v>-0.19610740320026188</v>
      </c>
      <c r="AO414" s="10">
        <f t="shared" si="1139"/>
        <v>-0.2200727272727272</v>
      </c>
      <c r="AP414" s="10">
        <f t="shared" si="1140"/>
        <v>-4.7499999999999987E-2</v>
      </c>
      <c r="AQ414" s="10">
        <f t="shared" si="1141"/>
        <v>-2.3599999999999954E-2</v>
      </c>
      <c r="AR414" s="23"/>
    </row>
    <row r="415" spans="2:88" ht="15" customHeight="1" thickBot="1">
      <c r="B415" s="5">
        <v>43555</v>
      </c>
      <c r="C415" s="4">
        <v>1678.0462728523526</v>
      </c>
      <c r="D415" s="4">
        <f>1640028/1000</f>
        <v>1640.028</v>
      </c>
      <c r="E415" s="4">
        <v>161.4</v>
      </c>
      <c r="F415" s="4">
        <v>156.04</v>
      </c>
      <c r="G415" s="4">
        <v>187.8</v>
      </c>
      <c r="H415" s="4">
        <v>177.2</v>
      </c>
      <c r="I415" s="10">
        <f t="shared" si="1147"/>
        <v>0.75594616480629417</v>
      </c>
      <c r="J415" s="10">
        <f t="shared" si="1148"/>
        <v>0.77670669858308394</v>
      </c>
      <c r="K415" s="11">
        <f>C415/24/31/10</f>
        <v>0.22554385387800435</v>
      </c>
      <c r="L415" s="11">
        <f>D415/24/31/10</f>
        <v>0.22043387096774195</v>
      </c>
      <c r="M415" s="19">
        <v>0.98499999999999999</v>
      </c>
      <c r="N415" s="18">
        <v>0.99299999999999999</v>
      </c>
      <c r="O415" s="19">
        <v>0.99</v>
      </c>
      <c r="P415" s="20">
        <v>0.99509999999999998</v>
      </c>
      <c r="Q415" s="83"/>
      <c r="R415" s="81">
        <f t="shared" si="1136"/>
        <v>-2.2656272039345393E-2</v>
      </c>
      <c r="S415" s="10">
        <f t="shared" si="1143"/>
        <v>-5.6443024494142846E-2</v>
      </c>
      <c r="T415" s="10">
        <f t="shared" si="1144"/>
        <v>8.0000000000000071E-3</v>
      </c>
      <c r="U415" s="10">
        <f t="shared" si="1145"/>
        <v>5.0999999999999934E-3</v>
      </c>
      <c r="V415" s="23"/>
      <c r="W415" s="83"/>
      <c r="X415" s="5">
        <v>43555</v>
      </c>
      <c r="Y415" s="2">
        <v>1679.4815678221196</v>
      </c>
      <c r="Z415" s="2">
        <f>1664346/1000</f>
        <v>1664.346</v>
      </c>
      <c r="AA415" s="2">
        <v>161.4</v>
      </c>
      <c r="AB415" s="2">
        <v>154.11000000000001</v>
      </c>
      <c r="AC415" s="2">
        <v>187.8</v>
      </c>
      <c r="AD415" s="2">
        <v>178.6</v>
      </c>
      <c r="AE415" s="10">
        <f t="shared" si="1149"/>
        <v>0.7565927534882122</v>
      </c>
      <c r="AF415" s="10">
        <f t="shared" si="1150"/>
        <v>0.78520783489606283</v>
      </c>
      <c r="AG415" s="11">
        <f>Y415/24/31/10</f>
        <v>0.22573676986856445</v>
      </c>
      <c r="AH415" s="11">
        <f>Z415/24/31/10</f>
        <v>0.22370241935483876</v>
      </c>
      <c r="AI415" s="10">
        <v>0.98499999999999999</v>
      </c>
      <c r="AJ415" s="11">
        <v>0.98899999999999999</v>
      </c>
      <c r="AK415" s="10">
        <v>0.99</v>
      </c>
      <c r="AL415" s="17">
        <v>0.99419999999999997</v>
      </c>
      <c r="AN415" s="81">
        <f t="shared" si="1133"/>
        <v>-9.0120475937981448E-3</v>
      </c>
      <c r="AO415" s="10">
        <f t="shared" si="1139"/>
        <v>-4.8988285410010768E-2</v>
      </c>
      <c r="AP415" s="10">
        <f t="shared" si="1140"/>
        <v>4.0000000000000036E-3</v>
      </c>
      <c r="AQ415" s="10">
        <f t="shared" si="1141"/>
        <v>4.1999999999999815E-3</v>
      </c>
      <c r="AR415" s="23"/>
    </row>
    <row r="416" spans="2:88" s="89" customFormat="1" ht="15" customHeight="1" thickBot="1">
      <c r="B416" s="25">
        <v>43585</v>
      </c>
      <c r="C416" s="39">
        <v>1736.4718428344272</v>
      </c>
      <c r="D416" s="178">
        <f>1574544/1000</f>
        <v>1574.5440000000001</v>
      </c>
      <c r="E416" s="26">
        <v>190.2</v>
      </c>
      <c r="F416" s="26">
        <f>5.81*30</f>
        <v>174.29999999999998</v>
      </c>
      <c r="G416" s="26">
        <v>194</v>
      </c>
      <c r="H416" s="26">
        <f>5.95*30</f>
        <v>178.5</v>
      </c>
      <c r="I416" s="27">
        <f t="shared" si="1147"/>
        <v>0.75726614110036605</v>
      </c>
      <c r="J416" s="27">
        <f t="shared" si="1148"/>
        <v>0.74408465684077063</v>
      </c>
      <c r="K416" s="28">
        <f>C416/24/30/10</f>
        <v>0.24117664483811491</v>
      </c>
      <c r="L416" s="28">
        <f>D416/24/30/10</f>
        <v>0.2186866666666667</v>
      </c>
      <c r="M416" s="29">
        <v>0.98499999999999999</v>
      </c>
      <c r="N416" s="37">
        <v>0.9879</v>
      </c>
      <c r="O416" s="29">
        <v>0.99</v>
      </c>
      <c r="P416" s="38">
        <v>0.99239999999999995</v>
      </c>
      <c r="Q416" s="86"/>
      <c r="R416" s="87">
        <f t="shared" ref="R416" si="1151">D416/C416-1</f>
        <v>-9.32510616297203E-2</v>
      </c>
      <c r="S416" s="29">
        <f t="shared" ref="S416" si="1152">H416/G416-1</f>
        <v>-7.9896907216494895E-2</v>
      </c>
      <c r="T416" s="29">
        <f t="shared" ref="T416" si="1153">N416-M416</f>
        <v>2.9000000000000137E-3</v>
      </c>
      <c r="U416" s="29">
        <f t="shared" ref="U416" si="1154">P416-O416</f>
        <v>2.3999999999999577E-3</v>
      </c>
      <c r="V416" s="32"/>
      <c r="W416" s="86"/>
      <c r="X416" s="25">
        <v>43585</v>
      </c>
      <c r="Y416" s="26">
        <v>1736.9855562855939</v>
      </c>
      <c r="Z416" s="63">
        <f>1634376/1000</f>
        <v>1634.376</v>
      </c>
      <c r="AA416" s="26">
        <v>190.2</v>
      </c>
      <c r="AB416" s="26">
        <f>5.75*30</f>
        <v>172.5</v>
      </c>
      <c r="AC416" s="26">
        <v>194</v>
      </c>
      <c r="AD416" s="26">
        <f>6.01*30</f>
        <v>180.29999999999998</v>
      </c>
      <c r="AE416" s="27">
        <f t="shared" si="1149"/>
        <v>0.75749016880597009</v>
      </c>
      <c r="AF416" s="27">
        <f t="shared" si="1150"/>
        <v>0.76087486028076601</v>
      </c>
      <c r="AG416" s="28">
        <f>Y416/24/30/10</f>
        <v>0.2412479939285547</v>
      </c>
      <c r="AH416" s="28">
        <f>Z416/24/30/10</f>
        <v>0.22699666666666668</v>
      </c>
      <c r="AI416" s="28">
        <v>0.98499999999999999</v>
      </c>
      <c r="AJ416" s="85">
        <v>0.99280000000000002</v>
      </c>
      <c r="AK416" s="29">
        <v>0.99</v>
      </c>
      <c r="AL416" s="30">
        <v>0.99560000000000004</v>
      </c>
      <c r="AN416" s="87">
        <f t="shared" si="1133"/>
        <v>-5.9073350330567154E-2</v>
      </c>
      <c r="AO416" s="29">
        <f t="shared" si="1139"/>
        <v>-7.061855670103101E-2</v>
      </c>
      <c r="AP416" s="29">
        <f t="shared" si="1140"/>
        <v>7.8000000000000291E-3</v>
      </c>
      <c r="AQ416" s="29">
        <f t="shared" si="1141"/>
        <v>5.6000000000000494E-3</v>
      </c>
      <c r="AR416" s="32"/>
      <c r="BO416" s="76"/>
      <c r="BP416" s="76"/>
      <c r="BQ416" s="76"/>
      <c r="BR416" s="76"/>
      <c r="BS416" s="76"/>
      <c r="BT416" s="76"/>
      <c r="BU416" s="76"/>
      <c r="BV416" s="76"/>
      <c r="BW416" s="76"/>
      <c r="BX416" s="76"/>
      <c r="BY416" s="76"/>
      <c r="BZ416" s="76"/>
      <c r="CA416" s="76"/>
      <c r="CB416" s="76"/>
      <c r="CC416" s="76"/>
      <c r="CD416" s="76"/>
      <c r="CE416" s="76"/>
      <c r="CF416" s="76"/>
      <c r="CG416" s="76"/>
      <c r="CH416" s="76"/>
      <c r="CI416" s="76"/>
      <c r="CJ416" s="76"/>
    </row>
    <row r="417" spans="2:88" ht="15" customHeight="1" thickBot="1">
      <c r="B417" s="5">
        <v>43616</v>
      </c>
      <c r="C417" s="4">
        <v>1759.2943311086754</v>
      </c>
      <c r="D417" s="179">
        <f>1564836/1000</f>
        <v>1564.836</v>
      </c>
      <c r="E417" s="2">
        <v>197</v>
      </c>
      <c r="F417" s="2">
        <v>189.98</v>
      </c>
      <c r="G417" s="2">
        <v>197.7</v>
      </c>
      <c r="H417" s="2">
        <v>193.09</v>
      </c>
      <c r="I417" s="10">
        <f t="shared" si="1147"/>
        <v>0.75286023239704802</v>
      </c>
      <c r="J417" s="10">
        <f t="shared" si="1148"/>
        <v>0.70363438548031609</v>
      </c>
      <c r="K417" s="41">
        <f>C417/24/31/10</f>
        <v>0.23646429181568215</v>
      </c>
      <c r="L417" s="41">
        <f>D417/24/31/10</f>
        <v>0.2103274193548387</v>
      </c>
      <c r="M417" s="10">
        <v>0.98499999999999999</v>
      </c>
      <c r="N417" s="34">
        <v>0.95979999999999999</v>
      </c>
      <c r="O417" s="10">
        <v>0.99</v>
      </c>
      <c r="P417" s="35">
        <v>0.98570000000000002</v>
      </c>
      <c r="Q417" s="83"/>
      <c r="R417" s="81">
        <f t="shared" ref="R417:R420" si="1155">D417/C417-1</f>
        <v>-0.11053200574239974</v>
      </c>
      <c r="S417" s="10">
        <f t="shared" ref="S417:S420" si="1156">H417/G417-1</f>
        <v>-2.3318158826504787E-2</v>
      </c>
      <c r="T417" s="10">
        <f t="shared" ref="T417:T426" si="1157">N417-M417</f>
        <v>-2.52E-2</v>
      </c>
      <c r="U417" s="10">
        <f t="shared" ref="U417:U426" si="1158">P417-O417</f>
        <v>-4.2999999999999705E-3</v>
      </c>
      <c r="V417" s="23"/>
      <c r="W417" s="83"/>
      <c r="X417" s="5">
        <v>43616</v>
      </c>
      <c r="Y417" s="2">
        <v>1759.8045993266555</v>
      </c>
      <c r="Z417" s="64">
        <f>1627170/1000</f>
        <v>1627.17</v>
      </c>
      <c r="AA417" s="2">
        <v>197</v>
      </c>
      <c r="AB417" s="2">
        <v>189.86</v>
      </c>
      <c r="AC417" s="2">
        <v>197.7</v>
      </c>
      <c r="AD417" s="2">
        <v>190.94</v>
      </c>
      <c r="AE417" s="10">
        <f t="shared" si="1149"/>
        <v>0.75307859304448521</v>
      </c>
      <c r="AF417" s="10">
        <f t="shared" si="1150"/>
        <v>0.73249885625973676</v>
      </c>
      <c r="AG417" s="14">
        <f>Y417/24/31/10</f>
        <v>0.23653287625358271</v>
      </c>
      <c r="AH417" s="14">
        <f>Z417/24/31/10</f>
        <v>0.21870564516129032</v>
      </c>
      <c r="AI417" s="11">
        <v>0.98499999999999999</v>
      </c>
      <c r="AJ417" s="82">
        <v>0.96950000000000003</v>
      </c>
      <c r="AK417" s="10">
        <v>0.99</v>
      </c>
      <c r="AL417" s="17">
        <v>0.9859</v>
      </c>
      <c r="AN417" s="81">
        <f t="shared" si="1133"/>
        <v>-7.536893549284096E-2</v>
      </c>
      <c r="AO417" s="10">
        <f t="shared" si="1139"/>
        <v>-3.4193222053616523E-2</v>
      </c>
      <c r="AP417" s="10">
        <f t="shared" si="1140"/>
        <v>-1.5499999999999958E-2</v>
      </c>
      <c r="AQ417" s="10">
        <f t="shared" si="1141"/>
        <v>-4.0999999999999925E-3</v>
      </c>
      <c r="AR417" s="23"/>
    </row>
    <row r="418" spans="2:88" ht="15" customHeight="1" thickBot="1">
      <c r="B418" s="5">
        <v>43646</v>
      </c>
      <c r="C418" s="4">
        <v>1582.1918221005112</v>
      </c>
      <c r="D418" s="33">
        <f>1643112/1000</f>
        <v>1643.1120000000001</v>
      </c>
      <c r="E418" s="2">
        <v>178.9</v>
      </c>
      <c r="F418" s="33">
        <v>189.29999999999998</v>
      </c>
      <c r="G418" s="2">
        <v>177.2</v>
      </c>
      <c r="H418" s="33">
        <v>186.6</v>
      </c>
      <c r="I418" s="10">
        <f t="shared" si="1147"/>
        <v>0.75540167127898128</v>
      </c>
      <c r="J418" s="10">
        <f t="shared" si="1148"/>
        <v>0.73570705055007979</v>
      </c>
      <c r="K418" s="41">
        <f>C418/24/30/10</f>
        <v>0.21974886418062659</v>
      </c>
      <c r="L418" s="41">
        <f>D418/24/30/10</f>
        <v>0.22821000000000002</v>
      </c>
      <c r="M418" s="10">
        <v>0.98499999999999999</v>
      </c>
      <c r="N418" s="34">
        <v>0.99739999999999995</v>
      </c>
      <c r="O418" s="10">
        <v>0.99</v>
      </c>
      <c r="P418" s="35">
        <v>0.99809999999999999</v>
      </c>
      <c r="Q418" s="83"/>
      <c r="R418" s="81">
        <f t="shared" si="1155"/>
        <v>3.8503661217646368E-2</v>
      </c>
      <c r="S418" s="10">
        <f t="shared" si="1156"/>
        <v>5.3047404063205406E-2</v>
      </c>
      <c r="T418" s="10">
        <f t="shared" si="1157"/>
        <v>1.2399999999999967E-2</v>
      </c>
      <c r="U418" s="10">
        <f t="shared" si="1158"/>
        <v>8.0999999999999961E-3</v>
      </c>
      <c r="V418" s="23"/>
      <c r="W418" s="83"/>
      <c r="X418" s="5">
        <v>43646</v>
      </c>
      <c r="Y418" s="2">
        <v>1579.9905401630917</v>
      </c>
      <c r="Z418" s="2">
        <f>1613106/1000</f>
        <v>1613.106</v>
      </c>
      <c r="AA418" s="2">
        <v>178.9</v>
      </c>
      <c r="AB418" s="2">
        <v>188.4</v>
      </c>
      <c r="AC418" s="2">
        <v>177.2</v>
      </c>
      <c r="AD418" s="2">
        <v>185.1</v>
      </c>
      <c r="AE418" s="10">
        <f t="shared" si="1149"/>
        <v>0.75435069122001763</v>
      </c>
      <c r="AF418" s="10">
        <f t="shared" si="1150"/>
        <v>0.72914836005285333</v>
      </c>
      <c r="AG418" s="14">
        <f>Y418/24/30/10</f>
        <v>0.21944313057820719</v>
      </c>
      <c r="AH418" s="14">
        <f>Z418/24/30/10</f>
        <v>0.22404250000000001</v>
      </c>
      <c r="AI418" s="11">
        <v>0.98499999999999999</v>
      </c>
      <c r="AJ418" s="82">
        <v>0.996</v>
      </c>
      <c r="AK418" s="10">
        <v>0.99</v>
      </c>
      <c r="AL418" s="17">
        <v>0.99909999999999999</v>
      </c>
      <c r="AN418" s="81">
        <f t="shared" si="1133"/>
        <v>2.0959277283704392E-2</v>
      </c>
      <c r="AO418" s="10">
        <f t="shared" si="1139"/>
        <v>4.4582392776523649E-2</v>
      </c>
      <c r="AP418" s="10">
        <f t="shared" si="1140"/>
        <v>1.100000000000001E-2</v>
      </c>
      <c r="AQ418" s="10">
        <f t="shared" si="1141"/>
        <v>9.099999999999997E-3</v>
      </c>
      <c r="AR418" s="23"/>
    </row>
    <row r="419" spans="2:88" ht="15" customHeight="1" thickBot="1">
      <c r="B419" s="5">
        <v>43677</v>
      </c>
      <c r="C419" s="4">
        <v>1403.2635140304076</v>
      </c>
      <c r="D419" s="33">
        <v>1235.2919999999999</v>
      </c>
      <c r="E419" s="2">
        <v>155.5</v>
      </c>
      <c r="F419" s="33">
        <v>142.91</v>
      </c>
      <c r="G419" s="2">
        <v>154.6</v>
      </c>
      <c r="H419" s="33">
        <v>140.43</v>
      </c>
      <c r="I419" s="10">
        <f t="shared" si="1147"/>
        <v>0.76791343745576035</v>
      </c>
      <c r="J419" s="10">
        <f t="shared" si="1148"/>
        <v>0.76726122349383796</v>
      </c>
      <c r="K419" s="41">
        <f>C419/24/31/10</f>
        <v>0.18861068736967843</v>
      </c>
      <c r="L419" s="41">
        <f>D419/24/31/10</f>
        <v>0.16603387096774191</v>
      </c>
      <c r="M419" s="10">
        <v>0.98499999999999999</v>
      </c>
      <c r="N419" s="34">
        <v>0.95540000000000003</v>
      </c>
      <c r="O419" s="10">
        <v>0.99</v>
      </c>
      <c r="P419" s="35">
        <v>0.98199999999999998</v>
      </c>
      <c r="Q419" s="83"/>
      <c r="R419" s="81">
        <f t="shared" si="1155"/>
        <v>-0.11970062098170386</v>
      </c>
      <c r="S419" s="10">
        <f t="shared" si="1156"/>
        <v>-9.1655886157826605E-2</v>
      </c>
      <c r="T419" s="10">
        <f t="shared" si="1157"/>
        <v>-2.959999999999996E-2</v>
      </c>
      <c r="U419" s="10">
        <f t="shared" si="1158"/>
        <v>-8.0000000000000071E-3</v>
      </c>
      <c r="V419" s="23"/>
      <c r="W419" s="83"/>
      <c r="X419" s="5">
        <v>43677</v>
      </c>
      <c r="Y419" s="2">
        <v>1398.3509575562432</v>
      </c>
      <c r="Z419" s="2">
        <v>1209.5340000000001</v>
      </c>
      <c r="AA419" s="2">
        <v>155.5</v>
      </c>
      <c r="AB419" s="2">
        <v>141.97999999999999</v>
      </c>
      <c r="AC419" s="2">
        <v>154.6</v>
      </c>
      <c r="AD419" s="2">
        <v>139.81</v>
      </c>
      <c r="AE419" s="10">
        <f t="shared" si="1149"/>
        <v>0.76522511976556684</v>
      </c>
      <c r="AF419" s="10">
        <f t="shared" si="1150"/>
        <v>0.76386854384266467</v>
      </c>
      <c r="AG419" s="14">
        <f>Y419/24/31/10</f>
        <v>0.18795039752100046</v>
      </c>
      <c r="AH419" s="14">
        <f>Z419/24/31/10</f>
        <v>0.1625717741935484</v>
      </c>
      <c r="AI419" s="11">
        <v>0.98499999999999999</v>
      </c>
      <c r="AJ419" s="82">
        <v>0.94379999999999997</v>
      </c>
      <c r="AK419" s="10">
        <v>0.99</v>
      </c>
      <c r="AL419" s="17">
        <v>0.98119999999999996</v>
      </c>
      <c r="AN419" s="81">
        <f t="shared" si="1133"/>
        <v>-0.13502830354278117</v>
      </c>
      <c r="AO419" s="10">
        <f t="shared" si="1139"/>
        <v>-9.566623544631303E-2</v>
      </c>
      <c r="AP419" s="10">
        <f t="shared" si="1140"/>
        <v>-4.1200000000000014E-2</v>
      </c>
      <c r="AQ419" s="10">
        <f t="shared" si="1141"/>
        <v>-8.80000000000003E-3</v>
      </c>
      <c r="AR419" s="23"/>
    </row>
    <row r="420" spans="2:88" ht="15" customHeight="1" thickBot="1">
      <c r="B420" s="5">
        <v>43708</v>
      </c>
      <c r="C420" s="4">
        <v>1332.9702501457239</v>
      </c>
      <c r="D420" s="33">
        <f>1178964/1000</f>
        <v>1178.9639999999999</v>
      </c>
      <c r="E420" s="2">
        <v>145.4</v>
      </c>
      <c r="F420" s="33">
        <v>141</v>
      </c>
      <c r="G420" s="2">
        <v>146.30000000000001</v>
      </c>
      <c r="H420" s="33">
        <v>141</v>
      </c>
      <c r="I420" s="10">
        <f t="shared" si="1147"/>
        <v>0.77083008059241542</v>
      </c>
      <c r="J420" s="10">
        <f t="shared" si="1148"/>
        <v>0.72962014035869449</v>
      </c>
      <c r="K420" s="41">
        <f>C420/24/31/10</f>
        <v>0.17916266803033926</v>
      </c>
      <c r="L420" s="41">
        <f>D420/24/31/10</f>
        <v>0.15846290322580645</v>
      </c>
      <c r="M420" s="10">
        <v>0.98499999999999999</v>
      </c>
      <c r="N420" s="34">
        <v>0.95499999999999996</v>
      </c>
      <c r="O420" s="10">
        <v>0.99</v>
      </c>
      <c r="P420" s="35">
        <v>0.98</v>
      </c>
      <c r="Q420" s="83"/>
      <c r="R420" s="81">
        <f t="shared" si="1155"/>
        <v>-0.11553614953438573</v>
      </c>
      <c r="S420" s="10">
        <f t="shared" si="1156"/>
        <v>-3.6226930963773163E-2</v>
      </c>
      <c r="T420" s="10">
        <f t="shared" si="1157"/>
        <v>-3.0000000000000027E-2</v>
      </c>
      <c r="U420" s="10">
        <f t="shared" si="1158"/>
        <v>-1.0000000000000009E-2</v>
      </c>
      <c r="V420" s="23"/>
      <c r="W420" s="83"/>
      <c r="X420" s="5">
        <v>43708</v>
      </c>
      <c r="Y420" s="2">
        <v>1328.0683049897737</v>
      </c>
      <c r="Z420" s="2">
        <f>1145082/1000</f>
        <v>1145.0820000000001</v>
      </c>
      <c r="AA420" s="2">
        <v>145.4</v>
      </c>
      <c r="AB420" s="2">
        <v>132</v>
      </c>
      <c r="AC420" s="2">
        <v>146.30000000000001</v>
      </c>
      <c r="AD420" s="2">
        <v>140</v>
      </c>
      <c r="AE420" s="10">
        <f t="shared" si="1149"/>
        <v>0.76799538358458064</v>
      </c>
      <c r="AF420" s="10">
        <f t="shared" si="1150"/>
        <v>0.72218311991039263</v>
      </c>
      <c r="AG420" s="14">
        <f>Y420/24/31/10</f>
        <v>0.17850380443410935</v>
      </c>
      <c r="AH420" s="14">
        <f>Z420/24/31/10</f>
        <v>0.15390887096774195</v>
      </c>
      <c r="AI420" s="11">
        <v>0.98499999999999999</v>
      </c>
      <c r="AJ420" s="82">
        <v>0.94379999999999997</v>
      </c>
      <c r="AK420" s="10">
        <v>0.99</v>
      </c>
      <c r="AL420" s="17">
        <v>0.98119999999999996</v>
      </c>
      <c r="AN420" s="81">
        <f t="shared" si="1133"/>
        <v>-0.13778380547315494</v>
      </c>
      <c r="AO420" s="10">
        <f t="shared" si="1139"/>
        <v>-4.3062200956937913E-2</v>
      </c>
      <c r="AP420" s="10">
        <f t="shared" si="1140"/>
        <v>-4.1200000000000014E-2</v>
      </c>
      <c r="AQ420" s="10">
        <f t="shared" si="1141"/>
        <v>-8.80000000000003E-3</v>
      </c>
      <c r="AR420" s="23"/>
    </row>
    <row r="421" spans="2:88" ht="15" customHeight="1" thickBot="1">
      <c r="B421" s="5">
        <v>43738</v>
      </c>
      <c r="C421" s="4">
        <v>1326.5799534289345</v>
      </c>
      <c r="D421" s="2">
        <f>1274064/1000</f>
        <v>1274.0640000000001</v>
      </c>
      <c r="E421" s="2">
        <v>141.6</v>
      </c>
      <c r="F421" s="2">
        <v>142</v>
      </c>
      <c r="G421" s="2">
        <v>145.5</v>
      </c>
      <c r="H421" s="2">
        <v>149</v>
      </c>
      <c r="I421" s="10">
        <f t="shared" si="1147"/>
        <v>0.77135262234138335</v>
      </c>
      <c r="J421" s="10">
        <f t="shared" si="1148"/>
        <v>0.72282791477912534</v>
      </c>
      <c r="K421" s="41">
        <f>C421/24/30/10</f>
        <v>0.18424721575401867</v>
      </c>
      <c r="L421" s="41">
        <f>D421/24/30/10</f>
        <v>0.17695333333333335</v>
      </c>
      <c r="M421" s="10">
        <v>0.98499999999999999</v>
      </c>
      <c r="N421" s="34">
        <v>0.98580000000000001</v>
      </c>
      <c r="O421" s="10">
        <v>0.99</v>
      </c>
      <c r="P421" s="35">
        <v>0.99790000000000001</v>
      </c>
      <c r="Q421" s="83"/>
      <c r="R421" s="81">
        <f t="shared" ref="R421" si="1159">D421/C421-1</f>
        <v>-3.9587477025558426E-2</v>
      </c>
      <c r="S421" s="10">
        <f t="shared" ref="S421" si="1160">H421/G421-1</f>
        <v>2.405498281786933E-2</v>
      </c>
      <c r="T421" s="10">
        <f t="shared" si="1157"/>
        <v>8.0000000000002292E-4</v>
      </c>
      <c r="U421" s="10">
        <f t="shared" si="1158"/>
        <v>7.9000000000000181E-3</v>
      </c>
      <c r="V421" s="23"/>
      <c r="W421" s="83"/>
      <c r="X421" s="5">
        <v>43738</v>
      </c>
      <c r="Y421" s="2">
        <v>1323.5044963815615</v>
      </c>
      <c r="Z421" s="2">
        <f>1224456/1000</f>
        <v>1224.4559999999999</v>
      </c>
      <c r="AA421" s="2">
        <v>141.6</v>
      </c>
      <c r="AB421" s="2">
        <v>143</v>
      </c>
      <c r="AC421" s="2">
        <v>145.5</v>
      </c>
      <c r="AD421" s="2">
        <v>151</v>
      </c>
      <c r="AE421" s="10">
        <f t="shared" si="1149"/>
        <v>0.76956436837881015</v>
      </c>
      <c r="AF421" s="10">
        <f t="shared" si="1150"/>
        <v>0.70273330321428962</v>
      </c>
      <c r="AG421" s="14">
        <f>Y421/24/30/10</f>
        <v>0.18382006894188352</v>
      </c>
      <c r="AH421" s="14">
        <f>Z421/24/30/10</f>
        <v>0.17006333333333332</v>
      </c>
      <c r="AI421" s="11">
        <v>0.98499999999999999</v>
      </c>
      <c r="AJ421" s="82">
        <v>0.96160000000000001</v>
      </c>
      <c r="AK421" s="10">
        <v>0.99</v>
      </c>
      <c r="AL421" s="17">
        <v>0.99760000000000004</v>
      </c>
      <c r="AN421" s="81">
        <f t="shared" si="1133"/>
        <v>-7.4838050533533096E-2</v>
      </c>
      <c r="AO421" s="10">
        <f t="shared" si="1139"/>
        <v>3.7800687285223455E-2</v>
      </c>
      <c r="AP421" s="10">
        <f t="shared" si="1140"/>
        <v>-2.3399999999999976E-2</v>
      </c>
      <c r="AQ421" s="10">
        <f t="shared" si="1141"/>
        <v>7.6000000000000512E-3</v>
      </c>
      <c r="AR421" s="23"/>
    </row>
    <row r="422" spans="2:88" ht="15" customHeight="1" thickBot="1">
      <c r="B422" s="5">
        <v>43769</v>
      </c>
      <c r="C422" s="4">
        <v>1517.3759554016474</v>
      </c>
      <c r="D422" s="33">
        <f>1225548/1000</f>
        <v>1225.548</v>
      </c>
      <c r="E422" s="2">
        <v>139.1</v>
      </c>
      <c r="F422" s="33">
        <v>125.86</v>
      </c>
      <c r="G422" s="2">
        <v>172.2</v>
      </c>
      <c r="H422" s="33">
        <v>152.83000000000001</v>
      </c>
      <c r="I422" s="10">
        <f t="shared" si="1147"/>
        <v>0.74549129086984578</v>
      </c>
      <c r="J422" s="10">
        <f t="shared" si="1148"/>
        <v>0.70209319865972786</v>
      </c>
      <c r="K422" s="41">
        <f>C422/24/31/10</f>
        <v>0.20394838110237196</v>
      </c>
      <c r="L422" s="41">
        <f>D422/24/31/10</f>
        <v>0.1647241935483871</v>
      </c>
      <c r="M422" s="10">
        <v>0.98499999999999999</v>
      </c>
      <c r="N422" s="34">
        <v>0.95179999999999998</v>
      </c>
      <c r="O422" s="10">
        <v>0.99</v>
      </c>
      <c r="P422" s="35">
        <v>0.98880000000000001</v>
      </c>
      <c r="Q422" s="83"/>
      <c r="R422" s="81">
        <f t="shared" ref="R422" si="1161">D422/C422-1</f>
        <v>-0.19232409368474601</v>
      </c>
      <c r="S422" s="10">
        <f t="shared" ref="S422" si="1162">H422/G422-1</f>
        <v>-0.11248548199767694</v>
      </c>
      <c r="T422" s="10">
        <f t="shared" si="1157"/>
        <v>-3.3200000000000007E-2</v>
      </c>
      <c r="U422" s="10">
        <f t="shared" si="1158"/>
        <v>-1.1999999999999789E-3</v>
      </c>
      <c r="V422" s="23"/>
      <c r="W422" s="83"/>
      <c r="X422" s="5">
        <v>43769</v>
      </c>
      <c r="Y422" s="2">
        <v>1517.0099813697625</v>
      </c>
      <c r="Z422" s="2">
        <f>1169736/1000</f>
        <v>1169.7360000000001</v>
      </c>
      <c r="AA422" s="2">
        <v>139.1</v>
      </c>
      <c r="AB422" s="2">
        <v>124.93</v>
      </c>
      <c r="AC422" s="2">
        <v>172.2</v>
      </c>
      <c r="AD422" s="2">
        <v>150.97</v>
      </c>
      <c r="AE422" s="10">
        <f t="shared" si="1149"/>
        <v>0.74531148674649483</v>
      </c>
      <c r="AF422" s="10">
        <f t="shared" si="1150"/>
        <v>0.71773893870769534</v>
      </c>
      <c r="AG422" s="14">
        <f>Y422/24/31/10</f>
        <v>0.20389919104432291</v>
      </c>
      <c r="AH422" s="14">
        <f>Z422/24/31/10</f>
        <v>0.15722258064516131</v>
      </c>
      <c r="AI422" s="11">
        <v>0.98499999999999999</v>
      </c>
      <c r="AJ422" s="82">
        <v>0.89959999999999996</v>
      </c>
      <c r="AK422" s="10">
        <v>0.99</v>
      </c>
      <c r="AL422" s="17">
        <v>0.98880000000000001</v>
      </c>
      <c r="AN422" s="81">
        <f t="shared" si="1133"/>
        <v>-0.22892003720120302</v>
      </c>
      <c r="AO422" s="10">
        <f t="shared" si="1139"/>
        <v>-0.12328687572590002</v>
      </c>
      <c r="AP422" s="10">
        <f t="shared" si="1140"/>
        <v>-8.5400000000000031E-2</v>
      </c>
      <c r="AQ422" s="10">
        <f t="shared" si="1141"/>
        <v>-1.1999999999999789E-3</v>
      </c>
      <c r="AR422" s="23"/>
    </row>
    <row r="423" spans="2:88" ht="15" customHeight="1" thickBot="1">
      <c r="B423" s="5">
        <v>43799</v>
      </c>
      <c r="C423" s="4">
        <v>1342.099245455423</v>
      </c>
      <c r="D423" s="33">
        <f>1082880/1000</f>
        <v>1082.8800000000001</v>
      </c>
      <c r="E423" s="2">
        <v>108.1</v>
      </c>
      <c r="F423" s="33">
        <v>94.800000000000011</v>
      </c>
      <c r="G423" s="2">
        <v>152.1</v>
      </c>
      <c r="H423" s="33">
        <v>129.9</v>
      </c>
      <c r="I423" s="10">
        <f t="shared" si="1147"/>
        <v>0.74651397382801132</v>
      </c>
      <c r="J423" s="10">
        <f t="shared" si="1148"/>
        <v>0.69719813499498906</v>
      </c>
      <c r="K423" s="41">
        <f>C423/24/30/10</f>
        <v>0.18640267297991986</v>
      </c>
      <c r="L423" s="41">
        <f>D423/24/30/10</f>
        <v>0.15040000000000003</v>
      </c>
      <c r="M423" s="10">
        <v>0.98499999999999999</v>
      </c>
      <c r="N423" s="34">
        <v>0.99639999999999995</v>
      </c>
      <c r="O423" s="10">
        <v>0.99</v>
      </c>
      <c r="P423" s="35">
        <v>1</v>
      </c>
      <c r="Q423" s="83"/>
      <c r="R423" s="81">
        <f t="shared" ref="R423" si="1163">D423/C423-1</f>
        <v>-0.19314461753345247</v>
      </c>
      <c r="S423" s="10">
        <f t="shared" ref="S423" si="1164">H423/G423-1</f>
        <v>-0.145956607495069</v>
      </c>
      <c r="T423" s="10">
        <f t="shared" si="1157"/>
        <v>1.1399999999999966E-2</v>
      </c>
      <c r="U423" s="10">
        <f t="shared" si="1158"/>
        <v>1.0000000000000009E-2</v>
      </c>
      <c r="V423" s="23"/>
      <c r="W423" s="83"/>
      <c r="X423" s="5">
        <v>43799</v>
      </c>
      <c r="Y423" s="2">
        <v>1342.6724925360531</v>
      </c>
      <c r="Z423" s="2">
        <f>1116108/1000</f>
        <v>1116.1079999999999</v>
      </c>
      <c r="AA423" s="2">
        <v>108.1</v>
      </c>
      <c r="AB423" s="2">
        <v>93.6</v>
      </c>
      <c r="AC423" s="2">
        <v>152.1</v>
      </c>
      <c r="AD423" s="2">
        <v>126</v>
      </c>
      <c r="AE423" s="10">
        <f t="shared" si="1149"/>
        <v>0.74683283024462566</v>
      </c>
      <c r="AF423" s="10">
        <f t="shared" si="1150"/>
        <v>0.74607506232733645</v>
      </c>
      <c r="AG423" s="14">
        <f>Y423/24/30/10</f>
        <v>0.18648229063000737</v>
      </c>
      <c r="AH423" s="14">
        <f>Z423/24/30/10</f>
        <v>0.15501499999999999</v>
      </c>
      <c r="AI423" s="11">
        <v>0.98499999999999999</v>
      </c>
      <c r="AJ423" s="82">
        <v>0.98939999999999995</v>
      </c>
      <c r="AK423" s="10">
        <v>0.99</v>
      </c>
      <c r="AL423" s="17">
        <v>1</v>
      </c>
      <c r="AN423" s="81">
        <f t="shared" ref="AN423:AN454" si="1165">Z423/Y423-1</f>
        <v>-0.1687414420087775</v>
      </c>
      <c r="AO423" s="10">
        <f t="shared" si="1139"/>
        <v>-0.17159763313609466</v>
      </c>
      <c r="AP423" s="10">
        <f t="shared" si="1140"/>
        <v>4.3999999999999595E-3</v>
      </c>
      <c r="AQ423" s="10">
        <f t="shared" si="1141"/>
        <v>1.0000000000000009E-2</v>
      </c>
      <c r="AR423" s="23"/>
    </row>
    <row r="424" spans="2:88" s="94" customFormat="1" ht="15" customHeight="1" thickBot="1">
      <c r="B424" s="46">
        <v>43830</v>
      </c>
      <c r="C424" s="54">
        <v>1124.8291570845829</v>
      </c>
      <c r="D424" s="47">
        <f>820416/1000</f>
        <v>820.41600000000005</v>
      </c>
      <c r="E424" s="47">
        <v>89.9</v>
      </c>
      <c r="F424" s="47">
        <v>66.650000000000006</v>
      </c>
      <c r="G424" s="47">
        <v>129.6</v>
      </c>
      <c r="H424" s="47">
        <v>93.62</v>
      </c>
      <c r="I424" s="49">
        <f t="shared" si="1147"/>
        <v>0.73428403749437476</v>
      </c>
      <c r="J424" s="49">
        <f t="shared" si="1148"/>
        <v>0.74297620261394004</v>
      </c>
      <c r="K424" s="53">
        <f>C424/24/31/10</f>
        <v>0.15118671466190631</v>
      </c>
      <c r="L424" s="53">
        <f>D424/24/31/10</f>
        <v>0.1102709677419355</v>
      </c>
      <c r="M424" s="49">
        <v>0.98499999999999999</v>
      </c>
      <c r="N424" s="55">
        <v>0.9829</v>
      </c>
      <c r="O424" s="49">
        <v>0.99</v>
      </c>
      <c r="P424" s="56">
        <v>0.99870000000000003</v>
      </c>
      <c r="Q424" s="91"/>
      <c r="R424" s="92">
        <f t="shared" ref="R424:R426" si="1166">D424/C424-1</f>
        <v>-0.27063057102252208</v>
      </c>
      <c r="S424" s="49">
        <f t="shared" ref="S424:S426" si="1167">H424/G424-1</f>
        <v>-0.27762345679012335</v>
      </c>
      <c r="T424" s="49">
        <f t="shared" si="1157"/>
        <v>-2.0999999999999908E-3</v>
      </c>
      <c r="U424" s="49">
        <f t="shared" si="1158"/>
        <v>8.700000000000041E-3</v>
      </c>
      <c r="V424" s="52"/>
      <c r="W424" s="91"/>
      <c r="X424" s="46">
        <v>43830</v>
      </c>
      <c r="Y424" s="47">
        <v>1128.1734879500757</v>
      </c>
      <c r="Z424" s="47">
        <f>792996/1000</f>
        <v>792.99599999999998</v>
      </c>
      <c r="AA424" s="47">
        <v>89.9</v>
      </c>
      <c r="AB424" s="47">
        <v>66.650000000000006</v>
      </c>
      <c r="AC424" s="47">
        <v>129.6</v>
      </c>
      <c r="AD424" s="47">
        <v>91.76</v>
      </c>
      <c r="AE424" s="49">
        <f t="shared" si="1149"/>
        <v>0.73646720349355277</v>
      </c>
      <c r="AF424" s="49">
        <f t="shared" si="1150"/>
        <v>0.76362229701765405</v>
      </c>
      <c r="AG424" s="57">
        <f>Y424/24/31/10</f>
        <v>0.1516362214986661</v>
      </c>
      <c r="AH424" s="57">
        <f>Z424/24/31/10</f>
        <v>0.10658548387096774</v>
      </c>
      <c r="AI424" s="48">
        <v>0.98499999999999999</v>
      </c>
      <c r="AJ424" s="90">
        <v>0.94310000000000005</v>
      </c>
      <c r="AK424" s="49">
        <v>0.99</v>
      </c>
      <c r="AL424" s="50">
        <v>0.99939999999999996</v>
      </c>
      <c r="AM424" s="76"/>
      <c r="AN424" s="92">
        <f t="shared" si="1165"/>
        <v>-0.29709746907729861</v>
      </c>
      <c r="AO424" s="49">
        <f t="shared" si="1139"/>
        <v>-0.29197530864197518</v>
      </c>
      <c r="AP424" s="49">
        <f t="shared" si="1140"/>
        <v>-4.1899999999999937E-2</v>
      </c>
      <c r="AQ424" s="49">
        <f t="shared" si="1141"/>
        <v>9.3999999999999639E-3</v>
      </c>
      <c r="AR424" s="52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</row>
    <row r="425" spans="2:88" ht="15" customHeight="1" thickBot="1">
      <c r="B425" s="5">
        <v>43861</v>
      </c>
      <c r="C425" s="4">
        <v>952.97970020250295</v>
      </c>
      <c r="D425" s="33">
        <f>817464/1000</f>
        <v>817.46400000000006</v>
      </c>
      <c r="E425" s="2">
        <v>79.599999999999994</v>
      </c>
      <c r="F425" s="33">
        <v>73.099999999999994</v>
      </c>
      <c r="G425" s="2">
        <v>103.2</v>
      </c>
      <c r="H425" s="33">
        <v>98.13</v>
      </c>
      <c r="I425" s="10">
        <f t="shared" si="1147"/>
        <v>0.78124360580092123</v>
      </c>
      <c r="J425" s="10">
        <f t="shared" si="1148"/>
        <v>0.75317518644546477</v>
      </c>
      <c r="K425" s="41">
        <f>C425/24/31/10</f>
        <v>0.12808866938205685</v>
      </c>
      <c r="L425" s="41">
        <f>D425/24/31/10</f>
        <v>0.10987419354838709</v>
      </c>
      <c r="M425" s="10">
        <v>0.98499999999999999</v>
      </c>
      <c r="N425" s="34">
        <v>0.92169999999999996</v>
      </c>
      <c r="O425" s="10">
        <v>0.99</v>
      </c>
      <c r="P425" s="35">
        <v>0.98850000000000005</v>
      </c>
      <c r="Q425" s="83"/>
      <c r="R425" s="81">
        <f t="shared" si="1166"/>
        <v>-0.14220208486466879</v>
      </c>
      <c r="S425" s="10">
        <f t="shared" si="1167"/>
        <v>-4.9127906976744296E-2</v>
      </c>
      <c r="T425" s="10">
        <f t="shared" si="1157"/>
        <v>-6.3300000000000023E-2</v>
      </c>
      <c r="U425" s="10">
        <f t="shared" si="1158"/>
        <v>-1.4999999999999458E-3</v>
      </c>
      <c r="V425" s="23"/>
      <c r="W425" s="83"/>
      <c r="X425" s="5">
        <v>43861</v>
      </c>
      <c r="Y425" s="2">
        <v>949.066819120785</v>
      </c>
      <c r="Z425" s="2">
        <f>841440/1000</f>
        <v>841.44</v>
      </c>
      <c r="AA425" s="2">
        <v>79.599999999999994</v>
      </c>
      <c r="AB425" s="2">
        <v>72.989999999999995</v>
      </c>
      <c r="AC425" s="2">
        <v>103.2</v>
      </c>
      <c r="AD425" s="2">
        <v>95.66</v>
      </c>
      <c r="AE425" s="10">
        <f t="shared" si="1149"/>
        <v>0.77803586346947173</v>
      </c>
      <c r="AF425" s="10">
        <f t="shared" si="1150"/>
        <v>0.81319364710670761</v>
      </c>
      <c r="AG425" s="14">
        <f>Y425/24/31/10</f>
        <v>0.12756274450548183</v>
      </c>
      <c r="AH425" s="14">
        <f>Z425/24/31/10</f>
        <v>0.1130967741935484</v>
      </c>
      <c r="AI425" s="11">
        <v>0.98499999999999999</v>
      </c>
      <c r="AJ425" s="82">
        <v>0.90139999999999998</v>
      </c>
      <c r="AK425" s="10">
        <v>0.99</v>
      </c>
      <c r="AL425" s="17">
        <v>0.998</v>
      </c>
      <c r="AN425" s="81">
        <f t="shared" si="1165"/>
        <v>-0.11340278361063172</v>
      </c>
      <c r="AO425" s="10">
        <f t="shared" si="1139"/>
        <v>-7.3062015503876032E-2</v>
      </c>
      <c r="AP425" s="10">
        <f t="shared" si="1140"/>
        <v>-8.3600000000000008E-2</v>
      </c>
      <c r="AQ425" s="10">
        <f t="shared" si="1141"/>
        <v>8.0000000000000071E-3</v>
      </c>
      <c r="AR425" s="23"/>
    </row>
    <row r="426" spans="2:88" ht="15" customHeight="1" thickBot="1">
      <c r="B426" s="5">
        <v>43890</v>
      </c>
      <c r="C426" s="4">
        <v>1247.2802509965843</v>
      </c>
      <c r="D426" s="33">
        <f>1275888/1000</f>
        <v>1275.8879999999999</v>
      </c>
      <c r="E426" s="2">
        <v>108.1</v>
      </c>
      <c r="F426" s="33">
        <v>114.84</v>
      </c>
      <c r="G426" s="2">
        <v>137.5</v>
      </c>
      <c r="H426" s="33">
        <v>149.35</v>
      </c>
      <c r="I426" s="10">
        <f t="shared" si="1147"/>
        <v>0.76743900999636017</v>
      </c>
      <c r="J426" s="10">
        <f t="shared" si="1148"/>
        <v>0.71592077333772175</v>
      </c>
      <c r="K426" s="41">
        <f>C426/24/29/10</f>
        <v>0.17920693261445178</v>
      </c>
      <c r="L426" s="41">
        <f>D426/24/29/10</f>
        <v>0.18331724137931033</v>
      </c>
      <c r="M426" s="10">
        <v>0.98499999999999999</v>
      </c>
      <c r="N426" s="34">
        <v>0.99439999999999995</v>
      </c>
      <c r="O426" s="10">
        <v>0.99</v>
      </c>
      <c r="P426" s="35">
        <v>0.99439999999999995</v>
      </c>
      <c r="Q426" s="83"/>
      <c r="R426" s="81">
        <f t="shared" si="1166"/>
        <v>2.2936103558569121E-2</v>
      </c>
      <c r="S426" s="10">
        <f t="shared" si="1167"/>
        <v>8.6181818181818137E-2</v>
      </c>
      <c r="T426" s="10">
        <f t="shared" si="1157"/>
        <v>9.3999999999999639E-3</v>
      </c>
      <c r="U426" s="10">
        <f t="shared" si="1158"/>
        <v>4.3999999999999595E-3</v>
      </c>
      <c r="V426" s="23"/>
      <c r="W426" s="83"/>
      <c r="X426" s="5">
        <v>43890</v>
      </c>
      <c r="Y426" s="2">
        <v>1246.0475366829828</v>
      </c>
      <c r="Z426" s="2">
        <f>1288116/1000</f>
        <v>1288.116</v>
      </c>
      <c r="AA426" s="2">
        <v>108.1</v>
      </c>
      <c r="AB426" s="2">
        <v>113.97</v>
      </c>
      <c r="AC426" s="2">
        <v>137.5</v>
      </c>
      <c r="AD426" s="2">
        <v>144.41999999999999</v>
      </c>
      <c r="AE426" s="10">
        <f t="shared" si="1149"/>
        <v>0.7666805332613339</v>
      </c>
      <c r="AF426" s="10">
        <f t="shared" si="1150"/>
        <v>0.77351402877002651</v>
      </c>
      <c r="AG426" s="14">
        <f>Y426/24/29/10</f>
        <v>0.17902981848893432</v>
      </c>
      <c r="AH426" s="14">
        <f>Z426/24/29/10</f>
        <v>0.1850741379310345</v>
      </c>
      <c r="AI426" s="11">
        <v>0.98499999999999999</v>
      </c>
      <c r="AJ426" s="82">
        <v>0.96089999999999998</v>
      </c>
      <c r="AK426" s="10">
        <v>0.99</v>
      </c>
      <c r="AL426" s="17">
        <v>1</v>
      </c>
      <c r="AN426" s="81">
        <f t="shared" si="1165"/>
        <v>3.3761523600459586E-2</v>
      </c>
      <c r="AO426" s="10">
        <f t="shared" ref="AO426:AO457" si="1168">AD426/AC426-1</f>
        <v>5.0327272727272554E-2</v>
      </c>
      <c r="AP426" s="10">
        <f t="shared" ref="AP426:AP457" si="1169">AJ426-AI426</f>
        <v>-2.410000000000001E-2</v>
      </c>
      <c r="AQ426" s="10">
        <f t="shared" ref="AQ426:AQ457" si="1170">AL426-AK426</f>
        <v>1.0000000000000009E-2</v>
      </c>
      <c r="AR426" s="23"/>
    </row>
    <row r="427" spans="2:88" ht="15" customHeight="1" thickBot="1">
      <c r="B427" s="5">
        <v>43921</v>
      </c>
      <c r="C427" s="4">
        <v>1669.6560414880908</v>
      </c>
      <c r="D427" s="33">
        <f>1500702/1000</f>
        <v>1500.702</v>
      </c>
      <c r="E427" s="4">
        <v>161.4</v>
      </c>
      <c r="F427" s="33">
        <v>152.19999999999999</v>
      </c>
      <c r="G427" s="4">
        <v>187.8</v>
      </c>
      <c r="H427" s="33">
        <v>172.5</v>
      </c>
      <c r="I427" s="10">
        <f t="shared" si="1147"/>
        <v>0.75216643398226257</v>
      </c>
      <c r="J427" s="10">
        <f t="shared" si="1148"/>
        <v>0.76025252893687389</v>
      </c>
      <c r="K427" s="41">
        <f>C427/24/31/10</f>
        <v>0.22441613460861434</v>
      </c>
      <c r="L427" s="41">
        <f>D427/24/31/10</f>
        <v>0.20170725806451612</v>
      </c>
      <c r="M427" s="19">
        <v>0.98499999999999999</v>
      </c>
      <c r="N427" s="34">
        <v>0.9536</v>
      </c>
      <c r="O427" s="19">
        <v>0.99</v>
      </c>
      <c r="P427" s="35">
        <v>0.98780000000000001</v>
      </c>
      <c r="Q427" s="83"/>
      <c r="R427" s="81">
        <f t="shared" ref="R427" si="1171">D427/C427-1</f>
        <v>-0.10119092632846072</v>
      </c>
      <c r="S427" s="10">
        <f t="shared" ref="S427" si="1172">H427/G427-1</f>
        <v>-8.1469648562300323E-2</v>
      </c>
      <c r="T427" s="10">
        <f t="shared" ref="T427:T428" si="1173">N427-M427</f>
        <v>-3.1399999999999983E-2</v>
      </c>
      <c r="U427" s="10">
        <f t="shared" ref="U427:U428" si="1174">P427-O427</f>
        <v>-2.1999999999999797E-3</v>
      </c>
      <c r="V427" s="23"/>
      <c r="W427" s="83"/>
      <c r="X427" s="5">
        <v>43921</v>
      </c>
      <c r="Y427" s="2">
        <v>1671.0841599830092</v>
      </c>
      <c r="Z427" s="2">
        <f>1557624/1000</f>
        <v>1557.624</v>
      </c>
      <c r="AA427" s="2">
        <v>161.4</v>
      </c>
      <c r="AB427" s="2">
        <v>153.18</v>
      </c>
      <c r="AC427" s="2">
        <v>187.8</v>
      </c>
      <c r="AD427" s="2">
        <v>172</v>
      </c>
      <c r="AE427" s="10">
        <f t="shared" si="1149"/>
        <v>0.75280978972077117</v>
      </c>
      <c r="AF427" s="10">
        <f t="shared" si="1150"/>
        <v>0.78774821575957665</v>
      </c>
      <c r="AG427" s="14">
        <f>Y427/24/31/10</f>
        <v>0.22460808601922166</v>
      </c>
      <c r="AH427" s="14">
        <f>Z427/24/31/10</f>
        <v>0.20935806451612904</v>
      </c>
      <c r="AI427" s="11">
        <v>0.98499999999999999</v>
      </c>
      <c r="AJ427" s="82">
        <v>0.95799999999999996</v>
      </c>
      <c r="AK427" s="10">
        <v>0.99</v>
      </c>
      <c r="AL427" s="17">
        <v>0.99939999999999996</v>
      </c>
      <c r="AN427" s="81">
        <f t="shared" si="1165"/>
        <v>-6.7896137549507185E-2</v>
      </c>
      <c r="AO427" s="10">
        <f t="shared" si="1168"/>
        <v>-8.4132055378061787E-2</v>
      </c>
      <c r="AP427" s="10">
        <f t="shared" si="1169"/>
        <v>-2.7000000000000024E-2</v>
      </c>
      <c r="AQ427" s="10">
        <f t="shared" si="1170"/>
        <v>9.3999999999999639E-3</v>
      </c>
      <c r="AR427" s="23"/>
    </row>
    <row r="428" spans="2:88" s="89" customFormat="1" ht="15" customHeight="1" thickBot="1">
      <c r="B428" s="25">
        <v>43951</v>
      </c>
      <c r="C428" s="115">
        <v>1727.7894836202552</v>
      </c>
      <c r="D428" s="26">
        <f>1556712/1000</f>
        <v>1556.712</v>
      </c>
      <c r="E428" s="26">
        <v>190.2</v>
      </c>
      <c r="F428" s="26">
        <v>178.20000000000002</v>
      </c>
      <c r="G428" s="26">
        <v>194</v>
      </c>
      <c r="H428" s="39">
        <v>177.89999999999998</v>
      </c>
      <c r="I428" s="29">
        <f t="shared" si="1147"/>
        <v>0.75347981039486422</v>
      </c>
      <c r="J428" s="29">
        <f t="shared" si="1148"/>
        <v>0.73360907434488898</v>
      </c>
      <c r="K428" s="45">
        <f>C428/24/30/10</f>
        <v>0.23997076161392433</v>
      </c>
      <c r="L428" s="45">
        <f>D428/24/30/10</f>
        <v>0.21621000000000001</v>
      </c>
      <c r="M428" s="40">
        <v>0.98499999999999999</v>
      </c>
      <c r="N428" s="37">
        <v>0.99399999999999999</v>
      </c>
      <c r="O428" s="40">
        <v>0.99</v>
      </c>
      <c r="P428" s="38">
        <v>0.999</v>
      </c>
      <c r="Q428" s="86"/>
      <c r="R428" s="87">
        <f t="shared" ref="R428" si="1175">D428/C428-1</f>
        <v>-9.9015236081767766E-2</v>
      </c>
      <c r="S428" s="29">
        <f t="shared" ref="S428" si="1176">H428/G428-1</f>
        <v>-8.2989690721649634E-2</v>
      </c>
      <c r="T428" s="29">
        <f t="shared" si="1173"/>
        <v>9.000000000000008E-3</v>
      </c>
      <c r="U428" s="29">
        <f t="shared" si="1174"/>
        <v>9.000000000000008E-3</v>
      </c>
      <c r="V428" s="32"/>
      <c r="W428" s="86"/>
      <c r="X428" s="25">
        <v>43951</v>
      </c>
      <c r="Y428" s="44">
        <v>1728.3006285041661</v>
      </c>
      <c r="Z428" s="26">
        <f>1542498/1000</f>
        <v>1542.498</v>
      </c>
      <c r="AA428" s="26">
        <v>190.2</v>
      </c>
      <c r="AB428" s="26">
        <v>177.6</v>
      </c>
      <c r="AC428" s="26">
        <v>194</v>
      </c>
      <c r="AD428" s="26">
        <v>179.1</v>
      </c>
      <c r="AE428" s="29">
        <f t="shared" si="1149"/>
        <v>0.75370271796194033</v>
      </c>
      <c r="AF428" s="29">
        <f t="shared" si="1150"/>
        <v>0.73168313219112646</v>
      </c>
      <c r="AG428" s="27">
        <f>Y428/24/30/10</f>
        <v>0.24004175395891197</v>
      </c>
      <c r="AH428" s="27">
        <f>Z428/24/30/10</f>
        <v>0.21423583333333335</v>
      </c>
      <c r="AI428" s="28">
        <v>0.98499999999999999</v>
      </c>
      <c r="AJ428" s="85">
        <v>0.98089999999999999</v>
      </c>
      <c r="AK428" s="29">
        <v>0.99</v>
      </c>
      <c r="AL428" s="30">
        <v>0.99880000000000002</v>
      </c>
      <c r="AM428" s="1"/>
      <c r="AN428" s="87">
        <f t="shared" si="1165"/>
        <v>-0.10750596594122463</v>
      </c>
      <c r="AO428" s="29">
        <f t="shared" si="1168"/>
        <v>-7.6804123711340266E-2</v>
      </c>
      <c r="AP428" s="29">
        <f t="shared" si="1169"/>
        <v>-4.0999999999999925E-3</v>
      </c>
      <c r="AQ428" s="29">
        <f t="shared" si="1170"/>
        <v>8.80000000000003E-3</v>
      </c>
      <c r="AR428" s="32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</row>
    <row r="429" spans="2:88" ht="15" customHeight="1" thickBot="1">
      <c r="B429" s="5">
        <v>43982</v>
      </c>
      <c r="C429" s="114">
        <v>1750.4978594531319</v>
      </c>
      <c r="D429" s="33">
        <f>1585284/1000</f>
        <v>1585.2840000000001</v>
      </c>
      <c r="E429" s="2">
        <v>197</v>
      </c>
      <c r="F429" s="33">
        <v>192.51</v>
      </c>
      <c r="G429" s="2">
        <v>197.7</v>
      </c>
      <c r="H429" s="33">
        <v>190.03</v>
      </c>
      <c r="I429" s="10">
        <f t="shared" si="1147"/>
        <v>0.7490959312350628</v>
      </c>
      <c r="J429" s="29">
        <f t="shared" si="1148"/>
        <v>0.72741470453184698</v>
      </c>
      <c r="K429" s="41">
        <f>C429/24/31/10</f>
        <v>0.23528197035660375</v>
      </c>
      <c r="L429" s="41">
        <f t="shared" ref="L429" si="1177">D429/24/31/10</f>
        <v>0.21307580645161289</v>
      </c>
      <c r="M429" s="19">
        <v>0.98499999999999999</v>
      </c>
      <c r="N429" s="34">
        <v>0.95569999999999999</v>
      </c>
      <c r="O429" s="19">
        <v>0.99</v>
      </c>
      <c r="P429" s="35">
        <v>0.98860000000000003</v>
      </c>
      <c r="Q429" s="83"/>
      <c r="R429" s="81">
        <f t="shared" ref="R429" si="1178">D429/C429-1</f>
        <v>-9.4381069111815874E-2</v>
      </c>
      <c r="S429" s="10">
        <f t="shared" ref="S429" si="1179">H429/G429-1</f>
        <v>-3.8796155791603337E-2</v>
      </c>
      <c r="T429" s="10">
        <f t="shared" ref="T429:T436" si="1180">N429-M429</f>
        <v>-2.9299999999999993E-2</v>
      </c>
      <c r="U429" s="10">
        <f t="shared" ref="U429:U436" si="1181">P429-O429</f>
        <v>-1.3999999999999568E-3</v>
      </c>
      <c r="V429" s="23"/>
      <c r="W429" s="83"/>
      <c r="X429" s="5">
        <v>43982</v>
      </c>
      <c r="Y429" s="43">
        <v>1751.0055763300224</v>
      </c>
      <c r="Z429" s="2">
        <f>1565664/1000</f>
        <v>1565.664</v>
      </c>
      <c r="AA429" s="2">
        <v>197</v>
      </c>
      <c r="AB429" s="2">
        <v>193.75</v>
      </c>
      <c r="AC429" s="2">
        <v>197.7</v>
      </c>
      <c r="AD429" s="2">
        <v>190.65</v>
      </c>
      <c r="AE429" s="10">
        <f t="shared" ref="AE429:AF434" si="1182">Y429/12/AC429/AI429</f>
        <v>0.74931320007926294</v>
      </c>
      <c r="AF429" s="10">
        <f>Z429/12/AD429/AJ429</f>
        <v>0.70602860559810354</v>
      </c>
      <c r="AG429" s="14">
        <f t="shared" ref="AG429:AH429" si="1183">Y429/24/31/10</f>
        <v>0.23535021187231484</v>
      </c>
      <c r="AH429" s="14">
        <f t="shared" si="1183"/>
        <v>0.21043870967741934</v>
      </c>
      <c r="AI429" s="11">
        <v>0.98499999999999999</v>
      </c>
      <c r="AJ429" s="82">
        <v>0.96930000000000005</v>
      </c>
      <c r="AK429" s="10">
        <v>0.99</v>
      </c>
      <c r="AL429" s="17">
        <v>0.99729999999999996</v>
      </c>
      <c r="AM429" s="1"/>
      <c r="AN429" s="81">
        <f t="shared" si="1165"/>
        <v>-0.10584864996174637</v>
      </c>
      <c r="AO429" s="10">
        <f t="shared" si="1168"/>
        <v>-3.5660091047040932E-2</v>
      </c>
      <c r="AP429" s="10">
        <f t="shared" si="1169"/>
        <v>-1.5699999999999936E-2</v>
      </c>
      <c r="AQ429" s="10">
        <f t="shared" si="1170"/>
        <v>7.2999999999999732E-3</v>
      </c>
      <c r="AR429" s="23"/>
    </row>
    <row r="430" spans="2:88" ht="15" customHeight="1" thickBot="1">
      <c r="B430" s="5">
        <v>44012</v>
      </c>
      <c r="C430" s="114">
        <v>1574.2808629900089</v>
      </c>
      <c r="D430" s="33">
        <f>1595628/1000</f>
        <v>1595.6279999999999</v>
      </c>
      <c r="E430" s="2">
        <v>178.9</v>
      </c>
      <c r="F430" s="33">
        <v>188.75</v>
      </c>
      <c r="G430" s="2">
        <v>177.2</v>
      </c>
      <c r="H430" s="33">
        <v>184.28</v>
      </c>
      <c r="I430" s="10">
        <f t="shared" si="1147"/>
        <v>0.75162466292258645</v>
      </c>
      <c r="J430" s="10">
        <f t="shared" si="1148"/>
        <v>0.73017565598349654</v>
      </c>
      <c r="K430" s="41">
        <f>C430/24/30/10</f>
        <v>0.21865011985972344</v>
      </c>
      <c r="L430" s="41">
        <f>D430/24/30/10</f>
        <v>0.22161499999999998</v>
      </c>
      <c r="M430" s="19">
        <v>0.98499999999999999</v>
      </c>
      <c r="N430" s="34">
        <v>0.98819999999999997</v>
      </c>
      <c r="O430" s="19">
        <v>0.99</v>
      </c>
      <c r="P430" s="35">
        <v>0.99850000000000005</v>
      </c>
      <c r="Q430" s="83"/>
      <c r="R430" s="81">
        <f t="shared" ref="R430" si="1184">D430/C430-1</f>
        <v>1.3559929178994512E-2</v>
      </c>
      <c r="S430" s="10">
        <f t="shared" ref="S430" si="1185">H430/G430-1</f>
        <v>3.9954853273137747E-2</v>
      </c>
      <c r="T430" s="10">
        <f t="shared" si="1180"/>
        <v>3.1999999999999806E-3</v>
      </c>
      <c r="U430" s="10">
        <f t="shared" si="1181"/>
        <v>8.5000000000000631E-3</v>
      </c>
      <c r="V430" s="23"/>
      <c r="W430" s="83"/>
      <c r="X430" s="5">
        <v>44012</v>
      </c>
      <c r="Y430" s="43">
        <v>1572.0905874622765</v>
      </c>
      <c r="Z430" s="2">
        <f>1639872/1000</f>
        <v>1639.8720000000001</v>
      </c>
      <c r="AA430" s="2">
        <v>178.9</v>
      </c>
      <c r="AB430" s="2">
        <v>188.28</v>
      </c>
      <c r="AC430" s="2">
        <v>177.2</v>
      </c>
      <c r="AD430" s="2">
        <v>184.28</v>
      </c>
      <c r="AE430" s="10">
        <f t="shared" si="1182"/>
        <v>0.75057893776391771</v>
      </c>
      <c r="AF430" s="10">
        <f>Z430/12/AD430/AJ430</f>
        <v>0.75933563421839667</v>
      </c>
      <c r="AG430" s="14">
        <f>Y430/24/30/10</f>
        <v>0.21834591492531619</v>
      </c>
      <c r="AH430" s="14">
        <f>Z430/24/30/10</f>
        <v>0.22776000000000002</v>
      </c>
      <c r="AI430" s="11">
        <v>0.98499999999999999</v>
      </c>
      <c r="AJ430" s="82">
        <v>0.97660000000000002</v>
      </c>
      <c r="AK430" s="10">
        <v>0.99</v>
      </c>
      <c r="AL430" s="17">
        <v>0.99850000000000005</v>
      </c>
      <c r="AM430" s="1"/>
      <c r="AN430" s="81">
        <f t="shared" si="1165"/>
        <v>4.3115462352038225E-2</v>
      </c>
      <c r="AO430" s="10">
        <f t="shared" si="1168"/>
        <v>3.9954853273137747E-2</v>
      </c>
      <c r="AP430" s="10">
        <f t="shared" si="1169"/>
        <v>-8.3999999999999631E-3</v>
      </c>
      <c r="AQ430" s="10">
        <f t="shared" si="1170"/>
        <v>8.5000000000000631E-3</v>
      </c>
      <c r="AR430" s="23"/>
    </row>
    <row r="431" spans="2:88" ht="15" customHeight="1" thickBot="1">
      <c r="B431" s="5">
        <v>44043</v>
      </c>
      <c r="C431" s="114">
        <v>1396.247196460256</v>
      </c>
      <c r="D431" s="33">
        <f>1341738/1000</f>
        <v>1341.7380000000001</v>
      </c>
      <c r="E431" s="2">
        <v>155.5</v>
      </c>
      <c r="F431" s="33">
        <v>156.02000000000001</v>
      </c>
      <c r="G431" s="2">
        <v>154.6</v>
      </c>
      <c r="H431" s="33">
        <v>153.03</v>
      </c>
      <c r="I431" s="10">
        <f t="shared" si="1147"/>
        <v>0.76407387026848173</v>
      </c>
      <c r="J431" s="10">
        <f>D431/12/H431/N431</f>
        <v>0.77828169234551126</v>
      </c>
      <c r="K431" s="41">
        <f>C431/24/31/10</f>
        <v>0.18766763393283009</v>
      </c>
      <c r="L431" s="41">
        <f>D431/24/31/10</f>
        <v>0.18034112903225807</v>
      </c>
      <c r="M431" s="19">
        <v>0.98499999999999999</v>
      </c>
      <c r="N431" s="34">
        <v>0.93879999999999997</v>
      </c>
      <c r="O431" s="19">
        <v>0.99</v>
      </c>
      <c r="P431" s="35">
        <v>0.98960000000000004</v>
      </c>
      <c r="Q431" s="83"/>
      <c r="R431" s="81">
        <f t="shared" ref="R431:R433" si="1186">D431/C431-1</f>
        <v>-3.903978937142849E-2</v>
      </c>
      <c r="S431" s="10">
        <f t="shared" ref="S431:S436" si="1187">H431/G431-1</f>
        <v>-1.0155239327296228E-2</v>
      </c>
      <c r="T431" s="10">
        <f t="shared" si="1180"/>
        <v>-4.6200000000000019E-2</v>
      </c>
      <c r="U431" s="10">
        <f t="shared" si="1181"/>
        <v>-3.9999999999995595E-4</v>
      </c>
      <c r="V431" s="23"/>
      <c r="W431" s="83"/>
      <c r="X431" s="5">
        <v>44043</v>
      </c>
      <c r="Y431" s="43">
        <v>1391.3592027684617</v>
      </c>
      <c r="Z431" s="2">
        <f>1408782/1000</f>
        <v>1408.7819999999999</v>
      </c>
      <c r="AA431" s="2">
        <v>155.5</v>
      </c>
      <c r="AB431" s="2">
        <v>155.22</v>
      </c>
      <c r="AC431" s="2">
        <v>154.6</v>
      </c>
      <c r="AD431" s="2">
        <v>153.15</v>
      </c>
      <c r="AE431" s="10">
        <f t="shared" si="1182"/>
        <v>0.76139899416673884</v>
      </c>
      <c r="AF431" s="10">
        <f>Z431/12/AD431/AJ431</f>
        <v>0.79741904624406912</v>
      </c>
      <c r="AG431" s="14">
        <f>Y431/24/31/10</f>
        <v>0.18701064553339539</v>
      </c>
      <c r="AH431" s="14">
        <f>Z431/24/31/10</f>
        <v>0.18935241935483871</v>
      </c>
      <c r="AI431" s="11">
        <v>0.98499999999999999</v>
      </c>
      <c r="AJ431" s="82">
        <v>0.96130000000000004</v>
      </c>
      <c r="AK431" s="10">
        <v>0.99</v>
      </c>
      <c r="AL431" s="17">
        <v>0.98670000000000002</v>
      </c>
      <c r="AM431" s="1"/>
      <c r="AN431" s="81">
        <f t="shared" si="1165"/>
        <v>1.2522141799810704E-2</v>
      </c>
      <c r="AO431" s="10">
        <f t="shared" si="1168"/>
        <v>-9.3790426908149094E-3</v>
      </c>
      <c r="AP431" s="10">
        <f t="shared" si="1169"/>
        <v>-2.3699999999999943E-2</v>
      </c>
      <c r="AQ431" s="10">
        <f t="shared" si="1170"/>
        <v>-3.2999999999999696E-3</v>
      </c>
      <c r="AR431" s="23"/>
    </row>
    <row r="432" spans="2:88" ht="15" customHeight="1" thickBot="1">
      <c r="B432" s="5">
        <v>44074</v>
      </c>
      <c r="C432" s="114">
        <v>1326.3053988949955</v>
      </c>
      <c r="D432" s="33">
        <v>1164.27</v>
      </c>
      <c r="E432" s="2">
        <v>145.4</v>
      </c>
      <c r="F432" s="33">
        <v>135.93</v>
      </c>
      <c r="G432" s="2">
        <v>146.30000000000001</v>
      </c>
      <c r="H432" s="33">
        <v>136.41999999999999</v>
      </c>
      <c r="I432" s="10">
        <f t="shared" si="1147"/>
        <v>0.76697593018945354</v>
      </c>
      <c r="J432" s="10">
        <f>D432/12/H432/N432</f>
        <v>0.7577289248464425</v>
      </c>
      <c r="K432" s="41">
        <f>C432/24/31/10</f>
        <v>0.17826685469018758</v>
      </c>
      <c r="L432" s="41">
        <f>D432/24/31/10</f>
        <v>0.15648790322580644</v>
      </c>
      <c r="M432" s="19">
        <v>0.98499999999999999</v>
      </c>
      <c r="N432" s="34">
        <v>0.93859999999999999</v>
      </c>
      <c r="O432" s="19">
        <v>0.99</v>
      </c>
      <c r="P432" s="35">
        <v>0.99860000000000004</v>
      </c>
      <c r="Q432" s="83"/>
      <c r="R432" s="81">
        <f t="shared" si="1186"/>
        <v>-0.12217050388997475</v>
      </c>
      <c r="S432" s="10">
        <f t="shared" si="1187"/>
        <v>-6.7532467532467666E-2</v>
      </c>
      <c r="T432" s="10">
        <f t="shared" si="1180"/>
        <v>-4.6399999999999997E-2</v>
      </c>
      <c r="U432" s="10">
        <f t="shared" si="1181"/>
        <v>8.600000000000052E-3</v>
      </c>
      <c r="V432" s="23"/>
      <c r="W432" s="83"/>
      <c r="X432" s="5">
        <v>44074</v>
      </c>
      <c r="Y432" s="43">
        <v>1321.4279634648249</v>
      </c>
      <c r="Z432" s="2">
        <v>1109.106</v>
      </c>
      <c r="AA432" s="2">
        <v>145.4</v>
      </c>
      <c r="AB432" s="2">
        <v>135.4</v>
      </c>
      <c r="AC432" s="2">
        <v>146.30000000000001</v>
      </c>
      <c r="AD432" s="2">
        <v>135.54</v>
      </c>
      <c r="AE432" s="10">
        <f t="shared" si="1182"/>
        <v>0.76415540666665782</v>
      </c>
      <c r="AF432" s="10">
        <f>Z432/12/AD432/AJ432</f>
        <v>0.79717759000627531</v>
      </c>
      <c r="AG432" s="14">
        <f>Y432/24/31/10</f>
        <v>0.17761128541193882</v>
      </c>
      <c r="AH432" s="14">
        <f>Z432/24/31/10</f>
        <v>0.1490733870967742</v>
      </c>
      <c r="AI432" s="11">
        <v>0.98499999999999999</v>
      </c>
      <c r="AJ432" s="82">
        <v>0.85540000000000005</v>
      </c>
      <c r="AK432" s="10">
        <v>0.99</v>
      </c>
      <c r="AL432" s="17">
        <v>0.99880000000000002</v>
      </c>
      <c r="AM432" s="1"/>
      <c r="AN432" s="81">
        <f t="shared" si="1165"/>
        <v>-0.16067615438386074</v>
      </c>
      <c r="AO432" s="10">
        <f t="shared" si="1168"/>
        <v>-7.3547505126452584E-2</v>
      </c>
      <c r="AP432" s="10">
        <f t="shared" si="1169"/>
        <v>-0.12959999999999994</v>
      </c>
      <c r="AQ432" s="10">
        <f t="shared" si="1170"/>
        <v>8.80000000000003E-3</v>
      </c>
      <c r="AR432" s="23"/>
    </row>
    <row r="433" spans="2:88" ht="15" customHeight="1" thickBot="1">
      <c r="B433" s="5">
        <v>44104</v>
      </c>
      <c r="C433" s="114">
        <v>1319.9470536617903</v>
      </c>
      <c r="D433" s="33">
        <f>1328478/1000</f>
        <v>1328.4780000000001</v>
      </c>
      <c r="E433" s="2">
        <v>141.6</v>
      </c>
      <c r="F433" s="33">
        <v>146.83000000000001</v>
      </c>
      <c r="G433" s="2">
        <v>145.5</v>
      </c>
      <c r="H433" s="33">
        <v>157.63999999999999</v>
      </c>
      <c r="I433" s="10">
        <f t="shared" si="1147"/>
        <v>0.76749585922967667</v>
      </c>
      <c r="J433" s="10">
        <f t="shared" si="1147"/>
        <v>0.71463739594244591</v>
      </c>
      <c r="K433" s="41">
        <f>C433/24/30/10</f>
        <v>0.18332597967524863</v>
      </c>
      <c r="L433" s="41">
        <f>D433/24/30/10</f>
        <v>0.18451083333333335</v>
      </c>
      <c r="M433" s="19">
        <v>0.98499999999999999</v>
      </c>
      <c r="N433" s="34">
        <v>0.98270000000000002</v>
      </c>
      <c r="O433" s="19">
        <v>0.99</v>
      </c>
      <c r="P433" s="35">
        <v>0.99429999999999996</v>
      </c>
      <c r="Q433" s="83"/>
      <c r="R433" s="81">
        <f t="shared" si="1186"/>
        <v>6.4630973754160603E-3</v>
      </c>
      <c r="S433" s="10">
        <f t="shared" si="1187"/>
        <v>8.3436426116838325E-2</v>
      </c>
      <c r="T433" s="10">
        <f t="shared" si="1180"/>
        <v>-2.2999999999999687E-3</v>
      </c>
      <c r="U433" s="10">
        <f t="shared" si="1181"/>
        <v>4.2999999999999705E-3</v>
      </c>
      <c r="V433" s="23"/>
      <c r="W433" s="83"/>
      <c r="X433" s="5">
        <v>44104</v>
      </c>
      <c r="Y433" s="43">
        <v>1316.8869738996539</v>
      </c>
      <c r="Z433" s="2">
        <f>1352820/1000</f>
        <v>1352.82</v>
      </c>
      <c r="AA433" s="2">
        <v>141.6</v>
      </c>
      <c r="AB433" s="2">
        <v>145.79</v>
      </c>
      <c r="AC433" s="2">
        <v>145.5</v>
      </c>
      <c r="AD433" s="2">
        <v>154.88999999999999</v>
      </c>
      <c r="AE433" s="10">
        <f t="shared" si="1182"/>
        <v>0.76571654653691623</v>
      </c>
      <c r="AF433" s="10">
        <f t="shared" si="1182"/>
        <v>0.76038352656457031</v>
      </c>
      <c r="AG433" s="14">
        <f>Y433/24/30/10</f>
        <v>0.18290096859717414</v>
      </c>
      <c r="AH433" s="14">
        <f>Z433/24/30/10</f>
        <v>0.18789166666666665</v>
      </c>
      <c r="AI433" s="11">
        <v>0.98499999999999999</v>
      </c>
      <c r="AJ433" s="82">
        <v>0.95720000000000005</v>
      </c>
      <c r="AK433" s="10">
        <v>0.99</v>
      </c>
      <c r="AL433" s="17">
        <v>0.99739999999999995</v>
      </c>
      <c r="AM433" s="1"/>
      <c r="AN433" s="81">
        <f t="shared" si="1165"/>
        <v>2.7286340295354927E-2</v>
      </c>
      <c r="AO433" s="10">
        <f t="shared" si="1168"/>
        <v>6.4536082474226708E-2</v>
      </c>
      <c r="AP433" s="10">
        <f t="shared" si="1169"/>
        <v>-2.7799999999999936E-2</v>
      </c>
      <c r="AQ433" s="10">
        <f t="shared" si="1170"/>
        <v>7.3999999999999622E-3</v>
      </c>
      <c r="AR433" s="23"/>
    </row>
    <row r="434" spans="2:88" ht="15" customHeight="1" thickBot="1">
      <c r="B434" s="5">
        <v>44135</v>
      </c>
      <c r="C434" s="114">
        <v>1509.7890756246393</v>
      </c>
      <c r="D434" s="33">
        <f>1424874/1000</f>
        <v>1424.874</v>
      </c>
      <c r="E434" s="2">
        <v>139.1</v>
      </c>
      <c r="F434" s="33">
        <v>135.99</v>
      </c>
      <c r="G434" s="2">
        <v>172.2</v>
      </c>
      <c r="H434" s="33">
        <v>172.93</v>
      </c>
      <c r="I434" s="10">
        <f t="shared" si="1147"/>
        <v>0.74176383441549654</v>
      </c>
      <c r="J434" s="10">
        <f t="shared" ref="J434:J442" si="1188">D434/12/H434/N434</f>
        <v>0.68849224891246152</v>
      </c>
      <c r="K434" s="41">
        <f>C434/24/31/10</f>
        <v>0.20292863919686011</v>
      </c>
      <c r="L434" s="41">
        <f>D434/24/31/10</f>
        <v>0.19151532258064516</v>
      </c>
      <c r="M434" s="19">
        <v>0.98499999999999999</v>
      </c>
      <c r="N434" s="34">
        <v>0.99729999999999996</v>
      </c>
      <c r="O434" s="19">
        <v>0.99</v>
      </c>
      <c r="P434" s="35">
        <v>0.99970000000000003</v>
      </c>
      <c r="Q434" s="83"/>
      <c r="R434" s="81">
        <f t="shared" ref="R434" si="1189">D434/C434-1</f>
        <v>-5.6243005725490236E-2</v>
      </c>
      <c r="S434" s="10">
        <f t="shared" si="1187"/>
        <v>4.239256678281178E-3</v>
      </c>
      <c r="T434" s="10">
        <f t="shared" si="1180"/>
        <v>1.2299999999999978E-2</v>
      </c>
      <c r="U434" s="10">
        <f t="shared" si="1181"/>
        <v>9.7000000000000419E-3</v>
      </c>
      <c r="V434" s="23"/>
      <c r="W434" s="83"/>
      <c r="X434" s="5">
        <v>44135</v>
      </c>
      <c r="Y434" s="43">
        <v>1509.4249314629135</v>
      </c>
      <c r="Z434" s="2">
        <f>1466598/1000</f>
        <v>1466.598</v>
      </c>
      <c r="AA434" s="2">
        <v>139.1</v>
      </c>
      <c r="AB434" s="2">
        <v>139.43</v>
      </c>
      <c r="AC434" s="2">
        <v>172.2</v>
      </c>
      <c r="AD434" s="2">
        <v>173.46</v>
      </c>
      <c r="AE434" s="10">
        <f t="shared" si="1182"/>
        <v>0.74158492931276232</v>
      </c>
      <c r="AF434" s="10">
        <f t="shared" si="1182"/>
        <v>0.70733892852017932</v>
      </c>
      <c r="AG434" s="14">
        <f>Y434/24/31/10</f>
        <v>0.20287969508910128</v>
      </c>
      <c r="AH434" s="14">
        <f>Z434/24/31/10</f>
        <v>0.19712338709677418</v>
      </c>
      <c r="AI434" s="11">
        <v>0.98499999999999999</v>
      </c>
      <c r="AJ434" s="82">
        <v>0.99609999999999999</v>
      </c>
      <c r="AK434" s="10">
        <v>0.99</v>
      </c>
      <c r="AL434" s="17">
        <v>1</v>
      </c>
      <c r="AM434" s="1"/>
      <c r="AN434" s="81">
        <f t="shared" si="1165"/>
        <v>-2.837301184723795E-2</v>
      </c>
      <c r="AO434" s="10">
        <f t="shared" si="1168"/>
        <v>7.3170731707317138E-3</v>
      </c>
      <c r="AP434" s="10">
        <f t="shared" si="1169"/>
        <v>1.1099999999999999E-2</v>
      </c>
      <c r="AQ434" s="10">
        <f t="shared" si="1170"/>
        <v>1.0000000000000009E-2</v>
      </c>
      <c r="AR434" s="23"/>
    </row>
    <row r="435" spans="2:88" ht="15" customHeight="1" thickBot="1">
      <c r="B435" s="5">
        <v>44165</v>
      </c>
      <c r="C435" s="114">
        <v>1335.388749228146</v>
      </c>
      <c r="D435" s="33">
        <f>1104246/1000</f>
        <v>1104.2460000000001</v>
      </c>
      <c r="E435" s="2">
        <v>108.1</v>
      </c>
      <c r="F435" s="33">
        <v>102.51</v>
      </c>
      <c r="G435" s="2">
        <v>152.1</v>
      </c>
      <c r="H435" s="33">
        <v>140.22999999999999</v>
      </c>
      <c r="I435" s="10">
        <f>C435/12/G435/M435</f>
        <v>0.74278140395887138</v>
      </c>
      <c r="J435" s="10">
        <f t="shared" si="1188"/>
        <v>0.68562451616030651</v>
      </c>
      <c r="K435" s="41">
        <f>C435/24/30/10</f>
        <v>0.18547065961502027</v>
      </c>
      <c r="L435" s="41">
        <f>D435/24/30/10</f>
        <v>0.15336750000000002</v>
      </c>
      <c r="M435" s="19">
        <v>0.98499999999999999</v>
      </c>
      <c r="N435" s="34">
        <v>0.95709999999999995</v>
      </c>
      <c r="O435" s="19">
        <v>0.99</v>
      </c>
      <c r="P435" s="35">
        <v>0.99629999999999996</v>
      </c>
      <c r="Q435" s="83"/>
      <c r="R435" s="81">
        <f t="shared" ref="R435:R436" si="1190">D435/C435-1</f>
        <v>-0.17309023260960255</v>
      </c>
      <c r="S435" s="10">
        <f t="shared" si="1187"/>
        <v>-7.8040762656147344E-2</v>
      </c>
      <c r="T435" s="10">
        <f t="shared" si="1180"/>
        <v>-2.7900000000000036E-2</v>
      </c>
      <c r="U435" s="10">
        <f t="shared" si="1181"/>
        <v>6.2999999999999723E-3</v>
      </c>
      <c r="V435" s="23"/>
      <c r="W435" s="83"/>
      <c r="X435" s="5">
        <v>44165</v>
      </c>
      <c r="Y435" s="43">
        <v>1335.9591300733728</v>
      </c>
      <c r="Z435" s="2">
        <f>1147902/1000</f>
        <v>1147.902</v>
      </c>
      <c r="AA435" s="2">
        <v>108.1</v>
      </c>
      <c r="AB435" s="2">
        <v>101.92</v>
      </c>
      <c r="AC435" s="2">
        <v>152.1</v>
      </c>
      <c r="AD435" s="2">
        <v>143.38999999999999</v>
      </c>
      <c r="AE435" s="10">
        <f t="shared" ref="AE435:AE436" si="1191">Y435/12/AC435/AI435</f>
        <v>0.74309866609340236</v>
      </c>
      <c r="AF435" s="10">
        <f t="shared" ref="AF435:AF436" si="1192">Z435/12/AD435/AJ435</f>
        <v>0.6901729134643938</v>
      </c>
      <c r="AG435" s="14">
        <f>Y435/24/30/10</f>
        <v>0.18554987917685734</v>
      </c>
      <c r="AH435" s="14">
        <f>Z435/24/30/10</f>
        <v>0.15943083333333335</v>
      </c>
      <c r="AI435" s="11">
        <v>0.98499999999999999</v>
      </c>
      <c r="AJ435" s="82">
        <v>0.96660000000000001</v>
      </c>
      <c r="AK435" s="10">
        <v>0.99</v>
      </c>
      <c r="AL435" s="17">
        <v>0.99629999999999996</v>
      </c>
      <c r="AM435" s="1"/>
      <c r="AN435" s="81">
        <f t="shared" si="1165"/>
        <v>-0.14076563110358353</v>
      </c>
      <c r="AO435" s="10">
        <f t="shared" si="1168"/>
        <v>-5.7264957264957284E-2</v>
      </c>
      <c r="AP435" s="10">
        <f t="shared" si="1169"/>
        <v>-1.8399999999999972E-2</v>
      </c>
      <c r="AQ435" s="10">
        <f t="shared" si="1170"/>
        <v>6.2999999999999723E-3</v>
      </c>
      <c r="AR435" s="23"/>
    </row>
    <row r="436" spans="2:88" ht="15" customHeight="1" thickBot="1">
      <c r="B436" s="5">
        <v>44196</v>
      </c>
      <c r="C436" s="114">
        <v>1119.2050112991601</v>
      </c>
      <c r="D436" s="33">
        <f>993006/1000</f>
        <v>993.00599999999997</v>
      </c>
      <c r="E436" s="2">
        <v>89.9</v>
      </c>
      <c r="F436" s="33">
        <v>83.85</v>
      </c>
      <c r="G436" s="2">
        <v>129.6</v>
      </c>
      <c r="H436" s="33">
        <v>119.27</v>
      </c>
      <c r="I436" s="10">
        <f>C436/12/G436/M436</f>
        <v>0.73061261730690308</v>
      </c>
      <c r="J436" s="10">
        <f t="shared" si="1188"/>
        <v>0.69743482744799667</v>
      </c>
      <c r="K436" s="41">
        <f>C436/24/31/10</f>
        <v>0.15043078108859681</v>
      </c>
      <c r="L436" s="41">
        <f>D436/24/31/10</f>
        <v>0.13346854838709679</v>
      </c>
      <c r="M436" s="19">
        <v>0.98499999999999999</v>
      </c>
      <c r="N436" s="34">
        <v>0.99480000000000002</v>
      </c>
      <c r="O436" s="19">
        <v>0.99</v>
      </c>
      <c r="P436" s="35">
        <v>0.99780000000000002</v>
      </c>
      <c r="Q436" s="83"/>
      <c r="R436" s="81">
        <f t="shared" si="1190"/>
        <v>-0.11275772537211015</v>
      </c>
      <c r="S436" s="10">
        <f t="shared" si="1187"/>
        <v>-7.9706790123456828E-2</v>
      </c>
      <c r="T436" s="10">
        <f t="shared" si="1180"/>
        <v>9.8000000000000309E-3</v>
      </c>
      <c r="U436" s="10">
        <f t="shared" si="1181"/>
        <v>7.8000000000000291E-3</v>
      </c>
      <c r="V436" s="23"/>
      <c r="W436" s="83"/>
      <c r="X436" s="5">
        <v>44196</v>
      </c>
      <c r="Y436" s="43">
        <v>1122.5326205103258</v>
      </c>
      <c r="Z436" s="2">
        <f>992136/1000</f>
        <v>992.13599999999997</v>
      </c>
      <c r="AA436" s="2">
        <v>89.9</v>
      </c>
      <c r="AB436" s="2">
        <v>82.35</v>
      </c>
      <c r="AC436" s="2">
        <v>129.6</v>
      </c>
      <c r="AD436" s="2">
        <v>118.73</v>
      </c>
      <c r="AE436" s="10">
        <f t="shared" si="1191"/>
        <v>0.7327848674760854</v>
      </c>
      <c r="AF436" s="10">
        <f t="shared" si="1192"/>
        <v>0.70232281390896134</v>
      </c>
      <c r="AG436" s="14">
        <f>Y436/24/31/10</f>
        <v>0.15087804039117284</v>
      </c>
      <c r="AH436" s="14">
        <f>Z436/24/31/10</f>
        <v>0.13335161290322578</v>
      </c>
      <c r="AI436" s="11">
        <v>0.98499999999999999</v>
      </c>
      <c r="AJ436" s="82">
        <v>0.99150000000000005</v>
      </c>
      <c r="AK436" s="10">
        <v>0.99</v>
      </c>
      <c r="AL436" s="17">
        <v>0.99790000000000001</v>
      </c>
      <c r="AM436" s="1"/>
      <c r="AN436" s="81">
        <f t="shared" si="1165"/>
        <v>-0.11616287859059715</v>
      </c>
      <c r="AO436" s="10">
        <f t="shared" si="1168"/>
        <v>-8.3873456790123369E-2</v>
      </c>
      <c r="AP436" s="10">
        <f t="shared" si="1169"/>
        <v>6.5000000000000613E-3</v>
      </c>
      <c r="AQ436" s="10">
        <f t="shared" si="1170"/>
        <v>7.9000000000000181E-3</v>
      </c>
      <c r="AR436" s="23"/>
    </row>
    <row r="437" spans="2:88" ht="15" customHeight="1" thickBot="1">
      <c r="B437" s="5">
        <v>44227</v>
      </c>
      <c r="C437" s="114">
        <v>948.21480170149039</v>
      </c>
      <c r="D437" s="33">
        <v>774.13800000000003</v>
      </c>
      <c r="E437" s="2">
        <v>79.599999999999994</v>
      </c>
      <c r="F437" s="33">
        <v>71.559999999999988</v>
      </c>
      <c r="G437" s="2">
        <v>103.2</v>
      </c>
      <c r="H437" s="33">
        <v>93.47999999999999</v>
      </c>
      <c r="I437" s="10">
        <f>C437/12/G437/M437</f>
        <v>0.77733738777191652</v>
      </c>
      <c r="J437" s="10">
        <f t="shared" si="1188"/>
        <v>0.70599507314227805</v>
      </c>
      <c r="K437" s="41">
        <f>C437/24/31/10</f>
        <v>0.12744822603514655</v>
      </c>
      <c r="L437" s="41">
        <f>D437/24/31/10</f>
        <v>0.10405080645161291</v>
      </c>
      <c r="M437" s="19">
        <v>0.98499999999999999</v>
      </c>
      <c r="N437" s="34">
        <v>0.97750000000000004</v>
      </c>
      <c r="O437" s="19">
        <v>0.99</v>
      </c>
      <c r="P437" s="35">
        <v>1</v>
      </c>
      <c r="Q437" s="83"/>
      <c r="R437" s="81">
        <f t="shared" ref="R437" si="1193">D437/C437-1</f>
        <v>-0.18358372110319776</v>
      </c>
      <c r="S437" s="10">
        <f t="shared" ref="S437" si="1194">H437/G437-1</f>
        <v>-9.4186046511627985E-2</v>
      </c>
      <c r="T437" s="10">
        <f t="shared" ref="T437" si="1195">N437-M437</f>
        <v>-7.4999999999999512E-3</v>
      </c>
      <c r="U437" s="10">
        <f t="shared" ref="U437" si="1196">P437-O437</f>
        <v>1.0000000000000009E-2</v>
      </c>
      <c r="V437" s="23"/>
      <c r="W437" s="83"/>
      <c r="X437" s="5">
        <v>44227</v>
      </c>
      <c r="Y437" s="43">
        <v>944.32148502518123</v>
      </c>
      <c r="Z437" s="2">
        <v>786.84</v>
      </c>
      <c r="AA437" s="2">
        <v>79.599999999999994</v>
      </c>
      <c r="AB437" s="2">
        <v>70.179999999999993</v>
      </c>
      <c r="AC437" s="2">
        <v>103.2</v>
      </c>
      <c r="AD437" s="2">
        <v>90.98</v>
      </c>
      <c r="AE437" s="10">
        <f t="shared" ref="AE437:AE438" si="1197">Y437/12/AC437/AI437</f>
        <v>0.7741456841521247</v>
      </c>
      <c r="AF437" s="10">
        <f t="shared" ref="AF437:AF438" si="1198">Z437/12/AD437/AJ437</f>
        <v>0.72717974763258475</v>
      </c>
      <c r="AG437" s="14">
        <f>Y437/24/31/10</f>
        <v>0.12692493078295447</v>
      </c>
      <c r="AH437" s="14">
        <f>Z437/24/31/10</f>
        <v>0.10575806451612904</v>
      </c>
      <c r="AI437" s="11">
        <v>0.98499999999999999</v>
      </c>
      <c r="AJ437" s="82">
        <v>0.99109999999999998</v>
      </c>
      <c r="AK437" s="10">
        <v>0.99</v>
      </c>
      <c r="AL437" s="17">
        <v>1</v>
      </c>
      <c r="AM437" s="1"/>
      <c r="AN437" s="81">
        <f t="shared" si="1165"/>
        <v>-0.16676681355077061</v>
      </c>
      <c r="AO437" s="10">
        <f t="shared" si="1168"/>
        <v>-0.11841085271317831</v>
      </c>
      <c r="AP437" s="10">
        <f t="shared" si="1169"/>
        <v>6.0999999999999943E-3</v>
      </c>
      <c r="AQ437" s="10">
        <f t="shared" si="1170"/>
        <v>1.0000000000000009E-2</v>
      </c>
      <c r="AR437" s="23"/>
    </row>
    <row r="438" spans="2:88" ht="15" customHeight="1" thickBot="1">
      <c r="B438" s="5">
        <v>44255</v>
      </c>
      <c r="C438" s="114">
        <v>1241.0438497416017</v>
      </c>
      <c r="D438" s="33">
        <v>1101.6780000000001</v>
      </c>
      <c r="E438" s="2">
        <v>108.1</v>
      </c>
      <c r="F438" s="33">
        <v>106.51</v>
      </c>
      <c r="G438" s="2">
        <v>137.5</v>
      </c>
      <c r="H438" s="33">
        <v>140.61000000000004</v>
      </c>
      <c r="I438" s="10">
        <f>C438/12/G438/M438</f>
        <v>0.76360181494637847</v>
      </c>
      <c r="J438" s="10">
        <f t="shared" si="1188"/>
        <v>0.73028718574218843</v>
      </c>
      <c r="K438" s="14">
        <f>C438/24/28/10</f>
        <v>0.18467914430678595</v>
      </c>
      <c r="L438" s="14">
        <f>D438/24/28/10</f>
        <v>0.16394017857142859</v>
      </c>
      <c r="M438" s="19">
        <v>0.98499999999999999</v>
      </c>
      <c r="N438" s="11">
        <v>0.89405357142857156</v>
      </c>
      <c r="O438" s="19">
        <v>0.99</v>
      </c>
      <c r="P438" s="35">
        <v>1</v>
      </c>
      <c r="Q438" s="83"/>
      <c r="R438" s="81">
        <f t="shared" ref="R438" si="1199">D438/C438-1</f>
        <v>-0.11229728085000301</v>
      </c>
      <c r="S438" s="10">
        <f t="shared" ref="S438" si="1200">H438/G438-1</f>
        <v>2.2618181818182093E-2</v>
      </c>
      <c r="T438" s="10">
        <f t="shared" ref="T438" si="1201">N438-M438</f>
        <v>-9.0946428571428428E-2</v>
      </c>
      <c r="U438" s="10">
        <f t="shared" ref="U438" si="1202">P438-O438</f>
        <v>1.0000000000000009E-2</v>
      </c>
      <c r="V438" s="23"/>
      <c r="W438" s="83"/>
      <c r="X438" s="5">
        <v>44255</v>
      </c>
      <c r="Y438" s="43">
        <v>1239.8172989995678</v>
      </c>
      <c r="Z438" s="2">
        <v>1097.67</v>
      </c>
      <c r="AA438" s="2">
        <v>108.1</v>
      </c>
      <c r="AB438" s="2">
        <v>105.23</v>
      </c>
      <c r="AC438" s="2">
        <v>137.5</v>
      </c>
      <c r="AD438" s="2">
        <v>139.1</v>
      </c>
      <c r="AE438" s="10">
        <f t="shared" si="1197"/>
        <v>0.76284713059502718</v>
      </c>
      <c r="AF438" s="10">
        <f t="shared" si="1198"/>
        <v>0.75241476644333027</v>
      </c>
      <c r="AG438" s="14">
        <f>Y438/24/28/10</f>
        <v>0.18449662187493571</v>
      </c>
      <c r="AH438" s="14">
        <f>Z438/24/28/10</f>
        <v>0.16334375000000001</v>
      </c>
      <c r="AI438" s="11">
        <v>0.98499999999999999</v>
      </c>
      <c r="AJ438" s="82">
        <v>0.8739892857142858</v>
      </c>
      <c r="AK438" s="10">
        <v>0.99</v>
      </c>
      <c r="AL438" s="17">
        <v>1</v>
      </c>
      <c r="AM438" s="1"/>
      <c r="AN438" s="81">
        <f t="shared" si="1165"/>
        <v>-0.1146518112904773</v>
      </c>
      <c r="AO438" s="10">
        <f t="shared" si="1168"/>
        <v>1.1636363636363667E-2</v>
      </c>
      <c r="AP438" s="10">
        <f t="shared" si="1169"/>
        <v>-0.11101071428571418</v>
      </c>
      <c r="AQ438" s="10">
        <f t="shared" si="1170"/>
        <v>1.0000000000000009E-2</v>
      </c>
      <c r="AR438" s="23"/>
    </row>
    <row r="439" spans="2:88" ht="15" customHeight="1" thickBot="1">
      <c r="B439" s="5">
        <v>44286</v>
      </c>
      <c r="C439" s="114">
        <v>1661.3077612806503</v>
      </c>
      <c r="D439" s="33">
        <v>1498.6320000000001</v>
      </c>
      <c r="E439" s="4">
        <v>161.4</v>
      </c>
      <c r="F439" s="33">
        <v>155.31</v>
      </c>
      <c r="G439" s="4">
        <v>187.8</v>
      </c>
      <c r="H439" s="33">
        <v>180.7</v>
      </c>
      <c r="I439" s="10">
        <f>C439/12/G439/M439</f>
        <v>0.74840560181235138</v>
      </c>
      <c r="J439" s="10">
        <f t="shared" si="1188"/>
        <v>0.69493884741124512</v>
      </c>
      <c r="K439" s="14">
        <f>C439/24/31/10</f>
        <v>0.22329405393557128</v>
      </c>
      <c r="L439" s="14">
        <f>D439/24/31/10</f>
        <v>0.20142903225806452</v>
      </c>
      <c r="M439" s="19">
        <v>0.98499999999999999</v>
      </c>
      <c r="N439" s="19">
        <v>0.99450967741935492</v>
      </c>
      <c r="O439" s="19">
        <v>0.99</v>
      </c>
      <c r="P439" s="35">
        <v>1</v>
      </c>
      <c r="Q439" s="83"/>
      <c r="R439" s="81">
        <f t="shared" ref="R439:R450" si="1203">D439/C439-1</f>
        <v>-9.7920304155594051E-2</v>
      </c>
      <c r="S439" s="10">
        <f t="shared" ref="S439:S450" si="1204">H439/G439-1</f>
        <v>-3.7806176783812706E-2</v>
      </c>
      <c r="T439" s="10">
        <f t="shared" ref="T439:T450" si="1205">N439-M439</f>
        <v>9.5096774193549338E-3</v>
      </c>
      <c r="U439" s="10">
        <f t="shared" ref="U439:U450" si="1206">P439-O439</f>
        <v>1.0000000000000009E-2</v>
      </c>
      <c r="V439" s="23"/>
      <c r="W439" s="83"/>
      <c r="X439" s="5">
        <v>44286</v>
      </c>
      <c r="Y439" s="43">
        <v>1662.7287391830941</v>
      </c>
      <c r="Z439" s="2">
        <v>1511.85</v>
      </c>
      <c r="AA439" s="2">
        <v>161.4</v>
      </c>
      <c r="AB439" s="2">
        <v>152.74999999999997</v>
      </c>
      <c r="AC439" s="2">
        <v>187.8</v>
      </c>
      <c r="AD439" s="2">
        <v>177.18000000000004</v>
      </c>
      <c r="AE439" s="10">
        <f t="shared" ref="AE439:AE450" si="1207">Y439/12/AC439/AI439</f>
        <v>0.74904574077216735</v>
      </c>
      <c r="AF439" s="10">
        <f t="shared" ref="AF439:AF440" si="1208">Z439/12/AD439/AJ439</f>
        <v>0.72919226654315883</v>
      </c>
      <c r="AG439" s="14">
        <f>Y439/24/31/10</f>
        <v>0.22348504558912557</v>
      </c>
      <c r="AH439" s="14">
        <f>Z439/24/31/10</f>
        <v>0.20320564516129033</v>
      </c>
      <c r="AI439" s="11">
        <v>0.98499999999999999</v>
      </c>
      <c r="AJ439" s="82">
        <v>0.97514838709677432</v>
      </c>
      <c r="AK439" s="10">
        <v>0.99</v>
      </c>
      <c r="AL439" s="17">
        <v>1</v>
      </c>
      <c r="AM439" s="1"/>
      <c r="AN439" s="81">
        <f t="shared" si="1165"/>
        <v>-9.0741643917949921E-2</v>
      </c>
      <c r="AO439" s="10">
        <f t="shared" si="1168"/>
        <v>-5.6549520766772998E-2</v>
      </c>
      <c r="AP439" s="10">
        <f t="shared" si="1169"/>
        <v>-9.8516129032256705E-3</v>
      </c>
      <c r="AQ439" s="10">
        <f t="shared" si="1170"/>
        <v>1.0000000000000009E-2</v>
      </c>
      <c r="AR439" s="23"/>
    </row>
    <row r="440" spans="2:88" s="89" customFormat="1" ht="14.65" customHeight="1">
      <c r="B440" s="25">
        <v>44316</v>
      </c>
      <c r="C440" s="115">
        <v>1719.1505362021539</v>
      </c>
      <c r="D440" s="26">
        <v>1507.548</v>
      </c>
      <c r="E440" s="26">
        <v>190.2</v>
      </c>
      <c r="F440" s="26">
        <v>179.77000000000004</v>
      </c>
      <c r="G440" s="26">
        <v>194</v>
      </c>
      <c r="H440" s="26">
        <v>185.49999999999997</v>
      </c>
      <c r="I440" s="29">
        <f t="shared" ref="I440:I447" si="1209">C440/12/G440/M440</f>
        <v>0.74971241134288991</v>
      </c>
      <c r="J440" s="29">
        <f t="shared" si="1188"/>
        <v>0.68829034704696546</v>
      </c>
      <c r="K440" s="45">
        <f>C440/24/30/10</f>
        <v>0.23877090780585472</v>
      </c>
      <c r="L440" s="45">
        <f>D440/24/30/10</f>
        <v>0.20938166666666666</v>
      </c>
      <c r="M440" s="28">
        <v>0.98499999999999999</v>
      </c>
      <c r="N440" s="85">
        <v>0.98395290000000002</v>
      </c>
      <c r="O440" s="29">
        <v>0.99</v>
      </c>
      <c r="P440" s="30">
        <v>0.98850000000000005</v>
      </c>
      <c r="Q440" s="86"/>
      <c r="R440" s="87">
        <f t="shared" si="1203"/>
        <v>-0.12308551912481946</v>
      </c>
      <c r="S440" s="29">
        <f t="shared" si="1204"/>
        <v>-4.3814432989690899E-2</v>
      </c>
      <c r="T440" s="29">
        <f t="shared" si="1205"/>
        <v>-1.0470999999999675E-3</v>
      </c>
      <c r="U440" s="29">
        <f t="shared" si="1206"/>
        <v>-1.4999999999999458E-3</v>
      </c>
      <c r="V440" s="32">
        <v>-2.05156103751877E-2</v>
      </c>
      <c r="W440" s="86"/>
      <c r="X440" s="25">
        <v>44316</v>
      </c>
      <c r="Y440" s="44">
        <v>1719.6591253616455</v>
      </c>
      <c r="Z440" s="26">
        <v>1544.34</v>
      </c>
      <c r="AA440" s="26">
        <v>190.2</v>
      </c>
      <c r="AB440" s="26">
        <v>180.36999999999998</v>
      </c>
      <c r="AC440" s="26">
        <v>194</v>
      </c>
      <c r="AD440" s="26">
        <v>183.48999999999998</v>
      </c>
      <c r="AE440" s="29">
        <f t="shared" si="1207"/>
        <v>0.74993420437213076</v>
      </c>
      <c r="AF440" s="29">
        <f t="shared" si="1208"/>
        <v>0.7228979175852277</v>
      </c>
      <c r="AG440" s="27">
        <f>Y440/24/30/10</f>
        <v>0.23884154518911743</v>
      </c>
      <c r="AH440" s="27">
        <f>Z440/24/30/10</f>
        <v>0.21449166666666666</v>
      </c>
      <c r="AI440" s="28">
        <v>0.98499999999999999</v>
      </c>
      <c r="AJ440" s="85">
        <v>0.97022464000000008</v>
      </c>
      <c r="AK440" s="29">
        <v>0.99</v>
      </c>
      <c r="AL440" s="30">
        <v>0.98560000000000003</v>
      </c>
      <c r="AM440" s="1"/>
      <c r="AN440" s="87">
        <f t="shared" si="1165"/>
        <v>-0.10194992878299403</v>
      </c>
      <c r="AO440" s="29">
        <f t="shared" si="1168"/>
        <v>-5.4175257731958859E-2</v>
      </c>
      <c r="AP440" s="29">
        <f t="shared" si="1169"/>
        <v>-1.4775359999999904E-2</v>
      </c>
      <c r="AQ440" s="29">
        <f t="shared" si="1170"/>
        <v>-4.3999999999999595E-3</v>
      </c>
      <c r="AR440" s="32">
        <v>-2.4238969287494701E-2</v>
      </c>
      <c r="BN440" s="95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</row>
    <row r="441" spans="2:88" ht="14.65" customHeight="1">
      <c r="B441" s="5">
        <v>44347</v>
      </c>
      <c r="C441" s="114">
        <v>1741.7453701558663</v>
      </c>
      <c r="D441" s="69">
        <v>1482.6479999999999</v>
      </c>
      <c r="E441" s="70">
        <v>197</v>
      </c>
      <c r="F441" s="69">
        <v>179.44</v>
      </c>
      <c r="G441" s="70">
        <v>197.7</v>
      </c>
      <c r="H441" s="69">
        <v>180.14000000000001</v>
      </c>
      <c r="I441" s="10">
        <f t="shared" si="1209"/>
        <v>0.74535045157888746</v>
      </c>
      <c r="J441" s="29">
        <f t="shared" si="1188"/>
        <v>0.71587271758283022</v>
      </c>
      <c r="K441" s="41">
        <f>C441/24/31/10</f>
        <v>0.23410556050482073</v>
      </c>
      <c r="L441" s="41">
        <f t="shared" ref="L441" si="1210">D441/24/31/10</f>
        <v>0.19928064516129029</v>
      </c>
      <c r="M441" s="11">
        <v>0.98499999999999999</v>
      </c>
      <c r="N441" s="82">
        <v>0.95809999999999995</v>
      </c>
      <c r="O441" s="10">
        <v>0.99</v>
      </c>
      <c r="P441" s="17">
        <v>1</v>
      </c>
      <c r="Q441" s="83"/>
      <c r="R441" s="81">
        <f t="shared" si="1203"/>
        <v>-0.14875731814500537</v>
      </c>
      <c r="S441" s="10">
        <f t="shared" si="1204"/>
        <v>-8.8821446636317525E-2</v>
      </c>
      <c r="T441" s="10">
        <f t="shared" si="1205"/>
        <v>-2.6900000000000035E-2</v>
      </c>
      <c r="U441" s="10">
        <f t="shared" si="1206"/>
        <v>1.0000000000000009E-2</v>
      </c>
      <c r="V441" s="23">
        <v>-1.3533203919054E-2</v>
      </c>
      <c r="W441" s="83"/>
      <c r="X441" s="5">
        <v>44347</v>
      </c>
      <c r="Y441" s="43">
        <v>1742.2505484483725</v>
      </c>
      <c r="Z441" s="2">
        <v>1471.3920000000001</v>
      </c>
      <c r="AA441" s="2">
        <v>197</v>
      </c>
      <c r="AB441" s="2">
        <v>177.45000000000007</v>
      </c>
      <c r="AC441" s="2">
        <v>197.7</v>
      </c>
      <c r="AD441" s="2">
        <v>177.23</v>
      </c>
      <c r="AE441" s="10">
        <f t="shared" si="1207"/>
        <v>0.74556663407886659</v>
      </c>
      <c r="AF441" s="10">
        <f>Z441/12/AD441/AJ441</f>
        <v>0.72818308894546557</v>
      </c>
      <c r="AG441" s="14">
        <f t="shared" ref="AG441" si="1211">Y441/24/31/10</f>
        <v>0.23417346081295326</v>
      </c>
      <c r="AH441" s="14">
        <f t="shared" ref="AH441" si="1212">Z441/24/31/10</f>
        <v>0.19776774193548388</v>
      </c>
      <c r="AI441" s="11">
        <v>0.98499999999999999</v>
      </c>
      <c r="AJ441" s="82">
        <v>0.95009999999999994</v>
      </c>
      <c r="AK441" s="10">
        <v>0.99</v>
      </c>
      <c r="AL441" s="17">
        <v>1</v>
      </c>
      <c r="AM441" s="1"/>
      <c r="AN441" s="81">
        <f t="shared" si="1165"/>
        <v>-0.15546475143290717</v>
      </c>
      <c r="AO441" s="10">
        <f t="shared" si="1168"/>
        <v>-0.10354071825998989</v>
      </c>
      <c r="AP441" s="10">
        <f t="shared" si="1169"/>
        <v>-3.4900000000000042E-2</v>
      </c>
      <c r="AQ441" s="10">
        <f t="shared" si="1170"/>
        <v>1.0000000000000009E-2</v>
      </c>
      <c r="AR441" s="23">
        <v>-1.6306045439805301E-2</v>
      </c>
      <c r="BN441" s="95"/>
    </row>
    <row r="442" spans="2:88" ht="14.65" customHeight="1">
      <c r="B442" s="5">
        <v>44377</v>
      </c>
      <c r="C442" s="114">
        <v>1566.4094586750589</v>
      </c>
      <c r="D442" s="2">
        <v>1551.414</v>
      </c>
      <c r="E442" s="2">
        <v>178.9</v>
      </c>
      <c r="F442" s="2">
        <v>182.26999999999998</v>
      </c>
      <c r="G442" s="2">
        <v>177.2</v>
      </c>
      <c r="H442" s="2">
        <v>180.01999999999998</v>
      </c>
      <c r="I442" s="10">
        <f t="shared" si="1209"/>
        <v>0.74786653960797356</v>
      </c>
      <c r="J442" s="10">
        <f t="shared" si="1188"/>
        <v>0.72755285770598044</v>
      </c>
      <c r="K442" s="41">
        <f>C442/24/30/10</f>
        <v>0.21755686926042489</v>
      </c>
      <c r="L442" s="41">
        <f>D442/24/30/10</f>
        <v>0.21547416666666669</v>
      </c>
      <c r="M442" s="11">
        <v>0.98499999999999999</v>
      </c>
      <c r="N442" s="82">
        <v>0.98709999999999998</v>
      </c>
      <c r="O442" s="10">
        <v>0.99</v>
      </c>
      <c r="P442" s="17">
        <v>1</v>
      </c>
      <c r="Q442" s="83"/>
      <c r="R442" s="81">
        <f t="shared" si="1203"/>
        <v>-9.5731410404931161E-3</v>
      </c>
      <c r="S442" s="10">
        <f t="shared" si="1204"/>
        <v>1.5914221218961577E-2</v>
      </c>
      <c r="T442" s="10">
        <f t="shared" si="1205"/>
        <v>2.0999999999999908E-3</v>
      </c>
      <c r="U442" s="10">
        <f t="shared" si="1206"/>
        <v>1.0000000000000009E-2</v>
      </c>
      <c r="V442" s="23">
        <v>-1.7999999999999999E-2</v>
      </c>
      <c r="W442" s="83"/>
      <c r="X442" s="5">
        <v>44377</v>
      </c>
      <c r="Y442" s="43">
        <v>1564.230134524965</v>
      </c>
      <c r="Z442" s="2">
        <v>1603.41</v>
      </c>
      <c r="AA442" s="2">
        <v>178.9</v>
      </c>
      <c r="AB442" s="2">
        <v>183.81</v>
      </c>
      <c r="AC442" s="2">
        <v>177.2</v>
      </c>
      <c r="AD442" s="2">
        <v>180.86</v>
      </c>
      <c r="AE442" s="10">
        <f t="shared" si="1207"/>
        <v>0.74682604307509803</v>
      </c>
      <c r="AF442" s="10">
        <f>Z442/12/AD442/AJ442</f>
        <v>0.74354838120890654</v>
      </c>
      <c r="AG442" s="14">
        <f>Y442/24/30/10</f>
        <v>0.21725418535068958</v>
      </c>
      <c r="AH442" s="14">
        <f>Z442/24/30/10</f>
        <v>0.22269583333333337</v>
      </c>
      <c r="AI442" s="11">
        <v>0.98499999999999999</v>
      </c>
      <c r="AJ442" s="82">
        <v>0.99360000000000004</v>
      </c>
      <c r="AK442" s="10">
        <v>0.99</v>
      </c>
      <c r="AL442" s="17">
        <v>1</v>
      </c>
      <c r="AM442" s="1"/>
      <c r="AN442" s="81">
        <f t="shared" si="1165"/>
        <v>2.504737928919476E-2</v>
      </c>
      <c r="AO442" s="10">
        <f t="shared" si="1168"/>
        <v>2.0654627539503423E-2</v>
      </c>
      <c r="AP442" s="10">
        <f t="shared" si="1169"/>
        <v>8.600000000000052E-3</v>
      </c>
      <c r="AQ442" s="10">
        <f t="shared" si="1170"/>
        <v>1.0000000000000009E-2</v>
      </c>
      <c r="AR442" s="23">
        <v>-1.95E-2</v>
      </c>
    </row>
    <row r="443" spans="2:88" ht="14.65" customHeight="1">
      <c r="B443" s="5">
        <v>44408</v>
      </c>
      <c r="C443" s="114">
        <v>1389.2659604779546</v>
      </c>
      <c r="D443" s="2">
        <f>1248018/1000</f>
        <v>1248.018</v>
      </c>
      <c r="E443" s="2">
        <v>155.5</v>
      </c>
      <c r="F443" s="2">
        <v>145.87000000000003</v>
      </c>
      <c r="G443" s="2">
        <v>154.6</v>
      </c>
      <c r="H443" s="2">
        <v>145.22999999999999</v>
      </c>
      <c r="I443" s="10">
        <f t="shared" si="1209"/>
        <v>0.76025350091713928</v>
      </c>
      <c r="J443" s="10">
        <f>D443/12/H443/N443</f>
        <v>0.73150816388172413</v>
      </c>
      <c r="K443" s="41">
        <f>C443/24/31/10</f>
        <v>0.18672929576316594</v>
      </c>
      <c r="L443" s="41">
        <f>D443/24/31/10</f>
        <v>0.1677443548387097</v>
      </c>
      <c r="M443" s="11">
        <v>0.98499999999999999</v>
      </c>
      <c r="N443" s="82">
        <v>0.9789580645161291</v>
      </c>
      <c r="O443" s="10">
        <v>0.99</v>
      </c>
      <c r="P443" s="17">
        <v>1</v>
      </c>
      <c r="Q443" s="83"/>
      <c r="R443" s="81">
        <f t="shared" si="1203"/>
        <v>-0.10167092874668904</v>
      </c>
      <c r="S443" s="10">
        <f t="shared" si="1204"/>
        <v>-6.0608020698576959E-2</v>
      </c>
      <c r="T443" s="10">
        <f t="shared" si="1205"/>
        <v>-6.0419354838708861E-3</v>
      </c>
      <c r="U443" s="10">
        <f t="shared" si="1206"/>
        <v>1.0000000000000009E-2</v>
      </c>
      <c r="V443" s="23">
        <v>-8.8000000000000005E-3</v>
      </c>
      <c r="W443" s="83"/>
      <c r="X443" s="5">
        <v>44408</v>
      </c>
      <c r="Y443" s="43">
        <v>1384.4024067546195</v>
      </c>
      <c r="Z443" s="2">
        <v>1266.384</v>
      </c>
      <c r="AA443" s="2">
        <v>155.5</v>
      </c>
      <c r="AB443" s="2">
        <v>145.43</v>
      </c>
      <c r="AC443" s="2">
        <v>154.6</v>
      </c>
      <c r="AD443" s="2">
        <v>143.36000000000001</v>
      </c>
      <c r="AE443" s="10">
        <f t="shared" si="1207"/>
        <v>0.75759199919590525</v>
      </c>
      <c r="AF443" s="10">
        <f>Z443/12/AD443/AJ443</f>
        <v>0.79180706611312146</v>
      </c>
      <c r="AG443" s="14">
        <f>Y443/24/31/10</f>
        <v>0.18607559230572843</v>
      </c>
      <c r="AH443" s="14">
        <f>Z443/24/31/10</f>
        <v>0.17021290322580646</v>
      </c>
      <c r="AI443" s="11">
        <v>0.98499999999999999</v>
      </c>
      <c r="AJ443" s="82">
        <v>0.9296870967741937</v>
      </c>
      <c r="AK443" s="10">
        <v>0.99</v>
      </c>
      <c r="AL443" s="17">
        <v>1</v>
      </c>
      <c r="AM443" s="1"/>
      <c r="AN443" s="81">
        <f t="shared" si="1165"/>
        <v>-8.524862870708505E-2</v>
      </c>
      <c r="AO443" s="10">
        <f t="shared" si="1168"/>
        <v>-7.2703751617076207E-2</v>
      </c>
      <c r="AP443" s="10">
        <f t="shared" si="1169"/>
        <v>-5.5312903225806287E-2</v>
      </c>
      <c r="AQ443" s="10">
        <f t="shared" si="1170"/>
        <v>1.0000000000000009E-2</v>
      </c>
      <c r="AR443" s="23">
        <v>-8.3000000000000001E-3</v>
      </c>
    </row>
    <row r="444" spans="2:88" ht="14.65" customHeight="1">
      <c r="B444" s="5">
        <v>44439</v>
      </c>
      <c r="C444" s="114">
        <v>1319.6738719005205</v>
      </c>
      <c r="D444" s="2">
        <v>1252.47</v>
      </c>
      <c r="E444" s="2">
        <v>145.4</v>
      </c>
      <c r="F444" s="2">
        <v>140.78000000000003</v>
      </c>
      <c r="G444" s="2">
        <v>146.30000000000001</v>
      </c>
      <c r="H444" s="2">
        <v>144.21999999999997</v>
      </c>
      <c r="I444" s="10">
        <f t="shared" si="1209"/>
        <v>0.76314105053850612</v>
      </c>
      <c r="J444" s="10">
        <f>D444/12/H444/N444</f>
        <v>0.74070126930264502</v>
      </c>
      <c r="K444" s="41">
        <f>C444/24/31/10</f>
        <v>0.1773755204167366</v>
      </c>
      <c r="L444" s="41">
        <f>D444/24/31/10</f>
        <v>0.16834274193548387</v>
      </c>
      <c r="M444" s="11">
        <v>0.98499999999999999</v>
      </c>
      <c r="N444" s="82">
        <v>0.97705161290322562</v>
      </c>
      <c r="O444" s="10">
        <v>0.99</v>
      </c>
      <c r="P444" s="17">
        <v>1</v>
      </c>
      <c r="Q444" s="83"/>
      <c r="R444" s="81">
        <f t="shared" si="1203"/>
        <v>-5.0924605943540535E-2</v>
      </c>
      <c r="S444" s="10">
        <f t="shared" si="1204"/>
        <v>-1.4217361585782906E-2</v>
      </c>
      <c r="T444" s="10">
        <f t="shared" si="1205"/>
        <v>-7.9483870967743675E-3</v>
      </c>
      <c r="U444" s="10">
        <f t="shared" si="1206"/>
        <v>1.0000000000000009E-2</v>
      </c>
      <c r="V444" s="23">
        <v>-4.5999999999999999E-3</v>
      </c>
      <c r="W444" s="83"/>
      <c r="X444" s="5">
        <v>44439</v>
      </c>
      <c r="Y444" s="43">
        <v>1314.8208236475007</v>
      </c>
      <c r="Z444" s="2">
        <v>1290.018</v>
      </c>
      <c r="AA444" s="2">
        <v>145.4</v>
      </c>
      <c r="AB444" s="2">
        <v>140.93999999999997</v>
      </c>
      <c r="AC444" s="2">
        <v>146.30000000000001</v>
      </c>
      <c r="AD444" s="2">
        <v>141.97200000000001</v>
      </c>
      <c r="AE444" s="10">
        <f t="shared" si="1207"/>
        <v>0.76033462963332454</v>
      </c>
      <c r="AF444" s="10">
        <f>Z444/12/AD444/AJ444</f>
        <v>0.76831620238819676</v>
      </c>
      <c r="AG444" s="14">
        <f>Y444/24/31/10</f>
        <v>0.17672322898487913</v>
      </c>
      <c r="AH444" s="14">
        <f>Z444/24/31/10</f>
        <v>0.17338951612903225</v>
      </c>
      <c r="AI444" s="11">
        <v>0.98499999999999999</v>
      </c>
      <c r="AJ444" s="82">
        <v>0.98553450000000009</v>
      </c>
      <c r="AK444" s="10">
        <v>0.99</v>
      </c>
      <c r="AL444" s="17">
        <v>0.997</v>
      </c>
      <c r="AM444" s="1"/>
      <c r="AN444" s="81">
        <f t="shared" si="1165"/>
        <v>-1.8864033183391582E-2</v>
      </c>
      <c r="AO444" s="10">
        <f t="shared" si="1168"/>
        <v>-2.9583048530416933E-2</v>
      </c>
      <c r="AP444" s="10">
        <f t="shared" si="1169"/>
        <v>5.3450000000010434E-4</v>
      </c>
      <c r="AQ444" s="10">
        <f t="shared" si="1170"/>
        <v>7.0000000000000062E-3</v>
      </c>
      <c r="AR444" s="23">
        <v>-8.0999999999999996E-3</v>
      </c>
    </row>
    <row r="445" spans="2:88" ht="14.65" customHeight="1">
      <c r="B445" s="5">
        <v>44469</v>
      </c>
      <c r="C445" s="114">
        <v>1313.3473183934811</v>
      </c>
      <c r="D445" s="2">
        <v>1200.2819999999999</v>
      </c>
      <c r="E445" s="2">
        <v>141.6</v>
      </c>
      <c r="F445" s="2">
        <f>F316</f>
        <v>129.68999999999997</v>
      </c>
      <c r="G445" s="2">
        <v>145.5</v>
      </c>
      <c r="H445" s="2">
        <f>H316</f>
        <v>140.90999999999997</v>
      </c>
      <c r="I445" s="10">
        <f t="shared" si="1209"/>
        <v>0.76365837993352825</v>
      </c>
      <c r="J445" s="10">
        <f t="shared" ref="J445:J450" si="1213">D445/12/H445/N445</f>
        <v>0.71859042206277945</v>
      </c>
      <c r="K445" s="41">
        <f>C445/24/30/10</f>
        <v>0.1824093497768724</v>
      </c>
      <c r="L445" s="41">
        <f>D445/24/30/10</f>
        <v>0.16670583333333333</v>
      </c>
      <c r="M445" s="11">
        <v>0.98499999999999999</v>
      </c>
      <c r="N445" s="82">
        <v>0.98782225888888886</v>
      </c>
      <c r="O445" s="10">
        <v>0.99</v>
      </c>
      <c r="P445" s="17">
        <f>P316</f>
        <v>0.99776666666666669</v>
      </c>
      <c r="Q445" s="83"/>
      <c r="R445" s="81">
        <f t="shared" si="1203"/>
        <v>-8.6089427229185223E-2</v>
      </c>
      <c r="S445" s="10">
        <f t="shared" si="1204"/>
        <v>-3.1546391752577563E-2</v>
      </c>
      <c r="T445" s="10">
        <f t="shared" si="1205"/>
        <v>2.8222588888888733E-3</v>
      </c>
      <c r="U445" s="10">
        <f t="shared" si="1206"/>
        <v>7.7666666666666995E-3</v>
      </c>
      <c r="V445" s="23">
        <v>-3.8E-3</v>
      </c>
      <c r="W445" s="83"/>
      <c r="X445" s="5">
        <v>44469</v>
      </c>
      <c r="Y445" s="43">
        <v>1310.3025390301557</v>
      </c>
      <c r="Z445" s="2">
        <v>1217.454</v>
      </c>
      <c r="AA445" s="2">
        <v>141.6</v>
      </c>
      <c r="AB445" s="2">
        <v>129.89999999999998</v>
      </c>
      <c r="AC445" s="2">
        <v>145.5</v>
      </c>
      <c r="AD445" s="2">
        <v>139.48999999999998</v>
      </c>
      <c r="AE445" s="10">
        <f t="shared" si="1207"/>
        <v>0.76188796380423174</v>
      </c>
      <c r="AF445" s="10">
        <f t="shared" ref="AF445:AF452" si="1214">Z445/12/AD445/AJ445</f>
        <v>0.73665088076062246</v>
      </c>
      <c r="AG445" s="14">
        <f>Y445/24/30/10</f>
        <v>0.18198646375418831</v>
      </c>
      <c r="AH445" s="14">
        <f>Z445/24/30/10</f>
        <v>0.16909083333333333</v>
      </c>
      <c r="AI445" s="11">
        <v>0.98499999999999999</v>
      </c>
      <c r="AJ445" s="82">
        <v>0.98733953679999997</v>
      </c>
      <c r="AK445" s="10">
        <v>0.99</v>
      </c>
      <c r="AL445" s="17">
        <v>0.9988866666666667</v>
      </c>
      <c r="AM445" s="1"/>
      <c r="AN445" s="81">
        <f t="shared" si="1165"/>
        <v>-7.0860382441813252E-2</v>
      </c>
      <c r="AO445" s="10">
        <f t="shared" si="1168"/>
        <v>-4.130584192439879E-2</v>
      </c>
      <c r="AP445" s="10">
        <f t="shared" si="1169"/>
        <v>2.3395367999999861E-3</v>
      </c>
      <c r="AQ445" s="10">
        <f t="shared" si="1170"/>
        <v>8.8866666666667093E-3</v>
      </c>
      <c r="AR445" s="23">
        <v>-4.1999999999999997E-3</v>
      </c>
    </row>
    <row r="446" spans="2:88" ht="14.65" customHeight="1">
      <c r="B446" s="5">
        <v>44500</v>
      </c>
      <c r="C446" s="114">
        <v>1502.2401302465159</v>
      </c>
      <c r="D446" s="2">
        <v>1373.5319999999999</v>
      </c>
      <c r="E446" s="2">
        <v>139.1</v>
      </c>
      <c r="F446" s="2">
        <v>127.41</v>
      </c>
      <c r="G446" s="2">
        <v>172.2</v>
      </c>
      <c r="H446" s="2">
        <v>162.55999999999997</v>
      </c>
      <c r="I446" s="10">
        <f t="shared" si="1209"/>
        <v>0.7380550152434191</v>
      </c>
      <c r="J446" s="10">
        <f t="shared" si="1213"/>
        <v>0.71562721187422373</v>
      </c>
      <c r="K446" s="41">
        <f>C446/24/31/10</f>
        <v>0.20191399600087584</v>
      </c>
      <c r="L446" s="41">
        <f>D446/24/31/10</f>
        <v>0.18461451612903226</v>
      </c>
      <c r="M446" s="11">
        <v>0.98499999999999999</v>
      </c>
      <c r="N446" s="82">
        <v>0.98391368000000001</v>
      </c>
      <c r="O446" s="10">
        <v>0.99</v>
      </c>
      <c r="P446" s="17">
        <v>0.99912580645161286</v>
      </c>
      <c r="Q446" s="83"/>
      <c r="R446" s="81">
        <f t="shared" si="1203"/>
        <v>-8.5677467706441246E-2</v>
      </c>
      <c r="S446" s="10">
        <f t="shared" si="1204"/>
        <v>-5.5981416957026853E-2</v>
      </c>
      <c r="T446" s="10">
        <f t="shared" si="1205"/>
        <v>-1.086319999999974E-3</v>
      </c>
      <c r="U446" s="10">
        <f t="shared" si="1206"/>
        <v>9.1258064516128723E-3</v>
      </c>
      <c r="V446" s="23">
        <v>-2.2200000000000001E-2</v>
      </c>
      <c r="W446" s="83"/>
      <c r="X446" s="5">
        <v>44500</v>
      </c>
      <c r="Y446" s="43">
        <v>1501.877806805599</v>
      </c>
      <c r="Z446" s="2">
        <v>1394.232</v>
      </c>
      <c r="AA446" s="2">
        <v>139.1</v>
      </c>
      <c r="AB446" s="2">
        <v>127.04000000000002</v>
      </c>
      <c r="AC446" s="2">
        <v>172.2</v>
      </c>
      <c r="AD446" s="2">
        <v>159.08000000000004</v>
      </c>
      <c r="AE446" s="10">
        <f t="shared" si="1207"/>
        <v>0.73787700466619854</v>
      </c>
      <c r="AF446" s="10">
        <f t="shared" si="1214"/>
        <v>0.74510243601193471</v>
      </c>
      <c r="AG446" s="14">
        <f>Y446/24/31/10</f>
        <v>0.20186529661365576</v>
      </c>
      <c r="AH446" s="14">
        <f>Z446/24/31/10</f>
        <v>0.18739677419354836</v>
      </c>
      <c r="AI446" s="11">
        <v>0.98499999999999999</v>
      </c>
      <c r="AJ446" s="82">
        <v>0.98021700999999994</v>
      </c>
      <c r="AK446" s="10">
        <v>0.99</v>
      </c>
      <c r="AL446" s="17">
        <v>0.99913548387096773</v>
      </c>
      <c r="AM446" s="1"/>
      <c r="AN446" s="81">
        <f t="shared" si="1165"/>
        <v>-7.1674144406298268E-2</v>
      </c>
      <c r="AO446" s="10">
        <f t="shared" si="1168"/>
        <v>-7.619047619047592E-2</v>
      </c>
      <c r="AP446" s="10">
        <f t="shared" si="1169"/>
        <v>-4.7829900000000425E-3</v>
      </c>
      <c r="AQ446" s="10">
        <f t="shared" si="1170"/>
        <v>9.1354838709677422E-3</v>
      </c>
      <c r="AR446" s="23">
        <v>-2.1399999999999999E-2</v>
      </c>
    </row>
    <row r="447" spans="2:88" ht="14.65" customHeight="1">
      <c r="B447" s="5">
        <v>44530</v>
      </c>
      <c r="C447" s="114">
        <v>1328.7118054820053</v>
      </c>
      <c r="D447" s="2">
        <v>1237.6679999999999</v>
      </c>
      <c r="E447" s="2">
        <v>108.1</v>
      </c>
      <c r="F447" s="2">
        <v>103.86999999999999</v>
      </c>
      <c r="G447" s="2">
        <v>152.1</v>
      </c>
      <c r="H447" s="2">
        <v>152.04999999999998</v>
      </c>
      <c r="I447" s="10">
        <f t="shared" si="1209"/>
        <v>0.73906749693907703</v>
      </c>
      <c r="J447" s="10">
        <f t="shared" si="1213"/>
        <v>0.68592294633749451</v>
      </c>
      <c r="K447" s="14">
        <f>C447/24/30/10</f>
        <v>0.18454330631694518</v>
      </c>
      <c r="L447" s="14">
        <f>D447/24/30/10</f>
        <v>0.17189833333333332</v>
      </c>
      <c r="M447" s="10">
        <v>0.98499999999999999</v>
      </c>
      <c r="N447" s="11">
        <v>0.98892000000000002</v>
      </c>
      <c r="O447" s="10">
        <v>0.99</v>
      </c>
      <c r="P447" s="17">
        <v>1</v>
      </c>
      <c r="Q447" s="83"/>
      <c r="R447" s="81">
        <f t="shared" si="1203"/>
        <v>-6.8520355660555143E-2</v>
      </c>
      <c r="S447" s="10">
        <f t="shared" si="1204"/>
        <v>-3.2873109796194289E-4</v>
      </c>
      <c r="T447" s="10">
        <f t="shared" si="1205"/>
        <v>3.9200000000000346E-3</v>
      </c>
      <c r="U447" s="10">
        <f t="shared" si="1206"/>
        <v>1.0000000000000009E-2</v>
      </c>
      <c r="V447" s="23">
        <v>-2.1100000000000001E-2</v>
      </c>
      <c r="W447" s="83"/>
      <c r="X447" s="5">
        <v>44530</v>
      </c>
      <c r="Y447" s="43">
        <v>1329.2793344230058</v>
      </c>
      <c r="Z447" s="2">
        <v>1263.5820000000001</v>
      </c>
      <c r="AA447" s="2">
        <v>108.1</v>
      </c>
      <c r="AB447" s="2">
        <v>103.76999999999998</v>
      </c>
      <c r="AC447" s="2">
        <v>152.1</v>
      </c>
      <c r="AD447" s="2">
        <v>148.66</v>
      </c>
      <c r="AE447" s="10">
        <f t="shared" si="1207"/>
        <v>0.7393831727629353</v>
      </c>
      <c r="AF447" s="10">
        <f t="shared" si="1214"/>
        <v>0.71016406412895783</v>
      </c>
      <c r="AG447" s="14">
        <f>Y447/24/30/10</f>
        <v>0.18462212978097303</v>
      </c>
      <c r="AH447" s="14">
        <f>Z447/24/30/10</f>
        <v>0.17549750000000003</v>
      </c>
      <c r="AI447" s="11">
        <v>0.98499999999999999</v>
      </c>
      <c r="AJ447" s="82">
        <v>0.99739999999999995</v>
      </c>
      <c r="AK447" s="10">
        <v>0.99</v>
      </c>
      <c r="AL447" s="17">
        <v>1</v>
      </c>
      <c r="AM447" s="1"/>
      <c r="AN447" s="81">
        <f t="shared" si="1165"/>
        <v>-4.9423272236096771E-2</v>
      </c>
      <c r="AO447" s="10">
        <f t="shared" si="1168"/>
        <v>-2.2616699539776408E-2</v>
      </c>
      <c r="AP447" s="10">
        <f t="shared" si="1169"/>
        <v>1.2399999999999967E-2</v>
      </c>
      <c r="AQ447" s="10">
        <f t="shared" si="1170"/>
        <v>1.0000000000000009E-2</v>
      </c>
      <c r="AR447" s="23">
        <v>-1.7000000000000001E-2</v>
      </c>
    </row>
    <row r="448" spans="2:88" ht="14.65" customHeight="1">
      <c r="B448" s="5">
        <v>44561</v>
      </c>
      <c r="C448" s="114">
        <v>1113.6089862426643</v>
      </c>
      <c r="D448" s="2">
        <v>1039.548</v>
      </c>
      <c r="E448" s="2">
        <v>89.9</v>
      </c>
      <c r="F448" s="2">
        <v>82.52000000000001</v>
      </c>
      <c r="G448" s="2">
        <v>129.6</v>
      </c>
      <c r="H448" s="2">
        <v>124.14</v>
      </c>
      <c r="I448" s="10">
        <f>C448/12/G448/M448</f>
        <v>0.72695955422036851</v>
      </c>
      <c r="J448" s="10">
        <f t="shared" si="1213"/>
        <v>0.70313381335394654</v>
      </c>
      <c r="K448" s="41">
        <f>C448/24/31/10</f>
        <v>0.14967862718315381</v>
      </c>
      <c r="L448" s="41">
        <f>D448/24/31/10</f>
        <v>0.13972419354838711</v>
      </c>
      <c r="M448" s="11">
        <v>0.98499999999999999</v>
      </c>
      <c r="N448" s="82">
        <v>0.99246129032258068</v>
      </c>
      <c r="O448" s="10">
        <v>0.99</v>
      </c>
      <c r="P448" s="17">
        <v>1</v>
      </c>
      <c r="Q448" s="83"/>
      <c r="R448" s="81">
        <f t="shared" si="1203"/>
        <v>-6.6505377702228641E-2</v>
      </c>
      <c r="S448" s="10">
        <f t="shared" si="1204"/>
        <v>-4.2129629629629628E-2</v>
      </c>
      <c r="T448" s="10">
        <f t="shared" si="1205"/>
        <v>7.4612903225806937E-3</v>
      </c>
      <c r="U448" s="10">
        <f t="shared" si="1206"/>
        <v>1.0000000000000009E-2</v>
      </c>
      <c r="V448" s="23">
        <v>-2.2200000000000001E-2</v>
      </c>
      <c r="W448" s="83"/>
      <c r="X448" s="5">
        <v>44561</v>
      </c>
      <c r="Y448" s="43">
        <v>1116.9199574077741</v>
      </c>
      <c r="Z448" s="2">
        <v>1040.568</v>
      </c>
      <c r="AA448" s="2">
        <v>89.9</v>
      </c>
      <c r="AB448" s="2">
        <v>84.149999999999977</v>
      </c>
      <c r="AC448" s="2">
        <v>129.6</v>
      </c>
      <c r="AD448" s="2">
        <v>121.52999999999999</v>
      </c>
      <c r="AE448" s="10">
        <f t="shared" si="1207"/>
        <v>0.7291209431387049</v>
      </c>
      <c r="AF448" s="10">
        <f t="shared" si="1214"/>
        <v>0.71489835764029075</v>
      </c>
      <c r="AG448" s="14">
        <f>Y448/24/31/10</f>
        <v>0.15012365018921697</v>
      </c>
      <c r="AH448" s="14">
        <f>Z448/24/31/10</f>
        <v>0.13986129032258063</v>
      </c>
      <c r="AI448" s="11">
        <v>0.98499999999999999</v>
      </c>
      <c r="AJ448" s="82">
        <v>0.99807096774193549</v>
      </c>
      <c r="AK448" s="10">
        <v>0.99</v>
      </c>
      <c r="AL448" s="17">
        <v>1</v>
      </c>
      <c r="AM448" s="1"/>
      <c r="AN448" s="81">
        <f t="shared" si="1165"/>
        <v>-6.8359381441242206E-2</v>
      </c>
      <c r="AO448" s="10">
        <f t="shared" si="1168"/>
        <v>-6.2268518518518556E-2</v>
      </c>
      <c r="AP448" s="10">
        <f t="shared" si="1169"/>
        <v>1.3070967741935502E-2</v>
      </c>
      <c r="AQ448" s="10">
        <f t="shared" si="1170"/>
        <v>1.0000000000000009E-2</v>
      </c>
      <c r="AR448" s="23">
        <v>-1.3100000000000001E-2</v>
      </c>
    </row>
    <row r="449" spans="2:66" ht="14.65" customHeight="1">
      <c r="B449" s="5">
        <v>44592</v>
      </c>
      <c r="C449" s="114">
        <v>943.47372769298295</v>
      </c>
      <c r="D449" s="2">
        <v>664.36199999999997</v>
      </c>
      <c r="E449" s="2">
        <v>79.599999999999994</v>
      </c>
      <c r="F449" s="2">
        <v>56.830000000000005</v>
      </c>
      <c r="G449" s="2">
        <v>103.2</v>
      </c>
      <c r="H449" s="2">
        <v>72.97</v>
      </c>
      <c r="I449" s="10">
        <f>C449/12/G449/M449</f>
        <v>0.773450700833057</v>
      </c>
      <c r="J449" s="10">
        <f t="shared" si="1213"/>
        <v>0.76762030620013311</v>
      </c>
      <c r="K449" s="41">
        <f>C449/24/31/10</f>
        <v>0.12681098490497084</v>
      </c>
      <c r="L449" s="41">
        <f>D449/24/31/10</f>
        <v>8.9295967741935475E-2</v>
      </c>
      <c r="M449" s="11">
        <v>0.98499999999999999</v>
      </c>
      <c r="N449" s="82">
        <v>0.98839999999999995</v>
      </c>
      <c r="O449" s="10">
        <v>0.99</v>
      </c>
      <c r="P449" s="17">
        <v>1</v>
      </c>
      <c r="Q449" s="83"/>
      <c r="R449" s="81">
        <f t="shared" si="1203"/>
        <v>-0.29583412818020627</v>
      </c>
      <c r="S449" s="10">
        <f t="shared" si="1204"/>
        <v>-0.29292635658914734</v>
      </c>
      <c r="T449" s="10">
        <f t="shared" si="1205"/>
        <v>3.3999999999999586E-3</v>
      </c>
      <c r="U449" s="10">
        <f t="shared" si="1206"/>
        <v>1.0000000000000009E-2</v>
      </c>
      <c r="V449" s="23">
        <v>0</v>
      </c>
      <c r="W449" s="83"/>
      <c r="X449" s="5">
        <v>44592</v>
      </c>
      <c r="Y449" s="43">
        <v>939.59987760005527</v>
      </c>
      <c r="Z449" s="2">
        <v>663.92399999999998</v>
      </c>
      <c r="AA449" s="2">
        <v>79.599999999999994</v>
      </c>
      <c r="AB449" s="2">
        <v>58.210000000000022</v>
      </c>
      <c r="AC449" s="2">
        <v>103.2</v>
      </c>
      <c r="AD449" s="2">
        <v>72.67</v>
      </c>
      <c r="AE449" s="10">
        <f t="shared" si="1207"/>
        <v>0.77027495573136395</v>
      </c>
      <c r="AF449" s="10">
        <f t="shared" si="1214"/>
        <v>0.76501789572471601</v>
      </c>
      <c r="AG449" s="14">
        <f>Y449/24/31/10</f>
        <v>0.12629030612903969</v>
      </c>
      <c r="AH449" s="14">
        <f>Z449/24/31/10</f>
        <v>8.9237096774193544E-2</v>
      </c>
      <c r="AI449" s="11">
        <v>0.98499999999999999</v>
      </c>
      <c r="AJ449" s="82">
        <v>0.99519999999999997</v>
      </c>
      <c r="AK449" s="10">
        <v>0.99</v>
      </c>
      <c r="AL449" s="17">
        <v>1</v>
      </c>
      <c r="AM449" s="1"/>
      <c r="AN449" s="81">
        <f t="shared" si="1165"/>
        <v>-0.29339709824589599</v>
      </c>
      <c r="AO449" s="10">
        <f t="shared" si="1168"/>
        <v>-0.29583333333333328</v>
      </c>
      <c r="AP449" s="10">
        <f t="shared" si="1169"/>
        <v>1.0199999999999987E-2</v>
      </c>
      <c r="AQ449" s="10">
        <f t="shared" si="1170"/>
        <v>1.0000000000000009E-2</v>
      </c>
      <c r="AR449" s="23">
        <v>0</v>
      </c>
    </row>
    <row r="450" spans="2:66" ht="14.65" customHeight="1">
      <c r="B450" s="5">
        <v>44620</v>
      </c>
      <c r="C450" s="114">
        <v>1234.8386304928936</v>
      </c>
      <c r="D450" s="2">
        <v>1244.4000000000001</v>
      </c>
      <c r="E450" s="2">
        <v>108.1</v>
      </c>
      <c r="F450" s="2">
        <v>106.95000000000002</v>
      </c>
      <c r="G450" s="2">
        <v>137.5</v>
      </c>
      <c r="H450" s="2">
        <v>143.46</v>
      </c>
      <c r="I450" s="10">
        <f>C450/12/G450/M450</f>
        <v>0.75978380587164662</v>
      </c>
      <c r="J450" s="10">
        <f t="shared" si="1213"/>
        <v>0.73272380475061527</v>
      </c>
      <c r="K450" s="14">
        <f>C450/24/28/10</f>
        <v>0.18375574858525201</v>
      </c>
      <c r="L450" s="14">
        <f>D450/24/28/10</f>
        <v>0.18517857142857144</v>
      </c>
      <c r="M450" s="11">
        <v>0.98499999999999999</v>
      </c>
      <c r="N450" s="82">
        <v>0.98652393999999999</v>
      </c>
      <c r="O450" s="10">
        <v>0.99</v>
      </c>
      <c r="P450" s="17">
        <v>0.99790000000000001</v>
      </c>
      <c r="Q450" s="83"/>
      <c r="R450" s="81">
        <f t="shared" si="1203"/>
        <v>7.7430113303873505E-3</v>
      </c>
      <c r="S450" s="10">
        <f t="shared" si="1204"/>
        <v>4.3345454545454576E-2</v>
      </c>
      <c r="T450" s="10">
        <f t="shared" si="1205"/>
        <v>1.5239400000000014E-3</v>
      </c>
      <c r="U450" s="10">
        <f t="shared" si="1206"/>
        <v>7.9000000000000181E-3</v>
      </c>
      <c r="V450" s="23">
        <v>-1.18E-2</v>
      </c>
      <c r="W450" s="83"/>
      <c r="X450" s="5">
        <v>44620</v>
      </c>
      <c r="Y450" s="43">
        <v>1233.61821250457</v>
      </c>
      <c r="Z450" s="2">
        <v>1252.896</v>
      </c>
      <c r="AA450" s="2">
        <v>108.1</v>
      </c>
      <c r="AB450" s="2">
        <v>108.97</v>
      </c>
      <c r="AC450" s="2">
        <v>137.5</v>
      </c>
      <c r="AD450" s="2">
        <v>141.71999999999997</v>
      </c>
      <c r="AE450" s="10">
        <f t="shared" si="1207"/>
        <v>0.75903289494205206</v>
      </c>
      <c r="AF450" s="10">
        <f t="shared" si="1214"/>
        <v>0.74867727606388501</v>
      </c>
      <c r="AG450" s="14">
        <f>Y450/24/28/10</f>
        <v>0.183574138765561</v>
      </c>
      <c r="AH450" s="14">
        <f>Z450/24/28/10</f>
        <v>0.18644285714285716</v>
      </c>
      <c r="AI450" s="11">
        <v>0.98499999999999999</v>
      </c>
      <c r="AJ450" s="82">
        <v>0.98402919</v>
      </c>
      <c r="AK450" s="10">
        <v>0.99</v>
      </c>
      <c r="AL450" s="17">
        <v>0.99790000000000001</v>
      </c>
      <c r="AM450" s="1"/>
      <c r="AN450" s="81">
        <f t="shared" si="1165"/>
        <v>1.5627028930037312E-2</v>
      </c>
      <c r="AO450" s="10">
        <f t="shared" si="1168"/>
        <v>3.069090909090888E-2</v>
      </c>
      <c r="AP450" s="10">
        <f t="shared" si="1169"/>
        <v>-9.7080999999998863E-4</v>
      </c>
      <c r="AQ450" s="10">
        <f t="shared" si="1170"/>
        <v>7.9000000000000181E-3</v>
      </c>
      <c r="AR450" s="23">
        <v>-1.34E-2</v>
      </c>
    </row>
    <row r="451" spans="2:66" ht="14.65" customHeight="1">
      <c r="B451" s="5">
        <v>44651</v>
      </c>
      <c r="C451" s="114">
        <v>1653.001222474247</v>
      </c>
      <c r="D451" s="2">
        <f>[1]Database!$I$430/1000</f>
        <v>1546.296</v>
      </c>
      <c r="E451" s="2">
        <v>161.4</v>
      </c>
      <c r="F451" s="2">
        <v>158.37</v>
      </c>
      <c r="G451" s="2">
        <v>187.8</v>
      </c>
      <c r="H451" s="2">
        <v>188.27999999999997</v>
      </c>
      <c r="I451" s="10">
        <f>C451/12/G451/M451</f>
        <v>0.74466357380328951</v>
      </c>
      <c r="J451" s="10">
        <f>D451/12/H451/N451</f>
        <v>0.70958587978175303</v>
      </c>
      <c r="K451" s="14">
        <f>C451/24/31/10</f>
        <v>0.22217758366589341</v>
      </c>
      <c r="L451" s="14">
        <f>D451/24/31/10</f>
        <v>0.20783548387096773</v>
      </c>
      <c r="M451" s="11">
        <v>0.98499999999999999</v>
      </c>
      <c r="N451" s="82">
        <v>0.96450000000000002</v>
      </c>
      <c r="O451" s="10">
        <v>0.99</v>
      </c>
      <c r="P451" s="17">
        <v>1</v>
      </c>
      <c r="Q451" s="83"/>
      <c r="R451" s="81">
        <f t="shared" ref="R451:R462" si="1215">D451/C451-1</f>
        <v>-6.4552415947114916E-2</v>
      </c>
      <c r="S451" s="10">
        <f t="shared" ref="S451:S462" si="1216">H451/G451-1</f>
        <v>2.5559105431307572E-3</v>
      </c>
      <c r="T451" s="10">
        <f t="shared" ref="T451:T462" si="1217">N451-M451</f>
        <v>-2.0499999999999963E-2</v>
      </c>
      <c r="U451" s="10">
        <f t="shared" ref="U451:U462" si="1218">P451-O451</f>
        <v>1.0000000000000009E-2</v>
      </c>
      <c r="V451" s="23">
        <v>-1.1177586172229199E-2</v>
      </c>
      <c r="W451" s="83"/>
      <c r="X451" s="5">
        <v>44651</v>
      </c>
      <c r="Y451" s="43">
        <v>1654.4150954871786</v>
      </c>
      <c r="Z451" s="2">
        <f>[1]Database!$I$429/1000</f>
        <v>1553.7360000000001</v>
      </c>
      <c r="AA451" s="2">
        <v>161.4</v>
      </c>
      <c r="AB451" s="2">
        <v>162.41999999999999</v>
      </c>
      <c r="AC451" s="2">
        <v>187.8</v>
      </c>
      <c r="AD451" s="2">
        <v>188.44</v>
      </c>
      <c r="AE451" s="10">
        <f t="shared" ref="AE451:AE462" si="1219">Y451/12/AC451/AI451</f>
        <v>0.7453005120683065</v>
      </c>
      <c r="AF451" s="10">
        <f t="shared" si="1214"/>
        <v>0.72801933534069152</v>
      </c>
      <c r="AG451" s="14">
        <f>Y451/24/31/10</f>
        <v>0.22236762036117991</v>
      </c>
      <c r="AH451" s="14">
        <f>Z451/24/31/10</f>
        <v>0.20883548387096776</v>
      </c>
      <c r="AI451" s="11">
        <v>0.98499999999999999</v>
      </c>
      <c r="AJ451" s="82">
        <v>0.94379999999999997</v>
      </c>
      <c r="AK451" s="10">
        <v>0.99</v>
      </c>
      <c r="AL451" s="17">
        <v>1</v>
      </c>
      <c r="AM451" s="1"/>
      <c r="AN451" s="81">
        <f t="shared" si="1165"/>
        <v>-6.0854797421641904E-2</v>
      </c>
      <c r="AO451" s="10">
        <f t="shared" si="1168"/>
        <v>3.4078807241746389E-3</v>
      </c>
      <c r="AP451" s="10">
        <f t="shared" si="1169"/>
        <v>-4.1200000000000014E-2</v>
      </c>
      <c r="AQ451" s="10">
        <f t="shared" si="1170"/>
        <v>1.0000000000000009E-2</v>
      </c>
      <c r="AR451" s="23">
        <v>-1.3817073295916299E-2</v>
      </c>
    </row>
    <row r="452" spans="2:66">
      <c r="B452" s="25">
        <v>44681</v>
      </c>
      <c r="C452" s="115">
        <v>1710.554783521143</v>
      </c>
      <c r="D452" s="26">
        <v>1527.5640000000001</v>
      </c>
      <c r="E452" s="26">
        <v>190.2</v>
      </c>
      <c r="F452" s="26">
        <v>168.23000000000002</v>
      </c>
      <c r="G452" s="26">
        <v>194</v>
      </c>
      <c r="H452" s="26">
        <v>184.26</v>
      </c>
      <c r="I452" s="29">
        <f t="shared" ref="I452:I459" si="1220">C452/12/G452/M452</f>
        <v>0.74596384928617532</v>
      </c>
      <c r="J452" s="29">
        <f t="shared" ref="J452:J454" si="1221">D452/12/H452/N452</f>
        <v>0.6925173547959802</v>
      </c>
      <c r="K452" s="45">
        <f>C452/24/30/10</f>
        <v>0.23757705326682541</v>
      </c>
      <c r="L452" s="45">
        <f>D452/24/30/10</f>
        <v>0.21216166666666667</v>
      </c>
      <c r="M452" s="28">
        <v>0.98499999999999999</v>
      </c>
      <c r="N452" s="85">
        <v>0.99760000000000004</v>
      </c>
      <c r="O452" s="29">
        <v>0.99</v>
      </c>
      <c r="P452" s="30">
        <v>1</v>
      </c>
      <c r="Q452" s="96"/>
      <c r="R452" s="87">
        <f t="shared" si="1215"/>
        <v>-0.10697744689852029</v>
      </c>
      <c r="S452" s="29">
        <f t="shared" si="1216"/>
        <v>-5.0206185567010397E-2</v>
      </c>
      <c r="T452" s="29">
        <f t="shared" si="1217"/>
        <v>1.2600000000000056E-2</v>
      </c>
      <c r="U452" s="29">
        <f t="shared" si="1218"/>
        <v>1.0000000000000009E-2</v>
      </c>
      <c r="V452" s="32">
        <v>-2.1000000000000001E-2</v>
      </c>
      <c r="W452" s="96"/>
      <c r="X452" s="25">
        <v>44681</v>
      </c>
      <c r="Y452" s="44">
        <v>1711.0608297348372</v>
      </c>
      <c r="Z452" s="26">
        <v>1503.876</v>
      </c>
      <c r="AA452" s="26">
        <v>190.2</v>
      </c>
      <c r="AB452" s="26">
        <v>174.14000000000001</v>
      </c>
      <c r="AC452" s="26">
        <v>194</v>
      </c>
      <c r="AD452" s="26">
        <v>182.27000000000004</v>
      </c>
      <c r="AE452" s="29">
        <f t="shared" si="1219"/>
        <v>0.74618453335026991</v>
      </c>
      <c r="AF452" s="29">
        <f t="shared" si="1214"/>
        <v>0.6952855635392321</v>
      </c>
      <c r="AG452" s="27">
        <f>Y452/24/30/10</f>
        <v>0.23764733746317179</v>
      </c>
      <c r="AH452" s="27">
        <f>Z452/24/30/10</f>
        <v>0.20887166666666665</v>
      </c>
      <c r="AI452" s="28">
        <v>0.98499999999999999</v>
      </c>
      <c r="AJ452" s="85">
        <v>0.9889</v>
      </c>
      <c r="AK452" s="29">
        <v>0.99</v>
      </c>
      <c r="AL452" s="30">
        <v>1</v>
      </c>
      <c r="AM452" s="1"/>
      <c r="AN452" s="87">
        <f t="shared" si="1165"/>
        <v>-0.12108560147855441</v>
      </c>
      <c r="AO452" s="29">
        <f t="shared" si="1168"/>
        <v>-6.0463917525772959E-2</v>
      </c>
      <c r="AP452" s="29">
        <f t="shared" si="1169"/>
        <v>3.9000000000000146E-3</v>
      </c>
      <c r="AQ452" s="29">
        <f t="shared" si="1170"/>
        <v>1.0000000000000009E-2</v>
      </c>
      <c r="AR452" s="32">
        <v>-2.0899999999999998E-2</v>
      </c>
      <c r="BN452" s="98"/>
    </row>
    <row r="453" spans="2:66">
      <c r="B453" s="5">
        <v>44712</v>
      </c>
      <c r="C453" s="114">
        <v>1733.036643305087</v>
      </c>
      <c r="D453" s="69">
        <v>1521.4739999999999</v>
      </c>
      <c r="E453" s="2">
        <v>197</v>
      </c>
      <c r="F453" s="2">
        <v>179.49</v>
      </c>
      <c r="G453" s="2">
        <v>197.7</v>
      </c>
      <c r="H453" s="2">
        <v>186.24</v>
      </c>
      <c r="I453" s="10">
        <f t="shared" si="1220"/>
        <v>0.74162369932099315</v>
      </c>
      <c r="J453" s="29">
        <f t="shared" si="1221"/>
        <v>0.70905392440933956</v>
      </c>
      <c r="K453" s="41">
        <f>C453/24/31/10</f>
        <v>0.23293503270229662</v>
      </c>
      <c r="L453" s="41">
        <f t="shared" ref="L453" si="1222">D453/24/31/10</f>
        <v>0.20449919354838708</v>
      </c>
      <c r="M453" s="11">
        <v>0.98499999999999999</v>
      </c>
      <c r="N453" s="82">
        <v>0.96013225806451619</v>
      </c>
      <c r="O453" s="10">
        <v>0.99</v>
      </c>
      <c r="P453" s="17">
        <v>1</v>
      </c>
      <c r="Q453" s="83"/>
      <c r="R453" s="81">
        <f t="shared" si="1215"/>
        <v>-0.12207626660542759</v>
      </c>
      <c r="S453" s="10">
        <f t="shared" si="1216"/>
        <v>-5.7966616084977107E-2</v>
      </c>
      <c r="T453" s="10">
        <f t="shared" si="1217"/>
        <v>-2.48677419354838E-2</v>
      </c>
      <c r="U453" s="10">
        <f t="shared" si="1218"/>
        <v>1.0000000000000009E-2</v>
      </c>
      <c r="V453" s="23">
        <v>-8.0000000000000002E-3</v>
      </c>
      <c r="W453" s="83"/>
      <c r="X453" s="5">
        <v>44712</v>
      </c>
      <c r="Y453" s="43">
        <v>1733.5392957061306</v>
      </c>
      <c r="Z453" s="2">
        <v>1577.232</v>
      </c>
      <c r="AA453" s="70">
        <v>197</v>
      </c>
      <c r="AB453" s="69">
        <v>187.18</v>
      </c>
      <c r="AC453" s="70">
        <v>197.7</v>
      </c>
      <c r="AD453" s="69">
        <v>186.75000000000006</v>
      </c>
      <c r="AE453" s="10">
        <f t="shared" si="1219"/>
        <v>0.74183880090847221</v>
      </c>
      <c r="AF453" s="10">
        <f>Z453/12/AD453/AJ453</f>
        <v>0.72059714233199812</v>
      </c>
      <c r="AG453" s="14">
        <f t="shared" ref="AG453" si="1223">Y453/24/31/10</f>
        <v>0.23300259350888849</v>
      </c>
      <c r="AH453" s="14">
        <f t="shared" ref="AH453" si="1224">Z453/24/31/10</f>
        <v>0.21199354838709678</v>
      </c>
      <c r="AI453" s="11">
        <v>0.98499999999999999</v>
      </c>
      <c r="AJ453" s="82">
        <v>0.9766999999999999</v>
      </c>
      <c r="AK453" s="10">
        <v>0.99</v>
      </c>
      <c r="AL453" s="17">
        <v>1</v>
      </c>
      <c r="AM453" s="1"/>
      <c r="AN453" s="81">
        <f t="shared" si="1165"/>
        <v>-9.0166571991355582E-2</v>
      </c>
      <c r="AO453" s="10">
        <f t="shared" si="1168"/>
        <v>-5.5386949924127071E-2</v>
      </c>
      <c r="AP453" s="10">
        <f t="shared" si="1169"/>
        <v>-8.3000000000000851E-3</v>
      </c>
      <c r="AQ453" s="10">
        <f t="shared" si="1170"/>
        <v>1.0000000000000009E-2</v>
      </c>
      <c r="AR453" s="23">
        <v>-7.1000000000000004E-3</v>
      </c>
      <c r="BN453" s="95"/>
    </row>
    <row r="454" spans="2:66">
      <c r="B454" s="5">
        <v>44742</v>
      </c>
      <c r="C454" s="114">
        <v>1558.5774113816835</v>
      </c>
      <c r="D454" s="2">
        <v>1397.8320000000001</v>
      </c>
      <c r="E454" s="2">
        <v>178.9</v>
      </c>
      <c r="F454" s="2">
        <v>167.48000000000002</v>
      </c>
      <c r="G454" s="2">
        <v>177.2</v>
      </c>
      <c r="H454" s="2">
        <v>166.64999999999998</v>
      </c>
      <c r="I454" s="10">
        <f t="shared" si="1220"/>
        <v>0.74412720690993361</v>
      </c>
      <c r="J454" s="10">
        <f t="shared" si="1221"/>
        <v>0.70166221603624956</v>
      </c>
      <c r="K454" s="41">
        <f>C454/24/30/10</f>
        <v>0.21646908491412273</v>
      </c>
      <c r="L454" s="41">
        <f>D454/24/30/10</f>
        <v>0.19414333333333333</v>
      </c>
      <c r="M454" s="11">
        <v>0.98499999999999999</v>
      </c>
      <c r="N454" s="82">
        <v>0.99618574666666659</v>
      </c>
      <c r="O454" s="10">
        <v>0.99</v>
      </c>
      <c r="P454" s="17">
        <v>0.99919999999999998</v>
      </c>
      <c r="Q454" s="83"/>
      <c r="R454" s="81">
        <f t="shared" si="1215"/>
        <v>-0.10313598170217431</v>
      </c>
      <c r="S454" s="10">
        <f t="shared" si="1216"/>
        <v>-5.9537246049661485E-2</v>
      </c>
      <c r="T454" s="10">
        <f t="shared" si="1217"/>
        <v>1.1185746666666607E-2</v>
      </c>
      <c r="U454" s="10">
        <f t="shared" si="1218"/>
        <v>9.199999999999986E-3</v>
      </c>
      <c r="V454" s="23">
        <v>-1.1299999999999999E-2</v>
      </c>
      <c r="W454" s="83"/>
      <c r="X454" s="5">
        <v>44742</v>
      </c>
      <c r="Y454" s="43">
        <v>1556.40898385234</v>
      </c>
      <c r="Z454" s="2">
        <v>1401.9960000000001</v>
      </c>
      <c r="AA454" s="2">
        <v>178.9</v>
      </c>
      <c r="AB454" s="2">
        <v>171.11999999999995</v>
      </c>
      <c r="AC454" s="2">
        <v>177.2</v>
      </c>
      <c r="AD454" s="2">
        <v>170.06999999999996</v>
      </c>
      <c r="AE454" s="10">
        <f t="shared" si="1219"/>
        <v>0.74309191285972243</v>
      </c>
      <c r="AF454" s="10">
        <f>Z454/12/AD454/AJ454</f>
        <v>0.68846558261460411</v>
      </c>
      <c r="AG454" s="14">
        <f>Y454/24/30/10</f>
        <v>0.21616791442393607</v>
      </c>
      <c r="AH454" s="14">
        <f>Z454/24/30/10</f>
        <v>0.19472166666666668</v>
      </c>
      <c r="AI454" s="11">
        <v>0.98499999999999999</v>
      </c>
      <c r="AJ454" s="82">
        <v>0.99782776146666674</v>
      </c>
      <c r="AK454" s="10">
        <v>0.99</v>
      </c>
      <c r="AL454" s="17">
        <v>0.99920666666666658</v>
      </c>
      <c r="AM454" s="1"/>
      <c r="AN454" s="81">
        <f t="shared" si="1165"/>
        <v>-9.9211059210250307E-2</v>
      </c>
      <c r="AO454" s="10">
        <f t="shared" si="1168"/>
        <v>-4.0237020316027272E-2</v>
      </c>
      <c r="AP454" s="10">
        <f t="shared" si="1169"/>
        <v>1.2827761466666754E-2</v>
      </c>
      <c r="AQ454" s="10">
        <f t="shared" si="1170"/>
        <v>9.2066666666665853E-3</v>
      </c>
      <c r="AR454" s="23">
        <v>-1.5100000000000001E-2</v>
      </c>
    </row>
    <row r="455" spans="2:66">
      <c r="B455" s="5">
        <v>44773</v>
      </c>
      <c r="C455" s="114">
        <v>1382.3196306755649</v>
      </c>
      <c r="D455" s="2">
        <v>1323.5039999999999</v>
      </c>
      <c r="E455" s="2">
        <v>155.5</v>
      </c>
      <c r="F455" s="2">
        <v>150.19</v>
      </c>
      <c r="G455" s="2">
        <v>154.6</v>
      </c>
      <c r="H455" s="2">
        <v>151.57000000000002</v>
      </c>
      <c r="I455" s="10">
        <f t="shared" si="1220"/>
        <v>0.75645223341255363</v>
      </c>
      <c r="J455" s="10">
        <f>D455/12/H455/N455</f>
        <v>0.73828798801451734</v>
      </c>
      <c r="K455" s="41">
        <f>C455/24/31/10</f>
        <v>0.18579564928435011</v>
      </c>
      <c r="L455" s="41">
        <f>D455/24/31/10</f>
        <v>0.17789032258064513</v>
      </c>
      <c r="M455" s="11">
        <v>0.98499999999999999</v>
      </c>
      <c r="N455" s="82">
        <v>0.98560967741935479</v>
      </c>
      <c r="O455" s="10">
        <v>0.99</v>
      </c>
      <c r="P455" s="17">
        <v>1</v>
      </c>
      <c r="Q455" s="83"/>
      <c r="R455" s="81">
        <f t="shared" si="1215"/>
        <v>-4.2548502799472421E-2</v>
      </c>
      <c r="S455" s="10">
        <f t="shared" si="1216"/>
        <v>-1.959896507115122E-2</v>
      </c>
      <c r="T455" s="10">
        <f t="shared" si="1217"/>
        <v>6.096774193548038E-4</v>
      </c>
      <c r="U455" s="10">
        <f t="shared" si="1218"/>
        <v>1.0000000000000009E-2</v>
      </c>
      <c r="V455" s="23">
        <v>-6.7999999999999996E-3</v>
      </c>
      <c r="W455" s="83"/>
      <c r="X455" s="5">
        <v>44773</v>
      </c>
      <c r="Y455" s="43">
        <v>1377.4803947208463</v>
      </c>
      <c r="Z455" s="2">
        <v>1336.806</v>
      </c>
      <c r="AA455" s="2">
        <v>155.5</v>
      </c>
      <c r="AB455" s="2">
        <v>154.21999999999994</v>
      </c>
      <c r="AC455" s="2">
        <v>154.6</v>
      </c>
      <c r="AD455" s="2">
        <v>152.39999999999998</v>
      </c>
      <c r="AE455" s="10">
        <f t="shared" si="1219"/>
        <v>0.75380403919992556</v>
      </c>
      <c r="AF455" s="10">
        <f>Z455/12/AD455/AJ455</f>
        <v>0.75211864822056829</v>
      </c>
      <c r="AG455" s="14">
        <f>Y455/24/31/10</f>
        <v>0.18514521434419978</v>
      </c>
      <c r="AH455" s="14">
        <f>Z455/24/31/10</f>
        <v>0.17967822580645162</v>
      </c>
      <c r="AI455" s="11">
        <v>0.98499999999999999</v>
      </c>
      <c r="AJ455" s="82">
        <v>0.97188709677419349</v>
      </c>
      <c r="AK455" s="10">
        <v>0.99</v>
      </c>
      <c r="AL455" s="17">
        <v>1</v>
      </c>
      <c r="AM455" s="1"/>
      <c r="AN455" s="81">
        <f t="shared" ref="AN455:AN463" si="1225">Z455/Y455-1</f>
        <v>-2.9528111526472389E-2</v>
      </c>
      <c r="AO455" s="10">
        <f t="shared" si="1168"/>
        <v>-1.4230271668822847E-2</v>
      </c>
      <c r="AP455" s="10">
        <f t="shared" si="1169"/>
        <v>-1.3112903225806494E-2</v>
      </c>
      <c r="AQ455" s="10">
        <f t="shared" si="1170"/>
        <v>1.0000000000000009E-2</v>
      </c>
      <c r="AR455" s="23">
        <v>-6.1999999999999998E-3</v>
      </c>
    </row>
    <row r="456" spans="2:66">
      <c r="B456" s="5">
        <v>44804</v>
      </c>
      <c r="C456" s="114">
        <v>1313.0755025410178</v>
      </c>
      <c r="D456" s="2">
        <v>1392.846</v>
      </c>
      <c r="E456" s="2">
        <v>145.4</v>
      </c>
      <c r="F456" s="2">
        <v>155.39000000000001</v>
      </c>
      <c r="G456" s="2">
        <v>146.30000000000001</v>
      </c>
      <c r="H456" s="2">
        <v>162.41</v>
      </c>
      <c r="I456" s="10">
        <f t="shared" si="1220"/>
        <v>0.75932534528581364</v>
      </c>
      <c r="J456" s="10">
        <f>D456/12/H456/N456</f>
        <v>0.73115270034013513</v>
      </c>
      <c r="K456" s="41">
        <f>C456/24/31/10</f>
        <v>0.17648864281465296</v>
      </c>
      <c r="L456" s="41">
        <f>D456/24/31/10</f>
        <v>0.18721048387096773</v>
      </c>
      <c r="M456" s="11">
        <v>0.98499999999999999</v>
      </c>
      <c r="N456" s="82">
        <v>0.97746451612903218</v>
      </c>
      <c r="O456" s="10">
        <v>0.99</v>
      </c>
      <c r="P456" s="17">
        <v>1</v>
      </c>
      <c r="Q456" s="83"/>
      <c r="R456" s="81">
        <f t="shared" si="1215"/>
        <v>6.075088393973771E-2</v>
      </c>
      <c r="S456" s="10">
        <f t="shared" si="1216"/>
        <v>0.11011619958988361</v>
      </c>
      <c r="T456" s="10">
        <f t="shared" si="1217"/>
        <v>-7.5354838709678074E-3</v>
      </c>
      <c r="U456" s="10">
        <f t="shared" si="1218"/>
        <v>1.0000000000000009E-2</v>
      </c>
      <c r="V456" s="23">
        <v>-1.3100000000000001E-2</v>
      </c>
      <c r="W456" s="83"/>
      <c r="X456" s="5">
        <v>44804</v>
      </c>
      <c r="Y456" s="43">
        <v>1308.2467195292631</v>
      </c>
      <c r="Z456" s="2">
        <v>1403.85</v>
      </c>
      <c r="AA456" s="2">
        <v>145.4</v>
      </c>
      <c r="AB456" s="2">
        <v>161.01</v>
      </c>
      <c r="AC456" s="2">
        <v>146.30000000000001</v>
      </c>
      <c r="AD456" s="2">
        <v>161.92999999999995</v>
      </c>
      <c r="AE456" s="10">
        <f t="shared" si="1219"/>
        <v>0.75653295648515795</v>
      </c>
      <c r="AF456" s="10">
        <f>Z456/12/AD456/AJ456</f>
        <v>0.74208170498651249</v>
      </c>
      <c r="AG456" s="14">
        <f>Y456/24/31/10</f>
        <v>0.17583961283995472</v>
      </c>
      <c r="AH456" s="14">
        <f>Z456/24/31/10</f>
        <v>0.18868951612903226</v>
      </c>
      <c r="AI456" s="11">
        <v>0.98499999999999999</v>
      </c>
      <c r="AJ456" s="82">
        <v>0.97355483870967752</v>
      </c>
      <c r="AK456" s="10">
        <v>0.99</v>
      </c>
      <c r="AL456" s="17">
        <v>1</v>
      </c>
      <c r="AM456" s="1"/>
      <c r="AN456" s="81">
        <f t="shared" si="1225"/>
        <v>7.3077408904290708E-2</v>
      </c>
      <c r="AO456" s="10">
        <f t="shared" si="1168"/>
        <v>0.10683526999316428</v>
      </c>
      <c r="AP456" s="10">
        <f t="shared" si="1169"/>
        <v>-1.144516129032247E-2</v>
      </c>
      <c r="AQ456" s="10">
        <f t="shared" si="1170"/>
        <v>1.0000000000000009E-2</v>
      </c>
      <c r="AR456" s="23">
        <v>-1.2200000000000001E-2</v>
      </c>
    </row>
    <row r="457" spans="2:66">
      <c r="B457" s="5">
        <v>44834</v>
      </c>
      <c r="C457" s="114">
        <v>1306.7805818015136</v>
      </c>
      <c r="D457" s="2">
        <v>1179.4380000000001</v>
      </c>
      <c r="E457" s="2">
        <v>141.6</v>
      </c>
      <c r="F457" s="2">
        <v>124.96999999999997</v>
      </c>
      <c r="G457" s="2">
        <v>145.5</v>
      </c>
      <c r="H457" s="2">
        <v>137.80000000000001</v>
      </c>
      <c r="I457" s="10">
        <f t="shared" si="1220"/>
        <v>0.75984008803386049</v>
      </c>
      <c r="J457" s="10">
        <f t="shared" ref="J457:J462" si="1226">D457/12/H457/N457</f>
        <v>0.72452101882384301</v>
      </c>
      <c r="K457" s="41">
        <f>C457/24/30/10</f>
        <v>0.181497303027988</v>
      </c>
      <c r="L457" s="41">
        <f>D457/24/30/10</f>
        <v>0.16381083333333335</v>
      </c>
      <c r="M457" s="11">
        <v>0.98499999999999999</v>
      </c>
      <c r="N457" s="82">
        <v>0.98444999999999971</v>
      </c>
      <c r="O457" s="10">
        <v>0.99</v>
      </c>
      <c r="P457" s="17">
        <v>1</v>
      </c>
      <c r="Q457" s="83"/>
      <c r="R457" s="81">
        <f t="shared" si="1215"/>
        <v>-9.7447562027559664E-2</v>
      </c>
      <c r="S457" s="10">
        <f t="shared" si="1216"/>
        <v>-5.2920962199312638E-2</v>
      </c>
      <c r="T457" s="10">
        <f t="shared" si="1217"/>
        <v>-5.5000000000027249E-4</v>
      </c>
      <c r="U457" s="10">
        <f t="shared" si="1218"/>
        <v>1.0000000000000009E-2</v>
      </c>
      <c r="V457" s="23">
        <v>-1.0200000000000001E-2</v>
      </c>
      <c r="W457" s="83"/>
      <c r="X457" s="5">
        <v>44834</v>
      </c>
      <c r="Y457" s="43">
        <v>1303.751026335005</v>
      </c>
      <c r="Z457" s="2">
        <v>1181.106</v>
      </c>
      <c r="AA457" s="2">
        <v>141.6</v>
      </c>
      <c r="AB457" s="2">
        <v>129.53000000000003</v>
      </c>
      <c r="AC457" s="2">
        <v>145.5</v>
      </c>
      <c r="AD457" s="2">
        <v>135.13000000000002</v>
      </c>
      <c r="AE457" s="10">
        <f t="shared" si="1219"/>
        <v>0.75807852398521058</v>
      </c>
      <c r="AF457" s="10">
        <f t="shared" ref="AF457:AF463" si="1227">Z457/12/AD457/AJ457</f>
        <v>0.73843634274503867</v>
      </c>
      <c r="AG457" s="14">
        <f>Y457/24/30/10</f>
        <v>0.18107653143541738</v>
      </c>
      <c r="AH457" s="14">
        <f>Z457/24/30/10</f>
        <v>0.16404250000000001</v>
      </c>
      <c r="AI457" s="11">
        <v>0.98499999999999999</v>
      </c>
      <c r="AJ457" s="82">
        <v>0.98637666666666657</v>
      </c>
      <c r="AK457" s="10">
        <v>0.99</v>
      </c>
      <c r="AL457" s="17">
        <v>1</v>
      </c>
      <c r="AM457" s="1"/>
      <c r="AN457" s="81">
        <f t="shared" si="1225"/>
        <v>-9.4070895330202964E-2</v>
      </c>
      <c r="AO457" s="10">
        <f t="shared" si="1168"/>
        <v>-7.1271477663230054E-2</v>
      </c>
      <c r="AP457" s="10">
        <f t="shared" si="1169"/>
        <v>1.3766666666665817E-3</v>
      </c>
      <c r="AQ457" s="10">
        <f t="shared" si="1170"/>
        <v>1.0000000000000009E-2</v>
      </c>
      <c r="AR457" s="23">
        <v>-9.1000000000000004E-3</v>
      </c>
    </row>
    <row r="458" spans="2:66">
      <c r="B458" s="5">
        <v>44865</v>
      </c>
      <c r="C458" s="114">
        <v>1494.7289295952833</v>
      </c>
      <c r="D458" s="2">
        <v>1360.6980000000001</v>
      </c>
      <c r="E458" s="2">
        <v>139.1</v>
      </c>
      <c r="F458" s="2">
        <v>131.32999999999998</v>
      </c>
      <c r="G458" s="2">
        <v>172.2</v>
      </c>
      <c r="H458" s="2">
        <v>163.07999999999998</v>
      </c>
      <c r="I458" s="10">
        <f t="shared" si="1220"/>
        <v>0.73436474016720188</v>
      </c>
      <c r="J458" s="10">
        <f t="shared" si="1226"/>
        <v>0.69902824107928418</v>
      </c>
      <c r="K458" s="41">
        <f>C458/24/31/10</f>
        <v>0.20090442602087139</v>
      </c>
      <c r="L458" s="41">
        <f>D458/24/31/10</f>
        <v>0.18288951612903229</v>
      </c>
      <c r="M458" s="11">
        <v>0.98499999999999999</v>
      </c>
      <c r="N458" s="82">
        <v>0.99468387096774191</v>
      </c>
      <c r="O458" s="10">
        <v>0.99</v>
      </c>
      <c r="P458" s="17">
        <v>1</v>
      </c>
      <c r="Q458" s="83"/>
      <c r="R458" s="81">
        <f t="shared" si="1215"/>
        <v>-8.9669054329184483E-2</v>
      </c>
      <c r="S458" s="10">
        <f t="shared" si="1216"/>
        <v>-5.2961672473867627E-2</v>
      </c>
      <c r="T458" s="10">
        <f t="shared" si="1217"/>
        <v>9.6838709677419255E-3</v>
      </c>
      <c r="U458" s="10">
        <f t="shared" si="1218"/>
        <v>1.0000000000000009E-2</v>
      </c>
      <c r="V458" s="23">
        <v>-1.7429924472136302E-2</v>
      </c>
      <c r="W458" s="83"/>
      <c r="X458" s="5">
        <v>44865</v>
      </c>
      <c r="Y458" s="43">
        <v>1494.3684177715711</v>
      </c>
      <c r="Z458" s="2">
        <v>1378.3679999999999</v>
      </c>
      <c r="AA458" s="2">
        <v>139.1</v>
      </c>
      <c r="AB458" s="2">
        <v>130.94999999999999</v>
      </c>
      <c r="AC458" s="2">
        <v>172.2</v>
      </c>
      <c r="AD458" s="2">
        <v>160.17999999999998</v>
      </c>
      <c r="AE458" s="10">
        <f t="shared" si="1219"/>
        <v>0.73418761964286761</v>
      </c>
      <c r="AF458" s="10">
        <f t="shared" si="1227"/>
        <v>0.72056593298691984</v>
      </c>
      <c r="AG458" s="14">
        <f>Y458/24/31/10</f>
        <v>0.20085597013058751</v>
      </c>
      <c r="AH458" s="14">
        <f>Z458/24/31/10</f>
        <v>0.18526451612903225</v>
      </c>
      <c r="AI458" s="11">
        <v>0.98499999999999999</v>
      </c>
      <c r="AJ458" s="82">
        <v>0.99518064516129034</v>
      </c>
      <c r="AK458" s="10">
        <v>0.99</v>
      </c>
      <c r="AL458" s="17">
        <v>0.99724193548387097</v>
      </c>
      <c r="AM458" s="1"/>
      <c r="AN458" s="81">
        <f t="shared" si="1225"/>
        <v>-7.7625046402247322E-2</v>
      </c>
      <c r="AO458" s="10">
        <f t="shared" ref="AO458:AO463" si="1228">AD458/AC458-1</f>
        <v>-6.9802555168408942E-2</v>
      </c>
      <c r="AP458" s="10">
        <f t="shared" ref="AP458:AP463" si="1229">AJ458-AI458</f>
        <v>1.0180645161290358E-2</v>
      </c>
      <c r="AQ458" s="10">
        <f t="shared" ref="AQ458:AQ463" si="1230">AL458-AK458</f>
        <v>7.241935483870976E-3</v>
      </c>
      <c r="AR458" s="23">
        <v>-1.5878271959664399E-2</v>
      </c>
    </row>
    <row r="459" spans="2:66">
      <c r="B459" s="5">
        <v>44895</v>
      </c>
      <c r="C459" s="114">
        <v>1322.0682464545951</v>
      </c>
      <c r="D459" s="2">
        <v>1110.0360000000001</v>
      </c>
      <c r="E459" s="2">
        <v>108.1</v>
      </c>
      <c r="F459" s="2">
        <v>91.19</v>
      </c>
      <c r="G459" s="2">
        <v>152.1</v>
      </c>
      <c r="H459" s="2">
        <v>137.23000000000002</v>
      </c>
      <c r="I459" s="10">
        <f t="shared" si="1220"/>
        <v>0.73537215945438161</v>
      </c>
      <c r="J459" s="10">
        <f t="shared" si="1226"/>
        <v>0.67630226776562985</v>
      </c>
      <c r="K459" s="14">
        <f>C459/24/30/10</f>
        <v>0.18362058978536042</v>
      </c>
      <c r="L459" s="14">
        <f>D459/24/30/10</f>
        <v>0.15417166666666665</v>
      </c>
      <c r="M459" s="10">
        <v>0.98499999999999999</v>
      </c>
      <c r="N459" s="11">
        <v>0.99670333333333327</v>
      </c>
      <c r="O459" s="10">
        <v>0.99</v>
      </c>
      <c r="P459" s="17">
        <v>1</v>
      </c>
      <c r="Q459" s="83"/>
      <c r="R459" s="81">
        <f t="shared" si="1215"/>
        <v>-0.16037919904906894</v>
      </c>
      <c r="S459" s="10">
        <f t="shared" si="1216"/>
        <v>-9.7764628533859144E-2</v>
      </c>
      <c r="T459" s="10">
        <f t="shared" si="1217"/>
        <v>1.1703333333333288E-2</v>
      </c>
      <c r="U459" s="10">
        <f t="shared" si="1218"/>
        <v>1.0000000000000009E-2</v>
      </c>
      <c r="V459" s="23">
        <v>-2.53E-2</v>
      </c>
      <c r="W459" s="83"/>
      <c r="X459" s="5">
        <v>44895</v>
      </c>
      <c r="Y459" s="43">
        <v>1322.632937750891</v>
      </c>
      <c r="Z459" s="2">
        <v>1135.152</v>
      </c>
      <c r="AA459" s="2">
        <v>108.1</v>
      </c>
      <c r="AB459" s="2">
        <v>98.27</v>
      </c>
      <c r="AC459" s="2">
        <v>152.1</v>
      </c>
      <c r="AD459" s="2">
        <v>134.56</v>
      </c>
      <c r="AE459" s="10">
        <f t="shared" si="1219"/>
        <v>0.73568625689912071</v>
      </c>
      <c r="AF459" s="10">
        <f t="shared" si="1227"/>
        <v>0.70304456079493183</v>
      </c>
      <c r="AG459" s="14">
        <f>Y459/24/30/10</f>
        <v>0.18369901913206818</v>
      </c>
      <c r="AH459" s="14">
        <f>Z459/24/30/10</f>
        <v>0.15765999999999999</v>
      </c>
      <c r="AI459" s="11">
        <v>0.98499999999999999</v>
      </c>
      <c r="AJ459" s="82">
        <v>0.99994000000000005</v>
      </c>
      <c r="AK459" s="10">
        <v>0.99</v>
      </c>
      <c r="AL459" s="17">
        <v>1</v>
      </c>
      <c r="AM459" s="1"/>
      <c r="AN459" s="81">
        <f t="shared" si="1225"/>
        <v>-0.14174827527711376</v>
      </c>
      <c r="AO459" s="10">
        <f t="shared" si="1228"/>
        <v>-0.11531886916502299</v>
      </c>
      <c r="AP459" s="10">
        <f t="shared" si="1229"/>
        <v>1.4940000000000064E-2</v>
      </c>
      <c r="AQ459" s="10">
        <f t="shared" si="1230"/>
        <v>1.0000000000000009E-2</v>
      </c>
      <c r="AR459" s="23">
        <v>-2.53E-2</v>
      </c>
    </row>
    <row r="460" spans="2:66">
      <c r="B460" s="5">
        <v>44926</v>
      </c>
      <c r="C460" s="114">
        <v>1108.040941311451</v>
      </c>
      <c r="D460" s="2">
        <v>983.44200000000001</v>
      </c>
      <c r="E460" s="2">
        <v>89.9</v>
      </c>
      <c r="F460" s="2">
        <v>72.790000000000006</v>
      </c>
      <c r="G460" s="2">
        <v>129.6</v>
      </c>
      <c r="H460" s="2">
        <v>115.19000000000001</v>
      </c>
      <c r="I460" s="10">
        <f t="shared" ref="I460:I466" si="1231">C460/12/G460/M460</f>
        <v>0.72332475644926664</v>
      </c>
      <c r="J460" s="10">
        <f t="shared" si="1226"/>
        <v>0.71251405234033838</v>
      </c>
      <c r="K460" s="41">
        <f>C460/24/31/10</f>
        <v>0.14893023404723801</v>
      </c>
      <c r="L460" s="41">
        <f>D460/24/31/10</f>
        <v>0.13218306451612905</v>
      </c>
      <c r="M460" s="11">
        <v>0.98499999999999999</v>
      </c>
      <c r="N460" s="82">
        <v>0.99852580645161293</v>
      </c>
      <c r="O460" s="10">
        <v>0.99</v>
      </c>
      <c r="P460" s="17">
        <v>1</v>
      </c>
      <c r="Q460" s="83"/>
      <c r="R460" s="81">
        <f t="shared" si="1215"/>
        <v>-0.11244976306017951</v>
      </c>
      <c r="S460" s="10">
        <f t="shared" si="1216"/>
        <v>-0.11118827160493816</v>
      </c>
      <c r="T460" s="10">
        <f t="shared" si="1217"/>
        <v>1.3525806451612943E-2</v>
      </c>
      <c r="U460" s="10">
        <f t="shared" si="1218"/>
        <v>1.0000000000000009E-2</v>
      </c>
      <c r="V460" s="23">
        <v>-1.9300000000000001E-2</v>
      </c>
      <c r="W460" s="83"/>
      <c r="X460" s="5">
        <v>44926</v>
      </c>
      <c r="Y460" s="43">
        <v>1111.3353576207353</v>
      </c>
      <c r="Z460" s="2">
        <v>967.27800000000002</v>
      </c>
      <c r="AA460" s="2">
        <v>89.9</v>
      </c>
      <c r="AB460" s="2">
        <v>81.760000000000005</v>
      </c>
      <c r="AC460" s="2">
        <v>129.6</v>
      </c>
      <c r="AD460" s="2">
        <v>117.48</v>
      </c>
      <c r="AE460" s="10">
        <f t="shared" si="1219"/>
        <v>0.72547533842301148</v>
      </c>
      <c r="AF460" s="10">
        <f t="shared" si="1227"/>
        <v>0.70546170500491467</v>
      </c>
      <c r="AG460" s="14">
        <f>Y460/24/31/10</f>
        <v>0.14937303193827087</v>
      </c>
      <c r="AH460" s="14">
        <f>Z460/24/31/10</f>
        <v>0.13001048387096775</v>
      </c>
      <c r="AI460" s="11">
        <v>0.98499999999999999</v>
      </c>
      <c r="AJ460" s="82">
        <v>0.97259645576630216</v>
      </c>
      <c r="AK460" s="10">
        <v>0.99</v>
      </c>
      <c r="AL460" s="17">
        <v>1</v>
      </c>
      <c r="AM460" s="1"/>
      <c r="AN460" s="81">
        <f t="shared" si="1225"/>
        <v>-0.12962546060727209</v>
      </c>
      <c r="AO460" s="10">
        <f t="shared" si="1228"/>
        <v>-9.3518518518518445E-2</v>
      </c>
      <c r="AP460" s="10">
        <f t="shared" si="1229"/>
        <v>-1.2403544233697827E-2</v>
      </c>
      <c r="AQ460" s="10">
        <f t="shared" si="1230"/>
        <v>1.0000000000000009E-2</v>
      </c>
      <c r="AR460" s="23">
        <v>-1.95E-2</v>
      </c>
    </row>
    <row r="461" spans="2:66">
      <c r="B461" s="5">
        <v>44957</v>
      </c>
      <c r="C461" s="114">
        <v>938.75635905451804</v>
      </c>
      <c r="D461" s="2">
        <v>752.04</v>
      </c>
      <c r="E461" s="2">
        <v>79.599999999999994</v>
      </c>
      <c r="F461" s="2">
        <v>61.790000000000006</v>
      </c>
      <c r="G461" s="2">
        <v>103.2</v>
      </c>
      <c r="H461" s="2">
        <v>85.230000000000018</v>
      </c>
      <c r="I461" s="10">
        <f t="shared" si="1231"/>
        <v>0.76958344732889172</v>
      </c>
      <c r="J461" s="10">
        <f t="shared" si="1226"/>
        <v>0.74157677445898851</v>
      </c>
      <c r="K461" s="41">
        <f>C461/24/31/10</f>
        <v>0.126176929980446</v>
      </c>
      <c r="L461" s="41">
        <f>D461/24/31/10</f>
        <v>0.10108064516129031</v>
      </c>
      <c r="M461" s="11">
        <v>0.98499999999999999</v>
      </c>
      <c r="N461" s="82">
        <v>0.99154193548387104</v>
      </c>
      <c r="O461" s="10">
        <v>0.99</v>
      </c>
      <c r="P461" s="17">
        <v>1</v>
      </c>
      <c r="Q461" s="83">
        <f t="shared" ref="Q461:Q466" si="1232">R461-S461</f>
        <v>-2.4769663466956748E-2</v>
      </c>
      <c r="R461" s="81">
        <f t="shared" si="1215"/>
        <v>-0.19889757044370082</v>
      </c>
      <c r="S461" s="10">
        <f t="shared" si="1216"/>
        <v>-0.17412790697674407</v>
      </c>
      <c r="T461" s="10">
        <f t="shared" si="1217"/>
        <v>6.5419354838710531E-3</v>
      </c>
      <c r="U461" s="10">
        <f t="shared" si="1218"/>
        <v>1.0000000000000009E-2</v>
      </c>
      <c r="V461" s="23">
        <v>-1.0999999999999999E-2</v>
      </c>
      <c r="W461" s="83"/>
      <c r="X461" s="5">
        <v>44957</v>
      </c>
      <c r="Y461" s="43">
        <v>934.90187821205507</v>
      </c>
      <c r="Z461" s="2">
        <v>754.59</v>
      </c>
      <c r="AA461" s="2">
        <v>79.599999999999994</v>
      </c>
      <c r="AB461" s="2">
        <v>68.47</v>
      </c>
      <c r="AC461" s="2">
        <v>103.2</v>
      </c>
      <c r="AD461" s="2">
        <v>87.930000000000021</v>
      </c>
      <c r="AE461" s="10">
        <f t="shared" si="1219"/>
        <v>0.76642358095270713</v>
      </c>
      <c r="AF461" s="10">
        <f t="shared" si="1227"/>
        <v>0.72349323946222888</v>
      </c>
      <c r="AG461" s="14">
        <f>Y461/24/31/10</f>
        <v>0.12565885459839449</v>
      </c>
      <c r="AH461" s="14">
        <f>Z461/24/31/10</f>
        <v>0.10142338709677419</v>
      </c>
      <c r="AI461" s="11">
        <v>0.98499999999999999</v>
      </c>
      <c r="AJ461" s="82">
        <v>0.98845806451612916</v>
      </c>
      <c r="AK461" s="10">
        <v>0.99</v>
      </c>
      <c r="AL461" s="17">
        <v>0.99762580645161292</v>
      </c>
      <c r="AM461" s="83">
        <f t="shared" ref="AM461:AM466" si="1233">AN461-AO461</f>
        <v>-4.49020523663618E-2</v>
      </c>
      <c r="AN461" s="81">
        <f t="shared" si="1225"/>
        <v>-0.19286716864543141</v>
      </c>
      <c r="AO461" s="10">
        <f t="shared" si="1228"/>
        <v>-0.14796511627906961</v>
      </c>
      <c r="AP461" s="10">
        <f t="shared" si="1229"/>
        <v>3.4580645161291779E-3</v>
      </c>
      <c r="AQ461" s="10">
        <f t="shared" si="1230"/>
        <v>7.6258064516129265E-3</v>
      </c>
      <c r="AR461" s="23">
        <v>-1.09E-2</v>
      </c>
    </row>
    <row r="462" spans="2:66">
      <c r="B462" s="5">
        <v>44985</v>
      </c>
      <c r="C462" s="114">
        <v>1228.664437340429</v>
      </c>
      <c r="D462" s="2">
        <v>1237.7280000000001</v>
      </c>
      <c r="E462" s="2">
        <v>108.1</v>
      </c>
      <c r="F462" s="2">
        <v>104.71000000000002</v>
      </c>
      <c r="G462" s="2">
        <v>137.5</v>
      </c>
      <c r="H462" s="2">
        <v>146.39999999999998</v>
      </c>
      <c r="I462" s="10">
        <f t="shared" si="1231"/>
        <v>0.75598488684228826</v>
      </c>
      <c r="J462" s="10">
        <f t="shared" si="1226"/>
        <v>0.70715209732113549</v>
      </c>
      <c r="K462" s="14">
        <f>C462/24/28/10</f>
        <v>0.18283696984232573</v>
      </c>
      <c r="L462" s="14">
        <f>D462/24/28/10</f>
        <v>0.18418571428571429</v>
      </c>
      <c r="M462" s="11">
        <v>0.98499999999999999</v>
      </c>
      <c r="N462" s="82">
        <v>0.99629983676020406</v>
      </c>
      <c r="O462" s="10">
        <v>0.99</v>
      </c>
      <c r="P462" s="17">
        <v>0.99800357142857143</v>
      </c>
      <c r="Q462" s="83">
        <f t="shared" si="1232"/>
        <v>-5.7350512739663406E-2</v>
      </c>
      <c r="R462" s="81">
        <f t="shared" si="1215"/>
        <v>7.3767599876091161E-3</v>
      </c>
      <c r="S462" s="10">
        <f t="shared" si="1216"/>
        <v>6.4727272727272522E-2</v>
      </c>
      <c r="T462" s="10">
        <f t="shared" si="1217"/>
        <v>1.1299836760204074E-2</v>
      </c>
      <c r="U462" s="10">
        <f t="shared" si="1218"/>
        <v>8.0035714285714432E-3</v>
      </c>
      <c r="V462" s="23">
        <v>-1.8599999999999998E-2</v>
      </c>
      <c r="W462" s="83"/>
      <c r="X462" s="5">
        <v>44985</v>
      </c>
      <c r="Y462" s="43">
        <v>1227.450121442047</v>
      </c>
      <c r="Z462" s="2">
        <v>1257.0540000000001</v>
      </c>
      <c r="AA462" s="2">
        <v>108.1</v>
      </c>
      <c r="AB462" s="2">
        <v>113.5</v>
      </c>
      <c r="AC462" s="2">
        <v>137.5</v>
      </c>
      <c r="AD462" s="2">
        <v>148.63999999999999</v>
      </c>
      <c r="AE462" s="10">
        <f t="shared" si="1219"/>
        <v>0.75523773046734166</v>
      </c>
      <c r="AF462" s="10">
        <f t="shared" si="1227"/>
        <v>0.70777307896512098</v>
      </c>
      <c r="AG462" s="14">
        <f>Y462/24/28/10</f>
        <v>0.18265626807173319</v>
      </c>
      <c r="AH462" s="14">
        <f>Z462/24/28/10</f>
        <v>0.18706160714285716</v>
      </c>
      <c r="AI462" s="11">
        <v>0.98499999999999999</v>
      </c>
      <c r="AJ462" s="82">
        <v>0.99573311795918362</v>
      </c>
      <c r="AK462" s="10">
        <v>0.99</v>
      </c>
      <c r="AL462" s="17">
        <v>0.99800357142857143</v>
      </c>
      <c r="AM462" s="83">
        <f t="shared" si="1233"/>
        <v>-5.6899989118690542E-2</v>
      </c>
      <c r="AN462" s="81">
        <f t="shared" si="1225"/>
        <v>2.4118192699491114E-2</v>
      </c>
      <c r="AO462" s="10">
        <f t="shared" si="1228"/>
        <v>8.1018181818181656E-2</v>
      </c>
      <c r="AP462" s="10">
        <f t="shared" si="1229"/>
        <v>1.0733117959183636E-2</v>
      </c>
      <c r="AQ462" s="10">
        <f t="shared" si="1230"/>
        <v>8.0035714285714432E-3</v>
      </c>
      <c r="AR462" s="23">
        <v>-1.6899999999999998E-2</v>
      </c>
    </row>
    <row r="463" spans="2:66">
      <c r="B463" s="5">
        <v>45016</v>
      </c>
      <c r="C463" s="114">
        <v>1644.7362163618757</v>
      </c>
      <c r="D463" s="2">
        <v>1420.806</v>
      </c>
      <c r="E463" s="2">
        <v>161.4</v>
      </c>
      <c r="F463" s="2">
        <v>142.55000000000001</v>
      </c>
      <c r="G463" s="2">
        <v>187.8</v>
      </c>
      <c r="H463" s="2">
        <v>171.12999999999997</v>
      </c>
      <c r="I463" s="10">
        <f t="shared" si="1231"/>
        <v>0.74094025593427315</v>
      </c>
      <c r="J463" s="10">
        <f t="shared" ref="J463:J469" si="1234">D463/12/H463/N463</f>
        <v>0.70037397534001822</v>
      </c>
      <c r="K463" s="14">
        <f>C463/24/31/10</f>
        <v>0.22106669574756393</v>
      </c>
      <c r="L463" s="14">
        <f>D463/24/31/10</f>
        <v>0.19096854838709679</v>
      </c>
      <c r="M463" s="11">
        <v>0.98499999999999999</v>
      </c>
      <c r="N463" s="82">
        <v>0.98786451612903237</v>
      </c>
      <c r="O463" s="10">
        <v>0.99</v>
      </c>
      <c r="P463" s="17">
        <v>1</v>
      </c>
      <c r="Q463" s="83">
        <f t="shared" si="1232"/>
        <v>-4.7384980108927222E-2</v>
      </c>
      <c r="R463" s="81">
        <f t="shared" ref="R463" si="1235">D463/C463-1</f>
        <v>-0.13614962334641412</v>
      </c>
      <c r="S463" s="10">
        <f t="shared" ref="S463" si="1236">H463/G463-1</f>
        <v>-8.8764643237486895E-2</v>
      </c>
      <c r="T463" s="10">
        <f t="shared" ref="T463" si="1237">N463-M463</f>
        <v>2.8645161290323795E-3</v>
      </c>
      <c r="U463" s="10">
        <f t="shared" ref="U463" si="1238">P463-O463</f>
        <v>1.0000000000000009E-2</v>
      </c>
      <c r="V463" s="23">
        <v>-1.4200000000000001E-2</v>
      </c>
      <c r="W463" s="83"/>
      <c r="X463" s="5">
        <v>45016</v>
      </c>
      <c r="Y463" s="43">
        <v>1646.1430200097425</v>
      </c>
      <c r="Z463" s="2">
        <v>1438.752</v>
      </c>
      <c r="AA463" s="2">
        <v>161.4</v>
      </c>
      <c r="AB463" s="2">
        <v>149.16000000000003</v>
      </c>
      <c r="AC463" s="2">
        <v>187.8</v>
      </c>
      <c r="AD463" s="2">
        <v>170.12000000000003</v>
      </c>
      <c r="AE463" s="10">
        <f t="shared" ref="AE463" si="1239">Y463/12/AC463/AI463</f>
        <v>0.74157400950796493</v>
      </c>
      <c r="AF463" s="10">
        <f t="shared" si="1227"/>
        <v>0.71080577877232709</v>
      </c>
      <c r="AG463" s="14">
        <f>Y463/24/31/10</f>
        <v>0.22125578225937398</v>
      </c>
      <c r="AH463" s="14">
        <f>Z463/24/31/10</f>
        <v>0.19338064516129033</v>
      </c>
      <c r="AI463" s="11">
        <v>0.98499999999999999</v>
      </c>
      <c r="AJ463" s="82">
        <v>0.99151290322580643</v>
      </c>
      <c r="AK463" s="10">
        <v>0.99</v>
      </c>
      <c r="AL463" s="17">
        <v>1</v>
      </c>
      <c r="AM463" s="83">
        <f t="shared" si="1233"/>
        <v>-3.184332262945222E-2</v>
      </c>
      <c r="AN463" s="81">
        <f t="shared" si="1225"/>
        <v>-0.12598602763477695</v>
      </c>
      <c r="AO463" s="10">
        <f t="shared" si="1228"/>
        <v>-9.4142705005324734E-2</v>
      </c>
      <c r="AP463" s="10">
        <f t="shared" si="1229"/>
        <v>6.5129032258064434E-3</v>
      </c>
      <c r="AQ463" s="10">
        <f t="shared" si="1230"/>
        <v>1.0000000000000009E-2</v>
      </c>
      <c r="AR463" s="23">
        <v>-1.49E-2</v>
      </c>
    </row>
    <row r="464" spans="2:66">
      <c r="B464" s="5">
        <f>EOMONTH(B463,1)</f>
        <v>45046</v>
      </c>
      <c r="C464" s="114">
        <v>1702.0020096035373</v>
      </c>
      <c r="D464" s="2">
        <v>1515.06</v>
      </c>
      <c r="E464" s="2">
        <v>190.2</v>
      </c>
      <c r="F464" s="2">
        <v>179.47999999999996</v>
      </c>
      <c r="G464" s="2">
        <v>194</v>
      </c>
      <c r="H464" s="2">
        <v>187.25</v>
      </c>
      <c r="I464" s="10">
        <f t="shared" si="1231"/>
        <v>0.74223403003974453</v>
      </c>
      <c r="J464" s="10">
        <f t="shared" si="1234"/>
        <v>0.68987078794726808</v>
      </c>
      <c r="K464" s="14">
        <f t="shared" ref="K464:K469" si="1240">C464/24/DAY(B464)/10</f>
        <v>0.23638916800049131</v>
      </c>
      <c r="L464" s="14">
        <f t="shared" ref="L464:L469" si="1241">D464/24/DAY(B464)/10</f>
        <v>0.210425</v>
      </c>
      <c r="M464" s="11">
        <v>0.98499999999999999</v>
      </c>
      <c r="N464" s="82">
        <v>0.97736999999999996</v>
      </c>
      <c r="O464" s="10">
        <v>0.99</v>
      </c>
      <c r="P464" s="17">
        <v>1</v>
      </c>
      <c r="Q464" s="83">
        <f t="shared" si="1232"/>
        <v>-7.5042724271852101E-2</v>
      </c>
      <c r="R464" s="81">
        <f t="shared" ref="R464:R466" si="1242">D464/C464-1</f>
        <v>-0.10983653870484178</v>
      </c>
      <c r="S464" s="10">
        <f t="shared" ref="S464:S466" si="1243">H464/G464-1</f>
        <v>-3.4793814432989678E-2</v>
      </c>
      <c r="T464" s="10">
        <f t="shared" ref="T464:T466" si="1244">N464-M464</f>
        <v>-7.6300000000000257E-3</v>
      </c>
      <c r="U464" s="10">
        <f t="shared" ref="U464:U466" si="1245">P464-O464</f>
        <v>1.0000000000000009E-2</v>
      </c>
      <c r="V464" s="23">
        <v>-2.4488930774678765E-2</v>
      </c>
      <c r="W464" s="83"/>
      <c r="X464" s="5">
        <f>EOMONTH(X463,1)</f>
        <v>45046</v>
      </c>
      <c r="Y464" s="43">
        <v>1702.505525586163</v>
      </c>
      <c r="Z464" s="2">
        <v>1546.9380000000001</v>
      </c>
      <c r="AA464" s="2">
        <v>190.2</v>
      </c>
      <c r="AB464" s="2">
        <v>182.11</v>
      </c>
      <c r="AC464" s="2">
        <v>194</v>
      </c>
      <c r="AD464" s="2">
        <v>188.19000000000003</v>
      </c>
      <c r="AE464" s="10">
        <f t="shared" ref="AE464" si="1246">Y464/12/AC464/AI464</f>
        <v>0.74245361068351867</v>
      </c>
      <c r="AF464" s="10">
        <f t="shared" ref="AF464" si="1247">Z464/12/AD464/AJ464</f>
        <v>0.69822456460920002</v>
      </c>
      <c r="AG464" s="14">
        <f>Y464/24/DAY(X464)/10</f>
        <v>0.236459100775856</v>
      </c>
      <c r="AH464" s="14">
        <f>Z464/24/DAY(X464)/10</f>
        <v>0.21485250000000003</v>
      </c>
      <c r="AI464" s="11">
        <v>0.98499999999999999</v>
      </c>
      <c r="AJ464" s="82">
        <v>0.98107</v>
      </c>
      <c r="AK464" s="10">
        <v>0.99</v>
      </c>
      <c r="AL464" s="17">
        <v>1</v>
      </c>
      <c r="AM464" s="83">
        <f t="shared" si="1233"/>
        <v>-6.1427182622126764E-2</v>
      </c>
      <c r="AN464" s="81">
        <f t="shared" ref="AN464" si="1248">Z464/Y464-1</f>
        <v>-9.1375636230374035E-2</v>
      </c>
      <c r="AO464" s="10">
        <f t="shared" ref="AO464" si="1249">AD464/AC464-1</f>
        <v>-2.9948453608247272E-2</v>
      </c>
      <c r="AP464" s="10">
        <f t="shared" ref="AP464" si="1250">AJ464-AI464</f>
        <v>-3.9299999999999891E-3</v>
      </c>
      <c r="AQ464" s="10">
        <f t="shared" ref="AQ464" si="1251">AL464-AK464</f>
        <v>1.0000000000000009E-2</v>
      </c>
      <c r="AR464" s="23">
        <v>-2.4201971237785461E-2</v>
      </c>
    </row>
    <row r="465" spans="2:44">
      <c r="B465" s="5">
        <f t="shared" ref="B465:B496" si="1252">EOMONTH(B464,1)</f>
        <v>45077</v>
      </c>
      <c r="C465" s="114">
        <v>1724.3714600885614</v>
      </c>
      <c r="D465" s="2">
        <v>1511.3040000000001</v>
      </c>
      <c r="E465" s="2">
        <v>197</v>
      </c>
      <c r="F465" s="2">
        <v>194.24</v>
      </c>
      <c r="G465" s="2">
        <v>197.7</v>
      </c>
      <c r="H465" s="2">
        <v>191.43</v>
      </c>
      <c r="I465" s="10">
        <f t="shared" si="1231"/>
        <v>0.73791558082438802</v>
      </c>
      <c r="J465" s="10">
        <f t="shared" si="1234"/>
        <v>0.69055158583122433</v>
      </c>
      <c r="K465" s="14">
        <f t="shared" si="1240"/>
        <v>0.23177035753878514</v>
      </c>
      <c r="L465" s="14">
        <f t="shared" si="1241"/>
        <v>0.20313225806451615</v>
      </c>
      <c r="M465" s="11">
        <v>0.98499999999999999</v>
      </c>
      <c r="N465" s="82">
        <v>0.9527181950468262</v>
      </c>
      <c r="O465" s="10">
        <v>0.99</v>
      </c>
      <c r="P465" s="17">
        <v>0.99396451612903225</v>
      </c>
      <c r="Q465" s="83">
        <f t="shared" si="1232"/>
        <v>-9.1847671442972456E-2</v>
      </c>
      <c r="R465" s="81">
        <f t="shared" si="1242"/>
        <v>-0.12356239071459607</v>
      </c>
      <c r="S465" s="10">
        <f t="shared" si="1243"/>
        <v>-3.1714719271623615E-2</v>
      </c>
      <c r="T465" s="10">
        <f t="shared" si="1244"/>
        <v>-3.2281804953173787E-2</v>
      </c>
      <c r="U465" s="10">
        <f t="shared" si="1245"/>
        <v>3.9645161290322584E-3</v>
      </c>
      <c r="V465" s="23">
        <v>-1.41E-2</v>
      </c>
      <c r="W465" s="83"/>
      <c r="X465" s="5">
        <f t="shared" ref="X465:X496" si="1253">EOMONTH(X464,1)</f>
        <v>45077</v>
      </c>
      <c r="Y465" s="43">
        <v>1724.8715992275997</v>
      </c>
      <c r="Z465" s="2">
        <v>1469.502</v>
      </c>
      <c r="AA465" s="2">
        <v>197</v>
      </c>
      <c r="AB465" s="2">
        <v>190.73</v>
      </c>
      <c r="AC465" s="2">
        <v>197.7</v>
      </c>
      <c r="AD465" s="2">
        <v>190.65000000000003</v>
      </c>
      <c r="AE465" s="10">
        <f t="shared" ref="AE465" si="1254">Y465/12/AC465/AI465</f>
        <v>0.73812960690392981</v>
      </c>
      <c r="AF465" s="10">
        <f t="shared" ref="AF465" si="1255">Z465/12/AD465/AJ465</f>
        <v>0.69687103236642844</v>
      </c>
      <c r="AG465" s="14">
        <f>Y465/24/DAY(X465)/10</f>
        <v>0.23183758054134404</v>
      </c>
      <c r="AH465" s="14">
        <f>Z465/24/DAY(X465)/10</f>
        <v>0.19751370967741935</v>
      </c>
      <c r="AI465" s="11">
        <v>0.98499999999999999</v>
      </c>
      <c r="AJ465" s="82">
        <v>0.9217214911342354</v>
      </c>
      <c r="AK465" s="10">
        <v>0.99</v>
      </c>
      <c r="AL465" s="17">
        <v>0.99364193548387103</v>
      </c>
      <c r="AM465" s="83">
        <f t="shared" si="1233"/>
        <v>-0.11239127656893411</v>
      </c>
      <c r="AN465" s="81">
        <f t="shared" ref="AN465:AN466" si="1256">Z465/Y465-1</f>
        <v>-0.14805136761597482</v>
      </c>
      <c r="AO465" s="10">
        <f t="shared" ref="AO465:AO466" si="1257">AD465/AC465-1</f>
        <v>-3.566009104704071E-2</v>
      </c>
      <c r="AP465" s="10">
        <f t="shared" ref="AP465:AP466" si="1258">AJ465-AI465</f>
        <v>-6.3278508865764582E-2</v>
      </c>
      <c r="AQ465" s="10">
        <f t="shared" ref="AQ465:AQ466" si="1259">AL465-AK465</f>
        <v>3.6419354838710394E-3</v>
      </c>
      <c r="AR465" s="23">
        <v>-1.46E-2</v>
      </c>
    </row>
    <row r="466" spans="2:44">
      <c r="B466" s="5">
        <f t="shared" si="1252"/>
        <v>45107</v>
      </c>
      <c r="C466" s="114">
        <v>1550.7845243247752</v>
      </c>
      <c r="D466" s="2">
        <v>1413.5940000000001</v>
      </c>
      <c r="E466" s="2">
        <v>178.9</v>
      </c>
      <c r="F466" s="2">
        <v>173.85999999999999</v>
      </c>
      <c r="G466" s="2">
        <v>177.2</v>
      </c>
      <c r="H466" s="2">
        <v>167.66000000000003</v>
      </c>
      <c r="I466" s="10">
        <f t="shared" si="1231"/>
        <v>0.74040657087538397</v>
      </c>
      <c r="J466" s="10">
        <f t="shared" si="1234"/>
        <v>0.71050792748563896</v>
      </c>
      <c r="K466" s="14">
        <f t="shared" si="1240"/>
        <v>0.21538673948955211</v>
      </c>
      <c r="L466" s="14">
        <f t="shared" si="1241"/>
        <v>0.19633250000000002</v>
      </c>
      <c r="M466" s="11">
        <v>0.98499999999999999</v>
      </c>
      <c r="N466" s="82">
        <v>0.98888333333333345</v>
      </c>
      <c r="O466" s="10">
        <v>0.99</v>
      </c>
      <c r="P466" s="17">
        <v>1</v>
      </c>
      <c r="Q466" s="83">
        <f t="shared" si="1232"/>
        <v>-3.4627767695741163E-2</v>
      </c>
      <c r="R466" s="81">
        <f t="shared" si="1242"/>
        <v>-8.8465239479036617E-2</v>
      </c>
      <c r="S466" s="10">
        <f t="shared" si="1243"/>
        <v>-5.3837471783295454E-2</v>
      </c>
      <c r="T466" s="10">
        <f t="shared" si="1244"/>
        <v>3.8833333333334608E-3</v>
      </c>
      <c r="U466" s="10">
        <f t="shared" si="1245"/>
        <v>1.0000000000000009E-2</v>
      </c>
      <c r="V466" s="23">
        <v>-1.46E-2</v>
      </c>
      <c r="W466" s="83"/>
      <c r="X466" s="5">
        <f t="shared" si="1253"/>
        <v>45107</v>
      </c>
      <c r="Y466" s="43">
        <v>1548.6269389330785</v>
      </c>
      <c r="Z466" s="2">
        <v>1402.212</v>
      </c>
      <c r="AA466" s="2">
        <v>178.9</v>
      </c>
      <c r="AB466" s="2">
        <v>169.89000000000001</v>
      </c>
      <c r="AC466" s="2">
        <v>177.2</v>
      </c>
      <c r="AD466" s="2">
        <v>167.28999999999996</v>
      </c>
      <c r="AE466" s="10">
        <f t="shared" ref="AE466" si="1260">Y466/12/AC466/AI466</f>
        <v>0.7393764532954239</v>
      </c>
      <c r="AF466" s="10">
        <f t="shared" ref="AF466" si="1261">Z466/12/AD466/AJ466</f>
        <v>0.70667695292441712</v>
      </c>
      <c r="AG466" s="14">
        <f>Y466/24/DAY(X466)/10</f>
        <v>0.21508707485181647</v>
      </c>
      <c r="AH466" s="14">
        <f>Z466/24/DAY(X466)/10</f>
        <v>0.19475166666666666</v>
      </c>
      <c r="AI466" s="11">
        <v>0.98499999999999999</v>
      </c>
      <c r="AJ466" s="82">
        <v>0.98842000000000008</v>
      </c>
      <c r="AK466" s="10">
        <v>0.99</v>
      </c>
      <c r="AL466" s="17">
        <v>1</v>
      </c>
      <c r="AM466" s="83">
        <f t="shared" si="1233"/>
        <v>-3.8619495322597786E-2</v>
      </c>
      <c r="AN466" s="81">
        <f t="shared" si="1256"/>
        <v>-9.4545003223275081E-2</v>
      </c>
      <c r="AO466" s="10">
        <f t="shared" si="1257"/>
        <v>-5.5925507900677296E-2</v>
      </c>
      <c r="AP466" s="10">
        <f t="shared" si="1258"/>
        <v>3.4200000000000896E-3</v>
      </c>
      <c r="AQ466" s="10">
        <f t="shared" si="1259"/>
        <v>1.0000000000000009E-2</v>
      </c>
      <c r="AR466" s="23">
        <v>-1.52E-2</v>
      </c>
    </row>
    <row r="467" spans="2:44">
      <c r="B467" s="5">
        <f t="shared" si="1252"/>
        <v>45138</v>
      </c>
      <c r="C467" s="114">
        <v>1375.4080325221871</v>
      </c>
      <c r="D467" s="2">
        <v>1117.4760000000056</v>
      </c>
      <c r="E467" s="2">
        <v>155.5</v>
      </c>
      <c r="F467" s="2">
        <v>140.26</v>
      </c>
      <c r="G467" s="2">
        <v>154.6</v>
      </c>
      <c r="H467" s="2">
        <v>136.38999999999999</v>
      </c>
      <c r="I467" s="10">
        <f t="shared" ref="I467" si="1262">C467/12/G467/M467</f>
        <v>0.75266997224549093</v>
      </c>
      <c r="J467" s="10">
        <f t="shared" si="1234"/>
        <v>0.72610437537738681</v>
      </c>
      <c r="K467" s="14">
        <f t="shared" si="1240"/>
        <v>0.18486667103792837</v>
      </c>
      <c r="L467" s="14">
        <f t="shared" si="1241"/>
        <v>0.15019838709677494</v>
      </c>
      <c r="M467" s="11">
        <v>0.98499999999999999</v>
      </c>
      <c r="N467" s="82">
        <v>0.94031935483870976</v>
      </c>
      <c r="O467" s="10">
        <v>0.99</v>
      </c>
      <c r="P467" s="17">
        <v>1</v>
      </c>
      <c r="Q467" s="83">
        <f t="shared" ref="Q467" si="1263">R467-S467</f>
        <v>-6.9743443075737321E-2</v>
      </c>
      <c r="R467" s="81">
        <f t="shared" ref="R467" si="1264">D467/C467-1</f>
        <v>-0.18753128266176589</v>
      </c>
      <c r="S467" s="10">
        <f t="shared" ref="S467" si="1265">H467/G467-1</f>
        <v>-0.11778783958602856</v>
      </c>
      <c r="T467" s="10">
        <f t="shared" ref="T467" si="1266">N467-M467</f>
        <v>-4.4680645161290222E-2</v>
      </c>
      <c r="U467" s="10">
        <f t="shared" ref="U467" si="1267">P467-O467</f>
        <v>1.0000000000000009E-2</v>
      </c>
      <c r="V467" s="23">
        <v>0</v>
      </c>
      <c r="W467" s="83"/>
      <c r="X467" s="5">
        <f t="shared" si="1253"/>
        <v>45138</v>
      </c>
      <c r="Y467" s="43">
        <v>1370.5929927472421</v>
      </c>
      <c r="Z467" s="2">
        <v>1109.682</v>
      </c>
      <c r="AA467" s="2">
        <v>155.5</v>
      </c>
      <c r="AB467" s="2">
        <v>138.42000000000002</v>
      </c>
      <c r="AC467" s="2">
        <v>154.6</v>
      </c>
      <c r="AD467" s="2">
        <v>136.71</v>
      </c>
      <c r="AE467" s="10">
        <f t="shared" ref="AE467" si="1268">Y467/12/AC467/AI467</f>
        <v>0.75003501900392588</v>
      </c>
      <c r="AF467" s="10">
        <f t="shared" ref="AF467" si="1269">Z467/12/AD467/AJ467</f>
        <v>0.71690522263867362</v>
      </c>
      <c r="AG467" s="14">
        <f>Y467/24/DAY(X467)/10</f>
        <v>0.18421948827247878</v>
      </c>
      <c r="AH467" s="14">
        <f>Z467/24/DAY(X467)/10</f>
        <v>0.14915080645161291</v>
      </c>
      <c r="AI467" s="11">
        <v>0.98499999999999999</v>
      </c>
      <c r="AJ467" s="11">
        <v>0.94352903225806439</v>
      </c>
      <c r="AK467" s="10">
        <v>0.99</v>
      </c>
      <c r="AL467" s="17">
        <v>1</v>
      </c>
      <c r="AM467" s="83">
        <f t="shared" ref="AM467" si="1270">AN467-AO467</f>
        <v>-7.4645600974951987E-2</v>
      </c>
      <c r="AN467" s="81">
        <f t="shared" ref="AN467" si="1271">Z467/Y467-1</f>
        <v>-0.19036358286369703</v>
      </c>
      <c r="AO467" s="10">
        <f t="shared" ref="AO467" si="1272">AD467/AC467-1</f>
        <v>-0.11571798188874505</v>
      </c>
      <c r="AP467" s="10">
        <f t="shared" ref="AP467" si="1273">AJ467-AI467</f>
        <v>-4.1470967741935594E-2</v>
      </c>
      <c r="AQ467" s="10">
        <f t="shared" ref="AQ467" si="1274">AL467-AK467</f>
        <v>1.0000000000000009E-2</v>
      </c>
      <c r="AR467" s="23">
        <v>0</v>
      </c>
    </row>
    <row r="468" spans="2:44">
      <c r="B468" s="5">
        <f t="shared" si="1252"/>
        <v>45169</v>
      </c>
      <c r="C468" s="114">
        <v>1306.5101250283128</v>
      </c>
      <c r="D468" s="2">
        <f>1131672/1000</f>
        <v>1131.672</v>
      </c>
      <c r="E468" s="2">
        <v>145.4</v>
      </c>
      <c r="F468" s="2">
        <v>132.69999999999999</v>
      </c>
      <c r="G468" s="2">
        <v>146.30000000000001</v>
      </c>
      <c r="H468" s="2">
        <v>133.33000000000001</v>
      </c>
      <c r="I468" s="10">
        <f t="shared" ref="I468:I469" si="1275">C468/12/G468/M468</f>
        <v>0.75552871855938464</v>
      </c>
      <c r="J468" s="10">
        <f t="shared" si="1234"/>
        <v>0.71825800807561624</v>
      </c>
      <c r="K468" s="14">
        <f t="shared" si="1240"/>
        <v>0.17560619960057969</v>
      </c>
      <c r="L468" s="14">
        <f t="shared" si="1241"/>
        <v>0.1521064516129032</v>
      </c>
      <c r="M468" s="11">
        <v>0.98499999999999999</v>
      </c>
      <c r="N468" s="82">
        <v>0.98476129032258064</v>
      </c>
      <c r="O468" s="10">
        <v>0.99</v>
      </c>
      <c r="P468" s="17">
        <v>1</v>
      </c>
      <c r="Q468" s="83">
        <f t="shared" ref="Q468" si="1276">R468-S468</f>
        <v>-4.516726773686508E-2</v>
      </c>
      <c r="R468" s="81">
        <f t="shared" ref="R468" si="1277">D468/C468-1</f>
        <v>-0.13382071954821162</v>
      </c>
      <c r="S468" s="10">
        <f t="shared" ref="S468" si="1278">H468/G468-1</f>
        <v>-8.865345181134654E-2</v>
      </c>
      <c r="T468" s="10">
        <f t="shared" ref="T468" si="1279">N468-M468</f>
        <v>-2.3870967741934646E-4</v>
      </c>
      <c r="U468" s="10">
        <f t="shared" ref="U468" si="1280">P468-O468</f>
        <v>1.0000000000000009E-2</v>
      </c>
      <c r="V468" s="23">
        <v>-5.5999999999999999E-3</v>
      </c>
      <c r="W468" s="83"/>
      <c r="X468" s="5">
        <f t="shared" si="1253"/>
        <v>45169</v>
      </c>
      <c r="Y468" s="43">
        <v>1301.705485931617</v>
      </c>
      <c r="Z468" s="2">
        <f>1135314/1000</f>
        <v>1135.3140000000001</v>
      </c>
      <c r="AA468" s="2">
        <v>145.4</v>
      </c>
      <c r="AB468" s="2">
        <v>132.81</v>
      </c>
      <c r="AC468" s="2">
        <v>146.30000000000001</v>
      </c>
      <c r="AD468" s="2">
        <v>133.71</v>
      </c>
      <c r="AE468" s="10">
        <f t="shared" ref="AE468:AE471" si="1281">Y468/12/AC468/AI468</f>
        <v>0.75275029170273222</v>
      </c>
      <c r="AF468" s="10">
        <f t="shared" ref="AF468:AF471" si="1282">Z468/12/AD468/AJ468</f>
        <v>0.72811941831889626</v>
      </c>
      <c r="AG468" s="14">
        <f>Y468/24/DAY(X468)/10</f>
        <v>0.17496041477575497</v>
      </c>
      <c r="AH468" s="14">
        <f>Z468/24/DAY(X468)/10</f>
        <v>0.15259596774193551</v>
      </c>
      <c r="AI468" s="11">
        <v>0.98499999999999999</v>
      </c>
      <c r="AJ468" s="11">
        <v>0.97178064516129026</v>
      </c>
      <c r="AK468" s="10">
        <v>0.99</v>
      </c>
      <c r="AL468" s="17">
        <v>1</v>
      </c>
      <c r="AM468" s="83">
        <f t="shared" ref="AM468:AM471" si="1283">AN468-AO468</f>
        <v>-4.1769705328783768E-2</v>
      </c>
      <c r="AN468" s="81">
        <f t="shared" ref="AN468:AN471" si="1284">Z468/Y468-1</f>
        <v>-0.12782575454272771</v>
      </c>
      <c r="AO468" s="10">
        <f t="shared" ref="AO468:AO471" si="1285">AD468/AC468-1</f>
        <v>-8.6056049213943941E-2</v>
      </c>
      <c r="AP468" s="10">
        <f t="shared" ref="AP468:AP471" si="1286">AJ468-AI468</f>
        <v>-1.3219354838709729E-2</v>
      </c>
      <c r="AQ468" s="10">
        <f t="shared" ref="AQ468:AQ471" si="1287">AL468-AK468</f>
        <v>1.0000000000000009E-2</v>
      </c>
      <c r="AR468" s="23">
        <v>-5.3E-3</v>
      </c>
    </row>
    <row r="469" spans="2:44">
      <c r="B469" s="5">
        <f t="shared" si="1252"/>
        <v>45199</v>
      </c>
      <c r="C469" s="114">
        <v>1300.246678892506</v>
      </c>
      <c r="D469" s="2">
        <f>1256814/1000</f>
        <v>1256.8140000000001</v>
      </c>
      <c r="E469" s="2">
        <v>141.6</v>
      </c>
      <c r="F469" s="2">
        <v>140.91999999999999</v>
      </c>
      <c r="G469" s="2">
        <v>145.5</v>
      </c>
      <c r="H469" s="2">
        <v>149.81000000000006</v>
      </c>
      <c r="I469" s="10">
        <f t="shared" si="1275"/>
        <v>0.75604088759369115</v>
      </c>
      <c r="J469" s="10">
        <f t="shared" si="1234"/>
        <v>0.71523942717875388</v>
      </c>
      <c r="K469" s="14">
        <f t="shared" si="1240"/>
        <v>0.18058981651284806</v>
      </c>
      <c r="L469" s="14">
        <f t="shared" si="1241"/>
        <v>0.1745575</v>
      </c>
      <c r="M469" s="11">
        <v>0.98499999999999999</v>
      </c>
      <c r="N469" s="82">
        <v>0.97745666666666675</v>
      </c>
      <c r="O469" s="10">
        <v>0.99</v>
      </c>
      <c r="P469" s="17">
        <v>1</v>
      </c>
      <c r="Q469" s="83">
        <f t="shared" ref="Q469:Q472" si="1288">R469-S469</f>
        <v>-6.3025407723446225E-2</v>
      </c>
      <c r="R469" s="81">
        <f t="shared" ref="R469:R470" si="1289">D469/C469-1</f>
        <v>-3.3403414596298031E-2</v>
      </c>
      <c r="S469" s="10">
        <f t="shared" ref="S469:S470" si="1290">H469/G469-1</f>
        <v>2.9621993127148194E-2</v>
      </c>
      <c r="T469" s="10">
        <f t="shared" ref="T469:T470" si="1291">N469-M469</f>
        <v>-7.5433333333332353E-3</v>
      </c>
      <c r="U469" s="10">
        <f t="shared" ref="U469:U470" si="1292">P469-O469</f>
        <v>1.0000000000000009E-2</v>
      </c>
      <c r="V469" s="23">
        <v>-1.1900000000000001E-2</v>
      </c>
      <c r="W469" s="83"/>
      <c r="X469" s="5">
        <f t="shared" si="1253"/>
        <v>45199</v>
      </c>
      <c r="Y469" s="43">
        <v>1297.2322712033301</v>
      </c>
      <c r="Z469" s="2">
        <f>1281336/1000</f>
        <v>1281.336</v>
      </c>
      <c r="AA469" s="2">
        <v>141.6</v>
      </c>
      <c r="AB469" s="2">
        <v>141.79</v>
      </c>
      <c r="AC469" s="2">
        <v>145.5</v>
      </c>
      <c r="AD469" s="2">
        <v>147.78</v>
      </c>
      <c r="AE469" s="10">
        <f t="shared" si="1281"/>
        <v>0.75428813136528472</v>
      </c>
      <c r="AF469" s="10">
        <f t="shared" si="1282"/>
        <v>0.73273943490754323</v>
      </c>
      <c r="AG469" s="14">
        <f t="shared" ref="AG469" si="1293">Y469/24/DAY(X469)/10</f>
        <v>0.18017114877824031</v>
      </c>
      <c r="AH469" s="14">
        <f t="shared" ref="AH469" si="1294">Z469/24/DAY(X469)/10</f>
        <v>0.17796333333333333</v>
      </c>
      <c r="AI469" s="11">
        <v>0.98499999999999999</v>
      </c>
      <c r="AJ469" s="11">
        <v>0.98609000000000013</v>
      </c>
      <c r="AK469" s="10">
        <v>0.99</v>
      </c>
      <c r="AL469" s="17">
        <v>1</v>
      </c>
      <c r="AM469" s="83">
        <f t="shared" si="1283"/>
        <v>-2.7924093034449426E-2</v>
      </c>
      <c r="AN469" s="81">
        <f t="shared" si="1284"/>
        <v>-1.2253989941665933E-2</v>
      </c>
      <c r="AO469" s="10">
        <f t="shared" si="1285"/>
        <v>1.5670103092783494E-2</v>
      </c>
      <c r="AP469" s="10">
        <f t="shared" si="1286"/>
        <v>1.0900000000001464E-3</v>
      </c>
      <c r="AQ469" s="10">
        <f t="shared" si="1287"/>
        <v>1.0000000000000009E-2</v>
      </c>
      <c r="AR469" s="23">
        <v>-1.0999999999999999E-2</v>
      </c>
    </row>
    <row r="470" spans="2:44">
      <c r="B470" s="5">
        <f t="shared" si="1252"/>
        <v>45230</v>
      </c>
      <c r="C470" s="114">
        <v>1487.2552849473068</v>
      </c>
      <c r="D470" s="2">
        <f>1401900/1000</f>
        <v>1401.9</v>
      </c>
      <c r="E470" s="2">
        <v>139.1</v>
      </c>
      <c r="F470" s="2">
        <v>136.64999999999998</v>
      </c>
      <c r="G470" s="2">
        <v>172.2</v>
      </c>
      <c r="H470" s="2">
        <v>173.2</v>
      </c>
      <c r="I470" s="10">
        <f t="shared" ref="I470:I472" si="1295">C470/12/G470/M470</f>
        <v>0.73069291646636592</v>
      </c>
      <c r="J470" s="10">
        <f t="shared" ref="J470:J472" si="1296">D470/12/H470/N470</f>
        <v>0.71532425538923994</v>
      </c>
      <c r="K470" s="14">
        <f t="shared" ref="K470:K472" si="1297">C470/24/DAY(B470)/10</f>
        <v>0.19989990389076703</v>
      </c>
      <c r="L470" s="14">
        <f t="shared" ref="L470:L472" si="1298">D470/24/DAY(B470)/10</f>
        <v>0.1884274193548387</v>
      </c>
      <c r="M470" s="11">
        <v>0.98499999999999999</v>
      </c>
      <c r="N470" s="82">
        <v>0.94294193548387095</v>
      </c>
      <c r="O470" s="10">
        <v>0.99</v>
      </c>
      <c r="P470" s="17">
        <v>1</v>
      </c>
      <c r="Q470" s="83">
        <f t="shared" si="1288"/>
        <v>-6.3198346760804602E-2</v>
      </c>
      <c r="R470" s="81">
        <f t="shared" si="1289"/>
        <v>-5.7391145831652501E-2</v>
      </c>
      <c r="S470" s="10">
        <f t="shared" si="1290"/>
        <v>5.807200929152101E-3</v>
      </c>
      <c r="T470" s="10">
        <f t="shared" si="1291"/>
        <v>-4.2058064516129035E-2</v>
      </c>
      <c r="U470" s="10">
        <f t="shared" si="1292"/>
        <v>1.0000000000000009E-2</v>
      </c>
      <c r="V470" s="23">
        <v>-1.9900000000000001E-2</v>
      </c>
      <c r="W470" s="83"/>
      <c r="X470" s="5">
        <f t="shared" si="1253"/>
        <v>45230</v>
      </c>
      <c r="Y470" s="43">
        <v>1486.8965756827131</v>
      </c>
      <c r="Z470" s="2">
        <f>1353306/1000</f>
        <v>1353.306</v>
      </c>
      <c r="AA470" s="2">
        <v>139.1</v>
      </c>
      <c r="AB470" s="2">
        <v>139.17999999999998</v>
      </c>
      <c r="AC470" s="2">
        <v>172.2</v>
      </c>
      <c r="AD470" s="2">
        <v>170.64000000000004</v>
      </c>
      <c r="AE470" s="10">
        <f t="shared" si="1281"/>
        <v>0.7305166815446531</v>
      </c>
      <c r="AF470" s="10">
        <f t="shared" si="1282"/>
        <v>0.73340230910535653</v>
      </c>
      <c r="AG470" s="14">
        <f t="shared" ref="AG470:AG471" si="1299">Y470/24/DAY(X470)/10</f>
        <v>0.19985169027993455</v>
      </c>
      <c r="AH470" s="14">
        <f t="shared" ref="AH470:AH471" si="1300">Z470/24/DAY(X470)/10</f>
        <v>0.1818959677419355</v>
      </c>
      <c r="AI470" s="11">
        <v>0.98499999999999999</v>
      </c>
      <c r="AJ470" s="11">
        <v>0.90113870967741927</v>
      </c>
      <c r="AK470" s="10">
        <v>0.99</v>
      </c>
      <c r="AL470" s="17">
        <v>1</v>
      </c>
      <c r="AM470" s="83">
        <f t="shared" si="1283"/>
        <v>-8.0786003850484178E-2</v>
      </c>
      <c r="AN470" s="81">
        <f t="shared" si="1284"/>
        <v>-8.9845237299961189E-2</v>
      </c>
      <c r="AO470" s="10">
        <f t="shared" si="1285"/>
        <v>-9.059233449477011E-3</v>
      </c>
      <c r="AP470" s="10">
        <f t="shared" si="1286"/>
        <v>-8.3861290322580717E-2</v>
      </c>
      <c r="AQ470" s="10">
        <f t="shared" si="1287"/>
        <v>1.0000000000000009E-2</v>
      </c>
      <c r="AR470" s="23">
        <v>-2.12E-2</v>
      </c>
    </row>
    <row r="471" spans="2:44">
      <c r="B471" s="5">
        <f t="shared" si="1252"/>
        <v>45260</v>
      </c>
      <c r="C471" s="114">
        <v>1315.4579052223221</v>
      </c>
      <c r="D471" s="2">
        <v>1092.7799999999972</v>
      </c>
      <c r="E471" s="2">
        <v>108.1</v>
      </c>
      <c r="F471" s="2">
        <v>93.580000000000013</v>
      </c>
      <c r="G471" s="2">
        <v>152.1</v>
      </c>
      <c r="H471" s="2">
        <v>134.56</v>
      </c>
      <c r="I471" s="10">
        <f t="shared" si="1295"/>
        <v>0.73169529865710958</v>
      </c>
      <c r="J471" s="10">
        <f t="shared" si="1296"/>
        <v>0.68048582180745754</v>
      </c>
      <c r="K471" s="14">
        <f t="shared" si="1297"/>
        <v>0.18270248683643361</v>
      </c>
      <c r="L471" s="14">
        <f t="shared" si="1298"/>
        <v>0.1517749999999996</v>
      </c>
      <c r="M471" s="11">
        <v>0.98499999999999999</v>
      </c>
      <c r="N471" s="82">
        <v>0.99452666666666678</v>
      </c>
      <c r="O471" s="10">
        <v>0.99</v>
      </c>
      <c r="P471" s="17">
        <v>1</v>
      </c>
      <c r="Q471" s="83">
        <f t="shared" si="1288"/>
        <v>-5.3958995476864335E-2</v>
      </c>
      <c r="R471" s="81">
        <f t="shared" ref="R471" si="1301">D471/C471-1</f>
        <v>-0.16927786464188732</v>
      </c>
      <c r="S471" s="10">
        <f t="shared" ref="S471" si="1302">H471/G471-1</f>
        <v>-0.11531886916502299</v>
      </c>
      <c r="T471" s="10">
        <f t="shared" ref="T471" si="1303">N471-M471</f>
        <v>9.5266666666667943E-3</v>
      </c>
      <c r="U471" s="10">
        <f t="shared" ref="U471" si="1304">P471-O471</f>
        <v>1.0000000000000009E-2</v>
      </c>
      <c r="V471" s="23">
        <v>-1.9099999999999999E-2</v>
      </c>
      <c r="W471" s="83"/>
      <c r="X471" s="5">
        <f t="shared" si="1253"/>
        <v>45260</v>
      </c>
      <c r="Y471" s="43">
        <v>1316.0197730621364</v>
      </c>
      <c r="Z471" s="2">
        <v>1100.1540000000041</v>
      </c>
      <c r="AA471" s="2">
        <v>108.1</v>
      </c>
      <c r="AB471" s="2">
        <v>95.649999999999991</v>
      </c>
      <c r="AC471" s="2">
        <v>152.1</v>
      </c>
      <c r="AD471" s="2">
        <v>130.08000000000001</v>
      </c>
      <c r="AE471" s="10">
        <f t="shared" si="1281"/>
        <v>0.73200782561462496</v>
      </c>
      <c r="AF471" s="10">
        <f t="shared" si="1282"/>
        <v>0.70675090418664133</v>
      </c>
      <c r="AG471" s="14">
        <f t="shared" si="1299"/>
        <v>0.18278052403640782</v>
      </c>
      <c r="AH471" s="14">
        <f t="shared" si="1300"/>
        <v>0.15279916666666724</v>
      </c>
      <c r="AI471" s="11">
        <v>0.98499999999999999</v>
      </c>
      <c r="AJ471" s="11">
        <v>0.99723000000000006</v>
      </c>
      <c r="AK471" s="10">
        <v>0.99</v>
      </c>
      <c r="AL471" s="17">
        <v>1</v>
      </c>
      <c r="AM471" s="83">
        <f t="shared" si="1283"/>
        <v>-1.9256102345913351E-2</v>
      </c>
      <c r="AN471" s="81">
        <f t="shared" si="1284"/>
        <v>-0.16402927788831956</v>
      </c>
      <c r="AO471" s="10">
        <f t="shared" si="1285"/>
        <v>-0.14477317554240621</v>
      </c>
      <c r="AP471" s="10">
        <f t="shared" si="1286"/>
        <v>1.2230000000000074E-2</v>
      </c>
      <c r="AQ471" s="10">
        <f t="shared" si="1287"/>
        <v>1.0000000000000009E-2</v>
      </c>
      <c r="AR471" s="23">
        <v>-1.8200000000000001E-2</v>
      </c>
    </row>
    <row r="472" spans="2:44">
      <c r="B472" s="5">
        <f t="shared" si="1252"/>
        <v>45291</v>
      </c>
      <c r="C472" s="114">
        <v>1102.5007366048935</v>
      </c>
      <c r="D472" s="2">
        <v>1018.338</v>
      </c>
      <c r="E472" s="2">
        <v>89.9</v>
      </c>
      <c r="F472" s="2">
        <v>80.819999999999993</v>
      </c>
      <c r="G472" s="2">
        <v>129.6</v>
      </c>
      <c r="H472" s="2">
        <v>125.42</v>
      </c>
      <c r="I472" s="10">
        <f t="shared" si="1295"/>
        <v>0.71970813266702016</v>
      </c>
      <c r="J472" s="10">
        <f t="shared" si="1296"/>
        <v>0.68124221849651556</v>
      </c>
      <c r="K472" s="14">
        <f t="shared" si="1297"/>
        <v>0.14818558287700181</v>
      </c>
      <c r="L472" s="14">
        <f t="shared" si="1298"/>
        <v>0.13687338709677419</v>
      </c>
      <c r="M472" s="11">
        <v>0.98499999999999999</v>
      </c>
      <c r="N472" s="82">
        <v>0.99321290322580635</v>
      </c>
      <c r="O472" s="10">
        <v>0.99</v>
      </c>
      <c r="P472" s="17">
        <v>1</v>
      </c>
      <c r="Q472" s="83">
        <f t="shared" si="1288"/>
        <v>-4.40849456654403E-2</v>
      </c>
      <c r="R472" s="81">
        <f t="shared" ref="R472" si="1305">D472/C472-1</f>
        <v>-7.6338032085193297E-2</v>
      </c>
      <c r="S472" s="10">
        <f t="shared" ref="S472" si="1306">H472/G472-1</f>
        <v>-3.2253086419752997E-2</v>
      </c>
      <c r="T472" s="10">
        <f t="shared" ref="T472" si="1307">N472-M472</f>
        <v>8.2129032258063672E-3</v>
      </c>
      <c r="U472" s="10">
        <f t="shared" ref="U472" si="1308">P472-O472</f>
        <v>1.0000000000000009E-2</v>
      </c>
      <c r="V472" s="23">
        <v>-2.3300000000000001E-2</v>
      </c>
      <c r="W472" s="83"/>
      <c r="X472" s="5">
        <f t="shared" si="1253"/>
        <v>45291</v>
      </c>
      <c r="Y472" s="43">
        <v>1105.7786808326314</v>
      </c>
      <c r="Z472" s="2">
        <v>993.31799999999998</v>
      </c>
      <c r="AA472" s="2">
        <v>89.9</v>
      </c>
      <c r="AB472" s="2">
        <v>82.71</v>
      </c>
      <c r="AC472" s="2">
        <v>129.6</v>
      </c>
      <c r="AD472" s="2">
        <v>120.23</v>
      </c>
      <c r="AE472" s="10">
        <f t="shared" ref="AE472" si="1309">Y472/12/AC472/AI472</f>
        <v>0.72184796173089627</v>
      </c>
      <c r="AF472" s="10">
        <f t="shared" ref="AF472" si="1310">Z472/12/AD472/AJ472</f>
        <v>0.69010743679143038</v>
      </c>
      <c r="AG472" s="14">
        <f t="shared" ref="AG472" si="1311">Y472/24/DAY(X472)/10</f>
        <v>0.14862616677857948</v>
      </c>
      <c r="AH472" s="14">
        <f t="shared" ref="AH472" si="1312">Z472/24/DAY(X472)/10</f>
        <v>0.13351048387096773</v>
      </c>
      <c r="AI472" s="11">
        <v>0.98499999999999999</v>
      </c>
      <c r="AJ472" s="11">
        <v>0.99764838709677428</v>
      </c>
      <c r="AK472" s="10">
        <v>0.99</v>
      </c>
      <c r="AL472" s="17">
        <v>1</v>
      </c>
      <c r="AM472" s="83">
        <f t="shared" ref="AM472" si="1313">AN472-AO472</f>
        <v>-2.940332034922466E-2</v>
      </c>
      <c r="AN472" s="81">
        <f t="shared" ref="AN472" si="1314">Z472/Y472-1</f>
        <v>-0.10170270306527396</v>
      </c>
      <c r="AO472" s="10">
        <f t="shared" ref="AO472" si="1315">AD472/AC472-1</f>
        <v>-7.2299382716049299E-2</v>
      </c>
      <c r="AP472" s="10">
        <f t="shared" ref="AP472" si="1316">AJ472-AI472</f>
        <v>1.2648387096774294E-2</v>
      </c>
      <c r="AQ472" s="10">
        <f t="shared" ref="AQ472" si="1317">AL472-AK472</f>
        <v>1.0000000000000009E-2</v>
      </c>
      <c r="AR472" s="23">
        <v>-2.1499999999999998E-2</v>
      </c>
    </row>
    <row r="473" spans="2:44">
      <c r="B473" s="5">
        <f t="shared" si="1252"/>
        <v>45322</v>
      </c>
      <c r="C473" s="114">
        <v>934.06257725924547</v>
      </c>
      <c r="D473" s="2">
        <v>429.37200000000001</v>
      </c>
      <c r="E473" s="2">
        <v>79.599999999999994</v>
      </c>
      <c r="F473" s="2">
        <v>43.269999999999989</v>
      </c>
      <c r="G473" s="2">
        <v>103.2</v>
      </c>
      <c r="H473" s="2">
        <v>51.410000000000004</v>
      </c>
      <c r="I473" s="10">
        <f t="shared" ref="I473" si="1318">C473/12/G473/M473</f>
        <v>0.76573553009224726</v>
      </c>
      <c r="J473" s="10">
        <f t="shared" ref="J473" si="1319">D473/12/H473/N473</f>
        <v>0.70001696596599083</v>
      </c>
      <c r="K473" s="14">
        <f t="shared" ref="K473" si="1320">C473/24/DAY(B473)/10</f>
        <v>0.12554604533054375</v>
      </c>
      <c r="L473" s="14">
        <f t="shared" ref="L473" si="1321">D473/24/DAY(B473)/10</f>
        <v>5.7711290322580641E-2</v>
      </c>
      <c r="M473" s="11">
        <v>0.98499999999999999</v>
      </c>
      <c r="N473" s="111">
        <v>0.99425161290322595</v>
      </c>
      <c r="O473" s="10">
        <v>0.99</v>
      </c>
      <c r="P473" s="17">
        <v>1</v>
      </c>
      <c r="Q473" s="83">
        <f t="shared" ref="Q473" si="1322">R473-S473</f>
        <v>-3.8476650977278926E-2</v>
      </c>
      <c r="R473" s="81">
        <f t="shared" ref="R473" si="1323">D473/C473-1</f>
        <v>-0.54031773624859669</v>
      </c>
      <c r="S473" s="10">
        <f t="shared" ref="S473" si="1324">H473/G473-1</f>
        <v>-0.50184108527131777</v>
      </c>
      <c r="T473" s="10">
        <f t="shared" ref="T473" si="1325">N473-M473</f>
        <v>9.2516129032259586E-3</v>
      </c>
      <c r="U473" s="10">
        <f t="shared" ref="U473" si="1326">P473-O473</f>
        <v>1.0000000000000009E-2</v>
      </c>
      <c r="V473" s="23">
        <v>-1.67E-2</v>
      </c>
      <c r="W473" s="83"/>
      <c r="X473" s="5">
        <f t="shared" si="1253"/>
        <v>45322</v>
      </c>
      <c r="Y473" s="43">
        <v>930.2273688209948</v>
      </c>
      <c r="Z473" s="2">
        <v>414.74400000000003</v>
      </c>
      <c r="AA473" s="2">
        <v>79.599999999999994</v>
      </c>
      <c r="AB473" s="2">
        <v>43.78</v>
      </c>
      <c r="AC473" s="2">
        <v>103.2</v>
      </c>
      <c r="AD473" s="2">
        <v>50.59</v>
      </c>
      <c r="AE473" s="10">
        <f t="shared" ref="AE473" si="1327">Y473/12/AC473/AI473</f>
        <v>0.76259146304794367</v>
      </c>
      <c r="AF473" s="10">
        <f t="shared" ref="AF473" si="1328">Z473/12/AD473/AJ473</f>
        <v>0.68868799775551726</v>
      </c>
      <c r="AG473" s="14">
        <f t="shared" ref="AG473:AG475" si="1329">Y473/24/DAY(X473)/10</f>
        <v>0.12503056032540255</v>
      </c>
      <c r="AH473" s="14">
        <f t="shared" ref="AH473" si="1330">Z473/24/DAY(X473)/10</f>
        <v>5.5745161290322587E-2</v>
      </c>
      <c r="AI473" s="11">
        <v>0.98499999999999999</v>
      </c>
      <c r="AJ473" s="11">
        <v>0.99199999999999999</v>
      </c>
      <c r="AK473" s="10">
        <v>0.99</v>
      </c>
      <c r="AL473" s="17">
        <v>1</v>
      </c>
      <c r="AM473" s="83">
        <f t="shared" ref="AM473:AM474" si="1331">AN473-AO473</f>
        <v>-4.4360891099818001E-2</v>
      </c>
      <c r="AN473" s="81">
        <f t="shared" ref="AN473" si="1332">Z473/Y473-1</f>
        <v>-0.55414771280524433</v>
      </c>
      <c r="AO473" s="10">
        <f t="shared" ref="AO473" si="1333">AD473/AC473-1</f>
        <v>-0.50978682170542633</v>
      </c>
      <c r="AP473" s="10">
        <f t="shared" ref="AP473" si="1334">AJ473-AI473</f>
        <v>7.0000000000000062E-3</v>
      </c>
      <c r="AQ473" s="10">
        <f t="shared" ref="AQ473" si="1335">AL473-AK473</f>
        <v>1.0000000000000009E-2</v>
      </c>
      <c r="AR473" s="23">
        <v>-1.5699999999999999E-2</v>
      </c>
    </row>
    <row r="474" spans="2:44">
      <c r="B474" s="5">
        <f t="shared" si="1252"/>
        <v>45351</v>
      </c>
      <c r="C474" s="114">
        <v>1222.5211151537269</v>
      </c>
      <c r="D474" s="2">
        <v>1166.67</v>
      </c>
      <c r="E474" s="2">
        <v>108.1</v>
      </c>
      <c r="F474" s="2">
        <v>109.64999999999999</v>
      </c>
      <c r="G474" s="2">
        <v>137.5</v>
      </c>
      <c r="H474" s="2">
        <v>144.81</v>
      </c>
      <c r="I474" s="10">
        <f t="shared" ref="I474:I475" si="1336">C474/12/G474/M474</f>
        <v>0.75220496240807688</v>
      </c>
      <c r="J474" s="10">
        <f t="shared" ref="J474:J475" si="1337">D474/12/H474/N474</f>
        <v>0.69580240332501131</v>
      </c>
      <c r="K474" s="14">
        <f>C474/24/28/10</f>
        <v>0.18192278499311415</v>
      </c>
      <c r="L474" s="14">
        <f t="shared" ref="L474:L475" si="1338">D474/24/DAY(B474)/10</f>
        <v>0.16762500000000002</v>
      </c>
      <c r="M474" s="11">
        <v>0.98499999999999999</v>
      </c>
      <c r="N474" s="82">
        <v>0.96489999999999998</v>
      </c>
      <c r="O474" s="10">
        <v>0.99</v>
      </c>
      <c r="P474" s="17">
        <v>0.99475172413793111</v>
      </c>
      <c r="Q474" s="83">
        <f t="shared" ref="Q474" si="1339">R474-S474</f>
        <v>-9.8848831049786035E-2</v>
      </c>
      <c r="R474" s="81">
        <f t="shared" ref="R474" si="1340">D474/C474-1</f>
        <v>-4.5685194686149733E-2</v>
      </c>
      <c r="S474" s="10">
        <f t="shared" ref="S474" si="1341">H474/G474-1</f>
        <v>5.3163636363636302E-2</v>
      </c>
      <c r="T474" s="10">
        <f t="shared" ref="T474" si="1342">N474-M474</f>
        <v>-2.0100000000000007E-2</v>
      </c>
      <c r="U474" s="10">
        <f t="shared" ref="U474" si="1343">P474-O474</f>
        <v>4.7517241379311237E-3</v>
      </c>
      <c r="V474" s="23">
        <v>-1.7600000000000001E-2</v>
      </c>
      <c r="W474" s="83"/>
      <c r="X474" s="5">
        <f t="shared" si="1253"/>
        <v>45351</v>
      </c>
      <c r="Y474" s="43">
        <v>1221.3128708348368</v>
      </c>
      <c r="Z474" s="2">
        <v>1160.9939999999986</v>
      </c>
      <c r="AA474" s="2">
        <v>108.1</v>
      </c>
      <c r="AB474" s="2">
        <v>113.08999999999997</v>
      </c>
      <c r="AC474" s="2">
        <v>137.5</v>
      </c>
      <c r="AD474" s="2">
        <v>143.82999999999996</v>
      </c>
      <c r="AE474" s="10">
        <f t="shared" ref="AE474:AE475" si="1344">Y474/12/AC474/AI474</f>
        <v>0.75146154181500502</v>
      </c>
      <c r="AF474" s="10">
        <f t="shared" ref="AF474:AF475" si="1345">Z474/12/AD474/AJ474</f>
        <v>0.69168704055970043</v>
      </c>
      <c r="AG474" s="14">
        <f>Y474/24/28/10</f>
        <v>0.18174298673137451</v>
      </c>
      <c r="AH474" s="14">
        <f t="shared" ref="AH474:AH475" si="1346">Z474/24/DAY(X474)/10</f>
        <v>0.16680948275862048</v>
      </c>
      <c r="AI474" s="11">
        <v>0.98499999999999999</v>
      </c>
      <c r="AJ474" s="11">
        <v>0.97250000000000003</v>
      </c>
      <c r="AK474" s="10">
        <v>0.99</v>
      </c>
      <c r="AL474" s="17">
        <v>0.99589310344827586</v>
      </c>
      <c r="AM474" s="83">
        <f t="shared" si="1331"/>
        <v>-9.5424912856848287E-2</v>
      </c>
      <c r="AN474" s="81">
        <f t="shared" ref="AN474" si="1347">Z474/Y474-1</f>
        <v>-4.9388549220485078E-2</v>
      </c>
      <c r="AO474" s="10">
        <f t="shared" ref="AO474" si="1348">AD474/AC474-1</f>
        <v>4.6036363636363209E-2</v>
      </c>
      <c r="AP474" s="10">
        <f t="shared" ref="AP474" si="1349">AJ474-AI474</f>
        <v>-1.2499999999999956E-2</v>
      </c>
      <c r="AQ474" s="10">
        <f t="shared" ref="AQ474" si="1350">AL474-AK474</f>
        <v>5.8931034482758715E-3</v>
      </c>
      <c r="AR474" s="23">
        <v>-1.5299999999999999E-2</v>
      </c>
    </row>
    <row r="475" spans="2:44">
      <c r="B475" s="5">
        <f t="shared" si="1252"/>
        <v>45382</v>
      </c>
      <c r="C475" s="114">
        <v>1636.5125352800662</v>
      </c>
      <c r="D475" s="2">
        <v>1459.5060000000001</v>
      </c>
      <c r="E475" s="2">
        <v>161.4</v>
      </c>
      <c r="F475" s="2">
        <v>152.10000000000002</v>
      </c>
      <c r="G475" s="2">
        <v>187.8</v>
      </c>
      <c r="H475" s="2">
        <v>176.4</v>
      </c>
      <c r="I475" s="10">
        <f t="shared" si="1336"/>
        <v>0.73723555465460167</v>
      </c>
      <c r="J475" s="10">
        <f t="shared" si="1337"/>
        <v>0.69719205819765084</v>
      </c>
      <c r="K475" s="14">
        <f t="shared" ref="K475" si="1351">C475/24/DAY(B475)/10</f>
        <v>0.21996136226882612</v>
      </c>
      <c r="L475" s="14">
        <f t="shared" si="1338"/>
        <v>0.19617016129032258</v>
      </c>
      <c r="M475" s="11">
        <v>0.98499999999999999</v>
      </c>
      <c r="N475" s="111">
        <v>0.98894838709677413</v>
      </c>
      <c r="O475" s="10">
        <v>0.99</v>
      </c>
      <c r="P475" s="17">
        <v>1</v>
      </c>
      <c r="Q475" s="83">
        <f t="shared" ref="Q475:Q480" si="1352">R475-S475</f>
        <v>-4.745794308760154E-2</v>
      </c>
      <c r="R475" s="81">
        <f t="shared" ref="R475" si="1353">D475/C475-1</f>
        <v>-0.10816081848696257</v>
      </c>
      <c r="S475" s="10">
        <f t="shared" ref="S475" si="1354">H475/G475-1</f>
        <v>-6.0702875399361034E-2</v>
      </c>
      <c r="T475" s="10">
        <f t="shared" ref="T475" si="1355">N475-M475</f>
        <v>3.9483870967741419E-3</v>
      </c>
      <c r="U475" s="10">
        <f t="shared" ref="U475" si="1356">P475-O475</f>
        <v>1.0000000000000009E-2</v>
      </c>
      <c r="V475" s="23">
        <v>-2.0400000000000001E-2</v>
      </c>
      <c r="W475" s="83"/>
      <c r="X475" s="5">
        <f t="shared" si="1253"/>
        <v>45382</v>
      </c>
      <c r="Y475" s="43">
        <v>1637.9123049096938</v>
      </c>
      <c r="Z475" s="2">
        <v>1479.4739999999999</v>
      </c>
      <c r="AA475" s="2">
        <v>161.4</v>
      </c>
      <c r="AB475" s="2">
        <v>157.08999999999997</v>
      </c>
      <c r="AC475" s="2">
        <v>187.8</v>
      </c>
      <c r="AD475" s="2">
        <v>177.47000000000006</v>
      </c>
      <c r="AE475" s="10">
        <f t="shared" si="1344"/>
        <v>0.73786613946042501</v>
      </c>
      <c r="AF475" s="10">
        <f t="shared" si="1345"/>
        <v>0.69743417704993438</v>
      </c>
      <c r="AG475" s="14">
        <f t="shared" si="1329"/>
        <v>0.22014950334807709</v>
      </c>
      <c r="AH475" s="14">
        <f t="shared" si="1346"/>
        <v>0.1988540322580645</v>
      </c>
      <c r="AI475" s="11">
        <v>0.98499999999999999</v>
      </c>
      <c r="AJ475" s="11">
        <v>0.99608847741935502</v>
      </c>
      <c r="AK475" s="10">
        <v>0.99</v>
      </c>
      <c r="AL475" s="17">
        <v>1</v>
      </c>
      <c r="AM475" s="83">
        <f t="shared" ref="AM475" si="1357">AN475-AO475</f>
        <v>-4.1726535881700277E-2</v>
      </c>
      <c r="AN475" s="81">
        <f t="shared" ref="AN475" si="1358">Z475/Y475-1</f>
        <v>-9.6731860695331573E-2</v>
      </c>
      <c r="AO475" s="10">
        <f t="shared" ref="AO475" si="1359">AD475/AC475-1</f>
        <v>-5.5005324813631296E-2</v>
      </c>
      <c r="AP475" s="10">
        <f t="shared" ref="AP475" si="1360">AJ475-AI475</f>
        <v>1.1088477419355036E-2</v>
      </c>
      <c r="AQ475" s="10">
        <f t="shared" ref="AQ475" si="1361">AL475-AK475</f>
        <v>1.0000000000000009E-2</v>
      </c>
      <c r="AR475" s="23">
        <v>-2.1299999999999999E-2</v>
      </c>
    </row>
    <row r="476" spans="2:44">
      <c r="B476" s="5">
        <f t="shared" si="1252"/>
        <v>45412</v>
      </c>
      <c r="C476" s="114">
        <v>1693.4919995555197</v>
      </c>
      <c r="D476" s="2">
        <v>1518.4559999999999</v>
      </c>
      <c r="E476" s="2">
        <v>190.2</v>
      </c>
      <c r="F476" s="2">
        <v>184.02999999999997</v>
      </c>
      <c r="G476" s="2">
        <v>194</v>
      </c>
      <c r="H476" s="2">
        <v>189.00000000000006</v>
      </c>
      <c r="I476" s="10">
        <f t="shared" ref="I476" si="1362">C476/12/G476/M476</f>
        <v>0.73852285988954591</v>
      </c>
      <c r="J476" s="10">
        <f t="shared" ref="J476" si="1363">D476/12/H476/N476</f>
        <v>0.67612514665173129</v>
      </c>
      <c r="K476" s="14">
        <f t="shared" ref="K476" si="1364">C476/24/DAY(B476)/10</f>
        <v>0.23520722216048884</v>
      </c>
      <c r="L476" s="14">
        <f t="shared" ref="L476" si="1365">D476/24/DAY(B476)/10</f>
        <v>0.21089666666666665</v>
      </c>
      <c r="M476" s="11">
        <v>0.98499999999999999</v>
      </c>
      <c r="N476" s="82">
        <v>0.99022086492234884</v>
      </c>
      <c r="O476" s="10">
        <v>0.99</v>
      </c>
      <c r="P476" s="17">
        <v>0.99975333333333327</v>
      </c>
      <c r="Q476" s="83">
        <f t="shared" si="1352"/>
        <v>-7.7584835694844201E-2</v>
      </c>
      <c r="R476" s="81">
        <f t="shared" ref="R476" si="1366">D476/C476-1</f>
        <v>-0.10335803157113255</v>
      </c>
      <c r="S476" s="10">
        <f t="shared" ref="S476" si="1367">H476/G476-1</f>
        <v>-2.5773195876288346E-2</v>
      </c>
      <c r="T476" s="10">
        <f t="shared" ref="T476" si="1368">N476-M476</f>
        <v>5.2208649223488557E-3</v>
      </c>
      <c r="U476" s="10">
        <f t="shared" ref="U476" si="1369">P476-O476</f>
        <v>9.7533333333332806E-3</v>
      </c>
      <c r="V476" s="23">
        <v>-2.674E-2</v>
      </c>
      <c r="W476" s="83"/>
      <c r="X476" s="5">
        <f t="shared" si="1253"/>
        <v>45412</v>
      </c>
      <c r="Y476" s="43">
        <v>1693.9929979582321</v>
      </c>
      <c r="Z476" s="2">
        <v>1519.626</v>
      </c>
      <c r="AA476" s="2">
        <v>190.2</v>
      </c>
      <c r="AB476" s="2">
        <v>183.76</v>
      </c>
      <c r="AC476" s="2">
        <v>194</v>
      </c>
      <c r="AD476" s="2">
        <v>189.48000000000005</v>
      </c>
      <c r="AE476" s="10">
        <f t="shared" ref="AE476" si="1370">Y476/12/AC476/AI476</f>
        <v>0.73874134263010105</v>
      </c>
      <c r="AF476" s="10">
        <f t="shared" ref="AF476" si="1371">Z476/12/AD476/AJ476</f>
        <v>0.68051611226338948</v>
      </c>
      <c r="AG476" s="14">
        <f t="shared" ref="AG476" si="1372">Y476/24/DAY(X476)/10</f>
        <v>0.2352768052719767</v>
      </c>
      <c r="AH476" s="14">
        <f t="shared" ref="AH476" si="1373">Z476/24/DAY(X476)/10</f>
        <v>0.21105916666666666</v>
      </c>
      <c r="AI476" s="11">
        <v>0.98499999999999999</v>
      </c>
      <c r="AJ476" s="11">
        <v>0.98209540965887099</v>
      </c>
      <c r="AK476" s="10">
        <v>0.99</v>
      </c>
      <c r="AL476" s="17">
        <v>0.99956333333333325</v>
      </c>
      <c r="AM476" s="83">
        <f t="shared" ref="AM476" si="1374">AN476-AO476</f>
        <v>-7.9633568528874044E-2</v>
      </c>
      <c r="AN476" s="81">
        <f t="shared" ref="AN476" si="1375">Z476/Y476-1</f>
        <v>-0.10293253760103871</v>
      </c>
      <c r="AO476" s="10">
        <f t="shared" ref="AO476" si="1376">AD476/AC476-1</f>
        <v>-2.3298969072164666E-2</v>
      </c>
      <c r="AP476" s="10">
        <f t="shared" ref="AP476" si="1377">AJ476-AI476</f>
        <v>-2.9045903411289986E-3</v>
      </c>
      <c r="AQ476" s="10">
        <f t="shared" ref="AQ476" si="1378">AL476-AK476</f>
        <v>9.5633333333332571E-3</v>
      </c>
      <c r="AR476" s="23">
        <v>-2.1846666666666702E-2</v>
      </c>
    </row>
    <row r="477" spans="2:44">
      <c r="B477" s="5">
        <f t="shared" si="1252"/>
        <v>45443</v>
      </c>
      <c r="C477" s="114">
        <v>1715.7496027881186</v>
      </c>
      <c r="D477" s="2">
        <v>1435.098</v>
      </c>
      <c r="E477" s="2">
        <v>197</v>
      </c>
      <c r="F477" s="2">
        <v>195.99999999999997</v>
      </c>
      <c r="G477" s="2">
        <v>197.7</v>
      </c>
      <c r="H477" s="2">
        <v>197.27999999999992</v>
      </c>
      <c r="I477" s="10">
        <f t="shared" ref="I477" si="1379">C477/12/G477/M477</f>
        <v>0.73422600292026619</v>
      </c>
      <c r="J477" s="10">
        <f t="shared" ref="J477" si="1380">D477/12/H477/N477</f>
        <v>0.62678442683117996</v>
      </c>
      <c r="K477" s="14">
        <f t="shared" ref="K477" si="1381">C477/24/DAY(B477)/10</f>
        <v>0.23061150575109121</v>
      </c>
      <c r="L477" s="14">
        <f t="shared" ref="L477" si="1382">D477/24/DAY(B477)/10</f>
        <v>0.19288951612903224</v>
      </c>
      <c r="M477" s="11">
        <v>0.98499999999999999</v>
      </c>
      <c r="N477" s="82">
        <v>0.96716162550181695</v>
      </c>
      <c r="O477" s="10">
        <v>0.99</v>
      </c>
      <c r="P477" s="17">
        <v>0.99889354838709676</v>
      </c>
      <c r="Q477" s="83">
        <f t="shared" si="1352"/>
        <v>-0.16144932265703615</v>
      </c>
      <c r="R477" s="81">
        <f t="shared" ref="R477" si="1383">D477/C477-1</f>
        <v>-0.1635737536130305</v>
      </c>
      <c r="S477" s="10">
        <f t="shared" ref="S477" si="1384">H477/G477-1</f>
        <v>-2.1244309559943497E-3</v>
      </c>
      <c r="T477" s="10">
        <f t="shared" ref="T477" si="1385">N477-M477</f>
        <v>-1.7838374498183041E-2</v>
      </c>
      <c r="U477" s="10">
        <f t="shared" ref="U477" si="1386">P477-O477</f>
        <v>8.8935483870967724E-3</v>
      </c>
      <c r="V477" s="23">
        <v>-3.73E-2</v>
      </c>
      <c r="W477" s="83"/>
      <c r="X477" s="5">
        <f t="shared" si="1253"/>
        <v>45443</v>
      </c>
      <c r="Y477" s="43">
        <v>1716.2472412314617</v>
      </c>
      <c r="Z477" s="2">
        <v>1411.374</v>
      </c>
      <c r="AA477" s="2">
        <v>197</v>
      </c>
      <c r="AB477" s="2">
        <v>195.99999999999994</v>
      </c>
      <c r="AC477" s="2">
        <v>197.7</v>
      </c>
      <c r="AD477" s="2">
        <v>199.06</v>
      </c>
      <c r="AE477" s="10">
        <f t="shared" ref="AE477" si="1387">Y477/12/AC477/AI477</f>
        <v>0.73443895886941013</v>
      </c>
      <c r="AF477" s="10">
        <f t="shared" ref="AF477" si="1388">Z477/12/AD477/AJ477</f>
        <v>0.61515433622124582</v>
      </c>
      <c r="AG477" s="14">
        <f t="shared" ref="AG477" si="1389">Y477/24/DAY(X477)/10</f>
        <v>0.23067839263863732</v>
      </c>
      <c r="AH477" s="14">
        <f t="shared" ref="AH477" si="1390">Z477/24/DAY(X477)/10</f>
        <v>0.18970080645161291</v>
      </c>
      <c r="AI477" s="11">
        <v>0.98499999999999999</v>
      </c>
      <c r="AJ477" s="11">
        <v>0.96048984429622475</v>
      </c>
      <c r="AK477" s="10">
        <v>0.99</v>
      </c>
      <c r="AL477" s="17">
        <v>0.99957419354838706</v>
      </c>
      <c r="AM477" s="83">
        <f t="shared" ref="AM477" si="1391">AN477-AO477</f>
        <v>-0.18451857446590947</v>
      </c>
      <c r="AN477" s="81">
        <f t="shared" ref="AN477" si="1392">Z477/Y477-1</f>
        <v>-0.17763946470364345</v>
      </c>
      <c r="AO477" s="10">
        <f t="shared" ref="AO477" si="1393">AD477/AC477-1</f>
        <v>6.8791097622660224E-3</v>
      </c>
      <c r="AP477" s="10">
        <f t="shared" ref="AP477" si="1394">AJ477-AI477</f>
        <v>-2.4510155703775238E-2</v>
      </c>
      <c r="AQ477" s="10">
        <f t="shared" ref="AQ477" si="1395">AL477-AK477</f>
        <v>9.5741935483870666E-3</v>
      </c>
      <c r="AR477" s="23">
        <v>-3.7100000000000001E-2</v>
      </c>
    </row>
    <row r="478" spans="2:44">
      <c r="B478" s="5">
        <f t="shared" si="1252"/>
        <v>45473</v>
      </c>
      <c r="C478" s="114">
        <v>1543.0306017031514</v>
      </c>
      <c r="D478" s="2">
        <v>1466.7719999999999</v>
      </c>
      <c r="E478" s="2">
        <v>178.9</v>
      </c>
      <c r="F478" s="2">
        <v>191.7</v>
      </c>
      <c r="G478" s="2">
        <v>177.2</v>
      </c>
      <c r="H478" s="2">
        <v>184.18000000000004</v>
      </c>
      <c r="I478" s="10">
        <f t="shared" ref="I478" si="1396">C478/12/G478/M478</f>
        <v>0.7367045380210071</v>
      </c>
      <c r="J478" s="10">
        <f t="shared" ref="J478" si="1397">D478/12/H478/N478</f>
        <v>0.6748522376653886</v>
      </c>
      <c r="K478" s="14">
        <f t="shared" ref="K478" si="1398">C478/24/DAY(B478)/10</f>
        <v>0.21430980579210437</v>
      </c>
      <c r="L478" s="14">
        <f t="shared" ref="L478" si="1399">D478/24/DAY(B478)/10</f>
        <v>0.20371833333333331</v>
      </c>
      <c r="M478" s="11">
        <v>0.98499999999999999</v>
      </c>
      <c r="N478" s="82">
        <v>0.98340000000000005</v>
      </c>
      <c r="O478" s="10">
        <v>0.99</v>
      </c>
      <c r="P478" s="17">
        <v>1</v>
      </c>
      <c r="Q478" s="83">
        <f t="shared" si="1352"/>
        <v>-8.8811834369948217E-2</v>
      </c>
      <c r="R478" s="81">
        <f t="shared" ref="R478" si="1400">D478/C478-1</f>
        <v>-4.9421315182589076E-2</v>
      </c>
      <c r="S478" s="10">
        <f t="shared" ref="S478" si="1401">H478/G478-1</f>
        <v>3.9390519187359141E-2</v>
      </c>
      <c r="T478" s="10">
        <f t="shared" ref="T478" si="1402">N478-M478</f>
        <v>-1.5999999999999348E-3</v>
      </c>
      <c r="U478" s="10">
        <f t="shared" ref="U478" si="1403">P478-O478</f>
        <v>1.0000000000000009E-2</v>
      </c>
      <c r="V478" s="23">
        <v>-2.35E-2</v>
      </c>
      <c r="W478" s="83"/>
      <c r="X478" s="5">
        <f t="shared" si="1253"/>
        <v>45473</v>
      </c>
      <c r="Y478" s="43">
        <v>1540.8838042384129</v>
      </c>
      <c r="Z478" s="2">
        <v>1440.366</v>
      </c>
      <c r="AA478" s="2">
        <v>178.9</v>
      </c>
      <c r="AB478" s="2">
        <v>188.72</v>
      </c>
      <c r="AC478" s="2">
        <v>177.2</v>
      </c>
      <c r="AD478" s="2">
        <v>184.46999999999997</v>
      </c>
      <c r="AE478" s="10">
        <f t="shared" ref="AE478" si="1404">Y478/12/AC478/AI478</f>
        <v>0.73567957102894677</v>
      </c>
      <c r="AF478" s="10">
        <f t="shared" ref="AF478" si="1405">Z478/12/AD478/AJ478</f>
        <v>0.67998496912601825</v>
      </c>
      <c r="AG478" s="14">
        <f t="shared" ref="AG478" si="1406">Y478/24/DAY(X478)/10</f>
        <v>0.21401163947755736</v>
      </c>
      <c r="AH478" s="14">
        <f t="shared" ref="AH478" si="1407">Z478/24/DAY(X478)/10</f>
        <v>0.20005083333333334</v>
      </c>
      <c r="AI478" s="11">
        <v>0.98499999999999999</v>
      </c>
      <c r="AJ478" s="11">
        <v>0.95689999999999997</v>
      </c>
      <c r="AK478" s="10">
        <v>0.99</v>
      </c>
      <c r="AL478" s="17">
        <v>1</v>
      </c>
      <c r="AM478" s="83">
        <f t="shared" ref="AM478:AM480" si="1408">AN478-AO478</f>
        <v>-0.10626095184980966</v>
      </c>
      <c r="AN478" s="81">
        <f t="shared" ref="AN478" si="1409">Z478/Y478-1</f>
        <v>-6.523386381369245E-2</v>
      </c>
      <c r="AO478" s="10">
        <f t="shared" ref="AO478" si="1410">AD478/AC478-1</f>
        <v>4.102708803611721E-2</v>
      </c>
      <c r="AP478" s="10">
        <f t="shared" ref="AP478" si="1411">AJ478-AI478</f>
        <v>-2.8100000000000014E-2</v>
      </c>
      <c r="AQ478" s="10">
        <f t="shared" ref="AQ478" si="1412">AL478-AK478</f>
        <v>1.0000000000000009E-2</v>
      </c>
      <c r="AR478" s="23">
        <v>-1.8499999999999999E-2</v>
      </c>
    </row>
    <row r="479" spans="2:44">
      <c r="B479" s="5">
        <f t="shared" si="1252"/>
        <v>45504</v>
      </c>
      <c r="C479" s="114">
        <v>1368.530992359576</v>
      </c>
      <c r="D479" s="2">
        <v>1189.3800000000001</v>
      </c>
      <c r="E479" s="2">
        <v>155.5</v>
      </c>
      <c r="F479" s="2">
        <v>144.38</v>
      </c>
      <c r="G479" s="2">
        <v>154.6</v>
      </c>
      <c r="H479" s="2">
        <v>141.64999999999998</v>
      </c>
      <c r="I479" s="10">
        <f t="shared" ref="I479" si="1413">C479/12/G479/M479</f>
        <v>0.74890662238426331</v>
      </c>
      <c r="J479" s="10">
        <f t="shared" ref="J479" si="1414">D479/12/H479/N479</f>
        <v>0.7350651121937456</v>
      </c>
      <c r="K479" s="14">
        <f t="shared" ref="K479" si="1415">C479/24/DAY(B479)/10</f>
        <v>0.18394233768273868</v>
      </c>
      <c r="L479" s="14">
        <f t="shared" ref="L479" si="1416">D479/24/DAY(B479)/10</f>
        <v>0.15986290322580649</v>
      </c>
      <c r="M479" s="11">
        <v>0.98499999999999999</v>
      </c>
      <c r="N479" s="82">
        <v>0.95191242548387112</v>
      </c>
      <c r="O479" s="10">
        <v>0.99</v>
      </c>
      <c r="P479" s="17">
        <v>1</v>
      </c>
      <c r="Q479" s="83">
        <f t="shared" si="1352"/>
        <v>-4.7142962006729183E-2</v>
      </c>
      <c r="R479" s="81">
        <f t="shared" ref="R479:R480" si="1417">D479/C479-1</f>
        <v>-0.13090751569366332</v>
      </c>
      <c r="S479" s="10">
        <f t="shared" ref="S479:S480" si="1418">H479/G479-1</f>
        <v>-8.376455368693414E-2</v>
      </c>
      <c r="T479" s="10">
        <f t="shared" ref="T479:T480" si="1419">N479-M479</f>
        <v>-3.308757451612887E-2</v>
      </c>
      <c r="U479" s="10">
        <f t="shared" ref="U479:U480" si="1420">P479-O479</f>
        <v>1.0000000000000009E-2</v>
      </c>
      <c r="V479" s="23">
        <v>-9.7000000000000003E-3</v>
      </c>
      <c r="W479" s="83"/>
      <c r="X479" s="5">
        <f t="shared" si="1253"/>
        <v>45504</v>
      </c>
      <c r="Y479" s="43">
        <v>1363.7400277835059</v>
      </c>
      <c r="Z479" s="2">
        <v>1184.046</v>
      </c>
      <c r="AA479" s="2">
        <v>155.5</v>
      </c>
      <c r="AB479" s="2">
        <v>141.75000000000003</v>
      </c>
      <c r="AC479" s="2">
        <v>154.6</v>
      </c>
      <c r="AD479" s="2">
        <v>140.17000000000004</v>
      </c>
      <c r="AE479" s="10">
        <f t="shared" ref="AE479" si="1421">Y479/12/AC479/AI479</f>
        <v>0.74628484390890637</v>
      </c>
      <c r="AF479" s="10">
        <f t="shared" ref="AF479" si="1422">Z479/12/AD479/AJ479</f>
        <v>0.74902901990092519</v>
      </c>
      <c r="AG479" s="14">
        <f t="shared" ref="AG479" si="1423">Y479/24/DAY(X479)/10</f>
        <v>0.18329839083111638</v>
      </c>
      <c r="AH479" s="14">
        <f t="shared" ref="AH479" si="1424">Z479/24/DAY(X479)/10</f>
        <v>0.15914596774193551</v>
      </c>
      <c r="AI479" s="11">
        <v>0.98499999999999999</v>
      </c>
      <c r="AJ479" s="11">
        <v>0.93979604180145149</v>
      </c>
      <c r="AK479" s="10">
        <v>0.99</v>
      </c>
      <c r="AL479" s="17">
        <v>1</v>
      </c>
      <c r="AM479" s="83">
        <f t="shared" si="1408"/>
        <v>-3.8427957967167914E-2</v>
      </c>
      <c r="AN479" s="81">
        <f t="shared" ref="AN479:AN480" si="1425">Z479/Y479-1</f>
        <v>-0.13176560350403699</v>
      </c>
      <c r="AO479" s="10">
        <f t="shared" ref="AO479:AO480" si="1426">AD479/AC479-1</f>
        <v>-9.3337645536869074E-2</v>
      </c>
      <c r="AP479" s="10">
        <f t="shared" ref="AP479:AP480" si="1427">AJ479-AI479</f>
        <v>-4.52039581985485E-2</v>
      </c>
      <c r="AQ479" s="10">
        <f t="shared" ref="AQ479:AQ480" si="1428">AL479-AK479</f>
        <v>1.0000000000000009E-2</v>
      </c>
      <c r="AR479" s="23">
        <v>-3.8999999999999998E-3</v>
      </c>
    </row>
    <row r="480" spans="2:44">
      <c r="B480" s="5">
        <f t="shared" si="1252"/>
        <v>45535</v>
      </c>
      <c r="C480" s="114">
        <v>1299.9775744031715</v>
      </c>
      <c r="D480" s="2">
        <v>1328.682</v>
      </c>
      <c r="E480" s="2">
        <v>145.4</v>
      </c>
      <c r="F480" s="2">
        <v>161.13999999999996</v>
      </c>
      <c r="G480" s="2">
        <v>146.30000000000001</v>
      </c>
      <c r="H480" s="2">
        <v>164.68</v>
      </c>
      <c r="I480" s="10">
        <f t="shared" ref="I480" si="1429">C480/12/G480/M480</f>
        <v>0.75175107496658777</v>
      </c>
      <c r="J480" s="10">
        <f t="shared" ref="J480" si="1430">D480/12/H480/N480</f>
        <v>0.70802008062232391</v>
      </c>
      <c r="K480" s="14">
        <f t="shared" ref="K480" si="1431">C480/24/DAY(B480)/10</f>
        <v>0.17472816860257681</v>
      </c>
      <c r="L480" s="14">
        <f t="shared" ref="L480" si="1432">D480/24/DAY(B480)/10</f>
        <v>0.17858629032258064</v>
      </c>
      <c r="M480" s="11">
        <v>0.98499999999999999</v>
      </c>
      <c r="N480" s="82">
        <v>0.94962769516129031</v>
      </c>
      <c r="O480" s="10">
        <v>0.99</v>
      </c>
      <c r="P480" s="17">
        <v>1</v>
      </c>
      <c r="Q480" s="83">
        <f t="shared" si="1352"/>
        <v>-0.10355155418983686</v>
      </c>
      <c r="R480" s="81">
        <f t="shared" si="1417"/>
        <v>2.2080708284530903E-2</v>
      </c>
      <c r="S480" s="10">
        <f t="shared" si="1418"/>
        <v>0.12563226247436776</v>
      </c>
      <c r="T480" s="10">
        <f t="shared" si="1419"/>
        <v>-3.5372304838709678E-2</v>
      </c>
      <c r="U480" s="10">
        <f t="shared" si="1420"/>
        <v>1.0000000000000009E-2</v>
      </c>
      <c r="V480" s="23">
        <v>-6.4000000000000003E-3</v>
      </c>
      <c r="W480" s="83"/>
      <c r="X480" s="5">
        <f t="shared" si="1253"/>
        <v>45535</v>
      </c>
      <c r="Y480" s="43">
        <v>1295.196958501959</v>
      </c>
      <c r="Z480" s="2">
        <v>1348.566</v>
      </c>
      <c r="AA480" s="2">
        <v>145.4</v>
      </c>
      <c r="AB480" s="2">
        <v>161.11999999999995</v>
      </c>
      <c r="AC480" s="2">
        <v>146.30000000000001</v>
      </c>
      <c r="AD480" s="2">
        <v>163.04000000000002</v>
      </c>
      <c r="AE480" s="10">
        <f t="shared" ref="AE480" si="1433">Y480/12/AC480/AI480</f>
        <v>0.74898654024421851</v>
      </c>
      <c r="AF480" s="10">
        <f t="shared" ref="AF480" si="1434">Z480/12/AD480/AJ480</f>
        <v>0.72688342389765048</v>
      </c>
      <c r="AG480" s="14">
        <f t="shared" ref="AG480" si="1435">Y480/24/DAY(X480)/10</f>
        <v>0.1740856127018762</v>
      </c>
      <c r="AH480" s="14">
        <f t="shared" ref="AH480" si="1436">Z480/24/DAY(X480)/10</f>
        <v>0.18125887096774193</v>
      </c>
      <c r="AI480" s="11">
        <v>0.98499999999999999</v>
      </c>
      <c r="AJ480" s="11">
        <v>0.94827003709677415</v>
      </c>
      <c r="AK480" s="10">
        <v>0.99</v>
      </c>
      <c r="AL480" s="17">
        <v>1</v>
      </c>
      <c r="AM480" s="83">
        <f t="shared" si="1408"/>
        <v>-7.3217071612672768E-2</v>
      </c>
      <c r="AN480" s="81">
        <f t="shared" si="1425"/>
        <v>4.1205348072904879E-2</v>
      </c>
      <c r="AO480" s="10">
        <f t="shared" si="1426"/>
        <v>0.11442241968557765</v>
      </c>
      <c r="AP480" s="10">
        <f t="shared" si="1427"/>
        <v>-3.6729962903225832E-2</v>
      </c>
      <c r="AQ480" s="10">
        <f t="shared" si="1428"/>
        <v>1.0000000000000009E-2</v>
      </c>
      <c r="AR480" s="23">
        <v>-6.0000000000000001E-3</v>
      </c>
    </row>
    <row r="481" spans="2:44">
      <c r="B481" s="5">
        <f t="shared" si="1252"/>
        <v>45565</v>
      </c>
      <c r="C481" s="114">
        <v>1293.7454454980434</v>
      </c>
      <c r="D481" s="2">
        <v>1080.2760000000001</v>
      </c>
      <c r="E481" s="2">
        <v>141.6</v>
      </c>
      <c r="F481" s="2">
        <v>119.97000000000001</v>
      </c>
      <c r="G481" s="2">
        <v>145.5</v>
      </c>
      <c r="H481" s="2">
        <v>127.23000000000002</v>
      </c>
      <c r="I481" s="10">
        <f t="shared" ref="I481" si="1437">C481/12/G481/M481</f>
        <v>0.7522606831557227</v>
      </c>
      <c r="J481" s="10">
        <f t="shared" ref="J481" si="1438">D481/12/H481/N481</f>
        <v>0.72866162913542776</v>
      </c>
      <c r="K481" s="14">
        <f t="shared" ref="K481" si="1439">C481/24/DAY(B481)/10</f>
        <v>0.17968686743028381</v>
      </c>
      <c r="L481" s="14">
        <f t="shared" ref="L481" si="1440">D481/24/DAY(B481)/10</f>
        <v>0.15003833333333333</v>
      </c>
      <c r="M481" s="11">
        <v>0.98499999999999999</v>
      </c>
      <c r="N481" s="82">
        <v>0.97104208800000014</v>
      </c>
      <c r="O481" s="10">
        <v>0.99</v>
      </c>
      <c r="P481" s="17">
        <v>1</v>
      </c>
      <c r="Q481" s="83">
        <f t="shared" ref="Q481:Q482" si="1441">R481-S481</f>
        <v>-3.9434108141705559E-2</v>
      </c>
      <c r="R481" s="81">
        <f t="shared" ref="R481" si="1442">D481/C481-1</f>
        <v>-0.16500111845098375</v>
      </c>
      <c r="S481" s="10">
        <f t="shared" ref="S481" si="1443">H481/G481-1</f>
        <v>-0.12556701030927819</v>
      </c>
      <c r="T481" s="10">
        <f t="shared" ref="T481" si="1444">N481-M481</f>
        <v>-1.395791199999985E-2</v>
      </c>
      <c r="U481" s="10">
        <f t="shared" ref="U481" si="1445">P481-O481</f>
        <v>1.0000000000000009E-2</v>
      </c>
      <c r="V481" s="23">
        <v>-1.0699999999999999E-2</v>
      </c>
      <c r="W481" s="83"/>
      <c r="X481" s="5">
        <f t="shared" si="1253"/>
        <v>45565</v>
      </c>
      <c r="Y481" s="43">
        <v>1290.7461098473132</v>
      </c>
      <c r="Z481" s="2">
        <v>1065.3119999999999</v>
      </c>
      <c r="AA481" s="2">
        <v>141.6</v>
      </c>
      <c r="AB481" s="2">
        <v>120.02</v>
      </c>
      <c r="AC481" s="2">
        <v>145.5</v>
      </c>
      <c r="AD481" s="2">
        <v>126.65999999999998</v>
      </c>
      <c r="AE481" s="10">
        <f t="shared" ref="AE481" si="1446">Y481/12/AC481/AI481</f>
        <v>0.75051669070845806</v>
      </c>
      <c r="AF481" s="10">
        <f t="shared" ref="AF481" si="1447">Z481/12/AD481/AJ481</f>
        <v>0.74614980776553252</v>
      </c>
      <c r="AG481" s="14">
        <f t="shared" ref="AG481" si="1448">Y481/24/DAY(X481)/10</f>
        <v>0.17927029303434905</v>
      </c>
      <c r="AH481" s="14">
        <f t="shared" ref="AH481" si="1449">Z481/24/DAY(X481)/10</f>
        <v>0.14796000000000001</v>
      </c>
      <c r="AI481" s="11">
        <v>0.98499999999999999</v>
      </c>
      <c r="AJ481" s="11">
        <v>0.93935566300000006</v>
      </c>
      <c r="AK481" s="10">
        <v>0.99</v>
      </c>
      <c r="AL481" s="17">
        <v>1</v>
      </c>
      <c r="AM481" s="83">
        <f t="shared" ref="AM481:AM482" si="1450">AN481-AO481</f>
        <v>-4.5169571435216049E-2</v>
      </c>
      <c r="AN481" s="81">
        <f t="shared" ref="AN481" si="1451">Z481/Y481-1</f>
        <v>-0.17465410751769039</v>
      </c>
      <c r="AO481" s="10">
        <f t="shared" ref="AO481" si="1452">AD481/AC481-1</f>
        <v>-0.12948453608247434</v>
      </c>
      <c r="AP481" s="10">
        <f t="shared" ref="AP481" si="1453">AJ481-AI481</f>
        <v>-4.5644336999999924E-2</v>
      </c>
      <c r="AQ481" s="10">
        <f t="shared" ref="AQ481" si="1454">AL481-AK481</f>
        <v>1.0000000000000009E-2</v>
      </c>
      <c r="AR481" s="23">
        <v>-9.4999999999999998E-3</v>
      </c>
    </row>
    <row r="482" spans="2:44">
      <c r="B482" s="5">
        <f t="shared" si="1252"/>
        <v>45596</v>
      </c>
      <c r="C482" s="114">
        <v>1479.8190085225704</v>
      </c>
      <c r="D482" s="2">
        <v>1287.2159999999999</v>
      </c>
      <c r="E482" s="2">
        <v>139.1</v>
      </c>
      <c r="F482" s="2">
        <v>127.17</v>
      </c>
      <c r="G482" s="2">
        <v>172.2</v>
      </c>
      <c r="H482" s="2">
        <v>153.45999999999995</v>
      </c>
      <c r="I482" s="10">
        <f t="shared" ref="I482" si="1455">C482/12/G482/M482</f>
        <v>0.72703945188403418</v>
      </c>
      <c r="J482" s="10">
        <f t="shared" ref="J482" si="1456">D482/12/H482/N482</f>
        <v>0.71417489744117246</v>
      </c>
      <c r="K482" s="14">
        <f t="shared" ref="K482" si="1457">C482/24/DAY(B482)/10</f>
        <v>0.19890040437131323</v>
      </c>
      <c r="L482" s="14">
        <f t="shared" ref="L482" si="1458">D482/24/DAY(B482)/10</f>
        <v>0.17301290322580642</v>
      </c>
      <c r="M482" s="11">
        <v>0.98499999999999999</v>
      </c>
      <c r="N482" s="82">
        <v>0.97874691993820528</v>
      </c>
      <c r="O482" s="10">
        <v>0.99</v>
      </c>
      <c r="P482" s="17">
        <v>0.99374838709677416</v>
      </c>
      <c r="Q482" s="83">
        <f t="shared" si="1441"/>
        <v>-2.1326139129332899E-2</v>
      </c>
      <c r="R482" s="81">
        <f t="shared" ref="R482" si="1459">D482/C482-1</f>
        <v>-0.13015308454164443</v>
      </c>
      <c r="S482" s="10">
        <f t="shared" ref="S482" si="1460">H482/G482-1</f>
        <v>-0.10882694541231153</v>
      </c>
      <c r="T482" s="10">
        <f t="shared" ref="T482" si="1461">N482-M482</f>
        <v>-6.2530800617947024E-3</v>
      </c>
      <c r="U482" s="10">
        <f t="shared" ref="U482" si="1462">P482-O482</f>
        <v>3.7483870967741639E-3</v>
      </c>
      <c r="V482" s="23">
        <v>-2.1399999999999999E-2</v>
      </c>
      <c r="W482" s="83"/>
      <c r="X482" s="5">
        <f t="shared" si="1253"/>
        <v>45596</v>
      </c>
      <c r="Y482" s="43">
        <v>1479.4620928042996</v>
      </c>
      <c r="Z482" s="2">
        <v>1252.9380000000001</v>
      </c>
      <c r="AA482" s="2">
        <v>139.1</v>
      </c>
      <c r="AB482" s="2">
        <v>126.35999999999997</v>
      </c>
      <c r="AC482" s="2">
        <v>172.2</v>
      </c>
      <c r="AD482" s="2">
        <v>151.13000000000002</v>
      </c>
      <c r="AE482" s="10">
        <f t="shared" ref="AE482" si="1463">Y482/12/AC482/AI482</f>
        <v>0.72686409813692987</v>
      </c>
      <c r="AF482" s="10">
        <f t="shared" ref="AF482" si="1464">Z482/12/AD482/AJ482</f>
        <v>0.71178275761454457</v>
      </c>
      <c r="AG482" s="14">
        <f t="shared" ref="AG482" si="1465">Y482/24/DAY(X482)/10</f>
        <v>0.1988524318285349</v>
      </c>
      <c r="AH482" s="14">
        <f t="shared" ref="AH482" si="1466">Z482/24/DAY(X482)/10</f>
        <v>0.16840564516129033</v>
      </c>
      <c r="AI482" s="11">
        <v>0.98499999999999999</v>
      </c>
      <c r="AJ482" s="11">
        <v>0.97062213081083881</v>
      </c>
      <c r="AK482" s="10">
        <v>0.99</v>
      </c>
      <c r="AL482" s="17">
        <v>0.99528709677419358</v>
      </c>
      <c r="AM482" s="83">
        <f t="shared" si="1450"/>
        <v>-3.07547447354376E-2</v>
      </c>
      <c r="AN482" s="81">
        <f t="shared" ref="AN482" si="1467">Z482/Y482-1</f>
        <v>-0.15311246831267322</v>
      </c>
      <c r="AO482" s="10">
        <f t="shared" ref="AO482" si="1468">AD482/AC482-1</f>
        <v>-0.12235772357723562</v>
      </c>
      <c r="AP482" s="10">
        <f t="shared" ref="AP482" si="1469">AJ482-AI482</f>
        <v>-1.4377869189161174E-2</v>
      </c>
      <c r="AQ482" s="10">
        <f t="shared" ref="AQ482" si="1470">AL482-AK482</f>
        <v>5.2870967741935893E-3</v>
      </c>
      <c r="AR482" s="23">
        <v>-2.3300000000000001E-2</v>
      </c>
    </row>
    <row r="483" spans="2:44">
      <c r="B483" s="5">
        <f t="shared" si="1252"/>
        <v>45626</v>
      </c>
      <c r="C483" s="114">
        <v>1308.8806156962105</v>
      </c>
      <c r="D483" s="2">
        <v>947.16</v>
      </c>
      <c r="E483" s="2">
        <v>108.1</v>
      </c>
      <c r="F483" s="2">
        <v>84.36999999999999</v>
      </c>
      <c r="G483" s="2">
        <v>152.1</v>
      </c>
      <c r="H483" s="2">
        <v>111.37</v>
      </c>
      <c r="I483" s="10">
        <f t="shared" ref="I483" si="1471">C483/12/G483/M483</f>
        <v>0.72803682216382404</v>
      </c>
      <c r="J483" s="10">
        <f t="shared" ref="J483" si="1472">D483/12/H483/N483</f>
        <v>0.7204757185225994</v>
      </c>
      <c r="K483" s="14">
        <f t="shared" ref="K483" si="1473">C483/24/DAY(B483)/10</f>
        <v>0.18178897440225145</v>
      </c>
      <c r="L483" s="14">
        <f t="shared" ref="L483" si="1474">D483/24/DAY(B483)/10</f>
        <v>0.13155</v>
      </c>
      <c r="M483" s="11">
        <v>0.98499999999999999</v>
      </c>
      <c r="N483" s="82">
        <v>0.98368156933333328</v>
      </c>
      <c r="O483" s="10">
        <v>0.99</v>
      </c>
      <c r="P483" s="17">
        <v>1</v>
      </c>
      <c r="Q483" s="83">
        <f t="shared" ref="Q483" si="1475">R483-S483</f>
        <v>-8.5744013005053521E-3</v>
      </c>
      <c r="R483" s="81">
        <f t="shared" ref="R483" si="1476">D483/C483-1</f>
        <v>-0.27635875370024232</v>
      </c>
      <c r="S483" s="10">
        <f t="shared" ref="S483" si="1477">H483/G483-1</f>
        <v>-0.26778435239973697</v>
      </c>
      <c r="T483" s="10">
        <f t="shared" ref="T483" si="1478">N483-M483</f>
        <v>-1.3184306666667034E-3</v>
      </c>
      <c r="U483" s="10">
        <f t="shared" ref="U483" si="1479">P483-O483</f>
        <v>1.0000000000000009E-2</v>
      </c>
      <c r="V483" s="23">
        <v>-2.64E-2</v>
      </c>
      <c r="W483" s="83"/>
      <c r="X483" s="5">
        <f t="shared" si="1253"/>
        <v>45626</v>
      </c>
      <c r="Y483" s="43">
        <v>1309.4396741968258</v>
      </c>
      <c r="Z483" s="2">
        <v>929.72400000000005</v>
      </c>
      <c r="AA483" s="2">
        <v>108.1</v>
      </c>
      <c r="AB483" s="2">
        <v>82.050000000000011</v>
      </c>
      <c r="AC483" s="2">
        <v>152.1</v>
      </c>
      <c r="AD483" s="2">
        <v>108.30000000000001</v>
      </c>
      <c r="AE483" s="10">
        <f t="shared" ref="AE483" si="1480">Y483/12/AC483/AI483</f>
        <v>0.72834778648655196</v>
      </c>
      <c r="AF483" s="10">
        <f t="shared" ref="AF483" si="1481">Z483/12/AD483/AJ483</f>
        <v>0.72972369166699913</v>
      </c>
      <c r="AG483" s="14">
        <f t="shared" ref="AG483" si="1482">Y483/24/DAY(X483)/10</f>
        <v>0.18186662141622578</v>
      </c>
      <c r="AH483" s="14">
        <f t="shared" ref="AH483" si="1483">Z483/24/DAY(X483)/10</f>
        <v>0.12912833333333334</v>
      </c>
      <c r="AI483" s="11">
        <v>0.98499999999999999</v>
      </c>
      <c r="AJ483" s="11">
        <v>0.98036069900000011</v>
      </c>
      <c r="AK483" s="10">
        <v>0.99</v>
      </c>
      <c r="AL483" s="17">
        <v>1</v>
      </c>
      <c r="AM483" s="83">
        <f t="shared" ref="AM483:AM485" si="1484">AN483-AO483</f>
        <v>-2.0148859242197226E-3</v>
      </c>
      <c r="AN483" s="81">
        <f t="shared" ref="AN483" si="1485">Z483/Y483-1</f>
        <v>-0.2899833277388153</v>
      </c>
      <c r="AO483" s="10">
        <f t="shared" ref="AO483" si="1486">AD483/AC483-1</f>
        <v>-0.28796844181459558</v>
      </c>
      <c r="AP483" s="10">
        <f t="shared" ref="AP483" si="1487">AJ483-AI483</f>
        <v>-4.6393009999998736E-3</v>
      </c>
      <c r="AQ483" s="10">
        <f t="shared" ref="AQ483" si="1488">AL483-AK483</f>
        <v>1.0000000000000009E-2</v>
      </c>
      <c r="AR483" s="23">
        <v>-2.5700000000000001E-2</v>
      </c>
    </row>
    <row r="484" spans="2:44">
      <c r="B484" s="5">
        <f t="shared" si="1252"/>
        <v>45657</v>
      </c>
      <c r="C484" s="114">
        <v>1096.988232921869</v>
      </c>
      <c r="D484" s="2">
        <v>1006.788</v>
      </c>
      <c r="E484" s="2">
        <v>89.9</v>
      </c>
      <c r="F484" s="2">
        <v>77.62</v>
      </c>
      <c r="G484" s="2">
        <v>129.6</v>
      </c>
      <c r="H484" s="2">
        <v>112.75</v>
      </c>
      <c r="I484" s="10">
        <f t="shared" ref="I484:I485" si="1489">C484/12/G484/M484</f>
        <v>0.71610959200368507</v>
      </c>
      <c r="J484" s="10">
        <f t="shared" ref="J484:J485" si="1490">D484/12/H484/N484</f>
        <v>0.74641715352439009</v>
      </c>
      <c r="K484" s="14">
        <f t="shared" ref="K484:K485" si="1491">C484/24/DAY(B484)/10</f>
        <v>0.14744465496261677</v>
      </c>
      <c r="L484" s="14">
        <f t="shared" ref="L484:L485" si="1492">D484/24/DAY(B484)/10</f>
        <v>0.1353209677419355</v>
      </c>
      <c r="M484" s="11">
        <v>0.98499999999999999</v>
      </c>
      <c r="N484" s="82">
        <v>0.99691612903225801</v>
      </c>
      <c r="O484" s="10">
        <v>0.99</v>
      </c>
      <c r="P484" s="17">
        <v>1</v>
      </c>
      <c r="Q484" s="83">
        <f t="shared" ref="Q484:Q485" si="1493">R484-S484</f>
        <v>4.7790089825387239E-2</v>
      </c>
      <c r="R484" s="81">
        <f t="shared" ref="R484:R485" si="1494">D484/C484-1</f>
        <v>-8.2225342273378188E-2</v>
      </c>
      <c r="S484" s="10">
        <f t="shared" ref="S484:S485" si="1495">H484/G484-1</f>
        <v>-0.13001543209876543</v>
      </c>
      <c r="T484" s="10">
        <f t="shared" ref="T484:T485" si="1496">N484-M484</f>
        <v>1.1916129032258027E-2</v>
      </c>
      <c r="U484" s="10">
        <f t="shared" ref="U484:U485" si="1497">P484-O484</f>
        <v>1.0000000000000009E-2</v>
      </c>
      <c r="V484" s="23">
        <v>-1.7600000000000001E-2</v>
      </c>
      <c r="W484" s="83"/>
      <c r="X484" s="5">
        <f t="shared" si="1253"/>
        <v>45657</v>
      </c>
      <c r="Y484" s="43">
        <v>1100.2497874284682</v>
      </c>
      <c r="Z484" s="2">
        <v>988.63800000000003</v>
      </c>
      <c r="AA484" s="2">
        <v>89.9</v>
      </c>
      <c r="AB484" s="2">
        <v>79.329999999999984</v>
      </c>
      <c r="AC484" s="2">
        <v>129.6</v>
      </c>
      <c r="AD484" s="2">
        <v>115.30999999999997</v>
      </c>
      <c r="AE484" s="10">
        <f t="shared" ref="AE484:AE485" si="1498">Y484/12/AC484/AI484</f>
        <v>0.7182387219222417</v>
      </c>
      <c r="AF484" s="10">
        <f t="shared" ref="AF484:AF485" si="1499">Z484/12/AD484/AJ484</f>
        <v>0.72035740862231823</v>
      </c>
      <c r="AG484" s="14">
        <f t="shared" ref="AG484:AG485" si="1500">Y484/24/DAY(X484)/10</f>
        <v>0.1478830359446866</v>
      </c>
      <c r="AH484" s="14">
        <f t="shared" ref="AH484:AH485" si="1501">Z484/24/DAY(X484)/10</f>
        <v>0.13288145161290321</v>
      </c>
      <c r="AI484" s="11">
        <v>0.98499999999999999</v>
      </c>
      <c r="AJ484" s="11">
        <v>0.99183870967741938</v>
      </c>
      <c r="AK484" s="10">
        <v>0.99</v>
      </c>
      <c r="AL484" s="17">
        <v>1</v>
      </c>
      <c r="AM484" s="83">
        <f t="shared" si="1484"/>
        <v>8.8201198283445192E-3</v>
      </c>
      <c r="AN484" s="81">
        <f t="shared" ref="AN484:AN485" si="1502">Z484/Y484-1</f>
        <v>-0.10144222585066798</v>
      </c>
      <c r="AO484" s="10">
        <f t="shared" ref="AO484:AO485" si="1503">AD484/AC484-1</f>
        <v>-0.1102623456790125</v>
      </c>
      <c r="AP484" s="10">
        <f t="shared" ref="AP484:AP485" si="1504">AJ484-AI484</f>
        <v>6.8387096774193967E-3</v>
      </c>
      <c r="AQ484" s="10">
        <f t="shared" ref="AQ484:AQ485" si="1505">AL484-AK484</f>
        <v>1.0000000000000009E-2</v>
      </c>
      <c r="AR484" s="23">
        <v>-1.4390322580645201E-2</v>
      </c>
    </row>
    <row r="485" spans="2:44">
      <c r="B485" s="5">
        <f t="shared" si="1252"/>
        <v>45688</v>
      </c>
      <c r="C485" s="114">
        <v>929.39226437294928</v>
      </c>
      <c r="D485" s="2">
        <v>941.89800000000002</v>
      </c>
      <c r="E485" s="2">
        <v>79.599999999999994</v>
      </c>
      <c r="F485" s="2">
        <v>79.710000000000008</v>
      </c>
      <c r="G485" s="2">
        <v>103.2</v>
      </c>
      <c r="H485" s="2">
        <v>105.60000000000001</v>
      </c>
      <c r="I485" s="10">
        <f t="shared" si="1489"/>
        <v>0.76190685244178613</v>
      </c>
      <c r="J485" s="10">
        <f t="shared" si="1490"/>
        <v>0.74829463835928833</v>
      </c>
      <c r="K485" s="14">
        <f t="shared" si="1491"/>
        <v>0.12491831510389104</v>
      </c>
      <c r="L485" s="14">
        <f t="shared" si="1492"/>
        <v>0.12659919354838708</v>
      </c>
      <c r="M485" s="11">
        <v>0.98499999999999999</v>
      </c>
      <c r="N485" s="82">
        <v>0.99331290322580656</v>
      </c>
      <c r="O485" s="10">
        <v>0.99</v>
      </c>
      <c r="P485" s="17">
        <v>1</v>
      </c>
      <c r="Q485" s="83">
        <f t="shared" si="1493"/>
        <v>-9.7999932990220362E-3</v>
      </c>
      <c r="R485" s="81">
        <f t="shared" si="1494"/>
        <v>1.3455820654466377E-2</v>
      </c>
      <c r="S485" s="10">
        <f t="shared" si="1495"/>
        <v>2.3255813953488413E-2</v>
      </c>
      <c r="T485" s="10">
        <f t="shared" si="1496"/>
        <v>8.3129032258065783E-3</v>
      </c>
      <c r="U485" s="10">
        <f t="shared" si="1497"/>
        <v>1.0000000000000009E-2</v>
      </c>
      <c r="V485" s="23">
        <v>-1.6938709677419402E-2</v>
      </c>
      <c r="X485" s="5">
        <f t="shared" si="1253"/>
        <v>45688</v>
      </c>
      <c r="Y485" s="43">
        <v>925.57623197688986</v>
      </c>
      <c r="Z485" s="2">
        <v>916.77599999999995</v>
      </c>
      <c r="AA485" s="2">
        <v>79.599999999999994</v>
      </c>
      <c r="AB485" s="2">
        <v>79.86999999999999</v>
      </c>
      <c r="AC485" s="2">
        <v>103.2</v>
      </c>
      <c r="AD485" s="2">
        <v>103.72</v>
      </c>
      <c r="AE485" s="10">
        <f t="shared" si="1498"/>
        <v>0.75877850573270378</v>
      </c>
      <c r="AF485" s="10">
        <f t="shared" si="1499"/>
        <v>0.74004491487341806</v>
      </c>
      <c r="AG485" s="14">
        <f t="shared" si="1500"/>
        <v>0.12440540752377552</v>
      </c>
      <c r="AH485" s="14">
        <f t="shared" si="1501"/>
        <v>0.1232225806451613</v>
      </c>
      <c r="AI485" s="11">
        <v>0.98499999999999999</v>
      </c>
      <c r="AJ485" s="11">
        <v>0.99531695580645152</v>
      </c>
      <c r="AK485" s="10">
        <v>0.99</v>
      </c>
      <c r="AL485" s="17">
        <v>1</v>
      </c>
      <c r="AM485" s="83">
        <f t="shared" si="1484"/>
        <v>-1.4546601046321439E-2</v>
      </c>
      <c r="AN485" s="81">
        <f t="shared" si="1502"/>
        <v>-9.5078413563990383E-3</v>
      </c>
      <c r="AO485" s="10">
        <f t="shared" si="1503"/>
        <v>5.0387596899224008E-3</v>
      </c>
      <c r="AP485" s="10">
        <f t="shared" si="1504"/>
        <v>1.0316955806451533E-2</v>
      </c>
      <c r="AQ485" s="10">
        <f t="shared" si="1505"/>
        <v>1.0000000000000009E-2</v>
      </c>
      <c r="AR485" s="23">
        <v>-1.6058064516129001E-2</v>
      </c>
    </row>
    <row r="486" spans="2:44">
      <c r="B486" s="5">
        <f t="shared" si="1252"/>
        <v>45716</v>
      </c>
      <c r="C486" s="114">
        <v>1216.4085095779583</v>
      </c>
      <c r="D486" s="2"/>
      <c r="E486" s="2">
        <v>108.10000000000001</v>
      </c>
      <c r="F486" s="2"/>
      <c r="G486" s="2">
        <v>137.5</v>
      </c>
      <c r="H486" s="2"/>
      <c r="I486" s="12"/>
      <c r="J486" s="10"/>
      <c r="K486" s="12"/>
      <c r="L486" s="12"/>
      <c r="M486" s="12"/>
      <c r="N486" s="10"/>
      <c r="O486" s="10"/>
      <c r="P486" s="23"/>
      <c r="Q486" s="83"/>
      <c r="R486" s="81"/>
      <c r="S486" s="10"/>
      <c r="T486" s="10"/>
      <c r="U486" s="10"/>
      <c r="V486" s="23"/>
      <c r="X486" s="5">
        <f t="shared" si="1253"/>
        <v>45716</v>
      </c>
      <c r="Y486" s="43">
        <v>1215.2063064806625</v>
      </c>
      <c r="Z486" s="2"/>
      <c r="AA486" s="2">
        <v>108.10000000000001</v>
      </c>
      <c r="AB486" s="2"/>
      <c r="AC486" s="2">
        <v>137.5</v>
      </c>
      <c r="AD486" s="2"/>
      <c r="AE486" s="12"/>
      <c r="AF486" s="10"/>
      <c r="AG486" s="12"/>
      <c r="AH486" s="12"/>
      <c r="AI486" s="12"/>
      <c r="AJ486" s="10"/>
      <c r="AK486" s="10"/>
      <c r="AL486" s="23"/>
      <c r="AM486" s="83"/>
      <c r="AN486" s="81"/>
      <c r="AO486" s="10"/>
      <c r="AP486" s="10"/>
      <c r="AQ486" s="10"/>
      <c r="AR486" s="23"/>
    </row>
    <row r="487" spans="2:44">
      <c r="B487" s="5">
        <f t="shared" si="1252"/>
        <v>45747</v>
      </c>
      <c r="C487" s="114">
        <v>1628.329972603666</v>
      </c>
      <c r="D487" s="2"/>
      <c r="E487" s="2">
        <v>159.81</v>
      </c>
      <c r="F487" s="2"/>
      <c r="G487" s="2">
        <v>187.79999999999998</v>
      </c>
      <c r="H487" s="2"/>
      <c r="I487" s="12"/>
      <c r="J487" s="10"/>
      <c r="K487" s="12"/>
      <c r="L487" s="12"/>
      <c r="M487" s="12"/>
      <c r="N487" s="10"/>
      <c r="O487" s="10"/>
      <c r="P487" s="23"/>
      <c r="Q487" s="83"/>
      <c r="R487" s="81"/>
      <c r="S487" s="10"/>
      <c r="T487" s="10"/>
      <c r="U487" s="10"/>
      <c r="V487" s="23"/>
      <c r="X487" s="5">
        <f t="shared" si="1253"/>
        <v>45747</v>
      </c>
      <c r="Y487" s="43">
        <v>1629.7227433851453</v>
      </c>
      <c r="Z487" s="2"/>
      <c r="AA487" s="2">
        <v>159.81</v>
      </c>
      <c r="AB487" s="2"/>
      <c r="AC487" s="2">
        <v>187.79999999999998</v>
      </c>
      <c r="AD487" s="2"/>
      <c r="AE487" s="12"/>
      <c r="AF487" s="10"/>
      <c r="AG487" s="12"/>
      <c r="AH487" s="12"/>
      <c r="AI487" s="12"/>
      <c r="AJ487" s="10"/>
      <c r="AK487" s="10"/>
      <c r="AL487" s="23"/>
      <c r="AM487" s="83"/>
      <c r="AN487" s="81"/>
      <c r="AO487" s="10"/>
      <c r="AP487" s="10"/>
      <c r="AQ487" s="10"/>
      <c r="AR487" s="23"/>
    </row>
    <row r="488" spans="2:44">
      <c r="B488" s="5">
        <f t="shared" si="1252"/>
        <v>45777</v>
      </c>
      <c r="C488" s="114">
        <v>1685.0245395577422</v>
      </c>
      <c r="D488" s="2"/>
      <c r="E488" s="2">
        <v>190.20000000000002</v>
      </c>
      <c r="F488" s="2"/>
      <c r="G488" s="2">
        <v>194</v>
      </c>
      <c r="H488" s="2"/>
      <c r="I488" s="12"/>
      <c r="J488" s="10"/>
      <c r="K488" s="12"/>
      <c r="L488" s="12"/>
      <c r="M488" s="12"/>
      <c r="N488" s="10"/>
      <c r="O488" s="10"/>
      <c r="P488" s="23"/>
      <c r="Q488" s="83"/>
      <c r="R488" s="81"/>
      <c r="S488" s="10"/>
      <c r="T488" s="10"/>
      <c r="U488" s="10"/>
      <c r="V488" s="23"/>
      <c r="X488" s="5">
        <f t="shared" si="1253"/>
        <v>45777</v>
      </c>
      <c r="Y488" s="43">
        <v>1685.5230329684409</v>
      </c>
      <c r="Z488" s="2"/>
      <c r="AA488" s="2">
        <v>190.20000000000002</v>
      </c>
      <c r="AB488" s="2"/>
      <c r="AC488" s="2">
        <v>194</v>
      </c>
      <c r="AD488" s="2"/>
      <c r="AE488" s="12"/>
      <c r="AF488" s="10"/>
      <c r="AG488" s="12"/>
      <c r="AH488" s="12"/>
      <c r="AI488" s="12"/>
      <c r="AJ488" s="10"/>
      <c r="AK488" s="10"/>
      <c r="AL488" s="23"/>
      <c r="AM488" s="83"/>
      <c r="AN488" s="81"/>
      <c r="AO488" s="10"/>
      <c r="AP488" s="10"/>
      <c r="AQ488" s="10"/>
      <c r="AR488" s="23"/>
    </row>
    <row r="489" spans="2:44">
      <c r="B489" s="5">
        <f t="shared" si="1252"/>
        <v>45808</v>
      </c>
      <c r="C489" s="114">
        <v>1707.170854774178</v>
      </c>
      <c r="D489" s="2"/>
      <c r="E489" s="2">
        <v>197</v>
      </c>
      <c r="F489" s="2"/>
      <c r="G489" s="2">
        <v>197.70000000000002</v>
      </c>
      <c r="H489" s="2"/>
      <c r="I489" s="12"/>
      <c r="J489" s="10"/>
      <c r="K489" s="12"/>
      <c r="L489" s="12"/>
      <c r="M489" s="12"/>
      <c r="N489" s="10"/>
      <c r="O489" s="10"/>
      <c r="P489" s="23"/>
      <c r="Q489" s="83"/>
      <c r="R489" s="81"/>
      <c r="S489" s="10"/>
      <c r="T489" s="10"/>
      <c r="U489" s="10"/>
      <c r="V489" s="23"/>
      <c r="X489" s="5">
        <f t="shared" si="1253"/>
        <v>45808</v>
      </c>
      <c r="Y489" s="43">
        <v>1707.6660050253045</v>
      </c>
      <c r="Z489" s="2"/>
      <c r="AA489" s="2">
        <v>197</v>
      </c>
      <c r="AB489" s="2"/>
      <c r="AC489" s="2">
        <v>197.70000000000002</v>
      </c>
      <c r="AD489" s="2"/>
      <c r="AE489" s="12"/>
      <c r="AF489" s="10"/>
      <c r="AG489" s="12"/>
      <c r="AH489" s="12"/>
      <c r="AI489" s="12"/>
      <c r="AJ489" s="10"/>
      <c r="AK489" s="10"/>
      <c r="AL489" s="23"/>
      <c r="AM489" s="83"/>
      <c r="AN489" s="81"/>
      <c r="AO489" s="10"/>
      <c r="AP489" s="10"/>
      <c r="AQ489" s="10"/>
      <c r="AR489" s="23"/>
    </row>
    <row r="490" spans="2:44">
      <c r="B490" s="5">
        <f t="shared" si="1252"/>
        <v>45838</v>
      </c>
      <c r="C490" s="114">
        <v>1535.3154486946357</v>
      </c>
      <c r="D490" s="2"/>
      <c r="E490" s="2">
        <v>178.90000000000003</v>
      </c>
      <c r="F490" s="2"/>
      <c r="G490" s="2">
        <v>177.20000000000002</v>
      </c>
      <c r="H490" s="2"/>
      <c r="I490" s="12"/>
      <c r="J490" s="10"/>
      <c r="K490" s="12"/>
      <c r="L490" s="12"/>
      <c r="M490" s="12"/>
      <c r="N490" s="10"/>
      <c r="O490" s="10"/>
      <c r="P490" s="23"/>
      <c r="Q490" s="83"/>
      <c r="R490" s="81"/>
      <c r="S490" s="10"/>
      <c r="T490" s="10"/>
      <c r="U490" s="10"/>
      <c r="V490" s="23"/>
      <c r="X490" s="5">
        <f t="shared" si="1253"/>
        <v>45838</v>
      </c>
      <c r="Y490" s="43">
        <v>1533.1793852172209</v>
      </c>
      <c r="Z490" s="2"/>
      <c r="AA490" s="2">
        <v>178.90000000000003</v>
      </c>
      <c r="AB490" s="2"/>
      <c r="AC490" s="2">
        <v>177.20000000000002</v>
      </c>
      <c r="AD490" s="2"/>
      <c r="AE490" s="12"/>
      <c r="AF490" s="10"/>
      <c r="AG490" s="12"/>
      <c r="AH490" s="12"/>
      <c r="AI490" s="12"/>
      <c r="AJ490" s="10"/>
      <c r="AK490" s="10"/>
      <c r="AL490" s="23"/>
      <c r="AM490" s="83"/>
      <c r="AN490" s="81"/>
      <c r="AO490" s="10"/>
      <c r="AP490" s="10"/>
      <c r="AQ490" s="10"/>
      <c r="AR490" s="23"/>
    </row>
    <row r="491" spans="2:44">
      <c r="B491" s="5">
        <f t="shared" si="1252"/>
        <v>45869</v>
      </c>
      <c r="C491" s="114">
        <v>1361.688337397778</v>
      </c>
      <c r="D491" s="2"/>
      <c r="E491" s="2">
        <v>155.5</v>
      </c>
      <c r="F491" s="2"/>
      <c r="G491" s="2">
        <v>154.6</v>
      </c>
      <c r="H491" s="2"/>
      <c r="I491" s="12"/>
      <c r="J491" s="10"/>
      <c r="K491" s="12"/>
      <c r="L491" s="12"/>
      <c r="M491" s="12"/>
      <c r="N491" s="10"/>
      <c r="O491" s="10"/>
      <c r="P491" s="23"/>
      <c r="Q491" s="83"/>
      <c r="R491" s="81"/>
      <c r="S491" s="10"/>
      <c r="T491" s="10"/>
      <c r="U491" s="10"/>
      <c r="V491" s="23"/>
      <c r="X491" s="5">
        <f t="shared" si="1253"/>
        <v>45869</v>
      </c>
      <c r="Y491" s="43">
        <v>1356.9213276445882</v>
      </c>
      <c r="Z491" s="2"/>
      <c r="AA491" s="2">
        <v>155.5</v>
      </c>
      <c r="AB491" s="2"/>
      <c r="AC491" s="2">
        <v>154.6</v>
      </c>
      <c r="AD491" s="2"/>
      <c r="AE491" s="12"/>
      <c r="AF491" s="10"/>
      <c r="AG491" s="12"/>
      <c r="AH491" s="12"/>
      <c r="AI491" s="12"/>
      <c r="AJ491" s="10"/>
      <c r="AK491" s="10"/>
      <c r="AL491" s="23"/>
      <c r="AM491" s="83"/>
      <c r="AN491" s="81"/>
      <c r="AO491" s="10"/>
      <c r="AP491" s="10"/>
      <c r="AQ491" s="10"/>
      <c r="AR491" s="23"/>
    </row>
    <row r="492" spans="2:44">
      <c r="B492" s="5">
        <f t="shared" si="1252"/>
        <v>45900</v>
      </c>
      <c r="C492" s="114">
        <v>1293.4776865311555</v>
      </c>
      <c r="D492" s="2"/>
      <c r="E492" s="2">
        <v>145.4</v>
      </c>
      <c r="F492" s="2"/>
      <c r="G492" s="2">
        <v>146.29999999999998</v>
      </c>
      <c r="H492" s="2"/>
      <c r="I492" s="12"/>
      <c r="J492" s="10"/>
      <c r="K492" s="12"/>
      <c r="L492" s="12"/>
      <c r="M492" s="12"/>
      <c r="N492" s="10"/>
      <c r="O492" s="10"/>
      <c r="P492" s="23"/>
      <c r="Q492" s="83"/>
      <c r="R492" s="81"/>
      <c r="S492" s="10"/>
      <c r="T492" s="10"/>
      <c r="U492" s="10"/>
      <c r="V492" s="23"/>
      <c r="X492" s="5">
        <f t="shared" si="1253"/>
        <v>45900</v>
      </c>
      <c r="Y492" s="43">
        <v>1288.7209737094493</v>
      </c>
      <c r="Z492" s="2"/>
      <c r="AA492" s="2">
        <v>145.4</v>
      </c>
      <c r="AB492" s="2"/>
      <c r="AC492" s="2">
        <v>146.29999999999998</v>
      </c>
      <c r="AD492" s="2"/>
      <c r="AE492" s="12"/>
      <c r="AF492" s="10"/>
      <c r="AG492" s="12"/>
      <c r="AH492" s="12"/>
      <c r="AI492" s="12"/>
      <c r="AJ492" s="10"/>
      <c r="AK492" s="10"/>
      <c r="AL492" s="23"/>
      <c r="AM492" s="83"/>
      <c r="AN492" s="81"/>
      <c r="AO492" s="10"/>
      <c r="AP492" s="10"/>
      <c r="AQ492" s="10"/>
      <c r="AR492" s="23"/>
    </row>
    <row r="493" spans="2:44">
      <c r="B493" s="5">
        <f t="shared" si="1252"/>
        <v>45930</v>
      </c>
      <c r="C493" s="114">
        <v>1287.2767182705531</v>
      </c>
      <c r="D493" s="2"/>
      <c r="E493" s="2">
        <v>141.6</v>
      </c>
      <c r="F493" s="2"/>
      <c r="G493" s="2">
        <v>145.5</v>
      </c>
      <c r="H493" s="2"/>
      <c r="I493" s="12"/>
      <c r="J493" s="10"/>
      <c r="K493" s="12"/>
      <c r="L493" s="12"/>
      <c r="M493" s="12"/>
      <c r="N493" s="10"/>
      <c r="O493" s="10"/>
      <c r="P493" s="23"/>
      <c r="Q493" s="83"/>
      <c r="R493" s="81"/>
      <c r="S493" s="10"/>
      <c r="T493" s="10"/>
      <c r="U493" s="10"/>
      <c r="V493" s="23"/>
      <c r="X493" s="5">
        <f t="shared" si="1253"/>
        <v>45930</v>
      </c>
      <c r="Y493" s="43">
        <v>1284.2923792980766</v>
      </c>
      <c r="Z493" s="2"/>
      <c r="AA493" s="2">
        <v>141.6</v>
      </c>
      <c r="AB493" s="2"/>
      <c r="AC493" s="2">
        <v>145.5</v>
      </c>
      <c r="AD493" s="2"/>
      <c r="AE493" s="12"/>
      <c r="AF493" s="10"/>
      <c r="AG493" s="12"/>
      <c r="AH493" s="12"/>
      <c r="AI493" s="12"/>
      <c r="AJ493" s="10"/>
      <c r="AK493" s="10"/>
      <c r="AL493" s="23"/>
      <c r="AM493" s="83"/>
      <c r="AN493" s="81"/>
      <c r="AO493" s="10"/>
      <c r="AP493" s="10"/>
      <c r="AQ493" s="10"/>
      <c r="AR493" s="23"/>
    </row>
    <row r="494" spans="2:44">
      <c r="B494" s="5">
        <f t="shared" si="1252"/>
        <v>45961</v>
      </c>
      <c r="C494" s="114">
        <v>1472.4199134799576</v>
      </c>
      <c r="D494" s="2"/>
      <c r="E494" s="2">
        <v>139.1</v>
      </c>
      <c r="F494" s="2"/>
      <c r="G494" s="2">
        <v>172.20000000000002</v>
      </c>
      <c r="H494" s="2"/>
      <c r="I494" s="12"/>
      <c r="J494" s="10"/>
      <c r="K494" s="12"/>
      <c r="L494" s="12"/>
      <c r="M494" s="12"/>
      <c r="N494" s="10"/>
      <c r="O494" s="10"/>
      <c r="P494" s="23"/>
      <c r="Q494" s="83"/>
      <c r="R494" s="81"/>
      <c r="S494" s="10"/>
      <c r="T494" s="10"/>
      <c r="U494" s="10"/>
      <c r="V494" s="23"/>
      <c r="X494" s="5">
        <f t="shared" si="1253"/>
        <v>45961</v>
      </c>
      <c r="Y494" s="43">
        <v>1472.064782340278</v>
      </c>
      <c r="Z494" s="2"/>
      <c r="AA494" s="2">
        <v>139.1</v>
      </c>
      <c r="AB494" s="2"/>
      <c r="AC494" s="2">
        <v>172.20000000000002</v>
      </c>
      <c r="AD494" s="2"/>
      <c r="AE494" s="12"/>
      <c r="AF494" s="10"/>
      <c r="AG494" s="12"/>
      <c r="AH494" s="12"/>
      <c r="AI494" s="12"/>
      <c r="AJ494" s="10"/>
      <c r="AK494" s="10"/>
      <c r="AL494" s="23"/>
      <c r="AM494" s="83"/>
      <c r="AN494" s="81"/>
      <c r="AO494" s="10"/>
      <c r="AP494" s="10"/>
      <c r="AQ494" s="10"/>
      <c r="AR494" s="23"/>
    </row>
    <row r="495" spans="2:44">
      <c r="B495" s="5">
        <f t="shared" si="1252"/>
        <v>45991</v>
      </c>
      <c r="C495" s="114">
        <v>1302.3362126177294</v>
      </c>
      <c r="D495" s="2"/>
      <c r="E495" s="2">
        <v>108.10000000000001</v>
      </c>
      <c r="F495" s="2"/>
      <c r="G495" s="2">
        <v>152.1</v>
      </c>
      <c r="H495" s="2"/>
      <c r="I495" s="12"/>
      <c r="J495" s="10"/>
      <c r="K495" s="12"/>
      <c r="L495" s="12"/>
      <c r="M495" s="12"/>
      <c r="N495" s="10"/>
      <c r="O495" s="10"/>
      <c r="P495" s="23"/>
      <c r="Q495" s="83"/>
      <c r="R495" s="81"/>
      <c r="S495" s="10"/>
      <c r="T495" s="10"/>
      <c r="U495" s="10"/>
      <c r="V495" s="23"/>
      <c r="X495" s="5">
        <f t="shared" si="1253"/>
        <v>45991</v>
      </c>
      <c r="Y495" s="43">
        <v>1302.8924758258415</v>
      </c>
      <c r="Z495" s="2"/>
      <c r="AA495" s="2">
        <v>108.10000000000001</v>
      </c>
      <c r="AB495" s="2"/>
      <c r="AC495" s="2">
        <v>152.1</v>
      </c>
      <c r="AD495" s="2"/>
      <c r="AE495" s="12"/>
      <c r="AF495" s="10"/>
      <c r="AG495" s="12"/>
      <c r="AH495" s="12"/>
      <c r="AI495" s="12"/>
      <c r="AJ495" s="10"/>
      <c r="AK495" s="10"/>
      <c r="AL495" s="23"/>
      <c r="AM495" s="83"/>
      <c r="AN495" s="81"/>
      <c r="AO495" s="10"/>
      <c r="AP495" s="10"/>
      <c r="AQ495" s="10"/>
      <c r="AR495" s="23"/>
    </row>
    <row r="496" spans="2:44">
      <c r="B496" s="5">
        <f t="shared" si="1252"/>
        <v>46022</v>
      </c>
      <c r="C496" s="114">
        <v>1091.5032917572596</v>
      </c>
      <c r="D496" s="2"/>
      <c r="E496" s="2">
        <v>89.899999999999991</v>
      </c>
      <c r="F496" s="2"/>
      <c r="G496" s="2">
        <v>129.6</v>
      </c>
      <c r="H496" s="2"/>
      <c r="I496" s="12"/>
      <c r="J496" s="10"/>
      <c r="K496" s="12"/>
      <c r="L496" s="12"/>
      <c r="M496" s="12"/>
      <c r="N496" s="10"/>
      <c r="O496" s="10"/>
      <c r="P496" s="23"/>
      <c r="Q496" s="83"/>
      <c r="R496" s="81"/>
      <c r="S496" s="10"/>
      <c r="T496" s="10"/>
      <c r="U496" s="10"/>
      <c r="V496" s="23"/>
      <c r="X496" s="5">
        <f t="shared" si="1253"/>
        <v>46022</v>
      </c>
      <c r="Y496" s="43">
        <v>1094.7485384913259</v>
      </c>
      <c r="Z496" s="2"/>
      <c r="AA496" s="2">
        <v>89.899999999999991</v>
      </c>
      <c r="AB496" s="2"/>
      <c r="AC496" s="2">
        <v>129.6</v>
      </c>
      <c r="AD496" s="2"/>
      <c r="AE496" s="12"/>
      <c r="AF496" s="10"/>
      <c r="AG496" s="12"/>
      <c r="AH496" s="12"/>
      <c r="AI496" s="12"/>
      <c r="AJ496" s="10"/>
      <c r="AK496" s="10"/>
      <c r="AL496" s="23"/>
      <c r="AM496" s="83"/>
      <c r="AN496" s="81"/>
      <c r="AO496" s="10"/>
      <c r="AP496" s="10"/>
      <c r="AQ496" s="10"/>
      <c r="AR496" s="23"/>
    </row>
    <row r="497" spans="1:66">
      <c r="B497" s="60" t="s">
        <v>43</v>
      </c>
      <c r="C497" s="58">
        <f t="shared" ref="C497:H497" si="1506">SUM(C389:C400)</f>
        <v>15906.671542726663</v>
      </c>
      <c r="D497" s="58">
        <f t="shared" si="1506"/>
        <v>10968.978000000001</v>
      </c>
      <c r="E497" s="58">
        <f t="shared" si="1506"/>
        <v>1694.7999999999997</v>
      </c>
      <c r="F497" s="58">
        <f t="shared" si="1506"/>
        <v>847.41000000000008</v>
      </c>
      <c r="G497" s="58">
        <f t="shared" si="1506"/>
        <v>1897.6999999999998</v>
      </c>
      <c r="H497" s="58">
        <f t="shared" si="1506"/>
        <v>935.23000000000013</v>
      </c>
      <c r="I497" s="59">
        <f t="shared" ref="I497:P497" si="1507">AVERAGE(I389:I400)</f>
        <v>0.80390635272788424</v>
      </c>
      <c r="J497" s="59">
        <f t="shared" si="1507"/>
        <v>0.70583922742802818</v>
      </c>
      <c r="K497" s="59">
        <f t="shared" si="1507"/>
        <v>0.21382894141313241</v>
      </c>
      <c r="L497" s="59">
        <f t="shared" si="1507"/>
        <v>0.1537464456391876</v>
      </c>
      <c r="M497" s="59">
        <f t="shared" si="1507"/>
        <v>0.98499999999999988</v>
      </c>
      <c r="N497" s="59">
        <f t="shared" si="1507"/>
        <v>0.91510694428571426</v>
      </c>
      <c r="O497" s="59">
        <f t="shared" si="1507"/>
        <v>0.9900000000000001</v>
      </c>
      <c r="P497" s="61">
        <f t="shared" si="1507"/>
        <v>0.99032857142857134</v>
      </c>
      <c r="Q497" s="83">
        <f t="shared" ref="Q497:Q503" si="1508">R497-S497</f>
        <v>0.19676059430915371</v>
      </c>
      <c r="R497" s="65">
        <f t="shared" ref="R497:R505" si="1509">D497/C497-1</f>
        <v>-0.3104165148229534</v>
      </c>
      <c r="S497" s="59">
        <f t="shared" ref="S497:S505" si="1510">H497/G497-1</f>
        <v>-0.50717710913210712</v>
      </c>
      <c r="T497" s="59">
        <f t="shared" ref="T497:T505" si="1511">N497-M497</f>
        <v>-6.9893055714285612E-2</v>
      </c>
      <c r="U497" s="59">
        <f t="shared" ref="U497:U505" si="1512">P497-O497</f>
        <v>3.2857142857123378E-4</v>
      </c>
      <c r="V497" s="61" t="e">
        <f>AVERAGE(V389:V400)</f>
        <v>#DIV/0!</v>
      </c>
      <c r="W497" s="83"/>
      <c r="X497" s="60" t="s">
        <v>43</v>
      </c>
      <c r="Y497" s="58">
        <f t="shared" ref="Y497:AD497" si="1513">SUM(Y389:Y400)</f>
        <v>14092.23001198531</v>
      </c>
      <c r="Z497" s="58">
        <f t="shared" si="1513"/>
        <v>9775.3799999999992</v>
      </c>
      <c r="AA497" s="58">
        <f t="shared" si="1513"/>
        <v>1694.7999999999997</v>
      </c>
      <c r="AB497" s="58">
        <f t="shared" si="1513"/>
        <v>847.03000000000009</v>
      </c>
      <c r="AC497" s="58">
        <f t="shared" si="1513"/>
        <v>1897.6999999999998</v>
      </c>
      <c r="AD497" s="58">
        <f t="shared" si="1513"/>
        <v>922.1</v>
      </c>
      <c r="AE497" s="59">
        <f t="shared" ref="AE497:AL497" si="1514">AVERAGE(AE389:AE400)</f>
        <v>0.80311806892679083</v>
      </c>
      <c r="AF497" s="59">
        <f t="shared" si="1514"/>
        <v>0.72377502315824827</v>
      </c>
      <c r="AG497" s="59">
        <f t="shared" si="1514"/>
        <v>0.21365794901427013</v>
      </c>
      <c r="AH497" s="59">
        <f t="shared" si="1514"/>
        <v>0.14731637395459979</v>
      </c>
      <c r="AI497" s="59">
        <f t="shared" si="1514"/>
        <v>0.98499999999999988</v>
      </c>
      <c r="AJ497" s="59">
        <f t="shared" si="1514"/>
        <v>0.88686709142857134</v>
      </c>
      <c r="AK497" s="59">
        <f t="shared" si="1514"/>
        <v>0.9900000000000001</v>
      </c>
      <c r="AL497" s="61">
        <f t="shared" si="1514"/>
        <v>0.98818571428571433</v>
      </c>
      <c r="AM497" s="83">
        <f t="shared" ref="AM497:AM503" si="1515">AN497-AO497</f>
        <v>0.20776762941180638</v>
      </c>
      <c r="AN497" s="65">
        <f t="shared" ref="AN497:AN505" si="1516">Z497/Y497-1</f>
        <v>-0.30632838154883013</v>
      </c>
      <c r="AO497" s="59">
        <f t="shared" ref="AO497:AO505" si="1517">AD497/AC497-1</f>
        <v>-0.51409601096063651</v>
      </c>
      <c r="AP497" s="59">
        <f t="shared" ref="AP497:AP505" si="1518">AJ497-AI497</f>
        <v>-9.8132908571428534E-2</v>
      </c>
      <c r="AQ497" s="59">
        <f t="shared" ref="AQ497:AQ505" si="1519">AL497-AK497</f>
        <v>-1.8142857142857682E-3</v>
      </c>
      <c r="AR497" s="61" t="e">
        <f>AVERAGE(AR389:AR400)</f>
        <v>#DIV/0!</v>
      </c>
    </row>
    <row r="498" spans="1:66">
      <c r="B498" s="60" t="s">
        <v>44</v>
      </c>
      <c r="C498" s="58">
        <f t="shared" ref="C498:H498" si="1520">SUM(C401:C412)</f>
        <v>17349.317054595685</v>
      </c>
      <c r="D498" s="58">
        <f t="shared" si="1520"/>
        <v>15398.748000000001</v>
      </c>
      <c r="E498" s="58">
        <f t="shared" si="1520"/>
        <v>1694.7999999999997</v>
      </c>
      <c r="F498" s="58">
        <f t="shared" si="1520"/>
        <v>1485.3400000000001</v>
      </c>
      <c r="G498" s="58">
        <f t="shared" si="1520"/>
        <v>1897.6999999999998</v>
      </c>
      <c r="H498" s="58">
        <f t="shared" si="1520"/>
        <v>1657.0300000000002</v>
      </c>
      <c r="I498" s="59">
        <f t="shared" ref="I498:P498" si="1521">AVERAGE(I401:I412)</f>
        <v>0.77363497191690966</v>
      </c>
      <c r="J498" s="59">
        <f t="shared" si="1521"/>
        <v>0.79506786144677655</v>
      </c>
      <c r="K498" s="59">
        <f t="shared" si="1521"/>
        <v>0.19817985733657331</v>
      </c>
      <c r="L498" s="59">
        <f t="shared" si="1521"/>
        <v>0.17596856822836662</v>
      </c>
      <c r="M498" s="59">
        <f t="shared" si="1521"/>
        <v>0.98499999999999988</v>
      </c>
      <c r="N498" s="59">
        <f t="shared" si="1521"/>
        <v>0.97153630000000002</v>
      </c>
      <c r="O498" s="59">
        <f t="shared" si="1521"/>
        <v>0.9900000000000001</v>
      </c>
      <c r="P498" s="61">
        <f t="shared" si="1521"/>
        <v>0.98904166666666671</v>
      </c>
      <c r="Q498" s="83">
        <f t="shared" si="1508"/>
        <v>1.4392787448077704E-2</v>
      </c>
      <c r="R498" s="65">
        <f t="shared" si="1509"/>
        <v>-0.11242915490318939</v>
      </c>
      <c r="S498" s="59">
        <f t="shared" si="1510"/>
        <v>-0.12682194235126709</v>
      </c>
      <c r="T498" s="59">
        <f t="shared" si="1511"/>
        <v>-1.3463699999999856E-2</v>
      </c>
      <c r="U498" s="59">
        <f t="shared" si="1512"/>
        <v>-9.5833333333339432E-4</v>
      </c>
      <c r="V498" s="61" t="e">
        <f>AVERAGE(V401:V412)</f>
        <v>#DIV/0!</v>
      </c>
      <c r="W498" s="83"/>
      <c r="X498" s="60" t="s">
        <v>44</v>
      </c>
      <c r="Y498" s="58">
        <f t="shared" ref="Y498:AD498" si="1522">SUM(Y401:Y412)</f>
        <v>17335.219365738376</v>
      </c>
      <c r="Z498" s="58">
        <f t="shared" si="1522"/>
        <v>16029.58</v>
      </c>
      <c r="AA498" s="58">
        <f t="shared" si="1522"/>
        <v>1694.7999999999997</v>
      </c>
      <c r="AB498" s="58">
        <f t="shared" si="1522"/>
        <v>1502.3999999999999</v>
      </c>
      <c r="AC498" s="58">
        <f t="shared" si="1522"/>
        <v>1897.6999999999998</v>
      </c>
      <c r="AD498" s="58">
        <f t="shared" si="1522"/>
        <v>1689.9199999999998</v>
      </c>
      <c r="AE498" s="59">
        <f t="shared" ref="AE498:AL498" si="1523">AVERAGE(AE401:AE412)</f>
        <v>0.77287159998145283</v>
      </c>
      <c r="AF498" s="59">
        <f t="shared" si="1523"/>
        <v>0.80675199897886862</v>
      </c>
      <c r="AG498" s="59">
        <f t="shared" si="1523"/>
        <v>0.19801879133552738</v>
      </c>
      <c r="AH498" s="59">
        <f t="shared" si="1523"/>
        <v>0.1831803227406554</v>
      </c>
      <c r="AI498" s="59">
        <f t="shared" si="1523"/>
        <v>0.98499999999999988</v>
      </c>
      <c r="AJ498" s="59">
        <f t="shared" si="1523"/>
        <v>0.96966179916666662</v>
      </c>
      <c r="AK498" s="59">
        <f t="shared" si="1523"/>
        <v>0.9900000000000001</v>
      </c>
      <c r="AL498" s="61">
        <f t="shared" si="1523"/>
        <v>0.98913333333333331</v>
      </c>
      <c r="AM498" s="83">
        <f t="shared" si="1515"/>
        <v>3.4173282993720133E-2</v>
      </c>
      <c r="AN498" s="65">
        <f t="shared" si="1516"/>
        <v>-7.5317152796973819E-2</v>
      </c>
      <c r="AO498" s="59">
        <f t="shared" si="1517"/>
        <v>-0.10949043579069395</v>
      </c>
      <c r="AP498" s="59">
        <f t="shared" si="1518"/>
        <v>-1.533820083333326E-2</v>
      </c>
      <c r="AQ498" s="59">
        <f t="shared" si="1519"/>
        <v>-8.6666666666679326E-4</v>
      </c>
      <c r="AR498" s="61" t="e">
        <f>AVERAGE(AR401:AR412)</f>
        <v>#DIV/0!</v>
      </c>
    </row>
    <row r="499" spans="1:66">
      <c r="B499" s="60" t="s">
        <v>45</v>
      </c>
      <c r="C499" s="58">
        <f t="shared" ref="C499:H499" si="1524">SUM(C413:C424)</f>
        <v>17014.438878311114</v>
      </c>
      <c r="D499" s="58">
        <f t="shared" si="1524"/>
        <v>15333.978000000001</v>
      </c>
      <c r="E499" s="58">
        <f t="shared" si="1524"/>
        <v>1694.7999999999997</v>
      </c>
      <c r="F499" s="58">
        <f t="shared" si="1524"/>
        <v>1603.28</v>
      </c>
      <c r="G499" s="58">
        <f t="shared" si="1524"/>
        <v>1897.6999999999998</v>
      </c>
      <c r="H499" s="58">
        <f t="shared" si="1524"/>
        <v>1770.6</v>
      </c>
      <c r="I499" s="59">
        <f t="shared" ref="I499:P499" si="1525">AVERAGE(I413:I424)</f>
        <v>0.75952704938868842</v>
      </c>
      <c r="J499" s="59">
        <f t="shared" si="1525"/>
        <v>0.74218468127048176</v>
      </c>
      <c r="K499" s="59">
        <f t="shared" si="1525"/>
        <v>0.19431368377114666</v>
      </c>
      <c r="L499" s="59">
        <f t="shared" si="1525"/>
        <v>0.17504975518433183</v>
      </c>
      <c r="M499" s="59">
        <f t="shared" si="1525"/>
        <v>0.98499999999999988</v>
      </c>
      <c r="N499" s="59">
        <f t="shared" si="1525"/>
        <v>0.97461666666666658</v>
      </c>
      <c r="O499" s="59">
        <f t="shared" si="1525"/>
        <v>0.9900000000000001</v>
      </c>
      <c r="P499" s="61">
        <f t="shared" si="1525"/>
        <v>0.99004999999999999</v>
      </c>
      <c r="Q499" s="83">
        <f t="shared" si="1508"/>
        <v>-3.1790939949629782E-2</v>
      </c>
      <c r="R499" s="65">
        <f t="shared" si="1509"/>
        <v>-9.8766752775682365E-2</v>
      </c>
      <c r="S499" s="59">
        <f t="shared" si="1510"/>
        <v>-6.6975812826052583E-2</v>
      </c>
      <c r="T499" s="59">
        <f t="shared" si="1511"/>
        <v>-1.03833333333333E-2</v>
      </c>
      <c r="U499" s="59">
        <f t="shared" si="1512"/>
        <v>4.9999999999883471E-5</v>
      </c>
      <c r="V499" s="61" t="e">
        <f>AVERAGE(V413:V424)</f>
        <v>#DIV/0!</v>
      </c>
      <c r="W499" s="83"/>
      <c r="X499" s="60" t="s">
        <v>45</v>
      </c>
      <c r="Y499" s="58">
        <f t="shared" ref="Y499:AD499" si="1526">SUM(Y413:Y424)</f>
        <v>17000.187065590751</v>
      </c>
      <c r="Z499" s="58">
        <f t="shared" si="1526"/>
        <v>15323.61</v>
      </c>
      <c r="AA499" s="58">
        <f t="shared" si="1526"/>
        <v>1694.7999999999997</v>
      </c>
      <c r="AB499" s="58">
        <f t="shared" si="1526"/>
        <v>1579.24</v>
      </c>
      <c r="AC499" s="58">
        <f t="shared" si="1526"/>
        <v>1897.6999999999998</v>
      </c>
      <c r="AD499" s="58">
        <f t="shared" si="1526"/>
        <v>1761.69</v>
      </c>
      <c r="AE499" s="59">
        <f t="shared" ref="AE499:AL499" si="1527">AVERAGE(AE413:AE424)</f>
        <v>0.7587822824547118</v>
      </c>
      <c r="AF499" s="59">
        <f t="shared" si="1527"/>
        <v>0.75420471560058788</v>
      </c>
      <c r="AG499" s="59">
        <f t="shared" si="1527"/>
        <v>0.19415100218247158</v>
      </c>
      <c r="AH499" s="59">
        <f t="shared" si="1527"/>
        <v>0.17492989775345621</v>
      </c>
      <c r="AI499" s="59">
        <f t="shared" si="1527"/>
        <v>0.98499999999999988</v>
      </c>
      <c r="AJ499" s="59">
        <f t="shared" si="1527"/>
        <v>0.96235833333333332</v>
      </c>
      <c r="AK499" s="59">
        <f t="shared" si="1527"/>
        <v>0.9900000000000001</v>
      </c>
      <c r="AL499" s="61">
        <f t="shared" si="1527"/>
        <v>0.99029166666666668</v>
      </c>
      <c r="AM499" s="83">
        <f t="shared" si="1515"/>
        <v>-2.6950124994587488E-2</v>
      </c>
      <c r="AN499" s="65">
        <f t="shared" si="1516"/>
        <v>-9.8621095116313673E-2</v>
      </c>
      <c r="AO499" s="59">
        <f t="shared" si="1517"/>
        <v>-7.1670970121726185E-2</v>
      </c>
      <c r="AP499" s="59">
        <f t="shared" si="1518"/>
        <v>-2.264166666666656E-2</v>
      </c>
      <c r="AQ499" s="59">
        <f t="shared" si="1519"/>
        <v>2.9166666666657903E-4</v>
      </c>
      <c r="AR499" s="61" t="e">
        <f>AVERAGE(AR413:AR424)</f>
        <v>#DIV/0!</v>
      </c>
    </row>
    <row r="500" spans="1:66">
      <c r="B500" s="60" t="s">
        <v>46</v>
      </c>
      <c r="C500" s="58">
        <f t="shared" ref="C500:H500" si="1528">SUM(C425:C436)</f>
        <v>16929.366683919561</v>
      </c>
      <c r="D500" s="58">
        <f t="shared" si="1528"/>
        <v>15688.289999999999</v>
      </c>
      <c r="E500" s="58">
        <f t="shared" si="1528"/>
        <v>1694.7999999999997</v>
      </c>
      <c r="F500" s="58">
        <f t="shared" si="1528"/>
        <v>1660.73</v>
      </c>
      <c r="G500" s="58">
        <f t="shared" si="1528"/>
        <v>1897.6999999999998</v>
      </c>
      <c r="H500" s="58">
        <f t="shared" si="1528"/>
        <v>1851.7100000000003</v>
      </c>
      <c r="I500" s="59">
        <f t="shared" ref="I500:P500" si="1529">AVERAGE(I425:I436)</f>
        <v>0.7557294141417451</v>
      </c>
      <c r="J500" s="59">
        <f t="shared" si="1529"/>
        <v>0.72856229410295492</v>
      </c>
      <c r="K500" s="59">
        <f t="shared" si="1529"/>
        <v>0.19280876138617653</v>
      </c>
      <c r="L500" s="59">
        <f t="shared" si="1529"/>
        <v>0.17879089466691386</v>
      </c>
      <c r="M500" s="59">
        <f t="shared" si="1529"/>
        <v>0.98499999999999988</v>
      </c>
      <c r="N500" s="59">
        <f t="shared" si="1529"/>
        <v>0.96807499999999991</v>
      </c>
      <c r="O500" s="59">
        <f t="shared" si="1529"/>
        <v>0.9900000000000001</v>
      </c>
      <c r="P500" s="61">
        <f t="shared" si="1529"/>
        <v>0.994425</v>
      </c>
      <c r="Q500" s="83">
        <f t="shared" si="1508"/>
        <v>-4.907450310101702E-2</v>
      </c>
      <c r="R500" s="65">
        <f t="shared" si="1509"/>
        <v>-7.3309102879696275E-2</v>
      </c>
      <c r="S500" s="59">
        <f t="shared" si="1510"/>
        <v>-2.4234599778679256E-2</v>
      </c>
      <c r="T500" s="59">
        <f t="shared" si="1511"/>
        <v>-1.6924999999999968E-2</v>
      </c>
      <c r="U500" s="59">
        <f t="shared" si="1512"/>
        <v>4.4249999999999012E-3</v>
      </c>
      <c r="V500" s="61" t="e">
        <f>AVERAGE(V425:V436)</f>
        <v>#DIV/0!</v>
      </c>
      <c r="W500" s="83"/>
      <c r="X500" s="60" t="s">
        <v>46</v>
      </c>
      <c r="Y500" s="58">
        <f t="shared" ref="Y500:AD500" si="1530">SUM(Y425:Y436)</f>
        <v>16915.186130262799</v>
      </c>
      <c r="Z500" s="58">
        <f t="shared" si="1530"/>
        <v>15912.557999999999</v>
      </c>
      <c r="AA500" s="58">
        <f t="shared" si="1530"/>
        <v>1694.7999999999997</v>
      </c>
      <c r="AB500" s="58">
        <f t="shared" si="1530"/>
        <v>1659.88</v>
      </c>
      <c r="AC500" s="58">
        <f t="shared" si="1530"/>
        <v>1897.6999999999998</v>
      </c>
      <c r="AD500" s="58">
        <f t="shared" si="1530"/>
        <v>1845.27</v>
      </c>
      <c r="AE500" s="59">
        <f t="shared" ref="AE500:AL500" si="1531">AVERAGE(AE425:AE436)</f>
        <v>0.75498837104243843</v>
      </c>
      <c r="AF500" s="59">
        <f t="shared" si="1531"/>
        <v>0.75219317352936566</v>
      </c>
      <c r="AG500" s="59">
        <f t="shared" si="1531"/>
        <v>0.19264742033081836</v>
      </c>
      <c r="AH500" s="59">
        <f t="shared" si="1531"/>
        <v>0.18134890217525643</v>
      </c>
      <c r="AI500" s="59">
        <f t="shared" si="1531"/>
        <v>0.98499999999999988</v>
      </c>
      <c r="AJ500" s="59">
        <f t="shared" si="1531"/>
        <v>0.95626666666666671</v>
      </c>
      <c r="AK500" s="59">
        <f t="shared" si="1531"/>
        <v>0.9900000000000001</v>
      </c>
      <c r="AL500" s="61">
        <f t="shared" si="1531"/>
        <v>0.9974249999999999</v>
      </c>
      <c r="AM500" s="83">
        <f t="shared" si="1515"/>
        <v>-3.1645664074725466E-2</v>
      </c>
      <c r="AN500" s="65">
        <f t="shared" si="1516"/>
        <v>-5.927384555757309E-2</v>
      </c>
      <c r="AO500" s="59">
        <f t="shared" si="1517"/>
        <v>-2.7628181482847625E-2</v>
      </c>
      <c r="AP500" s="59">
        <f t="shared" si="1518"/>
        <v>-2.8733333333333166E-2</v>
      </c>
      <c r="AQ500" s="59">
        <f t="shared" si="1519"/>
        <v>7.4249999999997929E-3</v>
      </c>
      <c r="AR500" s="61" t="e">
        <f>AVERAGE(AR425:AR436)</f>
        <v>#DIV/0!</v>
      </c>
    </row>
    <row r="501" spans="1:66">
      <c r="B501" s="60" t="s">
        <v>47</v>
      </c>
      <c r="C501" s="58">
        <f t="shared" ref="C501:H501" si="1532">SUM(C437:C448)</f>
        <v>16844.719850499961</v>
      </c>
      <c r="D501" s="58">
        <f t="shared" si="1532"/>
        <v>15267.575999999999</v>
      </c>
      <c r="E501" s="58">
        <f t="shared" si="1532"/>
        <v>1694.7999999999997</v>
      </c>
      <c r="F501" s="58">
        <f t="shared" si="1532"/>
        <v>1605.0000000000002</v>
      </c>
      <c r="G501" s="58">
        <f t="shared" si="1532"/>
        <v>1897.6999999999998</v>
      </c>
      <c r="H501" s="58">
        <f t="shared" si="1532"/>
        <v>1829.56</v>
      </c>
      <c r="I501" s="59">
        <f t="shared" ref="I501:P501" si="1533">AVERAGE(I437:I448)</f>
        <v>0.75195076707103636</v>
      </c>
      <c r="J501" s="59">
        <f t="shared" si="1533"/>
        <v>0.71320173795369168</v>
      </c>
      <c r="K501" s="59">
        <f t="shared" si="1533"/>
        <v>0.19237540477552947</v>
      </c>
      <c r="L501" s="59">
        <f t="shared" si="1533"/>
        <v>0.17438220574116745</v>
      </c>
      <c r="M501" s="59">
        <f t="shared" si="1533"/>
        <v>0.98499999999999988</v>
      </c>
      <c r="N501" s="59">
        <f t="shared" si="1533"/>
        <v>0.97536192128989596</v>
      </c>
      <c r="O501" s="59">
        <f t="shared" si="1533"/>
        <v>0.9900000000000001</v>
      </c>
      <c r="P501" s="61">
        <f t="shared" si="1533"/>
        <v>0.99878270609318998</v>
      </c>
      <c r="Q501" s="83">
        <f t="shared" si="1508"/>
        <v>-5.7721757340593149E-2</v>
      </c>
      <c r="R501" s="65">
        <f t="shared" si="1509"/>
        <v>-9.3628381148360362E-2</v>
      </c>
      <c r="S501" s="59">
        <f t="shared" si="1510"/>
        <v>-3.5906623807767213E-2</v>
      </c>
      <c r="T501" s="59">
        <f t="shared" si="1511"/>
        <v>-9.6380787101039145E-3</v>
      </c>
      <c r="U501" s="59">
        <f t="shared" si="1512"/>
        <v>8.7827060931898737E-3</v>
      </c>
      <c r="V501" s="61">
        <f>AVERAGE(V437:V448)</f>
        <v>-1.4972090477137968E-2</v>
      </c>
      <c r="W501" s="83"/>
      <c r="X501" s="60" t="s">
        <v>47</v>
      </c>
      <c r="Y501" s="58">
        <f t="shared" ref="Y501:AD501" si="1534">SUM(Y437:Y448)</f>
        <v>16830.610199611481</v>
      </c>
      <c r="Z501" s="58">
        <f t="shared" si="1534"/>
        <v>15487.739999999998</v>
      </c>
      <c r="AA501" s="58">
        <f t="shared" si="1534"/>
        <v>1694.7999999999997</v>
      </c>
      <c r="AB501" s="58">
        <f t="shared" si="1534"/>
        <v>1601.02</v>
      </c>
      <c r="AC501" s="58">
        <f t="shared" si="1534"/>
        <v>1897.6999999999998</v>
      </c>
      <c r="AD501" s="58">
        <f t="shared" si="1534"/>
        <v>1802.9320000000002</v>
      </c>
      <c r="AE501" s="59">
        <f t="shared" ref="AE501:AL501" si="1535">AVERAGE(AE437:AE448)</f>
        <v>0.75121342918722611</v>
      </c>
      <c r="AF501" s="59">
        <f t="shared" si="1535"/>
        <v>0.73919626461681631</v>
      </c>
      <c r="AG501" s="59">
        <f t="shared" si="1535"/>
        <v>0.1922143459357015</v>
      </c>
      <c r="AH501" s="59">
        <f t="shared" si="1535"/>
        <v>0.17689262656810034</v>
      </c>
      <c r="AI501" s="59">
        <f t="shared" si="1535"/>
        <v>0.98499999999999988</v>
      </c>
      <c r="AJ501" s="59">
        <f t="shared" si="1535"/>
        <v>0.96936761867726584</v>
      </c>
      <c r="AK501" s="59">
        <f t="shared" si="1535"/>
        <v>0.9900000000000001</v>
      </c>
      <c r="AL501" s="61">
        <f t="shared" si="1535"/>
        <v>0.99838517921146952</v>
      </c>
      <c r="AM501" s="83">
        <f t="shared" si="1515"/>
        <v>-2.9849028113421938E-2</v>
      </c>
      <c r="AN501" s="65">
        <f t="shared" si="1516"/>
        <v>-7.9787374532771405E-2</v>
      </c>
      <c r="AO501" s="59">
        <f t="shared" si="1517"/>
        <v>-4.9938346419349466E-2</v>
      </c>
      <c r="AP501" s="59">
        <f t="shared" si="1518"/>
        <v>-1.5632381322734035E-2</v>
      </c>
      <c r="AQ501" s="59">
        <f t="shared" si="1519"/>
        <v>8.3851792114694179E-3</v>
      </c>
      <c r="AR501" s="61">
        <f>AVERAGE(AR437:AR448)</f>
        <v>-1.4682779414144444E-2</v>
      </c>
    </row>
    <row r="502" spans="1:66">
      <c r="B502" s="60" t="s">
        <v>48</v>
      </c>
      <c r="C502" s="58">
        <f t="shared" ref="C502:H502" si="1536">SUM(C449:C460)</f>
        <v>16760.496251247463</v>
      </c>
      <c r="D502" s="58">
        <f t="shared" si="1536"/>
        <v>15251.892</v>
      </c>
      <c r="E502" s="58">
        <f t="shared" si="1536"/>
        <v>1694.7999999999997</v>
      </c>
      <c r="F502" s="58">
        <f t="shared" si="1536"/>
        <v>1563.2100000000003</v>
      </c>
      <c r="G502" s="58">
        <f t="shared" si="1536"/>
        <v>1897.6999999999998</v>
      </c>
      <c r="H502" s="58">
        <f t="shared" si="1536"/>
        <v>1809.14</v>
      </c>
      <c r="I502" s="59">
        <f t="shared" ref="I502:P502" si="1537">AVERAGE(I449:I460)</f>
        <v>0.74819101323568094</v>
      </c>
      <c r="J502" s="59">
        <f t="shared" si="1537"/>
        <v>0.71624747952815149</v>
      </c>
      <c r="K502" s="59">
        <f t="shared" si="1537"/>
        <v>0.1914135277516518</v>
      </c>
      <c r="L502" s="59">
        <f t="shared" si="1537"/>
        <v>0.17427250864055299</v>
      </c>
      <c r="M502" s="59">
        <f t="shared" si="1537"/>
        <v>0.98499999999999988</v>
      </c>
      <c r="N502" s="59">
        <f t="shared" si="1537"/>
        <v>0.98589826241935474</v>
      </c>
      <c r="O502" s="59">
        <f t="shared" si="1537"/>
        <v>0.9900000000000001</v>
      </c>
      <c r="P502" s="61">
        <f t="shared" si="1537"/>
        <v>0.9997583333333333</v>
      </c>
      <c r="Q502" s="83">
        <f t="shared" si="1508"/>
        <v>-4.3342503743888594E-2</v>
      </c>
      <c r="R502" s="65">
        <f t="shared" si="1509"/>
        <v>-9.0009521713008911E-2</v>
      </c>
      <c r="S502" s="59">
        <f t="shared" si="1510"/>
        <v>-4.6667017969120317E-2</v>
      </c>
      <c r="T502" s="59">
        <f t="shared" si="1511"/>
        <v>8.9826241935486717E-4</v>
      </c>
      <c r="U502" s="59">
        <f t="shared" si="1512"/>
        <v>9.7583333333332023E-3</v>
      </c>
      <c r="V502" s="61">
        <f>AVERAGE(V449:V460)</f>
        <v>-1.2950625887030458E-2</v>
      </c>
      <c r="W502" s="83"/>
      <c r="X502" s="60" t="s">
        <v>48</v>
      </c>
      <c r="Y502" s="58">
        <f t="shared" ref="Y502:AD502" si="1538">SUM(Y449:Y460)</f>
        <v>16746.457148613423</v>
      </c>
      <c r="Z502" s="58">
        <f t="shared" si="1538"/>
        <v>15356.220000000001</v>
      </c>
      <c r="AA502" s="58">
        <f t="shared" si="1538"/>
        <v>1694.7999999999997</v>
      </c>
      <c r="AB502" s="58">
        <f t="shared" si="1538"/>
        <v>1617.78</v>
      </c>
      <c r="AC502" s="58">
        <f t="shared" si="1538"/>
        <v>1897.6999999999998</v>
      </c>
      <c r="AD502" s="58">
        <f t="shared" si="1538"/>
        <v>1803.6000000000001</v>
      </c>
      <c r="AE502" s="59">
        <f t="shared" ref="AE502:AL502" si="1539">AVERAGE(AE449:AE460)</f>
        <v>0.7474573620412901</v>
      </c>
      <c r="AF502" s="59">
        <f t="shared" si="1539"/>
        <v>0.7256476408628344</v>
      </c>
      <c r="AG502" s="59">
        <f t="shared" si="1539"/>
        <v>0.19125327420602292</v>
      </c>
      <c r="AH502" s="59">
        <f t="shared" si="1539"/>
        <v>0.17545396345366104</v>
      </c>
      <c r="AI502" s="59">
        <f t="shared" si="1539"/>
        <v>0.98499999999999988</v>
      </c>
      <c r="AJ502" s="59">
        <f t="shared" si="1539"/>
        <v>0.98216605454539974</v>
      </c>
      <c r="AK502" s="59">
        <f t="shared" si="1539"/>
        <v>0.9900000000000001</v>
      </c>
      <c r="AL502" s="61">
        <f t="shared" si="1539"/>
        <v>0.99952905017921145</v>
      </c>
      <c r="AM502" s="83">
        <f t="shared" si="1515"/>
        <v>-3.3430450565961389E-2</v>
      </c>
      <c r="AN502" s="65">
        <f t="shared" si="1516"/>
        <v>-8.3016791926555644E-2</v>
      </c>
      <c r="AO502" s="59">
        <f t="shared" si="1517"/>
        <v>-4.9586341360594255E-2</v>
      </c>
      <c r="AP502" s="59">
        <f t="shared" si="1518"/>
        <v>-2.8339454546001397E-3</v>
      </c>
      <c r="AQ502" s="59">
        <f t="shared" si="1519"/>
        <v>9.5290501792113513E-3</v>
      </c>
      <c r="AR502" s="61">
        <f>AVERAGE(AR449:AR460)</f>
        <v>-1.3207945437965057E-2</v>
      </c>
    </row>
    <row r="503" spans="1:66">
      <c r="B503" s="60" t="s">
        <v>49</v>
      </c>
      <c r="C503" s="58">
        <f t="shared" ref="C503:H503" si="1540">SUM(C461:C472)</f>
        <v>16676.693769991227</v>
      </c>
      <c r="D503" s="58">
        <f t="shared" si="1540"/>
        <v>14869.512000000002</v>
      </c>
      <c r="E503" s="58">
        <f t="shared" si="1540"/>
        <v>1694.7999999999997</v>
      </c>
      <c r="F503" s="58">
        <f t="shared" si="1540"/>
        <v>1581.5599999999997</v>
      </c>
      <c r="G503" s="58">
        <f t="shared" si="1540"/>
        <v>1897.6999999999998</v>
      </c>
      <c r="H503" s="58">
        <f t="shared" si="1540"/>
        <v>1801.8100000000002</v>
      </c>
      <c r="I503" s="59">
        <f t="shared" ref="I503:P503" si="1541">AVERAGE(I461:I472)</f>
        <v>0.7444500581695026</v>
      </c>
      <c r="J503" s="59">
        <f t="shared" si="1541"/>
        <v>0.70639060455910385</v>
      </c>
      <c r="K503" s="59">
        <f t="shared" si="1541"/>
        <v>0.19045646011289355</v>
      </c>
      <c r="L503" s="59">
        <f t="shared" si="1541"/>
        <v>0.17000523425499234</v>
      </c>
      <c r="M503" s="59">
        <f t="shared" si="1541"/>
        <v>0.98499999999999988</v>
      </c>
      <c r="N503" s="59">
        <f t="shared" si="1541"/>
        <v>0.97732471949646416</v>
      </c>
      <c r="O503" s="59">
        <f t="shared" si="1541"/>
        <v>0.9900000000000001</v>
      </c>
      <c r="P503" s="61">
        <f t="shared" si="1541"/>
        <v>0.99933067396313369</v>
      </c>
      <c r="Q503" s="112">
        <f t="shared" si="1508"/>
        <v>-5.7836122099707565E-2</v>
      </c>
      <c r="R503" s="65">
        <f t="shared" si="1509"/>
        <v>-0.10836571054888267</v>
      </c>
      <c r="S503" s="59">
        <f t="shared" si="1510"/>
        <v>-5.05295884491751E-2</v>
      </c>
      <c r="T503" s="59">
        <f t="shared" si="1511"/>
        <v>-7.6752805035357197E-3</v>
      </c>
      <c r="U503" s="59">
        <f t="shared" si="1512"/>
        <v>9.3306739631335844E-3</v>
      </c>
      <c r="V503" s="61">
        <f>AVERAGE(V461:V472)</f>
        <v>-1.4732410897889897E-2</v>
      </c>
      <c r="X503" s="60" t="s">
        <v>49</v>
      </c>
      <c r="Y503" s="58">
        <f t="shared" ref="Y503:AD503" si="1542">SUM(Y461:Y472)</f>
        <v>16662.724862870356</v>
      </c>
      <c r="Z503" s="58">
        <f t="shared" si="1542"/>
        <v>14842.158000000005</v>
      </c>
      <c r="AA503" s="58">
        <f t="shared" si="1542"/>
        <v>1694.7999999999997</v>
      </c>
      <c r="AB503" s="58">
        <f t="shared" si="1542"/>
        <v>1604.42</v>
      </c>
      <c r="AC503" s="58">
        <f t="shared" si="1542"/>
        <v>1897.6999999999998</v>
      </c>
      <c r="AD503" s="58">
        <f t="shared" si="1542"/>
        <v>1791.9700000000003</v>
      </c>
      <c r="AE503" s="59">
        <f t="shared" ref="AE503:AL503" si="1543">AVERAGE(AE461:AE472)</f>
        <v>0.74372007523108374</v>
      </c>
      <c r="AF503" s="59">
        <f t="shared" si="1543"/>
        <v>0.71265578108735539</v>
      </c>
      <c r="AG503" s="59">
        <f t="shared" si="1543"/>
        <v>0.19029700783499284</v>
      </c>
      <c r="AH503" s="59">
        <f t="shared" si="1543"/>
        <v>0.16974160346262168</v>
      </c>
      <c r="AI503" s="59">
        <f t="shared" si="1543"/>
        <v>0.98499999999999988</v>
      </c>
      <c r="AJ503" s="59">
        <f t="shared" si="1543"/>
        <v>0.97202769591907534</v>
      </c>
      <c r="AK503" s="59">
        <f t="shared" si="1543"/>
        <v>0.9900000000000001</v>
      </c>
      <c r="AL503" s="61">
        <f t="shared" si="1543"/>
        <v>0.99910594278033793</v>
      </c>
      <c r="AM503" s="95">
        <f t="shared" si="1515"/>
        <v>-5.3545039958366791E-2</v>
      </c>
      <c r="AN503" s="65">
        <f t="shared" si="1516"/>
        <v>-0.10925985262633309</v>
      </c>
      <c r="AO503" s="59">
        <f t="shared" si="1517"/>
        <v>-5.5714812667966296E-2</v>
      </c>
      <c r="AP503" s="59">
        <f t="shared" si="1518"/>
        <v>-1.2972304080924535E-2</v>
      </c>
      <c r="AQ503" s="59">
        <f t="shared" si="1519"/>
        <v>9.1059427803378279E-3</v>
      </c>
      <c r="AR503" s="61">
        <f>AVERAGE(AR461:AR472)</f>
        <v>-1.449183093648212E-2</v>
      </c>
    </row>
    <row r="504" spans="1:66">
      <c r="A504" s="102">
        <f>(D504/D503-1)-(H504/H503-1)-(N504-N503)</f>
        <v>-1.0263649976243627E-2</v>
      </c>
      <c r="B504" s="60" t="s">
        <v>74</v>
      </c>
      <c r="C504" s="58">
        <f t="shared" ref="C504:H504" si="1544">SUM(C473:C484)</f>
        <v>16593.310301141268</v>
      </c>
      <c r="D504" s="58">
        <f t="shared" si="1544"/>
        <v>14315.376000000002</v>
      </c>
      <c r="E504" s="58">
        <f t="shared" si="1544"/>
        <v>1694.7999999999997</v>
      </c>
      <c r="F504" s="58">
        <f t="shared" si="1544"/>
        <v>1591.4</v>
      </c>
      <c r="G504" s="58">
        <f t="shared" si="1544"/>
        <v>1897.6999999999998</v>
      </c>
      <c r="H504" s="58">
        <f t="shared" si="1544"/>
        <v>1754.2200000000003</v>
      </c>
      <c r="I504" s="59">
        <f t="shared" ref="I504:P504" si="1545">AVERAGE(I473:I484)</f>
        <v>0.74072780787865522</v>
      </c>
      <c r="J504" s="59">
        <f t="shared" si="1545"/>
        <v>0.70196565250638443</v>
      </c>
      <c r="K504" s="59">
        <f t="shared" si="1545"/>
        <v>0.18950417781232909</v>
      </c>
      <c r="L504" s="59">
        <f t="shared" si="1545"/>
        <v>0.16311519713261649</v>
      </c>
      <c r="M504" s="59">
        <f t="shared" si="1545"/>
        <v>0.98499999999999988</v>
      </c>
      <c r="N504" s="59">
        <f t="shared" si="1545"/>
        <v>0.97673410978109365</v>
      </c>
      <c r="O504" s="59">
        <f t="shared" si="1545"/>
        <v>0.9900000000000001</v>
      </c>
      <c r="P504" s="61">
        <f t="shared" si="1545"/>
        <v>0.99892891607959455</v>
      </c>
      <c r="Q504" s="83">
        <f t="shared" ref="Q504:Q505" si="1546">R504-S504-T504</f>
        <v>-5.3407076680903165E-2</v>
      </c>
      <c r="R504" s="65">
        <f t="shared" si="1509"/>
        <v>-0.13728028101689826</v>
      </c>
      <c r="S504" s="59">
        <f t="shared" si="1510"/>
        <v>-7.5607314117088875E-2</v>
      </c>
      <c r="T504" s="59">
        <f t="shared" si="1511"/>
        <v>-8.2658902189062244E-3</v>
      </c>
      <c r="U504" s="59">
        <f t="shared" si="1512"/>
        <v>8.9289160795944511E-3</v>
      </c>
      <c r="V504" s="61">
        <f>AVERAGE(V473:V484)</f>
        <v>-1.9536666666666667E-2</v>
      </c>
      <c r="W504" s="102">
        <f>(Z504/Z503-1)-(AD504/AD503-1)-(AJ504-AJ503)</f>
        <v>-1.7019449150154742E-2</v>
      </c>
      <c r="X504" s="60" t="s">
        <v>74</v>
      </c>
      <c r="Y504" s="58">
        <f t="shared" ref="Y504:AD504" si="1547">SUM(Y473:Y484)</f>
        <v>16579.411238556004</v>
      </c>
      <c r="Z504" s="58">
        <f t="shared" si="1547"/>
        <v>14195.802</v>
      </c>
      <c r="AA504" s="58">
        <f t="shared" si="1547"/>
        <v>1694.7999999999997</v>
      </c>
      <c r="AB504" s="58">
        <f t="shared" si="1547"/>
        <v>1593.0699999999995</v>
      </c>
      <c r="AC504" s="58">
        <f t="shared" si="1547"/>
        <v>1897.6999999999998</v>
      </c>
      <c r="AD504" s="58">
        <f t="shared" si="1547"/>
        <v>1749.5100000000002</v>
      </c>
      <c r="AE504" s="59">
        <f t="shared" ref="AE504:AL504" si="1548">AVERAGE(AE473:AE484)</f>
        <v>0.74000147485492818</v>
      </c>
      <c r="AF504" s="59">
        <f t="shared" si="1548"/>
        <v>0.70311589520364803</v>
      </c>
      <c r="AG504" s="59">
        <f t="shared" si="1548"/>
        <v>0.18934552279581784</v>
      </c>
      <c r="AH504" s="59">
        <f t="shared" si="1548"/>
        <v>0.1617499792979854</v>
      </c>
      <c r="AI504" s="59">
        <f t="shared" si="1548"/>
        <v>0.98499999999999988</v>
      </c>
      <c r="AJ504" s="59">
        <f t="shared" si="1548"/>
        <v>0.96919308439674445</v>
      </c>
      <c r="AK504" s="59">
        <f t="shared" si="1548"/>
        <v>0.9900000000000001</v>
      </c>
      <c r="AL504" s="61">
        <f t="shared" si="1548"/>
        <v>0.99919314392534908</v>
      </c>
      <c r="AM504" s="83">
        <f t="shared" ref="AM504:AM505" si="1549">AN504-AO504-AP504</f>
        <v>-4.9873051515433753E-2</v>
      </c>
      <c r="AN504" s="65">
        <f t="shared" si="1516"/>
        <v>-0.14376923307221168</v>
      </c>
      <c r="AO504" s="59">
        <f t="shared" si="1517"/>
        <v>-7.8089265953522502E-2</v>
      </c>
      <c r="AP504" s="59">
        <f t="shared" si="1518"/>
        <v>-1.5806915603255423E-2</v>
      </c>
      <c r="AQ504" s="59">
        <f t="shared" si="1519"/>
        <v>9.1931439253489788E-3</v>
      </c>
      <c r="AR504" s="61">
        <f>AVERAGE(AR473:AR484)</f>
        <v>-1.7711415770609324E-2</v>
      </c>
    </row>
    <row r="505" spans="1:66">
      <c r="A505" s="102">
        <f>(D505/D504-1)-(H505/H504-1)-(N505-N504)</f>
        <v>0.29473313699431758</v>
      </c>
      <c r="B505" s="60" t="s">
        <v>107</v>
      </c>
      <c r="C505" s="58">
        <f t="shared" ref="C505:H505" si="1550">SUM(C497:C497)</f>
        <v>15906.671542726663</v>
      </c>
      <c r="D505" s="58">
        <f t="shared" si="1550"/>
        <v>10968.978000000001</v>
      </c>
      <c r="E505" s="58">
        <f t="shared" si="1550"/>
        <v>1694.7999999999997</v>
      </c>
      <c r="F505" s="58">
        <f t="shared" si="1550"/>
        <v>847.41000000000008</v>
      </c>
      <c r="G505" s="58">
        <f t="shared" si="1550"/>
        <v>1897.6999999999998</v>
      </c>
      <c r="H505" s="58">
        <f t="shared" si="1550"/>
        <v>935.23000000000013</v>
      </c>
      <c r="I505" s="59">
        <f t="shared" ref="I505:P505" si="1551">AVERAGE(I497:I497)</f>
        <v>0.80390635272788424</v>
      </c>
      <c r="J505" s="59">
        <f t="shared" si="1551"/>
        <v>0.70583922742802818</v>
      </c>
      <c r="K505" s="59">
        <f t="shared" si="1551"/>
        <v>0.21382894141313241</v>
      </c>
      <c r="L505" s="59">
        <f t="shared" si="1551"/>
        <v>0.1537464456391876</v>
      </c>
      <c r="M505" s="59">
        <f t="shared" si="1551"/>
        <v>0.98499999999999988</v>
      </c>
      <c r="N505" s="59">
        <f t="shared" si="1551"/>
        <v>0.91510694428571426</v>
      </c>
      <c r="O505" s="59">
        <f t="shared" si="1551"/>
        <v>0.9900000000000001</v>
      </c>
      <c r="P505" s="61">
        <f t="shared" si="1551"/>
        <v>0.99032857142857134</v>
      </c>
      <c r="Q505" s="83">
        <f t="shared" si="1546"/>
        <v>0.26665365002343933</v>
      </c>
      <c r="R505" s="65">
        <f t="shared" si="1509"/>
        <v>-0.3104165148229534</v>
      </c>
      <c r="S505" s="59">
        <f t="shared" si="1510"/>
        <v>-0.50717710913210712</v>
      </c>
      <c r="T505" s="59">
        <f t="shared" si="1511"/>
        <v>-6.9893055714285612E-2</v>
      </c>
      <c r="U505" s="59">
        <f t="shared" si="1512"/>
        <v>3.2857142857123378E-4</v>
      </c>
      <c r="V505" s="61" t="e">
        <f>AVERAGE(V497:V497)</f>
        <v>#DIV/0!</v>
      </c>
      <c r="W505" s="102"/>
      <c r="X505" s="60" t="s">
        <v>107</v>
      </c>
      <c r="Y505" s="58">
        <f t="shared" ref="Y505:AD505" si="1552">SUM(Y497:Y497)</f>
        <v>14092.23001198531</v>
      </c>
      <c r="Z505" s="58">
        <f t="shared" si="1552"/>
        <v>9775.3799999999992</v>
      </c>
      <c r="AA505" s="58">
        <f t="shared" si="1552"/>
        <v>1694.7999999999997</v>
      </c>
      <c r="AB505" s="58">
        <f t="shared" si="1552"/>
        <v>847.03000000000009</v>
      </c>
      <c r="AC505" s="58">
        <f t="shared" si="1552"/>
        <v>1897.6999999999998</v>
      </c>
      <c r="AD505" s="58">
        <f t="shared" si="1552"/>
        <v>922.1</v>
      </c>
      <c r="AE505" s="59">
        <f t="shared" ref="AE505:AL505" si="1553">AVERAGE(AE497:AE497)</f>
        <v>0.80311806892679083</v>
      </c>
      <c r="AF505" s="59">
        <f t="shared" si="1553"/>
        <v>0.72377502315824827</v>
      </c>
      <c r="AG505" s="59">
        <f t="shared" si="1553"/>
        <v>0.21365794901427013</v>
      </c>
      <c r="AH505" s="59">
        <f t="shared" si="1553"/>
        <v>0.14731637395459979</v>
      </c>
      <c r="AI505" s="59">
        <f t="shared" si="1553"/>
        <v>0.98499999999999988</v>
      </c>
      <c r="AJ505" s="59">
        <f t="shared" si="1553"/>
        <v>0.88686709142857134</v>
      </c>
      <c r="AK505" s="59">
        <f t="shared" si="1553"/>
        <v>0.9900000000000001</v>
      </c>
      <c r="AL505" s="61">
        <f t="shared" si="1553"/>
        <v>0.98818571428571433</v>
      </c>
      <c r="AM505" s="83">
        <f t="shared" si="1549"/>
        <v>0.30590053798323491</v>
      </c>
      <c r="AN505" s="65">
        <f t="shared" si="1516"/>
        <v>-0.30632838154883013</v>
      </c>
      <c r="AO505" s="59">
        <f t="shared" si="1517"/>
        <v>-0.51409601096063651</v>
      </c>
      <c r="AP505" s="59">
        <f t="shared" si="1518"/>
        <v>-9.8132908571428534E-2</v>
      </c>
      <c r="AQ505" s="59">
        <f t="shared" si="1519"/>
        <v>-1.8142857142857682E-3</v>
      </c>
      <c r="AR505" s="61" t="e">
        <f>AVERAGE(AR497:AR497)</f>
        <v>#DIV/0!</v>
      </c>
    </row>
    <row r="506" spans="1:66">
      <c r="B506" s="5"/>
      <c r="C506" s="2"/>
      <c r="D506" s="2"/>
      <c r="E506" s="2"/>
      <c r="F506" s="2"/>
      <c r="G506" s="2"/>
      <c r="H506" s="2"/>
      <c r="I506" s="74"/>
      <c r="J506" s="74"/>
      <c r="K506" s="74"/>
      <c r="L506" s="74"/>
      <c r="M506" s="74"/>
      <c r="N506" s="74"/>
      <c r="O506" s="74"/>
      <c r="P506" s="75"/>
      <c r="Q506" s="113"/>
      <c r="R506" s="97"/>
      <c r="S506" s="74"/>
      <c r="T506" s="74"/>
      <c r="U506" s="74"/>
      <c r="V506" s="75"/>
      <c r="X506" s="5"/>
      <c r="Y506" s="2"/>
      <c r="Z506" s="2"/>
      <c r="AA506" s="2"/>
      <c r="AB506" s="2"/>
      <c r="AC506" s="2"/>
      <c r="AD506" s="2"/>
      <c r="AE506" s="74"/>
      <c r="AF506" s="74"/>
      <c r="AG506" s="74"/>
      <c r="AH506" s="74"/>
      <c r="AI506" s="74"/>
      <c r="AJ506" s="74"/>
      <c r="AK506" s="74"/>
      <c r="AL506" s="75"/>
      <c r="AM506" s="113"/>
      <c r="AN506" s="97"/>
      <c r="AO506" s="74"/>
      <c r="AP506" s="74"/>
      <c r="AQ506" s="74"/>
      <c r="AR506" s="75"/>
    </row>
    <row r="507" spans="1:66">
      <c r="B507" s="60" t="s">
        <v>38</v>
      </c>
      <c r="C507" s="58">
        <f>SUM(C392:C403)</f>
        <v>18261.81541922101</v>
      </c>
      <c r="D507" s="58">
        <f>SUM(D392:D403)</f>
        <v>14152.59</v>
      </c>
      <c r="E507" s="58">
        <f>AVERAGE(E414:E425)</f>
        <v>141.23333333333332</v>
      </c>
      <c r="F507" s="58">
        <f t="shared" ref="F507:L507" si="1554">AVERAGE(F392:F403)</f>
        <v>118.56100000000001</v>
      </c>
      <c r="G507" s="58">
        <f t="shared" si="1554"/>
        <v>158.14166666666665</v>
      </c>
      <c r="H507" s="58">
        <f t="shared" si="1554"/>
        <v>134.72900000000001</v>
      </c>
      <c r="I507" s="59">
        <f t="shared" si="1554"/>
        <v>0.80390635272788413</v>
      </c>
      <c r="J507" s="59">
        <f t="shared" si="1554"/>
        <v>0.7381809212571776</v>
      </c>
      <c r="K507" s="59">
        <f t="shared" si="1554"/>
        <v>0.20855590671864555</v>
      </c>
      <c r="L507" s="59">
        <f t="shared" si="1554"/>
        <v>0.16182612647209421</v>
      </c>
      <c r="M507" s="59">
        <f>AVERAGE(M425:M436)</f>
        <v>0.98499999999999988</v>
      </c>
      <c r="N507" s="59">
        <f>AVERAGE(N392:N403)</f>
        <v>0.93524486099999993</v>
      </c>
      <c r="O507" s="59">
        <f>AVERAGE(O392:O403)</f>
        <v>0.9900000000000001</v>
      </c>
      <c r="P507" s="61">
        <f>AVERAGE(P392:P403)</f>
        <v>0.98955000000000004</v>
      </c>
      <c r="Q507" s="112">
        <f t="shared" ref="Q507:Q511" si="1555">R507-S507</f>
        <v>-7.6968665360952815E-2</v>
      </c>
      <c r="R507" s="65">
        <f t="shared" ref="R507:R514" si="1556">D507/C507-1</f>
        <v>-0.22501735588105598</v>
      </c>
      <c r="S507" s="59">
        <f t="shared" ref="S507:S514" si="1557">H507/G507-1</f>
        <v>-0.14804869052010317</v>
      </c>
      <c r="T507" s="59">
        <f t="shared" ref="T507:T510" si="1558">N507-M507</f>
        <v>-4.9755138999999948E-2</v>
      </c>
      <c r="U507" s="59">
        <f t="shared" ref="U507:U511" si="1559">P507-O507</f>
        <v>-4.5000000000006146E-4</v>
      </c>
      <c r="V507" s="23"/>
      <c r="X507" s="60" t="s">
        <v>38</v>
      </c>
      <c r="Y507" s="58">
        <f>SUM(Y392:Y403)</f>
        <v>18246.986647513822</v>
      </c>
      <c r="Z507" s="58">
        <f>SUM(Z392:Z403)</f>
        <v>13721.211999999998</v>
      </c>
      <c r="AA507" s="58">
        <f>AVERAGE(AA414:AA425)</f>
        <v>141.23333333333332</v>
      </c>
      <c r="AB507" s="58">
        <f t="shared" ref="AB507:AH507" si="1560">AVERAGE(AB392:AB403)</f>
        <v>118.36500000000001</v>
      </c>
      <c r="AC507" s="58">
        <f t="shared" si="1560"/>
        <v>158.14166666666665</v>
      </c>
      <c r="AD507" s="58">
        <f t="shared" si="1560"/>
        <v>133.87899999999999</v>
      </c>
      <c r="AE507" s="59">
        <f t="shared" si="1560"/>
        <v>0.80311806892679083</v>
      </c>
      <c r="AF507" s="59">
        <f t="shared" si="1560"/>
        <v>0.74898956767170755</v>
      </c>
      <c r="AG507" s="59">
        <f t="shared" si="1560"/>
        <v>0.20838654331144488</v>
      </c>
      <c r="AH507" s="59">
        <f t="shared" si="1560"/>
        <v>0.15689747551843319</v>
      </c>
      <c r="AI507" s="59">
        <f>AVERAGE(AI425:AI436)</f>
        <v>0.98499999999999988</v>
      </c>
      <c r="AJ507" s="59">
        <f>AVERAGE(AJ392:AJ403)</f>
        <v>0.90497061899999998</v>
      </c>
      <c r="AK507" s="59">
        <f>AVERAGE(AK392:AK403)</f>
        <v>0.9900000000000001</v>
      </c>
      <c r="AL507" s="61">
        <f>AVERAGE(AL392:AL403)</f>
        <v>0.98758999999999997</v>
      </c>
      <c r="AM507" s="112">
        <f t="shared" ref="AM507:AM511" si="1561">AN507-AO507</f>
        <v>-9.460498714852017E-2</v>
      </c>
      <c r="AN507" s="65">
        <f t="shared" ref="AN507:AN514" si="1562">Z507/Y507-1</f>
        <v>-0.24802860521249237</v>
      </c>
      <c r="AO507" s="59">
        <f t="shared" ref="AO507:AO514" si="1563">AD507/AC507-1</f>
        <v>-0.1534236180639722</v>
      </c>
      <c r="AP507" s="59">
        <f t="shared" ref="AP507:AP510" si="1564">AJ507-AI507</f>
        <v>-8.00293809999999E-2</v>
      </c>
      <c r="AQ507" s="59">
        <f t="shared" ref="AQ507:AQ511" si="1565">AL507-AK507</f>
        <v>-2.4100000000001343E-3</v>
      </c>
      <c r="AR507" s="23"/>
    </row>
    <row r="508" spans="1:66">
      <c r="B508" s="60" t="s">
        <v>39</v>
      </c>
      <c r="C508" s="58">
        <f>SUM(C404:C415)</f>
        <v>17080.394034449761</v>
      </c>
      <c r="D508" s="58">
        <f>SUM(D404:D415)</f>
        <v>15123.99</v>
      </c>
      <c r="E508" s="58">
        <f>AVERAGE(E415:E426)</f>
        <v>141.23333333333332</v>
      </c>
      <c r="F508" s="58">
        <f t="shared" ref="F508:L508" si="1566">AVERAGE(F404:F415)</f>
        <v>123.63499999999999</v>
      </c>
      <c r="G508" s="58">
        <f t="shared" si="1566"/>
        <v>158.14166666666665</v>
      </c>
      <c r="H508" s="58">
        <f t="shared" si="1566"/>
        <v>137.55000000000001</v>
      </c>
      <c r="I508" s="59">
        <f t="shared" si="1566"/>
        <v>0.76237542187083196</v>
      </c>
      <c r="J508" s="59">
        <f t="shared" si="1566"/>
        <v>0.78839108202167008</v>
      </c>
      <c r="K508" s="59">
        <f t="shared" si="1566"/>
        <v>0.19506366205453554</v>
      </c>
      <c r="L508" s="59">
        <f t="shared" si="1566"/>
        <v>0.17249625160010243</v>
      </c>
      <c r="M508" s="59">
        <f>AVERAGE(M426:M437)</f>
        <v>0.98499999999999988</v>
      </c>
      <c r="N508" s="59">
        <f>AVERAGE(N404:N415)</f>
        <v>0.96956130000000007</v>
      </c>
      <c r="O508" s="59">
        <f>AVERAGE(O404:O415)</f>
        <v>0.9900000000000001</v>
      </c>
      <c r="P508" s="61">
        <f>AVERAGE(P404:P415)</f>
        <v>0.9885250000000001</v>
      </c>
      <c r="Q508" s="112">
        <f t="shared" si="1555"/>
        <v>1.5669335233987391E-2</v>
      </c>
      <c r="R508" s="65">
        <f t="shared" si="1556"/>
        <v>-0.11454091928464027</v>
      </c>
      <c r="S508" s="59">
        <f t="shared" si="1557"/>
        <v>-0.13021025451862767</v>
      </c>
      <c r="T508" s="59">
        <f t="shared" si="1558"/>
        <v>-1.5438699999999805E-2</v>
      </c>
      <c r="U508" s="59">
        <f t="shared" si="1559"/>
        <v>-1.4750000000000041E-3</v>
      </c>
      <c r="V508" s="61"/>
      <c r="X508" s="60" t="s">
        <v>39</v>
      </c>
      <c r="Y508" s="58">
        <f>SUM(Y404:Y415)</f>
        <v>17066.089379241799</v>
      </c>
      <c r="Z508" s="58">
        <f>SUM(Z404:Z415)</f>
        <v>15822.899999999998</v>
      </c>
      <c r="AA508" s="58">
        <f>AVERAGE(AA415:AA426)</f>
        <v>141.23333333333332</v>
      </c>
      <c r="AB508" s="58">
        <f t="shared" ref="AB508:AH508" si="1567">AVERAGE(AB404:AB415)</f>
        <v>124.34166666666665</v>
      </c>
      <c r="AC508" s="58">
        <f t="shared" si="1567"/>
        <v>158.14166666666665</v>
      </c>
      <c r="AD508" s="58">
        <f t="shared" si="1567"/>
        <v>139.91999999999999</v>
      </c>
      <c r="AE508" s="59">
        <f t="shared" si="1567"/>
        <v>0.76162831086563487</v>
      </c>
      <c r="AF508" s="59">
        <f t="shared" si="1567"/>
        <v>0.80577222656089598</v>
      </c>
      <c r="AG508" s="59">
        <f t="shared" si="1567"/>
        <v>0.19490038073139557</v>
      </c>
      <c r="AH508" s="59">
        <f t="shared" si="1567"/>
        <v>0.18044070420506911</v>
      </c>
      <c r="AI508" s="59">
        <f>AVERAGE(AI426:AI437)</f>
        <v>0.98499999999999988</v>
      </c>
      <c r="AJ508" s="59">
        <f>AVERAGE(AJ404:AJ415)</f>
        <v>0.97525042000000006</v>
      </c>
      <c r="AK508" s="59">
        <f>AVERAGE(AK404:AK415)</f>
        <v>0.9900000000000001</v>
      </c>
      <c r="AL508" s="61">
        <f>AVERAGE(AL404:AL415)</f>
        <v>0.98880833333333318</v>
      </c>
      <c r="AM508" s="112">
        <f t="shared" si="1561"/>
        <v>4.2378100113706574E-2</v>
      </c>
      <c r="AN508" s="65">
        <f t="shared" si="1562"/>
        <v>-7.2845591723780911E-2</v>
      </c>
      <c r="AO508" s="59">
        <f t="shared" si="1563"/>
        <v>-0.11522369183748749</v>
      </c>
      <c r="AP508" s="59">
        <f t="shared" si="1564"/>
        <v>-9.7495799999998134E-3</v>
      </c>
      <c r="AQ508" s="59">
        <f t="shared" si="1565"/>
        <v>-1.191666666666924E-3</v>
      </c>
      <c r="AR508" s="61"/>
    </row>
    <row r="509" spans="1:66">
      <c r="B509" s="60" t="s">
        <v>68</v>
      </c>
      <c r="C509" s="58">
        <f>SUM(C416:C427)</f>
        <v>16994.992064277511</v>
      </c>
      <c r="D509" s="58">
        <f>SUM(D416:D427)</f>
        <v>15193.710000000001</v>
      </c>
      <c r="E509" s="58">
        <f>AVERAGE(E416:E427)</f>
        <v>141.23333333333332</v>
      </c>
      <c r="F509" s="58">
        <f t="shared" ref="F509:L509" si="1568">AVERAGE(F416:F427)</f>
        <v>133.91166666666666</v>
      </c>
      <c r="G509" s="58">
        <f t="shared" si="1568"/>
        <v>158.14166666666665</v>
      </c>
      <c r="H509" s="58">
        <f t="shared" si="1568"/>
        <v>148.74583333333337</v>
      </c>
      <c r="I509" s="59">
        <f t="shared" si="1568"/>
        <v>0.75856354476147747</v>
      </c>
      <c r="J509" s="59">
        <f t="shared" si="1568"/>
        <v>0.7312292830409618</v>
      </c>
      <c r="K509" s="59">
        <f t="shared" si="1568"/>
        <v>0.19355498977814842</v>
      </c>
      <c r="L509" s="59">
        <f t="shared" si="1568"/>
        <v>0.17324733731924361</v>
      </c>
      <c r="M509" s="59">
        <f>AVERAGE(M427:M438)</f>
        <v>0.98499999999999988</v>
      </c>
      <c r="N509" s="59">
        <f>AVERAGE(N416:N427)</f>
        <v>0.97017500000000012</v>
      </c>
      <c r="O509" s="59">
        <f>AVERAGE(O416:O427)</f>
        <v>0.9900000000000001</v>
      </c>
      <c r="P509" s="61">
        <f>AVERAGE(P416:P427)</f>
        <v>0.9911916666666668</v>
      </c>
      <c r="Q509" s="112">
        <f t="shared" si="1555"/>
        <v>-4.6574963689059889E-2</v>
      </c>
      <c r="R509" s="65">
        <f t="shared" si="1556"/>
        <v>-0.10598899119604177</v>
      </c>
      <c r="S509" s="59">
        <f t="shared" si="1557"/>
        <v>-5.9414027506981881E-2</v>
      </c>
      <c r="T509" s="59">
        <f t="shared" si="1558"/>
        <v>-1.4824999999999755E-2</v>
      </c>
      <c r="U509" s="59">
        <f t="shared" si="1559"/>
        <v>1.191666666666702E-3</v>
      </c>
      <c r="V509" s="61"/>
      <c r="X509" s="60" t="s">
        <v>68</v>
      </c>
      <c r="Y509" s="58">
        <f>SUM(Y416:Y427)</f>
        <v>16980.75893234559</v>
      </c>
      <c r="Z509" s="58">
        <f>SUM(Z416:Z427)</f>
        <v>15219.744000000001</v>
      </c>
      <c r="AA509" s="58">
        <f>AVERAGE(AA416:AA427)</f>
        <v>141.23333333333332</v>
      </c>
      <c r="AB509" s="58">
        <f t="shared" ref="AB509:AH509" si="1569">AVERAGE(AB416:AB427)</f>
        <v>132.75500000000002</v>
      </c>
      <c r="AC509" s="58">
        <f t="shared" si="1569"/>
        <v>158.14166666666665</v>
      </c>
      <c r="AD509" s="58">
        <f t="shared" si="1569"/>
        <v>147.33000000000001</v>
      </c>
      <c r="AE509" s="59">
        <f t="shared" si="1569"/>
        <v>0.7578201693113068</v>
      </c>
      <c r="AF509" s="59">
        <f t="shared" si="1569"/>
        <v>0.75109993610414161</v>
      </c>
      <c r="AG509" s="59">
        <f t="shared" si="1569"/>
        <v>0.19339305198699774</v>
      </c>
      <c r="AH509" s="59">
        <f t="shared" si="1569"/>
        <v>0.17355340262328514</v>
      </c>
      <c r="AI509" s="59">
        <f>AVERAGE(AI427:AI438)</f>
        <v>0.98499999999999988</v>
      </c>
      <c r="AJ509" s="59">
        <f>AVERAGE(AJ416:AJ427)</f>
        <v>0.95499166666666679</v>
      </c>
      <c r="AK509" s="59">
        <f>AVERAGE(AK416:AK427)</f>
        <v>0.9900000000000001</v>
      </c>
      <c r="AL509" s="61">
        <f>AVERAGE(AL416:AL427)</f>
        <v>0.99385000000000001</v>
      </c>
      <c r="AM509" s="112">
        <f t="shared" si="1561"/>
        <v>-3.5339520984079664E-2</v>
      </c>
      <c r="AN509" s="65">
        <f t="shared" si="1562"/>
        <v>-0.10370649152736877</v>
      </c>
      <c r="AO509" s="59">
        <f t="shared" si="1563"/>
        <v>-6.8366970543289107E-2</v>
      </c>
      <c r="AP509" s="59">
        <f t="shared" si="1564"/>
        <v>-3.0008333333333082E-2</v>
      </c>
      <c r="AQ509" s="59">
        <f t="shared" si="1565"/>
        <v>3.8499999999999091E-3</v>
      </c>
      <c r="AR509" s="61"/>
    </row>
    <row r="510" spans="1:66">
      <c r="B510" s="60" t="s">
        <v>69</v>
      </c>
      <c r="C510" s="58">
        <f>SUM(C428:C439)</f>
        <v>16910.017103956128</v>
      </c>
      <c r="D510" s="58">
        <f>SUM(D428:D439)</f>
        <v>15468.683999999999</v>
      </c>
      <c r="E510" s="58">
        <f t="shared" ref="E510:L510" si="1570">AVERAGE(E428:E439)</f>
        <v>141.23333333333332</v>
      </c>
      <c r="F510" s="58">
        <f t="shared" si="1570"/>
        <v>137.83083333333332</v>
      </c>
      <c r="G510" s="58">
        <f t="shared" si="1570"/>
        <v>158.14166666666665</v>
      </c>
      <c r="H510" s="58">
        <f t="shared" si="1570"/>
        <v>153.87666666666667</v>
      </c>
      <c r="I510" s="59">
        <f t="shared" si="1570"/>
        <v>0.75477072703767023</v>
      </c>
      <c r="J510" s="59">
        <f t="shared" si="1570"/>
        <v>0.72038501223425888</v>
      </c>
      <c r="K510" s="59">
        <f t="shared" si="1570"/>
        <v>0.19311790202554155</v>
      </c>
      <c r="L510" s="59">
        <f t="shared" si="1570"/>
        <v>0.17666767169098821</v>
      </c>
      <c r="M510" s="59">
        <f>AVERAGE(M428:M439)</f>
        <v>0.98499999999999988</v>
      </c>
      <c r="N510" s="59">
        <f>AVERAGE(N428:N439)</f>
        <v>0.96777193740399381</v>
      </c>
      <c r="O510" s="59">
        <f>AVERAGE(O428:O439)</f>
        <v>0.9900000000000001</v>
      </c>
      <c r="P510" s="61">
        <f>AVERAGE(P428:P439)</f>
        <v>0.99686666666666657</v>
      </c>
      <c r="Q510" s="112">
        <f t="shared" si="1555"/>
        <v>-5.8265971652566306E-2</v>
      </c>
      <c r="R510" s="65">
        <f t="shared" si="1556"/>
        <v>-8.5235461034449567E-2</v>
      </c>
      <c r="S510" s="59">
        <f t="shared" si="1557"/>
        <v>-2.696948938188326E-2</v>
      </c>
      <c r="T510" s="59">
        <f t="shared" si="1558"/>
        <v>-1.7228062596006066E-2</v>
      </c>
      <c r="U510" s="59">
        <f t="shared" si="1559"/>
        <v>6.8666666666664655E-3</v>
      </c>
      <c r="V510" s="61"/>
      <c r="X510" s="60" t="s">
        <v>69</v>
      </c>
      <c r="Y510" s="58">
        <f>SUM(Y428:Y439)</f>
        <v>16895.855137683862</v>
      </c>
      <c r="Z510" s="58">
        <f>SUM(Z428:Z439)</f>
        <v>15621.738000000001</v>
      </c>
      <c r="AA510" s="58">
        <f t="shared" ref="AA510:AH510" si="1571">AVERAGE(AA428:AA439)</f>
        <v>141.23333333333332</v>
      </c>
      <c r="AB510" s="58">
        <f t="shared" si="1571"/>
        <v>137.32500000000002</v>
      </c>
      <c r="AC510" s="58">
        <f t="shared" si="1571"/>
        <v>158.14166666666665</v>
      </c>
      <c r="AD510" s="58">
        <f t="shared" si="1571"/>
        <v>153.37083333333334</v>
      </c>
      <c r="AE510" s="59">
        <f t="shared" si="1571"/>
        <v>0.75403106846475032</v>
      </c>
      <c r="AF510" s="59">
        <f t="shared" si="1571"/>
        <v>0.73838741427792909</v>
      </c>
      <c r="AG510" s="59">
        <f t="shared" si="1571"/>
        <v>0.19295624943359987</v>
      </c>
      <c r="AH510" s="59">
        <f t="shared" si="1571"/>
        <v>0.17841377576164874</v>
      </c>
      <c r="AI510" s="59">
        <f>AVERAGE(AI428:AI439)</f>
        <v>0.98499999999999988</v>
      </c>
      <c r="AJ510" s="59">
        <f>AVERAGE(AJ428:AJ439)</f>
        <v>0.9579281394009217</v>
      </c>
      <c r="AK510" s="59">
        <f>AVERAGE(AK428:AK439)</f>
        <v>0.9900000000000001</v>
      </c>
      <c r="AL510" s="61">
        <f>AVERAGE(AL428:AL439)</f>
        <v>0.99764166666666665</v>
      </c>
      <c r="AM510" s="112">
        <f t="shared" si="1561"/>
        <v>-4.5241943309755506E-2</v>
      </c>
      <c r="AN510" s="65">
        <f t="shared" si="1562"/>
        <v>-7.5410041533921501E-2</v>
      </c>
      <c r="AO510" s="59">
        <f t="shared" si="1563"/>
        <v>-3.0168098224165996E-2</v>
      </c>
      <c r="AP510" s="59">
        <f t="shared" si="1564"/>
        <v>-2.7071860599078179E-2</v>
      </c>
      <c r="AQ510" s="59">
        <f t="shared" si="1565"/>
        <v>7.6416666666665467E-3</v>
      </c>
      <c r="AR510" s="61"/>
      <c r="BN510" s="98"/>
    </row>
    <row r="511" spans="1:66">
      <c r="B511" s="60" t="s">
        <v>70</v>
      </c>
      <c r="C511" s="58">
        <f>SUM(C440:C451)</f>
        <v>16825.467018436346</v>
      </c>
      <c r="D511" s="58">
        <f>SUM(D440:D451)</f>
        <v>15348.185999999998</v>
      </c>
      <c r="E511" s="58">
        <f t="shared" ref="E511:P511" si="1572">AVERAGE(E440:E451)</f>
        <v>141.23333333333332</v>
      </c>
      <c r="F511" s="58">
        <f t="shared" si="1572"/>
        <v>132.81416666666667</v>
      </c>
      <c r="G511" s="58">
        <f t="shared" si="1572"/>
        <v>158.14166666666665</v>
      </c>
      <c r="H511" s="58">
        <f t="shared" si="1572"/>
        <v>151.62333333333333</v>
      </c>
      <c r="I511" s="59">
        <f t="shared" si="1572"/>
        <v>0.750996873402482</v>
      </c>
      <c r="J511" s="59">
        <f t="shared" si="1572"/>
        <v>0.71976081165675765</v>
      </c>
      <c r="K511" s="59">
        <f t="shared" si="1572"/>
        <v>0.19215231251541384</v>
      </c>
      <c r="L511" s="59">
        <f t="shared" si="1572"/>
        <v>0.17545637288786478</v>
      </c>
      <c r="M511" s="59">
        <f t="shared" si="1572"/>
        <v>0.98499999999999988</v>
      </c>
      <c r="N511" s="59">
        <f t="shared" si="1572"/>
        <v>0.98147531221923512</v>
      </c>
      <c r="O511" s="59">
        <f t="shared" si="1572"/>
        <v>0.9900000000000001</v>
      </c>
      <c r="P511" s="61">
        <f t="shared" si="1572"/>
        <v>0.99860770609318994</v>
      </c>
      <c r="Q511" s="83">
        <f t="shared" si="1555"/>
        <v>-4.6581981103635095E-2</v>
      </c>
      <c r="R511" s="65">
        <f t="shared" si="1556"/>
        <v>-8.7800298013578582E-2</v>
      </c>
      <c r="S511" s="59">
        <f t="shared" si="1557"/>
        <v>-4.1218316909943487E-2</v>
      </c>
      <c r="T511" s="59">
        <f>N511-M511</f>
        <v>-3.524687780764757E-3</v>
      </c>
      <c r="U511" s="59">
        <f t="shared" si="1559"/>
        <v>8.6077060931898375E-3</v>
      </c>
      <c r="V511" s="61">
        <f>AVERAGE(V440:V451)</f>
        <v>-1.3143866705539242E-2</v>
      </c>
      <c r="X511" s="60" t="s">
        <v>70</v>
      </c>
      <c r="Y511" s="58">
        <f>SUM(Y440:Y451)</f>
        <v>16811.375861995442</v>
      </c>
      <c r="Z511" s="58">
        <f>SUM(Z440:Z451)</f>
        <v>15561.936000000002</v>
      </c>
      <c r="AA511" s="58">
        <f t="shared" ref="AA511:AL511" si="1573">AVERAGE(AA440:AA451)</f>
        <v>141.23333333333332</v>
      </c>
      <c r="AB511" s="58">
        <f t="shared" si="1573"/>
        <v>133.53833333333336</v>
      </c>
      <c r="AC511" s="58">
        <f t="shared" si="1573"/>
        <v>158.14166666666665</v>
      </c>
      <c r="AD511" s="58">
        <f t="shared" si="1573"/>
        <v>149.87516666666667</v>
      </c>
      <c r="AE511" s="59">
        <f t="shared" si="1573"/>
        <v>0.75026091312242649</v>
      </c>
      <c r="AF511" s="59">
        <f t="shared" si="1573"/>
        <v>0.74194024182600138</v>
      </c>
      <c r="AG511" s="59">
        <f t="shared" si="1573"/>
        <v>0.1919914681864319</v>
      </c>
      <c r="AH511" s="59">
        <f t="shared" si="1573"/>
        <v>0.17790995807731694</v>
      </c>
      <c r="AI511" s="59">
        <f t="shared" si="1573"/>
        <v>0.98499999999999988</v>
      </c>
      <c r="AJ511" s="59">
        <f t="shared" si="1573"/>
        <v>0.97626691177634395</v>
      </c>
      <c r="AK511" s="59">
        <f t="shared" si="1573"/>
        <v>0.9900000000000001</v>
      </c>
      <c r="AL511" s="61">
        <f t="shared" si="1573"/>
        <v>0.99821017921146948</v>
      </c>
      <c r="AM511" s="83">
        <f t="shared" si="1561"/>
        <v>-2.2048343743626075E-2</v>
      </c>
      <c r="AN511" s="65">
        <f t="shared" si="1562"/>
        <v>-7.4321094968793244E-2</v>
      </c>
      <c r="AO511" s="59">
        <f t="shared" si="1563"/>
        <v>-5.2272751225167169E-2</v>
      </c>
      <c r="AP511" s="59">
        <f>AJ511-AI511</f>
        <v>-8.7330882236559271E-3</v>
      </c>
      <c r="AQ511" s="59">
        <f t="shared" si="1565"/>
        <v>8.2101792114693817E-3</v>
      </c>
      <c r="AR511" s="61">
        <f>AVERAGE(AR440:AR451)</f>
        <v>-1.3280174001934692E-2</v>
      </c>
      <c r="BN511" s="98"/>
    </row>
    <row r="512" spans="1:66">
      <c r="B512" s="60" t="s">
        <v>71</v>
      </c>
      <c r="C512" s="58">
        <f>SUM(C452:C463)</f>
        <v>16741.339683344162</v>
      </c>
      <c r="D512" s="58">
        <f>SUM(D452:D463)</f>
        <v>15207.407999999999</v>
      </c>
      <c r="E512" s="58">
        <f t="shared" ref="E512:P512" si="1574">AVERAGE(E452:E463)</f>
        <v>141.23333333333332</v>
      </c>
      <c r="F512" s="58">
        <f t="shared" si="1574"/>
        <v>129.17583333333332</v>
      </c>
      <c r="G512" s="58">
        <f t="shared" si="1574"/>
        <v>158.14166666666665</v>
      </c>
      <c r="H512" s="58">
        <f t="shared" si="1574"/>
        <v>150.59916666666666</v>
      </c>
      <c r="I512" s="59">
        <f t="shared" si="1574"/>
        <v>0.74724188903546951</v>
      </c>
      <c r="J512" s="59">
        <f t="shared" si="1574"/>
        <v>0.71117855089378823</v>
      </c>
      <c r="K512" s="59">
        <f t="shared" si="1574"/>
        <v>0.1911915509528368</v>
      </c>
      <c r="L512" s="59">
        <f t="shared" si="1574"/>
        <v>0.17376624903993854</v>
      </c>
      <c r="M512" s="59">
        <f t="shared" si="1574"/>
        <v>0.98499999999999988</v>
      </c>
      <c r="N512" s="59">
        <f t="shared" si="1574"/>
        <v>0.98892179145044734</v>
      </c>
      <c r="O512" s="59">
        <f t="shared" si="1574"/>
        <v>0.9900000000000001</v>
      </c>
      <c r="P512" s="61">
        <f t="shared" si="1574"/>
        <v>0.99976696428571421</v>
      </c>
      <c r="Q512" s="83">
        <f>R512-S512</f>
        <v>-4.3930806722719318E-2</v>
      </c>
      <c r="R512" s="65">
        <f t="shared" si="1556"/>
        <v>-9.1625384369344087E-2</v>
      </c>
      <c r="S512" s="59">
        <f t="shared" si="1557"/>
        <v>-4.769457764662477E-2</v>
      </c>
      <c r="T512" s="59">
        <f>N512-M512</f>
        <v>3.9217914504474649E-3</v>
      </c>
      <c r="U512" s="59">
        <f>P512-O512</f>
        <v>9.7669642857141081E-3</v>
      </c>
      <c r="V512" s="61">
        <f>AVERAGE(V452:V463)</f>
        <v>-1.4685827039344693E-2</v>
      </c>
      <c r="X512" s="60" t="s">
        <v>71</v>
      </c>
      <c r="Y512" s="58">
        <f>SUM(Y452:Y463)</f>
        <v>16727.318982685461</v>
      </c>
      <c r="Z512" s="58">
        <f>SUM(Z452:Z463)</f>
        <v>15336.060000000001</v>
      </c>
      <c r="AA512" s="58">
        <f t="shared" ref="AA512:AL512" si="1575">AVERAGE(AA452:AA463)</f>
        <v>141.23333333333332</v>
      </c>
      <c r="AB512" s="58">
        <f t="shared" si="1575"/>
        <v>134.94250000000002</v>
      </c>
      <c r="AC512" s="58">
        <f t="shared" si="1575"/>
        <v>158.14166666666665</v>
      </c>
      <c r="AD512" s="58">
        <f t="shared" si="1575"/>
        <v>150.6216666666667</v>
      </c>
      <c r="AE512" s="59">
        <f t="shared" si="1575"/>
        <v>0.74650960855681425</v>
      </c>
      <c r="AF512" s="59">
        <f t="shared" si="1575"/>
        <v>0.71734410670203308</v>
      </c>
      <c r="AG512" s="59">
        <f t="shared" si="1575"/>
        <v>0.19103151084549971</v>
      </c>
      <c r="AH512" s="59">
        <f t="shared" si="1575"/>
        <v>0.17523314692140299</v>
      </c>
      <c r="AI512" s="59">
        <f t="shared" si="1575"/>
        <v>0.98499999999999988</v>
      </c>
      <c r="AJ512" s="59">
        <f t="shared" si="1575"/>
        <v>0.98655562918715967</v>
      </c>
      <c r="AK512" s="59">
        <f t="shared" si="1575"/>
        <v>0.9900000000000001</v>
      </c>
      <c r="AL512" s="61">
        <f t="shared" si="1575"/>
        <v>0.99933983166922669</v>
      </c>
      <c r="AM512" s="83">
        <f>AN512-AO512</f>
        <v>-3.5620561208024593E-2</v>
      </c>
      <c r="AN512" s="65">
        <f t="shared" si="1562"/>
        <v>-8.31728613608409E-2</v>
      </c>
      <c r="AO512" s="59">
        <f t="shared" si="1563"/>
        <v>-4.7552300152816307E-2</v>
      </c>
      <c r="AP512" s="59">
        <f>AJ512-AI512</f>
        <v>1.5556291871597905E-3</v>
      </c>
      <c r="AQ512" s="59">
        <f>AL512-AK512</f>
        <v>9.3398316692265837E-3</v>
      </c>
      <c r="AR512" s="61">
        <f>AVERAGE(AR452:AR463)</f>
        <v>-1.4498189329972032E-2</v>
      </c>
      <c r="BN512" s="98"/>
    </row>
    <row r="513" spans="2:66">
      <c r="B513" s="60" t="s">
        <v>72</v>
      </c>
      <c r="C513" s="58">
        <f>SUM(C464:C475)</f>
        <v>16657.632984927444</v>
      </c>
      <c r="D513" s="58">
        <f>SUM(D464:D475)</f>
        <v>14514.486000000003</v>
      </c>
      <c r="E513" s="58">
        <f t="shared" ref="E513:P513" si="1576">AVERAGE(E464:E475)</f>
        <v>141.23333333333332</v>
      </c>
      <c r="F513" s="58">
        <f t="shared" si="1576"/>
        <v>131.46083333333331</v>
      </c>
      <c r="G513" s="58">
        <f t="shared" si="1576"/>
        <v>158.14166666666665</v>
      </c>
      <c r="H513" s="58">
        <f t="shared" si="1576"/>
        <v>147.63916666666668</v>
      </c>
      <c r="I513" s="59">
        <f t="shared" si="1576"/>
        <v>0.74350567959029223</v>
      </c>
      <c r="J513" s="59">
        <f t="shared" si="1576"/>
        <v>0.70171631958981273</v>
      </c>
      <c r="K513" s="59">
        <f t="shared" si="1576"/>
        <v>0.19023559319807259</v>
      </c>
      <c r="L513" s="59">
        <f t="shared" si="1576"/>
        <v>0.1654445295698925</v>
      </c>
      <c r="M513" s="59">
        <f t="shared" si="1576"/>
        <v>0.98499999999999988</v>
      </c>
      <c r="N513" s="59">
        <f t="shared" si="1576"/>
        <v>0.97502419546537178</v>
      </c>
      <c r="O513" s="59">
        <f t="shared" si="1576"/>
        <v>0.9900000000000001</v>
      </c>
      <c r="P513" s="61">
        <f t="shared" si="1576"/>
        <v>0.99905968668891365</v>
      </c>
      <c r="Q513" s="83">
        <f>R513-S513</f>
        <v>-6.224658233420266E-2</v>
      </c>
      <c r="R513" s="65">
        <f t="shared" si="1556"/>
        <v>-0.12865855472182963</v>
      </c>
      <c r="S513" s="59">
        <f t="shared" si="1557"/>
        <v>-6.6411972387626972E-2</v>
      </c>
      <c r="T513" s="59">
        <f>N513-M513</f>
        <v>-9.9758045346280966E-3</v>
      </c>
      <c r="U513" s="59">
        <f>P513-O513</f>
        <v>9.0596866889135486E-3</v>
      </c>
      <c r="V513" s="61">
        <f>AVERAGE(V464:V475)</f>
        <v>-1.564074423122323E-2</v>
      </c>
      <c r="X513" s="60" t="s">
        <v>72</v>
      </c>
      <c r="Y513" s="58">
        <f>SUM(Y464:Y475)</f>
        <v>16643.682387772034</v>
      </c>
      <c r="Z513" s="58">
        <f>SUM(Z464:Z475)</f>
        <v>14446.974000000004</v>
      </c>
      <c r="AA513" s="58">
        <f t="shared" ref="AA513:AL513" si="1577">AVERAGE(AA464:AA475)</f>
        <v>141.23333333333332</v>
      </c>
      <c r="AB513" s="58">
        <f t="shared" si="1577"/>
        <v>132.27083333333334</v>
      </c>
      <c r="AC513" s="58">
        <f t="shared" si="1577"/>
        <v>158.14166666666665</v>
      </c>
      <c r="AD513" s="58">
        <f t="shared" si="1577"/>
        <v>146.43083333333331</v>
      </c>
      <c r="AE513" s="59">
        <f t="shared" si="1577"/>
        <v>0.74277706051403036</v>
      </c>
      <c r="AF513" s="59">
        <f t="shared" si="1577"/>
        <v>0.70730054093447825</v>
      </c>
      <c r="AG513" s="59">
        <f t="shared" si="1577"/>
        <v>0.19007635329127223</v>
      </c>
      <c r="AH513" s="59">
        <f t="shared" si="1577"/>
        <v>0.16470352320479548</v>
      </c>
      <c r="AI513" s="59">
        <f t="shared" si="1577"/>
        <v>0.98499999999999988</v>
      </c>
      <c r="AJ513" s="59">
        <f t="shared" si="1577"/>
        <v>0.97076806189559495</v>
      </c>
      <c r="AK513" s="59">
        <f t="shared" si="1577"/>
        <v>0.9900000000000001</v>
      </c>
      <c r="AL513" s="61">
        <f t="shared" si="1577"/>
        <v>0.99912791991101235</v>
      </c>
      <c r="AM513" s="83">
        <f>AN513-AO513</f>
        <v>-5.7931716644975428E-2</v>
      </c>
      <c r="AN513" s="65">
        <f t="shared" si="1562"/>
        <v>-0.1319845174037888</v>
      </c>
      <c r="AO513" s="59">
        <f t="shared" si="1563"/>
        <v>-7.4052800758813375E-2</v>
      </c>
      <c r="AP513" s="59">
        <f>AJ513-AI513</f>
        <v>-1.4231938104404929E-2</v>
      </c>
      <c r="AQ513" s="59">
        <f>AL513-AK513</f>
        <v>9.12791991101225E-3</v>
      </c>
      <c r="AR513" s="61">
        <f>AVERAGE(AR464:AR475)</f>
        <v>-1.529183093648212E-2</v>
      </c>
      <c r="BN513" s="98"/>
    </row>
    <row r="514" spans="2:66">
      <c r="B514" s="60" t="s">
        <v>75</v>
      </c>
      <c r="C514" s="58">
        <f>SUM(C476:C497)</f>
        <v>45217.229365810461</v>
      </c>
      <c r="D514" s="58">
        <f>SUM(D476:D497)</f>
        <v>23170.703999999998</v>
      </c>
      <c r="E514" s="58">
        <f t="shared" ref="E514:P514" si="1578">AVERAGE(E476:E497)</f>
        <v>215.16863636363632</v>
      </c>
      <c r="F514" s="58">
        <f t="shared" si="1578"/>
        <v>201.22727272727272</v>
      </c>
      <c r="G514" s="58">
        <f t="shared" si="1578"/>
        <v>239.29999999999993</v>
      </c>
      <c r="H514" s="58">
        <f t="shared" si="1578"/>
        <v>220.22090909090909</v>
      </c>
      <c r="I514" s="59">
        <f t="shared" si="1578"/>
        <v>0.74539735023260045</v>
      </c>
      <c r="J514" s="59">
        <f t="shared" si="1578"/>
        <v>0.70770093348866137</v>
      </c>
      <c r="K514" s="59">
        <f t="shared" si="1578"/>
        <v>0.18957883615204441</v>
      </c>
      <c r="L514" s="59">
        <f t="shared" si="1578"/>
        <v>0.1651110502878245</v>
      </c>
      <c r="M514" s="59">
        <f t="shared" si="1578"/>
        <v>0.98499999999999988</v>
      </c>
      <c r="N514" s="59">
        <f t="shared" si="1578"/>
        <v>0.97101174226224041</v>
      </c>
      <c r="O514" s="59">
        <f t="shared" si="1578"/>
        <v>0.9900000000000001</v>
      </c>
      <c r="P514" s="61">
        <f t="shared" si="1578"/>
        <v>0.99842944002234335</v>
      </c>
      <c r="Q514" s="83">
        <f>R514-S514</f>
        <v>-0.40784037972386378</v>
      </c>
      <c r="R514" s="65">
        <f t="shared" si="1556"/>
        <v>-0.48756913404517943</v>
      </c>
      <c r="S514" s="59">
        <f t="shared" si="1557"/>
        <v>-7.9728754321315654E-2</v>
      </c>
      <c r="T514" s="59">
        <f>N514-M514</f>
        <v>-1.3988257737759469E-2</v>
      </c>
      <c r="U514" s="59">
        <f>P514-O514</f>
        <v>8.4294400223432486E-3</v>
      </c>
      <c r="V514" s="61" t="e">
        <f>AVERAGE(V476:V497)</f>
        <v>#DIV/0!</v>
      </c>
      <c r="X514" s="60" t="s">
        <v>75</v>
      </c>
      <c r="Y514" s="58">
        <f>SUM(Y476:Y497)</f>
        <v>43378.702888339016</v>
      </c>
      <c r="Z514" s="58">
        <f>SUM(Z476:Z497)</f>
        <v>21832.745999999999</v>
      </c>
      <c r="AA514" s="58">
        <f t="shared" ref="AA514:AL514" si="1579">AVERAGE(AA476:AA497)</f>
        <v>215.16863636363632</v>
      </c>
      <c r="AB514" s="58">
        <f t="shared" si="1579"/>
        <v>200.54636363636362</v>
      </c>
      <c r="AC514" s="58">
        <f t="shared" si="1579"/>
        <v>239.29999999999993</v>
      </c>
      <c r="AD514" s="58">
        <f t="shared" si="1579"/>
        <v>218.49454545454546</v>
      </c>
      <c r="AE514" s="59">
        <f t="shared" si="1579"/>
        <v>0.74454501169047804</v>
      </c>
      <c r="AF514" s="59">
        <f t="shared" si="1579"/>
        <v>0.71121831501002641</v>
      </c>
      <c r="AG514" s="59">
        <f t="shared" si="1579"/>
        <v>0.18938968906209144</v>
      </c>
      <c r="AH514" s="59">
        <f t="shared" si="1579"/>
        <v>0.16273909362441619</v>
      </c>
      <c r="AI514" s="59">
        <f t="shared" si="1579"/>
        <v>0.98499999999999988</v>
      </c>
      <c r="AJ514" s="59">
        <f t="shared" si="1579"/>
        <v>0.95926478023423667</v>
      </c>
      <c r="AK514" s="59">
        <f t="shared" si="1579"/>
        <v>0.9900000000000001</v>
      </c>
      <c r="AL514" s="61">
        <f t="shared" si="1579"/>
        <v>0.99841912163105706</v>
      </c>
      <c r="AM514" s="83">
        <f>AN514-AO514</f>
        <v>-0.40975137821680807</v>
      </c>
      <c r="AN514" s="65">
        <f t="shared" si="1562"/>
        <v>-0.49669435584093879</v>
      </c>
      <c r="AO514" s="59">
        <f t="shared" si="1563"/>
        <v>-8.6942977624130724E-2</v>
      </c>
      <c r="AP514" s="59">
        <f>AJ514-AI514</f>
        <v>-2.5735219765763206E-2</v>
      </c>
      <c r="AQ514" s="59">
        <f>AL514-AK514</f>
        <v>8.4191216310569583E-3</v>
      </c>
      <c r="AR514" s="61" t="e">
        <f>AVERAGE(AR476:AR497)</f>
        <v>#DIV/0!</v>
      </c>
      <c r="BN514" s="98"/>
    </row>
    <row r="515" spans="2:66" ht="15.75" thickBot="1">
      <c r="E515" s="1"/>
      <c r="F515" s="99"/>
      <c r="G515" s="100"/>
      <c r="H515" s="99"/>
      <c r="I515" s="100"/>
      <c r="J515" s="71"/>
      <c r="K515" s="1"/>
      <c r="L515" s="71"/>
      <c r="M515" s="1"/>
      <c r="N515" s="71"/>
      <c r="O515" s="1"/>
      <c r="P515" s="7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</row>
    <row r="516" spans="2:66" ht="15.75" thickBot="1">
      <c r="B516" s="230" t="s">
        <v>8</v>
      </c>
      <c r="C516" s="231"/>
      <c r="D516" s="231"/>
      <c r="E516" s="231"/>
      <c r="F516" s="231"/>
      <c r="G516" s="231"/>
      <c r="H516" s="231"/>
      <c r="I516" s="231"/>
      <c r="J516" s="231"/>
      <c r="K516" s="231"/>
      <c r="L516" s="231"/>
      <c r="M516" s="231"/>
      <c r="N516" s="231"/>
      <c r="O516" s="231"/>
      <c r="P516" s="232"/>
      <c r="R516" s="215" t="s">
        <v>42</v>
      </c>
      <c r="S516" s="216"/>
      <c r="T516" s="216"/>
      <c r="U516" s="216"/>
      <c r="V516" s="217"/>
      <c r="W516" s="1"/>
      <c r="X516" s="221" t="s">
        <v>13</v>
      </c>
      <c r="Y516" s="222"/>
      <c r="Z516" s="222"/>
      <c r="AA516" s="222"/>
      <c r="AB516" s="222"/>
      <c r="AC516" s="222"/>
      <c r="AD516" s="222"/>
      <c r="AE516" s="222"/>
      <c r="AF516" s="222"/>
      <c r="AG516" s="222"/>
      <c r="AH516" s="222"/>
      <c r="AI516" s="222"/>
      <c r="AJ516" s="222"/>
      <c r="AK516" s="222"/>
      <c r="AL516" s="223"/>
      <c r="AM516" s="1"/>
      <c r="AN516" s="215" t="s">
        <v>31</v>
      </c>
      <c r="AO516" s="216"/>
      <c r="AP516" s="216"/>
      <c r="AQ516" s="216"/>
      <c r="AR516" s="217"/>
    </row>
    <row r="517" spans="2:66" ht="60">
      <c r="B517" s="7" t="s">
        <v>0</v>
      </c>
      <c r="C517" s="6" t="s">
        <v>1</v>
      </c>
      <c r="D517" s="6" t="s">
        <v>2</v>
      </c>
      <c r="E517" s="8" t="s">
        <v>4</v>
      </c>
      <c r="F517" s="8" t="s">
        <v>3</v>
      </c>
      <c r="G517" s="8" t="s">
        <v>5</v>
      </c>
      <c r="H517" s="8" t="s">
        <v>6</v>
      </c>
      <c r="I517" s="8" t="s">
        <v>19</v>
      </c>
      <c r="J517" s="8" t="s">
        <v>18</v>
      </c>
      <c r="K517" s="6" t="s">
        <v>41</v>
      </c>
      <c r="L517" s="6" t="s">
        <v>24</v>
      </c>
      <c r="M517" s="8" t="s">
        <v>20</v>
      </c>
      <c r="N517" s="8" t="s">
        <v>21</v>
      </c>
      <c r="O517" s="8" t="s">
        <v>22</v>
      </c>
      <c r="P517" s="9" t="s">
        <v>23</v>
      </c>
      <c r="R517" s="66" t="s">
        <v>25</v>
      </c>
      <c r="S517" s="67" t="s">
        <v>26</v>
      </c>
      <c r="T517" s="67" t="s">
        <v>27</v>
      </c>
      <c r="U517" s="67" t="s">
        <v>28</v>
      </c>
      <c r="V517" s="68" t="s">
        <v>40</v>
      </c>
      <c r="W517" s="1"/>
      <c r="X517" s="7" t="s">
        <v>0</v>
      </c>
      <c r="Y517" s="6" t="s">
        <v>1</v>
      </c>
      <c r="Z517" s="6" t="s">
        <v>2</v>
      </c>
      <c r="AA517" s="6" t="s">
        <v>4</v>
      </c>
      <c r="AB517" s="6" t="s">
        <v>3</v>
      </c>
      <c r="AC517" s="6" t="s">
        <v>5</v>
      </c>
      <c r="AD517" s="6" t="s">
        <v>6</v>
      </c>
      <c r="AE517" s="8" t="s">
        <v>19</v>
      </c>
      <c r="AF517" s="6" t="s">
        <v>18</v>
      </c>
      <c r="AG517" s="6" t="s">
        <v>41</v>
      </c>
      <c r="AH517" s="6" t="s">
        <v>24</v>
      </c>
      <c r="AI517" s="8" t="s">
        <v>20</v>
      </c>
      <c r="AJ517" s="8" t="s">
        <v>21</v>
      </c>
      <c r="AK517" s="8" t="s">
        <v>22</v>
      </c>
      <c r="AL517" s="9" t="s">
        <v>23</v>
      </c>
      <c r="AM517" s="1"/>
      <c r="AN517" s="66" t="s">
        <v>25</v>
      </c>
      <c r="AO517" s="67" t="s">
        <v>26</v>
      </c>
      <c r="AP517" s="67" t="s">
        <v>27</v>
      </c>
      <c r="AQ517" s="67" t="s">
        <v>28</v>
      </c>
      <c r="AR517" s="68" t="s">
        <v>40</v>
      </c>
    </row>
    <row r="518" spans="2:66" ht="14.65" customHeight="1">
      <c r="B518" s="5">
        <v>42766</v>
      </c>
      <c r="C518" s="2"/>
      <c r="D518" s="2">
        <v>0</v>
      </c>
      <c r="E518" s="2">
        <v>79.599999999999994</v>
      </c>
      <c r="F518" s="2"/>
      <c r="G518" s="2">
        <v>103.2</v>
      </c>
      <c r="H518" s="2"/>
      <c r="I518" s="12">
        <v>0.83399999999999996</v>
      </c>
      <c r="J518" s="2"/>
      <c r="K518" s="2"/>
      <c r="L518" s="2"/>
      <c r="M518" s="10">
        <v>0.98499999999999999</v>
      </c>
      <c r="N518" s="2"/>
      <c r="O518" s="10">
        <v>0.99</v>
      </c>
      <c r="P518" s="3"/>
      <c r="R518" s="77"/>
      <c r="S518" s="78"/>
      <c r="T518" s="78"/>
      <c r="U518" s="78"/>
      <c r="V518" s="79"/>
      <c r="W518" s="1"/>
      <c r="X518" s="5">
        <v>42766</v>
      </c>
      <c r="Y518" s="2"/>
      <c r="Z518" s="2">
        <v>0</v>
      </c>
      <c r="AA518" s="2">
        <v>79.599999999999994</v>
      </c>
      <c r="AB518" s="2"/>
      <c r="AC518" s="2">
        <v>103.2</v>
      </c>
      <c r="AD518" s="2"/>
      <c r="AE518" s="14">
        <v>0.82763481424572438</v>
      </c>
      <c r="AF518" s="2"/>
      <c r="AG518" s="2"/>
      <c r="AH518" s="2"/>
      <c r="AI518" s="10">
        <v>0.98499999999999999</v>
      </c>
      <c r="AJ518" s="2"/>
      <c r="AK518" s="10">
        <v>0.99</v>
      </c>
      <c r="AL518" s="3"/>
      <c r="AM518" s="1"/>
      <c r="AN518" s="77"/>
      <c r="AO518" s="78"/>
      <c r="AP518" s="78"/>
      <c r="AQ518" s="78"/>
      <c r="AR518" s="79"/>
    </row>
    <row r="519" spans="2:66" ht="14.65" customHeight="1">
      <c r="B519" s="5">
        <v>42794</v>
      </c>
      <c r="C519" s="2"/>
      <c r="D519" s="2"/>
      <c r="E519" s="2">
        <v>108.1</v>
      </c>
      <c r="F519" s="2"/>
      <c r="G519" s="2">
        <v>137.5</v>
      </c>
      <c r="H519" s="2"/>
      <c r="I519" s="14">
        <v>0.81899999999999995</v>
      </c>
      <c r="J519" s="2"/>
      <c r="K519" s="2"/>
      <c r="L519" s="2"/>
      <c r="M519" s="10">
        <v>0.98499999999999999</v>
      </c>
      <c r="N519" s="2"/>
      <c r="O519" s="10">
        <v>0.99</v>
      </c>
      <c r="P519" s="3"/>
      <c r="R519" s="77"/>
      <c r="S519" s="78"/>
      <c r="T519" s="78"/>
      <c r="U519" s="78"/>
      <c r="V519" s="79"/>
      <c r="W519" s="1"/>
      <c r="X519" s="5">
        <v>42794</v>
      </c>
      <c r="Y519" s="2"/>
      <c r="Z519" s="2">
        <v>0</v>
      </c>
      <c r="AA519" s="2">
        <v>108.1</v>
      </c>
      <c r="AB519" s="2"/>
      <c r="AC519" s="2">
        <v>137.5</v>
      </c>
      <c r="AD519" s="2"/>
      <c r="AE519" s="14">
        <v>0.81555559393111998</v>
      </c>
      <c r="AF519" s="2"/>
      <c r="AG519" s="2"/>
      <c r="AH519" s="2"/>
      <c r="AI519" s="10">
        <v>0.98499999999999999</v>
      </c>
      <c r="AJ519" s="2"/>
      <c r="AK519" s="10">
        <v>0.99</v>
      </c>
      <c r="AL519" s="3"/>
      <c r="AM519" s="1"/>
      <c r="AN519" s="77"/>
      <c r="AO519" s="78"/>
      <c r="AP519" s="78"/>
      <c r="AQ519" s="78"/>
      <c r="AR519" s="79"/>
    </row>
    <row r="520" spans="2:66" ht="14.65" customHeight="1">
      <c r="B520" s="5">
        <v>42825</v>
      </c>
      <c r="C520" s="2"/>
      <c r="D520" s="2">
        <v>117.09</v>
      </c>
      <c r="E520" s="2">
        <v>161.4</v>
      </c>
      <c r="F520" s="2"/>
      <c r="G520" s="2">
        <v>187.8</v>
      </c>
      <c r="H520" s="2"/>
      <c r="I520" s="14">
        <v>0.80200000000000005</v>
      </c>
      <c r="J520" s="2"/>
      <c r="K520" s="2"/>
      <c r="L520" s="2"/>
      <c r="M520" s="10">
        <v>0.98499999999999999</v>
      </c>
      <c r="N520" s="2"/>
      <c r="O520" s="10">
        <v>0.99</v>
      </c>
      <c r="P520" s="3"/>
      <c r="R520" s="81" t="e">
        <f>D520/C520-1</f>
        <v>#DIV/0!</v>
      </c>
      <c r="S520" s="78"/>
      <c r="T520" s="78"/>
      <c r="U520" s="78"/>
      <c r="V520" s="79"/>
      <c r="W520" s="1"/>
      <c r="X520" s="5">
        <v>42825</v>
      </c>
      <c r="Y520" s="2"/>
      <c r="Z520" s="2">
        <v>3.0630000000000002</v>
      </c>
      <c r="AA520" s="2">
        <v>161.4</v>
      </c>
      <c r="AB520" s="2"/>
      <c r="AC520" s="2">
        <v>187.8</v>
      </c>
      <c r="AD520" s="2"/>
      <c r="AE520" s="11">
        <v>0.80080060538540998</v>
      </c>
      <c r="AF520" s="2"/>
      <c r="AG520" s="2"/>
      <c r="AH520" s="2"/>
      <c r="AI520" s="10">
        <v>0.98499999999999999</v>
      </c>
      <c r="AJ520" s="2"/>
      <c r="AK520" s="10">
        <v>0.99</v>
      </c>
      <c r="AL520" s="3"/>
      <c r="AM520" s="1"/>
      <c r="AN520" s="81" t="e">
        <f>Z520/Y520-1</f>
        <v>#DIV/0!</v>
      </c>
      <c r="AO520" s="78"/>
      <c r="AP520" s="78"/>
      <c r="AQ520" s="78"/>
      <c r="AR520" s="79"/>
    </row>
    <row r="521" spans="2:66" ht="14.65" customHeight="1">
      <c r="B521" s="5">
        <v>42855</v>
      </c>
      <c r="C521" s="2">
        <v>1867.275397156815</v>
      </c>
      <c r="D521" s="2">
        <v>844.83600000000001</v>
      </c>
      <c r="E521" s="2">
        <v>190.2</v>
      </c>
      <c r="F521" s="2"/>
      <c r="G521" s="2">
        <v>194</v>
      </c>
      <c r="H521" s="2"/>
      <c r="I521" s="11">
        <v>0.80175045684305279</v>
      </c>
      <c r="J521" s="2"/>
      <c r="K521" s="11">
        <f t="shared" ref="K521" si="1580">C521/24/30/10</f>
        <v>0.25934380516066879</v>
      </c>
      <c r="L521" s="11">
        <f t="shared" ref="L521" si="1581">D521/24/30/10</f>
        <v>0.11733833333333335</v>
      </c>
      <c r="M521" s="10">
        <v>0.98499999999999999</v>
      </c>
      <c r="N521" s="2"/>
      <c r="O521" s="10">
        <v>0.99</v>
      </c>
      <c r="P521" s="3"/>
      <c r="R521" s="81">
        <f t="shared" ref="R521:R544" si="1582">D521/C521-1</f>
        <v>-0.54755682997463595</v>
      </c>
      <c r="S521" s="78"/>
      <c r="T521" s="78"/>
      <c r="U521" s="78"/>
      <c r="V521" s="79"/>
      <c r="W521" s="1"/>
      <c r="X521" s="5">
        <v>42855</v>
      </c>
      <c r="Y521" s="2">
        <v>933.23753176531341</v>
      </c>
      <c r="Z521" s="2">
        <v>206.358</v>
      </c>
      <c r="AA521" s="2">
        <v>190.2</v>
      </c>
      <c r="AB521" s="2"/>
      <c r="AC521" s="2">
        <v>194</v>
      </c>
      <c r="AD521" s="2"/>
      <c r="AE521" s="11">
        <v>0.80175045684305279</v>
      </c>
      <c r="AF521" s="2"/>
      <c r="AG521" s="11">
        <f>Y521/24/30/5</f>
        <v>0.25923264771258708</v>
      </c>
      <c r="AH521" s="11">
        <f>Z521/24/30/5</f>
        <v>5.7321666666666674E-2</v>
      </c>
      <c r="AI521" s="10">
        <v>0.98499999999999999</v>
      </c>
      <c r="AJ521" s="2"/>
      <c r="AK521" s="10">
        <v>0.99</v>
      </c>
      <c r="AL521" s="3"/>
      <c r="AM521" s="1"/>
      <c r="AN521" s="81">
        <f t="shared" ref="AN521:AN527" si="1583">Z521/Y521-1</f>
        <v>-0.77887944604022419</v>
      </c>
      <c r="AO521" s="78"/>
      <c r="AP521" s="78"/>
      <c r="AQ521" s="78"/>
      <c r="AR521" s="79"/>
    </row>
    <row r="522" spans="2:66" ht="14.65" customHeight="1">
      <c r="B522" s="5">
        <v>42886</v>
      </c>
      <c r="C522" s="2">
        <v>1891.8054331143148</v>
      </c>
      <c r="D522" s="2">
        <v>1176</v>
      </c>
      <c r="E522" s="2">
        <v>197</v>
      </c>
      <c r="F522" s="2"/>
      <c r="G522" s="2">
        <v>197.7</v>
      </c>
      <c r="H522" s="2"/>
      <c r="I522" s="14">
        <v>0.79700000000000004</v>
      </c>
      <c r="J522" s="2"/>
      <c r="K522" s="11">
        <f>C522/24/31/10</f>
        <v>0.2542749238056875</v>
      </c>
      <c r="L522" s="11">
        <f>D522/24/31/10</f>
        <v>0.15806451612903225</v>
      </c>
      <c r="M522" s="10">
        <v>0.98499999999999999</v>
      </c>
      <c r="N522" s="2"/>
      <c r="O522" s="10">
        <v>0.99</v>
      </c>
      <c r="P522" s="3"/>
      <c r="R522" s="81">
        <f t="shared" si="1582"/>
        <v>-0.37837159180579505</v>
      </c>
      <c r="S522" s="78"/>
      <c r="T522" s="78"/>
      <c r="U522" s="78"/>
      <c r="V522" s="79"/>
      <c r="W522" s="1"/>
      <c r="X522" s="5">
        <v>42886</v>
      </c>
      <c r="Y522" s="2">
        <v>945.49761494667598</v>
      </c>
      <c r="Z522" s="2">
        <v>522.51599999999996</v>
      </c>
      <c r="AA522" s="2">
        <v>197</v>
      </c>
      <c r="AB522" s="2"/>
      <c r="AC522" s="2">
        <v>197.7</v>
      </c>
      <c r="AD522" s="2"/>
      <c r="AE522" s="14">
        <v>0.79708111190918562</v>
      </c>
      <c r="AF522" s="2"/>
      <c r="AG522" s="11">
        <f>Y522/24/31/10</f>
        <v>0.12708301276164999</v>
      </c>
      <c r="AH522" s="11">
        <f>Z522/24/31/10</f>
        <v>7.0230645161290323E-2</v>
      </c>
      <c r="AI522" s="10">
        <v>0.98499999999999999</v>
      </c>
      <c r="AJ522" s="2"/>
      <c r="AK522" s="10">
        <v>0.99</v>
      </c>
      <c r="AL522" s="3"/>
      <c r="AM522" s="1"/>
      <c r="AN522" s="81">
        <f t="shared" si="1583"/>
        <v>-0.44736402108273032</v>
      </c>
      <c r="AO522" s="78"/>
      <c r="AP522" s="78"/>
      <c r="AQ522" s="78"/>
      <c r="AR522" s="79"/>
    </row>
    <row r="523" spans="2:66" ht="14.65" customHeight="1">
      <c r="B523" s="5">
        <v>42916</v>
      </c>
      <c r="C523" s="2">
        <v>1701.4523540841149</v>
      </c>
      <c r="D523" s="2">
        <v>1246.674</v>
      </c>
      <c r="E523" s="2">
        <v>178.9</v>
      </c>
      <c r="F523" s="2">
        <v>150.04</v>
      </c>
      <c r="G523" s="2">
        <v>177.2</v>
      </c>
      <c r="H523" s="2">
        <v>143.55000000000001</v>
      </c>
      <c r="I523" s="14">
        <v>0.8</v>
      </c>
      <c r="J523" s="10">
        <f>D523/12/H523</f>
        <v>0.72371647509578541</v>
      </c>
      <c r="K523" s="11">
        <f>C523/24/30/10</f>
        <v>0.23631282695612707</v>
      </c>
      <c r="L523" s="11">
        <f>D523/24/30/10</f>
        <v>0.17314916666666666</v>
      </c>
      <c r="M523" s="10">
        <v>0.98499999999999999</v>
      </c>
      <c r="N523" s="11">
        <v>0.80037789999999998</v>
      </c>
      <c r="O523" s="10">
        <v>0.99</v>
      </c>
      <c r="P523" s="16">
        <v>0.99860000000000004</v>
      </c>
      <c r="Q523" s="83">
        <f t="shared" ref="Q523:Q535" si="1584">AD652/H523-1</f>
        <v>3.1208638105189701E-2</v>
      </c>
      <c r="R523" s="81">
        <f t="shared" si="1582"/>
        <v>-0.26728832752352938</v>
      </c>
      <c r="S523" s="10">
        <f>H523/G523-1</f>
        <v>-0.18989841986455969</v>
      </c>
      <c r="T523" s="10">
        <f>N523-M523</f>
        <v>-0.18462210000000001</v>
      </c>
      <c r="U523" s="10">
        <f>P523-O523</f>
        <v>8.600000000000052E-3</v>
      </c>
      <c r="V523" s="23"/>
      <c r="W523" s="83"/>
      <c r="X523" s="5">
        <v>42916</v>
      </c>
      <c r="Y523" s="2">
        <v>848.88815947753938</v>
      </c>
      <c r="Z523" s="2">
        <v>602.82899999999995</v>
      </c>
      <c r="AA523" s="2">
        <v>178.9</v>
      </c>
      <c r="AB523" s="2">
        <v>155.33000000000001</v>
      </c>
      <c r="AC523" s="2">
        <v>177.2</v>
      </c>
      <c r="AD523" s="2">
        <v>148.03</v>
      </c>
      <c r="AE523" s="14">
        <v>0.79842753901198216</v>
      </c>
      <c r="AF523" s="10">
        <f>Z523/6/AD523</f>
        <v>0.67872390731608456</v>
      </c>
      <c r="AG523" s="11">
        <f>Y523/24/30/5</f>
        <v>0.23580226652153874</v>
      </c>
      <c r="AH523" s="11">
        <f>Z523/24/30/5</f>
        <v>0.16745249999999998</v>
      </c>
      <c r="AI523" s="10">
        <v>0.98499999999999999</v>
      </c>
      <c r="AJ523" s="11">
        <v>0.80541645999999989</v>
      </c>
      <c r="AK523" s="10">
        <v>0.99</v>
      </c>
      <c r="AL523" s="16">
        <v>0.99939999999999996</v>
      </c>
      <c r="AM523" s="83"/>
      <c r="AN523" s="81">
        <f t="shared" si="1583"/>
        <v>-0.28986051546411029</v>
      </c>
      <c r="AO523" s="10">
        <f>AD523/AC523-1</f>
        <v>-0.16461625282167036</v>
      </c>
      <c r="AP523" s="10">
        <f>AJ523-AI523</f>
        <v>-0.1795835400000001</v>
      </c>
      <c r="AQ523" s="10">
        <f>AL523-AK523</f>
        <v>9.3999999999999639E-3</v>
      </c>
      <c r="AR523" s="23"/>
    </row>
    <row r="524" spans="2:66" ht="14.65" customHeight="1">
      <c r="B524" s="5">
        <v>42947</v>
      </c>
      <c r="C524" s="2">
        <v>1509.1368721773149</v>
      </c>
      <c r="D524" s="2">
        <v>1199.508</v>
      </c>
      <c r="E524" s="2">
        <v>155.5</v>
      </c>
      <c r="F524" s="2">
        <v>155.87</v>
      </c>
      <c r="G524" s="2">
        <v>154.6</v>
      </c>
      <c r="H524" s="2">
        <v>154.13</v>
      </c>
      <c r="I524" s="14">
        <v>0.81299999999999994</v>
      </c>
      <c r="J524" s="10">
        <f t="shared" ref="J524:J532" si="1585">D524/12/H524</f>
        <v>0.64853694932848893</v>
      </c>
      <c r="K524" s="11">
        <f>C524/24/31/10</f>
        <v>0.20284097744318749</v>
      </c>
      <c r="L524" s="11">
        <f>D524/24/31/10</f>
        <v>0.1612241935483871</v>
      </c>
      <c r="M524" s="10">
        <v>0.98499999999999999</v>
      </c>
      <c r="N524" s="15">
        <v>0.8454083</v>
      </c>
      <c r="O524" s="10">
        <v>0.99</v>
      </c>
      <c r="P524" s="16">
        <v>0.99109999999999998</v>
      </c>
      <c r="Q524" s="83">
        <f t="shared" si="1584"/>
        <v>-6.9421916563938701E-3</v>
      </c>
      <c r="R524" s="81">
        <f t="shared" si="1582"/>
        <v>-0.20516950972816417</v>
      </c>
      <c r="S524" s="10">
        <f t="shared" ref="S524:S544" si="1586">H524/G524-1</f>
        <v>-3.0401034928848603E-3</v>
      </c>
      <c r="T524" s="10">
        <f t="shared" ref="T524:T544" si="1587">N524-M524</f>
        <v>-0.13959169999999999</v>
      </c>
      <c r="U524" s="10">
        <f t="shared" ref="U524:U544" si="1588">P524-O524</f>
        <v>1.0999999999999899E-3</v>
      </c>
      <c r="V524" s="23"/>
      <c r="W524" s="83"/>
      <c r="X524" s="5">
        <v>42947</v>
      </c>
      <c r="Y524" s="2">
        <v>751.29789735389397</v>
      </c>
      <c r="Z524" s="2">
        <v>290.50799999999998</v>
      </c>
      <c r="AA524" s="2">
        <v>155.5</v>
      </c>
      <c r="AB524" s="2">
        <v>155.74</v>
      </c>
      <c r="AC524" s="2">
        <v>154.6</v>
      </c>
      <c r="AD524" s="2">
        <v>153.06</v>
      </c>
      <c r="AE524" s="14">
        <v>0.80993736239100256</v>
      </c>
      <c r="AF524" s="10">
        <f t="shared" ref="AF524:AF532" si="1589">Z524/6/AD524</f>
        <v>0.31633346400104534</v>
      </c>
      <c r="AG524" s="11">
        <f>Y524/24/31/5</f>
        <v>0.20196180036394998</v>
      </c>
      <c r="AH524" s="11">
        <f>Z524/24/31/5</f>
        <v>7.8093548387096784E-2</v>
      </c>
      <c r="AI524" s="10">
        <v>0.98499999999999999</v>
      </c>
      <c r="AJ524" s="15">
        <v>0.53697797999999997</v>
      </c>
      <c r="AK524" s="10">
        <v>0.99</v>
      </c>
      <c r="AL524" s="16">
        <v>0.99109999999999998</v>
      </c>
      <c r="AM524" s="83"/>
      <c r="AN524" s="81">
        <f t="shared" si="1583"/>
        <v>-0.6133251523487786</v>
      </c>
      <c r="AO524" s="10">
        <f t="shared" ref="AO524:AO528" si="1590">AD524/AC524-1</f>
        <v>-9.9611901681758708E-3</v>
      </c>
      <c r="AP524" s="10">
        <f t="shared" ref="AP524:AP544" si="1591">AJ524-AI524</f>
        <v>-0.44802202000000002</v>
      </c>
      <c r="AQ524" s="10">
        <f t="shared" ref="AQ524:AQ544" si="1592">AL524-AK524</f>
        <v>1.0999999999999899E-3</v>
      </c>
      <c r="AR524" s="23"/>
    </row>
    <row r="525" spans="2:66" ht="14.65" customHeight="1">
      <c r="B525" s="5">
        <v>42978</v>
      </c>
      <c r="C525" s="2">
        <v>1433.5843614282148</v>
      </c>
      <c r="D525" s="2">
        <v>1195.3679999999999</v>
      </c>
      <c r="E525" s="2">
        <v>145.4</v>
      </c>
      <c r="F525" s="2">
        <v>132.9</v>
      </c>
      <c r="G525" s="2">
        <v>146.30000000000001</v>
      </c>
      <c r="H525" s="2">
        <v>133.47999999999999</v>
      </c>
      <c r="I525" s="14">
        <v>0.81699999999999995</v>
      </c>
      <c r="J525" s="10">
        <f t="shared" si="1585"/>
        <v>0.74628408750374586</v>
      </c>
      <c r="K525" s="11">
        <f>C525/24/31/10</f>
        <v>0.19268607008443747</v>
      </c>
      <c r="L525" s="11">
        <f>D525/24/31/10</f>
        <v>0.16066774193548386</v>
      </c>
      <c r="M525" s="10">
        <v>0.98499999999999999</v>
      </c>
      <c r="N525" s="10">
        <v>0.92285567999999996</v>
      </c>
      <c r="O525" s="10">
        <v>0.99</v>
      </c>
      <c r="P525" s="16">
        <v>0.99360000000000004</v>
      </c>
      <c r="Q525" s="83">
        <f t="shared" si="1584"/>
        <v>-4.5474977524722737E-2</v>
      </c>
      <c r="R525" s="81">
        <f t="shared" si="1582"/>
        <v>-0.16616835941966523</v>
      </c>
      <c r="S525" s="10">
        <f t="shared" si="1586"/>
        <v>-8.7628161312371944E-2</v>
      </c>
      <c r="T525" s="10">
        <f t="shared" si="1587"/>
        <v>-6.2144320000000031E-2</v>
      </c>
      <c r="U525" s="10">
        <f t="shared" si="1588"/>
        <v>3.6000000000000476E-3</v>
      </c>
      <c r="V525" s="23"/>
      <c r="W525" s="83"/>
      <c r="X525" s="5">
        <v>42978</v>
      </c>
      <c r="Y525" s="2">
        <v>713.53684115529745</v>
      </c>
      <c r="Z525" s="2">
        <v>498.834</v>
      </c>
      <c r="AA525" s="2">
        <v>145.4</v>
      </c>
      <c r="AB525" s="2">
        <v>126.11</v>
      </c>
      <c r="AC525" s="2">
        <v>146.30000000000001</v>
      </c>
      <c r="AD525" s="2">
        <v>126.87</v>
      </c>
      <c r="AE525" s="14">
        <v>0.81286949322772539</v>
      </c>
      <c r="AF525" s="10">
        <f t="shared" si="1589"/>
        <v>0.65530858358950106</v>
      </c>
      <c r="AG525" s="11">
        <f>Y525/24/31/5</f>
        <v>0.19181097880518747</v>
      </c>
      <c r="AH525" s="11">
        <f>Z525/24/31/5</f>
        <v>0.13409516129032256</v>
      </c>
      <c r="AI525" s="10">
        <v>0.98499999999999999</v>
      </c>
      <c r="AJ525" s="10">
        <v>0.86266550000000009</v>
      </c>
      <c r="AK525" s="10">
        <v>0.99</v>
      </c>
      <c r="AL525" s="16">
        <v>0.99099999999999999</v>
      </c>
      <c r="AM525" s="83"/>
      <c r="AN525" s="81">
        <f t="shared" si="1583"/>
        <v>-0.3008994473329073</v>
      </c>
      <c r="AO525" s="10">
        <f t="shared" si="1590"/>
        <v>-0.13280929596719071</v>
      </c>
      <c r="AP525" s="10">
        <f t="shared" si="1591"/>
        <v>-0.1223344999999999</v>
      </c>
      <c r="AQ525" s="10">
        <f t="shared" si="1592"/>
        <v>1.0000000000000009E-3</v>
      </c>
      <c r="AR525" s="23"/>
    </row>
    <row r="526" spans="2:66" ht="14.65" customHeight="1">
      <c r="B526" s="5">
        <v>43008</v>
      </c>
      <c r="C526" s="2">
        <v>1427.6971527984149</v>
      </c>
      <c r="D526" s="2">
        <v>1175.598</v>
      </c>
      <c r="E526" s="2">
        <v>141.6</v>
      </c>
      <c r="F526" s="2">
        <v>121.86</v>
      </c>
      <c r="G526" s="2">
        <v>145.5</v>
      </c>
      <c r="H526" s="2">
        <v>124.66</v>
      </c>
      <c r="I526" s="14">
        <v>0.81799999999999995</v>
      </c>
      <c r="J526" s="10">
        <f t="shared" si="1585"/>
        <v>0.78586956521739126</v>
      </c>
      <c r="K526" s="11">
        <f>C526/24/30/10</f>
        <v>0.19829127122200207</v>
      </c>
      <c r="L526" s="11">
        <f>D526/24/30/10</f>
        <v>0.16327749999999999</v>
      </c>
      <c r="M526" s="10">
        <v>0.98499999999999999</v>
      </c>
      <c r="N526" s="11">
        <v>0.96017317999999996</v>
      </c>
      <c r="O526" s="10">
        <v>0.99</v>
      </c>
      <c r="P526" s="16">
        <v>0.99129999999999996</v>
      </c>
      <c r="Q526" s="83">
        <f t="shared" si="1584"/>
        <v>1.9493021017166656E-2</v>
      </c>
      <c r="R526" s="81">
        <f t="shared" si="1582"/>
        <v>-0.17657747114244637</v>
      </c>
      <c r="S526" s="10">
        <f t="shared" si="1586"/>
        <v>-0.14323024054982825</v>
      </c>
      <c r="T526" s="10">
        <f t="shared" si="1587"/>
        <v>-2.4826820000000027E-2</v>
      </c>
      <c r="U526" s="10">
        <f t="shared" si="1588"/>
        <v>1.2999999999999678E-3</v>
      </c>
      <c r="V526" s="23"/>
      <c r="W526" s="83"/>
      <c r="X526" s="5">
        <v>43008</v>
      </c>
      <c r="Y526" s="2">
        <v>711.08482451902501</v>
      </c>
      <c r="Z526" s="2">
        <v>575.24099999999999</v>
      </c>
      <c r="AA526" s="2">
        <v>141.6</v>
      </c>
      <c r="AB526" s="2">
        <v>125.7</v>
      </c>
      <c r="AC526" s="2">
        <v>145.5</v>
      </c>
      <c r="AD526" s="2">
        <v>126.99</v>
      </c>
      <c r="AE526" s="14">
        <v>0.81453015408823026</v>
      </c>
      <c r="AF526" s="10">
        <f t="shared" si="1589"/>
        <v>0.75496889518859756</v>
      </c>
      <c r="AG526" s="11">
        <f>Y526/24/30/5</f>
        <v>0.19752356236639584</v>
      </c>
      <c r="AH526" s="11">
        <f>Z526/24/30/5</f>
        <v>0.15978916666666665</v>
      </c>
      <c r="AI526" s="10">
        <v>0.98499999999999999</v>
      </c>
      <c r="AJ526" s="11">
        <v>0.91903422999999995</v>
      </c>
      <c r="AK526" s="10">
        <v>0.99</v>
      </c>
      <c r="AL526" s="16">
        <v>0.99129999999999996</v>
      </c>
      <c r="AM526" s="83"/>
      <c r="AN526" s="81">
        <f t="shared" si="1583"/>
        <v>-0.19103744002821221</v>
      </c>
      <c r="AO526" s="10">
        <f t="shared" si="1590"/>
        <v>-0.12721649484536091</v>
      </c>
      <c r="AP526" s="10">
        <f t="shared" si="1591"/>
        <v>-6.5965770000000035E-2</v>
      </c>
      <c r="AQ526" s="10">
        <f t="shared" si="1592"/>
        <v>1.2999999999999678E-3</v>
      </c>
      <c r="AR526" s="23"/>
    </row>
    <row r="527" spans="2:66" ht="14.65" customHeight="1">
      <c r="B527" s="5">
        <v>43039</v>
      </c>
      <c r="C527" s="2">
        <v>1631.787051964815</v>
      </c>
      <c r="D527" s="2">
        <v>1362.81</v>
      </c>
      <c r="E527" s="2">
        <v>139.1</v>
      </c>
      <c r="F527" s="2">
        <v>127.33</v>
      </c>
      <c r="G527" s="2">
        <v>172.2</v>
      </c>
      <c r="H527" s="2">
        <v>152.07</v>
      </c>
      <c r="I527" s="14">
        <v>0.79</v>
      </c>
      <c r="J527" s="10">
        <f t="shared" si="1585"/>
        <v>0.74681067929243117</v>
      </c>
      <c r="K527" s="11">
        <f>C527/24/31/10</f>
        <v>0.2193262166619375</v>
      </c>
      <c r="L527" s="11">
        <f>D527/24/31/10</f>
        <v>0.18317338709677417</v>
      </c>
      <c r="M527" s="10">
        <v>0.98499999999999999</v>
      </c>
      <c r="N527" s="11">
        <v>0.9694221999999999</v>
      </c>
      <c r="O527" s="10">
        <v>0.99</v>
      </c>
      <c r="P527" s="16">
        <v>0.97399999999999998</v>
      </c>
      <c r="Q527" s="83">
        <f t="shared" si="1584"/>
        <v>-7.8911027816136459E-3</v>
      </c>
      <c r="R527" s="81">
        <f t="shared" si="1582"/>
        <v>-0.16483587833408964</v>
      </c>
      <c r="S527" s="10">
        <f t="shared" si="1586"/>
        <v>-0.11689895470383271</v>
      </c>
      <c r="T527" s="10">
        <f t="shared" si="1587"/>
        <v>-1.5577800000000086E-2</v>
      </c>
      <c r="U527" s="10">
        <f t="shared" si="1588"/>
        <v>-1.6000000000000014E-2</v>
      </c>
      <c r="V527" s="23"/>
      <c r="W527" s="1"/>
      <c r="X527" s="5">
        <v>43039</v>
      </c>
      <c r="Y527" s="2">
        <v>815.05032989697895</v>
      </c>
      <c r="Z527" s="2">
        <v>663.75300000000004</v>
      </c>
      <c r="AA527" s="2">
        <v>139.1</v>
      </c>
      <c r="AB527" s="2">
        <v>110.21</v>
      </c>
      <c r="AC527" s="2">
        <v>172.2</v>
      </c>
      <c r="AD527" s="2">
        <v>152.38999999999999</v>
      </c>
      <c r="AE527" s="14">
        <v>0.78886017218058357</v>
      </c>
      <c r="AF527" s="10">
        <f t="shared" si="1589"/>
        <v>0.72593674125598806</v>
      </c>
      <c r="AG527" s="11">
        <f>Y527/24/31/5</f>
        <v>0.21909955104757498</v>
      </c>
      <c r="AH527" s="11">
        <f>Z527/24/31/5</f>
        <v>0.17842822580645162</v>
      </c>
      <c r="AI527" s="10">
        <v>0.98499999999999999</v>
      </c>
      <c r="AJ527" s="11">
        <v>0.96455219999999997</v>
      </c>
      <c r="AK527" s="10">
        <v>0.99</v>
      </c>
      <c r="AL527" s="16">
        <v>0.97399999999999998</v>
      </c>
      <c r="AM527" s="1"/>
      <c r="AN527" s="81">
        <f t="shared" si="1583"/>
        <v>-0.18562943213102268</v>
      </c>
      <c r="AO527" s="10">
        <f t="shared" si="1590"/>
        <v>-0.11504065040650413</v>
      </c>
      <c r="AP527" s="10">
        <f t="shared" si="1591"/>
        <v>-2.0447800000000016E-2</v>
      </c>
      <c r="AQ527" s="10">
        <f t="shared" si="1592"/>
        <v>-1.6000000000000014E-2</v>
      </c>
      <c r="AR527" s="23"/>
    </row>
    <row r="528" spans="2:66" ht="14.65" customHeight="1">
      <c r="B528" s="5">
        <v>43069</v>
      </c>
      <c r="C528" s="2">
        <v>1447.3211815644149</v>
      </c>
      <c r="D528" s="2">
        <v>1117.296</v>
      </c>
      <c r="E528" s="2">
        <v>108.1</v>
      </c>
      <c r="F528" s="2">
        <v>91.62</v>
      </c>
      <c r="G528" s="2">
        <v>152.1</v>
      </c>
      <c r="H528" s="2">
        <v>115.39</v>
      </c>
      <c r="I528" s="12">
        <v>0.79300000000000004</v>
      </c>
      <c r="J528" s="10">
        <f t="shared" si="1585"/>
        <v>0.80689834474391198</v>
      </c>
      <c r="K528" s="11">
        <f>C528/24/30/10</f>
        <v>0.20101683077283541</v>
      </c>
      <c r="L528" s="11">
        <f>D528/24/30/10</f>
        <v>0.15518000000000001</v>
      </c>
      <c r="M528" s="10">
        <v>0.98499999999999999</v>
      </c>
      <c r="N528" s="11">
        <v>0.98853195999999999</v>
      </c>
      <c r="O528" s="10">
        <v>0.99</v>
      </c>
      <c r="P528" s="16">
        <v>0.99319999999999997</v>
      </c>
      <c r="Q528" s="83">
        <f t="shared" si="1584"/>
        <v>-6.673021925643452E-3</v>
      </c>
      <c r="R528" s="81">
        <f t="shared" si="1582"/>
        <v>-0.22802484049027005</v>
      </c>
      <c r="S528" s="10">
        <f t="shared" si="1586"/>
        <v>-0.24135437212360289</v>
      </c>
      <c r="T528" s="10">
        <f t="shared" si="1587"/>
        <v>3.5319600000000007E-3</v>
      </c>
      <c r="U528" s="10">
        <f t="shared" si="1588"/>
        <v>3.1999999999999806E-3</v>
      </c>
      <c r="V528" s="23"/>
      <c r="W528" s="1"/>
      <c r="X528" s="5">
        <v>43069</v>
      </c>
      <c r="Y528" s="2">
        <v>721.38329439136942</v>
      </c>
      <c r="Z528" s="2">
        <v>548.15099999999995</v>
      </c>
      <c r="AA528" s="2">
        <v>108.1</v>
      </c>
      <c r="AB528" s="2"/>
      <c r="AC528" s="2">
        <v>152.1</v>
      </c>
      <c r="AD528" s="2">
        <v>114</v>
      </c>
      <c r="AE528" s="14">
        <v>0.79047040805541247</v>
      </c>
      <c r="AF528" s="10">
        <f t="shared" si="1589"/>
        <v>0.8013903508771929</v>
      </c>
      <c r="AG528" s="11">
        <f>Y528/24/30/5</f>
        <v>0.20038424844204705</v>
      </c>
      <c r="AH528" s="11">
        <f>Z528/24/30/5</f>
        <v>0.15226416666666664</v>
      </c>
      <c r="AI528" s="10">
        <v>0.98499999999999999</v>
      </c>
      <c r="AJ528" s="11">
        <v>0.97049399999999997</v>
      </c>
      <c r="AK528" s="10">
        <v>0.99</v>
      </c>
      <c r="AL528" s="16">
        <v>0.98</v>
      </c>
      <c r="AM528" s="1"/>
      <c r="AN528" s="81">
        <f>Z528/Y528-1</f>
        <v>-0.24013904360999294</v>
      </c>
      <c r="AO528" s="10">
        <f t="shared" si="1590"/>
        <v>-0.25049309664694275</v>
      </c>
      <c r="AP528" s="10">
        <f t="shared" si="1591"/>
        <v>-1.4506000000000019E-2</v>
      </c>
      <c r="AQ528" s="10">
        <f t="shared" si="1592"/>
        <v>-1.0000000000000009E-2</v>
      </c>
      <c r="AR528" s="23"/>
    </row>
    <row r="529" spans="2:44" ht="14.65" customHeight="1">
      <c r="B529" s="5">
        <v>43100</v>
      </c>
      <c r="C529" s="2">
        <v>1212.2770249731238</v>
      </c>
      <c r="D529" s="2">
        <v>1051.068</v>
      </c>
      <c r="E529" s="2">
        <v>89.9</v>
      </c>
      <c r="F529" s="2">
        <v>78.62</v>
      </c>
      <c r="G529" s="2">
        <v>129.6</v>
      </c>
      <c r="H529" s="2">
        <v>104.88</v>
      </c>
      <c r="I529" s="14">
        <v>0.78300000000000003</v>
      </c>
      <c r="J529" s="10">
        <f t="shared" si="1585"/>
        <v>0.8351353928299009</v>
      </c>
      <c r="K529" s="11">
        <f>C529/24/31/10</f>
        <v>0.16294046034584997</v>
      </c>
      <c r="L529" s="11">
        <f>D529/24/31/10</f>
        <v>0.14127258064516129</v>
      </c>
      <c r="M529" s="10">
        <v>0.98499999999999999</v>
      </c>
      <c r="N529" s="22">
        <v>0.98680000000000001</v>
      </c>
      <c r="O529" s="10">
        <v>0.99</v>
      </c>
      <c r="P529" s="16">
        <v>0.98680000000000001</v>
      </c>
      <c r="Q529" s="83">
        <f t="shared" si="1584"/>
        <v>2.1643783371472214E-2</v>
      </c>
      <c r="R529" s="81">
        <f t="shared" si="1582"/>
        <v>-0.13298035156337129</v>
      </c>
      <c r="S529" s="10">
        <f>H529/G529-1</f>
        <v>-0.19074074074074077</v>
      </c>
      <c r="T529" s="10">
        <f t="shared" si="1587"/>
        <v>1.8000000000000238E-3</v>
      </c>
      <c r="U529" s="10">
        <f t="shared" si="1588"/>
        <v>-3.1999999999999806E-3</v>
      </c>
      <c r="V529" s="23"/>
      <c r="W529" s="1"/>
      <c r="X529" s="5">
        <v>43100</v>
      </c>
      <c r="Y529" s="2">
        <v>606.13851248656192</v>
      </c>
      <c r="Z529" s="2">
        <v>544.52700000000004</v>
      </c>
      <c r="AA529" s="2">
        <v>89.9</v>
      </c>
      <c r="AB529" s="2">
        <v>80.599999999999994</v>
      </c>
      <c r="AC529" s="2">
        <v>129.6</v>
      </c>
      <c r="AD529" s="2">
        <v>105.39</v>
      </c>
      <c r="AE529" s="14">
        <v>0.77949911585206011</v>
      </c>
      <c r="AF529" s="10">
        <f t="shared" si="1589"/>
        <v>0.86113008824366644</v>
      </c>
      <c r="AG529" s="11">
        <f>Y529/24/31/5</f>
        <v>0.16294046034584997</v>
      </c>
      <c r="AH529" s="11">
        <f>Z529/24/31/5</f>
        <v>0.14637822580645163</v>
      </c>
      <c r="AI529" s="10">
        <v>0.98499999999999999</v>
      </c>
      <c r="AJ529" s="11">
        <v>0.99180000000000001</v>
      </c>
      <c r="AK529" s="10">
        <v>0.99</v>
      </c>
      <c r="AL529" s="16">
        <v>0.99180000000000001</v>
      </c>
      <c r="AM529" s="1"/>
      <c r="AN529" s="81">
        <f t="shared" ref="AN529:AN544" si="1593">Z529/Y529-1</f>
        <v>-0.10164592946554907</v>
      </c>
      <c r="AO529" s="10">
        <f>AD529/AC529-1</f>
        <v>-0.18680555555555556</v>
      </c>
      <c r="AP529" s="10">
        <f t="shared" si="1591"/>
        <v>6.8000000000000282E-3</v>
      </c>
      <c r="AQ529" s="10">
        <f t="shared" si="1592"/>
        <v>1.8000000000000238E-3</v>
      </c>
      <c r="AR529" s="23"/>
    </row>
    <row r="530" spans="2:44" ht="14.65" customHeight="1">
      <c r="B530" s="5">
        <v>43131</v>
      </c>
      <c r="C530" s="2">
        <v>1027.1116082976973</v>
      </c>
      <c r="D530" s="2">
        <v>946.35599999999999</v>
      </c>
      <c r="E530" s="2">
        <v>79.599999999999994</v>
      </c>
      <c r="F530" s="2">
        <v>73.22</v>
      </c>
      <c r="G530" s="2">
        <v>103.2</v>
      </c>
      <c r="H530" s="2">
        <v>93.11</v>
      </c>
      <c r="I530" s="12">
        <v>0.83399999999999996</v>
      </c>
      <c r="J530" s="10">
        <f t="shared" si="1585"/>
        <v>0.84698743421759215</v>
      </c>
      <c r="K530" s="11">
        <f>C530/24/31/10</f>
        <v>0.13805263552388405</v>
      </c>
      <c r="L530" s="11">
        <f>D530/24/31/10</f>
        <v>0.1271983870967742</v>
      </c>
      <c r="M530" s="10">
        <v>0.98499999999999999</v>
      </c>
      <c r="N530" s="11">
        <v>0.98509999999999998</v>
      </c>
      <c r="O530" s="10">
        <v>0.99</v>
      </c>
      <c r="P530" s="16">
        <v>0.98509999999999998</v>
      </c>
      <c r="Q530" s="83">
        <f t="shared" si="1584"/>
        <v>3.4367951884867409E-2</v>
      </c>
      <c r="R530" s="81">
        <f t="shared" si="1582"/>
        <v>-7.8623985597377488E-2</v>
      </c>
      <c r="S530" s="10">
        <f t="shared" si="1586"/>
        <v>-9.777131782945736E-2</v>
      </c>
      <c r="T530" s="10">
        <f t="shared" si="1587"/>
        <v>9.9999999999988987E-5</v>
      </c>
      <c r="U530" s="10">
        <f t="shared" si="1588"/>
        <v>-4.9000000000000155E-3</v>
      </c>
      <c r="V530" s="23"/>
      <c r="W530" s="1"/>
      <c r="X530" s="5">
        <v>43131</v>
      </c>
      <c r="Y530" s="2">
        <v>509.90911959604773</v>
      </c>
      <c r="Z530" s="2">
        <v>468.75599999999997</v>
      </c>
      <c r="AA530" s="2">
        <v>79.599999999999994</v>
      </c>
      <c r="AB530" s="2">
        <v>75.45</v>
      </c>
      <c r="AC530" s="2">
        <v>103.2</v>
      </c>
      <c r="AD530" s="2">
        <v>94.85</v>
      </c>
      <c r="AE530" s="14">
        <v>0.82763481424572438</v>
      </c>
      <c r="AF530" s="10">
        <f t="shared" si="1589"/>
        <v>0.82367949393779649</v>
      </c>
      <c r="AG530" s="11">
        <f>Y530/24/31/5</f>
        <v>0.1370723439774322</v>
      </c>
      <c r="AH530" s="11">
        <f>Z530/24/31/5</f>
        <v>0.12600967741935482</v>
      </c>
      <c r="AI530" s="10">
        <v>0.98499999999999999</v>
      </c>
      <c r="AJ530" s="11">
        <v>0.98180000000000001</v>
      </c>
      <c r="AK530" s="10">
        <v>0.99</v>
      </c>
      <c r="AL530" s="16">
        <v>0.98570000000000002</v>
      </c>
      <c r="AM530" s="1"/>
      <c r="AN530" s="81">
        <f t="shared" si="1593"/>
        <v>-8.0706773059186387E-2</v>
      </c>
      <c r="AO530" s="10">
        <f t="shared" ref="AO530:AO544" si="1594">AD530/AC530-1</f>
        <v>-8.0910852713178327E-2</v>
      </c>
      <c r="AP530" s="10">
        <f t="shared" si="1591"/>
        <v>-3.1999999999999806E-3</v>
      </c>
      <c r="AQ530" s="10">
        <f t="shared" si="1592"/>
        <v>-4.2999999999999705E-3</v>
      </c>
      <c r="AR530" s="23"/>
    </row>
    <row r="531" spans="2:44" ht="14.65" customHeight="1">
      <c r="B531" s="5">
        <v>43159</v>
      </c>
      <c r="C531" s="2">
        <v>1344.4076234079598</v>
      </c>
      <c r="D531" s="2">
        <f>1350822/1000</f>
        <v>1350.8219999999999</v>
      </c>
      <c r="E531" s="2">
        <v>108.1</v>
      </c>
      <c r="F531" s="2">
        <v>111.26</v>
      </c>
      <c r="G531" s="2">
        <v>137.5</v>
      </c>
      <c r="H531" s="2">
        <v>135.04</v>
      </c>
      <c r="I531" s="14">
        <v>0.81899999999999995</v>
      </c>
      <c r="J531" s="10">
        <f t="shared" si="1585"/>
        <v>0.83359374999999991</v>
      </c>
      <c r="K531" s="11">
        <f>C531/24/28/10</f>
        <v>0.20006065824523214</v>
      </c>
      <c r="L531" s="11">
        <f>D531/24/28/10</f>
        <v>0.20101517857142856</v>
      </c>
      <c r="M531" s="10">
        <v>0.98499999999999999</v>
      </c>
      <c r="N531" s="11">
        <v>0.9647</v>
      </c>
      <c r="O531" s="10">
        <v>0.99</v>
      </c>
      <c r="P531" s="17">
        <v>0.97989999999999999</v>
      </c>
      <c r="Q531" s="83">
        <f t="shared" si="1584"/>
        <v>2.2882109004739304E-2</v>
      </c>
      <c r="R531" s="81">
        <f t="shared" si="1582"/>
        <v>4.7711545816588874E-3</v>
      </c>
      <c r="S531" s="10">
        <f t="shared" si="1586"/>
        <v>-1.7890909090909179E-2</v>
      </c>
      <c r="T531" s="10">
        <f t="shared" si="1587"/>
        <v>-2.0299999999999985E-2</v>
      </c>
      <c r="U531" s="10">
        <f t="shared" si="1588"/>
        <v>-1.0099999999999998E-2</v>
      </c>
      <c r="V531" s="23"/>
      <c r="W531" s="1"/>
      <c r="X531" s="5">
        <v>43159</v>
      </c>
      <c r="Y531" s="2">
        <v>669.4691981682081</v>
      </c>
      <c r="Z531" s="2">
        <f>654729/1000</f>
        <v>654.72900000000004</v>
      </c>
      <c r="AA531" s="2">
        <v>108.1</v>
      </c>
      <c r="AB531" s="2">
        <v>115.56</v>
      </c>
      <c r="AC531" s="2">
        <v>137.5</v>
      </c>
      <c r="AD531" s="2">
        <v>138.28</v>
      </c>
      <c r="AE531" s="14">
        <v>0.81555559393111998</v>
      </c>
      <c r="AF531" s="10">
        <f t="shared" si="1589"/>
        <v>0.78913436505640733</v>
      </c>
      <c r="AG531" s="11">
        <f>Y531/24/28/5</f>
        <v>0.19924678516910957</v>
      </c>
      <c r="AH531" s="11">
        <f>Z531/24/28/5</f>
        <v>0.19485982142857144</v>
      </c>
      <c r="AI531" s="10">
        <v>0.98499999999999999</v>
      </c>
      <c r="AJ531" s="11">
        <v>0.92310000000000003</v>
      </c>
      <c r="AK531" s="10">
        <v>0.99</v>
      </c>
      <c r="AL531" s="17">
        <v>0.97399999999999998</v>
      </c>
      <c r="AM531" s="1"/>
      <c r="AN531" s="81">
        <f t="shared" si="1593"/>
        <v>-2.2017739141009018E-2</v>
      </c>
      <c r="AO531" s="10">
        <f t="shared" si="1594"/>
        <v>5.6727272727272737E-3</v>
      </c>
      <c r="AP531" s="10">
        <f t="shared" si="1591"/>
        <v>-6.1899999999999955E-2</v>
      </c>
      <c r="AQ531" s="10">
        <f t="shared" si="1592"/>
        <v>-1.6000000000000014E-2</v>
      </c>
      <c r="AR531" s="23"/>
    </row>
    <row r="532" spans="2:44" ht="14.65" customHeight="1">
      <c r="B532" s="5">
        <v>43190</v>
      </c>
      <c r="C532" s="2">
        <v>1798</v>
      </c>
      <c r="D532" s="2">
        <v>1698.68</v>
      </c>
      <c r="E532" s="2">
        <v>161.4</v>
      </c>
      <c r="F532" s="2">
        <v>166.36</v>
      </c>
      <c r="G532" s="2">
        <v>187.8</v>
      </c>
      <c r="H532" s="2">
        <v>178.39</v>
      </c>
      <c r="I532" s="14">
        <v>0.80200000000000005</v>
      </c>
      <c r="J532" s="10">
        <f t="shared" si="1585"/>
        <v>0.79352355326344903</v>
      </c>
      <c r="K532" s="11">
        <f>C532/24/31/10</f>
        <v>0.2416666666666667</v>
      </c>
      <c r="L532" s="11">
        <f>D532/24/31/10</f>
        <v>0.22831720430107527</v>
      </c>
      <c r="M532" s="10">
        <v>0.98499999999999999</v>
      </c>
      <c r="N532" s="11">
        <v>0.99780000000000002</v>
      </c>
      <c r="O532" s="10">
        <v>0.99</v>
      </c>
      <c r="P532" s="17">
        <v>0.99780000000000002</v>
      </c>
      <c r="Q532" s="83">
        <f t="shared" si="1584"/>
        <v>4.8096866416279083E-2</v>
      </c>
      <c r="R532" s="81">
        <f t="shared" si="1582"/>
        <v>-5.5239154616240183E-2</v>
      </c>
      <c r="S532" s="10">
        <f t="shared" si="1586"/>
        <v>-5.0106496272630641E-2</v>
      </c>
      <c r="T532" s="10">
        <f t="shared" si="1587"/>
        <v>1.2800000000000034E-2</v>
      </c>
      <c r="U532" s="10">
        <f t="shared" si="1588"/>
        <v>7.8000000000000291E-3</v>
      </c>
      <c r="V532" s="23"/>
      <c r="W532" s="1"/>
      <c r="X532" s="5">
        <v>43190</v>
      </c>
      <c r="Y532" s="2">
        <v>898</v>
      </c>
      <c r="Z532" s="2">
        <v>832.76</v>
      </c>
      <c r="AA532" s="2">
        <v>161.4</v>
      </c>
      <c r="AB532" s="2">
        <v>165.96</v>
      </c>
      <c r="AC532" s="2">
        <v>187.8</v>
      </c>
      <c r="AD532" s="2">
        <v>185.63</v>
      </c>
      <c r="AE532" s="11">
        <v>0.80080060538540998</v>
      </c>
      <c r="AF532" s="10">
        <f t="shared" si="1589"/>
        <v>0.74768805329598298</v>
      </c>
      <c r="AG532" s="11">
        <f>Y532/24/31/5</f>
        <v>0.24139784946236556</v>
      </c>
      <c r="AH532" s="11">
        <f>Z532/24/31/5</f>
        <v>0.22386021505376341</v>
      </c>
      <c r="AI532" s="10">
        <v>0.98499999999999999</v>
      </c>
      <c r="AJ532" s="11">
        <v>0.92623664999999999</v>
      </c>
      <c r="AK532" s="10">
        <v>0.99</v>
      </c>
      <c r="AL532" s="17">
        <v>0.99950000000000006</v>
      </c>
      <c r="AM532" s="1"/>
      <c r="AN532" s="81">
        <f t="shared" si="1593"/>
        <v>-7.2650334075723855E-2</v>
      </c>
      <c r="AO532" s="10">
        <f t="shared" si="1594"/>
        <v>-1.155484558040476E-2</v>
      </c>
      <c r="AP532" s="10">
        <f t="shared" si="1591"/>
        <v>-5.8763349999999992E-2</v>
      </c>
      <c r="AQ532" s="10">
        <f t="shared" si="1592"/>
        <v>9.5000000000000639E-3</v>
      </c>
      <c r="AR532" s="23"/>
    </row>
    <row r="533" spans="2:44" s="89" customFormat="1" ht="14.65" customHeight="1">
      <c r="B533" s="25">
        <v>43220</v>
      </c>
      <c r="C533" s="26">
        <v>1746.4626789607689</v>
      </c>
      <c r="D533" s="26">
        <v>1342.566</v>
      </c>
      <c r="E533" s="26">
        <v>190.2</v>
      </c>
      <c r="F533" s="26">
        <v>148.41999999999999</v>
      </c>
      <c r="G533" s="26">
        <v>194</v>
      </c>
      <c r="H533" s="26">
        <v>152.27000000000001</v>
      </c>
      <c r="I533" s="27">
        <f t="shared" ref="I533:I549" si="1595">C533/12/G533/M533</f>
        <v>0.76162309163255049</v>
      </c>
      <c r="J533" s="27">
        <f t="shared" ref="J533:J549" si="1596">D533/12/H533/N533</f>
        <v>0.7827791241529658</v>
      </c>
      <c r="K533" s="45">
        <f>C533/24/30/10</f>
        <v>0.24256426096677344</v>
      </c>
      <c r="L533" s="45">
        <f>D533/24/30/10</f>
        <v>0.18646749999999998</v>
      </c>
      <c r="M533" s="29">
        <v>0.98499999999999999</v>
      </c>
      <c r="N533" s="28">
        <v>0.93864380000000003</v>
      </c>
      <c r="O533" s="29">
        <v>0.99</v>
      </c>
      <c r="P533" s="30">
        <v>0.97399999999999998</v>
      </c>
      <c r="Q533" s="86">
        <f t="shared" si="1584"/>
        <v>3.6054377093321044E-2</v>
      </c>
      <c r="R533" s="87">
        <f t="shared" si="1582"/>
        <v>-0.23126556543487509</v>
      </c>
      <c r="S533" s="29">
        <f t="shared" si="1586"/>
        <v>-0.21510309278350515</v>
      </c>
      <c r="T533" s="29">
        <f t="shared" si="1587"/>
        <v>-4.6356199999999959E-2</v>
      </c>
      <c r="U533" s="29">
        <f t="shared" si="1588"/>
        <v>-1.6000000000000014E-2</v>
      </c>
      <c r="V533" s="32"/>
      <c r="X533" s="25">
        <v>43220</v>
      </c>
      <c r="Y533" s="26">
        <v>873.31620393317462</v>
      </c>
      <c r="Z533" s="26">
        <v>728.03700000000003</v>
      </c>
      <c r="AA533" s="26">
        <v>190.2</v>
      </c>
      <c r="AB533" s="26">
        <v>154.46</v>
      </c>
      <c r="AC533" s="26">
        <v>194</v>
      </c>
      <c r="AD533" s="26">
        <v>158.1</v>
      </c>
      <c r="AE533" s="27">
        <f t="shared" ref="AE533:AE545" si="1597">Y533/6/AC533/AI533</f>
        <v>0.76169710950614422</v>
      </c>
      <c r="AF533" s="27">
        <f t="shared" ref="AF533:AF545" si="1598">Z533/6/AD533/AJ533</f>
        <v>0.79712499621262412</v>
      </c>
      <c r="AG533" s="85">
        <f>Y533/24/30/5</f>
        <v>0.24258783442588183</v>
      </c>
      <c r="AH533" s="85">
        <f>Z533/24/30/5</f>
        <v>0.20223249999999998</v>
      </c>
      <c r="AI533" s="29">
        <v>0.98499999999999999</v>
      </c>
      <c r="AJ533" s="28">
        <v>0.96281734000000008</v>
      </c>
      <c r="AK533" s="29">
        <v>0.99</v>
      </c>
      <c r="AL533" s="30">
        <v>0.97540000000000004</v>
      </c>
      <c r="AN533" s="87">
        <f t="shared" si="1593"/>
        <v>-0.16635349633829899</v>
      </c>
      <c r="AO533" s="29">
        <f t="shared" si="1594"/>
        <v>-0.18505154639175259</v>
      </c>
      <c r="AP533" s="29">
        <f t="shared" si="1591"/>
        <v>-2.218265999999991E-2</v>
      </c>
      <c r="AQ533" s="29">
        <f t="shared" si="1592"/>
        <v>-1.4599999999999946E-2</v>
      </c>
      <c r="AR533" s="32"/>
    </row>
    <row r="534" spans="2:44" ht="14.65" customHeight="1">
      <c r="B534" s="5">
        <v>43251</v>
      </c>
      <c r="C534" s="2">
        <v>1769.4056215918188</v>
      </c>
      <c r="D534" s="2">
        <f>1527726/1000</f>
        <v>1527.7260000000001</v>
      </c>
      <c r="E534" s="2">
        <v>197</v>
      </c>
      <c r="F534" s="2">
        <v>164.25</v>
      </c>
      <c r="G534" s="2">
        <v>197.7</v>
      </c>
      <c r="H534" s="2">
        <v>165.53</v>
      </c>
      <c r="I534" s="10">
        <f t="shared" si="1595"/>
        <v>0.75718718802258922</v>
      </c>
      <c r="J534" s="10">
        <f t="shared" si="1596"/>
        <v>0.77211958511571555</v>
      </c>
      <c r="K534" s="41">
        <f t="shared" ref="K534" si="1599">C534/24/31/10</f>
        <v>0.23782333623545951</v>
      </c>
      <c r="L534" s="41">
        <f t="shared" ref="L534" si="1600">D534/24/31/10</f>
        <v>0.20533951612903226</v>
      </c>
      <c r="M534" s="10">
        <v>0.98499999999999999</v>
      </c>
      <c r="N534" s="11">
        <v>0.99609999999999999</v>
      </c>
      <c r="O534" s="10">
        <v>0.99</v>
      </c>
      <c r="P534" s="17">
        <v>0.99819999999999998</v>
      </c>
      <c r="Q534" s="83">
        <f t="shared" si="1584"/>
        <v>3.9871926538995961E-2</v>
      </c>
      <c r="R534" s="81">
        <f t="shared" si="1582"/>
        <v>-0.13658802630817646</v>
      </c>
      <c r="S534" s="10">
        <f t="shared" si="1586"/>
        <v>-0.16272129489124931</v>
      </c>
      <c r="T534" s="10">
        <f t="shared" si="1587"/>
        <v>1.1099999999999999E-2</v>
      </c>
      <c r="U534" s="10">
        <f t="shared" si="1588"/>
        <v>8.1999999999999851E-3</v>
      </c>
      <c r="V534" s="23"/>
      <c r="X534" s="5">
        <v>43251</v>
      </c>
      <c r="Y534" s="2">
        <v>884.93982374699954</v>
      </c>
      <c r="Z534" s="2">
        <f>825462/1000</f>
        <v>825.46199999999999</v>
      </c>
      <c r="AA534" s="2">
        <v>197</v>
      </c>
      <c r="AB534" s="2">
        <v>170.15</v>
      </c>
      <c r="AC534" s="2">
        <v>197.7</v>
      </c>
      <c r="AD534" s="2">
        <v>171.98</v>
      </c>
      <c r="AE534" s="10">
        <f t="shared" si="1597"/>
        <v>0.75739003938439231</v>
      </c>
      <c r="AF534" s="10">
        <f t="shared" si="1598"/>
        <v>0.80236639678309274</v>
      </c>
      <c r="AG534" s="11">
        <f>Y534/24/31/5</f>
        <v>0.23788704939435473</v>
      </c>
      <c r="AH534" s="11">
        <f>Z534/24/31/5</f>
        <v>0.2218983870967742</v>
      </c>
      <c r="AI534" s="10">
        <v>0.98499999999999999</v>
      </c>
      <c r="AJ534" s="11">
        <v>0.997</v>
      </c>
      <c r="AK534" s="10">
        <v>0.99</v>
      </c>
      <c r="AL534" s="17">
        <v>0.999</v>
      </c>
      <c r="AN534" s="81">
        <f t="shared" si="1593"/>
        <v>-6.7211150578758483E-2</v>
      </c>
      <c r="AO534" s="10">
        <f t="shared" si="1594"/>
        <v>-0.13009610520991399</v>
      </c>
      <c r="AP534" s="10">
        <f t="shared" si="1591"/>
        <v>1.2000000000000011E-2</v>
      </c>
      <c r="AQ534" s="10">
        <f t="shared" si="1592"/>
        <v>9.000000000000008E-3</v>
      </c>
      <c r="AR534" s="23"/>
    </row>
    <row r="535" spans="2:44" ht="14.65" customHeight="1">
      <c r="B535" s="5">
        <v>43281</v>
      </c>
      <c r="C535" s="2">
        <v>1591.3683867748728</v>
      </c>
      <c r="D535" s="2">
        <f>1490754/1000</f>
        <v>1490.7539999999999</v>
      </c>
      <c r="E535" s="2">
        <v>178.9</v>
      </c>
      <c r="F535" s="2">
        <f>5.18*30</f>
        <v>155.39999999999998</v>
      </c>
      <c r="G535" s="2">
        <v>177.2</v>
      </c>
      <c r="H535" s="2">
        <f>5.19*30</f>
        <v>155.70000000000002</v>
      </c>
      <c r="I535" s="10">
        <f t="shared" si="1595"/>
        <v>0.75978293036197253</v>
      </c>
      <c r="J535" s="10">
        <f t="shared" si="1596"/>
        <v>0.80961677138026089</v>
      </c>
      <c r="K535" s="41">
        <f t="shared" ref="K535" si="1601">C535/24/30/10</f>
        <v>0.22102338705206565</v>
      </c>
      <c r="L535" s="41">
        <f t="shared" ref="L535" si="1602">D535/24/30/10</f>
        <v>0.20704916666666665</v>
      </c>
      <c r="M535" s="10">
        <v>0.98499999999999999</v>
      </c>
      <c r="N535" s="11">
        <v>0.98550000000000004</v>
      </c>
      <c r="O535" s="10">
        <v>0.99</v>
      </c>
      <c r="P535" s="17">
        <v>0.98760000000000003</v>
      </c>
      <c r="Q535" s="83">
        <f t="shared" si="1584"/>
        <v>2.3121387283236761E-2</v>
      </c>
      <c r="R535" s="81">
        <f t="shared" si="1582"/>
        <v>-6.3225075734212433E-2</v>
      </c>
      <c r="S535" s="10">
        <f t="shared" si="1586"/>
        <v>-0.12133182844243773</v>
      </c>
      <c r="T535" s="10">
        <f t="shared" si="1587"/>
        <v>5.0000000000005596E-4</v>
      </c>
      <c r="U535" s="10">
        <f t="shared" si="1588"/>
        <v>-2.3999999999999577E-3</v>
      </c>
      <c r="V535" s="23"/>
      <c r="X535" s="5">
        <v>43281</v>
      </c>
      <c r="Y535" s="2">
        <v>794.39794309194258</v>
      </c>
      <c r="Z535" s="2">
        <f>771639/1000</f>
        <v>771.63900000000001</v>
      </c>
      <c r="AA535" s="2">
        <v>178.9</v>
      </c>
      <c r="AB535" s="2">
        <f>5.24*30</f>
        <v>157.20000000000002</v>
      </c>
      <c r="AC535" s="2">
        <v>177.2</v>
      </c>
      <c r="AD535" s="2">
        <f>5.25*30</f>
        <v>157.5</v>
      </c>
      <c r="AE535" s="10">
        <f t="shared" si="1597"/>
        <v>0.75855471566723442</v>
      </c>
      <c r="AF535" s="10">
        <f t="shared" si="1598"/>
        <v>0.82671783572866908</v>
      </c>
      <c r="AG535" s="11">
        <f>Y535/24/30/5</f>
        <v>0.22066609530331735</v>
      </c>
      <c r="AH535" s="11">
        <f>Z535/24/30/5</f>
        <v>0.2143441666666667</v>
      </c>
      <c r="AI535" s="10">
        <v>0.98499999999999999</v>
      </c>
      <c r="AJ535" s="11">
        <v>0.98770000000000002</v>
      </c>
      <c r="AK535" s="10">
        <v>0.99</v>
      </c>
      <c r="AL535" s="17">
        <v>0.99060000000000004</v>
      </c>
      <c r="AN535" s="81">
        <f t="shared" si="1593"/>
        <v>-2.8649297609407931E-2</v>
      </c>
      <c r="AO535" s="10">
        <f t="shared" si="1594"/>
        <v>-0.11117381489841982</v>
      </c>
      <c r="AP535" s="10">
        <f t="shared" si="1591"/>
        <v>2.7000000000000357E-3</v>
      </c>
      <c r="AQ535" s="10">
        <f t="shared" si="1592"/>
        <v>6.0000000000004494E-4</v>
      </c>
      <c r="AR535" s="23"/>
    </row>
    <row r="536" spans="2:44" ht="14.65" customHeight="1">
      <c r="B536" s="5">
        <v>43312</v>
      </c>
      <c r="C536" s="2">
        <v>1411.4957165474425</v>
      </c>
      <c r="D536" s="2">
        <f>1217682/1000</f>
        <v>1217.682</v>
      </c>
      <c r="E536" s="2">
        <v>155.5</v>
      </c>
      <c r="F536" s="2">
        <v>128.41</v>
      </c>
      <c r="G536" s="2">
        <v>154.6</v>
      </c>
      <c r="H536" s="2">
        <v>125.7</v>
      </c>
      <c r="I536" s="10">
        <f t="shared" si="1595"/>
        <v>0.77241837816681136</v>
      </c>
      <c r="J536" s="10">
        <f t="shared" si="1596"/>
        <v>0.82248324309997478</v>
      </c>
      <c r="K536" s="41">
        <f>C536/24/31/10</f>
        <v>0.18971716620261322</v>
      </c>
      <c r="L536" s="41">
        <f>D536/24/31/10</f>
        <v>0.16366693548387096</v>
      </c>
      <c r="M536" s="10">
        <v>0.98499999999999999</v>
      </c>
      <c r="N536" s="11">
        <v>0.98150000000000004</v>
      </c>
      <c r="O536" s="10">
        <v>0.99</v>
      </c>
      <c r="P536" s="17">
        <v>0.9879</v>
      </c>
      <c r="Q536" s="83"/>
      <c r="R536" s="81">
        <f t="shared" si="1582"/>
        <v>-0.13731087829406685</v>
      </c>
      <c r="S536" s="10">
        <f t="shared" si="1586"/>
        <v>-0.18693402328589903</v>
      </c>
      <c r="T536" s="10">
        <f t="shared" si="1587"/>
        <v>-3.4999999999999476E-3</v>
      </c>
      <c r="U536" s="10">
        <f t="shared" si="1588"/>
        <v>-2.0999999999999908E-3</v>
      </c>
      <c r="V536" s="23"/>
      <c r="X536" s="5">
        <v>43312</v>
      </c>
      <c r="Y536" s="2">
        <v>703.24429297300048</v>
      </c>
      <c r="Z536" s="2">
        <f>637464/1000</f>
        <v>637.46400000000006</v>
      </c>
      <c r="AA536" s="2">
        <v>155.5</v>
      </c>
      <c r="AB536" s="2">
        <v>130.1</v>
      </c>
      <c r="AC536" s="2">
        <v>154.6</v>
      </c>
      <c r="AD536" s="2">
        <v>127.81</v>
      </c>
      <c r="AE536" s="10">
        <f t="shared" si="1597"/>
        <v>0.76967830630326017</v>
      </c>
      <c r="AF536" s="10">
        <f t="shared" si="1598"/>
        <v>0.85022518075147624</v>
      </c>
      <c r="AG536" s="11">
        <f>Y536/24/31/5</f>
        <v>0.18904416477768832</v>
      </c>
      <c r="AH536" s="11">
        <f>Z536/24/31/5</f>
        <v>0.17136129032258068</v>
      </c>
      <c r="AI536" s="10">
        <v>0.98499999999999999</v>
      </c>
      <c r="AJ536" s="11">
        <v>0.97770000000000001</v>
      </c>
      <c r="AK536" s="10">
        <v>0.99</v>
      </c>
      <c r="AL536" s="17">
        <v>0.99009999999999998</v>
      </c>
      <c r="AN536" s="81">
        <f t="shared" si="1593"/>
        <v>-9.3538324633835157E-2</v>
      </c>
      <c r="AO536" s="10">
        <f t="shared" si="1594"/>
        <v>-0.17328589909443726</v>
      </c>
      <c r="AP536" s="10">
        <f t="shared" si="1591"/>
        <v>-7.2999999999999732E-3</v>
      </c>
      <c r="AQ536" s="10">
        <f t="shared" si="1592"/>
        <v>9.9999999999988987E-5</v>
      </c>
      <c r="AR536" s="23"/>
    </row>
    <row r="537" spans="2:44" ht="14.65" customHeight="1">
      <c r="B537" s="5">
        <v>43343</v>
      </c>
      <c r="C537" s="2">
        <v>1340.8314532438094</v>
      </c>
      <c r="D537" s="2">
        <f>1032606/1000</f>
        <v>1032.606</v>
      </c>
      <c r="E537" s="2">
        <v>145.4</v>
      </c>
      <c r="F537" s="2">
        <v>111.98</v>
      </c>
      <c r="G537" s="2">
        <v>146.30000000000001</v>
      </c>
      <c r="H537" s="2">
        <v>110.58</v>
      </c>
      <c r="I537" s="10">
        <f t="shared" si="1595"/>
        <v>0.77537605738146087</v>
      </c>
      <c r="J537" s="10">
        <f t="shared" si="1596"/>
        <v>0.8068998056250144</v>
      </c>
      <c r="K537" s="41">
        <f>C537/24/31/10</f>
        <v>0.18021928134997439</v>
      </c>
      <c r="L537" s="41">
        <f>D537/24/31/10</f>
        <v>0.13879112903225804</v>
      </c>
      <c r="M537" s="10">
        <v>0.98499999999999999</v>
      </c>
      <c r="N537" s="11">
        <v>0.96440000000000003</v>
      </c>
      <c r="O537" s="10">
        <v>0.99</v>
      </c>
      <c r="P537" s="17">
        <v>0.99780000000000002</v>
      </c>
      <c r="Q537" s="83"/>
      <c r="R537" s="81">
        <f t="shared" si="1582"/>
        <v>-0.22987635955148156</v>
      </c>
      <c r="S537" s="10">
        <f t="shared" si="1586"/>
        <v>-0.24415584415584424</v>
      </c>
      <c r="T537" s="10">
        <f t="shared" si="1587"/>
        <v>-2.0599999999999952E-2</v>
      </c>
      <c r="U537" s="10">
        <f t="shared" si="1588"/>
        <v>7.8000000000000291E-3</v>
      </c>
      <c r="V537" s="23"/>
      <c r="X537" s="5">
        <v>43343</v>
      </c>
      <c r="Y537" s="2">
        <v>667.45577933569768</v>
      </c>
      <c r="Z537" s="2">
        <f>560079/1000</f>
        <v>560.07899999999995</v>
      </c>
      <c r="AA537" s="2">
        <v>145.4</v>
      </c>
      <c r="AB537" s="24">
        <v>114.19</v>
      </c>
      <c r="AC537" s="2">
        <v>146.30000000000001</v>
      </c>
      <c r="AD537" s="2">
        <v>112.03</v>
      </c>
      <c r="AE537" s="10">
        <f t="shared" si="1597"/>
        <v>0.77195270055121379</v>
      </c>
      <c r="AF537" s="10">
        <f t="shared" si="1598"/>
        <v>0.854242061579078</v>
      </c>
      <c r="AG537" s="11">
        <f>Y537/24/31/5</f>
        <v>0.17942359659561766</v>
      </c>
      <c r="AH537" s="11">
        <f>Z537/24/31/5</f>
        <v>0.15055887096774193</v>
      </c>
      <c r="AI537" s="10">
        <v>0.98499999999999999</v>
      </c>
      <c r="AJ537" s="11">
        <v>0.97540000000000004</v>
      </c>
      <c r="AK537" s="10">
        <v>0.99</v>
      </c>
      <c r="AL537" s="17">
        <v>0.99939999999999996</v>
      </c>
      <c r="AN537" s="81">
        <f t="shared" si="1593"/>
        <v>-0.16087474655259892</v>
      </c>
      <c r="AO537" s="10">
        <f t="shared" si="1594"/>
        <v>-0.23424470266575537</v>
      </c>
      <c r="AP537" s="10">
        <f t="shared" si="1591"/>
        <v>-9.5999999999999419E-3</v>
      </c>
      <c r="AQ537" s="10">
        <f t="shared" si="1592"/>
        <v>9.3999999999999639E-3</v>
      </c>
      <c r="AR537" s="23"/>
    </row>
    <row r="538" spans="2:44" ht="14.65" customHeight="1">
      <c r="B538" s="5">
        <v>43373</v>
      </c>
      <c r="C538" s="2">
        <v>1335.3251470123575</v>
      </c>
      <c r="D538" s="2">
        <f>1105950/1000</f>
        <v>1105.95</v>
      </c>
      <c r="E538" s="2">
        <v>141.6</v>
      </c>
      <c r="F538" s="2">
        <v>117.55</v>
      </c>
      <c r="G538" s="2">
        <v>145.5</v>
      </c>
      <c r="H538" s="2">
        <v>118.76</v>
      </c>
      <c r="I538" s="10">
        <f t="shared" si="1595"/>
        <v>0.77643759892799635</v>
      </c>
      <c r="J538" s="10">
        <f t="shared" si="1596"/>
        <v>0.80053632394102237</v>
      </c>
      <c r="K538" s="41">
        <f t="shared" ref="K538" si="1603">C538/24/30/10</f>
        <v>0.18546182597393854</v>
      </c>
      <c r="L538" s="41">
        <f t="shared" ref="L538" si="1604">D538/24/30/10</f>
        <v>0.15360416666666668</v>
      </c>
      <c r="M538" s="10">
        <v>0.98499999999999999</v>
      </c>
      <c r="N538" s="11">
        <v>0.96940000000000004</v>
      </c>
      <c r="O538" s="10">
        <v>0.99</v>
      </c>
      <c r="P538" s="17">
        <v>0.98529999999999995</v>
      </c>
      <c r="Q538" s="83"/>
      <c r="R538" s="81">
        <f t="shared" si="1582"/>
        <v>-0.17177475278254073</v>
      </c>
      <c r="S538" s="10">
        <f t="shared" si="1586"/>
        <v>-0.18378006872852226</v>
      </c>
      <c r="T538" s="10">
        <f t="shared" si="1587"/>
        <v>-1.5599999999999947E-2</v>
      </c>
      <c r="U538" s="10">
        <f t="shared" si="1588"/>
        <v>-4.7000000000000375E-3</v>
      </c>
      <c r="V538" s="23"/>
      <c r="X538" s="5">
        <v>43373</v>
      </c>
      <c r="Y538" s="2">
        <v>665.31458621209811</v>
      </c>
      <c r="Z538" s="2">
        <f>601002/1000</f>
        <v>601.00199999999995</v>
      </c>
      <c r="AA538" s="2">
        <v>141.6</v>
      </c>
      <c r="AB538" s="2">
        <v>121.65</v>
      </c>
      <c r="AC538" s="2">
        <v>145.5</v>
      </c>
      <c r="AD538" s="2">
        <v>122.9</v>
      </c>
      <c r="AE538" s="10">
        <f t="shared" si="1597"/>
        <v>0.77370707951703743</v>
      </c>
      <c r="AF538" s="10">
        <f t="shared" si="1598"/>
        <v>0.84162379020833755</v>
      </c>
      <c r="AG538" s="11">
        <f>Y538/24/30/5</f>
        <v>0.18480960728113835</v>
      </c>
      <c r="AH538" s="11">
        <f>Z538/24/30/5</f>
        <v>0.16694499999999998</v>
      </c>
      <c r="AI538" s="10">
        <v>0.98499999999999999</v>
      </c>
      <c r="AJ538" s="11">
        <v>0.96840000000000004</v>
      </c>
      <c r="AK538" s="10">
        <v>0.99</v>
      </c>
      <c r="AL538" s="17">
        <v>0.98180000000000001</v>
      </c>
      <c r="AN538" s="81">
        <f t="shared" si="1593"/>
        <v>-9.6664927456732053E-2</v>
      </c>
      <c r="AO538" s="10">
        <f t="shared" si="1594"/>
        <v>-0.15532646048109966</v>
      </c>
      <c r="AP538" s="10">
        <f t="shared" si="1591"/>
        <v>-1.6599999999999948E-2</v>
      </c>
      <c r="AQ538" s="10">
        <f t="shared" si="1592"/>
        <v>-8.1999999999999851E-3</v>
      </c>
      <c r="AR538" s="23"/>
    </row>
    <row r="539" spans="2:44" ht="14.65" customHeight="1">
      <c r="B539" s="5">
        <v>43404</v>
      </c>
      <c r="C539" s="2">
        <v>1526.2104297026915</v>
      </c>
      <c r="D539" s="2">
        <f>1439760/1000</f>
        <v>1439.76</v>
      </c>
      <c r="E539" s="2">
        <v>139.1</v>
      </c>
      <c r="F539" s="2">
        <f>4.35*31</f>
        <v>134.85</v>
      </c>
      <c r="G539" s="2">
        <v>172.2</v>
      </c>
      <c r="H539" s="2">
        <f>5.18*31</f>
        <v>160.57999999999998</v>
      </c>
      <c r="I539" s="10">
        <f t="shared" si="1595"/>
        <v>0.74983169420060669</v>
      </c>
      <c r="J539" s="10">
        <f t="shared" si="1596"/>
        <v>0.76711141823415807</v>
      </c>
      <c r="K539" s="41">
        <f>C539/24/31/10</f>
        <v>0.20513581044391013</v>
      </c>
      <c r="L539" s="41">
        <f>D539/24/31/10</f>
        <v>0.19351612903225807</v>
      </c>
      <c r="M539" s="10">
        <v>0.98499999999999999</v>
      </c>
      <c r="N539" s="11">
        <v>0.97399999999999998</v>
      </c>
      <c r="O539" s="10">
        <v>0.99</v>
      </c>
      <c r="P539" s="17">
        <v>0.97460000000000002</v>
      </c>
      <c r="Q539" s="83"/>
      <c r="R539" s="81">
        <f t="shared" si="1582"/>
        <v>-5.6643846759409366E-2</v>
      </c>
      <c r="S539" s="10">
        <f t="shared" si="1586"/>
        <v>-6.747967479674799E-2</v>
      </c>
      <c r="T539" s="10">
        <f t="shared" si="1587"/>
        <v>-1.100000000000001E-2</v>
      </c>
      <c r="U539" s="10">
        <f t="shared" si="1588"/>
        <v>-1.5399999999999969E-2</v>
      </c>
      <c r="V539" s="23"/>
      <c r="X539" s="5">
        <v>43404</v>
      </c>
      <c r="Y539" s="2">
        <v>762.280046237953</v>
      </c>
      <c r="Z539" s="2">
        <f>766167/1000</f>
        <v>766.16700000000003</v>
      </c>
      <c r="AA539" s="2">
        <v>139.1</v>
      </c>
      <c r="AB539" s="2">
        <f>4.45*31</f>
        <v>137.95000000000002</v>
      </c>
      <c r="AC539" s="2">
        <v>172.2</v>
      </c>
      <c r="AD539" s="2">
        <f>5.12*31</f>
        <v>158.72</v>
      </c>
      <c r="AE539" s="10">
        <f t="shared" si="1597"/>
        <v>0.74902087864419353</v>
      </c>
      <c r="AF539" s="10">
        <f t="shared" si="1598"/>
        <v>0.82464825719325741</v>
      </c>
      <c r="AG539" s="11">
        <f>Y539/24/31/5</f>
        <v>0.20491399092418092</v>
      </c>
      <c r="AH539" s="11">
        <f>Z539/24/31/5</f>
        <v>0.20595887096774193</v>
      </c>
      <c r="AI539" s="10">
        <v>0.98499999999999999</v>
      </c>
      <c r="AJ539" s="11">
        <v>0.97560000000000002</v>
      </c>
      <c r="AK539" s="10">
        <v>0.99</v>
      </c>
      <c r="AL539" s="17">
        <v>0.97660000000000002</v>
      </c>
      <c r="AN539" s="81">
        <f t="shared" si="1593"/>
        <v>5.0991151890045217E-3</v>
      </c>
      <c r="AO539" s="10">
        <f t="shared" si="1594"/>
        <v>-7.8281068524970965E-2</v>
      </c>
      <c r="AP539" s="10">
        <f t="shared" si="1591"/>
        <v>-9.3999999999999639E-3</v>
      </c>
      <c r="AQ539" s="10">
        <f t="shared" si="1592"/>
        <v>-1.3399999999999967E-2</v>
      </c>
      <c r="AR539" s="23"/>
    </row>
    <row r="540" spans="2:44" ht="14.65" customHeight="1">
      <c r="B540" s="5">
        <v>43434</v>
      </c>
      <c r="C540" s="2">
        <v>1353.6795011171973</v>
      </c>
      <c r="D540" s="2">
        <f>1130088/1000</f>
        <v>1130.088</v>
      </c>
      <c r="E540" s="2">
        <v>108.1</v>
      </c>
      <c r="F540" s="2">
        <f>3.27*30</f>
        <v>98.1</v>
      </c>
      <c r="G540" s="2">
        <v>152.1</v>
      </c>
      <c r="H540" s="2">
        <f>4.39*30</f>
        <v>131.69999999999999</v>
      </c>
      <c r="I540" s="10">
        <f t="shared" si="1595"/>
        <v>0.75295524313152096</v>
      </c>
      <c r="J540" s="10">
        <f t="shared" si="1596"/>
        <v>0.74664774002571488</v>
      </c>
      <c r="K540" s="41">
        <f>C540/24/30/10</f>
        <v>0.18801104182183298</v>
      </c>
      <c r="L540" s="41">
        <f>D540/24/30/10</f>
        <v>0.15695666666666666</v>
      </c>
      <c r="M540" s="10">
        <v>0.98499999999999999</v>
      </c>
      <c r="N540" s="11">
        <v>0.9577</v>
      </c>
      <c r="O540" s="10">
        <v>0.99</v>
      </c>
      <c r="P540" s="17">
        <v>0.99990000000000001</v>
      </c>
      <c r="Q540" s="83"/>
      <c r="R540" s="81">
        <f t="shared" si="1582"/>
        <v>-0.16517314544001471</v>
      </c>
      <c r="S540" s="10">
        <f t="shared" si="1586"/>
        <v>-0.13412228796844183</v>
      </c>
      <c r="T540" s="10">
        <f t="shared" si="1587"/>
        <v>-2.7299999999999991E-2</v>
      </c>
      <c r="U540" s="10">
        <f t="shared" si="1588"/>
        <v>9.9000000000000199E-3</v>
      </c>
      <c r="V540" s="23"/>
      <c r="X540" s="5">
        <v>43434</v>
      </c>
      <c r="Y540" s="2">
        <v>674.7970129023239</v>
      </c>
      <c r="Z540" s="2">
        <f>626118/1000</f>
        <v>626.11800000000005</v>
      </c>
      <c r="AA540" s="2">
        <v>108.1</v>
      </c>
      <c r="AB540" s="2">
        <f>3.31*30</f>
        <v>99.3</v>
      </c>
      <c r="AC540" s="2">
        <v>152.1</v>
      </c>
      <c r="AD540" s="2">
        <f>4.41*30</f>
        <v>132.30000000000001</v>
      </c>
      <c r="AE540" s="10">
        <f t="shared" si="1597"/>
        <v>0.75068278495014962</v>
      </c>
      <c r="AF540" s="10">
        <f t="shared" si="1598"/>
        <v>0.79352152217918248</v>
      </c>
      <c r="AG540" s="11">
        <f>Y540/24/30/5</f>
        <v>0.18744361469508997</v>
      </c>
      <c r="AH540" s="11">
        <f>Z540/24/30/5</f>
        <v>0.1739216666666667</v>
      </c>
      <c r="AI540" s="10">
        <v>0.98499999999999999</v>
      </c>
      <c r="AJ540" s="11">
        <v>0.99399999999999999</v>
      </c>
      <c r="AK540" s="10">
        <v>0.99</v>
      </c>
      <c r="AL540" s="17">
        <v>0.99990000000000001</v>
      </c>
      <c r="AN540" s="81">
        <f t="shared" si="1593"/>
        <v>-7.2138749833752014E-2</v>
      </c>
      <c r="AO540" s="10">
        <f t="shared" si="1594"/>
        <v>-0.1301775147928993</v>
      </c>
      <c r="AP540" s="10">
        <f t="shared" si="1591"/>
        <v>9.000000000000008E-3</v>
      </c>
      <c r="AQ540" s="10">
        <f t="shared" si="1592"/>
        <v>9.9000000000000199E-3</v>
      </c>
      <c r="AR540" s="23"/>
    </row>
    <row r="541" spans="2:44" ht="14.65" customHeight="1">
      <c r="B541" s="5">
        <v>43465</v>
      </c>
      <c r="C541" s="2">
        <v>1138.9335580905715</v>
      </c>
      <c r="D541" s="2">
        <f>1114704/1000</f>
        <v>1114.704</v>
      </c>
      <c r="E541" s="2">
        <v>89.9</v>
      </c>
      <c r="F541" s="2">
        <v>85.25</v>
      </c>
      <c r="G541" s="2">
        <v>129.6</v>
      </c>
      <c r="H541" s="2">
        <v>121.21</v>
      </c>
      <c r="I541" s="10">
        <f t="shared" si="1595"/>
        <v>0.74349133484427654</v>
      </c>
      <c r="J541" s="10">
        <f t="shared" si="1596"/>
        <v>0.78634558949025402</v>
      </c>
      <c r="K541" s="41">
        <f>C541/24/31/10</f>
        <v>0.15308246748529186</v>
      </c>
      <c r="L541" s="41">
        <f>D541/24/31/10</f>
        <v>0.14982580645161289</v>
      </c>
      <c r="M541" s="10">
        <v>0.98499999999999999</v>
      </c>
      <c r="N541" s="11">
        <v>0.97460000000000002</v>
      </c>
      <c r="O541" s="10">
        <v>0.99</v>
      </c>
      <c r="P541" s="17">
        <v>1</v>
      </c>
      <c r="Q541" s="83"/>
      <c r="R541" s="81">
        <f t="shared" si="1582"/>
        <v>-2.1273899533869711E-2</v>
      </c>
      <c r="S541" s="10">
        <f t="shared" si="1586"/>
        <v>-6.4737654320987659E-2</v>
      </c>
      <c r="T541" s="10">
        <f t="shared" si="1587"/>
        <v>-1.0399999999999965E-2</v>
      </c>
      <c r="U541" s="10">
        <f t="shared" si="1588"/>
        <v>1.0000000000000009E-2</v>
      </c>
      <c r="V541" s="23"/>
      <c r="X541" s="5">
        <v>43465</v>
      </c>
      <c r="Y541" s="2">
        <v>566.51381779458711</v>
      </c>
      <c r="Z541" s="2">
        <f>567960/1000</f>
        <v>567.96</v>
      </c>
      <c r="AA541" s="2">
        <v>89.9</v>
      </c>
      <c r="AB541" s="2">
        <v>87.42</v>
      </c>
      <c r="AC541" s="2">
        <v>129.6</v>
      </c>
      <c r="AD541" s="2">
        <v>124</v>
      </c>
      <c r="AE541" s="10">
        <f t="shared" si="1597"/>
        <v>0.73963597192792507</v>
      </c>
      <c r="AF541" s="10">
        <f t="shared" si="1598"/>
        <v>0.80449688773758421</v>
      </c>
      <c r="AG541" s="11">
        <f>Y541/24/31/5</f>
        <v>0.15228866069746966</v>
      </c>
      <c r="AH541" s="11">
        <f>Z541/24/31/5</f>
        <v>0.15267741935483872</v>
      </c>
      <c r="AI541" s="10">
        <v>0.98499999999999999</v>
      </c>
      <c r="AJ541" s="11">
        <v>0.94889999999999997</v>
      </c>
      <c r="AK541" s="10">
        <v>0.99</v>
      </c>
      <c r="AL541" s="17">
        <v>0.99829999999999997</v>
      </c>
      <c r="AN541" s="81">
        <f t="shared" si="1593"/>
        <v>2.5527748132301298E-3</v>
      </c>
      <c r="AO541" s="10">
        <f t="shared" si="1594"/>
        <v>-4.3209876543209846E-2</v>
      </c>
      <c r="AP541" s="10">
        <f t="shared" si="1591"/>
        <v>-3.6100000000000021E-2</v>
      </c>
      <c r="AQ541" s="10">
        <f t="shared" si="1592"/>
        <v>8.2999999999999741E-3</v>
      </c>
      <c r="AR541" s="23"/>
    </row>
    <row r="542" spans="2:44" ht="14.65" customHeight="1">
      <c r="B542" s="46">
        <v>43496</v>
      </c>
      <c r="C542" s="47">
        <v>960.6574872408363</v>
      </c>
      <c r="D542" s="47">
        <f>1085508/1000</f>
        <v>1085.508</v>
      </c>
      <c r="E542" s="47">
        <v>79.599999999999994</v>
      </c>
      <c r="F542" s="47">
        <v>84.01</v>
      </c>
      <c r="G542" s="47">
        <v>103.2</v>
      </c>
      <c r="H542" s="47">
        <v>117.8</v>
      </c>
      <c r="I542" s="49">
        <f t="shared" si="1595"/>
        <v>0.7875377818774153</v>
      </c>
      <c r="J542" s="49">
        <f t="shared" si="1596"/>
        <v>0.7818196149526081</v>
      </c>
      <c r="K542" s="41">
        <f>C542/24/31/10</f>
        <v>0.12912063000548873</v>
      </c>
      <c r="L542" s="41">
        <f>D542/24/31/10</f>
        <v>0.14590161290322581</v>
      </c>
      <c r="M542" s="49">
        <v>0.98499999999999999</v>
      </c>
      <c r="N542" s="48">
        <v>0.98219999999999996</v>
      </c>
      <c r="O542" s="49">
        <v>0.99</v>
      </c>
      <c r="P542" s="50">
        <v>0.98399999999999999</v>
      </c>
      <c r="Q542" s="91"/>
      <c r="R542" s="92">
        <f t="shared" si="1582"/>
        <v>0.12996360765141657</v>
      </c>
      <c r="S542" s="49">
        <f t="shared" si="1586"/>
        <v>0.14147286821705429</v>
      </c>
      <c r="T542" s="49">
        <f t="shared" si="1587"/>
        <v>-2.8000000000000247E-3</v>
      </c>
      <c r="U542" s="49">
        <f t="shared" si="1588"/>
        <v>-6.0000000000000053E-3</v>
      </c>
      <c r="V542" s="52"/>
      <c r="X542" s="46">
        <v>43496</v>
      </c>
      <c r="Y542" s="2">
        <v>476.93998584494619</v>
      </c>
      <c r="Z542" s="2">
        <f>569886/1000</f>
        <v>569.88599999999997</v>
      </c>
      <c r="AA542" s="2">
        <v>79.599999999999994</v>
      </c>
      <c r="AB542" s="2">
        <v>87.42</v>
      </c>
      <c r="AC542" s="2">
        <v>103.2</v>
      </c>
      <c r="AD542" s="2">
        <v>117.49</v>
      </c>
      <c r="AE542" s="10">
        <f t="shared" si="1597"/>
        <v>0.78198163972006818</v>
      </c>
      <c r="AF542" s="10">
        <f t="shared" si="1598"/>
        <v>0.82290079161217677</v>
      </c>
      <c r="AG542" s="11">
        <f>Y542/24/31/5</f>
        <v>0.12820967361423286</v>
      </c>
      <c r="AH542" s="11">
        <f>Z542/24/31/5</f>
        <v>0.15319516129032257</v>
      </c>
      <c r="AI542" s="10">
        <v>0.98499999999999999</v>
      </c>
      <c r="AJ542" s="11">
        <v>0.98240000000000005</v>
      </c>
      <c r="AK542" s="10">
        <v>0.99</v>
      </c>
      <c r="AL542" s="17">
        <v>0.99409999999999998</v>
      </c>
      <c r="AN542" s="92">
        <f t="shared" si="1593"/>
        <v>0.19487989456449273</v>
      </c>
      <c r="AO542" s="49">
        <f t="shared" si="1594"/>
        <v>0.13846899224806197</v>
      </c>
      <c r="AP542" s="49">
        <f t="shared" si="1591"/>
        <v>-2.5999999999999357E-3</v>
      </c>
      <c r="AQ542" s="49">
        <f t="shared" si="1592"/>
        <v>4.0999999999999925E-3</v>
      </c>
      <c r="AR542" s="52"/>
    </row>
    <row r="543" spans="2:44" ht="14.65" customHeight="1">
      <c r="B543" s="5">
        <v>43524</v>
      </c>
      <c r="C543" s="2">
        <v>1257.4244501734652</v>
      </c>
      <c r="D543" s="2">
        <v>1005.978</v>
      </c>
      <c r="E543" s="2">
        <v>108.1</v>
      </c>
      <c r="F543" s="2">
        <v>89.600000000000009</v>
      </c>
      <c r="G543" s="2">
        <v>137.5</v>
      </c>
      <c r="H543" s="2">
        <v>109.48</v>
      </c>
      <c r="I543" s="10">
        <f t="shared" si="1595"/>
        <v>0.77368063385538555</v>
      </c>
      <c r="J543" s="10">
        <f t="shared" si="1596"/>
        <v>0.80713010773853211</v>
      </c>
      <c r="K543" s="14">
        <f>C543/24/28/10</f>
        <v>0.18711673365676568</v>
      </c>
      <c r="L543" s="14">
        <f>D543/24/28/10</f>
        <v>0.14969910714285711</v>
      </c>
      <c r="M543" s="10">
        <v>0.98499999999999999</v>
      </c>
      <c r="N543" s="11">
        <v>0.94869999999999999</v>
      </c>
      <c r="O543" s="10">
        <v>0.99</v>
      </c>
      <c r="P543" s="17">
        <v>0.97789999999999999</v>
      </c>
      <c r="Q543" s="83"/>
      <c r="R543" s="81">
        <f t="shared" si="1582"/>
        <v>-0.19996942968524067</v>
      </c>
      <c r="S543" s="10">
        <f t="shared" si="1586"/>
        <v>-0.20378181818181818</v>
      </c>
      <c r="T543" s="10">
        <f t="shared" si="1587"/>
        <v>-3.6299999999999999E-2</v>
      </c>
      <c r="U543" s="10">
        <f t="shared" si="1588"/>
        <v>-1.21E-2</v>
      </c>
      <c r="V543" s="23"/>
      <c r="X543" s="5">
        <v>43524</v>
      </c>
      <c r="Y543" s="2">
        <v>626.07408690363854</v>
      </c>
      <c r="Z543" s="2">
        <v>504.74400000000003</v>
      </c>
      <c r="AA543" s="2">
        <v>108.1</v>
      </c>
      <c r="AB543" s="2">
        <v>88.48</v>
      </c>
      <c r="AC543" s="2">
        <v>137.5</v>
      </c>
      <c r="AD543" s="2">
        <v>105.56</v>
      </c>
      <c r="AE543" s="10">
        <f t="shared" si="1597"/>
        <v>0.77043419400540047</v>
      </c>
      <c r="AF543" s="10">
        <f t="shared" si="1598"/>
        <v>0.85978061878449163</v>
      </c>
      <c r="AG543" s="11">
        <f>Y543/24/28/5</f>
        <v>0.18633157348322577</v>
      </c>
      <c r="AH543" s="11">
        <f>Z543/24/28/5</f>
        <v>0.15022142857142859</v>
      </c>
      <c r="AI543" s="10">
        <v>0.98499999999999999</v>
      </c>
      <c r="AJ543" s="11">
        <v>0.92689999999999995</v>
      </c>
      <c r="AK543" s="10">
        <v>0.99</v>
      </c>
      <c r="AL543" s="17">
        <v>0.96640000000000004</v>
      </c>
      <c r="AN543" s="81">
        <f t="shared" si="1593"/>
        <v>-0.19379509460884758</v>
      </c>
      <c r="AO543" s="10">
        <f t="shared" si="1594"/>
        <v>-0.2322909090909091</v>
      </c>
      <c r="AP543" s="10">
        <f t="shared" si="1591"/>
        <v>-5.8100000000000041E-2</v>
      </c>
      <c r="AQ543" s="10">
        <f t="shared" si="1592"/>
        <v>-2.3599999999999954E-2</v>
      </c>
      <c r="AR543" s="23"/>
    </row>
    <row r="544" spans="2:44" ht="15" customHeight="1" thickBot="1">
      <c r="B544" s="5">
        <v>43555</v>
      </c>
      <c r="C544" s="4">
        <v>1682.0294894463025</v>
      </c>
      <c r="D544" s="4">
        <f>1615020/1000</f>
        <v>1615.02</v>
      </c>
      <c r="E544" s="4">
        <v>161.4</v>
      </c>
      <c r="F544" s="4">
        <v>153.44</v>
      </c>
      <c r="G544" s="4">
        <v>187.8</v>
      </c>
      <c r="H544" s="4">
        <v>176.01</v>
      </c>
      <c r="I544" s="10">
        <f t="shared" si="1595"/>
        <v>0.75774057140669782</v>
      </c>
      <c r="J544" s="10">
        <f t="shared" si="1596"/>
        <v>0.76887285501769309</v>
      </c>
      <c r="K544" s="14">
        <f>C544/24/31/10</f>
        <v>0.22607923245246</v>
      </c>
      <c r="L544" s="14">
        <f>D544/24/31/10</f>
        <v>0.2170725806451613</v>
      </c>
      <c r="M544" s="19">
        <v>0.98499999999999999</v>
      </c>
      <c r="N544" s="18">
        <v>0.99450000000000005</v>
      </c>
      <c r="O544" s="19">
        <v>0.99</v>
      </c>
      <c r="P544" s="20">
        <v>0.99509999999999998</v>
      </c>
      <c r="Q544" s="83"/>
      <c r="R544" s="81">
        <f t="shared" si="1582"/>
        <v>-3.9838474810784064E-2</v>
      </c>
      <c r="S544" s="10">
        <f t="shared" si="1586"/>
        <v>-6.2779552715655051E-2</v>
      </c>
      <c r="T544" s="10">
        <f t="shared" si="1587"/>
        <v>9.5000000000000639E-3</v>
      </c>
      <c r="U544" s="10">
        <f t="shared" si="1588"/>
        <v>5.0999999999999934E-3</v>
      </c>
      <c r="V544" s="23"/>
      <c r="X544" s="5">
        <v>43555</v>
      </c>
      <c r="Y544" s="2">
        <v>839.73151331833628</v>
      </c>
      <c r="Z544" s="2">
        <f>856032/1000</f>
        <v>856.03200000000004</v>
      </c>
      <c r="AA544" s="2">
        <v>161.4</v>
      </c>
      <c r="AB544" s="2">
        <v>158.09</v>
      </c>
      <c r="AC544" s="2">
        <v>187.8</v>
      </c>
      <c r="AD544" s="2">
        <v>178.31</v>
      </c>
      <c r="AE544" s="10">
        <f t="shared" si="1597"/>
        <v>0.75658440083533463</v>
      </c>
      <c r="AF544" s="10">
        <f t="shared" si="1598"/>
        <v>0.81042702020670654</v>
      </c>
      <c r="AG544" s="11">
        <f>Y544/24/31/5</f>
        <v>0.22573427777374633</v>
      </c>
      <c r="AH544" s="11">
        <f>Z544/24/31/5</f>
        <v>0.23011612903225806</v>
      </c>
      <c r="AI544" s="10">
        <v>0.98499999999999999</v>
      </c>
      <c r="AJ544" s="11">
        <v>0.98729999999999996</v>
      </c>
      <c r="AK544" s="10">
        <v>0.99</v>
      </c>
      <c r="AL544" s="17">
        <v>0.99419999999999997</v>
      </c>
      <c r="AN544" s="81">
        <f t="shared" si="1593"/>
        <v>1.9411545741864211E-2</v>
      </c>
      <c r="AO544" s="10">
        <f t="shared" si="1594"/>
        <v>-5.0532481363152359E-2</v>
      </c>
      <c r="AP544" s="10">
        <f t="shared" si="1591"/>
        <v>2.2999999999999687E-3</v>
      </c>
      <c r="AQ544" s="10">
        <f t="shared" si="1592"/>
        <v>4.1999999999999815E-3</v>
      </c>
      <c r="AR544" s="23"/>
    </row>
    <row r="545" spans="2:88" s="89" customFormat="1" ht="15" customHeight="1" thickBot="1">
      <c r="B545" s="25">
        <v>43585</v>
      </c>
      <c r="C545" s="36">
        <v>1737.7303655659653</v>
      </c>
      <c r="D545" s="178">
        <f>1546740/1000</f>
        <v>1546.74</v>
      </c>
      <c r="E545" s="26">
        <v>190.2</v>
      </c>
      <c r="F545" s="26">
        <f>5.83*30</f>
        <v>174.9</v>
      </c>
      <c r="G545" s="26">
        <v>194</v>
      </c>
      <c r="H545" s="26">
        <f>5.94*30</f>
        <v>178.20000000000002</v>
      </c>
      <c r="I545" s="27">
        <f t="shared" si="1595"/>
        <v>0.75781497617438787</v>
      </c>
      <c r="J545" s="27">
        <f t="shared" si="1596"/>
        <v>0.73388443416852511</v>
      </c>
      <c r="K545" s="45">
        <f>C545/24/30/10</f>
        <v>0.24135143966193962</v>
      </c>
      <c r="L545" s="45">
        <f>D545/24/30/10</f>
        <v>0.21482499999999999</v>
      </c>
      <c r="M545" s="29">
        <v>0.98499999999999999</v>
      </c>
      <c r="N545" s="37">
        <v>0.98560000000000003</v>
      </c>
      <c r="O545" s="29">
        <v>0.99</v>
      </c>
      <c r="P545" s="38">
        <v>0.99239999999999995</v>
      </c>
      <c r="Q545" s="86"/>
      <c r="R545" s="87">
        <f t="shared" ref="R545" si="1605">D545/C545-1</f>
        <v>-0.10990794046679453</v>
      </c>
      <c r="S545" s="29">
        <f t="shared" ref="S545" si="1606">H545/G545-1</f>
        <v>-8.1443298969072098E-2</v>
      </c>
      <c r="T545" s="29">
        <f t="shared" ref="T545" si="1607">N545-M545</f>
        <v>6.0000000000004494E-4</v>
      </c>
      <c r="U545" s="29">
        <f t="shared" ref="U545" si="1608">P545-O545</f>
        <v>2.3999999999999577E-3</v>
      </c>
      <c r="V545" s="32"/>
      <c r="X545" s="25">
        <v>43585</v>
      </c>
      <c r="Y545" s="26">
        <v>868.94962291350873</v>
      </c>
      <c r="Z545" s="63">
        <f>823044/1000</f>
        <v>823.04399999999998</v>
      </c>
      <c r="AA545" s="26">
        <v>190.2</v>
      </c>
      <c r="AB545" s="26">
        <f>5.84*30</f>
        <v>175.2</v>
      </c>
      <c r="AC545" s="26">
        <v>194</v>
      </c>
      <c r="AD545" s="26">
        <f>6.02*30</f>
        <v>180.6</v>
      </c>
      <c r="AE545" s="27">
        <f t="shared" si="1597"/>
        <v>0.75788862395861356</v>
      </c>
      <c r="AF545" s="27">
        <f t="shared" si="1598"/>
        <v>0.76543984472241366</v>
      </c>
      <c r="AG545" s="28">
        <f>Y545/24/30/5</f>
        <v>0.24137489525375244</v>
      </c>
      <c r="AH545" s="28">
        <f>Z545/24/30/5</f>
        <v>0.22862333333333335</v>
      </c>
      <c r="AI545" s="29">
        <v>0.98499999999999999</v>
      </c>
      <c r="AJ545" s="28">
        <v>0.99229999999999996</v>
      </c>
      <c r="AK545" s="29">
        <v>0.99</v>
      </c>
      <c r="AL545" s="30">
        <v>0.99560000000000004</v>
      </c>
      <c r="AN545" s="87">
        <f t="shared" ref="AN545:AN549" si="1609">Z545/Y545-1</f>
        <v>-5.2828865682214565E-2</v>
      </c>
      <c r="AO545" s="29">
        <f t="shared" ref="AO545:AO549" si="1610">AD545/AC545-1</f>
        <v>-6.9072164948453585E-2</v>
      </c>
      <c r="AP545" s="29">
        <f t="shared" ref="AP545:AP555" si="1611">AJ545-AI545</f>
        <v>7.2999999999999732E-3</v>
      </c>
      <c r="AQ545" s="29">
        <f t="shared" ref="AQ545:AQ555" si="1612">AL545-AK545</f>
        <v>5.6000000000000494E-3</v>
      </c>
      <c r="AR545" s="32"/>
    </row>
    <row r="546" spans="2:88" ht="15" customHeight="1" thickBot="1">
      <c r="B546" s="5">
        <v>43616</v>
      </c>
      <c r="C546" s="4">
        <v>1760.5585934838596</v>
      </c>
      <c r="D546" s="179">
        <f>1515822/1000</f>
        <v>1515.8219999999999</v>
      </c>
      <c r="E546" s="2">
        <v>197</v>
      </c>
      <c r="F546" s="2">
        <v>194.95</v>
      </c>
      <c r="G546" s="2">
        <v>197.7</v>
      </c>
      <c r="H546" s="2">
        <v>193.47</v>
      </c>
      <c r="I546" s="10">
        <f t="shared" si="1595"/>
        <v>0.75340125208247632</v>
      </c>
      <c r="J546" s="10">
        <f t="shared" si="1596"/>
        <v>0.68153445917343214</v>
      </c>
      <c r="K546" s="41">
        <f t="shared" ref="K546" si="1613">C546/24/31/10</f>
        <v>0.23663421955428224</v>
      </c>
      <c r="L546" s="41">
        <f t="shared" ref="L546" si="1614">D546/24/31/10</f>
        <v>0.20373951612903224</v>
      </c>
      <c r="M546" s="10">
        <v>0.98499999999999999</v>
      </c>
      <c r="N546" s="34">
        <v>0.95799999999999996</v>
      </c>
      <c r="O546" s="10">
        <v>0.99</v>
      </c>
      <c r="P546" s="35">
        <v>0.98570000000000002</v>
      </c>
      <c r="Q546" s="83"/>
      <c r="R546" s="81">
        <f t="shared" ref="R546:R548" si="1615">D546/C546-1</f>
        <v>-0.13901076305535831</v>
      </c>
      <c r="S546" s="10">
        <f t="shared" ref="S546:S552" si="1616">H546/G546-1</f>
        <v>-2.1396054628224581E-2</v>
      </c>
      <c r="T546" s="10">
        <f t="shared" ref="T546:T555" si="1617">N546-M546</f>
        <v>-2.7000000000000024E-2</v>
      </c>
      <c r="U546" s="10">
        <f t="shared" ref="U546:U555" si="1618">P546-O546</f>
        <v>-4.2999999999999705E-3</v>
      </c>
      <c r="V546" s="23"/>
      <c r="X546" s="5">
        <v>43616</v>
      </c>
      <c r="Y546" s="2">
        <v>880.5151246282644</v>
      </c>
      <c r="Z546" s="64">
        <f>846183/1000</f>
        <v>846.18299999999999</v>
      </c>
      <c r="AA546" s="2">
        <v>197</v>
      </c>
      <c r="AB546" s="2">
        <v>193.82</v>
      </c>
      <c r="AC546" s="2">
        <v>197.7</v>
      </c>
      <c r="AD546" s="2">
        <v>196.34</v>
      </c>
      <c r="AE546" s="10">
        <f t="shared" ref="AE546:AE555" si="1619">Y546/6/AC546/AI546</f>
        <v>0.7536030891874701</v>
      </c>
      <c r="AF546" s="10">
        <f t="shared" ref="AF546:AF555" si="1620">Z546/6/AD546/AJ546</f>
        <v>0.7408182150852346</v>
      </c>
      <c r="AG546" s="10">
        <f>Y546/24/31/5</f>
        <v>0.23669761414738288</v>
      </c>
      <c r="AH546" s="10">
        <f>Z546/24/31/5</f>
        <v>0.22746854838709676</v>
      </c>
      <c r="AI546" s="10">
        <v>0.98499999999999999</v>
      </c>
      <c r="AJ546" s="11">
        <v>0.96960000000000002</v>
      </c>
      <c r="AK546" s="10">
        <v>0.99</v>
      </c>
      <c r="AL546" s="17">
        <v>0.9859</v>
      </c>
      <c r="AN546" s="81">
        <f t="shared" si="1609"/>
        <v>-3.899095389503815E-2</v>
      </c>
      <c r="AO546" s="10">
        <f t="shared" si="1610"/>
        <v>-6.8791097622660224E-3</v>
      </c>
      <c r="AP546" s="10">
        <f t="shared" si="1611"/>
        <v>-1.5399999999999969E-2</v>
      </c>
      <c r="AQ546" s="10">
        <f t="shared" si="1612"/>
        <v>-4.0999999999999925E-3</v>
      </c>
      <c r="AR546" s="23"/>
    </row>
    <row r="547" spans="2:88" ht="15" customHeight="1" thickBot="1">
      <c r="B547" s="5">
        <v>43646</v>
      </c>
      <c r="C547" s="4">
        <v>1583.4115448409982</v>
      </c>
      <c r="D547" s="33">
        <f>1557342/1000</f>
        <v>1557.3420000000001</v>
      </c>
      <c r="E547" s="2">
        <v>178.9</v>
      </c>
      <c r="F547" s="33">
        <v>190.5</v>
      </c>
      <c r="G547" s="2">
        <v>177.2</v>
      </c>
      <c r="H547" s="33">
        <v>185.1</v>
      </c>
      <c r="I547" s="10">
        <f t="shared" si="1595"/>
        <v>0.7559840157101626</v>
      </c>
      <c r="J547" s="10">
        <f t="shared" si="1596"/>
        <v>0.70500393982136755</v>
      </c>
      <c r="K547" s="41">
        <f t="shared" ref="K547" si="1621">C547/24/30/10</f>
        <v>0.21991827011680534</v>
      </c>
      <c r="L547" s="41">
        <f t="shared" ref="L547" si="1622">D547/24/30/10</f>
        <v>0.21629750000000003</v>
      </c>
      <c r="M547" s="10">
        <v>0.98499999999999999</v>
      </c>
      <c r="N547" s="34">
        <v>0.99450000000000005</v>
      </c>
      <c r="O547" s="10">
        <v>0.99</v>
      </c>
      <c r="P547" s="35">
        <v>0.99809999999999999</v>
      </c>
      <c r="Q547" s="83"/>
      <c r="R547" s="81">
        <f t="shared" si="1615"/>
        <v>-1.6464162413073691E-2</v>
      </c>
      <c r="S547" s="10">
        <f t="shared" si="1616"/>
        <v>4.4582392776523649E-2</v>
      </c>
      <c r="T547" s="10">
        <f t="shared" si="1617"/>
        <v>9.5000000000000639E-3</v>
      </c>
      <c r="U547" s="10">
        <f t="shared" si="1618"/>
        <v>8.0999999999999961E-3</v>
      </c>
      <c r="V547" s="23"/>
      <c r="X547" s="5">
        <v>43646</v>
      </c>
      <c r="Y547" s="2">
        <v>790.42595337648277</v>
      </c>
      <c r="Z547" s="2">
        <f>815484/1000</f>
        <v>815.48400000000004</v>
      </c>
      <c r="AA547" s="2">
        <v>178.9</v>
      </c>
      <c r="AB547" s="2">
        <v>188.7</v>
      </c>
      <c r="AC547" s="2">
        <v>177.2</v>
      </c>
      <c r="AD547" s="2">
        <v>187.20000000000002</v>
      </c>
      <c r="AE547" s="10">
        <f t="shared" si="1619"/>
        <v>0.75476194208889824</v>
      </c>
      <c r="AF547" s="10">
        <f t="shared" si="1620"/>
        <v>0.72734554677051177</v>
      </c>
      <c r="AG547" s="10">
        <f>Y547/24/30/5</f>
        <v>0.21956276482680076</v>
      </c>
      <c r="AH547" s="10">
        <f>Z547/24/30/5</f>
        <v>0.22652333333333335</v>
      </c>
      <c r="AI547" s="10">
        <v>0.98499999999999999</v>
      </c>
      <c r="AJ547" s="11">
        <v>0.99819999999999998</v>
      </c>
      <c r="AK547" s="10">
        <v>0.99</v>
      </c>
      <c r="AL547" s="17">
        <v>0.99909999999999999</v>
      </c>
      <c r="AN547" s="81">
        <f t="shared" si="1609"/>
        <v>3.1701953252516679E-2</v>
      </c>
      <c r="AO547" s="10">
        <f t="shared" si="1610"/>
        <v>5.6433408577878375E-2</v>
      </c>
      <c r="AP547" s="10">
        <f t="shared" si="1611"/>
        <v>1.319999999999999E-2</v>
      </c>
      <c r="AQ547" s="10">
        <f t="shared" si="1612"/>
        <v>9.099999999999997E-3</v>
      </c>
      <c r="AR547" s="23"/>
    </row>
    <row r="548" spans="2:88" ht="15" customHeight="1" thickBot="1">
      <c r="B548" s="5">
        <v>43677</v>
      </c>
      <c r="C548" s="4">
        <v>1404.4382379647052</v>
      </c>
      <c r="D548" s="33">
        <v>1170.924</v>
      </c>
      <c r="E548" s="2">
        <v>155.5</v>
      </c>
      <c r="F548" s="33">
        <v>140.74</v>
      </c>
      <c r="G548" s="2">
        <v>154.6</v>
      </c>
      <c r="H548" s="33">
        <v>139.5</v>
      </c>
      <c r="I548" s="10">
        <f t="shared" si="1595"/>
        <v>0.76855628627597727</v>
      </c>
      <c r="J548" s="10">
        <f t="shared" si="1596"/>
        <v>0.73098202791196631</v>
      </c>
      <c r="K548" s="41">
        <f>C548/24/31/10</f>
        <v>0.18876858037160016</v>
      </c>
      <c r="L548" s="41">
        <f>D548/24/31/10</f>
        <v>0.15738225806451614</v>
      </c>
      <c r="M548" s="10">
        <v>0.98499999999999999</v>
      </c>
      <c r="N548" s="34">
        <v>0.95689999999999997</v>
      </c>
      <c r="O548" s="10">
        <v>0.99</v>
      </c>
      <c r="P548" s="35">
        <v>0.98199999999999998</v>
      </c>
      <c r="Q548" s="83"/>
      <c r="R548" s="81">
        <f t="shared" si="1615"/>
        <v>-0.16626878395386846</v>
      </c>
      <c r="S548" s="10">
        <f t="shared" si="1616"/>
        <v>-9.7671410090556243E-2</v>
      </c>
      <c r="T548" s="10">
        <f t="shared" si="1617"/>
        <v>-2.8100000000000014E-2</v>
      </c>
      <c r="U548" s="10">
        <f t="shared" si="1618"/>
        <v>-8.0000000000000071E-3</v>
      </c>
      <c r="V548" s="23"/>
      <c r="X548" s="5">
        <v>43677</v>
      </c>
      <c r="Y548" s="2">
        <v>699.72807150813537</v>
      </c>
      <c r="Z548" s="2">
        <v>628.55399999999997</v>
      </c>
      <c r="AA548" s="2">
        <v>155.5</v>
      </c>
      <c r="AB548" s="2">
        <v>143.22</v>
      </c>
      <c r="AC548" s="2">
        <v>154.6</v>
      </c>
      <c r="AD548" s="2">
        <v>140.74</v>
      </c>
      <c r="AE548" s="10">
        <f t="shared" si="1619"/>
        <v>0.76582991477174367</v>
      </c>
      <c r="AF548" s="10">
        <f t="shared" si="1620"/>
        <v>0.7913503941727047</v>
      </c>
      <c r="AG548" s="10">
        <f>Y548/24/31/5</f>
        <v>0.18809894395379984</v>
      </c>
      <c r="AH548" s="10">
        <f>Z548/24/31/5</f>
        <v>0.16896612903225808</v>
      </c>
      <c r="AI548" s="10">
        <v>0.98499999999999999</v>
      </c>
      <c r="AJ548" s="11">
        <v>0.94059999999999999</v>
      </c>
      <c r="AK548" s="10">
        <v>0.99</v>
      </c>
      <c r="AL548" s="17">
        <v>0.98119999999999996</v>
      </c>
      <c r="AN548" s="81">
        <f t="shared" si="1609"/>
        <v>-0.1017167588470943</v>
      </c>
      <c r="AO548" s="10">
        <f t="shared" si="1610"/>
        <v>-8.9650711513583392E-2</v>
      </c>
      <c r="AP548" s="10">
        <f t="shared" si="1611"/>
        <v>-4.4399999999999995E-2</v>
      </c>
      <c r="AQ548" s="10">
        <f t="shared" si="1612"/>
        <v>-8.80000000000003E-3</v>
      </c>
      <c r="AR548" s="23"/>
    </row>
    <row r="549" spans="2:88" ht="15" customHeight="1" thickBot="1">
      <c r="B549" s="5">
        <v>43708</v>
      </c>
      <c r="C549" s="4">
        <v>1334.1272959775904</v>
      </c>
      <c r="D549" s="33">
        <f>1113390/1000</f>
        <v>1113.3900000000001</v>
      </c>
      <c r="E549" s="2">
        <v>145.4</v>
      </c>
      <c r="F549" s="33">
        <v>140</v>
      </c>
      <c r="G549" s="2">
        <v>146.30000000000001</v>
      </c>
      <c r="H549" s="33">
        <v>143</v>
      </c>
      <c r="I549" s="10">
        <f t="shared" si="1595"/>
        <v>0.77149917709455351</v>
      </c>
      <c r="J549" s="10">
        <f t="shared" si="1596"/>
        <v>0.68427406805386137</v>
      </c>
      <c r="K549" s="41">
        <f>C549/24/31/10</f>
        <v>0.17931818494322452</v>
      </c>
      <c r="L549" s="41">
        <f>D549/24/31/10</f>
        <v>0.14964919354838713</v>
      </c>
      <c r="M549" s="10">
        <v>0.98499999999999999</v>
      </c>
      <c r="N549" s="34">
        <v>0.94820000000000004</v>
      </c>
      <c r="O549" s="10">
        <v>0.99</v>
      </c>
      <c r="P549" s="35">
        <v>0.98</v>
      </c>
      <c r="Q549" s="83"/>
      <c r="R549" s="81">
        <f t="shared" ref="R549:R555" si="1623">D549/C549-1</f>
        <v>-0.16545444849461954</v>
      </c>
      <c r="S549" s="10">
        <f t="shared" si="1616"/>
        <v>-2.2556390977443663E-2</v>
      </c>
      <c r="T549" s="10">
        <f t="shared" si="1617"/>
        <v>-3.6799999999999944E-2</v>
      </c>
      <c r="U549" s="10">
        <f t="shared" si="1618"/>
        <v>-1.0000000000000009E-2</v>
      </c>
      <c r="V549" s="23"/>
      <c r="X549" s="5">
        <v>43708</v>
      </c>
      <c r="Y549" s="2">
        <v>664.11850043901916</v>
      </c>
      <c r="Z549" s="2">
        <f>640962/1000</f>
        <v>640.96199999999999</v>
      </c>
      <c r="AA549" s="2">
        <v>145.4</v>
      </c>
      <c r="AB549" s="2">
        <v>142</v>
      </c>
      <c r="AC549" s="2">
        <v>146.30000000000001</v>
      </c>
      <c r="AD549" s="2">
        <v>142</v>
      </c>
      <c r="AE549" s="10">
        <f t="shared" si="1619"/>
        <v>0.76809293704845771</v>
      </c>
      <c r="AF549" s="10">
        <f t="shared" si="1620"/>
        <v>0.79981162757963897</v>
      </c>
      <c r="AG549" s="10">
        <f>Y549/24/31/5</f>
        <v>0.17852647861263957</v>
      </c>
      <c r="AH549" s="10">
        <f>Z549/24/31/5</f>
        <v>0.17230161290322582</v>
      </c>
      <c r="AI549" s="10">
        <v>0.98499999999999999</v>
      </c>
      <c r="AJ549" s="11">
        <v>0.94059999999999999</v>
      </c>
      <c r="AK549" s="10">
        <v>0.99</v>
      </c>
      <c r="AL549" s="17">
        <v>0.98119999999999996</v>
      </c>
      <c r="AN549" s="81">
        <f t="shared" si="1609"/>
        <v>-3.4868024943909059E-2</v>
      </c>
      <c r="AO549" s="10">
        <f t="shared" si="1610"/>
        <v>-2.9391660970608413E-2</v>
      </c>
      <c r="AP549" s="10">
        <f t="shared" si="1611"/>
        <v>-4.4399999999999995E-2</v>
      </c>
      <c r="AQ549" s="10">
        <f t="shared" si="1612"/>
        <v>-8.80000000000003E-3</v>
      </c>
      <c r="AR549" s="23"/>
    </row>
    <row r="550" spans="2:88" ht="15" customHeight="1" thickBot="1">
      <c r="B550" s="5">
        <v>43738</v>
      </c>
      <c r="C550" s="4">
        <v>1328.6485212772955</v>
      </c>
      <c r="D550" s="2">
        <f>1232388/1000</f>
        <v>1232.3879999999999</v>
      </c>
      <c r="E550" s="2">
        <v>141.6</v>
      </c>
      <c r="F550" s="2">
        <v>140</v>
      </c>
      <c r="G550" s="2">
        <v>145.5</v>
      </c>
      <c r="H550" s="2">
        <v>152</v>
      </c>
      <c r="I550" s="10">
        <f t="shared" ref="I550:J565" si="1624">C550/12/G550/M550</f>
        <v>0.77255541093335633</v>
      </c>
      <c r="J550" s="105">
        <f t="shared" ref="J550:J559" si="1625">D550/12/H550/N550</f>
        <v>0.68517525178934557</v>
      </c>
      <c r="K550" s="41">
        <f t="shared" ref="K550" si="1626">C550/24/30/10</f>
        <v>0.1845345168440688</v>
      </c>
      <c r="L550" s="41">
        <f t="shared" ref="L550" si="1627">D550/24/30/10</f>
        <v>0.17116499999999998</v>
      </c>
      <c r="M550" s="10">
        <v>0.98499999999999999</v>
      </c>
      <c r="N550" s="34">
        <v>0.98609999999999998</v>
      </c>
      <c r="O550" s="10">
        <v>0.99</v>
      </c>
      <c r="P550" s="35">
        <v>0.99790000000000001</v>
      </c>
      <c r="Q550" s="83"/>
      <c r="R550" s="81">
        <f t="shared" si="1623"/>
        <v>-7.2449951763582709E-2</v>
      </c>
      <c r="S550" s="10">
        <f t="shared" si="1616"/>
        <v>4.4673539518900407E-2</v>
      </c>
      <c r="T550" s="10">
        <f t="shared" si="1617"/>
        <v>1.0999999999999899E-3</v>
      </c>
      <c r="U550" s="10">
        <f t="shared" si="1618"/>
        <v>7.9000000000000181E-3</v>
      </c>
      <c r="V550" s="23"/>
      <c r="X550" s="5">
        <v>43738</v>
      </c>
      <c r="Y550" s="2">
        <v>661.98801328103764</v>
      </c>
      <c r="Z550" s="2">
        <f>642987/1000</f>
        <v>642.98699999999997</v>
      </c>
      <c r="AA550" s="2">
        <v>141.6</v>
      </c>
      <c r="AB550" s="2">
        <v>144</v>
      </c>
      <c r="AC550" s="2">
        <v>145.5</v>
      </c>
      <c r="AD550" s="2">
        <v>150</v>
      </c>
      <c r="AE550" s="10">
        <f t="shared" si="1619"/>
        <v>0.76983854411945229</v>
      </c>
      <c r="AF550" s="10">
        <f t="shared" si="1620"/>
        <v>0.74512932832707546</v>
      </c>
      <c r="AG550" s="10">
        <f>Y550/24/30/5</f>
        <v>0.18388555924473268</v>
      </c>
      <c r="AH550" s="10">
        <f>Z550/24/30/5</f>
        <v>0.17860749999999997</v>
      </c>
      <c r="AI550" s="10">
        <v>0.98499999999999999</v>
      </c>
      <c r="AJ550" s="11">
        <v>0.95879999999999999</v>
      </c>
      <c r="AK550" s="10">
        <v>0.99</v>
      </c>
      <c r="AL550" s="17">
        <v>0.99760000000000004</v>
      </c>
      <c r="AN550" s="81">
        <f t="shared" ref="AN550" si="1628">Z550/Y550-1</f>
        <v>-2.8702956699868665E-2</v>
      </c>
      <c r="AO550" s="10">
        <f t="shared" ref="AO550" si="1629">AD550/AC550-1</f>
        <v>3.0927835051546282E-2</v>
      </c>
      <c r="AP550" s="10">
        <f t="shared" si="1611"/>
        <v>-2.6200000000000001E-2</v>
      </c>
      <c r="AQ550" s="10">
        <f t="shared" si="1612"/>
        <v>7.6000000000000512E-3</v>
      </c>
      <c r="AR550" s="23"/>
    </row>
    <row r="551" spans="2:88" ht="15" customHeight="1" thickBot="1">
      <c r="B551" s="5">
        <v>43769</v>
      </c>
      <c r="C551" s="4">
        <v>1518.5793775541777</v>
      </c>
      <c r="D551" s="33">
        <f>1212618/1000</f>
        <v>1212.6179999999999</v>
      </c>
      <c r="E551" s="2">
        <v>139.1</v>
      </c>
      <c r="F551" s="33">
        <v>123.07</v>
      </c>
      <c r="G551" s="2">
        <v>172.2</v>
      </c>
      <c r="H551" s="33">
        <v>151.9</v>
      </c>
      <c r="I551" s="10">
        <f t="shared" si="1624"/>
        <v>0.74608253572960337</v>
      </c>
      <c r="J551" s="105">
        <f t="shared" si="1625"/>
        <v>0.69864541543999337</v>
      </c>
      <c r="K551" s="41">
        <f>C551/24/31/10</f>
        <v>0.20411013139169057</v>
      </c>
      <c r="L551" s="41">
        <f>D551/24/31/10</f>
        <v>0.16298629032258063</v>
      </c>
      <c r="M551" s="10">
        <v>0.98499999999999999</v>
      </c>
      <c r="N551" s="34">
        <v>0.95220000000000005</v>
      </c>
      <c r="O551" s="10">
        <v>0.99</v>
      </c>
      <c r="P551" s="35">
        <v>0.98880000000000001</v>
      </c>
      <c r="Q551" s="83"/>
      <c r="R551" s="81">
        <f t="shared" si="1623"/>
        <v>-0.20147868598542329</v>
      </c>
      <c r="S551" s="10">
        <f t="shared" si="1616"/>
        <v>-0.11788617886178854</v>
      </c>
      <c r="T551" s="10">
        <f t="shared" si="1617"/>
        <v>-3.279999999999994E-2</v>
      </c>
      <c r="U551" s="10">
        <f t="shared" si="1618"/>
        <v>-1.1999999999999789E-3</v>
      </c>
      <c r="V551" s="23"/>
      <c r="X551" s="5">
        <v>43769</v>
      </c>
      <c r="Y551" s="2">
        <v>758.46864600676315</v>
      </c>
      <c r="Z551" s="2">
        <f>588549/1000</f>
        <v>588.54899999999998</v>
      </c>
      <c r="AA551" s="2">
        <v>139.1</v>
      </c>
      <c r="AB551" s="2">
        <v>127.72</v>
      </c>
      <c r="AC551" s="2">
        <v>172.2</v>
      </c>
      <c r="AD551" s="2">
        <v>147.56</v>
      </c>
      <c r="AE551" s="10">
        <f t="shared" si="1619"/>
        <v>0.74527577425097247</v>
      </c>
      <c r="AF551" s="10">
        <f t="shared" si="1620"/>
        <v>0.74532650424404856</v>
      </c>
      <c r="AG551" s="10">
        <f>Y551/24/31/5</f>
        <v>0.20388942096956</v>
      </c>
      <c r="AH551" s="10">
        <f>Z551/24/31/5</f>
        <v>0.15821209677419354</v>
      </c>
      <c r="AI551" s="10">
        <v>0.98499999999999999</v>
      </c>
      <c r="AJ551" s="11">
        <v>0.89190000000000003</v>
      </c>
      <c r="AK551" s="10">
        <v>0.99</v>
      </c>
      <c r="AL551" s="17">
        <v>0.98880000000000001</v>
      </c>
      <c r="AN551" s="81">
        <f t="shared" ref="AN551:AN552" si="1630">Z551/Y551-1</f>
        <v>-0.22402988825097458</v>
      </c>
      <c r="AO551" s="10">
        <f t="shared" ref="AO551:AO552" si="1631">AD551/AC551-1</f>
        <v>-0.14308943089430892</v>
      </c>
      <c r="AP551" s="10">
        <f t="shared" si="1611"/>
        <v>-9.3099999999999961E-2</v>
      </c>
      <c r="AQ551" s="10">
        <f t="shared" si="1612"/>
        <v>-1.1999999999999789E-3</v>
      </c>
      <c r="AR551" s="23"/>
    </row>
    <row r="552" spans="2:88" ht="15" customHeight="1" thickBot="1">
      <c r="B552" s="5">
        <v>43799</v>
      </c>
      <c r="C552" s="4">
        <v>1346.911103611611</v>
      </c>
      <c r="D552" s="33">
        <f>1074372/1000</f>
        <v>1074.3720000000001</v>
      </c>
      <c r="E552" s="2">
        <v>108.1</v>
      </c>
      <c r="F552" s="33">
        <v>91.2</v>
      </c>
      <c r="G552" s="2">
        <v>152.1</v>
      </c>
      <c r="H552" s="33">
        <v>128.69999999999999</v>
      </c>
      <c r="I552" s="10">
        <f t="shared" si="1624"/>
        <v>0.74919046691586322</v>
      </c>
      <c r="J552" s="105">
        <f t="shared" si="1625"/>
        <v>0.71961990861339165</v>
      </c>
      <c r="K552" s="41">
        <f>C552/24/30/10</f>
        <v>0.18707098661272376</v>
      </c>
      <c r="L552" s="41">
        <f>D552/24/30/10</f>
        <v>0.14921833333333334</v>
      </c>
      <c r="M552" s="10">
        <v>0.98499999999999999</v>
      </c>
      <c r="N552" s="34">
        <v>0.9667</v>
      </c>
      <c r="O552" s="10">
        <v>0.99</v>
      </c>
      <c r="P552" s="35">
        <v>1</v>
      </c>
      <c r="Q552" s="83"/>
      <c r="R552" s="81">
        <f t="shared" si="1623"/>
        <v>-0.20234379453909312</v>
      </c>
      <c r="S552" s="10">
        <f t="shared" si="1616"/>
        <v>-0.15384615384615385</v>
      </c>
      <c r="T552" s="10">
        <f t="shared" si="1617"/>
        <v>-1.8299999999999983E-2</v>
      </c>
      <c r="U552" s="10">
        <f t="shared" si="1618"/>
        <v>1.0000000000000009E-2</v>
      </c>
      <c r="V552" s="23"/>
      <c r="X552" s="5">
        <v>43799</v>
      </c>
      <c r="Y552" s="2">
        <v>671.42302783781213</v>
      </c>
      <c r="Z552" s="2">
        <f>590718/1000</f>
        <v>590.71799999999996</v>
      </c>
      <c r="AA552" s="2">
        <v>108.1</v>
      </c>
      <c r="AB552" s="2">
        <v>95.7</v>
      </c>
      <c r="AC552" s="2">
        <v>152.1</v>
      </c>
      <c r="AD552" s="2">
        <v>125.4</v>
      </c>
      <c r="AE552" s="10">
        <f t="shared" si="1619"/>
        <v>0.74692937102539869</v>
      </c>
      <c r="AF552" s="10">
        <f t="shared" si="1620"/>
        <v>0.79424546559759379</v>
      </c>
      <c r="AG552" s="10">
        <f>Y552/24/30/5</f>
        <v>0.18650639662161447</v>
      </c>
      <c r="AH552" s="10">
        <f>Z552/24/30/5</f>
        <v>0.16408833333333334</v>
      </c>
      <c r="AI552" s="10">
        <v>0.98499999999999999</v>
      </c>
      <c r="AJ552" s="11">
        <v>0.98850000000000005</v>
      </c>
      <c r="AK552" s="10">
        <v>0.99</v>
      </c>
      <c r="AL552" s="17">
        <v>1</v>
      </c>
      <c r="AN552" s="81">
        <f t="shared" si="1630"/>
        <v>-0.12019997005123151</v>
      </c>
      <c r="AO552" s="10">
        <f t="shared" si="1631"/>
        <v>-0.17554240631163698</v>
      </c>
      <c r="AP552" s="10">
        <f t="shared" si="1611"/>
        <v>3.5000000000000586E-3</v>
      </c>
      <c r="AQ552" s="10">
        <f t="shared" si="1612"/>
        <v>1.0000000000000009E-2</v>
      </c>
      <c r="AR552" s="23"/>
    </row>
    <row r="553" spans="2:88" ht="15" customHeight="1" thickBot="1">
      <c r="B553" s="46">
        <v>43830</v>
      </c>
      <c r="C553" s="54">
        <v>1133.2388903001186</v>
      </c>
      <c r="D553" s="47">
        <f>812934/1000</f>
        <v>812.93399999999997</v>
      </c>
      <c r="E553" s="47">
        <v>89.9</v>
      </c>
      <c r="F553" s="47">
        <v>66.959999999999994</v>
      </c>
      <c r="G553" s="47">
        <v>129.6</v>
      </c>
      <c r="H553" s="47">
        <v>96.72</v>
      </c>
      <c r="I553" s="49">
        <f t="shared" si="1624"/>
        <v>0.73977387817005513</v>
      </c>
      <c r="J553" s="106">
        <f t="shared" si="1625"/>
        <v>0.71318474136168941</v>
      </c>
      <c r="K553" s="41">
        <f>C553/24/31/10</f>
        <v>0.15231705514786539</v>
      </c>
      <c r="L553" s="41">
        <f>D553/24/31/10</f>
        <v>0.10926532258064517</v>
      </c>
      <c r="M553" s="49">
        <v>0.98499999999999999</v>
      </c>
      <c r="N553" s="55">
        <v>0.98209999999999997</v>
      </c>
      <c r="O553" s="49">
        <v>0.99</v>
      </c>
      <c r="P553" s="56">
        <v>0.99870000000000003</v>
      </c>
      <c r="Q553" s="91"/>
      <c r="R553" s="92">
        <f t="shared" si="1623"/>
        <v>-0.2826455154705213</v>
      </c>
      <c r="S553" s="49">
        <f t="shared" ref="S553:S555" si="1632">H553/G553-1</f>
        <v>-0.25370370370370365</v>
      </c>
      <c r="T553" s="49">
        <f t="shared" si="1617"/>
        <v>-2.9000000000000137E-3</v>
      </c>
      <c r="U553" s="49">
        <f t="shared" si="1618"/>
        <v>8.700000000000041E-3</v>
      </c>
      <c r="V553" s="52"/>
      <c r="X553" s="46">
        <v>43830</v>
      </c>
      <c r="Y553" s="2">
        <v>563.68124870561405</v>
      </c>
      <c r="Z553" s="2">
        <f>409797/1000</f>
        <v>409.79700000000003</v>
      </c>
      <c r="AA553" s="2">
        <v>89.9</v>
      </c>
      <c r="AB553" s="2">
        <v>70.06</v>
      </c>
      <c r="AC553" s="2">
        <v>129.6</v>
      </c>
      <c r="AD553" s="2">
        <v>91.45</v>
      </c>
      <c r="AE553" s="10">
        <f t="shared" si="1619"/>
        <v>0.73593779206828525</v>
      </c>
      <c r="AF553" s="10">
        <f t="shared" si="1620"/>
        <v>0.79174254013384493</v>
      </c>
      <c r="AG553" s="10">
        <f>Y553/24/31/5</f>
        <v>0.15152721739398228</v>
      </c>
      <c r="AH553" s="10">
        <f>Z553/24/31/5</f>
        <v>0.11016048387096775</v>
      </c>
      <c r="AI553" s="10">
        <v>0.98499999999999999</v>
      </c>
      <c r="AJ553" s="11">
        <v>0.94330000000000003</v>
      </c>
      <c r="AK553" s="10">
        <v>0.99</v>
      </c>
      <c r="AL553" s="17">
        <v>0.99939999999999996</v>
      </c>
      <c r="AN553" s="92">
        <f t="shared" ref="AN553:AN555" si="1633">Z553/Y553-1</f>
        <v>-0.27299870105485979</v>
      </c>
      <c r="AO553" s="49">
        <f t="shared" ref="AO553:AO555" si="1634">AD553/AC553-1</f>
        <v>-0.29436728395061718</v>
      </c>
      <c r="AP553" s="49">
        <f t="shared" si="1611"/>
        <v>-4.1699999999999959E-2</v>
      </c>
      <c r="AQ553" s="49">
        <f t="shared" si="1612"/>
        <v>9.3999999999999639E-3</v>
      </c>
      <c r="AR553" s="52"/>
    </row>
    <row r="554" spans="2:88" ht="15" customHeight="1" thickBot="1">
      <c r="B554" s="5">
        <v>43861</v>
      </c>
      <c r="C554" s="4">
        <v>955.85419980463189</v>
      </c>
      <c r="D554" s="33">
        <f>814284/1000</f>
        <v>814.28399999999999</v>
      </c>
      <c r="E554" s="2">
        <v>79.599999999999994</v>
      </c>
      <c r="F554" s="33">
        <v>71.3</v>
      </c>
      <c r="G554" s="2">
        <v>103.2</v>
      </c>
      <c r="H554" s="33">
        <v>95.3</v>
      </c>
      <c r="I554" s="10">
        <f t="shared" si="1624"/>
        <v>0.78360009296802802</v>
      </c>
      <c r="J554" s="105">
        <f t="shared" si="1625"/>
        <v>0.77210548342016216</v>
      </c>
      <c r="K554" s="41">
        <f>C554/24/31/10</f>
        <v>0.12847502685546125</v>
      </c>
      <c r="L554" s="41">
        <f>D554/24/31/10</f>
        <v>0.10944677419354838</v>
      </c>
      <c r="M554" s="10">
        <v>0.98499999999999999</v>
      </c>
      <c r="N554" s="34">
        <v>0.92220000000000002</v>
      </c>
      <c r="O554" s="10">
        <v>0.99</v>
      </c>
      <c r="P554" s="35">
        <v>0.98850000000000005</v>
      </c>
      <c r="Q554" s="83"/>
      <c r="R554" s="81">
        <f t="shared" si="1623"/>
        <v>-0.14810857119586607</v>
      </c>
      <c r="S554" s="10">
        <f t="shared" si="1632"/>
        <v>-7.655038759689925E-2</v>
      </c>
      <c r="T554" s="10">
        <f t="shared" si="1617"/>
        <v>-6.2799999999999967E-2</v>
      </c>
      <c r="U554" s="10">
        <f t="shared" si="1618"/>
        <v>-1.4999999999999458E-3</v>
      </c>
      <c r="V554" s="23"/>
      <c r="X554" s="5">
        <v>43861</v>
      </c>
      <c r="Y554" s="2">
        <v>474.55528591572136</v>
      </c>
      <c r="Z554" s="2">
        <f>431172/1000</f>
        <v>431.17200000000003</v>
      </c>
      <c r="AA554" s="2">
        <v>79.599999999999994</v>
      </c>
      <c r="AB554" s="2">
        <v>73.040000000000006</v>
      </c>
      <c r="AC554" s="2">
        <v>103.2</v>
      </c>
      <c r="AD554" s="2">
        <v>95.77</v>
      </c>
      <c r="AE554" s="10">
        <f t="shared" si="1619"/>
        <v>0.77807173152146758</v>
      </c>
      <c r="AF554" s="10">
        <f t="shared" si="1620"/>
        <v>0.83243869322207353</v>
      </c>
      <c r="AG554" s="10">
        <f>Y554/24/31/5</f>
        <v>0.12756862524616167</v>
      </c>
      <c r="AH554" s="10">
        <f>Z554/24/31/5</f>
        <v>0.11590645161290325</v>
      </c>
      <c r="AI554" s="10">
        <v>0.98499999999999999</v>
      </c>
      <c r="AJ554" s="11">
        <v>0.90139999999999998</v>
      </c>
      <c r="AK554" s="10">
        <v>0.99</v>
      </c>
      <c r="AL554" s="17">
        <v>0.998</v>
      </c>
      <c r="AN554" s="81">
        <f t="shared" si="1633"/>
        <v>-9.1418823482299127E-2</v>
      </c>
      <c r="AO554" s="10">
        <f t="shared" si="1634"/>
        <v>-7.1996124031007858E-2</v>
      </c>
      <c r="AP554" s="10">
        <f t="shared" si="1611"/>
        <v>-8.3600000000000008E-2</v>
      </c>
      <c r="AQ554" s="10">
        <f t="shared" si="1612"/>
        <v>8.0000000000000071E-3</v>
      </c>
      <c r="AR554" s="23"/>
    </row>
    <row r="555" spans="2:88" ht="15" customHeight="1" thickBot="1">
      <c r="B555" s="5">
        <v>43890</v>
      </c>
      <c r="C555" s="4">
        <v>1251.1373279225975</v>
      </c>
      <c r="D555" s="33">
        <f>1286046/1000</f>
        <v>1286.046</v>
      </c>
      <c r="E555" s="2">
        <v>108.1</v>
      </c>
      <c r="F555" s="33">
        <v>110.78</v>
      </c>
      <c r="G555" s="2">
        <v>137.5</v>
      </c>
      <c r="H555" s="33">
        <v>144.13</v>
      </c>
      <c r="I555" s="10">
        <f t="shared" si="1624"/>
        <v>0.76981223068610827</v>
      </c>
      <c r="J555" s="105">
        <f t="shared" si="1625"/>
        <v>0.74722973207724308</v>
      </c>
      <c r="K555" s="14">
        <f>C555/24/28/10</f>
        <v>0.18618114998848176</v>
      </c>
      <c r="L555" s="14">
        <f>D555/24/28/10</f>
        <v>0.19137589285714288</v>
      </c>
      <c r="M555" s="10">
        <v>0.98499999999999999</v>
      </c>
      <c r="N555" s="34">
        <v>0.99509999999999998</v>
      </c>
      <c r="O555" s="10">
        <v>0.99</v>
      </c>
      <c r="P555" s="35">
        <v>0.99439999999999995</v>
      </c>
      <c r="Q555" s="83"/>
      <c r="R555" s="81">
        <f t="shared" si="1623"/>
        <v>2.7901551091410015E-2</v>
      </c>
      <c r="S555" s="10">
        <f t="shared" si="1632"/>
        <v>4.8218181818181716E-2</v>
      </c>
      <c r="T555" s="10">
        <f t="shared" si="1617"/>
        <v>1.0099999999999998E-2</v>
      </c>
      <c r="U555" s="10">
        <f t="shared" si="1618"/>
        <v>4.3999999999999595E-3</v>
      </c>
      <c r="V555" s="23"/>
      <c r="X555" s="5">
        <v>43890</v>
      </c>
      <c r="Y555" s="2">
        <v>622.94371646912032</v>
      </c>
      <c r="Z555" s="2">
        <f>650781/1000</f>
        <v>650.78099999999995</v>
      </c>
      <c r="AA555" s="2">
        <v>108.1</v>
      </c>
      <c r="AB555" s="2">
        <v>113.97</v>
      </c>
      <c r="AC555" s="2">
        <v>137.5</v>
      </c>
      <c r="AD555" s="2">
        <v>144.41999999999999</v>
      </c>
      <c r="AE555" s="10">
        <f t="shared" si="1619"/>
        <v>0.76658202303537337</v>
      </c>
      <c r="AF555" s="10">
        <f t="shared" si="1620"/>
        <v>0.78158835564030982</v>
      </c>
      <c r="AG555" s="10">
        <f>Y555/24/29/5</f>
        <v>0.17900681507733343</v>
      </c>
      <c r="AH555" s="10">
        <f>Z555/24/29/5</f>
        <v>0.1870060344827586</v>
      </c>
      <c r="AI555" s="10">
        <v>0.98499999999999999</v>
      </c>
      <c r="AJ555" s="11">
        <v>0.96089999999999998</v>
      </c>
      <c r="AK555" s="10">
        <v>0.99</v>
      </c>
      <c r="AL555" s="17">
        <v>1</v>
      </c>
      <c r="AN555" s="81">
        <f t="shared" si="1633"/>
        <v>4.4686675208256199E-2</v>
      </c>
      <c r="AO555" s="10">
        <f t="shared" si="1634"/>
        <v>5.0327272727272554E-2</v>
      </c>
      <c r="AP555" s="10">
        <f t="shared" si="1611"/>
        <v>-2.410000000000001E-2</v>
      </c>
      <c r="AQ555" s="10">
        <f t="shared" si="1612"/>
        <v>1.0000000000000009E-2</v>
      </c>
      <c r="AR555" s="23"/>
    </row>
    <row r="556" spans="2:88" ht="15" customHeight="1" thickBot="1">
      <c r="B556" s="5">
        <v>43921</v>
      </c>
      <c r="C556" s="4">
        <v>1673.6193419990709</v>
      </c>
      <c r="D556" s="33">
        <f>1487526/1000</f>
        <v>1487.5260000000001</v>
      </c>
      <c r="E556" s="4">
        <v>161.4</v>
      </c>
      <c r="F556" s="33">
        <v>148.58000000000001</v>
      </c>
      <c r="G556" s="4">
        <v>187.8</v>
      </c>
      <c r="H556" s="33">
        <v>169.87</v>
      </c>
      <c r="I556" s="10">
        <f t="shared" si="1624"/>
        <v>0.75395186854966445</v>
      </c>
      <c r="J556" s="105">
        <f t="shared" si="1625"/>
        <v>0.76830642901921598</v>
      </c>
      <c r="K556" s="14">
        <f>C556/24/31/10</f>
        <v>0.22494883629019768</v>
      </c>
      <c r="L556" s="14">
        <f>D556/24/31/10</f>
        <v>0.19993629032258067</v>
      </c>
      <c r="M556" s="19">
        <v>0.98499999999999999</v>
      </c>
      <c r="N556" s="34">
        <v>0.94979999999999998</v>
      </c>
      <c r="O556" s="19">
        <v>0.99</v>
      </c>
      <c r="P556" s="35">
        <v>0.98780000000000001</v>
      </c>
      <c r="Q556" s="83"/>
      <c r="R556" s="81">
        <f t="shared" ref="R556" si="1635">D556/C556-1</f>
        <v>-0.11119215542573135</v>
      </c>
      <c r="S556" s="10">
        <f t="shared" ref="S556" si="1636">H556/G556-1</f>
        <v>-9.5473908413205577E-2</v>
      </c>
      <c r="T556" s="10">
        <f t="shared" ref="T556:T557" si="1637">N556-M556</f>
        <v>-3.5200000000000009E-2</v>
      </c>
      <c r="U556" s="10">
        <f t="shared" ref="U556:U557" si="1638">P556-O556</f>
        <v>-2.1999999999999797E-3</v>
      </c>
      <c r="V556" s="23"/>
      <c r="X556" s="5">
        <v>43921</v>
      </c>
      <c r="Y556" s="2">
        <v>835.53285575174448</v>
      </c>
      <c r="Z556" s="2">
        <f>786693/1000</f>
        <v>786.69299999999998</v>
      </c>
      <c r="AA556" s="2">
        <v>161.4</v>
      </c>
      <c r="AB556" s="2">
        <v>153.18</v>
      </c>
      <c r="AC556" s="2">
        <v>187.8</v>
      </c>
      <c r="AD556" s="2">
        <v>172</v>
      </c>
      <c r="AE556" s="10">
        <f t="shared" ref="AE556:AE560" si="1639">Y556/6/AC556/AI556</f>
        <v>0.75280147883115789</v>
      </c>
      <c r="AF556" s="10">
        <f t="shared" ref="AF556:AF560" si="1640">Z556/6/AD556/AJ556</f>
        <v>0.79472416451694228</v>
      </c>
      <c r="AG556" s="10">
        <f>Y556/24/31/5</f>
        <v>0.22460560638487753</v>
      </c>
      <c r="AH556" s="10">
        <f>Z556/24/31/5</f>
        <v>0.21147661290322581</v>
      </c>
      <c r="AI556" s="10">
        <v>0.98499999999999999</v>
      </c>
      <c r="AJ556" s="11">
        <v>0.95920000000000005</v>
      </c>
      <c r="AK556" s="10">
        <v>0.99</v>
      </c>
      <c r="AL556" s="17">
        <v>0.99939999999999996</v>
      </c>
      <c r="AN556" s="81">
        <f t="shared" ref="AN556" si="1641">Z556/Y556-1</f>
        <v>-5.8453543048049728E-2</v>
      </c>
      <c r="AO556" s="10">
        <f t="shared" ref="AO556" si="1642">AD556/AC556-1</f>
        <v>-8.4132055378061787E-2</v>
      </c>
      <c r="AP556" s="10">
        <f t="shared" ref="AP556:AP557" si="1643">AJ556-AI556</f>
        <v>-2.5799999999999934E-2</v>
      </c>
      <c r="AQ556" s="10">
        <f t="shared" ref="AQ556:AQ557" si="1644">AL556-AK556</f>
        <v>9.3999999999999639E-3</v>
      </c>
      <c r="AR556" s="23"/>
    </row>
    <row r="557" spans="2:88" s="89" customFormat="1" ht="15" customHeight="1" thickBot="1">
      <c r="B557" s="25">
        <v>43951</v>
      </c>
      <c r="C557" s="115">
        <v>1729.0417137381353</v>
      </c>
      <c r="D557" s="26">
        <f>1526454/1000</f>
        <v>1526.454</v>
      </c>
      <c r="E557" s="26">
        <v>190.2</v>
      </c>
      <c r="F557" s="26">
        <v>171</v>
      </c>
      <c r="G557" s="26">
        <v>194</v>
      </c>
      <c r="H557" s="26">
        <v>176.1</v>
      </c>
      <c r="I557" s="29">
        <f t="shared" si="1624"/>
        <v>0.75402590129351577</v>
      </c>
      <c r="J557" s="107">
        <f t="shared" si="1625"/>
        <v>0.72750772391989937</v>
      </c>
      <c r="K557" s="45">
        <f>C557/24/30/10</f>
        <v>0.24014468246362991</v>
      </c>
      <c r="L557" s="45">
        <f>D557/24/30/10</f>
        <v>0.21200749999999999</v>
      </c>
      <c r="M557" s="40">
        <v>0.98499999999999999</v>
      </c>
      <c r="N557" s="37">
        <v>0.9929</v>
      </c>
      <c r="O557" s="40">
        <v>0.99</v>
      </c>
      <c r="P557" s="38">
        <v>0.999</v>
      </c>
      <c r="Q557" s="86"/>
      <c r="R557" s="87">
        <f t="shared" ref="R557" si="1645">D557/C557-1</f>
        <v>-0.11716762651153567</v>
      </c>
      <c r="S557" s="29">
        <f t="shared" ref="S557" si="1646">H557/G557-1</f>
        <v>-9.2268041237113407E-2</v>
      </c>
      <c r="T557" s="29">
        <f t="shared" si="1637"/>
        <v>7.9000000000000181E-3</v>
      </c>
      <c r="U557" s="29">
        <f t="shared" si="1638"/>
        <v>9.000000000000008E-3</v>
      </c>
      <c r="V557" s="32"/>
      <c r="W557" s="86"/>
      <c r="X557" s="25">
        <v>43951</v>
      </c>
      <c r="Y557" s="44">
        <v>864.60487479894107</v>
      </c>
      <c r="Z557" s="2">
        <f>785445/1000</f>
        <v>785.44500000000005</v>
      </c>
      <c r="AA557" s="2">
        <v>190.2</v>
      </c>
      <c r="AB557" s="2">
        <v>177.6</v>
      </c>
      <c r="AC557" s="2">
        <v>194</v>
      </c>
      <c r="AD557" s="2">
        <v>179.1</v>
      </c>
      <c r="AE557" s="10">
        <f t="shared" si="1639"/>
        <v>0.75409918083882022</v>
      </c>
      <c r="AF557" s="10">
        <f t="shared" si="1640"/>
        <v>0.74401311206775822</v>
      </c>
      <c r="AG557" s="10">
        <f>Y557/24/30/5</f>
        <v>0.24016802077748362</v>
      </c>
      <c r="AH557" s="10">
        <f>Z557/24/30/5</f>
        <v>0.21817916666666667</v>
      </c>
      <c r="AI557" s="28">
        <v>0.98499999999999999</v>
      </c>
      <c r="AJ557" s="85">
        <v>0.98240000000000005</v>
      </c>
      <c r="AK557" s="29">
        <v>0.99</v>
      </c>
      <c r="AL557" s="30">
        <v>0.99880000000000002</v>
      </c>
      <c r="AM557" s="86"/>
      <c r="AN557" s="87">
        <f t="shared" ref="AN557" si="1647">Z557/Y557-1</f>
        <v>-9.1556128245690482E-2</v>
      </c>
      <c r="AO557" s="29">
        <f t="shared" ref="AO557" si="1648">AD557/AC557-1</f>
        <v>-7.6804123711340266E-2</v>
      </c>
      <c r="AP557" s="29">
        <f t="shared" si="1643"/>
        <v>-2.5999999999999357E-3</v>
      </c>
      <c r="AQ557" s="29">
        <f t="shared" si="1644"/>
        <v>8.80000000000003E-3</v>
      </c>
      <c r="AR557" s="32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</row>
    <row r="558" spans="2:88" ht="15" customHeight="1" thickBot="1">
      <c r="B558" s="5">
        <v>43982</v>
      </c>
      <c r="C558" s="114">
        <v>1751.7558005164403</v>
      </c>
      <c r="D558" s="33">
        <f>1541916/1000</f>
        <v>1541.9159999999999</v>
      </c>
      <c r="E558" s="2">
        <v>197</v>
      </c>
      <c r="F558" s="33">
        <v>188.48</v>
      </c>
      <c r="G558" s="2">
        <v>197.7</v>
      </c>
      <c r="H558" s="33">
        <v>187.24</v>
      </c>
      <c r="I558" s="10">
        <f t="shared" si="1624"/>
        <v>0.74963424582206384</v>
      </c>
      <c r="J558" s="108">
        <f t="shared" si="1625"/>
        <v>0.71873439114723359</v>
      </c>
      <c r="K558" s="41">
        <f t="shared" ref="K558" si="1649">C558/24/31/10</f>
        <v>0.2354510484565108</v>
      </c>
      <c r="L558" s="41">
        <f t="shared" ref="L558" si="1650">D558/24/31/10</f>
        <v>0.20724677419354837</v>
      </c>
      <c r="M558" s="19">
        <v>0.98499999999999999</v>
      </c>
      <c r="N558" s="34">
        <v>0.95479999999999998</v>
      </c>
      <c r="O558" s="19">
        <v>0.99</v>
      </c>
      <c r="P558" s="35">
        <v>0.98860000000000003</v>
      </c>
      <c r="Q558" s="83"/>
      <c r="R558" s="81">
        <f t="shared" ref="R558" si="1651">D558/C558-1</f>
        <v>-0.11978827211793841</v>
      </c>
      <c r="S558" s="10">
        <f t="shared" ref="S558" si="1652">H558/G558-1</f>
        <v>-5.2908447142134496E-2</v>
      </c>
      <c r="T558" s="10">
        <f t="shared" ref="T558:T565" si="1653">N558-M558</f>
        <v>-3.0200000000000005E-2</v>
      </c>
      <c r="U558" s="10">
        <f t="shared" ref="U558:U565" si="1654">P558-O558</f>
        <v>-1.3999999999999568E-3</v>
      </c>
      <c r="V558" s="23"/>
      <c r="W558" s="83"/>
      <c r="X558" s="5">
        <v>43982</v>
      </c>
      <c r="Y558" s="43">
        <v>876.11254900512313</v>
      </c>
      <c r="Z558" s="2">
        <f>831420/1000</f>
        <v>831.42</v>
      </c>
      <c r="AA558" s="2">
        <v>197</v>
      </c>
      <c r="AB558" s="2">
        <v>193.75</v>
      </c>
      <c r="AC558" s="2">
        <v>197.7</v>
      </c>
      <c r="AD558" s="2">
        <v>190.96</v>
      </c>
      <c r="AE558" s="10">
        <f t="shared" si="1639"/>
        <v>0.74983507374153291</v>
      </c>
      <c r="AF558" s="10">
        <f t="shared" si="1640"/>
        <v>0.74662964363550832</v>
      </c>
      <c r="AG558" s="10">
        <f t="shared" ref="AG558:AH558" si="1655">Y558/24/31/5</f>
        <v>0.23551412607664601</v>
      </c>
      <c r="AH558" s="10">
        <f t="shared" si="1655"/>
        <v>0.22349999999999998</v>
      </c>
      <c r="AI558" s="11">
        <v>0.98499999999999999</v>
      </c>
      <c r="AJ558" s="82">
        <v>0.97189999999999999</v>
      </c>
      <c r="AK558" s="10">
        <v>0.99</v>
      </c>
      <c r="AL558" s="17">
        <v>0.99729999999999996</v>
      </c>
      <c r="AM558" s="83"/>
      <c r="AN558" s="81">
        <f t="shared" ref="AN558" si="1656">Z558/Y558-1</f>
        <v>-5.1012337462662982E-2</v>
      </c>
      <c r="AO558" s="10">
        <f t="shared" ref="AO558:AO563" si="1657">AD558/AC558-1</f>
        <v>-3.4092058674759618E-2</v>
      </c>
      <c r="AP558" s="10">
        <f t="shared" ref="AP558:AP565" si="1658">AJ558-AI558</f>
        <v>-1.3100000000000001E-2</v>
      </c>
      <c r="AQ558" s="10">
        <f t="shared" ref="AQ558:AQ566" si="1659">AL558-AK558</f>
        <v>7.2999999999999732E-3</v>
      </c>
      <c r="AR558" s="23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</row>
    <row r="559" spans="2:88" ht="15" customHeight="1" thickBot="1">
      <c r="B559" s="5">
        <v>44012</v>
      </c>
      <c r="C559" s="114">
        <v>1575.4944871167932</v>
      </c>
      <c r="D559" s="33">
        <f>1580802/1000</f>
        <v>1580.8019999999999</v>
      </c>
      <c r="E559" s="2">
        <v>178.9</v>
      </c>
      <c r="F559" s="33">
        <v>185.59</v>
      </c>
      <c r="G559" s="2">
        <v>177.2</v>
      </c>
      <c r="H559" s="33">
        <v>184.54</v>
      </c>
      <c r="I559" s="10">
        <f t="shared" si="1624"/>
        <v>0.75220409563161184</v>
      </c>
      <c r="J559" s="105">
        <f t="shared" si="1625"/>
        <v>0.72398371830092967</v>
      </c>
      <c r="K559" s="41">
        <f t="shared" ref="K559" si="1660">C559/24/30/10</f>
        <v>0.21881867876622127</v>
      </c>
      <c r="L559" s="41">
        <f t="shared" ref="L559" si="1661">D559/24/30/10</f>
        <v>0.21955583333333331</v>
      </c>
      <c r="M559" s="19">
        <v>0.98499999999999999</v>
      </c>
      <c r="N559" s="34">
        <v>0.98599999999999999</v>
      </c>
      <c r="O559" s="19">
        <v>0.99</v>
      </c>
      <c r="P559" s="35">
        <v>0.99850000000000005</v>
      </c>
      <c r="Q559" s="83"/>
      <c r="R559" s="81">
        <f t="shared" ref="R559" si="1662">D559/C559-1</f>
        <v>3.3687917835369952E-3</v>
      </c>
      <c r="S559" s="10">
        <f t="shared" ref="S559" si="1663">H559/G559-1</f>
        <v>4.1422121896162567E-2</v>
      </c>
      <c r="T559" s="10">
        <f t="shared" si="1653"/>
        <v>1.0000000000000009E-3</v>
      </c>
      <c r="U559" s="10">
        <f t="shared" si="1654"/>
        <v>8.5000000000000631E-3</v>
      </c>
      <c r="V559" s="23"/>
      <c r="W559" s="83"/>
      <c r="X559" s="5">
        <v>44012</v>
      </c>
      <c r="Y559" s="43">
        <v>786.47382360960046</v>
      </c>
      <c r="Z559" s="2">
        <f>817701/1000</f>
        <v>817.70100000000002</v>
      </c>
      <c r="AA559" s="2">
        <v>178.9</v>
      </c>
      <c r="AB559" s="2">
        <v>188.28</v>
      </c>
      <c r="AC559" s="2">
        <v>177.2</v>
      </c>
      <c r="AD559" s="2">
        <v>184.28</v>
      </c>
      <c r="AE559" s="10">
        <f t="shared" si="1639"/>
        <v>0.75098813237845385</v>
      </c>
      <c r="AF559" s="10">
        <f t="shared" si="1640"/>
        <v>0.76296894652817848</v>
      </c>
      <c r="AG559" s="10">
        <f>Y559/24/30/5</f>
        <v>0.21846495100266677</v>
      </c>
      <c r="AH559" s="10">
        <f>Z559/24/30/5</f>
        <v>0.22713916666666667</v>
      </c>
      <c r="AI559" s="11">
        <v>0.98499999999999999</v>
      </c>
      <c r="AJ559" s="82">
        <v>0.96930000000000005</v>
      </c>
      <c r="AK559" s="10">
        <v>0.99</v>
      </c>
      <c r="AL559" s="17">
        <v>0.99850000000000005</v>
      </c>
      <c r="AM559" s="83"/>
      <c r="AN559" s="81">
        <f t="shared" ref="AN559" si="1664">Z559/Y559-1</f>
        <v>3.9705296543856017E-2</v>
      </c>
      <c r="AO559" s="10">
        <f t="shared" si="1657"/>
        <v>3.9954853273137747E-2</v>
      </c>
      <c r="AP559" s="10">
        <f t="shared" si="1658"/>
        <v>-1.5699999999999936E-2</v>
      </c>
      <c r="AQ559" s="10">
        <f t="shared" si="1659"/>
        <v>8.5000000000000631E-3</v>
      </c>
      <c r="AR559" s="23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</row>
    <row r="560" spans="2:88" ht="15" customHeight="1" thickBot="1">
      <c r="B560" s="5">
        <v>44043</v>
      </c>
      <c r="C560" s="114">
        <v>1397.4160467748818</v>
      </c>
      <c r="D560" s="33">
        <f>1306206/1000</f>
        <v>1306.2059999999999</v>
      </c>
      <c r="E560" s="2">
        <v>155.5</v>
      </c>
      <c r="F560" s="33">
        <v>154.16999999999999</v>
      </c>
      <c r="G560" s="2">
        <v>154.6</v>
      </c>
      <c r="H560" s="33">
        <v>153.65</v>
      </c>
      <c r="I560" s="10">
        <f t="shared" si="1624"/>
        <v>0.76471350484459755</v>
      </c>
      <c r="J560" s="105">
        <f>D560/12/H560/N560</f>
        <v>0.75630564765955743</v>
      </c>
      <c r="K560" s="41">
        <f>C560/24/31/10</f>
        <v>0.18782473746974218</v>
      </c>
      <c r="L560" s="41">
        <f>D560/24/31/10</f>
        <v>0.17556532258064517</v>
      </c>
      <c r="M560" s="19">
        <v>0.98499999999999999</v>
      </c>
      <c r="N560" s="34">
        <v>0.93669999999999998</v>
      </c>
      <c r="O560" s="19">
        <v>0.99</v>
      </c>
      <c r="P560" s="35">
        <v>0.98960000000000004</v>
      </c>
      <c r="Q560" s="83"/>
      <c r="R560" s="81">
        <f t="shared" ref="R560:R565" si="1665">D560/C560-1</f>
        <v>-6.5270501927745084E-2</v>
      </c>
      <c r="S560" s="10">
        <f t="shared" ref="S560:S565" si="1666">H560/G560-1</f>
        <v>-6.1448900388098027E-3</v>
      </c>
      <c r="T560" s="10">
        <f t="shared" si="1653"/>
        <v>-4.830000000000001E-2</v>
      </c>
      <c r="U560" s="10">
        <f t="shared" si="1654"/>
        <v>-3.9999999999995595E-4</v>
      </c>
      <c r="V560" s="23"/>
      <c r="W560" s="83"/>
      <c r="X560" s="5">
        <v>44043</v>
      </c>
      <c r="Y560" s="43">
        <v>696.22943115059468</v>
      </c>
      <c r="Z560" s="2">
        <f>711324/1000</f>
        <v>711.32399999999996</v>
      </c>
      <c r="AA560" s="2">
        <v>155.5</v>
      </c>
      <c r="AB560" s="2">
        <v>155.22000000000003</v>
      </c>
      <c r="AC560" s="2">
        <v>154.6</v>
      </c>
      <c r="AD560" s="2">
        <v>153.15</v>
      </c>
      <c r="AE560" s="10">
        <f t="shared" si="1639"/>
        <v>0.76200076519788495</v>
      </c>
      <c r="AF560" s="10">
        <f t="shared" si="1640"/>
        <v>0.80068661541634767</v>
      </c>
      <c r="AG560" s="10">
        <f>Y560/24/31/5</f>
        <v>0.18715844923403085</v>
      </c>
      <c r="AH560" s="10">
        <f>Z560/24/31/5</f>
        <v>0.19121612903225804</v>
      </c>
      <c r="AI560" s="11">
        <v>0.98499999999999999</v>
      </c>
      <c r="AJ560" s="82">
        <v>0.96679999999999999</v>
      </c>
      <c r="AK560" s="10">
        <v>0.99</v>
      </c>
      <c r="AL560" s="17">
        <v>0.98670000000000002</v>
      </c>
      <c r="AM560" s="83"/>
      <c r="AN560" s="81">
        <f t="shared" ref="AN560:AN563" si="1667">Z560/Y560-1</f>
        <v>2.1680452124035909E-2</v>
      </c>
      <c r="AO560" s="10">
        <f t="shared" si="1657"/>
        <v>-9.3790426908149094E-3</v>
      </c>
      <c r="AP560" s="10">
        <f t="shared" si="1658"/>
        <v>-1.8199999999999994E-2</v>
      </c>
      <c r="AQ560" s="10">
        <f t="shared" si="1659"/>
        <v>-3.2999999999999696E-3</v>
      </c>
      <c r="AR560" s="23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</row>
    <row r="561" spans="2:88" ht="15" customHeight="1" thickBot="1">
      <c r="B561" s="5">
        <v>44074</v>
      </c>
      <c r="C561" s="114">
        <v>1327.4566594977023</v>
      </c>
      <c r="D561" s="33">
        <v>1154.2380000000001</v>
      </c>
      <c r="E561" s="2">
        <v>145.4</v>
      </c>
      <c r="F561" s="33">
        <v>135.54</v>
      </c>
      <c r="G561" s="2">
        <v>146.30000000000001</v>
      </c>
      <c r="H561" s="33">
        <v>136.63</v>
      </c>
      <c r="I561" s="10">
        <f t="shared" si="1624"/>
        <v>0.76764168120908061</v>
      </c>
      <c r="J561" s="105">
        <f>D561/12/H561/N561</f>
        <v>0.75180749101073152</v>
      </c>
      <c r="K561" s="41">
        <f>C561/24/31/10</f>
        <v>0.17842159401850838</v>
      </c>
      <c r="L561" s="41">
        <f>D561/24/31/10</f>
        <v>0.15513951612903226</v>
      </c>
      <c r="M561" s="19">
        <v>0.98499999999999999</v>
      </c>
      <c r="N561" s="34">
        <v>0.93640000000000001</v>
      </c>
      <c r="O561" s="19">
        <v>0.99</v>
      </c>
      <c r="P561" s="35">
        <v>0.99860000000000004</v>
      </c>
      <c r="Q561" s="83"/>
      <c r="R561" s="81">
        <f t="shared" si="1665"/>
        <v>-0.1304891261483796</v>
      </c>
      <c r="S561" s="10">
        <f t="shared" si="1666"/>
        <v>-6.6097060833902987E-2</v>
      </c>
      <c r="T561" s="10">
        <f t="shared" si="1653"/>
        <v>-4.8599999999999977E-2</v>
      </c>
      <c r="U561" s="10">
        <f t="shared" si="1654"/>
        <v>8.600000000000052E-3</v>
      </c>
      <c r="V561" s="23"/>
      <c r="W561" s="83"/>
      <c r="X561" s="5">
        <v>44074</v>
      </c>
      <c r="Y561" s="43">
        <v>660.797907936824</v>
      </c>
      <c r="Z561" s="2">
        <v>587.81399999999996</v>
      </c>
      <c r="AA561" s="2">
        <v>145.4</v>
      </c>
      <c r="AB561" s="2">
        <v>135.4</v>
      </c>
      <c r="AC561" s="2">
        <v>146.30000000000001</v>
      </c>
      <c r="AD561" s="2">
        <v>135.54</v>
      </c>
      <c r="AE561" s="10">
        <f t="shared" ref="AE561:AF565" si="1668">Y561/6/AC561/AI561</f>
        <v>0.76425247236321536</v>
      </c>
      <c r="AF561" s="10">
        <f t="shared" ref="AF561" si="1669">Z561/6/AD561/AJ561</f>
        <v>0.79832679036042309</v>
      </c>
      <c r="AG561" s="10">
        <f>Y561/24/31/5</f>
        <v>0.17763384621957637</v>
      </c>
      <c r="AH561" s="10">
        <f>Z561/24/31/5</f>
        <v>0.15801451612903225</v>
      </c>
      <c r="AI561" s="11">
        <v>0.98499999999999999</v>
      </c>
      <c r="AJ561" s="82">
        <v>0.90539999999999998</v>
      </c>
      <c r="AK561" s="10">
        <v>0.99</v>
      </c>
      <c r="AL561" s="17">
        <v>0.99880000000000002</v>
      </c>
      <c r="AM561" s="83"/>
      <c r="AN561" s="81">
        <f t="shared" si="1667"/>
        <v>-0.11044815224173155</v>
      </c>
      <c r="AO561" s="10">
        <f t="shared" si="1657"/>
        <v>-7.3547505126452584E-2</v>
      </c>
      <c r="AP561" s="10">
        <f t="shared" si="1658"/>
        <v>-7.9600000000000004E-2</v>
      </c>
      <c r="AQ561" s="10">
        <f t="shared" si="1659"/>
        <v>8.80000000000003E-3</v>
      </c>
      <c r="AR561" s="23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</row>
    <row r="562" spans="2:88" ht="15" customHeight="1" thickBot="1">
      <c r="B562" s="5">
        <v>44104</v>
      </c>
      <c r="C562" s="114">
        <v>1322.0052786709093</v>
      </c>
      <c r="D562" s="33">
        <f>1313370/1000</f>
        <v>1313.37</v>
      </c>
      <c r="E562" s="2">
        <v>141.6</v>
      </c>
      <c r="F562" s="33">
        <v>145.53</v>
      </c>
      <c r="G562" s="2">
        <v>145.5</v>
      </c>
      <c r="H562" s="33">
        <v>159.03</v>
      </c>
      <c r="I562" s="10">
        <f t="shared" si="1624"/>
        <v>0.76869263387868969</v>
      </c>
      <c r="J562" s="10">
        <f t="shared" si="1624"/>
        <v>0.69749589938561651</v>
      </c>
      <c r="K562" s="41">
        <f t="shared" ref="K562" si="1670">C562/24/30/10</f>
        <v>0.18361184425984853</v>
      </c>
      <c r="L562" s="41">
        <f t="shared" ref="L562" si="1671">D562/24/30/10</f>
        <v>0.18241249999999998</v>
      </c>
      <c r="M562" s="19">
        <v>0.98499999999999999</v>
      </c>
      <c r="N562" s="34">
        <v>0.98670000000000002</v>
      </c>
      <c r="O562" s="19">
        <v>0.99</v>
      </c>
      <c r="P562" s="35">
        <v>0.99429999999999996</v>
      </c>
      <c r="Q562" s="83"/>
      <c r="R562" s="81">
        <f t="shared" si="1665"/>
        <v>-6.5319547586004667E-3</v>
      </c>
      <c r="S562" s="10">
        <f t="shared" si="1666"/>
        <v>9.2989690721649421E-2</v>
      </c>
      <c r="T562" s="10">
        <f t="shared" si="1653"/>
        <v>1.7000000000000348E-3</v>
      </c>
      <c r="U562" s="10">
        <f t="shared" si="1654"/>
        <v>4.2999999999999705E-3</v>
      </c>
      <c r="V562" s="23"/>
      <c r="W562" s="83"/>
      <c r="X562" s="5">
        <v>44104</v>
      </c>
      <c r="Y562" s="43">
        <v>658.67807321463249</v>
      </c>
      <c r="Z562" s="2">
        <f>683826/1000</f>
        <v>683.82600000000002</v>
      </c>
      <c r="AA562" s="2">
        <v>141.6</v>
      </c>
      <c r="AB562" s="2">
        <v>145.79</v>
      </c>
      <c r="AC562" s="2">
        <v>145.5</v>
      </c>
      <c r="AD562" s="2">
        <v>154.88999999999999</v>
      </c>
      <c r="AE562" s="10">
        <f t="shared" si="1668"/>
        <v>0.76598935139885516</v>
      </c>
      <c r="AF562" s="10">
        <f t="shared" si="1668"/>
        <v>0.77024910321373807</v>
      </c>
      <c r="AG562" s="10">
        <f>Y562/24/30/5</f>
        <v>0.18296613144850901</v>
      </c>
      <c r="AH562" s="10">
        <f>Z562/24/30/5</f>
        <v>0.18995166666666669</v>
      </c>
      <c r="AI562" s="11">
        <v>0.98499999999999999</v>
      </c>
      <c r="AJ562" s="82">
        <v>0.95530000000000004</v>
      </c>
      <c r="AK562" s="10">
        <v>0.99</v>
      </c>
      <c r="AL562" s="17">
        <v>0.99739999999999995</v>
      </c>
      <c r="AM562" s="83"/>
      <c r="AN562" s="81">
        <f t="shared" si="1667"/>
        <v>3.81793896108229E-2</v>
      </c>
      <c r="AO562" s="10">
        <f t="shared" si="1657"/>
        <v>6.4536082474226708E-2</v>
      </c>
      <c r="AP562" s="10">
        <f t="shared" si="1658"/>
        <v>-2.9699999999999949E-2</v>
      </c>
      <c r="AQ562" s="10">
        <f t="shared" si="1659"/>
        <v>7.3999999999999622E-3</v>
      </c>
      <c r="AR562" s="23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</row>
    <row r="563" spans="2:88" ht="15" customHeight="1" thickBot="1">
      <c r="B563" s="5">
        <v>44135</v>
      </c>
      <c r="C563" s="114">
        <v>1510.9864806664073</v>
      </c>
      <c r="D563" s="33">
        <f>1423806/1000</f>
        <v>1423.806</v>
      </c>
      <c r="E563" s="2">
        <v>139.1</v>
      </c>
      <c r="F563" s="33">
        <v>135.99</v>
      </c>
      <c r="G563" s="2">
        <v>172.2</v>
      </c>
      <c r="H563" s="33">
        <v>172.93</v>
      </c>
      <c r="I563" s="10">
        <f t="shared" si="1624"/>
        <v>0.74235212305095577</v>
      </c>
      <c r="J563" s="105">
        <f t="shared" si="1624"/>
        <v>0.69137309626136145</v>
      </c>
      <c r="K563" s="41">
        <f>C563/24/31/10</f>
        <v>0.20308958073473216</v>
      </c>
      <c r="L563" s="41">
        <f>D563/24/31/10</f>
        <v>0.19137177419354839</v>
      </c>
      <c r="M563" s="19">
        <v>0.98499999999999999</v>
      </c>
      <c r="N563" s="34">
        <v>0.99239999999999995</v>
      </c>
      <c r="O563" s="19">
        <v>0.99</v>
      </c>
      <c r="P563" s="35">
        <v>0.99970000000000003</v>
      </c>
      <c r="Q563" s="83"/>
      <c r="R563" s="81">
        <f t="shared" si="1665"/>
        <v>-5.7697723826064307E-2</v>
      </c>
      <c r="S563" s="10">
        <f t="shared" si="1666"/>
        <v>4.239256678281178E-3</v>
      </c>
      <c r="T563" s="10">
        <f t="shared" si="1653"/>
        <v>7.3999999999999622E-3</v>
      </c>
      <c r="U563" s="10">
        <f t="shared" si="1654"/>
        <v>9.7000000000000419E-3</v>
      </c>
      <c r="V563" s="23"/>
      <c r="W563" s="83"/>
      <c r="X563" s="5">
        <v>44135</v>
      </c>
      <c r="Y563" s="43">
        <v>754.67630277672936</v>
      </c>
      <c r="Z563" s="2">
        <f>758979/1000</f>
        <v>758.97900000000004</v>
      </c>
      <c r="AA563" s="2">
        <v>139.1</v>
      </c>
      <c r="AB563" s="2">
        <v>139.43</v>
      </c>
      <c r="AC563" s="2">
        <v>172.2</v>
      </c>
      <c r="AD563" s="2">
        <v>173.46</v>
      </c>
      <c r="AE563" s="10">
        <f t="shared" si="1668"/>
        <v>0.74154939537971765</v>
      </c>
      <c r="AF563" s="10">
        <f t="shared" si="1668"/>
        <v>0.73483936234301483</v>
      </c>
      <c r="AG563" s="10">
        <f>Y563/24/31/5</f>
        <v>0.20286997386471223</v>
      </c>
      <c r="AH563" s="10">
        <f>Z563/24/31/5</f>
        <v>0.20402661290322582</v>
      </c>
      <c r="AI563" s="11">
        <v>0.98499999999999999</v>
      </c>
      <c r="AJ563" s="82">
        <v>0.99239999999999995</v>
      </c>
      <c r="AK563" s="10">
        <v>0.99</v>
      </c>
      <c r="AL563" s="17">
        <v>1</v>
      </c>
      <c r="AM563" s="83"/>
      <c r="AN563" s="81">
        <f t="shared" si="1667"/>
        <v>5.7013811185531171E-3</v>
      </c>
      <c r="AO563" s="10">
        <f t="shared" si="1657"/>
        <v>7.3170731707317138E-3</v>
      </c>
      <c r="AP563" s="10">
        <f t="shared" si="1658"/>
        <v>7.3999999999999622E-3</v>
      </c>
      <c r="AQ563" s="10">
        <f t="shared" si="1659"/>
        <v>1.0000000000000009E-2</v>
      </c>
      <c r="AR563" s="23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</row>
    <row r="564" spans="2:88" ht="15" customHeight="1" thickBot="1">
      <c r="B564" s="5">
        <v>44165</v>
      </c>
      <c r="C564" s="114">
        <v>1340.1765480935533</v>
      </c>
      <c r="D564" s="33">
        <f>1100094/1000</f>
        <v>1100.0940000000001</v>
      </c>
      <c r="E564" s="2">
        <v>108.1</v>
      </c>
      <c r="F564" s="33">
        <v>100.85</v>
      </c>
      <c r="G564" s="2">
        <v>152.1</v>
      </c>
      <c r="H564" s="33">
        <v>141.36000000000001</v>
      </c>
      <c r="I564" s="10">
        <f t="shared" si="1624"/>
        <v>0.74544451458128413</v>
      </c>
      <c r="J564" s="105">
        <f t="shared" si="1624"/>
        <v>0.67850802292097345</v>
      </c>
      <c r="K564" s="41">
        <f>C564/24/30/10</f>
        <v>0.18613563167966019</v>
      </c>
      <c r="L564" s="41">
        <f>D564/24/30/10</f>
        <v>0.15279083333333335</v>
      </c>
      <c r="M564" s="19">
        <v>0.98499999999999999</v>
      </c>
      <c r="N564" s="34">
        <v>0.95579999999999998</v>
      </c>
      <c r="O564" s="19">
        <v>0.99</v>
      </c>
      <c r="P564" s="35">
        <v>0.99629999999999996</v>
      </c>
      <c r="Q564" s="83"/>
      <c r="R564" s="81">
        <f t="shared" si="1665"/>
        <v>-0.17914247823175145</v>
      </c>
      <c r="S564" s="10">
        <f t="shared" si="1666"/>
        <v>-7.0611439842208967E-2</v>
      </c>
      <c r="T564" s="10">
        <f t="shared" si="1653"/>
        <v>-2.9200000000000004E-2</v>
      </c>
      <c r="U564" s="10">
        <f t="shared" si="1654"/>
        <v>6.2999999999999723E-3</v>
      </c>
      <c r="V564" s="23"/>
      <c r="W564" s="83"/>
      <c r="X564" s="5">
        <v>44165</v>
      </c>
      <c r="Y564" s="43">
        <v>668.06591269862315</v>
      </c>
      <c r="Z564" s="2">
        <f>594657/1000</f>
        <v>594.65700000000004</v>
      </c>
      <c r="AA564" s="2">
        <v>108.1</v>
      </c>
      <c r="AB564" s="2">
        <v>101.92</v>
      </c>
      <c r="AC564" s="2">
        <v>152.1</v>
      </c>
      <c r="AD564" s="2">
        <v>143.38999999999999</v>
      </c>
      <c r="AE564" s="10">
        <f t="shared" si="1668"/>
        <v>0.74319472417027177</v>
      </c>
      <c r="AF564" s="10">
        <f t="shared" si="1668"/>
        <v>0.71819240169330512</v>
      </c>
      <c r="AG564" s="10">
        <f>Y564/24/30/5</f>
        <v>0.18557386463850642</v>
      </c>
      <c r="AH564" s="10">
        <f>Z564/24/30/5</f>
        <v>0.16518250000000001</v>
      </c>
      <c r="AI564" s="11">
        <v>0.98499999999999999</v>
      </c>
      <c r="AJ564" s="82">
        <v>0.96240000000000003</v>
      </c>
      <c r="AK564" s="10">
        <v>0.99</v>
      </c>
      <c r="AL564" s="17">
        <v>0.99629999999999996</v>
      </c>
      <c r="AM564" s="83"/>
      <c r="AN564" s="81">
        <f t="shared" ref="AN564:AN565" si="1672">Z564/Y564-1</f>
        <v>-0.10988273956695527</v>
      </c>
      <c r="AO564" s="10">
        <f t="shared" ref="AO564:AO565" si="1673">AD564/AC564-1</f>
        <v>-5.7264957264957284E-2</v>
      </c>
      <c r="AP564" s="10">
        <f t="shared" si="1658"/>
        <v>-2.2599999999999953E-2</v>
      </c>
      <c r="AQ564" s="10">
        <f t="shared" si="1659"/>
        <v>6.2999999999999723E-3</v>
      </c>
      <c r="AR564" s="23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</row>
    <row r="565" spans="2:88" ht="15" customHeight="1" thickBot="1">
      <c r="B565" s="5">
        <v>44196</v>
      </c>
      <c r="C565" s="114">
        <v>1127.572695848618</v>
      </c>
      <c r="D565" s="33">
        <f>980244/1000</f>
        <v>980.24400000000003</v>
      </c>
      <c r="E565" s="2">
        <v>89.9</v>
      </c>
      <c r="F565" s="33">
        <v>82.35</v>
      </c>
      <c r="G565" s="2">
        <v>129.6</v>
      </c>
      <c r="H565" s="33">
        <v>118.73</v>
      </c>
      <c r="I565" s="10">
        <f t="shared" si="1624"/>
        <v>0.73607500877920484</v>
      </c>
      <c r="J565" s="105">
        <f t="shared" si="1624"/>
        <v>0.69404458900239718</v>
      </c>
      <c r="K565" s="41">
        <f>C565/24/31/10</f>
        <v>0.15155546987212606</v>
      </c>
      <c r="L565" s="41">
        <f>D565/24/31/10</f>
        <v>0.1317532258064516</v>
      </c>
      <c r="M565" s="19">
        <v>0.98499999999999999</v>
      </c>
      <c r="N565" s="34">
        <v>0.99129999999999996</v>
      </c>
      <c r="O565" s="19">
        <v>0.99</v>
      </c>
      <c r="P565" s="35">
        <v>0.99780000000000002</v>
      </c>
      <c r="Q565" s="83"/>
      <c r="R565" s="81">
        <f t="shared" si="1665"/>
        <v>-0.13066004204521597</v>
      </c>
      <c r="S565" s="10">
        <f t="shared" si="1666"/>
        <v>-8.3873456790123369E-2</v>
      </c>
      <c r="T565" s="10">
        <f t="shared" si="1653"/>
        <v>6.2999999999999723E-3</v>
      </c>
      <c r="U565" s="10">
        <f t="shared" si="1654"/>
        <v>7.8000000000000291E-3</v>
      </c>
      <c r="V565" s="23"/>
      <c r="W565" s="83"/>
      <c r="X565" s="5">
        <v>44196</v>
      </c>
      <c r="Y565" s="43">
        <v>560.86284246208595</v>
      </c>
      <c r="Z565" s="2">
        <f>517617/1000</f>
        <v>517.61699999999996</v>
      </c>
      <c r="AA565" s="2">
        <v>89.9</v>
      </c>
      <c r="AB565" s="2">
        <v>82.04</v>
      </c>
      <c r="AC565" s="2">
        <v>129.6</v>
      </c>
      <c r="AD565" s="2">
        <v>121.14</v>
      </c>
      <c r="AE565" s="10">
        <f t="shared" si="1668"/>
        <v>0.7322581031079437</v>
      </c>
      <c r="AF565" s="10">
        <f t="shared" si="1668"/>
        <v>0.71817981295482336</v>
      </c>
      <c r="AG565" s="10">
        <f>Y565/24/31/5</f>
        <v>0.15076958130701235</v>
      </c>
      <c r="AH565" s="10">
        <f>Z565/24/31/5</f>
        <v>0.13914435483870966</v>
      </c>
      <c r="AI565" s="11">
        <v>0.98499999999999999</v>
      </c>
      <c r="AJ565" s="82">
        <v>0.99160000000000004</v>
      </c>
      <c r="AK565" s="10">
        <v>0.99</v>
      </c>
      <c r="AL565" s="17">
        <v>0.99790000000000001</v>
      </c>
      <c r="AM565" s="83"/>
      <c r="AN565" s="81">
        <f t="shared" si="1672"/>
        <v>-7.7105914651511953E-2</v>
      </c>
      <c r="AO565" s="10">
        <f t="shared" si="1673"/>
        <v>-6.5277777777777768E-2</v>
      </c>
      <c r="AP565" s="10">
        <f t="shared" si="1658"/>
        <v>6.6000000000000503E-3</v>
      </c>
      <c r="AQ565" s="10">
        <f t="shared" si="1659"/>
        <v>7.9000000000000181E-3</v>
      </c>
      <c r="AR565" s="23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</row>
    <row r="566" spans="2:88" ht="15" customHeight="1" thickBot="1">
      <c r="B566" s="5">
        <v>44227</v>
      </c>
      <c r="C566" s="114">
        <v>951.07492880560903</v>
      </c>
      <c r="D566" s="33">
        <v>768.04200000000003</v>
      </c>
      <c r="E566" s="2">
        <v>79.599999999999994</v>
      </c>
      <c r="F566" s="33">
        <v>70.179999999999993</v>
      </c>
      <c r="G566" s="2">
        <v>103.2</v>
      </c>
      <c r="H566" s="33">
        <v>90.98</v>
      </c>
      <c r="I566" s="10">
        <f t="shared" ref="I566:I567" si="1674">C566/12/G566/M566</f>
        <v>0.77968209250318821</v>
      </c>
      <c r="J566" s="105">
        <f t="shared" ref="J566:J567" si="1675">D566/12/H566/N566</f>
        <v>0.71880022271705413</v>
      </c>
      <c r="K566" s="41">
        <f>C566/24/31/10</f>
        <v>0.12783265172118402</v>
      </c>
      <c r="L566" s="41">
        <f>D566/24/31/10</f>
        <v>0.10323145161290323</v>
      </c>
      <c r="M566" s="19">
        <v>0.98499999999999999</v>
      </c>
      <c r="N566" s="34">
        <v>0.97870000000000001</v>
      </c>
      <c r="O566" s="19">
        <v>0.99</v>
      </c>
      <c r="P566" s="35">
        <v>1</v>
      </c>
      <c r="Q566" s="83"/>
      <c r="R566" s="81">
        <f t="shared" ref="R566" si="1676">D566/C566-1</f>
        <v>-0.19244848461673547</v>
      </c>
      <c r="S566" s="10">
        <f t="shared" ref="S566" si="1677">H566/G566-1</f>
        <v>-0.11841085271317831</v>
      </c>
      <c r="T566" s="10">
        <f t="shared" ref="T566" si="1678">N566-M566</f>
        <v>-6.2999999999999723E-3</v>
      </c>
      <c r="U566" s="10">
        <f t="shared" ref="U566" si="1679">P566-O566</f>
        <v>1.0000000000000009E-2</v>
      </c>
      <c r="V566" s="23"/>
      <c r="W566" s="83"/>
      <c r="X566" s="5">
        <v>44227</v>
      </c>
      <c r="Y566" s="43">
        <v>472.18250948614286</v>
      </c>
      <c r="Z566" s="2">
        <v>412.62299999999999</v>
      </c>
      <c r="AA566" s="2">
        <v>79.599999999999994</v>
      </c>
      <c r="AB566" s="2">
        <v>69.38</v>
      </c>
      <c r="AC566" s="2">
        <v>103.2</v>
      </c>
      <c r="AD566" s="2">
        <v>93.970000000000013</v>
      </c>
      <c r="AE566" s="10">
        <f t="shared" ref="AE566" si="1680">Y566/6/AC566/AI566</f>
        <v>0.77418137286386046</v>
      </c>
      <c r="AF566" s="10">
        <f t="shared" ref="AF566" si="1681">Z566/6/AD566/AJ566</f>
        <v>0.73751348188329047</v>
      </c>
      <c r="AG566" s="10">
        <f>Y566/24/31/5</f>
        <v>0.12693078211993086</v>
      </c>
      <c r="AH566" s="10">
        <f>Z566/24/31/5</f>
        <v>0.11092016129032259</v>
      </c>
      <c r="AI566" s="11">
        <v>0.98499999999999999</v>
      </c>
      <c r="AJ566" s="82">
        <v>0.99229999999999996</v>
      </c>
      <c r="AK566" s="10">
        <v>0.99</v>
      </c>
      <c r="AL566" s="17">
        <v>1</v>
      </c>
      <c r="AM566" s="83"/>
      <c r="AN566" s="81">
        <f t="shared" ref="AN566" si="1682">Z566/Y566-1</f>
        <v>-0.12613662787077629</v>
      </c>
      <c r="AO566" s="10">
        <f t="shared" ref="AO566" si="1683">AD566/AC566-1</f>
        <v>-8.9437984496123946E-2</v>
      </c>
      <c r="AP566" s="10">
        <f t="shared" ref="AP566" si="1684">AJ566-AI566</f>
        <v>7.2999999999999732E-3</v>
      </c>
      <c r="AQ566" s="10">
        <f t="shared" si="1659"/>
        <v>1.0000000000000009E-2</v>
      </c>
      <c r="AR566" s="23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</row>
    <row r="567" spans="2:88" ht="15" customHeight="1" thickBot="1">
      <c r="B567" s="5">
        <v>44255</v>
      </c>
      <c r="C567" s="114">
        <v>1244.8816412829847</v>
      </c>
      <c r="D567" s="33">
        <v>1098.576</v>
      </c>
      <c r="E567" s="2">
        <v>108.1</v>
      </c>
      <c r="F567" s="33">
        <v>105.23</v>
      </c>
      <c r="G567" s="2">
        <v>137.5</v>
      </c>
      <c r="H567" s="33">
        <v>139.1</v>
      </c>
      <c r="I567" s="10">
        <f t="shared" si="1674"/>
        <v>0.76596316953267785</v>
      </c>
      <c r="J567" s="105">
        <f t="shared" si="1675"/>
        <v>0.73283992903344886</v>
      </c>
      <c r="K567" s="14">
        <f>C567/24/28/10</f>
        <v>0.18525024423853936</v>
      </c>
      <c r="L567" s="14">
        <f>D567/24/28/10</f>
        <v>0.16347857142857142</v>
      </c>
      <c r="M567" s="19">
        <v>0.98499999999999999</v>
      </c>
      <c r="N567" s="11">
        <v>0.89807500000000007</v>
      </c>
      <c r="O567" s="19">
        <v>0.99</v>
      </c>
      <c r="P567" s="35">
        <v>1</v>
      </c>
      <c r="Q567" s="83"/>
      <c r="R567" s="81">
        <f t="shared" ref="R567" si="1685">D567/C567-1</f>
        <v>-0.11752574416006401</v>
      </c>
      <c r="S567" s="10">
        <f t="shared" ref="S567" si="1686">H567/G567-1</f>
        <v>1.1636363636363667E-2</v>
      </c>
      <c r="T567" s="10">
        <f t="shared" ref="T567" si="1687">N567-M567</f>
        <v>-8.6924999999999919E-2</v>
      </c>
      <c r="U567" s="10">
        <f t="shared" ref="U567" si="1688">P567-O567</f>
        <v>1.0000000000000009E-2</v>
      </c>
      <c r="V567" s="23"/>
      <c r="W567" s="83"/>
      <c r="X567" s="5">
        <v>44255</v>
      </c>
      <c r="Y567" s="43">
        <v>619.82899788677469</v>
      </c>
      <c r="Z567" s="2">
        <v>576.55799999999999</v>
      </c>
      <c r="AA567" s="2">
        <v>108.1</v>
      </c>
      <c r="AB567" s="2">
        <v>108.91999999999997</v>
      </c>
      <c r="AC567" s="2">
        <v>137.5</v>
      </c>
      <c r="AD567" s="2">
        <v>144.48000000000002</v>
      </c>
      <c r="AE567" s="10">
        <f t="shared" ref="AE567" si="1689">Y567/6/AC567/AI567</f>
        <v>0.76274911292019643</v>
      </c>
      <c r="AF567" s="10">
        <f t="shared" ref="AF567" si="1690">Z567/6/AD567/AJ567</f>
        <v>0.76036364900107989</v>
      </c>
      <c r="AG567" s="10">
        <f>Y567/24/28/5</f>
        <v>0.18447291603773056</v>
      </c>
      <c r="AH567" s="10">
        <f>Z567/24/28/5</f>
        <v>0.17159464285714285</v>
      </c>
      <c r="AI567" s="11">
        <v>0.98499999999999999</v>
      </c>
      <c r="AJ567" s="82">
        <v>0.87470714285714291</v>
      </c>
      <c r="AK567" s="10">
        <v>0.99</v>
      </c>
      <c r="AL567" s="17">
        <v>1</v>
      </c>
      <c r="AM567" s="83"/>
      <c r="AN567" s="81">
        <f t="shared" ref="AN567" si="1691">Z567/Y567-1</f>
        <v>-6.9811186689073046E-2</v>
      </c>
      <c r="AO567" s="10">
        <f t="shared" ref="AO567" si="1692">AD567/AC567-1</f>
        <v>5.0763636363636566E-2</v>
      </c>
      <c r="AP567" s="10">
        <f t="shared" ref="AP567" si="1693">AJ567-AI567</f>
        <v>-0.11029285714285708</v>
      </c>
      <c r="AQ567" s="10">
        <f t="shared" ref="AQ567" si="1694">AL567-AK567</f>
        <v>1.0000000000000009E-2</v>
      </c>
      <c r="AR567" s="23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</row>
    <row r="568" spans="2:88" ht="15" customHeight="1" thickBot="1">
      <c r="B568" s="5">
        <v>44286</v>
      </c>
      <c r="C568" s="114">
        <v>1665.2512452890755</v>
      </c>
      <c r="D568" s="33">
        <v>1502.634</v>
      </c>
      <c r="E568" s="4">
        <v>161.4</v>
      </c>
      <c r="F568" s="33">
        <v>152.74999999999997</v>
      </c>
      <c r="G568" s="4">
        <v>187.8</v>
      </c>
      <c r="H568" s="33">
        <v>177.18000000000004</v>
      </c>
      <c r="I568" s="10">
        <f t="shared" ref="I568:I579" si="1695">C568/12/G568/M568</f>
        <v>0.75018210920691597</v>
      </c>
      <c r="J568" s="105">
        <f t="shared" ref="J568:J571" si="1696">D568/12/H568/N568</f>
        <v>0.71096979806949223</v>
      </c>
      <c r="K568" s="14">
        <f>C568/24/31/10</f>
        <v>0.22382409210874671</v>
      </c>
      <c r="L568" s="14">
        <f>D568/24/31/10</f>
        <v>0.20196693548387096</v>
      </c>
      <c r="M568" s="19">
        <v>0.98499999999999999</v>
      </c>
      <c r="N568" s="34">
        <v>0.9940451612903225</v>
      </c>
      <c r="O568" s="19">
        <v>0.99</v>
      </c>
      <c r="P568" s="35">
        <v>1</v>
      </c>
      <c r="Q568" s="83"/>
      <c r="R568" s="81">
        <f t="shared" ref="R568:R579" si="1697">D568/C568-1</f>
        <v>-9.7653279497080581E-2</v>
      </c>
      <c r="S568" s="10">
        <f t="shared" ref="S568:S579" si="1698">H568/G568-1</f>
        <v>-5.6549520766772998E-2</v>
      </c>
      <c r="T568" s="10">
        <f t="shared" ref="T568:T579" si="1699">N568-M568</f>
        <v>9.045161290322512E-3</v>
      </c>
      <c r="U568" s="10">
        <f t="shared" ref="U568:U579" si="1700">P568-O568</f>
        <v>1.0000000000000009E-2</v>
      </c>
      <c r="V568" s="23"/>
      <c r="W568" s="83"/>
      <c r="X568" s="5">
        <v>44286</v>
      </c>
      <c r="Y568" s="43">
        <v>831.35519147298601</v>
      </c>
      <c r="Z568" s="2">
        <v>781.10699999999997</v>
      </c>
      <c r="AA568" s="2">
        <v>161.4</v>
      </c>
      <c r="AB568" s="2">
        <v>161.71999999999997</v>
      </c>
      <c r="AC568" s="2">
        <v>187.8</v>
      </c>
      <c r="AD568" s="2">
        <v>185.17999999999998</v>
      </c>
      <c r="AE568" s="10">
        <f t="shared" ref="AE568:AE579" si="1701">Y568/6/AC568/AI568</f>
        <v>0.74903747143700228</v>
      </c>
      <c r="AF568" s="10">
        <f t="shared" ref="AF568:AF579" si="1702">Z568/6/AD568/AJ568</f>
        <v>0.7208798522706058</v>
      </c>
      <c r="AG568" s="10">
        <f>Y568/24/31/5</f>
        <v>0.22348257835295321</v>
      </c>
      <c r="AH568" s="10">
        <f>Z568/24/31/5</f>
        <v>0.20997499999999997</v>
      </c>
      <c r="AI568" s="11">
        <v>0.98499999999999999</v>
      </c>
      <c r="AJ568" s="82">
        <v>0.9752193548387097</v>
      </c>
      <c r="AK568" s="10">
        <v>0.99</v>
      </c>
      <c r="AL568" s="17">
        <v>1</v>
      </c>
      <c r="AM568" s="83"/>
      <c r="AN568" s="81">
        <f t="shared" ref="AN568:AN579" si="1703">Z568/Y568-1</f>
        <v>-6.0441303534722435E-2</v>
      </c>
      <c r="AO568" s="10">
        <f t="shared" ref="AO568:AO579" si="1704">AD568/AC568-1</f>
        <v>-1.3951011714590122E-2</v>
      </c>
      <c r="AP568" s="10">
        <f t="shared" ref="AP568:AP579" si="1705">AJ568-AI568</f>
        <v>-9.7806451612902912E-3</v>
      </c>
      <c r="AQ568" s="10">
        <f t="shared" ref="AQ568:AQ579" si="1706">AL568-AK568</f>
        <v>1.0000000000000009E-2</v>
      </c>
      <c r="AR568" s="23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</row>
    <row r="569" spans="2:88" s="89" customFormat="1" ht="14.65" customHeight="1">
      <c r="B569" s="25">
        <v>44316</v>
      </c>
      <c r="C569" s="115">
        <v>1720.3965051694447</v>
      </c>
      <c r="D569" s="26">
        <v>1499.2380000000001</v>
      </c>
      <c r="E569" s="26">
        <v>190.2</v>
      </c>
      <c r="F569" s="26">
        <v>180.36999999999998</v>
      </c>
      <c r="G569" s="26">
        <v>194</v>
      </c>
      <c r="H569" s="26">
        <v>183.48999999999998</v>
      </c>
      <c r="I569" s="29">
        <f t="shared" si="1695"/>
        <v>0.75025577178704839</v>
      </c>
      <c r="J569" s="29">
        <f t="shared" si="1696"/>
        <v>0.69647249410248346</v>
      </c>
      <c r="K569" s="45">
        <f>C569/24/30/10</f>
        <v>0.23894395905131177</v>
      </c>
      <c r="L569" s="45">
        <f>D569/24/30/10</f>
        <v>0.20822750000000001</v>
      </c>
      <c r="M569" s="28">
        <v>0.98499999999999999</v>
      </c>
      <c r="N569" s="85">
        <v>0.97762650000000006</v>
      </c>
      <c r="O569" s="29">
        <v>0.99</v>
      </c>
      <c r="P569" s="30">
        <v>0.98850000000000005</v>
      </c>
      <c r="Q569" s="86"/>
      <c r="R569" s="87">
        <f t="shared" si="1697"/>
        <v>-0.12855089190480673</v>
      </c>
      <c r="S569" s="29">
        <f t="shared" si="1698"/>
        <v>-5.4175257731958859E-2</v>
      </c>
      <c r="T569" s="29">
        <f t="shared" si="1699"/>
        <v>-7.3734999999999218E-3</v>
      </c>
      <c r="U569" s="29">
        <f t="shared" si="1700"/>
        <v>-1.4999999999999458E-3</v>
      </c>
      <c r="V569" s="32">
        <v>-2.2750106564607998E-2</v>
      </c>
      <c r="W569" s="86"/>
      <c r="X569" s="25">
        <v>44316</v>
      </c>
      <c r="Y569" s="44">
        <v>860.28185042494636</v>
      </c>
      <c r="Z569" s="26">
        <v>776.28300000000002</v>
      </c>
      <c r="AA569" s="26">
        <v>190.2</v>
      </c>
      <c r="AB569" s="26">
        <v>181.16</v>
      </c>
      <c r="AC569" s="26">
        <v>194</v>
      </c>
      <c r="AD569" s="26">
        <v>183.29</v>
      </c>
      <c r="AE569" s="29">
        <f t="shared" si="1701"/>
        <v>0.75032868493462612</v>
      </c>
      <c r="AF569" s="29">
        <f t="shared" si="1702"/>
        <v>0.73380309887508643</v>
      </c>
      <c r="AG569" s="29">
        <f>Y569/24/30/5</f>
        <v>0.23896718067359618</v>
      </c>
      <c r="AH569" s="29">
        <f>Z569/24/30/5</f>
        <v>0.21563416666666671</v>
      </c>
      <c r="AI569" s="28">
        <v>0.98499999999999999</v>
      </c>
      <c r="AJ569" s="85">
        <v>0.96194559999999996</v>
      </c>
      <c r="AK569" s="29">
        <v>0.99</v>
      </c>
      <c r="AL569" s="30">
        <v>0.98560000000000003</v>
      </c>
      <c r="AM569" s="86"/>
      <c r="AN569" s="87">
        <f t="shared" si="1703"/>
        <v>-9.7641081679747277E-2</v>
      </c>
      <c r="AO569" s="29">
        <f t="shared" si="1704"/>
        <v>-5.5206185567010402E-2</v>
      </c>
      <c r="AP569" s="29">
        <f t="shared" si="1705"/>
        <v>-2.305440000000003E-2</v>
      </c>
      <c r="AQ569" s="29">
        <f t="shared" si="1706"/>
        <v>-4.3999999999999595E-3</v>
      </c>
      <c r="AR569" s="32">
        <v>-2.67500286824131E-2</v>
      </c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</row>
    <row r="570" spans="2:88" ht="14.65" customHeight="1">
      <c r="B570" s="5">
        <v>44347</v>
      </c>
      <c r="C570" s="114">
        <v>1742.997021513858</v>
      </c>
      <c r="D570" s="69">
        <v>1454.748</v>
      </c>
      <c r="E570" s="70">
        <v>197</v>
      </c>
      <c r="F570" s="69">
        <v>177.45000000000007</v>
      </c>
      <c r="G570" s="70">
        <v>197.7</v>
      </c>
      <c r="H570" s="69">
        <v>177.23</v>
      </c>
      <c r="I570" s="10">
        <f t="shared" si="1695"/>
        <v>0.74588607459295364</v>
      </c>
      <c r="J570" s="29">
        <f t="shared" si="1696"/>
        <v>0.71790592357158933</v>
      </c>
      <c r="K570" s="41">
        <f t="shared" ref="K570" si="1707">C570/24/31/10</f>
        <v>0.23427379321422825</v>
      </c>
      <c r="L570" s="41">
        <f t="shared" ref="L570" si="1708">D570/24/31/10</f>
        <v>0.19553064516129032</v>
      </c>
      <c r="M570" s="11">
        <v>0.98499999999999999</v>
      </c>
      <c r="N570" s="82">
        <v>0.95279999999999998</v>
      </c>
      <c r="O570" s="10">
        <v>0.99</v>
      </c>
      <c r="P570" s="17">
        <v>1</v>
      </c>
      <c r="Q570" s="83"/>
      <c r="R570" s="81">
        <f t="shared" si="1697"/>
        <v>-0.16537551008750606</v>
      </c>
      <c r="S570" s="10">
        <f t="shared" si="1698"/>
        <v>-0.10354071825998989</v>
      </c>
      <c r="T570" s="10">
        <f t="shared" si="1699"/>
        <v>-3.2200000000000006E-2</v>
      </c>
      <c r="U570" s="10">
        <f t="shared" si="1700"/>
        <v>1.0000000000000009E-2</v>
      </c>
      <c r="V570" s="23">
        <v>-2.0032155770618499E-2</v>
      </c>
      <c r="W570" s="83"/>
      <c r="X570" s="5">
        <v>44347</v>
      </c>
      <c r="Y570" s="43">
        <v>871.73198626009753</v>
      </c>
      <c r="Z570" s="2">
        <v>748.18200000000002</v>
      </c>
      <c r="AA570" s="2">
        <v>197</v>
      </c>
      <c r="AB570" s="2">
        <v>180.35999999999996</v>
      </c>
      <c r="AC570" s="2">
        <v>197.7</v>
      </c>
      <c r="AD570" s="2">
        <v>181.3</v>
      </c>
      <c r="AE570" s="10">
        <f t="shared" si="1701"/>
        <v>0.74608589837282524</v>
      </c>
      <c r="AF570" s="10">
        <f t="shared" si="1702"/>
        <v>0.72422208284661083</v>
      </c>
      <c r="AG570" s="10">
        <f t="shared" ref="AG570" si="1709">Y570/24/31/5</f>
        <v>0.23433655544626278</v>
      </c>
      <c r="AH570" s="10">
        <f t="shared" ref="AH570" si="1710">Z570/24/31/5</f>
        <v>0.20112419354838709</v>
      </c>
      <c r="AI570" s="11">
        <v>0.98499999999999999</v>
      </c>
      <c r="AJ570" s="82">
        <v>0.94969999999999999</v>
      </c>
      <c r="AK570" s="10">
        <v>0.99</v>
      </c>
      <c r="AL570" s="17">
        <v>1</v>
      </c>
      <c r="AM570" s="83"/>
      <c r="AN570" s="81">
        <f t="shared" si="1703"/>
        <v>-0.14172932530576443</v>
      </c>
      <c r="AO570" s="10">
        <f t="shared" si="1704"/>
        <v>-8.2953970662620002E-2</v>
      </c>
      <c r="AP570" s="10">
        <f t="shared" si="1705"/>
        <v>-3.5299999999999998E-2</v>
      </c>
      <c r="AQ570" s="10">
        <f t="shared" si="1706"/>
        <v>1.0000000000000009E-2</v>
      </c>
      <c r="AR570" s="23">
        <v>-1.54929295397487E-2</v>
      </c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</row>
    <row r="571" spans="2:88" ht="14.65" customHeight="1">
      <c r="B571" s="5">
        <v>44377</v>
      </c>
      <c r="C571" s="114">
        <v>1567.6170146812092</v>
      </c>
      <c r="D571" s="2">
        <v>1537.89</v>
      </c>
      <c r="E571" s="2">
        <v>178.9</v>
      </c>
      <c r="F571" s="2">
        <v>183.81</v>
      </c>
      <c r="G571" s="2">
        <v>177.2</v>
      </c>
      <c r="H571" s="2">
        <v>180.86</v>
      </c>
      <c r="I571" s="10">
        <f t="shared" si="1695"/>
        <v>0.74844307515345376</v>
      </c>
      <c r="J571" s="10">
        <f t="shared" si="1696"/>
        <v>0.71611983327984852</v>
      </c>
      <c r="K571" s="41">
        <f t="shared" ref="K571" si="1711">C571/24/30/10</f>
        <v>0.2177245853723902</v>
      </c>
      <c r="L571" s="41">
        <f t="shared" ref="L571" si="1712">D571/24/30/10</f>
        <v>0.21359583333333335</v>
      </c>
      <c r="M571" s="11">
        <v>0.98499999999999999</v>
      </c>
      <c r="N571" s="82">
        <v>0.98950000000000005</v>
      </c>
      <c r="O571" s="10">
        <v>0.99</v>
      </c>
      <c r="P571" s="17">
        <v>1</v>
      </c>
      <c r="Q571" s="83"/>
      <c r="R571" s="81">
        <f t="shared" si="1697"/>
        <v>-1.8963187055771047E-2</v>
      </c>
      <c r="S571" s="10">
        <f t="shared" si="1698"/>
        <v>2.0654627539503423E-2</v>
      </c>
      <c r="T571" s="10">
        <f t="shared" si="1699"/>
        <v>4.5000000000000595E-3</v>
      </c>
      <c r="U571" s="10">
        <f t="shared" si="1700"/>
        <v>1.0000000000000009E-2</v>
      </c>
      <c r="V571" s="23">
        <v>-1.7999999999999999E-2</v>
      </c>
      <c r="W571" s="83"/>
      <c r="X571" s="5">
        <v>44377</v>
      </c>
      <c r="Y571" s="43">
        <v>782.54145449155249</v>
      </c>
      <c r="Z571" s="2">
        <v>803.298</v>
      </c>
      <c r="AA571" s="2">
        <v>178.9</v>
      </c>
      <c r="AB571" s="2">
        <v>182.75</v>
      </c>
      <c r="AC571" s="2">
        <v>177.2</v>
      </c>
      <c r="AD571" s="2">
        <v>182.90999999999994</v>
      </c>
      <c r="AE571" s="10">
        <f t="shared" si="1701"/>
        <v>0.74723319171656144</v>
      </c>
      <c r="AF571" s="10">
        <f t="shared" si="1702"/>
        <v>0.73637934985122622</v>
      </c>
      <c r="AG571" s="10">
        <f>Y571/24/30/5</f>
        <v>0.21737262624765347</v>
      </c>
      <c r="AH571" s="10">
        <f>Z571/24/30/5</f>
        <v>0.22313833333333336</v>
      </c>
      <c r="AI571" s="11">
        <v>0.98499999999999999</v>
      </c>
      <c r="AJ571" s="82">
        <v>0.99399999999999999</v>
      </c>
      <c r="AK571" s="10">
        <v>0.99</v>
      </c>
      <c r="AL571" s="17">
        <v>1</v>
      </c>
      <c r="AM571" s="83"/>
      <c r="AN571" s="81">
        <f t="shared" si="1703"/>
        <v>2.6524531562272191E-2</v>
      </c>
      <c r="AO571" s="10">
        <f t="shared" si="1704"/>
        <v>3.2223476297968068E-2</v>
      </c>
      <c r="AP571" s="10">
        <f t="shared" si="1705"/>
        <v>9.000000000000008E-3</v>
      </c>
      <c r="AQ571" s="10">
        <f t="shared" si="1706"/>
        <v>1.0000000000000009E-2</v>
      </c>
      <c r="AR571" s="23">
        <v>-1.6799999999999999E-2</v>
      </c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</row>
    <row r="572" spans="2:88" ht="14.65" customHeight="1">
      <c r="B572" s="5">
        <v>44408</v>
      </c>
      <c r="C572" s="114">
        <v>1390.4289665410074</v>
      </c>
      <c r="D572" s="2">
        <v>1216.6859999999999</v>
      </c>
      <c r="E572" s="2">
        <v>155.5</v>
      </c>
      <c r="F572" s="2">
        <v>145.43</v>
      </c>
      <c r="G572" s="2">
        <v>154.6</v>
      </c>
      <c r="H572" s="2">
        <v>143.36000000000001</v>
      </c>
      <c r="I572" s="10">
        <f t="shared" si="1695"/>
        <v>0.76088993732037447</v>
      </c>
      <c r="J572" s="10">
        <f>D572/12/H572/N572</f>
        <v>0.72682369358420573</v>
      </c>
      <c r="K572" s="41">
        <f>C572/24/31/10</f>
        <v>0.18688561378239346</v>
      </c>
      <c r="L572" s="41">
        <f>D572/24/31/10</f>
        <v>0.16353306451612901</v>
      </c>
      <c r="M572" s="11">
        <v>0.98499999999999999</v>
      </c>
      <c r="N572" s="82">
        <v>0.97306129032258082</v>
      </c>
      <c r="O572" s="10">
        <v>0.99</v>
      </c>
      <c r="P572" s="17">
        <v>1</v>
      </c>
      <c r="Q572" s="83"/>
      <c r="R572" s="81">
        <f t="shared" si="1697"/>
        <v>-0.12495637729213216</v>
      </c>
      <c r="S572" s="10">
        <f t="shared" si="1698"/>
        <v>-7.2703751617076207E-2</v>
      </c>
      <c r="T572" s="10">
        <f t="shared" si="1699"/>
        <v>-1.1938709677419168E-2</v>
      </c>
      <c r="U572" s="10">
        <f t="shared" si="1700"/>
        <v>1.0000000000000009E-2</v>
      </c>
      <c r="V572" s="23">
        <v>-7.6E-3</v>
      </c>
      <c r="W572" s="83"/>
      <c r="X572" s="5">
        <v>44408</v>
      </c>
      <c r="Y572" s="43">
        <v>692.7482839948417</v>
      </c>
      <c r="Z572" s="2">
        <v>641.42700000000002</v>
      </c>
      <c r="AA572" s="2">
        <v>155.5</v>
      </c>
      <c r="AB572" s="2">
        <v>144.62</v>
      </c>
      <c r="AC572" s="2">
        <v>154.6</v>
      </c>
      <c r="AD572" s="2">
        <v>146.04</v>
      </c>
      <c r="AE572" s="10">
        <f t="shared" si="1701"/>
        <v>0.75819076137189556</v>
      </c>
      <c r="AF572" s="10">
        <f t="shared" si="1702"/>
        <v>0.78591285369227115</v>
      </c>
      <c r="AG572" s="10">
        <f>Y572/24/31/5</f>
        <v>0.18622265698786067</v>
      </c>
      <c r="AH572" s="10">
        <f>Z572/24/31/5</f>
        <v>0.17242661290322581</v>
      </c>
      <c r="AI572" s="11">
        <v>0.98499999999999999</v>
      </c>
      <c r="AJ572" s="82">
        <v>0.93142903225806462</v>
      </c>
      <c r="AK572" s="10">
        <v>0.99</v>
      </c>
      <c r="AL572" s="17">
        <v>1</v>
      </c>
      <c r="AM572" s="83"/>
      <c r="AN572" s="81">
        <f t="shared" si="1703"/>
        <v>-7.4083595990869111E-2</v>
      </c>
      <c r="AO572" s="10">
        <f t="shared" si="1704"/>
        <v>-5.5368693402328639E-2</v>
      </c>
      <c r="AP572" s="10">
        <f t="shared" si="1705"/>
        <v>-5.3570967741935371E-2</v>
      </c>
      <c r="AQ572" s="10">
        <f t="shared" si="1706"/>
        <v>1.0000000000000009E-2</v>
      </c>
      <c r="AR572" s="23">
        <v>-8.3000000000000001E-3</v>
      </c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</row>
    <row r="573" spans="2:88" ht="14.65" customHeight="1">
      <c r="B573" s="5">
        <v>44439</v>
      </c>
      <c r="C573" s="114">
        <v>1320.8193762002138</v>
      </c>
      <c r="D573" s="2">
        <v>1241.646</v>
      </c>
      <c r="E573" s="2">
        <v>145.4</v>
      </c>
      <c r="F573" s="2">
        <v>141.26999999999995</v>
      </c>
      <c r="G573" s="2">
        <v>146.30000000000001</v>
      </c>
      <c r="H573" s="2">
        <v>142.29999999999998</v>
      </c>
      <c r="I573" s="10">
        <f t="shared" si="1695"/>
        <v>0.76380347280303529</v>
      </c>
      <c r="J573" s="10">
        <f>D573/12/H573/N573</f>
        <v>0.74356447784211888</v>
      </c>
      <c r="K573" s="41">
        <f>C573/24/31/10</f>
        <v>0.17752948604841584</v>
      </c>
      <c r="L573" s="41">
        <f>D573/24/31/10</f>
        <v>0.16688790322580643</v>
      </c>
      <c r="M573" s="11">
        <v>0.98499999999999999</v>
      </c>
      <c r="N573" s="82">
        <v>0.97789677419354848</v>
      </c>
      <c r="O573" s="10">
        <v>0.99</v>
      </c>
      <c r="P573" s="17">
        <v>1</v>
      </c>
      <c r="Q573" s="83"/>
      <c r="R573" s="81">
        <f t="shared" si="1697"/>
        <v>-5.9942621698951037E-2</v>
      </c>
      <c r="S573" s="10">
        <f t="shared" si="1698"/>
        <v>-2.734107997265911E-2</v>
      </c>
      <c r="T573" s="10">
        <f t="shared" si="1699"/>
        <v>-7.1032258064515075E-3</v>
      </c>
      <c r="U573" s="10">
        <f t="shared" si="1700"/>
        <v>1.0000000000000009E-2</v>
      </c>
      <c r="V573" s="23">
        <v>-3.3E-3</v>
      </c>
      <c r="W573" s="83"/>
      <c r="X573" s="5">
        <v>44439</v>
      </c>
      <c r="Y573" s="43">
        <v>657.49391839713985</v>
      </c>
      <c r="Z573" s="2">
        <v>654.69600000000003</v>
      </c>
      <c r="AA573" s="2">
        <v>145.4</v>
      </c>
      <c r="AB573" s="2">
        <v>141.18000000000004</v>
      </c>
      <c r="AC573" s="2">
        <v>146.30000000000001</v>
      </c>
      <c r="AD573" s="2">
        <v>144.81</v>
      </c>
      <c r="AE573" s="10">
        <f t="shared" si="1701"/>
        <v>0.76043121000139924</v>
      </c>
      <c r="AF573" s="10">
        <f t="shared" si="1702"/>
        <v>0.76433943601104271</v>
      </c>
      <c r="AG573" s="10">
        <f>Y573/24/31/5</f>
        <v>0.17674567698847848</v>
      </c>
      <c r="AH573" s="10">
        <f>Z573/24/31/5</f>
        <v>0.17599354838709677</v>
      </c>
      <c r="AI573" s="11">
        <v>0.98499999999999999</v>
      </c>
      <c r="AJ573" s="82">
        <v>0.98583359999999998</v>
      </c>
      <c r="AK573" s="10">
        <v>0.99</v>
      </c>
      <c r="AL573" s="17">
        <v>0.997</v>
      </c>
      <c r="AM573" s="83"/>
      <c r="AN573" s="81">
        <f t="shared" si="1703"/>
        <v>-4.2554285581236639E-3</v>
      </c>
      <c r="AO573" s="10">
        <f t="shared" si="1704"/>
        <v>-1.0184552289815518E-2</v>
      </c>
      <c r="AP573" s="10">
        <f t="shared" si="1705"/>
        <v>8.335999999999899E-4</v>
      </c>
      <c r="AQ573" s="10">
        <f t="shared" si="1706"/>
        <v>7.0000000000000062E-3</v>
      </c>
      <c r="AR573" s="23">
        <v>-8.3000000000000001E-3</v>
      </c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</row>
    <row r="574" spans="2:88" ht="14.65" customHeight="1">
      <c r="B574" s="5">
        <v>44469</v>
      </c>
      <c r="C574" s="114">
        <v>1315.3952522775546</v>
      </c>
      <c r="D574" s="2">
        <v>1178.3219999999999</v>
      </c>
      <c r="E574" s="2">
        <v>141.6</v>
      </c>
      <c r="F574" s="2">
        <v>129.91</v>
      </c>
      <c r="G574" s="2">
        <v>145.5</v>
      </c>
      <c r="H574" s="2">
        <v>139.51</v>
      </c>
      <c r="I574" s="10">
        <f t="shared" si="1695"/>
        <v>0.76484917070929626</v>
      </c>
      <c r="J574" s="10">
        <f t="shared" ref="J574:J583" si="1713">D574/12/H574/N574</f>
        <v>0.7116807451621967</v>
      </c>
      <c r="K574" s="41">
        <f t="shared" ref="K574" si="1714">C574/24/30/10</f>
        <v>0.18269378503854924</v>
      </c>
      <c r="L574" s="41">
        <f t="shared" ref="L574" si="1715">D574/24/30/10</f>
        <v>0.16365583333333331</v>
      </c>
      <c r="M574" s="11">
        <v>0.98499999999999999</v>
      </c>
      <c r="N574" s="82">
        <v>0.98899064960000005</v>
      </c>
      <c r="O574" s="10">
        <v>0.99</v>
      </c>
      <c r="P574" s="17">
        <v>0.99761</v>
      </c>
      <c r="Q574" s="83"/>
      <c r="R574" s="81">
        <f t="shared" si="1697"/>
        <v>-0.10420689297777064</v>
      </c>
      <c r="S574" s="10">
        <f t="shared" si="1698"/>
        <v>-4.1168384879725184E-2</v>
      </c>
      <c r="T574" s="10">
        <f t="shared" si="1699"/>
        <v>3.9906496000000624E-3</v>
      </c>
      <c r="U574" s="10">
        <f t="shared" si="1700"/>
        <v>7.6100000000000056E-3</v>
      </c>
      <c r="V574" s="23">
        <v>-5.0000000000000001E-3</v>
      </c>
      <c r="W574" s="83"/>
      <c r="X574" s="5">
        <v>44469</v>
      </c>
      <c r="Y574" s="43">
        <v>655.38468284855935</v>
      </c>
      <c r="Z574" s="2">
        <v>626.16899999999998</v>
      </c>
      <c r="AA574" s="2">
        <v>141.6</v>
      </c>
      <c r="AB574" s="2">
        <f>AB316</f>
        <v>133.11999999999998</v>
      </c>
      <c r="AC574" s="2">
        <v>145.5</v>
      </c>
      <c r="AD574" s="2">
        <f>AD316</f>
        <v>143.69</v>
      </c>
      <c r="AE574" s="10">
        <f t="shared" si="1701"/>
        <v>0.76215940464186083</v>
      </c>
      <c r="AF574" s="10">
        <f t="shared" si="1702"/>
        <v>0.73374117019348528</v>
      </c>
      <c r="AG574" s="10">
        <f>Y574/24/30/5</f>
        <v>0.1820513007912665</v>
      </c>
      <c r="AH574" s="10">
        <f>Z574/24/30/5</f>
        <v>0.17393583333333332</v>
      </c>
      <c r="AI574" s="11">
        <v>0.98499999999999999</v>
      </c>
      <c r="AJ574" s="82">
        <v>0.98985340157777801</v>
      </c>
      <c r="AK574" s="10">
        <v>0.99</v>
      </c>
      <c r="AL574" s="17">
        <v>0.9988866666666667</v>
      </c>
      <c r="AM574" s="83"/>
      <c r="AN574" s="81">
        <f t="shared" si="1703"/>
        <v>-4.4577915250592293E-2</v>
      </c>
      <c r="AO574" s="10">
        <f t="shared" si="1704"/>
        <v>-1.2439862542955371E-2</v>
      </c>
      <c r="AP574" s="10">
        <f t="shared" si="1705"/>
        <v>4.8534015777780271E-3</v>
      </c>
      <c r="AQ574" s="10">
        <f t="shared" si="1706"/>
        <v>8.8866666666667093E-3</v>
      </c>
      <c r="AR574" s="23">
        <v>-4.3E-3</v>
      </c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</row>
    <row r="575" spans="2:88" ht="14.65" customHeight="1">
      <c r="B575" s="5">
        <v>44500</v>
      </c>
      <c r="C575" s="114">
        <v>1503.431548263075</v>
      </c>
      <c r="D575" s="2">
        <v>1357.086</v>
      </c>
      <c r="E575" s="2">
        <v>139.1</v>
      </c>
      <c r="F575" s="2">
        <v>127.04000000000002</v>
      </c>
      <c r="G575" s="2">
        <v>172.2</v>
      </c>
      <c r="H575" s="2">
        <v>159.08000000000004</v>
      </c>
      <c r="I575" s="10">
        <f t="shared" si="1695"/>
        <v>0.73864036243570075</v>
      </c>
      <c r="J575" s="10">
        <f t="shared" si="1713"/>
        <v>0.72333405349427393</v>
      </c>
      <c r="K575" s="41">
        <f>C575/24/31/10</f>
        <v>0.20207413283105846</v>
      </c>
      <c r="L575" s="41">
        <f>D575/24/31/10</f>
        <v>0.18240403225806451</v>
      </c>
      <c r="M575" s="11">
        <v>0.98499999999999999</v>
      </c>
      <c r="N575" s="82">
        <v>0.98281467</v>
      </c>
      <c r="O575" s="10">
        <v>0.99</v>
      </c>
      <c r="P575" s="17">
        <v>0.99907096774193549</v>
      </c>
      <c r="Q575" s="83"/>
      <c r="R575" s="81">
        <f t="shared" si="1697"/>
        <v>-9.7341011921792564E-2</v>
      </c>
      <c r="S575" s="10">
        <f t="shared" si="1698"/>
        <v>-7.619047619047592E-2</v>
      </c>
      <c r="T575" s="10">
        <f t="shared" si="1699"/>
        <v>-2.1853299999999853E-3</v>
      </c>
      <c r="U575" s="10">
        <f t="shared" si="1700"/>
        <v>9.0709677419354984E-3</v>
      </c>
      <c r="V575" s="23">
        <v>-2.0500000000000001E-2</v>
      </c>
      <c r="W575" s="83"/>
      <c r="X575" s="5">
        <v>44500</v>
      </c>
      <c r="Y575" s="43">
        <v>750.90292126284578</v>
      </c>
      <c r="Z575" s="2">
        <v>719.39700000000005</v>
      </c>
      <c r="AA575" s="2">
        <v>139.1</v>
      </c>
      <c r="AB575" s="2">
        <v>133.1</v>
      </c>
      <c r="AC575" s="2">
        <v>172.2</v>
      </c>
      <c r="AD575" s="2">
        <v>163.27999999999997</v>
      </c>
      <c r="AE575" s="10">
        <f t="shared" si="1701"/>
        <v>0.73784164840281907</v>
      </c>
      <c r="AF575" s="10">
        <f t="shared" si="1702"/>
        <v>0.74769057039290987</v>
      </c>
      <c r="AG575" s="10">
        <f>Y575/24/31/5</f>
        <v>0.20185562399538864</v>
      </c>
      <c r="AH575" s="10">
        <f>Z575/24/31/5</f>
        <v>0.19338629032258065</v>
      </c>
      <c r="AI575" s="11">
        <v>0.98499999999999999</v>
      </c>
      <c r="AJ575" s="82">
        <v>0.98211530000000002</v>
      </c>
      <c r="AK575" s="10">
        <v>0.99</v>
      </c>
      <c r="AL575" s="17">
        <v>0.99908064516129025</v>
      </c>
      <c r="AM575" s="83"/>
      <c r="AN575" s="81">
        <f t="shared" si="1703"/>
        <v>-4.1957382733123549E-2</v>
      </c>
      <c r="AO575" s="10">
        <f t="shared" si="1704"/>
        <v>-5.1800232288037207E-2</v>
      </c>
      <c r="AP575" s="10">
        <f t="shared" si="1705"/>
        <v>-2.8846999999999623E-3</v>
      </c>
      <c r="AQ575" s="10">
        <f t="shared" si="1706"/>
        <v>9.0806451612902572E-3</v>
      </c>
      <c r="AR575" s="23">
        <v>-1.5299999999999999E-2</v>
      </c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</row>
    <row r="576" spans="2:88" ht="14.65" customHeight="1">
      <c r="B576" s="5">
        <v>44530</v>
      </c>
      <c r="C576" s="114">
        <v>1333.4756653530853</v>
      </c>
      <c r="D576" s="2">
        <v>1247.31</v>
      </c>
      <c r="E576" s="2">
        <v>108.1</v>
      </c>
      <c r="F576" s="2">
        <v>103.76999999999998</v>
      </c>
      <c r="G576" s="2">
        <v>152.1</v>
      </c>
      <c r="H576" s="2">
        <v>148.66</v>
      </c>
      <c r="I576" s="10">
        <f t="shared" si="1695"/>
        <v>0.74171729200837766</v>
      </c>
      <c r="J576" s="10">
        <f t="shared" si="1713"/>
        <v>0.6992987161055203</v>
      </c>
      <c r="K576" s="41">
        <f>C576/24/30/10</f>
        <v>0.18520495352126184</v>
      </c>
      <c r="L576" s="41">
        <f>D576/24/30/10</f>
        <v>0.17323749999999999</v>
      </c>
      <c r="M576" s="11">
        <v>0.98499999999999999</v>
      </c>
      <c r="N576" s="82">
        <v>0.99985333333333337</v>
      </c>
      <c r="O576" s="10">
        <v>0.99</v>
      </c>
      <c r="P576" s="17">
        <v>1</v>
      </c>
      <c r="Q576" s="83"/>
      <c r="R576" s="81">
        <f t="shared" si="1697"/>
        <v>-6.4617351176236126E-2</v>
      </c>
      <c r="S576" s="10">
        <f t="shared" si="1698"/>
        <v>-2.2616699539776408E-2</v>
      </c>
      <c r="T576" s="10">
        <f t="shared" si="1699"/>
        <v>1.4853333333333385E-2</v>
      </c>
      <c r="U576" s="10">
        <f t="shared" si="1700"/>
        <v>1.0000000000000009E-2</v>
      </c>
      <c r="V576" s="23">
        <v>-2.2311641744843701E-2</v>
      </c>
      <c r="W576" s="83"/>
      <c r="X576" s="5">
        <v>44530</v>
      </c>
      <c r="Y576" s="43">
        <v>664.72558313513002</v>
      </c>
      <c r="Z576" s="2">
        <v>665.34900000000005</v>
      </c>
      <c r="AA576" s="2">
        <v>108.1</v>
      </c>
      <c r="AB576" s="2">
        <v>110.03999999999999</v>
      </c>
      <c r="AC576" s="2">
        <v>152.1</v>
      </c>
      <c r="AD576" s="2">
        <v>152.82</v>
      </c>
      <c r="AE576" s="10">
        <f t="shared" si="1701"/>
        <v>0.73947875054942036</v>
      </c>
      <c r="AF576" s="10">
        <f t="shared" si="1702"/>
        <v>0.7278181882383179</v>
      </c>
      <c r="AG576" s="10">
        <f>Y576/24/30/5</f>
        <v>0.18464599531531389</v>
      </c>
      <c r="AH576" s="10">
        <f>Z576/24/30/5</f>
        <v>0.1848191666666667</v>
      </c>
      <c r="AI576" s="11">
        <v>0.98499999999999999</v>
      </c>
      <c r="AJ576" s="82">
        <v>0.997</v>
      </c>
      <c r="AK576" s="10">
        <v>0.99</v>
      </c>
      <c r="AL576" s="17">
        <v>1</v>
      </c>
      <c r="AM576" s="83"/>
      <c r="AN576" s="81">
        <f t="shared" si="1703"/>
        <v>9.378559825088395E-4</v>
      </c>
      <c r="AO576" s="10">
        <f t="shared" si="1704"/>
        <v>4.7337278106509562E-3</v>
      </c>
      <c r="AP576" s="10">
        <f t="shared" si="1705"/>
        <v>1.2000000000000011E-2</v>
      </c>
      <c r="AQ576" s="10">
        <f t="shared" si="1706"/>
        <v>1.0000000000000009E-2</v>
      </c>
      <c r="AR576" s="23">
        <v>-1.4E-2</v>
      </c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</row>
    <row r="577" spans="2:88" ht="14.65" customHeight="1">
      <c r="B577" s="5">
        <v>44561</v>
      </c>
      <c r="C577" s="114">
        <v>1121.9348323693748</v>
      </c>
      <c r="D577" s="2">
        <v>1041.654</v>
      </c>
      <c r="E577" s="2">
        <v>89.9</v>
      </c>
      <c r="F577" s="2">
        <v>84.149999999999977</v>
      </c>
      <c r="G577" s="2">
        <v>129.6</v>
      </c>
      <c r="H577" s="2">
        <v>121.52999999999999</v>
      </c>
      <c r="I577" s="10">
        <f t="shared" si="1695"/>
        <v>0.73239463373530878</v>
      </c>
      <c r="J577" s="10">
        <f t="shared" si="1713"/>
        <v>0.71983923875182576</v>
      </c>
      <c r="K577" s="41">
        <f>C577/24/31/10</f>
        <v>0.15079769252276543</v>
      </c>
      <c r="L577" s="41">
        <f>D577/24/31/10</f>
        <v>0.14000725806451614</v>
      </c>
      <c r="M577" s="11">
        <v>0.98499999999999999</v>
      </c>
      <c r="N577" s="82">
        <v>0.99225483870967746</v>
      </c>
      <c r="O577" s="10">
        <v>0.99</v>
      </c>
      <c r="P577" s="17">
        <v>1</v>
      </c>
      <c r="Q577" s="83"/>
      <c r="R577" s="81">
        <f t="shared" si="1697"/>
        <v>-7.1555700075585094E-2</v>
      </c>
      <c r="S577" s="10">
        <f t="shared" si="1698"/>
        <v>-6.2268518518518556E-2</v>
      </c>
      <c r="T577" s="10">
        <f t="shared" si="1699"/>
        <v>7.2548387096774691E-3</v>
      </c>
      <c r="U577" s="10">
        <f t="shared" si="1700"/>
        <v>1.0000000000000009E-2</v>
      </c>
      <c r="V577" s="23">
        <v>-1.72E-2</v>
      </c>
      <c r="W577" s="83"/>
      <c r="X577" s="5">
        <v>44561</v>
      </c>
      <c r="Y577" s="43">
        <v>558.05852824977558</v>
      </c>
      <c r="Z577" s="2">
        <v>550.42200000000003</v>
      </c>
      <c r="AA577" s="2">
        <v>89.9</v>
      </c>
      <c r="AB577" s="2">
        <v>87.910000000000025</v>
      </c>
      <c r="AC577" s="2">
        <v>129.6</v>
      </c>
      <c r="AD577" s="2">
        <v>124.42</v>
      </c>
      <c r="AE577" s="10">
        <f t="shared" si="1701"/>
        <v>0.72859681259240416</v>
      </c>
      <c r="AF577" s="10">
        <f t="shared" si="1702"/>
        <v>0.7387589230299052</v>
      </c>
      <c r="AG577" s="10">
        <f>Y577/24/31/5</f>
        <v>0.1500157334004773</v>
      </c>
      <c r="AH577" s="10">
        <f>Z577/24/31/5</f>
        <v>0.14796290322580646</v>
      </c>
      <c r="AI577" s="11">
        <v>0.98499999999999999</v>
      </c>
      <c r="AJ577" s="82">
        <v>0.99804838709677413</v>
      </c>
      <c r="AK577" s="10">
        <v>0.99</v>
      </c>
      <c r="AL577" s="17">
        <v>1</v>
      </c>
      <c r="AM577" s="83"/>
      <c r="AN577" s="81">
        <f t="shared" si="1703"/>
        <v>-1.3684099181721643E-2</v>
      </c>
      <c r="AO577" s="10">
        <f t="shared" si="1704"/>
        <v>-3.996913580246908E-2</v>
      </c>
      <c r="AP577" s="10">
        <f t="shared" si="1705"/>
        <v>1.3048387096774139E-2</v>
      </c>
      <c r="AQ577" s="10">
        <f t="shared" si="1706"/>
        <v>1.0000000000000009E-2</v>
      </c>
      <c r="AR577" s="23">
        <v>-1.83E-2</v>
      </c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</row>
    <row r="578" spans="2:88" ht="14.65" customHeight="1">
      <c r="B578" s="5">
        <v>44592</v>
      </c>
      <c r="C578" s="114">
        <v>946.31955416158098</v>
      </c>
      <c r="D578" s="2">
        <v>655.71600000000001</v>
      </c>
      <c r="E578" s="2">
        <v>79.599999999999994</v>
      </c>
      <c r="F578" s="2">
        <v>58.210000000000022</v>
      </c>
      <c r="G578" s="2">
        <v>103.2</v>
      </c>
      <c r="H578" s="2">
        <v>72.67</v>
      </c>
      <c r="I578" s="10">
        <f t="shared" si="1695"/>
        <v>0.77578368204067227</v>
      </c>
      <c r="J578" s="10">
        <f t="shared" si="1713"/>
        <v>0.76649683746235586</v>
      </c>
      <c r="K578" s="41">
        <f>C578/24/31/10</f>
        <v>0.12719348846257808</v>
      </c>
      <c r="L578" s="41">
        <f>D578/24/31/10</f>
        <v>8.8133870967741931E-2</v>
      </c>
      <c r="M578" s="11">
        <v>0.98499999999999999</v>
      </c>
      <c r="N578" s="82">
        <v>0.98099999999999998</v>
      </c>
      <c r="O578" s="10">
        <v>0.99</v>
      </c>
      <c r="P578" s="17">
        <v>1</v>
      </c>
      <c r="Q578" s="83"/>
      <c r="R578" s="81">
        <f t="shared" si="1697"/>
        <v>-0.30708818483524791</v>
      </c>
      <c r="S578" s="10">
        <f t="shared" si="1698"/>
        <v>-0.29583333333333328</v>
      </c>
      <c r="T578" s="10">
        <f t="shared" si="1699"/>
        <v>-4.0000000000000036E-3</v>
      </c>
      <c r="U578" s="10">
        <f t="shared" si="1700"/>
        <v>1.0000000000000009E-2</v>
      </c>
      <c r="V578" s="23">
        <v>0</v>
      </c>
      <c r="W578" s="83"/>
      <c r="X578" s="5">
        <v>44592</v>
      </c>
      <c r="Y578" s="43">
        <v>469.8215969387121</v>
      </c>
      <c r="Z578" s="2">
        <v>341.62799999999999</v>
      </c>
      <c r="AA578" s="2">
        <v>79.599999999999994</v>
      </c>
      <c r="AB578" s="2">
        <v>58.81</v>
      </c>
      <c r="AC578" s="2">
        <v>103.2</v>
      </c>
      <c r="AD578" s="2">
        <v>74.639999999999986</v>
      </c>
      <c r="AE578" s="10">
        <f t="shared" si="1701"/>
        <v>0.77031046599954112</v>
      </c>
      <c r="AF578" s="10">
        <f t="shared" si="1702"/>
        <v>0.76720802680315314</v>
      </c>
      <c r="AG578" s="10">
        <f>Y578/24/31/5</f>
        <v>0.12629612820933123</v>
      </c>
      <c r="AH578" s="10">
        <f>Z578/24/31/5</f>
        <v>9.1835483870967738E-2</v>
      </c>
      <c r="AI578" s="11">
        <v>0.98499999999999999</v>
      </c>
      <c r="AJ578" s="82">
        <v>0.99429999999999996</v>
      </c>
      <c r="AK578" s="10">
        <v>0.99</v>
      </c>
      <c r="AL578" s="17">
        <v>1</v>
      </c>
      <c r="AM578" s="83"/>
      <c r="AN578" s="81">
        <f t="shared" si="1703"/>
        <v>-0.27285590482430477</v>
      </c>
      <c r="AO578" s="10">
        <f t="shared" si="1704"/>
        <v>-0.27674418604651174</v>
      </c>
      <c r="AP578" s="10">
        <f t="shared" si="1705"/>
        <v>9.299999999999975E-3</v>
      </c>
      <c r="AQ578" s="10">
        <f t="shared" si="1706"/>
        <v>1.0000000000000009E-2</v>
      </c>
      <c r="AR578" s="23">
        <v>0</v>
      </c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</row>
    <row r="579" spans="2:88" ht="14.65" customHeight="1">
      <c r="B579" s="5">
        <v>44620</v>
      </c>
      <c r="C579" s="114">
        <v>1238.6572330765698</v>
      </c>
      <c r="D579" s="2">
        <v>1238.586</v>
      </c>
      <c r="E579" s="2">
        <v>108.1</v>
      </c>
      <c r="F579" s="2">
        <v>108.97</v>
      </c>
      <c r="G579" s="2">
        <v>137.5</v>
      </c>
      <c r="H579" s="2">
        <v>141.71999999999997</v>
      </c>
      <c r="I579" s="10">
        <f t="shared" si="1695"/>
        <v>0.76213335368501445</v>
      </c>
      <c r="J579" s="10">
        <f t="shared" si="1713"/>
        <v>0.73565011095590072</v>
      </c>
      <c r="K579" s="14">
        <f>C579/24/28/10</f>
        <v>0.1843239930173467</v>
      </c>
      <c r="L579" s="14">
        <f>D579/24/28/10</f>
        <v>0.18431339285714288</v>
      </c>
      <c r="M579" s="11">
        <v>0.98499999999999999</v>
      </c>
      <c r="N579" s="82">
        <v>0.99001658999999997</v>
      </c>
      <c r="O579" s="10">
        <v>0.99</v>
      </c>
      <c r="P579" s="17">
        <v>0.99790000000000001</v>
      </c>
      <c r="Q579" s="83"/>
      <c r="R579" s="81">
        <f t="shared" si="1697"/>
        <v>-5.7508303885511758E-5</v>
      </c>
      <c r="S579" s="10">
        <f t="shared" si="1698"/>
        <v>3.069090909090888E-2</v>
      </c>
      <c r="T579" s="10">
        <f t="shared" si="1699"/>
        <v>5.0165899999999874E-3</v>
      </c>
      <c r="U579" s="10">
        <f t="shared" si="1700"/>
        <v>7.9000000000000181E-3</v>
      </c>
      <c r="V579" s="23">
        <v>-1.12E-2</v>
      </c>
      <c r="W579" s="83"/>
      <c r="X579" s="5">
        <v>44620</v>
      </c>
      <c r="Y579" s="43">
        <v>616.72985289734083</v>
      </c>
      <c r="Z579" s="2">
        <v>637.90499999999997</v>
      </c>
      <c r="AA579" s="2">
        <v>108.1</v>
      </c>
      <c r="AB579" s="2">
        <v>113.94</v>
      </c>
      <c r="AC579" s="2">
        <v>137.5</v>
      </c>
      <c r="AD579" s="2">
        <v>144.71999999999997</v>
      </c>
      <c r="AE579" s="10">
        <f t="shared" si="1701"/>
        <v>0.75893536735559564</v>
      </c>
      <c r="AF579" s="10">
        <f t="shared" si="1702"/>
        <v>0.74603643576731238</v>
      </c>
      <c r="AG579" s="10">
        <f>Y579/24/28/5</f>
        <v>0.18355055145754193</v>
      </c>
      <c r="AH579" s="10">
        <f>Z579/24/28/5</f>
        <v>0.18985267857142857</v>
      </c>
      <c r="AI579" s="11">
        <v>0.98499999999999999</v>
      </c>
      <c r="AJ579" s="82">
        <v>0.98472771999999997</v>
      </c>
      <c r="AK579" s="10">
        <v>0.99</v>
      </c>
      <c r="AL579" s="17">
        <v>0.99790000000000001</v>
      </c>
      <c r="AM579" s="83"/>
      <c r="AN579" s="81">
        <f t="shared" si="1703"/>
        <v>3.4334558321087005E-2</v>
      </c>
      <c r="AO579" s="10">
        <f t="shared" si="1704"/>
        <v>5.2509090909090617E-2</v>
      </c>
      <c r="AP579" s="10">
        <f t="shared" si="1705"/>
        <v>-2.7228000000001362E-4</v>
      </c>
      <c r="AQ579" s="10">
        <f t="shared" si="1706"/>
        <v>7.9000000000000181E-3</v>
      </c>
      <c r="AR579" s="23">
        <v>-1.17E-2</v>
      </c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</row>
    <row r="580" spans="2:88" ht="14.65" customHeight="1">
      <c r="B580" s="5">
        <v>44651</v>
      </c>
      <c r="C580" s="114">
        <v>1656.9249890626304</v>
      </c>
      <c r="D580" s="2">
        <f>[1]Database!$I$424/1000</f>
        <v>1540.152</v>
      </c>
      <c r="E580" s="2">
        <v>161.4</v>
      </c>
      <c r="F580" s="2">
        <v>162.41999999999999</v>
      </c>
      <c r="G580" s="2">
        <v>187.8</v>
      </c>
      <c r="H580" s="2">
        <v>188.44</v>
      </c>
      <c r="I580" s="10">
        <f t="shared" ref="I580:I591" si="1716">C580/12/G580/M580</f>
        <v>0.7464311986608817</v>
      </c>
      <c r="J580" s="10">
        <f t="shared" si="1713"/>
        <v>0.70397667342966075</v>
      </c>
      <c r="K580" s="14">
        <f>C580/24/31/10</f>
        <v>0.22270497164820302</v>
      </c>
      <c r="L580" s="14">
        <f>D580/24/31/10</f>
        <v>0.20700967741935483</v>
      </c>
      <c r="M580" s="11">
        <v>0.98499999999999999</v>
      </c>
      <c r="N580" s="82">
        <f>'[2]UTT '!$II$7</f>
        <v>0.96750000000000003</v>
      </c>
      <c r="O580" s="10">
        <v>0.99</v>
      </c>
      <c r="P580" s="17">
        <v>1</v>
      </c>
      <c r="Q580" s="83"/>
      <c r="R580" s="81">
        <f t="shared" ref="R580:R591" si="1717">D580/C580-1</f>
        <v>-7.047572450982964E-2</v>
      </c>
      <c r="S580" s="10">
        <f t="shared" ref="S580:S591" si="1718">H580/G580-1</f>
        <v>3.4078807241746389E-3</v>
      </c>
      <c r="T580" s="10">
        <f t="shared" ref="T580:T591" si="1719">N580-M580</f>
        <v>-1.749999999999996E-2</v>
      </c>
      <c r="U580" s="10">
        <f t="shared" ref="U580:U591" si="1720">P580-O580</f>
        <v>1.0000000000000009E-2</v>
      </c>
      <c r="V580" s="23">
        <v>-1.6566912139116499E-2</v>
      </c>
      <c r="W580" s="83"/>
      <c r="X580" s="5">
        <v>44651</v>
      </c>
      <c r="Y580" s="43">
        <v>827.19841551562104</v>
      </c>
      <c r="Z580" s="2">
        <f>[1]Database!$I$426/1000</f>
        <v>777.89400000000001</v>
      </c>
      <c r="AA580" s="2">
        <v>161.4</v>
      </c>
      <c r="AB580" s="2">
        <v>169.10000000000002</v>
      </c>
      <c r="AC580" s="2">
        <v>187.8</v>
      </c>
      <c r="AD580" s="2">
        <v>191.58999999999992</v>
      </c>
      <c r="AE580" s="10">
        <f t="shared" ref="AE580:AE591" si="1721">Y580/6/AC580/AI580</f>
        <v>0.74529228407981718</v>
      </c>
      <c r="AF580" s="10">
        <f t="shared" ref="AF580:AF591" si="1722">Z580/6/AD580/AJ580</f>
        <v>0.7177558817517159</v>
      </c>
      <c r="AG580" s="10">
        <f>Y580/24/31/5</f>
        <v>0.22236516546118845</v>
      </c>
      <c r="AH580" s="10">
        <f>Z580/24/31/5</f>
        <v>0.20911129032258063</v>
      </c>
      <c r="AI580" s="11">
        <v>0.98499999999999999</v>
      </c>
      <c r="AJ580" s="82">
        <v>0.94279999999999997</v>
      </c>
      <c r="AK580" s="10">
        <v>0.99</v>
      </c>
      <c r="AL580" s="17">
        <v>1</v>
      </c>
      <c r="AM580" s="83"/>
      <c r="AN580" s="81">
        <f t="shared" ref="AN580:AN591" si="1723">Z580/Y580-1</f>
        <v>-5.9604098110956683E-2</v>
      </c>
      <c r="AO580" s="10">
        <f t="shared" ref="AO580:AO591" si="1724">AD580/AC580-1</f>
        <v>2.0181043663471288E-2</v>
      </c>
      <c r="AP580" s="10">
        <f t="shared" ref="AP580:AP591" si="1725">AJ580-AI580</f>
        <v>-4.2200000000000015E-2</v>
      </c>
      <c r="AQ580" s="10">
        <f t="shared" ref="AQ580:AQ591" si="1726">AL580-AK580</f>
        <v>1.0000000000000009E-2</v>
      </c>
      <c r="AR580" s="23">
        <v>-1.28350159783255E-2</v>
      </c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</row>
    <row r="581" spans="2:88" s="89" customFormat="1">
      <c r="B581" s="25">
        <v>44681</v>
      </c>
      <c r="C581" s="115">
        <v>1711.7945226435975</v>
      </c>
      <c r="D581" s="26">
        <v>1480.566</v>
      </c>
      <c r="E581" s="26">
        <v>190.2</v>
      </c>
      <c r="F581" s="26">
        <v>174.14000000000001</v>
      </c>
      <c r="G581" s="26">
        <v>194</v>
      </c>
      <c r="H581" s="26">
        <v>182.27000000000004</v>
      </c>
      <c r="I581" s="29">
        <f t="shared" si="1716"/>
        <v>0.74650449292811305</v>
      </c>
      <c r="J581" s="29">
        <f t="shared" si="1713"/>
        <v>0.67881129872811574</v>
      </c>
      <c r="K581" s="45">
        <f>C581/24/30/10</f>
        <v>0.23774923925605523</v>
      </c>
      <c r="L581" s="45">
        <f>D581/24/30/10</f>
        <v>0.20563416666666665</v>
      </c>
      <c r="M581" s="28">
        <v>0.98499999999999999</v>
      </c>
      <c r="N581" s="85">
        <v>0.99719999999999998</v>
      </c>
      <c r="O581" s="29">
        <v>0.99</v>
      </c>
      <c r="P581" s="30">
        <v>1</v>
      </c>
      <c r="Q581" s="86"/>
      <c r="R581" s="87">
        <f t="shared" si="1717"/>
        <v>-0.13507960189433332</v>
      </c>
      <c r="S581" s="29">
        <f t="shared" si="1718"/>
        <v>-6.0463917525772959E-2</v>
      </c>
      <c r="T581" s="29">
        <f t="shared" si="1719"/>
        <v>1.2199999999999989E-2</v>
      </c>
      <c r="U581" s="29">
        <f t="shared" si="1720"/>
        <v>1.0000000000000009E-2</v>
      </c>
      <c r="V581" s="32">
        <v>-2.3300000000000001E-2</v>
      </c>
      <c r="W581" s="86"/>
      <c r="X581" s="25">
        <v>44681</v>
      </c>
      <c r="Y581" s="44">
        <v>855.98044117282166</v>
      </c>
      <c r="Z581" s="26">
        <v>758.02800000000002</v>
      </c>
      <c r="AA581" s="26">
        <v>190.2</v>
      </c>
      <c r="AB581" s="26">
        <v>180.85000000000002</v>
      </c>
      <c r="AC581" s="26">
        <v>194</v>
      </c>
      <c r="AD581" s="26">
        <v>185.76</v>
      </c>
      <c r="AE581" s="29">
        <f t="shared" si="1721"/>
        <v>0.74657704150995319</v>
      </c>
      <c r="AF581" s="29">
        <f t="shared" si="1722"/>
        <v>0.68879291650158059</v>
      </c>
      <c r="AG581" s="29">
        <f>Y581/24/30/5</f>
        <v>0.23777234477022824</v>
      </c>
      <c r="AH581" s="29">
        <f>Z581/24/30/5</f>
        <v>0.21056333333333335</v>
      </c>
      <c r="AI581" s="28">
        <v>0.98499999999999999</v>
      </c>
      <c r="AJ581" s="85">
        <v>0.98740000000000006</v>
      </c>
      <c r="AK581" s="29">
        <v>0.99</v>
      </c>
      <c r="AL581" s="30">
        <v>1</v>
      </c>
      <c r="AM581" s="86"/>
      <c r="AN581" s="87">
        <f t="shared" si="1723"/>
        <v>-0.11443303662243975</v>
      </c>
      <c r="AO581" s="29">
        <f t="shared" si="1724"/>
        <v>-4.2474226804123716E-2</v>
      </c>
      <c r="AP581" s="29">
        <f t="shared" si="1725"/>
        <v>2.4000000000000687E-3</v>
      </c>
      <c r="AQ581" s="29">
        <f t="shared" si="1726"/>
        <v>1.0000000000000009E-2</v>
      </c>
      <c r="AR581" s="32">
        <v>-2.3199999999999998E-2</v>
      </c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</row>
    <row r="582" spans="2:88">
      <c r="B582" s="5">
        <v>44712</v>
      </c>
      <c r="C582" s="114">
        <v>1734.2820364062889</v>
      </c>
      <c r="D582" s="2">
        <v>1527.9359999999999</v>
      </c>
      <c r="E582" s="70">
        <v>197</v>
      </c>
      <c r="F582" s="69">
        <v>187.18</v>
      </c>
      <c r="G582" s="70">
        <v>197.7</v>
      </c>
      <c r="H582" s="69">
        <v>186.75000000000006</v>
      </c>
      <c r="I582" s="10">
        <f t="shared" si="1716"/>
        <v>0.74215664421998873</v>
      </c>
      <c r="J582" s="29">
        <f t="shared" si="1713"/>
        <v>0.70754870214368659</v>
      </c>
      <c r="K582" s="41">
        <f t="shared" ref="K582" si="1727">C582/24/31/10</f>
        <v>0.23310242424815711</v>
      </c>
      <c r="L582" s="41">
        <f t="shared" ref="L582" si="1728">D582/24/31/10</f>
        <v>0.20536774193548385</v>
      </c>
      <c r="M582" s="11">
        <v>0.98499999999999999</v>
      </c>
      <c r="N582" s="82">
        <v>0.96362258064516115</v>
      </c>
      <c r="O582" s="10">
        <v>0.99</v>
      </c>
      <c r="P582" s="17">
        <v>1</v>
      </c>
      <c r="Q582" s="83"/>
      <c r="R582" s="81">
        <f t="shared" si="1717"/>
        <v>-0.11898066870015622</v>
      </c>
      <c r="S582" s="10">
        <f t="shared" si="1718"/>
        <v>-5.5386949924127071E-2</v>
      </c>
      <c r="T582" s="10">
        <f t="shared" si="1719"/>
        <v>-2.1377419354838834E-2</v>
      </c>
      <c r="U582" s="10">
        <f t="shared" si="1720"/>
        <v>1.0000000000000009E-2</v>
      </c>
      <c r="V582" s="23">
        <v>-8.3999999999999995E-3</v>
      </c>
      <c r="W582" s="83"/>
      <c r="X582" s="5">
        <v>44712</v>
      </c>
      <c r="Y582" s="43">
        <v>867.37332632879702</v>
      </c>
      <c r="Z582" s="2">
        <v>786.24900000000002</v>
      </c>
      <c r="AA582" s="2">
        <v>197</v>
      </c>
      <c r="AB582" s="2">
        <v>187.55</v>
      </c>
      <c r="AC582" s="2">
        <v>197.7</v>
      </c>
      <c r="AD582" s="2">
        <v>188.78000000000003</v>
      </c>
      <c r="AE582" s="10">
        <f t="shared" si="1721"/>
        <v>0.74235546888096093</v>
      </c>
      <c r="AF582" s="10">
        <f t="shared" si="1722"/>
        <v>0.71004512317407242</v>
      </c>
      <c r="AG582" s="10">
        <f t="shared" ref="AG582" si="1729">Y582/24/31/5</f>
        <v>0.23316487266903146</v>
      </c>
      <c r="AH582" s="10">
        <f t="shared" ref="AH582" si="1730">Z582/24/31/5</f>
        <v>0.21135725806451613</v>
      </c>
      <c r="AI582" s="11">
        <v>0.98499999999999999</v>
      </c>
      <c r="AJ582" s="82">
        <v>0.97761290322580663</v>
      </c>
      <c r="AK582" s="10">
        <v>0.99</v>
      </c>
      <c r="AL582" s="17">
        <v>1</v>
      </c>
      <c r="AM582" s="83"/>
      <c r="AN582" s="81">
        <f t="shared" si="1723"/>
        <v>-9.3528730785577552E-2</v>
      </c>
      <c r="AO582" s="10">
        <f t="shared" si="1724"/>
        <v>-4.5118866970156546E-2</v>
      </c>
      <c r="AP582" s="10">
        <f t="shared" si="1725"/>
        <v>-7.387096774193358E-3</v>
      </c>
      <c r="AQ582" s="10">
        <f t="shared" si="1726"/>
        <v>1.0000000000000009E-2</v>
      </c>
      <c r="AR582" s="23">
        <v>-7.9000000000000008E-3</v>
      </c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</row>
    <row r="583" spans="2:88">
      <c r="B583" s="5">
        <v>44742</v>
      </c>
      <c r="C583" s="114">
        <v>1559.7789296078031</v>
      </c>
      <c r="D583" s="2">
        <v>1386.5160000000001</v>
      </c>
      <c r="E583" s="2">
        <v>178.9</v>
      </c>
      <c r="F583" s="2">
        <v>171.11999999999995</v>
      </c>
      <c r="G583" s="2">
        <v>177.2</v>
      </c>
      <c r="H583" s="2">
        <v>170.06999999999996</v>
      </c>
      <c r="I583" s="10">
        <f t="shared" si="1716"/>
        <v>0.7447008597776863</v>
      </c>
      <c r="J583" s="10">
        <f t="shared" si="1713"/>
        <v>0.68380837510437131</v>
      </c>
      <c r="K583" s="41">
        <f t="shared" ref="K583" si="1731">C583/24/30/10</f>
        <v>0.21663596244552821</v>
      </c>
      <c r="L583" s="41">
        <f t="shared" ref="L583" si="1732">D583/24/30/10</f>
        <v>0.19257166666666667</v>
      </c>
      <c r="M583" s="11">
        <v>0.98499999999999999</v>
      </c>
      <c r="N583" s="82">
        <v>0.99353120533333339</v>
      </c>
      <c r="O583" s="10">
        <v>0.99</v>
      </c>
      <c r="P583" s="17">
        <v>0.99919999999999998</v>
      </c>
      <c r="Q583" s="83"/>
      <c r="R583" s="81">
        <f t="shared" si="1717"/>
        <v>-0.11108172210748413</v>
      </c>
      <c r="S583" s="10">
        <f t="shared" si="1718"/>
        <v>-4.0237020316027272E-2</v>
      </c>
      <c r="T583" s="10">
        <f t="shared" si="1719"/>
        <v>8.5312053333334026E-3</v>
      </c>
      <c r="U583" s="10">
        <f t="shared" si="1720"/>
        <v>9.199999999999986E-3</v>
      </c>
      <c r="V583" s="23">
        <v>-1.23E-2</v>
      </c>
      <c r="W583" s="83"/>
      <c r="X583" s="5">
        <v>44742</v>
      </c>
      <c r="Y583" s="43">
        <v>778.62874721909463</v>
      </c>
      <c r="Z583" s="2">
        <v>719.577</v>
      </c>
      <c r="AA583" s="2">
        <v>178.9</v>
      </c>
      <c r="AB583" s="2">
        <v>169.21000000000006</v>
      </c>
      <c r="AC583" s="2">
        <v>177.2</v>
      </c>
      <c r="AD583" s="2">
        <v>169.51000000000002</v>
      </c>
      <c r="AE583" s="10">
        <f t="shared" si="1721"/>
        <v>0.74349702575797871</v>
      </c>
      <c r="AF583" s="10">
        <f t="shared" si="1722"/>
        <v>0.70875143009730124</v>
      </c>
      <c r="AG583" s="10">
        <f>Y583/24/30/5</f>
        <v>0.21628576311641518</v>
      </c>
      <c r="AH583" s="10">
        <f>Z583/24/30/5</f>
        <v>0.19988250000000002</v>
      </c>
      <c r="AI583" s="11">
        <v>0.98499999999999999</v>
      </c>
      <c r="AJ583" s="82">
        <v>0.99824409757777766</v>
      </c>
      <c r="AK583" s="10">
        <v>0.99</v>
      </c>
      <c r="AL583" s="17">
        <v>0.99920666666666658</v>
      </c>
      <c r="AM583" s="83"/>
      <c r="AN583" s="81">
        <f t="shared" si="1723"/>
        <v>-7.5840697418378733E-2</v>
      </c>
      <c r="AO583" s="10">
        <f t="shared" si="1724"/>
        <v>-4.3397291196388132E-2</v>
      </c>
      <c r="AP583" s="10">
        <f t="shared" si="1725"/>
        <v>1.3244097577777669E-2</v>
      </c>
      <c r="AQ583" s="10">
        <f t="shared" si="1726"/>
        <v>9.2066666666665853E-3</v>
      </c>
      <c r="AR583" s="23">
        <v>-1.3899999999999999E-2</v>
      </c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</row>
    <row r="584" spans="2:88">
      <c r="B584" s="5">
        <v>44773</v>
      </c>
      <c r="C584" s="114">
        <v>1383.4768217083022</v>
      </c>
      <c r="D584" s="2">
        <v>1321.2360000000001</v>
      </c>
      <c r="E584" s="2">
        <v>155.5</v>
      </c>
      <c r="F584" s="2">
        <v>154.21999999999994</v>
      </c>
      <c r="G584" s="2">
        <v>154.6</v>
      </c>
      <c r="H584" s="2">
        <v>152.39999999999998</v>
      </c>
      <c r="I584" s="10">
        <f t="shared" si="1716"/>
        <v>0.75708548763377248</v>
      </c>
      <c r="J584" s="10">
        <f>D584/12/H584/N584</f>
        <v>0.73430183925820114</v>
      </c>
      <c r="K584" s="41">
        <f>C584/24/31/10</f>
        <v>0.18595118571348146</v>
      </c>
      <c r="L584" s="41">
        <f>D584/24/31/10</f>
        <v>0.17758548387096776</v>
      </c>
      <c r="M584" s="11">
        <v>0.98499999999999999</v>
      </c>
      <c r="N584" s="82">
        <v>0.98387419354838712</v>
      </c>
      <c r="O584" s="10">
        <v>0.99</v>
      </c>
      <c r="P584" s="17">
        <v>1</v>
      </c>
      <c r="Q584" s="83"/>
      <c r="R584" s="81">
        <f t="shared" si="1717"/>
        <v>-4.4988698568471652E-2</v>
      </c>
      <c r="S584" s="10">
        <f t="shared" si="1718"/>
        <v>-1.4230271668822847E-2</v>
      </c>
      <c r="T584" s="10">
        <f t="shared" si="1719"/>
        <v>-1.1258064516128652E-3</v>
      </c>
      <c r="U584" s="10">
        <f t="shared" si="1720"/>
        <v>1.0000000000000009E-2</v>
      </c>
      <c r="V584" s="23">
        <v>-6.1999999999999998E-3</v>
      </c>
      <c r="W584" s="83"/>
      <c r="X584" s="5">
        <v>44773</v>
      </c>
      <c r="Y584" s="43">
        <v>689.28454257486749</v>
      </c>
      <c r="Z584" s="2">
        <v>670.21500000000003</v>
      </c>
      <c r="AA584" s="2">
        <v>155.5</v>
      </c>
      <c r="AB584" s="2">
        <v>150.62999999999997</v>
      </c>
      <c r="AC584" s="2">
        <v>154.6</v>
      </c>
      <c r="AD584" s="2">
        <v>152.83999999999997</v>
      </c>
      <c r="AE584" s="10">
        <f t="shared" si="1721"/>
        <v>0.754399807565036</v>
      </c>
      <c r="AF584" s="10">
        <f t="shared" si="1722"/>
        <v>0.75429733003968824</v>
      </c>
      <c r="AG584" s="10">
        <f>Y584/24/31/5</f>
        <v>0.18529154370292136</v>
      </c>
      <c r="AH584" s="10">
        <f>Z584/24/31/5</f>
        <v>0.18016532258064516</v>
      </c>
      <c r="AI584" s="11">
        <v>0.98499999999999999</v>
      </c>
      <c r="AJ584" s="82">
        <v>0.96890967741935474</v>
      </c>
      <c r="AK584" s="10">
        <v>0.99</v>
      </c>
      <c r="AL584" s="17">
        <v>1</v>
      </c>
      <c r="AM584" s="83"/>
      <c r="AN584" s="81">
        <f t="shared" si="1723"/>
        <v>-2.7665704650262302E-2</v>
      </c>
      <c r="AO584" s="10">
        <f t="shared" si="1724"/>
        <v>-1.1384217335058344E-2</v>
      </c>
      <c r="AP584" s="10">
        <f t="shared" si="1725"/>
        <v>-1.6090322580645244E-2</v>
      </c>
      <c r="AQ584" s="10">
        <f t="shared" si="1726"/>
        <v>1.0000000000000009E-2</v>
      </c>
      <c r="AR584" s="23">
        <v>-6.1999999999999998E-3</v>
      </c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</row>
    <row r="585" spans="2:88">
      <c r="B585" s="5">
        <v>44804</v>
      </c>
      <c r="C585" s="114">
        <v>1314.2152793192129</v>
      </c>
      <c r="D585" s="2">
        <v>1371.03</v>
      </c>
      <c r="E585" s="2">
        <v>145.4</v>
      </c>
      <c r="F585" s="2">
        <v>161.01</v>
      </c>
      <c r="G585" s="2">
        <v>146.30000000000001</v>
      </c>
      <c r="H585" s="2">
        <v>161.92999999999995</v>
      </c>
      <c r="I585" s="10">
        <f t="shared" si="1716"/>
        <v>0.75998445543902016</v>
      </c>
      <c r="J585" s="10">
        <f>D585/12/H585/N585</f>
        <v>0.71864186596531177</v>
      </c>
      <c r="K585" s="41">
        <f>C585/24/31/10</f>
        <v>0.17664183861817379</v>
      </c>
      <c r="L585" s="41">
        <f>D585/24/31/10</f>
        <v>0.18427822580645162</v>
      </c>
      <c r="M585" s="11">
        <v>0.98499999999999999</v>
      </c>
      <c r="N585" s="82">
        <v>0.98180645161290336</v>
      </c>
      <c r="O585" s="10">
        <v>0.99</v>
      </c>
      <c r="P585" s="17">
        <v>1</v>
      </c>
      <c r="Q585" s="83"/>
      <c r="R585" s="81">
        <f t="shared" si="1717"/>
        <v>4.3230908645513599E-2</v>
      </c>
      <c r="S585" s="10">
        <f t="shared" si="1718"/>
        <v>0.10683526999316428</v>
      </c>
      <c r="T585" s="10">
        <f t="shared" si="1719"/>
        <v>-3.193548387096623E-3</v>
      </c>
      <c r="U585" s="10">
        <f t="shared" si="1720"/>
        <v>1.0000000000000009E-2</v>
      </c>
      <c r="V585" s="23">
        <v>-1.2800000000000001E-2</v>
      </c>
      <c r="W585" s="83"/>
      <c r="X585" s="5">
        <v>44804</v>
      </c>
      <c r="Y585" s="43">
        <v>654.2064488051542</v>
      </c>
      <c r="Z585" s="2">
        <v>713.78099999999995</v>
      </c>
      <c r="AA585" s="2">
        <v>145.4</v>
      </c>
      <c r="AB585" s="2">
        <v>160.46</v>
      </c>
      <c r="AC585" s="2">
        <v>146.30000000000001</v>
      </c>
      <c r="AD585" s="2">
        <v>163.84</v>
      </c>
      <c r="AE585" s="10">
        <f t="shared" si="1721"/>
        <v>0.75662905395139224</v>
      </c>
      <c r="AF585" s="10">
        <f t="shared" si="1722"/>
        <v>0.74603641238707208</v>
      </c>
      <c r="AG585" s="10">
        <f>Y585/24/31/5</f>
        <v>0.17586194860353604</v>
      </c>
      <c r="AH585" s="10">
        <f>Z585/24/31/5</f>
        <v>0.1918766129032258</v>
      </c>
      <c r="AI585" s="11">
        <v>0.98499999999999999</v>
      </c>
      <c r="AJ585" s="82">
        <v>0.97327096774193556</v>
      </c>
      <c r="AK585" s="10">
        <v>0.99</v>
      </c>
      <c r="AL585" s="17">
        <v>1</v>
      </c>
      <c r="AM585" s="83"/>
      <c r="AN585" s="81">
        <f t="shared" si="1723"/>
        <v>9.1063839715510353E-2</v>
      </c>
      <c r="AO585" s="10">
        <f t="shared" si="1724"/>
        <v>0.11989063568010927</v>
      </c>
      <c r="AP585" s="10">
        <f t="shared" si="1725"/>
        <v>-1.1729032258064431E-2</v>
      </c>
      <c r="AQ585" s="10">
        <f t="shared" si="1726"/>
        <v>1.0000000000000009E-2</v>
      </c>
      <c r="AR585" s="23">
        <v>-1.2E-2</v>
      </c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</row>
    <row r="586" spans="2:88">
      <c r="B586" s="5">
        <v>44834</v>
      </c>
      <c r="C586" s="114">
        <v>1308.8182760161669</v>
      </c>
      <c r="D586" s="2">
        <v>1140.9960000000001</v>
      </c>
      <c r="E586" s="2">
        <v>141.6</v>
      </c>
      <c r="F586" s="2">
        <v>129.53000000000003</v>
      </c>
      <c r="G586" s="2">
        <v>145.5</v>
      </c>
      <c r="H586" s="2">
        <v>135.13000000000002</v>
      </c>
      <c r="I586" s="10">
        <f t="shared" si="1716"/>
        <v>0.7610249248557498</v>
      </c>
      <c r="J586" s="10">
        <f t="shared" ref="J586:J592" si="1733">D586/12/H586/N586</f>
        <v>0.71082500978791396</v>
      </c>
      <c r="K586" s="41">
        <f t="shared" ref="K586" si="1734">C586/24/30/10</f>
        <v>0.18178031611335652</v>
      </c>
      <c r="L586" s="41">
        <f t="shared" ref="L586" si="1735">D586/24/30/10</f>
        <v>0.15847166666666668</v>
      </c>
      <c r="M586" s="11">
        <v>0.98499999999999999</v>
      </c>
      <c r="N586" s="82">
        <v>0.98989333333333329</v>
      </c>
      <c r="O586" s="10">
        <v>0.99</v>
      </c>
      <c r="P586" s="17">
        <v>1</v>
      </c>
      <c r="Q586" s="83"/>
      <c r="R586" s="81">
        <f t="shared" si="1717"/>
        <v>-0.12822427612104481</v>
      </c>
      <c r="S586" s="10">
        <f t="shared" si="1718"/>
        <v>-7.1271477663230054E-2</v>
      </c>
      <c r="T586" s="10">
        <f t="shared" si="1719"/>
        <v>4.8933333333333051E-3</v>
      </c>
      <c r="U586" s="10">
        <f t="shared" si="1720"/>
        <v>1.0000000000000009E-2</v>
      </c>
      <c r="V586" s="23">
        <v>-0.01</v>
      </c>
      <c r="W586" s="83"/>
      <c r="X586" s="5">
        <v>44834</v>
      </c>
      <c r="Y586" s="43">
        <v>652.10775943431656</v>
      </c>
      <c r="Z586" s="2">
        <v>597.06299999999999</v>
      </c>
      <c r="AA586" s="2">
        <v>141.6</v>
      </c>
      <c r="AB586" s="2">
        <v>130.42000000000002</v>
      </c>
      <c r="AC586" s="2">
        <v>145.5</v>
      </c>
      <c r="AD586" s="2">
        <v>138.44000000000003</v>
      </c>
      <c r="AE586" s="10">
        <f t="shared" si="1721"/>
        <v>0.75834860761865153</v>
      </c>
      <c r="AF586" s="10">
        <f t="shared" si="1722"/>
        <v>0.72696989925210653</v>
      </c>
      <c r="AG586" s="10">
        <f>Y586/24/30/5</f>
        <v>0.18114104428731015</v>
      </c>
      <c r="AH586" s="10">
        <f>Z586/24/30/5</f>
        <v>0.16585083333333334</v>
      </c>
      <c r="AI586" s="11">
        <v>0.98499999999999999</v>
      </c>
      <c r="AJ586" s="82">
        <v>0.98876000000000019</v>
      </c>
      <c r="AK586" s="10">
        <v>0.99</v>
      </c>
      <c r="AL586" s="17">
        <v>1</v>
      </c>
      <c r="AM586" s="83"/>
      <c r="AN586" s="81">
        <f t="shared" si="1723"/>
        <v>-8.4410526692806465E-2</v>
      </c>
      <c r="AO586" s="10">
        <f t="shared" si="1724"/>
        <v>-4.8522336769759256E-2</v>
      </c>
      <c r="AP586" s="10">
        <f t="shared" si="1725"/>
        <v>3.7600000000002076E-3</v>
      </c>
      <c r="AQ586" s="10">
        <f t="shared" si="1726"/>
        <v>1.0000000000000009E-2</v>
      </c>
      <c r="AR586" s="23">
        <v>-9.2999999999999992E-3</v>
      </c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</row>
    <row r="587" spans="2:88">
      <c r="B587" s="5">
        <v>44865</v>
      </c>
      <c r="C587" s="114">
        <v>1495.9143905217597</v>
      </c>
      <c r="D587" s="2">
        <v>1349.136</v>
      </c>
      <c r="E587" s="2">
        <v>139.1</v>
      </c>
      <c r="F587" s="2">
        <v>131.32999999999998</v>
      </c>
      <c r="G587" s="2">
        <v>172.2</v>
      </c>
      <c r="H587" s="2">
        <v>160.63999999999996</v>
      </c>
      <c r="I587" s="10">
        <f t="shared" si="1716"/>
        <v>0.73494716062352239</v>
      </c>
      <c r="J587" s="10">
        <f t="shared" si="1733"/>
        <v>0.70354756238194893</v>
      </c>
      <c r="K587" s="41">
        <f>C587/24/31/10</f>
        <v>0.20106376216690319</v>
      </c>
      <c r="L587" s="41">
        <f>D587/24/31/10</f>
        <v>0.18133548387096773</v>
      </c>
      <c r="M587" s="11">
        <v>0.98499999999999999</v>
      </c>
      <c r="N587" s="82">
        <v>0.99478064516129039</v>
      </c>
      <c r="O587" s="10">
        <v>0.99</v>
      </c>
      <c r="P587" s="17">
        <v>1</v>
      </c>
      <c r="Q587" s="83"/>
      <c r="R587" s="81">
        <f t="shared" si="1717"/>
        <v>-9.811951235428984E-2</v>
      </c>
      <c r="S587" s="10">
        <f t="shared" si="1718"/>
        <v>-6.713124274099902E-2</v>
      </c>
      <c r="T587" s="10">
        <f t="shared" si="1719"/>
        <v>9.7806451612904022E-3</v>
      </c>
      <c r="U587" s="10">
        <f t="shared" si="1720"/>
        <v>1.0000000000000009E-2</v>
      </c>
      <c r="V587" s="23">
        <v>-1.62942153754051E-2</v>
      </c>
      <c r="W587" s="83"/>
      <c r="X587" s="5">
        <v>44865</v>
      </c>
      <c r="Y587" s="43">
        <v>747.14840665653151</v>
      </c>
      <c r="Z587" s="2">
        <v>691.43100000000004</v>
      </c>
      <c r="AA587" s="2">
        <v>139.1</v>
      </c>
      <c r="AB587" s="2">
        <v>131.51999999999998</v>
      </c>
      <c r="AC587" s="2">
        <v>172.2</v>
      </c>
      <c r="AD587" s="2">
        <v>161.66999999999999</v>
      </c>
      <c r="AE587" s="10">
        <f t="shared" si="1721"/>
        <v>0.73415244016080494</v>
      </c>
      <c r="AF587" s="10">
        <f t="shared" si="1722"/>
        <v>0.7171941596044592</v>
      </c>
      <c r="AG587" s="10">
        <f>Y587/24/31/5</f>
        <v>0.20084634587541167</v>
      </c>
      <c r="AH587" s="10">
        <f>Z587/24/31/5</f>
        <v>0.18586854838709679</v>
      </c>
      <c r="AI587" s="11">
        <v>0.98499999999999999</v>
      </c>
      <c r="AJ587" s="82">
        <v>0.99387419354838702</v>
      </c>
      <c r="AK587" s="10">
        <v>0.99</v>
      </c>
      <c r="AL587" s="17">
        <v>0.99724193548387097</v>
      </c>
      <c r="AM587" s="83"/>
      <c r="AN587" s="81">
        <f t="shared" si="1723"/>
        <v>-7.4573412939291872E-2</v>
      </c>
      <c r="AO587" s="10">
        <f t="shared" si="1724"/>
        <v>-6.11498257839721E-2</v>
      </c>
      <c r="AP587" s="10">
        <f t="shared" si="1725"/>
        <v>8.8741935483870327E-3</v>
      </c>
      <c r="AQ587" s="10">
        <f t="shared" si="1726"/>
        <v>7.241935483870976E-3</v>
      </c>
      <c r="AR587" s="23">
        <v>-1.6071568214886801E-2</v>
      </c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</row>
    <row r="588" spans="2:88">
      <c r="B588" s="5">
        <v>44895</v>
      </c>
      <c r="C588" s="114">
        <v>1326.8082870263199</v>
      </c>
      <c r="D588" s="2">
        <v>1109.94</v>
      </c>
      <c r="E588" s="2">
        <v>108.1</v>
      </c>
      <c r="F588" s="2">
        <v>98.27</v>
      </c>
      <c r="G588" s="2">
        <v>152.1</v>
      </c>
      <c r="H588" s="2">
        <v>134.56</v>
      </c>
      <c r="I588" s="10">
        <f t="shared" si="1716"/>
        <v>0.73800870554833575</v>
      </c>
      <c r="J588" s="10">
        <f t="shared" si="1733"/>
        <v>0.68918039459073965</v>
      </c>
      <c r="K588" s="41">
        <f>C588/24/30/10</f>
        <v>0.18427892875365554</v>
      </c>
      <c r="L588" s="41">
        <f>D588/24/30/10</f>
        <v>0.15415833333333334</v>
      </c>
      <c r="M588" s="11">
        <v>0.98499999999999999</v>
      </c>
      <c r="N588" s="82">
        <v>0.99740000000000006</v>
      </c>
      <c r="O588" s="10">
        <v>0.99</v>
      </c>
      <c r="P588" s="17">
        <v>1</v>
      </c>
      <c r="Q588" s="83"/>
      <c r="R588" s="81">
        <f t="shared" si="1717"/>
        <v>-0.16345110981509714</v>
      </c>
      <c r="S588" s="10">
        <f t="shared" si="1718"/>
        <v>-0.11531886916502299</v>
      </c>
      <c r="T588" s="10">
        <f t="shared" si="1719"/>
        <v>1.2400000000000078E-2</v>
      </c>
      <c r="U588" s="10">
        <f t="shared" si="1720"/>
        <v>1.0000000000000009E-2</v>
      </c>
      <c r="V588" s="23">
        <v>-2.4899999999999999E-2</v>
      </c>
      <c r="W588" s="83"/>
      <c r="X588" s="5">
        <v>44895</v>
      </c>
      <c r="Y588" s="43">
        <v>661.40195521945441</v>
      </c>
      <c r="Z588" s="2">
        <v>590.12099999999998</v>
      </c>
      <c r="AA588" s="2">
        <v>108.1</v>
      </c>
      <c r="AB588" s="2">
        <v>100.87</v>
      </c>
      <c r="AC588" s="2">
        <v>152.1</v>
      </c>
      <c r="AD588" s="2">
        <v>138.27000000000001</v>
      </c>
      <c r="AE588" s="10">
        <f t="shared" si="1721"/>
        <v>0.73578135679667334</v>
      </c>
      <c r="AF588" s="10">
        <f t="shared" si="1722"/>
        <v>0.71203634899970492</v>
      </c>
      <c r="AG588" s="10">
        <f>Y588/24/30/5</f>
        <v>0.18372276533873733</v>
      </c>
      <c r="AH588" s="10">
        <f>Z588/24/30/5</f>
        <v>0.1639225</v>
      </c>
      <c r="AI588" s="11">
        <v>0.98499999999999999</v>
      </c>
      <c r="AJ588" s="82">
        <v>0.99898666666666669</v>
      </c>
      <c r="AK588" s="10">
        <v>0.99</v>
      </c>
      <c r="AL588" s="17">
        <v>1</v>
      </c>
      <c r="AM588" s="83"/>
      <c r="AN588" s="81">
        <f t="shared" si="1723"/>
        <v>-0.10777251965607404</v>
      </c>
      <c r="AO588" s="10">
        <f t="shared" si="1724"/>
        <v>-9.092702169625233E-2</v>
      </c>
      <c r="AP588" s="10">
        <f t="shared" si="1725"/>
        <v>1.3986666666666703E-2</v>
      </c>
      <c r="AQ588" s="10">
        <f t="shared" si="1726"/>
        <v>1.0000000000000009E-2</v>
      </c>
      <c r="AR588" s="23">
        <v>-2.47E-2</v>
      </c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</row>
    <row r="589" spans="2:88">
      <c r="B589" s="5">
        <v>44926</v>
      </c>
      <c r="C589" s="114">
        <v>1116.3251582075279</v>
      </c>
      <c r="D589" s="2">
        <v>989.55</v>
      </c>
      <c r="E589" s="2">
        <v>89.9</v>
      </c>
      <c r="F589" s="2">
        <v>81.760000000000005</v>
      </c>
      <c r="G589" s="2">
        <v>129.6</v>
      </c>
      <c r="H589" s="2">
        <v>117.48</v>
      </c>
      <c r="I589" s="10">
        <f t="shared" si="1716"/>
        <v>0.72873266056663222</v>
      </c>
      <c r="J589" s="10">
        <f t="shared" si="1733"/>
        <v>0.70310284992408045</v>
      </c>
      <c r="K589" s="41">
        <f>C589/24/31/10</f>
        <v>0.15004370406015161</v>
      </c>
      <c r="L589" s="41">
        <f>D589/24/31/10</f>
        <v>0.13300403225806451</v>
      </c>
      <c r="M589" s="11">
        <v>0.98499999999999999</v>
      </c>
      <c r="N589" s="82">
        <v>0.99832903225806446</v>
      </c>
      <c r="O589" s="10">
        <v>0.99</v>
      </c>
      <c r="P589" s="17">
        <v>1</v>
      </c>
      <c r="Q589" s="83"/>
      <c r="R589" s="81">
        <f t="shared" si="1717"/>
        <v>-0.11356472375046134</v>
      </c>
      <c r="S589" s="10">
        <f t="shared" si="1718"/>
        <v>-9.3518518518518445E-2</v>
      </c>
      <c r="T589" s="10">
        <f t="shared" si="1719"/>
        <v>1.3329032258064477E-2</v>
      </c>
      <c r="U589" s="10">
        <f t="shared" si="1720"/>
        <v>1.0000000000000009E-2</v>
      </c>
      <c r="V589" s="23">
        <v>-1.9599999999999999E-2</v>
      </c>
      <c r="W589" s="83"/>
      <c r="X589" s="5">
        <v>44926</v>
      </c>
      <c r="Y589" s="43">
        <v>555.26823560852665</v>
      </c>
      <c r="Z589" s="2">
        <v>515.71199999999999</v>
      </c>
      <c r="AA589" s="2">
        <v>89.9</v>
      </c>
      <c r="AB589" s="2">
        <v>84.870000000000033</v>
      </c>
      <c r="AC589" s="2">
        <v>129.6</v>
      </c>
      <c r="AD589" s="2">
        <v>120.86</v>
      </c>
      <c r="AE589" s="10">
        <f t="shared" si="1721"/>
        <v>0.72495382852944201</v>
      </c>
      <c r="AF589" s="10">
        <f t="shared" si="1722"/>
        <v>0.71908451765007964</v>
      </c>
      <c r="AG589" s="10">
        <f>Y589/24/31/5</f>
        <v>0.14926565473347492</v>
      </c>
      <c r="AH589" s="10">
        <f>Z589/24/31/5</f>
        <v>0.13863225806451612</v>
      </c>
      <c r="AI589" s="11">
        <v>0.98499999999999999</v>
      </c>
      <c r="AJ589" s="82">
        <v>0.98899354838709685</v>
      </c>
      <c r="AK589" s="10">
        <v>0.99</v>
      </c>
      <c r="AL589" s="17">
        <v>1</v>
      </c>
      <c r="AM589" s="83"/>
      <c r="AN589" s="81">
        <f t="shared" si="1723"/>
        <v>-7.1238066706942771E-2</v>
      </c>
      <c r="AO589" s="10">
        <f t="shared" si="1724"/>
        <v>-6.7438271604938205E-2</v>
      </c>
      <c r="AP589" s="10">
        <f t="shared" si="1725"/>
        <v>3.993548387096868E-3</v>
      </c>
      <c r="AQ589" s="10">
        <f t="shared" si="1726"/>
        <v>1.0000000000000009E-2</v>
      </c>
      <c r="AR589" s="23">
        <v>-1.84E-2</v>
      </c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</row>
    <row r="590" spans="2:88">
      <c r="B590" s="5">
        <v>44957</v>
      </c>
      <c r="C590" s="114">
        <v>941.58795639077312</v>
      </c>
      <c r="D590" s="2">
        <v>758.68799999999999</v>
      </c>
      <c r="E590" s="2">
        <v>79.599999999999994</v>
      </c>
      <c r="F590" s="2">
        <v>68.47999999999999</v>
      </c>
      <c r="G590" s="2">
        <v>103.2</v>
      </c>
      <c r="H590" s="2">
        <v>87.960000000000022</v>
      </c>
      <c r="I590" s="10">
        <f t="shared" si="1716"/>
        <v>0.77190476363046889</v>
      </c>
      <c r="J590" s="10">
        <f t="shared" si="1733"/>
        <v>0.72643697256379813</v>
      </c>
      <c r="K590" s="41">
        <f>C590/24/31/10</f>
        <v>0.12655752102026521</v>
      </c>
      <c r="L590" s="41">
        <f>D590/24/31/10</f>
        <v>0.10197419354838708</v>
      </c>
      <c r="M590" s="11">
        <v>0.98499999999999999</v>
      </c>
      <c r="N590" s="82">
        <v>0.98946129032258057</v>
      </c>
      <c r="O590" s="10">
        <v>0.99</v>
      </c>
      <c r="P590" s="17">
        <v>1</v>
      </c>
      <c r="Q590" s="83">
        <f t="shared" ref="Q590:Q595" si="1736">R590-S590</f>
        <v>-4.6571859875643051E-2</v>
      </c>
      <c r="R590" s="81">
        <f t="shared" si="1717"/>
        <v>-0.19424627848029408</v>
      </c>
      <c r="S590" s="10">
        <f t="shared" si="1718"/>
        <v>-0.14767441860465103</v>
      </c>
      <c r="T590" s="10">
        <f t="shared" si="1719"/>
        <v>4.46129032258058E-3</v>
      </c>
      <c r="U590" s="10">
        <f t="shared" si="1720"/>
        <v>1.0000000000000009E-2</v>
      </c>
      <c r="V590" s="23">
        <v>-1.0999999999999999E-2</v>
      </c>
      <c r="W590" s="83"/>
      <c r="X590" s="5">
        <v>44957</v>
      </c>
      <c r="Y590" s="43">
        <v>467.47248895401856</v>
      </c>
      <c r="Z590" s="2">
        <v>383.50799999999998</v>
      </c>
      <c r="AA590" s="2">
        <v>79.599999999999994</v>
      </c>
      <c r="AB590" s="2">
        <v>66.399999999999991</v>
      </c>
      <c r="AC590" s="2">
        <v>103.2</v>
      </c>
      <c r="AD590" s="2">
        <v>87.009999999999962</v>
      </c>
      <c r="AE590" s="10">
        <f t="shared" si="1721"/>
        <v>0.76645891366954344</v>
      </c>
      <c r="AF590" s="10">
        <f t="shared" si="1722"/>
        <v>0.74531857118853018</v>
      </c>
      <c r="AG590" s="10">
        <f>Y590/24/31/5</f>
        <v>0.12566464756828455</v>
      </c>
      <c r="AH590" s="10">
        <f>Z590/24/31/5</f>
        <v>0.10309354838709676</v>
      </c>
      <c r="AI590" s="11">
        <v>0.98499999999999999</v>
      </c>
      <c r="AJ590" s="82">
        <v>0.9856258064516128</v>
      </c>
      <c r="AK590" s="10">
        <v>0.99</v>
      </c>
      <c r="AL590" s="17">
        <v>0.99762580645161292</v>
      </c>
      <c r="AM590" s="83">
        <f t="shared" ref="AM590:AM595" si="1737">AN590-AO590</f>
        <v>-2.2733909725994983E-2</v>
      </c>
      <c r="AN590" s="81">
        <f t="shared" si="1723"/>
        <v>-0.17961375468723573</v>
      </c>
      <c r="AO590" s="10">
        <f t="shared" si="1724"/>
        <v>-0.15687984496124074</v>
      </c>
      <c r="AP590" s="10">
        <f t="shared" si="1725"/>
        <v>6.2580645161280923E-4</v>
      </c>
      <c r="AQ590" s="10">
        <f t="shared" si="1726"/>
        <v>7.6258064516129265E-3</v>
      </c>
      <c r="AR590" s="23">
        <v>-1.11E-2</v>
      </c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</row>
    <row r="591" spans="2:88">
      <c r="B591" s="5">
        <v>44985</v>
      </c>
      <c r="C591" s="114">
        <v>1232.4639469111869</v>
      </c>
      <c r="D591" s="2">
        <v>1197.33</v>
      </c>
      <c r="E591" s="2">
        <v>108.1</v>
      </c>
      <c r="F591" s="2">
        <v>113.65</v>
      </c>
      <c r="G591" s="2">
        <v>137.5</v>
      </c>
      <c r="H591" s="2">
        <v>148.83999999999997</v>
      </c>
      <c r="I591" s="10">
        <f t="shared" si="1716"/>
        <v>0.75832268691658933</v>
      </c>
      <c r="J591" s="10">
        <f t="shared" si="1733"/>
        <v>0.69271000995199628</v>
      </c>
      <c r="K591" s="14">
        <f>C591/24/28/10</f>
        <v>0.18340237305225995</v>
      </c>
      <c r="L591" s="14">
        <f>D591/24/28/10</f>
        <v>0.17817410714285714</v>
      </c>
      <c r="M591" s="11">
        <v>0.98499999999999999</v>
      </c>
      <c r="N591" s="82">
        <v>0.96774624172193879</v>
      </c>
      <c r="O591" s="10">
        <v>0.99</v>
      </c>
      <c r="P591" s="17">
        <v>0.99800357142857143</v>
      </c>
      <c r="Q591" s="83">
        <f t="shared" si="1736"/>
        <v>-0.11097980612013669</v>
      </c>
      <c r="R591" s="81">
        <f t="shared" si="1717"/>
        <v>-2.8507078847409661E-2</v>
      </c>
      <c r="S591" s="10">
        <f t="shared" si="1718"/>
        <v>8.2472727272727031E-2</v>
      </c>
      <c r="T591" s="10">
        <f t="shared" si="1719"/>
        <v>-1.7253758278061193E-2</v>
      </c>
      <c r="U591" s="10">
        <f t="shared" si="1720"/>
        <v>8.0035714285714432E-3</v>
      </c>
      <c r="V591" s="23">
        <v>-1.6899999999999998E-2</v>
      </c>
      <c r="W591" s="83"/>
      <c r="X591" s="5">
        <v>44985</v>
      </c>
      <c r="Y591" s="43">
        <v>613.64620363285405</v>
      </c>
      <c r="Z591" s="2">
        <v>636.99300000000005</v>
      </c>
      <c r="AA591" s="2">
        <v>108.1</v>
      </c>
      <c r="AB591" s="2">
        <v>117.49000000000004</v>
      </c>
      <c r="AC591" s="2">
        <v>137.5</v>
      </c>
      <c r="AD591" s="2">
        <v>150.66</v>
      </c>
      <c r="AE591" s="10">
        <f t="shared" si="1721"/>
        <v>0.75514069051881749</v>
      </c>
      <c r="AF591" s="10">
        <f t="shared" si="1722"/>
        <v>0.70787151611554744</v>
      </c>
      <c r="AG591" s="10">
        <f>Y591/24/28/5</f>
        <v>0.18263279870025417</v>
      </c>
      <c r="AH591" s="10">
        <f>Z591/24/28/5</f>
        <v>0.18958125000000001</v>
      </c>
      <c r="AI591" s="11">
        <v>0.98499999999999999</v>
      </c>
      <c r="AJ591" s="82">
        <v>0.99547649306122443</v>
      </c>
      <c r="AK591" s="10">
        <v>0.99</v>
      </c>
      <c r="AL591" s="17">
        <v>0.99800357142857143</v>
      </c>
      <c r="AM591" s="83">
        <f t="shared" si="1737"/>
        <v>-5.7663069881126683E-2</v>
      </c>
      <c r="AN591" s="81">
        <f t="shared" si="1723"/>
        <v>3.8046021027964283E-2</v>
      </c>
      <c r="AO591" s="10">
        <f t="shared" si="1724"/>
        <v>9.5709090909090966E-2</v>
      </c>
      <c r="AP591" s="10">
        <f t="shared" si="1725"/>
        <v>1.0476493061224446E-2</v>
      </c>
      <c r="AQ591" s="10">
        <f t="shared" si="1726"/>
        <v>8.0035714285714432E-3</v>
      </c>
      <c r="AR591" s="23">
        <v>-1.72E-2</v>
      </c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</row>
    <row r="592" spans="2:88">
      <c r="B592" s="5">
        <v>45016</v>
      </c>
      <c r="C592" s="114">
        <v>1648.6403641173172</v>
      </c>
      <c r="D592" s="2">
        <v>1406.19</v>
      </c>
      <c r="E592" s="2">
        <v>161.4</v>
      </c>
      <c r="F592" s="2">
        <v>149.16000000000003</v>
      </c>
      <c r="G592" s="2">
        <v>187.8</v>
      </c>
      <c r="H592" s="2">
        <v>170.12000000000003</v>
      </c>
      <c r="I592" s="10">
        <f t="shared" ref="I592" si="1738">C592/12/G592/M592</f>
        <v>0.74269904266757725</v>
      </c>
      <c r="J592" s="10">
        <f t="shared" si="1733"/>
        <v>0.69716837595396142</v>
      </c>
      <c r="K592" s="14">
        <f>C592/24/31/10</f>
        <v>0.22159144678996201</v>
      </c>
      <c r="L592" s="14">
        <f>D592/24/31/10</f>
        <v>0.18900403225806453</v>
      </c>
      <c r="M592" s="11">
        <v>0.98499999999999999</v>
      </c>
      <c r="N592" s="82">
        <v>0.98802903225806449</v>
      </c>
      <c r="O592" s="10">
        <v>0.99</v>
      </c>
      <c r="P592" s="17">
        <v>1</v>
      </c>
      <c r="Q592" s="83">
        <f t="shared" si="1736"/>
        <v>-5.2918090905204385E-2</v>
      </c>
      <c r="R592" s="81">
        <f t="shared" ref="R592" si="1739">D592/C592-1</f>
        <v>-0.14706079591052912</v>
      </c>
      <c r="S592" s="10">
        <f t="shared" ref="S592" si="1740">H592/G592-1</f>
        <v>-9.4142705005324734E-2</v>
      </c>
      <c r="T592" s="10">
        <f t="shared" ref="T592" si="1741">N592-M592</f>
        <v>3.0290322580645013E-3</v>
      </c>
      <c r="U592" s="10">
        <f t="shared" ref="U592" si="1742">P592-O592</f>
        <v>1.0000000000000009E-2</v>
      </c>
      <c r="V592" s="23">
        <v>-1.5100000000000001E-2</v>
      </c>
      <c r="W592" s="83"/>
      <c r="X592" s="5">
        <v>45016</v>
      </c>
      <c r="Y592" s="43">
        <v>823.06242343804297</v>
      </c>
      <c r="Z592" s="2">
        <v>743.43</v>
      </c>
      <c r="AA592" s="2">
        <v>161.4</v>
      </c>
      <c r="AB592" s="2">
        <v>150.26999999999998</v>
      </c>
      <c r="AC592" s="2">
        <v>187.8</v>
      </c>
      <c r="AD592" s="2">
        <v>171.93999999999997</v>
      </c>
      <c r="AE592" s="10">
        <f t="shared" ref="AE592" si="1743">Y592/6/AC592/AI592</f>
        <v>0.74156582265941828</v>
      </c>
      <c r="AF592" s="10">
        <f t="shared" ref="AF592" si="1744">Z592/6/AD592/AJ592</f>
        <v>0.72325165982128037</v>
      </c>
      <c r="AG592" s="10">
        <f>Y592/24/31/5</f>
        <v>0.22125333963388255</v>
      </c>
      <c r="AH592" s="10">
        <f>Z592/24/31/5</f>
        <v>0.19984677419354838</v>
      </c>
      <c r="AI592" s="11">
        <v>0.98499999999999999</v>
      </c>
      <c r="AJ592" s="82">
        <v>0.99637419354838708</v>
      </c>
      <c r="AK592" s="10">
        <v>0.99</v>
      </c>
      <c r="AL592" s="17">
        <v>1</v>
      </c>
      <c r="AM592" s="83">
        <f t="shared" si="1737"/>
        <v>-1.2299833549379247E-2</v>
      </c>
      <c r="AN592" s="81">
        <f t="shared" ref="AN592" si="1745">Z592/Y592-1</f>
        <v>-9.6751377745332601E-2</v>
      </c>
      <c r="AO592" s="10">
        <f t="shared" ref="AO592" si="1746">AD592/AC592-1</f>
        <v>-8.4451544195953354E-2</v>
      </c>
      <c r="AP592" s="10">
        <f t="shared" ref="AP592" si="1747">AJ592-AI592</f>
        <v>1.137419354838709E-2</v>
      </c>
      <c r="AQ592" s="10">
        <f t="shared" ref="AQ592" si="1748">AL592-AK592</f>
        <v>1.0000000000000009E-2</v>
      </c>
      <c r="AR592" s="23">
        <v>-1.2800000000000001E-2</v>
      </c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</row>
    <row r="593" spans="2:88">
      <c r="B593" s="5">
        <f>EOMONTH(B592,1)</f>
        <v>45046</v>
      </c>
      <c r="C593" s="114">
        <v>1703.2355500303795</v>
      </c>
      <c r="D593" s="2">
        <v>1519.1759999999999</v>
      </c>
      <c r="E593" s="2">
        <v>190.2</v>
      </c>
      <c r="F593" s="2">
        <v>182.11</v>
      </c>
      <c r="G593" s="2">
        <v>194</v>
      </c>
      <c r="H593" s="2">
        <v>188.19000000000003</v>
      </c>
      <c r="I593" s="10">
        <f t="shared" ref="I593:I595" si="1749">C593/12/G593/M593</f>
        <v>0.74277197046347254</v>
      </c>
      <c r="J593" s="10">
        <f t="shared" ref="J593:J595" si="1750">D593/12/H593/N593</f>
        <v>0.68765417989380317</v>
      </c>
      <c r="K593" s="14">
        <f>C593/24/DAY(B593)/10</f>
        <v>0.23656049305977495</v>
      </c>
      <c r="L593" s="14">
        <f>D593/24/DAY(B593)/10</f>
        <v>0.21099666666666667</v>
      </c>
      <c r="M593" s="11">
        <v>0.98499999999999999</v>
      </c>
      <c r="N593" s="82">
        <v>0.97827333333333333</v>
      </c>
      <c r="O593" s="10">
        <v>0.99</v>
      </c>
      <c r="P593" s="17">
        <v>1</v>
      </c>
      <c r="Q593" s="83">
        <f t="shared" si="1736"/>
        <v>-7.8116194306773412E-2</v>
      </c>
      <c r="R593" s="81">
        <f t="shared" ref="R593:R595" si="1751">D593/C593-1</f>
        <v>-0.10806464791502068</v>
      </c>
      <c r="S593" s="10">
        <f t="shared" ref="S593:S595" si="1752">H593/G593-1</f>
        <v>-2.9948453608247272E-2</v>
      </c>
      <c r="T593" s="10">
        <f t="shared" ref="T593:T595" si="1753">N593-M593</f>
        <v>-6.7266666666666586E-3</v>
      </c>
      <c r="U593" s="10">
        <f t="shared" ref="U593:U595" si="1754">P593-O593</f>
        <v>1.0000000000000009E-2</v>
      </c>
      <c r="V593" s="23">
        <v>-1.9633921667163993E-2</v>
      </c>
      <c r="W593" s="83"/>
      <c r="X593" s="5">
        <f>EOMONTH(X592,1)</f>
        <v>45046</v>
      </c>
      <c r="Y593" s="43">
        <v>851.70053896695765</v>
      </c>
      <c r="Z593" s="2">
        <v>790.79100000000005</v>
      </c>
      <c r="AA593" s="2">
        <v>190.2</v>
      </c>
      <c r="AB593" s="2">
        <v>184.35000000000002</v>
      </c>
      <c r="AC593" s="2">
        <v>194</v>
      </c>
      <c r="AD593" s="2">
        <v>189.76</v>
      </c>
      <c r="AE593" s="10">
        <f t="shared" ref="AE593" si="1755">Y593/6/AC593/AI593</f>
        <v>0.74284415630240352</v>
      </c>
      <c r="AF593" s="10">
        <f t="shared" ref="AF593" si="1756">Z593/6/AD593/AJ593</f>
        <v>0.70973729320425227</v>
      </c>
      <c r="AG593" s="11">
        <f>Y593/24/DAY(X593)/5</f>
        <v>0.23658348304637711</v>
      </c>
      <c r="AH593" s="11">
        <f>Z593/24/DAY(X593)/5</f>
        <v>0.21966416666666669</v>
      </c>
      <c r="AI593" s="11">
        <v>0.98499999999999999</v>
      </c>
      <c r="AJ593" s="11">
        <v>0.97860666666666662</v>
      </c>
      <c r="AK593" s="10">
        <v>0.99</v>
      </c>
      <c r="AL593" s="17">
        <v>1</v>
      </c>
      <c r="AM593" s="83">
        <f t="shared" si="1737"/>
        <v>-4.9659535277469469E-2</v>
      </c>
      <c r="AN593" s="81">
        <f t="shared" ref="AN593" si="1757">Z593/Y593-1</f>
        <v>-7.151520538056233E-2</v>
      </c>
      <c r="AO593" s="10">
        <f t="shared" ref="AO593" si="1758">AD593/AC593-1</f>
        <v>-2.1855670103092861E-2</v>
      </c>
      <c r="AP593" s="10">
        <f t="shared" ref="AP593" si="1759">AJ593-AI593</f>
        <v>-6.393333333333362E-3</v>
      </c>
      <c r="AQ593" s="10">
        <f t="shared" ref="AQ593" si="1760">AL593-AK593</f>
        <v>1.0000000000000009E-2</v>
      </c>
      <c r="AR593" s="23">
        <v>-2.5223318291769575E-2</v>
      </c>
    </row>
    <row r="594" spans="2:88">
      <c r="B594" s="5">
        <f t="shared" ref="B594:B625" si="1761">EOMONTH(B593,1)</f>
        <v>45077</v>
      </c>
      <c r="C594" s="114">
        <v>1725.6106262242574</v>
      </c>
      <c r="D594" s="2">
        <v>1482.63</v>
      </c>
      <c r="E594" s="2">
        <v>197</v>
      </c>
      <c r="F594" s="2">
        <v>190.73</v>
      </c>
      <c r="G594" s="2">
        <v>197.7</v>
      </c>
      <c r="H594" s="2">
        <v>190.65000000000003</v>
      </c>
      <c r="I594" s="10">
        <f t="shared" si="1749"/>
        <v>0.73844586099888898</v>
      </c>
      <c r="J594" s="10">
        <f t="shared" si="1750"/>
        <v>0.69016730334762</v>
      </c>
      <c r="K594" s="14">
        <f>C594/24/DAY(B594)/10</f>
        <v>0.23193691212691631</v>
      </c>
      <c r="L594" s="14">
        <f>D594/24/DAY(B594)/10</f>
        <v>0.19927822580645163</v>
      </c>
      <c r="M594" s="11">
        <v>0.98499999999999999</v>
      </c>
      <c r="N594" s="82">
        <v>0.93898865937565068</v>
      </c>
      <c r="O594" s="10">
        <v>0.99</v>
      </c>
      <c r="P594" s="17">
        <v>0.99396451612903225</v>
      </c>
      <c r="Q594" s="83">
        <f t="shared" si="1736"/>
        <v>-0.10514839873139437</v>
      </c>
      <c r="R594" s="81">
        <f t="shared" si="1751"/>
        <v>-0.14080848977843508</v>
      </c>
      <c r="S594" s="10">
        <f t="shared" si="1752"/>
        <v>-3.566009104704071E-2</v>
      </c>
      <c r="T594" s="10">
        <f t="shared" si="1753"/>
        <v>-4.6011340624349306E-2</v>
      </c>
      <c r="U594" s="10">
        <f t="shared" si="1754"/>
        <v>3.9645161290322584E-3</v>
      </c>
      <c r="V594" s="23">
        <v>-1.3599999999999999E-2</v>
      </c>
      <c r="W594" s="83"/>
      <c r="X594" s="5">
        <f t="shared" ref="X594:X625" si="1762">EOMONTH(X593,1)</f>
        <v>45077</v>
      </c>
      <c r="Y594" s="43">
        <v>863.03645969715308</v>
      </c>
      <c r="Z594" s="2">
        <v>741.34799999999996</v>
      </c>
      <c r="AA594" s="2">
        <v>197</v>
      </c>
      <c r="AB594" s="2">
        <v>191.15000000000003</v>
      </c>
      <c r="AC594" s="2">
        <v>197.7</v>
      </c>
      <c r="AD594" s="2">
        <v>192.21999999999997</v>
      </c>
      <c r="AE594" s="10">
        <f t="shared" ref="AE594" si="1763">Y594/6/AC594/AI594</f>
        <v>0.73864369153655629</v>
      </c>
      <c r="AF594" s="10">
        <f t="shared" ref="AF594" si="1764">Z594/6/AD594/AJ594</f>
        <v>0.69935490154045776</v>
      </c>
      <c r="AG594" s="11">
        <f>Y594/24/DAY(X594)/5</f>
        <v>0.23199904830568632</v>
      </c>
      <c r="AH594" s="11">
        <f>Z594/24/DAY(X594)/5</f>
        <v>0.19928709677419354</v>
      </c>
      <c r="AI594" s="11">
        <v>0.98499999999999999</v>
      </c>
      <c r="AJ594" s="11">
        <v>0.9191252009157127</v>
      </c>
      <c r="AK594" s="10">
        <v>0.99</v>
      </c>
      <c r="AL594" s="17">
        <v>0.99364193548387103</v>
      </c>
      <c r="AM594" s="83">
        <f t="shared" si="1737"/>
        <v>-0.11328160367918161</v>
      </c>
      <c r="AN594" s="81">
        <f t="shared" ref="AN594:AN595" si="1765">Z594/Y594-1</f>
        <v>-0.14100036948595962</v>
      </c>
      <c r="AO594" s="10">
        <f t="shared" ref="AO594:AO595" si="1766">AD594/AC594-1</f>
        <v>-2.7718765806778012E-2</v>
      </c>
      <c r="AP594" s="10">
        <f t="shared" ref="AP594:AP595" si="1767">AJ594-AI594</f>
        <v>-6.5874799084287283E-2</v>
      </c>
      <c r="AQ594" s="10">
        <f t="shared" ref="AQ594:AQ595" si="1768">AL594-AK594</f>
        <v>3.6419354838710394E-3</v>
      </c>
      <c r="AR594" s="23">
        <v>-1.52E-2</v>
      </c>
    </row>
    <row r="595" spans="2:88">
      <c r="B595" s="5">
        <f t="shared" si="1761"/>
        <v>45107</v>
      </c>
      <c r="C595" s="114">
        <v>1551.980034959764</v>
      </c>
      <c r="D595" s="2">
        <v>1392.72</v>
      </c>
      <c r="E595" s="2">
        <v>178.9</v>
      </c>
      <c r="F595" s="2">
        <v>169.89000000000001</v>
      </c>
      <c r="G595" s="2">
        <v>177.2</v>
      </c>
      <c r="H595" s="2">
        <v>167.28999999999996</v>
      </c>
      <c r="I595" s="10">
        <f t="shared" si="1749"/>
        <v>0.74097735547879795</v>
      </c>
      <c r="J595" s="10">
        <f t="shared" si="1750"/>
        <v>0.70053717709029761</v>
      </c>
      <c r="K595" s="14">
        <f>C595/24/DAY(B595)/10</f>
        <v>0.21555278263330058</v>
      </c>
      <c r="L595" s="14">
        <f>D595/24/DAY(B595)/10</f>
        <v>0.19343333333333335</v>
      </c>
      <c r="M595" s="11">
        <v>0.98499999999999999</v>
      </c>
      <c r="N595" s="82">
        <v>0.99033333333333351</v>
      </c>
      <c r="O595" s="10">
        <v>0.99</v>
      </c>
      <c r="P595" s="17">
        <v>1</v>
      </c>
      <c r="Q595" s="83">
        <f t="shared" si="1736"/>
        <v>-4.669181408303813E-2</v>
      </c>
      <c r="R595" s="81">
        <f t="shared" si="1751"/>
        <v>-0.10261732198371543</v>
      </c>
      <c r="S595" s="10">
        <f t="shared" si="1752"/>
        <v>-5.5925507900677296E-2</v>
      </c>
      <c r="T595" s="10">
        <f t="shared" si="1753"/>
        <v>5.3333333333335231E-3</v>
      </c>
      <c r="U595" s="10">
        <f t="shared" si="1754"/>
        <v>1.0000000000000009E-2</v>
      </c>
      <c r="V595" s="23">
        <v>-1.49E-2</v>
      </c>
      <c r="W595" s="83"/>
      <c r="X595" s="5">
        <f t="shared" si="1762"/>
        <v>45107</v>
      </c>
      <c r="Y595" s="43">
        <v>774.73560348299918</v>
      </c>
      <c r="Z595" s="2">
        <v>717.77099999999996</v>
      </c>
      <c r="AA595" s="2">
        <v>178.9</v>
      </c>
      <c r="AB595" s="2">
        <v>171.63000000000002</v>
      </c>
      <c r="AC595" s="2">
        <v>177.2</v>
      </c>
      <c r="AD595" s="2">
        <v>169.80999999999995</v>
      </c>
      <c r="AE595" s="10">
        <f t="shared" ref="AE595" si="1769">Y595/6/AC595/AI595</f>
        <v>0.73977954062918883</v>
      </c>
      <c r="AF595" s="10">
        <f t="shared" ref="AF595" si="1770">Z595/6/AD595/AJ595</f>
        <v>0.71147825501453332</v>
      </c>
      <c r="AG595" s="11">
        <f>Y595/24/DAY(X595)/5</f>
        <v>0.21520433430083311</v>
      </c>
      <c r="AH595" s="11">
        <f>Z595/24/DAY(X595)/5</f>
        <v>0.19938083333333331</v>
      </c>
      <c r="AI595" s="11">
        <v>0.98499999999999999</v>
      </c>
      <c r="AJ595" s="11">
        <v>0.99017000000000011</v>
      </c>
      <c r="AK595" s="10">
        <v>0.99</v>
      </c>
      <c r="AL595" s="17">
        <v>1</v>
      </c>
      <c r="AM595" s="83">
        <f t="shared" si="1737"/>
        <v>-3.1823509740783851E-2</v>
      </c>
      <c r="AN595" s="81">
        <f t="shared" si="1765"/>
        <v>-7.3527798679836054E-2</v>
      </c>
      <c r="AO595" s="10">
        <f t="shared" si="1766"/>
        <v>-4.1704288939052203E-2</v>
      </c>
      <c r="AP595" s="10">
        <f t="shared" si="1767"/>
        <v>5.1700000000001189E-3</v>
      </c>
      <c r="AQ595" s="10">
        <f t="shared" si="1768"/>
        <v>1.0000000000000009E-2</v>
      </c>
      <c r="AR595" s="23">
        <v>-1.5599999999999999E-2</v>
      </c>
    </row>
    <row r="596" spans="2:88">
      <c r="B596" s="5">
        <f t="shared" si="1761"/>
        <v>45138</v>
      </c>
      <c r="C596" s="114">
        <v>1376.5594375997607</v>
      </c>
      <c r="D596" s="2">
        <v>1056.1079999999986</v>
      </c>
      <c r="E596" s="2">
        <v>155.5</v>
      </c>
      <c r="F596" s="2">
        <v>138.42000000000002</v>
      </c>
      <c r="G596" s="2">
        <v>154.6</v>
      </c>
      <c r="H596" s="2">
        <v>136.71</v>
      </c>
      <c r="I596" s="10">
        <f t="shared" ref="I596" si="1771">C596/12/G596/M596</f>
        <v>0.75330006019560369</v>
      </c>
      <c r="J596" s="10">
        <f t="shared" ref="J596" si="1772">D596/12/H596/N596</f>
        <v>0.68792448612215085</v>
      </c>
      <c r="K596" s="14">
        <f>C596/24/DAY(B596)/10</f>
        <v>0.18502142978491407</v>
      </c>
      <c r="L596" s="14">
        <f>D596/24/DAY(B596)/10</f>
        <v>0.14194999999999983</v>
      </c>
      <c r="M596" s="11">
        <v>0.98499999999999999</v>
      </c>
      <c r="N596" s="82">
        <v>0.93580645161290343</v>
      </c>
      <c r="O596" s="10">
        <v>0.99</v>
      </c>
      <c r="P596" s="17">
        <v>1</v>
      </c>
      <c r="Q596" s="83">
        <f t="shared" ref="Q596" si="1773">R596-S596</f>
        <v>-0.11707359168726972</v>
      </c>
      <c r="R596" s="81">
        <f t="shared" ref="R596" si="1774">D596/C596-1</f>
        <v>-0.23279157357601477</v>
      </c>
      <c r="S596" s="10">
        <f t="shared" ref="S596" si="1775">H596/G596-1</f>
        <v>-0.11571798188874505</v>
      </c>
      <c r="T596" s="10">
        <f t="shared" ref="T596" si="1776">N596-M596</f>
        <v>-4.9193548387096553E-2</v>
      </c>
      <c r="U596" s="10">
        <f t="shared" ref="U596" si="1777">P596-O596</f>
        <v>1.0000000000000009E-2</v>
      </c>
      <c r="V596" s="23">
        <v>0</v>
      </c>
      <c r="W596" s="83"/>
      <c r="X596" s="5">
        <f t="shared" si="1762"/>
        <v>45138</v>
      </c>
      <c r="Y596" s="43">
        <v>685.83811986199316</v>
      </c>
      <c r="Z596" s="2">
        <v>565.95599999999865</v>
      </c>
      <c r="AA596" s="2">
        <v>155.5</v>
      </c>
      <c r="AB596" s="2">
        <v>140.13</v>
      </c>
      <c r="AC596" s="2">
        <v>154.6</v>
      </c>
      <c r="AD596" s="2">
        <v>140.33000000000001</v>
      </c>
      <c r="AE596" s="10">
        <f t="shared" ref="AE596" si="1778">Y596/6/AC596/AI596</f>
        <v>0.75062780852721089</v>
      </c>
      <c r="AF596" s="10">
        <f t="shared" ref="AF596" si="1779">Z596/6/AD596/AJ596</f>
        <v>0.70656896895406451</v>
      </c>
      <c r="AG596" s="11">
        <f>Y596/24/DAY(X596)/5</f>
        <v>0.18436508598440676</v>
      </c>
      <c r="AH596" s="11">
        <f>Z596/24/DAY(X596)/5</f>
        <v>0.15213870967741899</v>
      </c>
      <c r="AI596" s="11">
        <v>0.98499999999999999</v>
      </c>
      <c r="AJ596" s="11">
        <v>0.95131935483870966</v>
      </c>
      <c r="AK596" s="10">
        <v>0.99</v>
      </c>
      <c r="AL596" s="17">
        <v>1</v>
      </c>
      <c r="AM596" s="83">
        <f t="shared" ref="AM596" si="1780">AN596-AO596</f>
        <v>-8.2493808016636638E-2</v>
      </c>
      <c r="AN596" s="81">
        <f t="shared" ref="AN596" si="1781">Z596/Y596-1</f>
        <v>-0.17479652470486418</v>
      </c>
      <c r="AO596" s="10">
        <f t="shared" ref="AO596" si="1782">AD596/AC596-1</f>
        <v>-9.2302716688227537E-2</v>
      </c>
      <c r="AP596" s="10">
        <f t="shared" ref="AP596" si="1783">AJ596-AI596</f>
        <v>-3.3680645161290323E-2</v>
      </c>
      <c r="AQ596" s="10">
        <f t="shared" ref="AQ596" si="1784">AL596-AK596</f>
        <v>1.0000000000000009E-2</v>
      </c>
      <c r="AR596" s="23">
        <v>0</v>
      </c>
    </row>
    <row r="597" spans="2:88">
      <c r="B597" s="5">
        <f t="shared" si="1761"/>
        <v>45169</v>
      </c>
      <c r="C597" s="114">
        <v>1307.6442029226166</v>
      </c>
      <c r="D597" s="2">
        <f>1114554/1000</f>
        <v>1114.5540000000001</v>
      </c>
      <c r="E597" s="2">
        <v>145.4</v>
      </c>
      <c r="F597" s="2">
        <v>132.81</v>
      </c>
      <c r="G597" s="2">
        <v>146.30000000000001</v>
      </c>
      <c r="H597" s="2">
        <v>133.71</v>
      </c>
      <c r="I597" s="10">
        <f t="shared" ref="I597:I600" si="1785">C597/12/G597/M597</f>
        <v>0.75618453316182499</v>
      </c>
      <c r="J597" s="10">
        <f t="shared" ref="J597:J600" si="1786">D597/12/H597/N597</f>
        <v>0.70735024112188605</v>
      </c>
      <c r="K597" s="14">
        <f>C597/24/DAY(B597)/10</f>
        <v>0.17575862942508286</v>
      </c>
      <c r="L597" s="14">
        <f>D597/24/DAY(B597)/10</f>
        <v>0.14980564516129033</v>
      </c>
      <c r="M597" s="11">
        <v>0.98499999999999999</v>
      </c>
      <c r="N597" s="82">
        <v>0.98202258064516135</v>
      </c>
      <c r="O597" s="10">
        <v>0.99</v>
      </c>
      <c r="P597" s="17">
        <v>1</v>
      </c>
      <c r="Q597" s="83">
        <f t="shared" ref="Q597:Q599" si="1787">R597-S597</f>
        <v>-6.1606596703848715E-2</v>
      </c>
      <c r="R597" s="81">
        <f t="shared" ref="R597:R598" si="1788">D597/C597-1</f>
        <v>-0.14766264591779266</v>
      </c>
      <c r="S597" s="10">
        <f t="shared" ref="S597:S598" si="1789">H597/G597-1</f>
        <v>-8.6056049213943941E-2</v>
      </c>
      <c r="T597" s="10">
        <f t="shared" ref="T597:T598" si="1790">N597-M597</f>
        <v>-2.9774193548386396E-3</v>
      </c>
      <c r="U597" s="10">
        <f t="shared" ref="U597:U598" si="1791">P597-O597</f>
        <v>1.0000000000000009E-2</v>
      </c>
      <c r="V597" s="23">
        <v>-4.5999999999999999E-3</v>
      </c>
      <c r="W597" s="83"/>
      <c r="X597" s="5">
        <f t="shared" si="1762"/>
        <v>45169</v>
      </c>
      <c r="Y597" s="43">
        <v>650.93541656112848</v>
      </c>
      <c r="Z597" s="2">
        <f>558756/1000</f>
        <v>558.75599999999997</v>
      </c>
      <c r="AA597" s="2">
        <v>145.4</v>
      </c>
      <c r="AB597" s="2">
        <v>134.40999999999997</v>
      </c>
      <c r="AC597" s="2">
        <v>146.30000000000001</v>
      </c>
      <c r="AD597" s="2">
        <v>135.88999999999996</v>
      </c>
      <c r="AE597" s="10">
        <f t="shared" ref="AE597:AE600" si="1792">Y597/6/AC597/AI597</f>
        <v>0.75284590868163537</v>
      </c>
      <c r="AF597" s="10">
        <f t="shared" ref="AF597:AF600" si="1793">Z597/6/AD597/AJ597</f>
        <v>0.72159590899997006</v>
      </c>
      <c r="AG597" s="11">
        <f>Y597/24/DAY(X597)/5</f>
        <v>0.1749826388605184</v>
      </c>
      <c r="AH597" s="11">
        <f>Z597/24/DAY(X597)/5</f>
        <v>0.1502032258064516</v>
      </c>
      <c r="AI597" s="11">
        <v>0.98499999999999999</v>
      </c>
      <c r="AJ597" s="11">
        <v>0.94970645161290301</v>
      </c>
      <c r="AK597" s="10">
        <v>0.99</v>
      </c>
      <c r="AL597" s="17">
        <v>1</v>
      </c>
      <c r="AM597" s="83">
        <f t="shared" ref="AM597:AM600" si="1794">AN597-AO597</f>
        <v>-7.0455534097383588E-2</v>
      </c>
      <c r="AN597" s="81">
        <f t="shared" ref="AN597:AN600" si="1795">Z597/Y597-1</f>
        <v>-0.14161069472622878</v>
      </c>
      <c r="AO597" s="10">
        <f t="shared" ref="AO597:AO600" si="1796">AD597/AC597-1</f>
        <v>-7.1155160628845193E-2</v>
      </c>
      <c r="AP597" s="10">
        <f t="shared" ref="AP597:AP600" si="1797">AJ597-AI597</f>
        <v>-3.5293548387096974E-2</v>
      </c>
      <c r="AQ597" s="10">
        <f t="shared" ref="AQ597:AQ600" si="1798">AL597-AK597</f>
        <v>1.0000000000000009E-2</v>
      </c>
      <c r="AR597" s="23">
        <v>-6.0000000000000001E-3</v>
      </c>
    </row>
    <row r="598" spans="2:88">
      <c r="B598" s="5">
        <f t="shared" si="1761"/>
        <v>45199</v>
      </c>
      <c r="C598" s="114">
        <v>1302.2741846360859</v>
      </c>
      <c r="D598" s="2">
        <f>1211118/1000</f>
        <v>1211.1179999999999</v>
      </c>
      <c r="E598" s="2">
        <v>141.6</v>
      </c>
      <c r="F598" s="2">
        <v>141.79</v>
      </c>
      <c r="G598" s="2">
        <v>145.5</v>
      </c>
      <c r="H598" s="2">
        <v>147.78</v>
      </c>
      <c r="I598" s="10">
        <f t="shared" si="1785"/>
        <v>0.75721980023147095</v>
      </c>
      <c r="J598" s="10">
        <f t="shared" si="1786"/>
        <v>0.69863775463969136</v>
      </c>
      <c r="K598" s="14">
        <f t="shared" ref="K598:K600" si="1799">C598/24/DAY(B598)/10</f>
        <v>0.18087141453278971</v>
      </c>
      <c r="L598" s="14">
        <f t="shared" ref="L598:L600" si="1800">D598/24/DAY(B598)/10</f>
        <v>0.16821083333333331</v>
      </c>
      <c r="M598" s="11">
        <v>0.98499999999999999</v>
      </c>
      <c r="N598" s="82">
        <v>0.97754666666666679</v>
      </c>
      <c r="O598" s="10">
        <v>0.99</v>
      </c>
      <c r="P598" s="17">
        <v>1</v>
      </c>
      <c r="Q598" s="83">
        <f t="shared" si="1787"/>
        <v>-8.5667793065850928E-2</v>
      </c>
      <c r="R598" s="81">
        <f t="shared" si="1788"/>
        <v>-6.9997689973067434E-2</v>
      </c>
      <c r="S598" s="10">
        <f t="shared" si="1789"/>
        <v>1.5670103092783494E-2</v>
      </c>
      <c r="T598" s="10">
        <f t="shared" si="1790"/>
        <v>-7.4533333333332008E-3</v>
      </c>
      <c r="U598" s="10">
        <f t="shared" si="1791"/>
        <v>1.0000000000000009E-2</v>
      </c>
      <c r="V598" s="23">
        <v>-1.66E-2</v>
      </c>
      <c r="W598" s="83"/>
      <c r="X598" s="5">
        <f t="shared" si="1762"/>
        <v>45199</v>
      </c>
      <c r="Y598" s="43">
        <v>648.84722063714503</v>
      </c>
      <c r="Z598" s="2">
        <f>646215/1000</f>
        <v>646.21500000000003</v>
      </c>
      <c r="AA598" s="2">
        <v>141.6</v>
      </c>
      <c r="AB598" s="2">
        <v>140.84999999999997</v>
      </c>
      <c r="AC598" s="2">
        <v>145.5</v>
      </c>
      <c r="AD598" s="2">
        <v>151.80000000000001</v>
      </c>
      <c r="AE598" s="10">
        <f t="shared" si="1792"/>
        <v>0.75455686458055848</v>
      </c>
      <c r="AF598" s="10">
        <f t="shared" si="1793"/>
        <v>0.71981762156311246</v>
      </c>
      <c r="AG598" s="11">
        <f t="shared" ref="AG598:AG600" si="1801">Y598/24/DAY(X598)/5</f>
        <v>0.18023533906587363</v>
      </c>
      <c r="AH598" s="11">
        <f t="shared" ref="AH598:AH600" si="1802">Z598/24/DAY(X598)/5</f>
        <v>0.17950416666666666</v>
      </c>
      <c r="AI598" s="11">
        <v>0.98499999999999999</v>
      </c>
      <c r="AJ598" s="11">
        <v>0.98567000000000016</v>
      </c>
      <c r="AK598" s="10">
        <v>0.99</v>
      </c>
      <c r="AL598" s="17">
        <v>1</v>
      </c>
      <c r="AM598" s="83">
        <f t="shared" si="1794"/>
        <v>-4.7355733982956005E-2</v>
      </c>
      <c r="AN598" s="81">
        <f t="shared" si="1795"/>
        <v>-4.0567649107909887E-3</v>
      </c>
      <c r="AO598" s="10">
        <f t="shared" si="1796"/>
        <v>4.3298969072165017E-2</v>
      </c>
      <c r="AP598" s="10">
        <f t="shared" si="1797"/>
        <v>6.7000000000017046E-4</v>
      </c>
      <c r="AQ598" s="10">
        <f t="shared" si="1798"/>
        <v>1.0000000000000009E-2</v>
      </c>
      <c r="AR598" s="23">
        <v>-1.1900000000000001E-2</v>
      </c>
    </row>
    <row r="599" spans="2:88">
      <c r="B599" s="5">
        <f t="shared" si="1761"/>
        <v>45230</v>
      </c>
      <c r="C599" s="114">
        <v>1488.4348185691508</v>
      </c>
      <c r="D599" s="2">
        <f>1344960/1000</f>
        <v>1344.96</v>
      </c>
      <c r="E599" s="2">
        <v>139.1</v>
      </c>
      <c r="F599" s="2">
        <v>139.17999999999998</v>
      </c>
      <c r="G599" s="2">
        <v>172.2</v>
      </c>
      <c r="H599" s="2">
        <v>170.64000000000004</v>
      </c>
      <c r="I599" s="10">
        <f t="shared" si="1785"/>
        <v>0.73127242482040467</v>
      </c>
      <c r="J599" s="10">
        <f t="shared" si="1786"/>
        <v>0.70223563653816257</v>
      </c>
      <c r="K599" s="14">
        <f t="shared" si="1799"/>
        <v>0.20005844335606865</v>
      </c>
      <c r="L599" s="14">
        <f t="shared" si="1800"/>
        <v>0.18077419354838709</v>
      </c>
      <c r="M599" s="11">
        <v>0.98499999999999999</v>
      </c>
      <c r="N599" s="82">
        <v>0.93532903225806441</v>
      </c>
      <c r="O599" s="10">
        <v>0.99</v>
      </c>
      <c r="P599" s="17">
        <v>1</v>
      </c>
      <c r="Q599" s="83">
        <f t="shared" si="1787"/>
        <v>-8.7333847913047657E-2</v>
      </c>
      <c r="R599" s="81">
        <f t="shared" ref="R599" si="1803">D599/C599-1</f>
        <v>-9.6393081362524669E-2</v>
      </c>
      <c r="S599" s="10">
        <f t="shared" ref="S599" si="1804">H599/G599-1</f>
        <v>-9.059233449477011E-3</v>
      </c>
      <c r="T599" s="10">
        <f t="shared" ref="T599" si="1805">N599-M599</f>
        <v>-4.9670967741935579E-2</v>
      </c>
      <c r="U599" s="10">
        <f t="shared" ref="U599" si="1806">P599-O599</f>
        <v>1.0000000000000009E-2</v>
      </c>
      <c r="V599" s="23">
        <v>-0.02</v>
      </c>
      <c r="W599" s="83"/>
      <c r="X599" s="5">
        <f t="shared" si="1762"/>
        <v>45230</v>
      </c>
      <c r="Y599" s="43">
        <v>743.41266462324882</v>
      </c>
      <c r="Z599" s="2">
        <f>700743/1000</f>
        <v>700.74300000000005</v>
      </c>
      <c r="AA599" s="2">
        <v>139.1</v>
      </c>
      <c r="AB599" s="2">
        <v>136.37000000000003</v>
      </c>
      <c r="AC599" s="2">
        <v>172.2</v>
      </c>
      <c r="AD599" s="2">
        <v>176.63000000000002</v>
      </c>
      <c r="AE599" s="10">
        <f t="shared" si="1792"/>
        <v>0.73048167796000096</v>
      </c>
      <c r="AF599" s="10">
        <f t="shared" si="1793"/>
        <v>0.73436807087608036</v>
      </c>
      <c r="AG599" s="11">
        <f t="shared" si="1801"/>
        <v>0.19984211414603464</v>
      </c>
      <c r="AH599" s="11">
        <f t="shared" si="1802"/>
        <v>0.18837177419354839</v>
      </c>
      <c r="AI599" s="11">
        <v>0.98499999999999999</v>
      </c>
      <c r="AJ599" s="11">
        <v>0.90038709677419348</v>
      </c>
      <c r="AK599" s="10">
        <v>0.99</v>
      </c>
      <c r="AL599" s="17">
        <v>1</v>
      </c>
      <c r="AM599" s="83">
        <f t="shared" si="1794"/>
        <v>-8.3122910758777313E-2</v>
      </c>
      <c r="AN599" s="81">
        <f t="shared" si="1795"/>
        <v>-5.7397010642633028E-2</v>
      </c>
      <c r="AO599" s="10">
        <f t="shared" si="1796"/>
        <v>2.5725900116144285E-2</v>
      </c>
      <c r="AP599" s="10">
        <f t="shared" si="1797"/>
        <v>-8.4612903225806502E-2</v>
      </c>
      <c r="AQ599" s="10">
        <f t="shared" si="1798"/>
        <v>1.0000000000000009E-2</v>
      </c>
      <c r="AR599" s="23">
        <v>-1.37E-2</v>
      </c>
    </row>
    <row r="600" spans="2:88">
      <c r="B600" s="5">
        <f t="shared" si="1761"/>
        <v>45260</v>
      </c>
      <c r="C600" s="114">
        <v>1320.1742455911883</v>
      </c>
      <c r="D600" s="2">
        <v>1062.5040000000029</v>
      </c>
      <c r="E600" s="2">
        <v>108.1</v>
      </c>
      <c r="F600" s="2">
        <v>95.649999999999991</v>
      </c>
      <c r="G600" s="2">
        <v>152.1</v>
      </c>
      <c r="H600" s="2">
        <v>130.08000000000001</v>
      </c>
      <c r="I600" s="10">
        <f t="shared" si="1785"/>
        <v>0.73431866202059415</v>
      </c>
      <c r="J600" s="10">
        <f t="shared" si="1786"/>
        <v>0.68510376944338647</v>
      </c>
      <c r="K600" s="14">
        <f t="shared" si="1799"/>
        <v>0.18335753410988725</v>
      </c>
      <c r="L600" s="14">
        <f t="shared" si="1800"/>
        <v>0.1475700000000004</v>
      </c>
      <c r="M600" s="11">
        <v>0.98499999999999999</v>
      </c>
      <c r="N600" s="82">
        <v>0.99353333333333327</v>
      </c>
      <c r="O600" s="10">
        <v>0.99</v>
      </c>
      <c r="P600" s="17">
        <v>1</v>
      </c>
      <c r="Q600" s="83">
        <f t="shared" ref="Q600" si="1807">R600-S600</f>
        <v>-5.0405791515686915E-2</v>
      </c>
      <c r="R600" s="81">
        <f t="shared" ref="R600" si="1808">D600/C600-1</f>
        <v>-0.19517896705809312</v>
      </c>
      <c r="S600" s="10">
        <f t="shared" ref="S600" si="1809">H600/G600-1</f>
        <v>-0.14477317554240621</v>
      </c>
      <c r="T600" s="10">
        <f t="shared" ref="T600" si="1810">N600-M600</f>
        <v>8.5333333333332817E-3</v>
      </c>
      <c r="U600" s="10">
        <f t="shared" ref="U600" si="1811">P600-O600</f>
        <v>1.0000000000000009E-2</v>
      </c>
      <c r="V600" s="23">
        <v>-1.7100000000000001E-2</v>
      </c>
      <c r="W600" s="83"/>
      <c r="X600" s="5">
        <f t="shared" si="1762"/>
        <v>45260</v>
      </c>
      <c r="Y600" s="43">
        <v>658.09494544335712</v>
      </c>
      <c r="Z600" s="2">
        <v>569.68200000000002</v>
      </c>
      <c r="AA600" s="2">
        <v>108.1</v>
      </c>
      <c r="AB600" s="2">
        <v>92.499999999999986</v>
      </c>
      <c r="AC600" s="2">
        <v>152.1</v>
      </c>
      <c r="AD600" s="2">
        <v>132.76</v>
      </c>
      <c r="AE600" s="10">
        <f t="shared" si="1792"/>
        <v>0.73210245001268992</v>
      </c>
      <c r="AF600" s="10">
        <f t="shared" si="1793"/>
        <v>0.71719067956083093</v>
      </c>
      <c r="AG600" s="11">
        <f t="shared" si="1801"/>
        <v>0.18280415151204363</v>
      </c>
      <c r="AH600" s="11">
        <f t="shared" si="1802"/>
        <v>0.15824500000000002</v>
      </c>
      <c r="AI600" s="11">
        <v>0.98499999999999999</v>
      </c>
      <c r="AJ600" s="11">
        <v>0.99719333333333338</v>
      </c>
      <c r="AK600" s="10">
        <v>0.99</v>
      </c>
      <c r="AL600" s="17">
        <v>1</v>
      </c>
      <c r="AM600" s="83">
        <f t="shared" si="1794"/>
        <v>-7.1936043593030519E-3</v>
      </c>
      <c r="AN600" s="81">
        <f t="shared" si="1795"/>
        <v>-0.13434679305095332</v>
      </c>
      <c r="AO600" s="10">
        <f t="shared" si="1796"/>
        <v>-0.12715318869165027</v>
      </c>
      <c r="AP600" s="10">
        <f t="shared" si="1797"/>
        <v>1.2193333333333389E-2</v>
      </c>
      <c r="AQ600" s="10">
        <f t="shared" si="1798"/>
        <v>1.0000000000000009E-2</v>
      </c>
      <c r="AR600" s="23">
        <v>-1.9099999999999999E-2</v>
      </c>
    </row>
    <row r="601" spans="2:88">
      <c r="B601" s="5">
        <f t="shared" si="1761"/>
        <v>45291</v>
      </c>
      <c r="C601" s="114">
        <v>1110.7435324164901</v>
      </c>
      <c r="D601" s="2">
        <v>988.63199999999995</v>
      </c>
      <c r="E601" s="2">
        <v>89.9</v>
      </c>
      <c r="F601" s="2">
        <v>82.71</v>
      </c>
      <c r="G601" s="2">
        <v>129.6</v>
      </c>
      <c r="H601" s="2">
        <v>120.23</v>
      </c>
      <c r="I601" s="10">
        <f t="shared" ref="I601" si="1812">C601/12/G601/M601</f>
        <v>0.72508899726379894</v>
      </c>
      <c r="J601" s="10">
        <f t="shared" ref="J601" si="1813">D601/12/H601/N601</f>
        <v>0.69364540211923265</v>
      </c>
      <c r="K601" s="14">
        <f t="shared" ref="K601" si="1814">C601/24/DAY(B601)/10</f>
        <v>0.14929348553985083</v>
      </c>
      <c r="L601" s="14">
        <f t="shared" ref="L601" si="1815">D601/24/DAY(B601)/10</f>
        <v>0.13288064516129033</v>
      </c>
      <c r="M601" s="11">
        <v>0.98499999999999999</v>
      </c>
      <c r="N601" s="82">
        <v>0.98787741935483875</v>
      </c>
      <c r="O601" s="10">
        <v>0.99</v>
      </c>
      <c r="P601" s="17">
        <v>1</v>
      </c>
      <c r="Q601" s="83">
        <f t="shared" ref="Q601" si="1816">R601-S601</f>
        <v>-3.7637365824659375E-2</v>
      </c>
      <c r="R601" s="81">
        <f t="shared" ref="R601" si="1817">D601/C601-1</f>
        <v>-0.10993674854070867</v>
      </c>
      <c r="S601" s="10">
        <f t="shared" ref="S601" si="1818">H601/G601-1</f>
        <v>-7.2299382716049299E-2</v>
      </c>
      <c r="T601" s="10">
        <f t="shared" ref="T601" si="1819">N601-M601</f>
        <v>2.8774193548387617E-3</v>
      </c>
      <c r="U601" s="10">
        <f t="shared" ref="U601" si="1820">P601-O601</f>
        <v>1.0000000000000009E-2</v>
      </c>
      <c r="V601" s="23">
        <v>-2.41E-2</v>
      </c>
      <c r="W601" s="83"/>
      <c r="X601" s="5">
        <f t="shared" si="1762"/>
        <v>45291</v>
      </c>
      <c r="Y601" s="43">
        <v>552.49189443048408</v>
      </c>
      <c r="Z601" s="2">
        <v>516.48299999999995</v>
      </c>
      <c r="AA601" s="2">
        <v>89.9</v>
      </c>
      <c r="AB601" s="2">
        <v>80.960000000000008</v>
      </c>
      <c r="AC601" s="2">
        <v>129.6</v>
      </c>
      <c r="AD601" s="2">
        <v>124.72999999999999</v>
      </c>
      <c r="AE601" s="10">
        <f t="shared" ref="AE601" si="1821">Y601/6/AC601/AI601</f>
        <v>0.72132905938679481</v>
      </c>
      <c r="AF601" s="10">
        <f t="shared" ref="AF601" si="1822">Z601/6/AD601/AJ601</f>
        <v>0.69180170989141032</v>
      </c>
      <c r="AG601" s="11">
        <f t="shared" ref="AG601" si="1823">Y601/24/DAY(X601)/5</f>
        <v>0.14851932645980753</v>
      </c>
      <c r="AH601" s="11">
        <f t="shared" ref="AH601" si="1824">Z601/24/DAY(X601)/5</f>
        <v>0.13883951612903223</v>
      </c>
      <c r="AI601" s="11">
        <v>0.98499999999999999</v>
      </c>
      <c r="AJ601" s="11">
        <v>0.99759032258064517</v>
      </c>
      <c r="AK601" s="10">
        <v>0.99</v>
      </c>
      <c r="AL601" s="17">
        <v>1</v>
      </c>
      <c r="AM601" s="83">
        <f t="shared" ref="AM601" si="1825">AN601-AO601</f>
        <v>-2.7598265233644503E-2</v>
      </c>
      <c r="AN601" s="81">
        <f t="shared" ref="AN601" si="1826">Z601/Y601-1</f>
        <v>-6.5175425727471703E-2</v>
      </c>
      <c r="AO601" s="10">
        <f t="shared" ref="AO601" si="1827">AD601/AC601-1</f>
        <v>-3.75771604938272E-2</v>
      </c>
      <c r="AP601" s="10">
        <f t="shared" ref="AP601" si="1828">AJ601-AI601</f>
        <v>1.2590322580645186E-2</v>
      </c>
      <c r="AQ601" s="10">
        <f t="shared" ref="AQ601" si="1829">AL601-AK601</f>
        <v>1.0000000000000009E-2</v>
      </c>
      <c r="AR601" s="23">
        <v>-2.4500000000000001E-2</v>
      </c>
    </row>
    <row r="602" spans="2:88">
      <c r="B602" s="5">
        <f t="shared" si="1761"/>
        <v>45322</v>
      </c>
      <c r="C602" s="114">
        <v>936.88001660881923</v>
      </c>
      <c r="D602" s="2">
        <v>425.19600000000003</v>
      </c>
      <c r="E602" s="2">
        <v>79.599999999999994</v>
      </c>
      <c r="F602" s="2">
        <v>43.78</v>
      </c>
      <c r="G602" s="2">
        <v>103.2</v>
      </c>
      <c r="H602" s="2">
        <v>50.59</v>
      </c>
      <c r="I602" s="10">
        <f t="shared" ref="I602" si="1830">C602/12/G602/M602</f>
        <v>0.76804523981231654</v>
      </c>
      <c r="J602" s="10">
        <f t="shared" ref="J602" si="1831">D602/12/H602/N602</f>
        <v>0.70716818127290082</v>
      </c>
      <c r="K602" s="14">
        <f t="shared" ref="K602:K604" si="1832">C602/24/DAY(B602)/10</f>
        <v>0.12592473341516389</v>
      </c>
      <c r="L602" s="14">
        <f t="shared" ref="L602" si="1833">D602/24/DAY(B602)/10</f>
        <v>5.7149999999999999E-2</v>
      </c>
      <c r="M602" s="11">
        <v>0.98499999999999999</v>
      </c>
      <c r="N602" s="82">
        <v>0.99042258064516142</v>
      </c>
      <c r="O602" s="10">
        <v>0.99</v>
      </c>
      <c r="P602" s="17">
        <v>1</v>
      </c>
      <c r="Q602" s="83">
        <f t="shared" ref="Q602" si="1834">R602-S602</f>
        <v>-3.6370645139621627E-2</v>
      </c>
      <c r="R602" s="81">
        <f t="shared" ref="R602" si="1835">D602/C602-1</f>
        <v>-0.54615746684504796</v>
      </c>
      <c r="S602" s="10">
        <f t="shared" ref="S602" si="1836">H602/G602-1</f>
        <v>-0.50978682170542633</v>
      </c>
      <c r="T602" s="10">
        <f t="shared" ref="T602" si="1837">N602-M602</f>
        <v>5.4225806451614345E-3</v>
      </c>
      <c r="U602" s="10">
        <f t="shared" ref="U602" si="1838">P602-O602</f>
        <v>1.0000000000000009E-2</v>
      </c>
      <c r="V602" s="23">
        <v>-1.61E-2</v>
      </c>
      <c r="W602" s="83"/>
      <c r="X602" s="5">
        <f t="shared" si="1762"/>
        <v>45322</v>
      </c>
      <c r="Y602" s="43">
        <v>465.13512650924844</v>
      </c>
      <c r="Z602" s="2">
        <v>211.542</v>
      </c>
      <c r="AA602" s="2">
        <v>79.599999999999994</v>
      </c>
      <c r="AB602" s="2">
        <v>43.110000000000007</v>
      </c>
      <c r="AC602" s="2">
        <v>103.2</v>
      </c>
      <c r="AD602" s="2">
        <v>52.24</v>
      </c>
      <c r="AE602" s="10">
        <f t="shared" ref="AE602" si="1839">Y602/6/AC602/AI602</f>
        <v>0.76262661910119567</v>
      </c>
      <c r="AF602" s="10">
        <f t="shared" ref="AF602" si="1840">Z602/6/AD602/AJ602</f>
        <v>0.67925149748590052</v>
      </c>
      <c r="AG602" s="11">
        <f>Y602/24/DAY(X602)/5</f>
        <v>0.12503632433044315</v>
      </c>
      <c r="AH602" s="11">
        <f t="shared" ref="AH602" si="1841">Z602/24/DAY(X602)/5</f>
        <v>5.6866129032258059E-2</v>
      </c>
      <c r="AI602" s="11">
        <v>0.98499999999999999</v>
      </c>
      <c r="AJ602" s="11">
        <v>0.99360000000000004</v>
      </c>
      <c r="AK602" s="10">
        <v>0.99</v>
      </c>
      <c r="AL602" s="17">
        <v>1</v>
      </c>
      <c r="AM602" s="83">
        <f t="shared" ref="AM602:AM605" si="1842">AN602-AO602</f>
        <v>-5.14046796640657E-2</v>
      </c>
      <c r="AN602" s="81">
        <f t="shared" ref="AN602:AN603" si="1843">Z602/Y602-1</f>
        <v>-0.54520312927646875</v>
      </c>
      <c r="AO602" s="10">
        <f t="shared" ref="AO602:AO603" si="1844">AD602/AC602-1</f>
        <v>-0.49379844961240305</v>
      </c>
      <c r="AP602" s="10">
        <f t="shared" ref="AP602:AP603" si="1845">AJ602-AI602</f>
        <v>8.600000000000052E-3</v>
      </c>
      <c r="AQ602" s="10">
        <f t="shared" ref="AQ602:AQ603" si="1846">AL602-AK602</f>
        <v>1.0000000000000009E-2</v>
      </c>
      <c r="AR602" s="23">
        <v>-1.6199999999999999E-2</v>
      </c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</row>
    <row r="603" spans="2:88">
      <c r="B603" s="5">
        <f t="shared" si="1761"/>
        <v>45351</v>
      </c>
      <c r="C603" s="114">
        <v>1226.301627176631</v>
      </c>
      <c r="D603" s="2">
        <v>1125.6059999999973</v>
      </c>
      <c r="E603" s="2">
        <v>108.1</v>
      </c>
      <c r="F603" s="2">
        <v>112.92999999999998</v>
      </c>
      <c r="G603" s="2">
        <v>137.5</v>
      </c>
      <c r="H603" s="2">
        <v>143.63999999999996</v>
      </c>
      <c r="I603" s="10">
        <f t="shared" ref="I603:I604" si="1847">C603/12/G603/M603</f>
        <v>0.75453107348200643</v>
      </c>
      <c r="J603" s="10">
        <f t="shared" ref="J603:J604" si="1848">D603/12/H603/N603</f>
        <v>0.68151213047344905</v>
      </c>
      <c r="K603" s="14">
        <f>C603/24/28/10</f>
        <v>0.18248536118699865</v>
      </c>
      <c r="L603" s="14">
        <f t="shared" ref="L603:L604" si="1849">D603/24/DAY(B603)/10</f>
        <v>0.16172499999999962</v>
      </c>
      <c r="M603" s="11">
        <v>0.98499999999999999</v>
      </c>
      <c r="N603" s="82">
        <v>0.95820000000000005</v>
      </c>
      <c r="O603" s="10">
        <v>0.99</v>
      </c>
      <c r="P603" s="17">
        <v>0.99475172413793111</v>
      </c>
      <c r="Q603" s="83">
        <f t="shared" ref="Q603:Q604" si="1850">R603-S603</f>
        <v>-0.12676780775891772</v>
      </c>
      <c r="R603" s="81">
        <f t="shared" ref="R603:R604" si="1851">D603/C603-1</f>
        <v>-8.2113262304372658E-2</v>
      </c>
      <c r="S603" s="10">
        <f t="shared" ref="S603:S604" si="1852">H603/G603-1</f>
        <v>4.4654545454545058E-2</v>
      </c>
      <c r="T603" s="10">
        <f t="shared" ref="T603:T604" si="1853">N603-M603</f>
        <v>-2.6799999999999935E-2</v>
      </c>
      <c r="U603" s="10">
        <f t="shared" ref="U603:U604" si="1854">P603-O603</f>
        <v>4.7517241379311237E-3</v>
      </c>
      <c r="V603" s="23">
        <v>-1.41E-2</v>
      </c>
      <c r="W603" s="83"/>
      <c r="X603" s="5">
        <f t="shared" si="1762"/>
        <v>45351</v>
      </c>
      <c r="Y603" s="43">
        <v>610.57797261468977</v>
      </c>
      <c r="Z603" s="2">
        <v>593.976</v>
      </c>
      <c r="AA603" s="2">
        <v>108.1</v>
      </c>
      <c r="AB603" s="2">
        <v>109.59</v>
      </c>
      <c r="AC603" s="2">
        <v>137.5</v>
      </c>
      <c r="AD603" s="2">
        <v>144.81000000000003</v>
      </c>
      <c r="AE603" s="10">
        <f t="shared" ref="AE603:AE604" si="1855">Y603/6/AC603/AI603</f>
        <v>0.75136498706622346</v>
      </c>
      <c r="AF603" s="10">
        <f t="shared" ref="AF603:AF604" si="1856">Z603/6/AD603/AJ603</f>
        <v>0.70266915546522402</v>
      </c>
      <c r="AG603" s="11">
        <f>Y603/24/28/5</f>
        <v>0.18171963470675292</v>
      </c>
      <c r="AH603" s="11">
        <f t="shared" ref="AH603:AH604" si="1857">Z603/24/DAY(X603)/5</f>
        <v>0.17068275862068966</v>
      </c>
      <c r="AI603" s="11">
        <v>0.98499999999999999</v>
      </c>
      <c r="AJ603" s="11">
        <v>0.97289999999999999</v>
      </c>
      <c r="AK603" s="10">
        <v>0.99</v>
      </c>
      <c r="AL603" s="17">
        <v>0.99589310344827586</v>
      </c>
      <c r="AM603" s="83">
        <f t="shared" si="1842"/>
        <v>-8.0354221938800374E-2</v>
      </c>
      <c r="AN603" s="81">
        <f t="shared" si="1843"/>
        <v>-2.719058557516385E-2</v>
      </c>
      <c r="AO603" s="10">
        <f t="shared" si="1844"/>
        <v>5.3163636363636524E-2</v>
      </c>
      <c r="AP603" s="10">
        <f t="shared" si="1845"/>
        <v>-1.21E-2</v>
      </c>
      <c r="AQ603" s="10">
        <f t="shared" si="1846"/>
        <v>5.8931034482758715E-3</v>
      </c>
      <c r="AR603" s="23">
        <v>-1.49E-2</v>
      </c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</row>
    <row r="604" spans="2:88">
      <c r="B604" s="5">
        <f t="shared" si="1761"/>
        <v>45382</v>
      </c>
      <c r="C604" s="114">
        <v>1640.3971622967306</v>
      </c>
      <c r="D604" s="2">
        <v>1434.768</v>
      </c>
      <c r="E604" s="2">
        <v>161.4</v>
      </c>
      <c r="F604" s="2">
        <v>157.08999999999997</v>
      </c>
      <c r="G604" s="2">
        <v>187.8</v>
      </c>
      <c r="H604" s="2">
        <v>177.47000000000006</v>
      </c>
      <c r="I604" s="10">
        <f t="shared" si="1847"/>
        <v>0.73898554745423928</v>
      </c>
      <c r="J604" s="10">
        <f t="shared" si="1848"/>
        <v>0.68374845582304145</v>
      </c>
      <c r="K604" s="14">
        <f t="shared" si="1832"/>
        <v>0.22048348955601221</v>
      </c>
      <c r="L604" s="14">
        <f t="shared" si="1849"/>
        <v>0.19284516129032259</v>
      </c>
      <c r="M604" s="11">
        <v>0.98499999999999999</v>
      </c>
      <c r="N604" s="82">
        <v>0.98532415158658071</v>
      </c>
      <c r="O604" s="10">
        <v>0.99</v>
      </c>
      <c r="P604" s="17">
        <v>1</v>
      </c>
      <c r="Q604" s="83">
        <f t="shared" si="1850"/>
        <v>-7.0347953662434737E-2</v>
      </c>
      <c r="R604" s="81">
        <f t="shared" si="1851"/>
        <v>-0.12535327847606603</v>
      </c>
      <c r="S604" s="10">
        <f t="shared" si="1852"/>
        <v>-5.5005324813631296E-2</v>
      </c>
      <c r="T604" s="10">
        <f t="shared" si="1853"/>
        <v>3.2415158658072318E-4</v>
      </c>
      <c r="U604" s="10">
        <f t="shared" si="1854"/>
        <v>1.0000000000000009E-2</v>
      </c>
      <c r="V604" s="23">
        <v>-1.9699999999999999E-2</v>
      </c>
      <c r="W604" s="83"/>
      <c r="X604" s="5">
        <f t="shared" si="1762"/>
        <v>45382</v>
      </c>
      <c r="Y604" s="43">
        <v>818.94711132085274</v>
      </c>
      <c r="Z604" s="2">
        <v>750.471</v>
      </c>
      <c r="AA604" s="2">
        <v>161.4</v>
      </c>
      <c r="AB604" s="2">
        <v>151.69</v>
      </c>
      <c r="AC604" s="2">
        <v>187.8</v>
      </c>
      <c r="AD604" s="2">
        <v>178.00000000000003</v>
      </c>
      <c r="AE604" s="10">
        <f t="shared" si="1855"/>
        <v>0.73785799354612103</v>
      </c>
      <c r="AF604" s="10">
        <f t="shared" si="1856"/>
        <v>0.70384595164163377</v>
      </c>
      <c r="AG604" s="11">
        <f t="shared" ref="AG604:AG609" si="1858">Y604/24/DAY(X604)/5</f>
        <v>0.22014707293571306</v>
      </c>
      <c r="AH604" s="11">
        <f t="shared" si="1857"/>
        <v>0.20173951612903224</v>
      </c>
      <c r="AI604" s="11">
        <v>0.98499999999999999</v>
      </c>
      <c r="AJ604" s="11">
        <v>0.99835510967741947</v>
      </c>
      <c r="AK604" s="10">
        <v>0.99</v>
      </c>
      <c r="AL604" s="17">
        <v>1</v>
      </c>
      <c r="AM604" s="83">
        <f t="shared" si="1842"/>
        <v>-3.1431641549027445E-2</v>
      </c>
      <c r="AN604" s="81">
        <f t="shared" ref="AN604:AN605" si="1859">Z604/Y604-1</f>
        <v>-8.361481513795177E-2</v>
      </c>
      <c r="AO604" s="10">
        <f t="shared" ref="AO604:AO605" si="1860">AD604/AC604-1</f>
        <v>-5.2183173588924325E-2</v>
      </c>
      <c r="AP604" s="10">
        <f t="shared" ref="AP604:AP605" si="1861">AJ604-AI604</f>
        <v>1.3355109677419486E-2</v>
      </c>
      <c r="AQ604" s="10">
        <f t="shared" ref="AQ604:AQ605" si="1862">AL604-AK604</f>
        <v>1.0000000000000009E-2</v>
      </c>
      <c r="AR604" s="23">
        <v>-1.7399999999999999E-2</v>
      </c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</row>
    <row r="605" spans="2:88">
      <c r="B605" s="5">
        <f t="shared" si="1761"/>
        <v>45412</v>
      </c>
      <c r="C605" s="114">
        <v>1694.7193722802276</v>
      </c>
      <c r="D605" s="2">
        <v>1520.49</v>
      </c>
      <c r="E605" s="2">
        <v>190.2</v>
      </c>
      <c r="F605" s="2">
        <v>183.76</v>
      </c>
      <c r="G605" s="2">
        <v>194</v>
      </c>
      <c r="H605" s="2">
        <v>189.48000000000005</v>
      </c>
      <c r="I605" s="10">
        <f t="shared" ref="I605" si="1863">C605/12/G605/M605</f>
        <v>0.73905811061115512</v>
      </c>
      <c r="J605" s="10">
        <f t="shared" ref="J605" si="1864">D605/12/H605/N605</f>
        <v>0.67428641993958294</v>
      </c>
      <c r="K605" s="14">
        <f t="shared" ref="K605" si="1865">C605/24/DAY(B605)/10</f>
        <v>0.23537769059447608</v>
      </c>
      <c r="L605" s="14">
        <f t="shared" ref="L605" si="1866">D605/24/DAY(B605)/10</f>
        <v>0.21117916666666664</v>
      </c>
      <c r="M605" s="11">
        <v>0.98499999999999999</v>
      </c>
      <c r="N605" s="82">
        <v>0.9917324709675287</v>
      </c>
      <c r="O605" s="10">
        <v>0.99</v>
      </c>
      <c r="P605" s="17">
        <v>0.99975333333333327</v>
      </c>
      <c r="Q605" s="83">
        <f t="shared" ref="Q605:Q609" si="1867">R605-S605</f>
        <v>-7.9508242039019961E-2</v>
      </c>
      <c r="R605" s="81">
        <f t="shared" ref="R605" si="1868">D605/C605-1</f>
        <v>-0.10280721111118463</v>
      </c>
      <c r="S605" s="10">
        <f t="shared" ref="S605" si="1869">H605/G605-1</f>
        <v>-2.3298969072164666E-2</v>
      </c>
      <c r="T605" s="10">
        <f t="shared" ref="T605" si="1870">N605-M605</f>
        <v>6.7324709675287142E-3</v>
      </c>
      <c r="U605" s="10">
        <f t="shared" ref="U605" si="1871">P605-O605</f>
        <v>9.7533333333332806E-3</v>
      </c>
      <c r="V605" s="23">
        <v>-2.2579999999999999E-2</v>
      </c>
      <c r="W605" s="83"/>
      <c r="X605" s="5">
        <f t="shared" si="1762"/>
        <v>45412</v>
      </c>
      <c r="Y605" s="43">
        <v>847.44203627212278</v>
      </c>
      <c r="Z605" s="2">
        <v>774.38699999999994</v>
      </c>
      <c r="AA605" s="2">
        <v>190.2</v>
      </c>
      <c r="AB605" s="2">
        <v>181.57</v>
      </c>
      <c r="AC605" s="2">
        <v>194</v>
      </c>
      <c r="AD605" s="2">
        <v>191.08999999999997</v>
      </c>
      <c r="AE605" s="10">
        <f t="shared" ref="AE605" si="1872">Y605/6/AC605/AI605</f>
        <v>0.73912993552089146</v>
      </c>
      <c r="AF605" s="10">
        <f t="shared" ref="AF605" si="1873">Z605/6/AD605/AJ605</f>
        <v>0.68925329299229809</v>
      </c>
      <c r="AG605" s="11">
        <f t="shared" si="1858"/>
        <v>0.23540056563114523</v>
      </c>
      <c r="AH605" s="11">
        <f t="shared" ref="AH605" si="1874">Z605/24/DAY(X605)/5</f>
        <v>0.21510749999999995</v>
      </c>
      <c r="AI605" s="11">
        <v>0.98499999999999999</v>
      </c>
      <c r="AJ605" s="11">
        <v>0.97991858195555537</v>
      </c>
      <c r="AK605" s="10">
        <v>0.99</v>
      </c>
      <c r="AL605" s="17">
        <v>0.99956333333333325</v>
      </c>
      <c r="AM605" s="83">
        <f t="shared" si="1842"/>
        <v>-7.1206528759760523E-2</v>
      </c>
      <c r="AN605" s="81">
        <f t="shared" si="1859"/>
        <v>-8.6206528759760648E-2</v>
      </c>
      <c r="AO605" s="10">
        <f t="shared" si="1860"/>
        <v>-1.5000000000000124E-2</v>
      </c>
      <c r="AP605" s="10">
        <f t="shared" si="1861"/>
        <v>-5.0814180444446189E-3</v>
      </c>
      <c r="AQ605" s="10">
        <f t="shared" si="1862"/>
        <v>9.5633333333332571E-3</v>
      </c>
      <c r="AR605" s="23">
        <v>-2.2523333333333301E-2</v>
      </c>
    </row>
    <row r="606" spans="2:88">
      <c r="B606" s="5">
        <f t="shared" si="1761"/>
        <v>45443</v>
      </c>
      <c r="C606" s="114">
        <v>1716.9825730931364</v>
      </c>
      <c r="D606" s="2">
        <v>1404.2339999999999</v>
      </c>
      <c r="E606" s="2">
        <v>197</v>
      </c>
      <c r="F606" s="2">
        <v>195.99999999999994</v>
      </c>
      <c r="G606" s="2">
        <v>197.7</v>
      </c>
      <c r="H606" s="2">
        <v>199.06</v>
      </c>
      <c r="I606" s="10">
        <f t="shared" ref="I606" si="1875">C606/12/G606/M606</f>
        <v>0.7347536316938944</v>
      </c>
      <c r="J606" s="10">
        <f t="shared" ref="J606" si="1876">D606/12/H606/N606</f>
        <v>0.6082768593530985</v>
      </c>
      <c r="K606" s="14">
        <f t="shared" ref="K606" si="1877">C606/24/DAY(B606)/10</f>
        <v>0.23077722756628175</v>
      </c>
      <c r="L606" s="14">
        <f t="shared" ref="L606" si="1878">D606/24/DAY(B606)/10</f>
        <v>0.18874112903225806</v>
      </c>
      <c r="M606" s="11">
        <v>0.98499999999999999</v>
      </c>
      <c r="N606" s="82">
        <v>0.96643565351540495</v>
      </c>
      <c r="O606" s="10">
        <v>0.99</v>
      </c>
      <c r="P606" s="17">
        <v>0.99889354838709676</v>
      </c>
      <c r="Q606" s="83">
        <f t="shared" si="1867"/>
        <v>-0.18902922473385908</v>
      </c>
      <c r="R606" s="81">
        <f t="shared" ref="R606:R607" si="1879">D606/C606-1</f>
        <v>-0.18215011497159306</v>
      </c>
      <c r="S606" s="10">
        <f t="shared" ref="S606:S607" si="1880">H606/G606-1</f>
        <v>6.8791097622660224E-3</v>
      </c>
      <c r="T606" s="10">
        <f t="shared" ref="T606:T607" si="1881">N606-M606</f>
        <v>-1.856434648459504E-2</v>
      </c>
      <c r="U606" s="10">
        <f t="shared" ref="U606:U607" si="1882">P606-O606</f>
        <v>8.8935483870967724E-3</v>
      </c>
      <c r="V606" s="23">
        <v>-3.2199999999999999E-2</v>
      </c>
      <c r="W606" s="83"/>
      <c r="X606" s="5">
        <f t="shared" si="1762"/>
        <v>45443</v>
      </c>
      <c r="Y606" s="43">
        <v>858.72127739866733</v>
      </c>
      <c r="Z606" s="2">
        <v>736.476</v>
      </c>
      <c r="AA606" s="2">
        <v>197</v>
      </c>
      <c r="AB606" s="2">
        <v>192.53</v>
      </c>
      <c r="AC606" s="2">
        <v>197.7</v>
      </c>
      <c r="AD606" s="2">
        <v>197.54</v>
      </c>
      <c r="AE606" s="10">
        <f t="shared" ref="AE606" si="1883">Y606/6/AC606/AI606</f>
        <v>0.73495047307887362</v>
      </c>
      <c r="AF606" s="10">
        <f t="shared" ref="AF606" si="1884">Z606/6/AD606/AJ606</f>
        <v>0.64676208209910169</v>
      </c>
      <c r="AG606" s="11">
        <f t="shared" si="1858"/>
        <v>0.23083905306415789</v>
      </c>
      <c r="AH606" s="11">
        <f t="shared" ref="AH606" si="1885">Z606/24/DAY(X606)/5</f>
        <v>0.1979774193548387</v>
      </c>
      <c r="AI606" s="11">
        <v>0.98499999999999999</v>
      </c>
      <c r="AJ606" s="11">
        <v>0.96074414951368148</v>
      </c>
      <c r="AK606" s="10">
        <v>0.99</v>
      </c>
      <c r="AL606" s="17">
        <v>0.99957419354838706</v>
      </c>
      <c r="AM606" s="83">
        <f t="shared" ref="AM606:AM607" si="1886">AN606-AO606</f>
        <v>-0.14154803360589541</v>
      </c>
      <c r="AN606" s="81">
        <f t="shared" ref="AN606" si="1887">Z606/Y606-1</f>
        <v>-0.14235734063675021</v>
      </c>
      <c r="AO606" s="10">
        <f t="shared" ref="AO606" si="1888">AD606/AC606-1</f>
        <v>-8.0930703085480005E-4</v>
      </c>
      <c r="AP606" s="10">
        <f t="shared" ref="AP606" si="1889">AJ606-AI606</f>
        <v>-2.4255850486318509E-2</v>
      </c>
      <c r="AQ606" s="10">
        <f t="shared" ref="AQ606" si="1890">AL606-AK606</f>
        <v>9.5741935483870666E-3</v>
      </c>
      <c r="AR606" s="23">
        <v>-3.6600000000000001E-2</v>
      </c>
    </row>
    <row r="607" spans="2:88">
      <c r="B607" s="5">
        <f t="shared" si="1761"/>
        <v>45473</v>
      </c>
      <c r="C607" s="114">
        <v>1544.220134784965</v>
      </c>
      <c r="D607" s="2">
        <v>1453.848</v>
      </c>
      <c r="E607" s="2">
        <v>178.9</v>
      </c>
      <c r="F607" s="2">
        <v>188.72</v>
      </c>
      <c r="G607" s="2">
        <v>177.2</v>
      </c>
      <c r="H607" s="2">
        <v>184.46999999999997</v>
      </c>
      <c r="I607" s="10">
        <f t="shared" ref="I607:I608" si="1891">C607/12/G607/M607</f>
        <v>0.73727246870140384</v>
      </c>
      <c r="J607" s="10">
        <f t="shared" ref="J607:J608" si="1892">D607/12/H607/N607</f>
        <v>0.66751503014878255</v>
      </c>
      <c r="K607" s="14">
        <f t="shared" ref="K607:K608" si="1893">C607/24/DAY(B607)/10</f>
        <v>0.21447501872013403</v>
      </c>
      <c r="L607" s="14">
        <f t="shared" ref="L607:L608" si="1894">D607/24/DAY(B607)/10</f>
        <v>0.20192333333333332</v>
      </c>
      <c r="M607" s="11">
        <v>0.98499999999999999</v>
      </c>
      <c r="N607" s="82">
        <v>0.9839</v>
      </c>
      <c r="O607" s="10">
        <v>0.99</v>
      </c>
      <c r="P607" s="17">
        <v>1</v>
      </c>
      <c r="Q607" s="83">
        <f t="shared" si="1867"/>
        <v>-9.9549919560749212E-2</v>
      </c>
      <c r="R607" s="81">
        <f t="shared" si="1879"/>
        <v>-5.8522831524632002E-2</v>
      </c>
      <c r="S607" s="10">
        <f t="shared" si="1880"/>
        <v>4.102708803611721E-2</v>
      </c>
      <c r="T607" s="10">
        <f t="shared" si="1881"/>
        <v>-1.0999999999999899E-3</v>
      </c>
      <c r="U607" s="10">
        <f t="shared" si="1882"/>
        <v>1.0000000000000009E-2</v>
      </c>
      <c r="V607" s="23">
        <v>-2.9899999999999999E-2</v>
      </c>
      <c r="W607" s="83"/>
      <c r="X607" s="5">
        <f t="shared" si="1762"/>
        <v>45473</v>
      </c>
      <c r="Y607" s="43">
        <v>770.86192546558414</v>
      </c>
      <c r="Z607" s="2">
        <v>731.89200000000005</v>
      </c>
      <c r="AA607" s="2">
        <v>178.9</v>
      </c>
      <c r="AB607" s="2">
        <v>187.66000000000003</v>
      </c>
      <c r="AC607" s="2">
        <v>177.2</v>
      </c>
      <c r="AD607" s="2">
        <v>188.35000000000005</v>
      </c>
      <c r="AE607" s="10">
        <f t="shared" ref="AE607" si="1895">Y607/6/AC607/AI607</f>
        <v>0.73608064292604281</v>
      </c>
      <c r="AF607" s="10">
        <f t="shared" ref="AF607" si="1896">Z607/6/AD607/AJ607</f>
        <v>0.68007426503299484</v>
      </c>
      <c r="AG607" s="11">
        <f t="shared" si="1858"/>
        <v>0.21412831262932891</v>
      </c>
      <c r="AH607" s="11">
        <f t="shared" ref="AH607" si="1897">Z607/24/DAY(X607)/5</f>
        <v>0.20330333333333334</v>
      </c>
      <c r="AI607" s="11">
        <v>0.98499999999999999</v>
      </c>
      <c r="AJ607" s="11">
        <v>0.95230000000000004</v>
      </c>
      <c r="AK607" s="10">
        <v>0.99</v>
      </c>
      <c r="AL607" s="17">
        <v>1</v>
      </c>
      <c r="AM607" s="83">
        <f t="shared" si="1886"/>
        <v>-0.11347695438366256</v>
      </c>
      <c r="AN607" s="81">
        <f t="shared" ref="AN607" si="1898">Z607/Y607-1</f>
        <v>-5.0553703819328111E-2</v>
      </c>
      <c r="AO607" s="10">
        <f t="shared" ref="AO607" si="1899">AD607/AC607-1</f>
        <v>6.2923250564334454E-2</v>
      </c>
      <c r="AP607" s="10">
        <f t="shared" ref="AP607" si="1900">AJ607-AI607</f>
        <v>-3.2699999999999951E-2</v>
      </c>
      <c r="AQ607" s="10">
        <f t="shared" ref="AQ607" si="1901">AL607-AK607</f>
        <v>1.0000000000000009E-2</v>
      </c>
      <c r="AR607" s="23">
        <v>-2.41E-2</v>
      </c>
    </row>
    <row r="608" spans="2:88">
      <c r="B608" s="5">
        <f t="shared" si="1761"/>
        <v>45504</v>
      </c>
      <c r="C608" s="114">
        <v>1369.6766404117618</v>
      </c>
      <c r="D608" s="2">
        <v>1149.954</v>
      </c>
      <c r="E608" s="2">
        <v>155.5</v>
      </c>
      <c r="F608" s="2">
        <v>141.75000000000003</v>
      </c>
      <c r="G608" s="2">
        <v>154.6</v>
      </c>
      <c r="H608" s="2">
        <v>140.17000000000004</v>
      </c>
      <c r="I608" s="10">
        <f t="shared" si="1891"/>
        <v>0.74953355989462567</v>
      </c>
      <c r="J608" s="10">
        <f t="shared" si="1892"/>
        <v>0.72102123425944387</v>
      </c>
      <c r="K608" s="14">
        <f t="shared" si="1893"/>
        <v>0.18409632263598949</v>
      </c>
      <c r="L608" s="14">
        <f t="shared" si="1894"/>
        <v>0.15456370967741934</v>
      </c>
      <c r="M608" s="11">
        <v>0.98499999999999999</v>
      </c>
      <c r="N608" s="82">
        <v>0.94819157870967741</v>
      </c>
      <c r="O608" s="10">
        <v>0.99</v>
      </c>
      <c r="P608" s="17">
        <v>1</v>
      </c>
      <c r="Q608" s="83">
        <f t="shared" si="1867"/>
        <v>-6.7081707417640857E-2</v>
      </c>
      <c r="R608" s="81">
        <f t="shared" ref="R608:R609" si="1902">D608/C608-1</f>
        <v>-0.16041935295450993</v>
      </c>
      <c r="S608" s="10">
        <f t="shared" ref="S608:S609" si="1903">H608/G608-1</f>
        <v>-9.3337645536869074E-2</v>
      </c>
      <c r="T608" s="10">
        <f t="shared" ref="T608:T609" si="1904">N608-M608</f>
        <v>-3.6808421290322579E-2</v>
      </c>
      <c r="U608" s="10">
        <f t="shared" ref="U608:U609" si="1905">P608-O608</f>
        <v>1.0000000000000009E-2</v>
      </c>
      <c r="V608" s="23">
        <v>-1.01E-2</v>
      </c>
      <c r="W608" s="83"/>
      <c r="X608" s="5">
        <f t="shared" si="1762"/>
        <v>45504</v>
      </c>
      <c r="Y608" s="43">
        <v>682.40892926268316</v>
      </c>
      <c r="Z608" s="2">
        <v>601.55999999999995</v>
      </c>
      <c r="AA608" s="2">
        <v>155.5</v>
      </c>
      <c r="AB608" s="2">
        <v>143.95999999999998</v>
      </c>
      <c r="AC608" s="2">
        <v>154.6</v>
      </c>
      <c r="AD608" s="2">
        <v>144.26</v>
      </c>
      <c r="AE608" s="10">
        <f t="shared" ref="AE608" si="1906">Y608/6/AC608/AI608</f>
        <v>0.74687466948457482</v>
      </c>
      <c r="AF608" s="10">
        <f t="shared" ref="AF608" si="1907">Z608/6/AD608/AJ608</f>
        <v>0.74803051087081707</v>
      </c>
      <c r="AG608" s="11">
        <f t="shared" si="1858"/>
        <v>0.18344326055448473</v>
      </c>
      <c r="AH608" s="11">
        <f t="shared" ref="AH608" si="1908">Z608/24/DAY(X608)/5</f>
        <v>0.16170967741935482</v>
      </c>
      <c r="AI608" s="11">
        <v>0.98499999999999999</v>
      </c>
      <c r="AJ608" s="11">
        <v>0.92910000000000004</v>
      </c>
      <c r="AK608" s="10">
        <v>0.99</v>
      </c>
      <c r="AL608" s="17">
        <v>1</v>
      </c>
      <c r="AM608" s="83">
        <f t="shared" ref="AM608:AM610" si="1909">AN608-AO608</f>
        <v>-5.1593501822028154E-2</v>
      </c>
      <c r="AN608" s="81">
        <f t="shared" ref="AN608:AN609" si="1910">Z608/Y608-1</f>
        <v>-0.11847577866549519</v>
      </c>
      <c r="AO608" s="10">
        <f t="shared" ref="AO608:AO609" si="1911">AD608/AC608-1</f>
        <v>-6.6882276843467037E-2</v>
      </c>
      <c r="AP608" s="10">
        <f t="shared" ref="AP608:AP609" si="1912">AJ608-AI608</f>
        <v>-5.589999999999995E-2</v>
      </c>
      <c r="AQ608" s="10">
        <f t="shared" ref="AQ608:AQ609" si="1913">AL608-AK608</f>
        <v>1.0000000000000009E-2</v>
      </c>
      <c r="AR608" s="23">
        <v>-1.04E-2</v>
      </c>
    </row>
    <row r="609" spans="2:44">
      <c r="B609" s="5">
        <f t="shared" si="1761"/>
        <v>45535</v>
      </c>
      <c r="C609" s="114">
        <v>1301.1059819080035</v>
      </c>
      <c r="D609" s="2">
        <v>1263.78</v>
      </c>
      <c r="E609" s="2">
        <v>145.4</v>
      </c>
      <c r="F609" s="2">
        <v>161.11999999999995</v>
      </c>
      <c r="G609" s="2">
        <v>146.30000000000001</v>
      </c>
      <c r="H609" s="2">
        <v>163.04000000000002</v>
      </c>
      <c r="I609" s="10">
        <f t="shared" ref="I609" si="1914">C609/12/G609/M609</f>
        <v>0.7524036104960159</v>
      </c>
      <c r="J609" s="10">
        <f t="shared" ref="J609" si="1915">D609/12/H609/N609</f>
        <v>0.68371483935880639</v>
      </c>
      <c r="K609" s="14">
        <f t="shared" ref="K609" si="1916">C609/24/DAY(B609)/10</f>
        <v>0.17487983627795747</v>
      </c>
      <c r="L609" s="14">
        <f t="shared" ref="L609" si="1917">D609/24/DAY(B609)/10</f>
        <v>0.16986290322580644</v>
      </c>
      <c r="M609" s="11">
        <v>0.98499999999999999</v>
      </c>
      <c r="N609" s="82">
        <v>0.94475904718174197</v>
      </c>
      <c r="O609" s="10">
        <v>0.99</v>
      </c>
      <c r="P609" s="17">
        <v>1</v>
      </c>
      <c r="Q609" s="83">
        <f t="shared" si="1867"/>
        <v>-0.14311030708831396</v>
      </c>
      <c r="R609" s="81">
        <f t="shared" si="1902"/>
        <v>-2.8687887402736312E-2</v>
      </c>
      <c r="S609" s="10">
        <f t="shared" si="1903"/>
        <v>0.11442241968557765</v>
      </c>
      <c r="T609" s="10">
        <f t="shared" si="1904"/>
        <v>-4.0240952818258013E-2</v>
      </c>
      <c r="U609" s="10">
        <f t="shared" si="1905"/>
        <v>1.0000000000000009E-2</v>
      </c>
      <c r="V609" s="23">
        <v>-4.5999999999999999E-3</v>
      </c>
      <c r="W609" s="83"/>
      <c r="X609" s="5">
        <f t="shared" si="1762"/>
        <v>45535</v>
      </c>
      <c r="Y609" s="43">
        <v>647.68073947832283</v>
      </c>
      <c r="Z609" s="2">
        <v>672.01499999999999</v>
      </c>
      <c r="AA609" s="2">
        <v>145.4</v>
      </c>
      <c r="AB609" s="2">
        <v>161.69</v>
      </c>
      <c r="AC609" s="2">
        <v>146.30000000000001</v>
      </c>
      <c r="AD609" s="2">
        <v>165.67999999999995</v>
      </c>
      <c r="AE609" s="10">
        <f t="shared" ref="AE609" si="1918">Y609/6/AC609/AI609</f>
        <v>0.74908167913822721</v>
      </c>
      <c r="AF609" s="10">
        <f t="shared" ref="AF609" si="1919">Z609/6/AD609/AJ609</f>
        <v>0.71987852248105266</v>
      </c>
      <c r="AG609" s="11">
        <f t="shared" si="1858"/>
        <v>0.17410772566621582</v>
      </c>
      <c r="AH609" s="11">
        <f t="shared" ref="AH609" si="1920">Z609/24/DAY(X609)/5</f>
        <v>0.1806491935483871</v>
      </c>
      <c r="AI609" s="11">
        <v>0.98499999999999999</v>
      </c>
      <c r="AJ609" s="11">
        <v>0.93907096774193533</v>
      </c>
      <c r="AK609" s="10">
        <v>0.99</v>
      </c>
      <c r="AL609" s="17">
        <v>1</v>
      </c>
      <c r="AM609" s="83">
        <f t="shared" si="1909"/>
        <v>-9.4896150398524837E-2</v>
      </c>
      <c r="AN609" s="81">
        <f t="shared" si="1910"/>
        <v>3.757138206900712E-2</v>
      </c>
      <c r="AO609" s="10">
        <f t="shared" si="1911"/>
        <v>0.13246753246753196</v>
      </c>
      <c r="AP609" s="10">
        <f t="shared" si="1912"/>
        <v>-4.5929032258064661E-2</v>
      </c>
      <c r="AQ609" s="10">
        <f t="shared" si="1913"/>
        <v>1.0000000000000009E-2</v>
      </c>
      <c r="AR609" s="23">
        <v>-9.9000000000000008E-3</v>
      </c>
    </row>
    <row r="610" spans="2:44">
      <c r="B610" s="5">
        <f t="shared" si="1761"/>
        <v>45565</v>
      </c>
      <c r="C610" s="114">
        <v>1295.7628137129057</v>
      </c>
      <c r="D610" s="2">
        <v>1057.08</v>
      </c>
      <c r="E610" s="2">
        <v>141.6</v>
      </c>
      <c r="F610" s="2">
        <v>120.02</v>
      </c>
      <c r="G610" s="2">
        <v>145.5</v>
      </c>
      <c r="H610" s="2">
        <v>126.65999999999998</v>
      </c>
      <c r="I610" s="10">
        <f t="shared" ref="I610:I611" si="1921">C610/12/G610/M610</f>
        <v>0.75343370123031361</v>
      </c>
      <c r="J610" s="10">
        <f t="shared" ref="J610" si="1922">D610/12/H610/N610</f>
        <v>0.71621517267541557</v>
      </c>
      <c r="K610" s="14">
        <f t="shared" ref="K610" si="1923">C610/24/DAY(B610)/10</f>
        <v>0.17996705746012578</v>
      </c>
      <c r="L610" s="14">
        <f t="shared" ref="L610" si="1924">D610/24/DAY(B610)/10</f>
        <v>0.14681666666666665</v>
      </c>
      <c r="M610" s="11">
        <v>0.98499999999999999</v>
      </c>
      <c r="N610" s="82">
        <v>0.97105450900000001</v>
      </c>
      <c r="O610" s="10">
        <v>0.99</v>
      </c>
      <c r="P610" s="17">
        <v>1</v>
      </c>
      <c r="Q610" s="83">
        <f t="shared" ref="Q610" si="1925">R610-S610</f>
        <v>-5.4718013324680737E-2</v>
      </c>
      <c r="R610" s="81">
        <f t="shared" ref="R610" si="1926">D610/C610-1</f>
        <v>-0.18420254940715508</v>
      </c>
      <c r="S610" s="10">
        <f t="shared" ref="S610" si="1927">H610/G610-1</f>
        <v>-0.12948453608247434</v>
      </c>
      <c r="T610" s="10">
        <f t="shared" ref="T610" si="1928">N610-M610</f>
        <v>-1.3945490999999977E-2</v>
      </c>
      <c r="U610" s="10">
        <f t="shared" ref="U610" si="1929">P610-O610</f>
        <v>1.0000000000000009E-2</v>
      </c>
      <c r="V610" s="23">
        <v>-1.1299999999999999E-2</v>
      </c>
      <c r="W610" s="83"/>
      <c r="X610" s="5">
        <f t="shared" si="1762"/>
        <v>45565</v>
      </c>
      <c r="Y610" s="43">
        <v>645.60298453395933</v>
      </c>
      <c r="Z610" s="2">
        <v>552.36</v>
      </c>
      <c r="AA610" s="2">
        <v>141.6</v>
      </c>
      <c r="AB610" s="2">
        <v>120.91000000000003</v>
      </c>
      <c r="AC610" s="2">
        <v>145.5</v>
      </c>
      <c r="AD610" s="2">
        <v>130.43</v>
      </c>
      <c r="AE610" s="10">
        <f t="shared" ref="AE610:AE611" si="1930">Y610/6/AC610/AI610</f>
        <v>0.75078408025765553</v>
      </c>
      <c r="AF610" s="10">
        <f t="shared" ref="AF610:AF611" si="1931">Z610/6/AD610/AJ610</f>
        <v>0.74659361220324538</v>
      </c>
      <c r="AG610" s="11">
        <f t="shared" ref="AG610:AG611" si="1932">Y610/24/DAY(X610)/5</f>
        <v>0.17933416237054425</v>
      </c>
      <c r="AH610" s="11">
        <f t="shared" ref="AH610:AH611" si="1933">Z610/24/DAY(X610)/5</f>
        <v>0.15343333333333334</v>
      </c>
      <c r="AI610" s="11">
        <v>0.98499999999999999</v>
      </c>
      <c r="AJ610" s="11">
        <v>0.94538608666666657</v>
      </c>
      <c r="AK610" s="10">
        <v>0.99</v>
      </c>
      <c r="AL610" s="17">
        <v>1</v>
      </c>
      <c r="AM610" s="83">
        <f t="shared" si="1909"/>
        <v>-4.0853863871393337E-2</v>
      </c>
      <c r="AN610" s="81">
        <f t="shared" ref="AN610" si="1934">Z610/Y610-1</f>
        <v>-0.14442774703290528</v>
      </c>
      <c r="AO610" s="10">
        <f t="shared" ref="AO610" si="1935">AD610/AC610-1</f>
        <v>-0.10357388316151195</v>
      </c>
      <c r="AP610" s="10">
        <f t="shared" ref="AP610" si="1936">AJ610-AI610</f>
        <v>-3.9613913333333417E-2</v>
      </c>
      <c r="AQ610" s="10">
        <f t="shared" ref="AQ610" si="1937">AL610-AK610</f>
        <v>1.0000000000000009E-2</v>
      </c>
      <c r="AR610" s="23">
        <v>-8.3999999999999995E-3</v>
      </c>
    </row>
    <row r="611" spans="2:44">
      <c r="B611" s="5">
        <f t="shared" si="1761"/>
        <v>45596</v>
      </c>
      <c r="C611" s="114">
        <v>1480.992644476305</v>
      </c>
      <c r="D611" s="2">
        <v>1271.25</v>
      </c>
      <c r="E611" s="2">
        <v>139.1</v>
      </c>
      <c r="F611" s="2">
        <v>126.35999999999997</v>
      </c>
      <c r="G611" s="2">
        <v>172.2</v>
      </c>
      <c r="H611" s="2">
        <v>151.13000000000002</v>
      </c>
      <c r="I611" s="10">
        <f t="shared" si="1921"/>
        <v>0.72761606269630263</v>
      </c>
      <c r="J611" s="10">
        <f t="shared" ref="J611" si="1938">D611/12/H611/N611</f>
        <v>0.71121634714599802</v>
      </c>
      <c r="K611" s="14">
        <f t="shared" ref="K611" si="1939">C611/24/DAY(B611)/10</f>
        <v>0.19905815113928832</v>
      </c>
      <c r="L611" s="14">
        <f t="shared" ref="L611" si="1940">D611/24/DAY(B611)/10</f>
        <v>0.17086693548387097</v>
      </c>
      <c r="M611" s="11">
        <v>0.98499999999999999</v>
      </c>
      <c r="N611" s="82">
        <v>0.98559231229215205</v>
      </c>
      <c r="O611" s="10">
        <v>0.99</v>
      </c>
      <c r="P611" s="17">
        <v>0.99374838709677416</v>
      </c>
      <c r="Q611" s="83">
        <f t="shared" ref="Q611" si="1941">R611-S611</f>
        <v>-1.9265292079585716E-2</v>
      </c>
      <c r="R611" s="81">
        <f t="shared" ref="R611" si="1942">D611/C611-1</f>
        <v>-0.14162301565682134</v>
      </c>
      <c r="S611" s="10">
        <f t="shared" ref="S611" si="1943">H611/G611-1</f>
        <v>-0.12235772357723562</v>
      </c>
      <c r="T611" s="10">
        <f t="shared" ref="T611" si="1944">N611-M611</f>
        <v>5.9231229215206405E-4</v>
      </c>
      <c r="U611" s="10">
        <f t="shared" ref="U611" si="1945">P611-O611</f>
        <v>3.7483870967741639E-3</v>
      </c>
      <c r="V611" s="23">
        <v>-1.9258064516128999E-2</v>
      </c>
      <c r="W611" s="83"/>
      <c r="X611" s="5">
        <f t="shared" si="1762"/>
        <v>45596</v>
      </c>
      <c r="Y611" s="43">
        <v>739.69560130013258</v>
      </c>
      <c r="Z611" s="2">
        <v>651.28200000000004</v>
      </c>
      <c r="AA611" s="2">
        <v>139.1</v>
      </c>
      <c r="AB611" s="2">
        <v>123.08999999999997</v>
      </c>
      <c r="AC611" s="2">
        <v>172.2</v>
      </c>
      <c r="AD611" s="2">
        <v>154.30000000000001</v>
      </c>
      <c r="AE611" s="10">
        <f t="shared" si="1930"/>
        <v>0.726829269570201</v>
      </c>
      <c r="AF611" s="10">
        <f t="shared" si="1931"/>
        <v>0.72757887364079743</v>
      </c>
      <c r="AG611" s="11">
        <f t="shared" si="1932"/>
        <v>0.19884290357530446</v>
      </c>
      <c r="AH611" s="11">
        <f t="shared" si="1933"/>
        <v>0.17507580645161291</v>
      </c>
      <c r="AI611" s="11">
        <v>0.98499999999999999</v>
      </c>
      <c r="AJ611" s="11">
        <v>0.96687831216363163</v>
      </c>
      <c r="AK611" s="10">
        <v>0.99</v>
      </c>
      <c r="AL611" s="17">
        <v>0.99528709677419358</v>
      </c>
      <c r="AM611" s="83">
        <f t="shared" ref="AM611:AM614" si="1946">AN611-AO611</f>
        <v>-1.5578110348793528E-2</v>
      </c>
      <c r="AN611" s="81">
        <f t="shared" ref="AN611" si="1947">Z611/Y611-1</f>
        <v>-0.11952700698061691</v>
      </c>
      <c r="AO611" s="10">
        <f t="shared" ref="AO611" si="1948">AD611/AC611-1</f>
        <v>-0.10394889663182338</v>
      </c>
      <c r="AP611" s="10">
        <f t="shared" ref="AP611" si="1949">AJ611-AI611</f>
        <v>-1.8121687836368361E-2</v>
      </c>
      <c r="AQ611" s="10">
        <f t="shared" ref="AQ611" si="1950">AL611-AK611</f>
        <v>5.2870967741935893E-3</v>
      </c>
      <c r="AR611" s="23">
        <v>-2.0799999999999999E-2</v>
      </c>
    </row>
    <row r="612" spans="2:44">
      <c r="B612" s="5">
        <f t="shared" si="1761"/>
        <v>45626</v>
      </c>
      <c r="C612" s="114">
        <v>1313.5733743632325</v>
      </c>
      <c r="D612" s="2">
        <v>926.42399999999998</v>
      </c>
      <c r="E612" s="2">
        <v>108.1</v>
      </c>
      <c r="F612" s="2">
        <v>82.050000000000011</v>
      </c>
      <c r="G612" s="2">
        <v>152.1</v>
      </c>
      <c r="H612" s="2">
        <v>108.30000000000001</v>
      </c>
      <c r="I612" s="10">
        <f t="shared" ref="I612" si="1951">C612/12/G612/M612</f>
        <v>0.73064706871049101</v>
      </c>
      <c r="J612" s="10">
        <f t="shared" ref="J612" si="1952">D612/12/H612/N612</f>
        <v>0.72598567731620334</v>
      </c>
      <c r="K612" s="14">
        <f t="shared" ref="K612" si="1953">C612/24/DAY(B612)/10</f>
        <v>0.18244074643933783</v>
      </c>
      <c r="L612" s="14">
        <f t="shared" ref="L612" si="1954">D612/24/DAY(B612)/10</f>
        <v>0.12867000000000001</v>
      </c>
      <c r="M612" s="11">
        <v>0.98499999999999999</v>
      </c>
      <c r="N612" s="82">
        <v>0.9819108115614853</v>
      </c>
      <c r="O612" s="10">
        <v>0.99</v>
      </c>
      <c r="P612" s="17">
        <v>1</v>
      </c>
      <c r="Q612" s="83">
        <f t="shared" ref="Q612:Q614" si="1955">R612-S612</f>
        <v>-6.7614772893958008E-3</v>
      </c>
      <c r="R612" s="81">
        <f t="shared" ref="R612" si="1956">D612/C612-1</f>
        <v>-0.29472991910399138</v>
      </c>
      <c r="S612" s="10">
        <f t="shared" ref="S612" si="1957">H612/G612-1</f>
        <v>-0.28796844181459558</v>
      </c>
      <c r="T612" s="10">
        <f t="shared" ref="T612" si="1958">N612-M612</f>
        <v>-3.0891884385146895E-3</v>
      </c>
      <c r="U612" s="10">
        <f t="shared" ref="U612" si="1959">P612-O612</f>
        <v>1.0000000000000009E-2</v>
      </c>
      <c r="V612" s="23">
        <v>-2.35E-2</v>
      </c>
      <c r="W612" s="83"/>
      <c r="X612" s="5">
        <f t="shared" si="1762"/>
        <v>45626</v>
      </c>
      <c r="Y612" s="43">
        <v>654.80447071614037</v>
      </c>
      <c r="Z612" s="2">
        <v>489.07799999999997</v>
      </c>
      <c r="AA612" s="2">
        <v>108.1</v>
      </c>
      <c r="AB612" s="2">
        <v>80.53</v>
      </c>
      <c r="AC612" s="2">
        <v>152.1</v>
      </c>
      <c r="AD612" s="2">
        <v>111.11000000000001</v>
      </c>
      <c r="AE612" s="10">
        <f t="shared" ref="AE612" si="1960">Y612/6/AC612/AI612</f>
        <v>0.72844193776262656</v>
      </c>
      <c r="AF612" s="10">
        <f t="shared" ref="AF612" si="1961">Z612/6/AD612/AJ612</f>
        <v>0.74593221783768393</v>
      </c>
      <c r="AG612" s="11">
        <f t="shared" ref="AG612" si="1962">Y612/24/DAY(X612)/5</f>
        <v>0.18189013075448343</v>
      </c>
      <c r="AH612" s="11">
        <f t="shared" ref="AH612" si="1963">Z612/24/DAY(X612)/5</f>
        <v>0.135855</v>
      </c>
      <c r="AI612" s="11">
        <v>0.98499999999999999</v>
      </c>
      <c r="AJ612" s="11">
        <v>0.98350000000000004</v>
      </c>
      <c r="AK612" s="10">
        <v>0.99</v>
      </c>
      <c r="AL612" s="17">
        <v>1</v>
      </c>
      <c r="AM612" s="83">
        <f t="shared" si="1946"/>
        <v>1.6400688732095214E-2</v>
      </c>
      <c r="AN612" s="81">
        <f t="shared" ref="AN612" si="1964">Z612/Y612-1</f>
        <v>-0.25309306537704335</v>
      </c>
      <c r="AO612" s="10">
        <f t="shared" ref="AO612" si="1965">AD612/AC612-1</f>
        <v>-0.26949375410913856</v>
      </c>
      <c r="AP612" s="10">
        <f t="shared" ref="AP612" si="1966">AJ612-AI612</f>
        <v>-1.4999999999999458E-3</v>
      </c>
      <c r="AQ612" s="10">
        <f t="shared" ref="AQ612" si="1967">AL612-AK612</f>
        <v>1.0000000000000009E-2</v>
      </c>
      <c r="AR612" s="23">
        <v>-2.3300000000000001E-2</v>
      </c>
    </row>
    <row r="613" spans="2:44">
      <c r="B613" s="5">
        <f t="shared" si="1761"/>
        <v>45657</v>
      </c>
      <c r="C613" s="114">
        <v>1105.1898147544075</v>
      </c>
      <c r="D613" s="2">
        <v>991.26599999999996</v>
      </c>
      <c r="E613" s="2">
        <v>89.9</v>
      </c>
      <c r="F613" s="2">
        <v>79.329999999999984</v>
      </c>
      <c r="G613" s="2">
        <v>129.6</v>
      </c>
      <c r="H613" s="2">
        <v>115.30999999999997</v>
      </c>
      <c r="I613" s="10">
        <f t="shared" ref="I613:I614" si="1968">C613/12/G613/M613</f>
        <v>0.72146355227747982</v>
      </c>
      <c r="J613" s="10">
        <f t="shared" ref="J613:J614" si="1969">D613/12/H613/N613</f>
        <v>0.720956297774488</v>
      </c>
      <c r="K613" s="14">
        <f t="shared" ref="K613:K614" si="1970">C613/24/DAY(B613)/10</f>
        <v>0.14854701811215154</v>
      </c>
      <c r="L613" s="14">
        <f t="shared" ref="L613:L614" si="1971">D613/24/DAY(B613)/10</f>
        <v>0.13323467741935482</v>
      </c>
      <c r="M613" s="11">
        <v>0.98499999999999999</v>
      </c>
      <c r="N613" s="82">
        <v>0.99364912000000005</v>
      </c>
      <c r="O613" s="10">
        <v>0.99</v>
      </c>
      <c r="P613" s="17">
        <v>1</v>
      </c>
      <c r="Q613" s="83">
        <f t="shared" si="1955"/>
        <v>7.1815778022985555E-3</v>
      </c>
      <c r="R613" s="81">
        <f t="shared" ref="R613:R614" si="1972">D613/C613-1</f>
        <v>-0.10308076787671394</v>
      </c>
      <c r="S613" s="10">
        <f t="shared" ref="S613:S614" si="1973">H613/G613-1</f>
        <v>-0.1102623456790125</v>
      </c>
      <c r="T613" s="10">
        <f t="shared" ref="T613:T614" si="1974">N613-M613</f>
        <v>8.6491200000000656E-3</v>
      </c>
      <c r="U613" s="10">
        <f t="shared" ref="U613:U614" si="1975">P613-O613</f>
        <v>1.0000000000000009E-2</v>
      </c>
      <c r="V613" s="23">
        <v>-1.9483870967741901E-2</v>
      </c>
      <c r="W613" s="83"/>
      <c r="X613" s="5">
        <f t="shared" si="1762"/>
        <v>45657</v>
      </c>
      <c r="Y613" s="43">
        <v>549.72943495833158</v>
      </c>
      <c r="Z613" s="2">
        <v>519.71100000000001</v>
      </c>
      <c r="AA613" s="2">
        <v>89.9</v>
      </c>
      <c r="AB613" s="2">
        <v>75.180000000000007</v>
      </c>
      <c r="AC613" s="2">
        <v>129.6</v>
      </c>
      <c r="AD613" s="2">
        <v>117.79</v>
      </c>
      <c r="AE613" s="10">
        <f t="shared" ref="AE613:AE614" si="1976">Y613/6/AC613/AI613</f>
        <v>0.71772241408986082</v>
      </c>
      <c r="AF613" s="10">
        <f t="shared" ref="AF613:AF614" si="1977">Z613/6/AD613/AJ613</f>
        <v>0.74021283274342276</v>
      </c>
      <c r="AG613" s="11">
        <f t="shared" ref="AG613:AG614" si="1978">Y613/24/DAY(X613)/5</f>
        <v>0.1477767298275085</v>
      </c>
      <c r="AH613" s="11">
        <f t="shared" ref="AH613:AH614" si="1979">Z613/24/DAY(X613)/5</f>
        <v>0.13970725806451612</v>
      </c>
      <c r="AI613" s="11">
        <v>0.98499999999999999</v>
      </c>
      <c r="AJ613" s="11">
        <v>0.99344911419354831</v>
      </c>
      <c r="AK613" s="10">
        <v>0.99</v>
      </c>
      <c r="AL613" s="17">
        <v>1</v>
      </c>
      <c r="AM613" s="83">
        <f t="shared" si="1946"/>
        <v>3.6520707958200505E-2</v>
      </c>
      <c r="AN613" s="81">
        <f t="shared" ref="AN613:AN614" si="1980">Z613/Y613-1</f>
        <v>-5.4605835251675949E-2</v>
      </c>
      <c r="AO613" s="10">
        <f t="shared" ref="AO613:AO614" si="1981">AD613/AC613-1</f>
        <v>-9.1126543209876454E-2</v>
      </c>
      <c r="AP613" s="10">
        <f t="shared" ref="AP613:AP614" si="1982">AJ613-AI613</f>
        <v>8.4491141935483238E-3</v>
      </c>
      <c r="AQ613" s="10">
        <f t="shared" ref="AQ613:AQ614" si="1983">AL613-AK613</f>
        <v>1.0000000000000009E-2</v>
      </c>
      <c r="AR613" s="23">
        <v>-1.22709677419355E-2</v>
      </c>
    </row>
    <row r="614" spans="2:44">
      <c r="B614" s="5">
        <f t="shared" si="1761"/>
        <v>45688</v>
      </c>
      <c r="C614" s="2">
        <v>932.19561652577511</v>
      </c>
      <c r="D614" s="2">
        <v>918.6</v>
      </c>
      <c r="E614" s="2">
        <v>79.599999999999994</v>
      </c>
      <c r="F614" s="2">
        <v>79.86999999999999</v>
      </c>
      <c r="G614" s="2">
        <v>103.2</v>
      </c>
      <c r="H614" s="2">
        <v>103.72</v>
      </c>
      <c r="I614" s="10">
        <f t="shared" si="1968"/>
        <v>0.76420501361325499</v>
      </c>
      <c r="J614" s="10">
        <f t="shared" si="1969"/>
        <v>0.74893099528813889</v>
      </c>
      <c r="K614" s="14">
        <f t="shared" si="1970"/>
        <v>0.12529510974808805</v>
      </c>
      <c r="L614" s="14">
        <f t="shared" si="1971"/>
        <v>0.12346774193548386</v>
      </c>
      <c r="M614" s="11">
        <v>0.98499999999999999</v>
      </c>
      <c r="N614" s="82">
        <v>0.98546426903225792</v>
      </c>
      <c r="O614" s="10">
        <v>0.99</v>
      </c>
      <c r="P614" s="17">
        <v>1</v>
      </c>
      <c r="Q614" s="83">
        <f t="shared" si="1955"/>
        <v>-1.9623269941585031E-2</v>
      </c>
      <c r="R614" s="81">
        <f t="shared" si="1972"/>
        <v>-1.458451025166263E-2</v>
      </c>
      <c r="S614" s="10">
        <f t="shared" si="1973"/>
        <v>5.0387596899224008E-3</v>
      </c>
      <c r="T614" s="10">
        <f t="shared" si="1974"/>
        <v>4.642690322579357E-4</v>
      </c>
      <c r="U614" s="10">
        <f t="shared" si="1975"/>
        <v>1.0000000000000009E-2</v>
      </c>
      <c r="V614" s="23">
        <v>-1.8519354838709701E-2</v>
      </c>
      <c r="X614" s="5">
        <f t="shared" si="1762"/>
        <v>45688</v>
      </c>
      <c r="Y614" s="43">
        <v>462.80945087670221</v>
      </c>
      <c r="Z614" s="2">
        <v>478.78800000000001</v>
      </c>
      <c r="AA614" s="2">
        <v>79.599999999999994</v>
      </c>
      <c r="AB614" s="2">
        <v>77.609999999999985</v>
      </c>
      <c r="AC614" s="2">
        <v>103.2</v>
      </c>
      <c r="AD614" s="2">
        <v>107.49000000000001</v>
      </c>
      <c r="AE614" s="10">
        <f t="shared" si="1976"/>
        <v>0.75881348600568976</v>
      </c>
      <c r="AF614" s="10">
        <f t="shared" si="1977"/>
        <v>0.74626944061038025</v>
      </c>
      <c r="AG614" s="11">
        <f t="shared" si="1978"/>
        <v>0.12441114270879092</v>
      </c>
      <c r="AH614" s="11">
        <f t="shared" si="1979"/>
        <v>0.12870645161290323</v>
      </c>
      <c r="AI614" s="11">
        <v>0.98499999999999999</v>
      </c>
      <c r="AJ614" s="11">
        <v>0.99478284193548405</v>
      </c>
      <c r="AK614" s="10">
        <v>0.99</v>
      </c>
      <c r="AL614" s="17">
        <v>1</v>
      </c>
      <c r="AM614" s="83">
        <f t="shared" si="1946"/>
        <v>-7.0446532873644774E-3</v>
      </c>
      <c r="AN614" s="81">
        <f t="shared" si="1980"/>
        <v>3.4525114154495995E-2</v>
      </c>
      <c r="AO614" s="10">
        <f t="shared" si="1981"/>
        <v>4.1569767441860472E-2</v>
      </c>
      <c r="AP614" s="10">
        <f t="shared" si="1982"/>
        <v>9.7828419354840657E-3</v>
      </c>
      <c r="AQ614" s="10">
        <f t="shared" si="1983"/>
        <v>1.0000000000000009E-2</v>
      </c>
      <c r="AR614" s="23">
        <v>-9.2774193548387108E-3</v>
      </c>
    </row>
    <row r="615" spans="2:44">
      <c r="B615" s="5">
        <f t="shared" si="1761"/>
        <v>45716</v>
      </c>
      <c r="C615" s="2">
        <v>1220.1701190407477</v>
      </c>
      <c r="D615" s="2"/>
      <c r="E615" s="2">
        <v>108.10000000000001</v>
      </c>
      <c r="F615" s="2"/>
      <c r="G615" s="2">
        <v>137.5</v>
      </c>
      <c r="H615" s="2"/>
      <c r="I615" s="12"/>
      <c r="J615" s="10"/>
      <c r="K615" s="12"/>
      <c r="L615" s="12"/>
      <c r="M615" s="12"/>
      <c r="N615" s="10"/>
      <c r="O615" s="10"/>
      <c r="P615" s="23"/>
      <c r="Q615" s="83"/>
      <c r="R615" s="81"/>
      <c r="S615" s="10"/>
      <c r="T615" s="10"/>
      <c r="U615" s="10"/>
      <c r="V615" s="23"/>
      <c r="X615" s="5">
        <f t="shared" si="1762"/>
        <v>45716</v>
      </c>
      <c r="Y615" s="43">
        <v>607.52508275161631</v>
      </c>
      <c r="Z615" s="2"/>
      <c r="AA615" s="2">
        <v>108.10000000000001</v>
      </c>
      <c r="AB615" s="2"/>
      <c r="AC615" s="2">
        <v>137.5</v>
      </c>
      <c r="AD615" s="2"/>
      <c r="AE615" s="12"/>
      <c r="AF615" s="10"/>
      <c r="AG615" s="12"/>
      <c r="AH615" s="12"/>
      <c r="AI615" s="12"/>
      <c r="AJ615" s="10"/>
      <c r="AK615" s="10"/>
      <c r="AL615" s="23"/>
      <c r="AM615" s="83"/>
      <c r="AN615" s="81"/>
      <c r="AO615" s="10"/>
      <c r="AP615" s="10"/>
      <c r="AQ615" s="10"/>
      <c r="AR615" s="23"/>
    </row>
    <row r="616" spans="2:44">
      <c r="B616" s="5">
        <f t="shared" si="1761"/>
        <v>45747</v>
      </c>
      <c r="C616" s="2">
        <v>1632.195176485247</v>
      </c>
      <c r="D616" s="2"/>
      <c r="E616" s="2">
        <v>159.81</v>
      </c>
      <c r="F616" s="2"/>
      <c r="G616" s="2">
        <v>187.79999999999998</v>
      </c>
      <c r="H616" s="2"/>
      <c r="I616" s="12"/>
      <c r="J616" s="10"/>
      <c r="K616" s="12"/>
      <c r="L616" s="12"/>
      <c r="M616" s="12"/>
      <c r="N616" s="10"/>
      <c r="O616" s="10"/>
      <c r="P616" s="23"/>
      <c r="Q616" s="83"/>
      <c r="R616" s="81"/>
      <c r="S616" s="10"/>
      <c r="T616" s="10"/>
      <c r="U616" s="10"/>
      <c r="V616" s="23"/>
      <c r="X616" s="5">
        <f t="shared" si="1762"/>
        <v>45747</v>
      </c>
      <c r="Y616" s="43">
        <v>814.85237576424845</v>
      </c>
      <c r="Z616" s="2"/>
      <c r="AA616" s="2">
        <v>159.81</v>
      </c>
      <c r="AB616" s="2"/>
      <c r="AC616" s="2">
        <v>187.79999999999998</v>
      </c>
      <c r="AD616" s="2"/>
      <c r="AE616" s="12"/>
      <c r="AF616" s="10"/>
      <c r="AG616" s="12"/>
      <c r="AH616" s="12"/>
      <c r="AI616" s="12"/>
      <c r="AJ616" s="10"/>
      <c r="AK616" s="10"/>
      <c r="AL616" s="23"/>
      <c r="AM616" s="83"/>
      <c r="AN616" s="81"/>
      <c r="AO616" s="10"/>
      <c r="AP616" s="10"/>
      <c r="AQ616" s="10"/>
      <c r="AR616" s="23"/>
    </row>
    <row r="617" spans="2:44">
      <c r="B617" s="5">
        <f t="shared" si="1761"/>
        <v>45777</v>
      </c>
      <c r="C617" s="2">
        <v>1686.2457754188265</v>
      </c>
      <c r="D617" s="2"/>
      <c r="E617" s="2">
        <v>190.20000000000002</v>
      </c>
      <c r="F617" s="2"/>
      <c r="G617" s="2">
        <v>194</v>
      </c>
      <c r="H617" s="2"/>
      <c r="I617" s="12"/>
      <c r="J617" s="10"/>
      <c r="K617" s="12"/>
      <c r="L617" s="12"/>
      <c r="M617" s="12"/>
      <c r="N617" s="10"/>
      <c r="O617" s="10"/>
      <c r="P617" s="23"/>
      <c r="Q617" s="83"/>
      <c r="R617" s="81"/>
      <c r="S617" s="10"/>
      <c r="T617" s="10"/>
      <c r="U617" s="10"/>
      <c r="V617" s="23"/>
      <c r="X617" s="5">
        <f t="shared" si="1762"/>
        <v>45777</v>
      </c>
      <c r="Y617" s="43">
        <v>843.20482609076214</v>
      </c>
      <c r="Z617" s="2"/>
      <c r="AA617" s="2">
        <v>190.20000000000002</v>
      </c>
      <c r="AB617" s="2"/>
      <c r="AC617" s="2">
        <v>194</v>
      </c>
      <c r="AD617" s="2"/>
      <c r="AE617" s="12"/>
      <c r="AF617" s="10"/>
      <c r="AG617" s="12"/>
      <c r="AH617" s="12"/>
      <c r="AI617" s="12"/>
      <c r="AJ617" s="10"/>
      <c r="AK617" s="10"/>
      <c r="AL617" s="23"/>
      <c r="AM617" s="83"/>
      <c r="AN617" s="81"/>
      <c r="AO617" s="10"/>
      <c r="AP617" s="10"/>
      <c r="AQ617" s="10"/>
      <c r="AR617" s="23"/>
    </row>
    <row r="618" spans="2:44">
      <c r="B618" s="5">
        <f t="shared" si="1761"/>
        <v>45808</v>
      </c>
      <c r="C618" s="2">
        <v>1708.3976602276707</v>
      </c>
      <c r="D618" s="2"/>
      <c r="E618" s="2">
        <v>197</v>
      </c>
      <c r="F618" s="2"/>
      <c r="G618" s="2">
        <v>197.70000000000002</v>
      </c>
      <c r="H618" s="2"/>
      <c r="I618" s="12"/>
      <c r="J618" s="10"/>
      <c r="K618" s="12"/>
      <c r="L618" s="12"/>
      <c r="M618" s="12"/>
      <c r="N618" s="10"/>
      <c r="O618" s="10"/>
      <c r="P618" s="23"/>
      <c r="Q618" s="83"/>
      <c r="R618" s="81"/>
      <c r="S618" s="10"/>
      <c r="T618" s="10"/>
      <c r="U618" s="10"/>
      <c r="V618" s="23"/>
      <c r="X618" s="5">
        <f t="shared" si="1762"/>
        <v>45808</v>
      </c>
      <c r="Y618" s="43">
        <v>854.42767101167397</v>
      </c>
      <c r="Z618" s="2"/>
      <c r="AA618" s="2">
        <v>197</v>
      </c>
      <c r="AB618" s="2"/>
      <c r="AC618" s="2">
        <v>197.70000000000002</v>
      </c>
      <c r="AD618" s="2"/>
      <c r="AE618" s="12"/>
      <c r="AF618" s="10"/>
      <c r="AG618" s="12"/>
      <c r="AH618" s="12"/>
      <c r="AI618" s="12"/>
      <c r="AJ618" s="10"/>
      <c r="AK618" s="10"/>
      <c r="AL618" s="23"/>
      <c r="AM618" s="83"/>
      <c r="AN618" s="81"/>
      <c r="AO618" s="10"/>
      <c r="AP618" s="10"/>
      <c r="AQ618" s="10"/>
      <c r="AR618" s="23"/>
    </row>
    <row r="619" spans="2:44">
      <c r="B619" s="5">
        <f t="shared" si="1761"/>
        <v>45838</v>
      </c>
      <c r="C619" s="2">
        <v>1536.4990341110401</v>
      </c>
      <c r="D619" s="2"/>
      <c r="E619" s="2">
        <v>178.90000000000003</v>
      </c>
      <c r="F619" s="2"/>
      <c r="G619" s="2">
        <v>177.20000000000002</v>
      </c>
      <c r="H619" s="2"/>
      <c r="I619" s="12"/>
      <c r="J619" s="10"/>
      <c r="K619" s="12"/>
      <c r="L619" s="12"/>
      <c r="M619" s="12"/>
      <c r="N619" s="10"/>
      <c r="O619" s="10"/>
      <c r="P619" s="23"/>
      <c r="Q619" s="83"/>
      <c r="R619" s="81"/>
      <c r="S619" s="10"/>
      <c r="T619" s="10"/>
      <c r="U619" s="10"/>
      <c r="V619" s="23"/>
      <c r="X619" s="5">
        <f t="shared" si="1762"/>
        <v>45838</v>
      </c>
      <c r="Y619" s="43">
        <v>767.00761583825624</v>
      </c>
      <c r="Z619" s="2"/>
      <c r="AA619" s="2">
        <v>178.90000000000003</v>
      </c>
      <c r="AB619" s="2"/>
      <c r="AC619" s="2">
        <v>177.20000000000002</v>
      </c>
      <c r="AD619" s="2"/>
      <c r="AE619" s="12"/>
      <c r="AF619" s="10"/>
      <c r="AG619" s="12"/>
      <c r="AH619" s="12"/>
      <c r="AI619" s="12"/>
      <c r="AJ619" s="10"/>
      <c r="AK619" s="10"/>
      <c r="AL619" s="23"/>
      <c r="AM619" s="83"/>
      <c r="AN619" s="81"/>
      <c r="AO619" s="10"/>
      <c r="AP619" s="10"/>
      <c r="AQ619" s="10"/>
      <c r="AR619" s="23"/>
    </row>
    <row r="620" spans="2:44">
      <c r="B620" s="5">
        <f t="shared" si="1761"/>
        <v>45869</v>
      </c>
      <c r="C620" s="2">
        <v>1362.828257209703</v>
      </c>
      <c r="D620" s="2"/>
      <c r="E620" s="2">
        <v>155.5</v>
      </c>
      <c r="F620" s="2"/>
      <c r="G620" s="2">
        <v>154.6</v>
      </c>
      <c r="H620" s="2"/>
      <c r="I620" s="12"/>
      <c r="J620" s="10"/>
      <c r="K620" s="12"/>
      <c r="L620" s="12"/>
      <c r="M620" s="12"/>
      <c r="N620" s="10"/>
      <c r="O620" s="10"/>
      <c r="P620" s="23"/>
      <c r="Q620" s="83"/>
      <c r="R620" s="81"/>
      <c r="S620" s="10"/>
      <c r="T620" s="10"/>
      <c r="U620" s="10"/>
      <c r="V620" s="23"/>
      <c r="X620" s="5">
        <f t="shared" si="1762"/>
        <v>45869</v>
      </c>
      <c r="Y620" s="43">
        <v>678.9968846163697</v>
      </c>
      <c r="Z620" s="2"/>
      <c r="AA620" s="2">
        <v>155.5</v>
      </c>
      <c r="AB620" s="2"/>
      <c r="AC620" s="2">
        <v>154.6</v>
      </c>
      <c r="AD620" s="2"/>
      <c r="AE620" s="12"/>
      <c r="AF620" s="10"/>
      <c r="AG620" s="12"/>
      <c r="AH620" s="12"/>
      <c r="AI620" s="12"/>
      <c r="AJ620" s="10"/>
      <c r="AK620" s="10"/>
      <c r="AL620" s="23"/>
      <c r="AM620" s="83"/>
      <c r="AN620" s="81"/>
      <c r="AO620" s="10"/>
      <c r="AP620" s="10"/>
      <c r="AQ620" s="10"/>
      <c r="AR620" s="23"/>
    </row>
    <row r="621" spans="2:44">
      <c r="B621" s="5">
        <f t="shared" si="1761"/>
        <v>45900</v>
      </c>
      <c r="C621" s="2">
        <v>1294.6004519984635</v>
      </c>
      <c r="D621" s="2"/>
      <c r="E621" s="2">
        <v>145.4</v>
      </c>
      <c r="F621" s="2"/>
      <c r="G621" s="2">
        <v>146.29999999999998</v>
      </c>
      <c r="H621" s="2"/>
      <c r="I621" s="12"/>
      <c r="J621" s="10"/>
      <c r="K621" s="12"/>
      <c r="L621" s="12"/>
      <c r="M621" s="12"/>
      <c r="N621" s="10"/>
      <c r="O621" s="10"/>
      <c r="P621" s="23"/>
      <c r="Q621" s="83"/>
      <c r="R621" s="81"/>
      <c r="S621" s="10"/>
      <c r="T621" s="10"/>
      <c r="U621" s="10"/>
      <c r="V621" s="23"/>
      <c r="X621" s="5">
        <f t="shared" si="1762"/>
        <v>45900</v>
      </c>
      <c r="Y621" s="43">
        <v>644.44233578093122</v>
      </c>
      <c r="Z621" s="2"/>
      <c r="AA621" s="2">
        <v>145.4</v>
      </c>
      <c r="AB621" s="2"/>
      <c r="AC621" s="2">
        <v>146.29999999999998</v>
      </c>
      <c r="AD621" s="2"/>
      <c r="AE621" s="12"/>
      <c r="AF621" s="10"/>
      <c r="AG621" s="12"/>
      <c r="AH621" s="12"/>
      <c r="AI621" s="12"/>
      <c r="AJ621" s="10"/>
      <c r="AK621" s="10"/>
      <c r="AL621" s="23"/>
      <c r="AM621" s="83"/>
      <c r="AN621" s="81"/>
      <c r="AO621" s="10"/>
      <c r="AP621" s="10"/>
      <c r="AQ621" s="10"/>
      <c r="AR621" s="23"/>
    </row>
    <row r="622" spans="2:44">
      <c r="B622" s="5">
        <f t="shared" si="1761"/>
        <v>45930</v>
      </c>
      <c r="C622" s="2">
        <v>1289.2839996443411</v>
      </c>
      <c r="D622" s="2"/>
      <c r="E622" s="2">
        <v>141.6</v>
      </c>
      <c r="F622" s="2"/>
      <c r="G622" s="2">
        <v>145.5</v>
      </c>
      <c r="H622" s="2"/>
      <c r="I622" s="12"/>
      <c r="J622" s="10"/>
      <c r="K622" s="12"/>
      <c r="L622" s="12"/>
      <c r="M622" s="12"/>
      <c r="N622" s="10"/>
      <c r="O622" s="10"/>
      <c r="P622" s="23"/>
      <c r="Q622" s="83"/>
      <c r="R622" s="81"/>
      <c r="S622" s="10"/>
      <c r="T622" s="10"/>
      <c r="U622" s="10"/>
      <c r="V622" s="23"/>
      <c r="X622" s="5">
        <f t="shared" si="1762"/>
        <v>45930</v>
      </c>
      <c r="Y622" s="43">
        <v>642.37496961128954</v>
      </c>
      <c r="Z622" s="2"/>
      <c r="AA622" s="2">
        <v>141.6</v>
      </c>
      <c r="AB622" s="2"/>
      <c r="AC622" s="2">
        <v>145.5</v>
      </c>
      <c r="AD622" s="2"/>
      <c r="AE622" s="12"/>
      <c r="AF622" s="10"/>
      <c r="AG622" s="12"/>
      <c r="AH622" s="12"/>
      <c r="AI622" s="12"/>
      <c r="AJ622" s="10"/>
      <c r="AK622" s="10"/>
      <c r="AL622" s="23"/>
      <c r="AM622" s="83"/>
      <c r="AN622" s="81"/>
      <c r="AO622" s="10"/>
      <c r="AP622" s="10"/>
      <c r="AQ622" s="10"/>
      <c r="AR622" s="23"/>
    </row>
    <row r="623" spans="2:44">
      <c r="B623" s="5">
        <f t="shared" si="1761"/>
        <v>45961</v>
      </c>
      <c r="C623" s="2">
        <v>1473.5876812539236</v>
      </c>
      <c r="D623" s="2"/>
      <c r="E623" s="2">
        <v>139.1</v>
      </c>
      <c r="F623" s="2"/>
      <c r="G623" s="2">
        <v>172.20000000000002</v>
      </c>
      <c r="H623" s="2"/>
      <c r="I623" s="12"/>
      <c r="J623" s="10"/>
      <c r="K623" s="12"/>
      <c r="L623" s="12"/>
      <c r="M623" s="12"/>
      <c r="N623" s="10"/>
      <c r="O623" s="10"/>
      <c r="P623" s="23"/>
      <c r="Q623" s="83"/>
      <c r="R623" s="81"/>
      <c r="S623" s="10"/>
      <c r="T623" s="10"/>
      <c r="U623" s="10"/>
      <c r="V623" s="23"/>
      <c r="X623" s="5">
        <f t="shared" si="1762"/>
        <v>45961</v>
      </c>
      <c r="Y623" s="43">
        <v>735.99712329363194</v>
      </c>
      <c r="Z623" s="2"/>
      <c r="AA623" s="2">
        <v>139.1</v>
      </c>
      <c r="AB623" s="2"/>
      <c r="AC623" s="2">
        <v>172.20000000000002</v>
      </c>
      <c r="AD623" s="2"/>
      <c r="AE623" s="12"/>
      <c r="AF623" s="10"/>
      <c r="AG623" s="12"/>
      <c r="AH623" s="12"/>
      <c r="AI623" s="12"/>
      <c r="AJ623" s="10"/>
      <c r="AK623" s="10"/>
      <c r="AL623" s="23"/>
      <c r="AM623" s="83"/>
      <c r="AN623" s="81"/>
      <c r="AO623" s="10"/>
      <c r="AP623" s="10"/>
      <c r="AQ623" s="10"/>
      <c r="AR623" s="23"/>
    </row>
    <row r="624" spans="2:44">
      <c r="B624" s="5">
        <f t="shared" si="1761"/>
        <v>45991</v>
      </c>
      <c r="C624" s="2">
        <v>1307.0055074914162</v>
      </c>
      <c r="D624" s="2"/>
      <c r="E624" s="2">
        <v>108.10000000000001</v>
      </c>
      <c r="F624" s="2"/>
      <c r="G624" s="2">
        <v>152.1</v>
      </c>
      <c r="H624" s="2"/>
      <c r="I624" s="12"/>
      <c r="J624" s="10"/>
      <c r="K624" s="12"/>
      <c r="L624" s="12"/>
      <c r="M624" s="12"/>
      <c r="N624" s="10"/>
      <c r="O624" s="10"/>
      <c r="P624" s="23"/>
      <c r="Q624" s="83"/>
      <c r="R624" s="81"/>
      <c r="S624" s="10"/>
      <c r="T624" s="10"/>
      <c r="U624" s="10"/>
      <c r="V624" s="23"/>
      <c r="X624" s="5">
        <f t="shared" si="1762"/>
        <v>45991</v>
      </c>
      <c r="Y624" s="43">
        <v>651.5304483625597</v>
      </c>
      <c r="Z624" s="2"/>
      <c r="AA624" s="2">
        <v>108.10000000000001</v>
      </c>
      <c r="AB624" s="2"/>
      <c r="AC624" s="2">
        <v>152.1</v>
      </c>
      <c r="AD624" s="2"/>
      <c r="AE624" s="12"/>
      <c r="AF624" s="10"/>
      <c r="AG624" s="12"/>
      <c r="AH624" s="12"/>
      <c r="AI624" s="12"/>
      <c r="AJ624" s="10"/>
      <c r="AK624" s="10"/>
      <c r="AL624" s="23"/>
      <c r="AM624" s="83"/>
      <c r="AN624" s="81"/>
      <c r="AO624" s="10"/>
      <c r="AP624" s="10"/>
      <c r="AQ624" s="10"/>
      <c r="AR624" s="23"/>
    </row>
    <row r="625" spans="1:88">
      <c r="B625" s="5">
        <f t="shared" si="1761"/>
        <v>46022</v>
      </c>
      <c r="C625" s="2">
        <v>1099.6638656806356</v>
      </c>
      <c r="D625" s="2"/>
      <c r="E625" s="2">
        <v>89.899999999999991</v>
      </c>
      <c r="F625" s="2"/>
      <c r="G625" s="2">
        <v>129.6</v>
      </c>
      <c r="H625" s="2"/>
      <c r="I625" s="12"/>
      <c r="J625" s="10"/>
      <c r="K625" s="12"/>
      <c r="L625" s="12"/>
      <c r="M625" s="12"/>
      <c r="N625" s="10"/>
      <c r="O625" s="10"/>
      <c r="P625" s="23"/>
      <c r="Q625" s="83"/>
      <c r="R625" s="81"/>
      <c r="S625" s="10"/>
      <c r="T625" s="10"/>
      <c r="U625" s="10"/>
      <c r="V625" s="23"/>
      <c r="X625" s="5">
        <f t="shared" si="1762"/>
        <v>46022</v>
      </c>
      <c r="Y625" s="43">
        <v>546.98078778353988</v>
      </c>
      <c r="Z625" s="2"/>
      <c r="AA625" s="2">
        <v>89.899999999999991</v>
      </c>
      <c r="AB625" s="2"/>
      <c r="AC625" s="2">
        <v>129.6</v>
      </c>
      <c r="AD625" s="2"/>
      <c r="AE625" s="12"/>
      <c r="AF625" s="10"/>
      <c r="AG625" s="12"/>
      <c r="AH625" s="12"/>
      <c r="AI625" s="12"/>
      <c r="AJ625" s="10"/>
      <c r="AK625" s="10"/>
      <c r="AL625" s="23"/>
      <c r="AM625" s="83"/>
      <c r="AN625" s="81"/>
      <c r="AO625" s="10"/>
      <c r="AP625" s="10"/>
      <c r="AQ625" s="10"/>
      <c r="AR625" s="23"/>
    </row>
    <row r="626" spans="1:88" hidden="1">
      <c r="B626" s="60" t="s">
        <v>43</v>
      </c>
      <c r="C626" s="58">
        <f t="shared" ref="C626:H626" si="1984">SUM(C518:C529)</f>
        <v>14122.336829261545</v>
      </c>
      <c r="D626" s="58">
        <f t="shared" si="1984"/>
        <v>10486.248</v>
      </c>
      <c r="E626" s="58">
        <f t="shared" si="1984"/>
        <v>1694.7999999999997</v>
      </c>
      <c r="F626" s="58">
        <f t="shared" si="1984"/>
        <v>858.24</v>
      </c>
      <c r="G626" s="58">
        <f t="shared" si="1984"/>
        <v>1897.6999999999998</v>
      </c>
      <c r="H626" s="58">
        <f t="shared" si="1984"/>
        <v>928.15999999999985</v>
      </c>
      <c r="I626" s="59">
        <f t="shared" ref="I626:P626" si="1985">AVERAGE(I518:I529)</f>
        <v>0.80564587140358757</v>
      </c>
      <c r="J626" s="59">
        <f t="shared" si="1985"/>
        <v>0.75617878485880807</v>
      </c>
      <c r="K626" s="59">
        <f t="shared" si="1985"/>
        <v>0.21411482027252593</v>
      </c>
      <c r="L626" s="59">
        <f t="shared" si="1985"/>
        <v>0.15703860215053764</v>
      </c>
      <c r="M626" s="59">
        <f t="shared" si="1985"/>
        <v>0.98499999999999988</v>
      </c>
      <c r="N626" s="59">
        <f t="shared" si="1985"/>
        <v>0.92479560285714268</v>
      </c>
      <c r="O626" s="59">
        <f t="shared" si="1985"/>
        <v>0.9900000000000001</v>
      </c>
      <c r="P626" s="61">
        <f t="shared" si="1985"/>
        <v>0.9897999999999999</v>
      </c>
      <c r="Q626" s="83">
        <f t="shared" ref="Q626:Q632" si="1986">R626-S626</f>
        <v>0.25343190932866377</v>
      </c>
      <c r="R626" s="65">
        <f t="shared" ref="R626:R634" si="1987">D626/C626-1</f>
        <v>-0.25747076232649779</v>
      </c>
      <c r="S626" s="59">
        <f t="shared" ref="S626:S634" si="1988">H626/G626-1</f>
        <v>-0.51090267165516157</v>
      </c>
      <c r="T626" s="59">
        <f t="shared" ref="T626:T634" si="1989">N626-M626</f>
        <v>-6.0204397142857191E-2</v>
      </c>
      <c r="U626" s="59">
        <f t="shared" ref="U626:U634" si="1990">P626-O626</f>
        <v>-2.0000000000020002E-4</v>
      </c>
      <c r="V626" s="61" t="e">
        <f>AVERAGE(V518:V529)</f>
        <v>#DIV/0!</v>
      </c>
      <c r="W626" s="83"/>
      <c r="X626" s="60" t="s">
        <v>43</v>
      </c>
      <c r="Y626" s="58">
        <f t="shared" ref="Y626:AD626" si="1991">SUM(Y518:Y529)</f>
        <v>7046.1150059926549</v>
      </c>
      <c r="Z626" s="58">
        <f t="shared" si="1991"/>
        <v>4455.78</v>
      </c>
      <c r="AA626" s="58">
        <f t="shared" si="1991"/>
        <v>1694.7999999999997</v>
      </c>
      <c r="AB626" s="58">
        <f t="shared" si="1991"/>
        <v>753.69000000000017</v>
      </c>
      <c r="AC626" s="58">
        <f t="shared" si="1991"/>
        <v>1897.6999999999998</v>
      </c>
      <c r="AD626" s="58">
        <f t="shared" si="1991"/>
        <v>926.73</v>
      </c>
      <c r="AE626" s="59">
        <f t="shared" ref="AE626:AL626" si="1992">AVERAGE(AE518:AE529)</f>
        <v>0.80311806892679083</v>
      </c>
      <c r="AF626" s="59">
        <f t="shared" si="1992"/>
        <v>0.68482743292458237</v>
      </c>
      <c r="AG626" s="59">
        <f t="shared" si="1992"/>
        <v>0.19953761426297567</v>
      </c>
      <c r="AH626" s="59">
        <f t="shared" si="1992"/>
        <v>0.12711703405017921</v>
      </c>
      <c r="AI626" s="59">
        <f t="shared" si="1992"/>
        <v>0.98499999999999988</v>
      </c>
      <c r="AJ626" s="59">
        <f t="shared" si="1992"/>
        <v>0.86442005285714274</v>
      </c>
      <c r="AK626" s="59">
        <f t="shared" si="1992"/>
        <v>0.9900000000000001</v>
      </c>
      <c r="AL626" s="61">
        <f t="shared" si="1992"/>
        <v>0.98837142857142857</v>
      </c>
      <c r="AM626" s="83">
        <f t="shared" ref="AM626:AM632" si="1993">AN626-AO626</f>
        <v>0.1440302252397363</v>
      </c>
      <c r="AN626" s="65">
        <f t="shared" ref="AN626:AN634" si="1994">Z626/Y626-1</f>
        <v>-0.36762599017892827</v>
      </c>
      <c r="AO626" s="59">
        <f t="shared" ref="AO626:AO634" si="1995">AD626/AC626-1</f>
        <v>-0.51165621541866457</v>
      </c>
      <c r="AP626" s="59">
        <f t="shared" ref="AP626:AP634" si="1996">AJ626-AI626</f>
        <v>-0.12057994714285714</v>
      </c>
      <c r="AQ626" s="59">
        <f t="shared" ref="AQ626:AQ634" si="1997">AL626-AK626</f>
        <v>-1.6285714285715347E-3</v>
      </c>
      <c r="AR626" s="61" t="e">
        <f>AVERAGE(AR518:AR529)</f>
        <v>#DIV/0!</v>
      </c>
    </row>
    <row r="627" spans="1:88" hidden="1">
      <c r="B627" s="60" t="s">
        <v>44</v>
      </c>
      <c r="C627" s="58">
        <f t="shared" ref="C627:H627" si="1998">SUM(C530:C541)</f>
        <v>17383.231724747187</v>
      </c>
      <c r="D627" s="58">
        <f t="shared" si="1998"/>
        <v>15397.694</v>
      </c>
      <c r="E627" s="58">
        <f t="shared" si="1998"/>
        <v>1694.7999999999997</v>
      </c>
      <c r="F627" s="58">
        <f t="shared" si="1998"/>
        <v>1495.0499999999997</v>
      </c>
      <c r="G627" s="58">
        <f t="shared" si="1998"/>
        <v>1897.6999999999998</v>
      </c>
      <c r="H627" s="58">
        <f t="shared" si="1998"/>
        <v>1648.57</v>
      </c>
      <c r="I627" s="59">
        <f t="shared" ref="I627:P627" si="1999">AVERAGE(I530:I541)</f>
        <v>0.7753419597224821</v>
      </c>
      <c r="J627" s="59">
        <f t="shared" si="1999"/>
        <v>0.797387028212177</v>
      </c>
      <c r="K627" s="59">
        <f t="shared" si="1999"/>
        <v>0.19856821149730353</v>
      </c>
      <c r="L627" s="59">
        <f t="shared" si="1999"/>
        <v>0.17597898217485919</v>
      </c>
      <c r="M627" s="59">
        <f t="shared" si="1999"/>
        <v>0.98499999999999988</v>
      </c>
      <c r="N627" s="59">
        <f t="shared" si="1999"/>
        <v>0.97412031666666676</v>
      </c>
      <c r="O627" s="59">
        <f t="shared" si="1999"/>
        <v>0.9900000000000001</v>
      </c>
      <c r="P627" s="61">
        <f t="shared" si="1999"/>
        <v>0.98900833333333338</v>
      </c>
      <c r="Q627" s="83">
        <f t="shared" si="1986"/>
        <v>1.7058532487179923E-2</v>
      </c>
      <c r="R627" s="65">
        <f t="shared" si="1987"/>
        <v>-0.11422143800341389</v>
      </c>
      <c r="S627" s="59">
        <f t="shared" si="1988"/>
        <v>-0.13127997049059381</v>
      </c>
      <c r="T627" s="59">
        <f t="shared" si="1989"/>
        <v>-1.0879683333333112E-2</v>
      </c>
      <c r="U627" s="59">
        <f t="shared" si="1990"/>
        <v>-9.9166666666672398E-4</v>
      </c>
      <c r="V627" s="61" t="e">
        <f>AVERAGE(V530:V541)</f>
        <v>#DIV/0!</v>
      </c>
      <c r="W627" s="83"/>
      <c r="X627" s="60" t="s">
        <v>44</v>
      </c>
      <c r="Y627" s="58">
        <f t="shared" ref="Y627:AD627" si="2000">SUM(Y530:Y541)</f>
        <v>8669.6378239920341</v>
      </c>
      <c r="Z627" s="58">
        <f t="shared" si="2000"/>
        <v>8040.1730000000007</v>
      </c>
      <c r="AA627" s="58">
        <f t="shared" si="2000"/>
        <v>1694.7999999999997</v>
      </c>
      <c r="AB627" s="58">
        <f t="shared" si="2000"/>
        <v>1529.3900000000003</v>
      </c>
      <c r="AC627" s="58">
        <f t="shared" si="2000"/>
        <v>1897.6999999999998</v>
      </c>
      <c r="AD627" s="58">
        <f t="shared" si="2000"/>
        <v>1684.1000000000001</v>
      </c>
      <c r="AE627" s="59">
        <f t="shared" ref="AE627:AL627" si="2001">AVERAGE(AE530:AE541)</f>
        <v>0.77302588333448374</v>
      </c>
      <c r="AF627" s="59">
        <f t="shared" si="2001"/>
        <v>0.8129557367219572</v>
      </c>
      <c r="AG627" s="59">
        <f t="shared" si="2001"/>
        <v>0.19806513272530382</v>
      </c>
      <c r="AH627" s="59">
        <f t="shared" si="2001"/>
        <v>0.18371899049539167</v>
      </c>
      <c r="AI627" s="59">
        <f t="shared" si="2001"/>
        <v>0.98499999999999988</v>
      </c>
      <c r="AJ627" s="59">
        <f t="shared" si="2001"/>
        <v>0.96822116583333351</v>
      </c>
      <c r="AK627" s="59">
        <f t="shared" si="2001"/>
        <v>0.9900000000000001</v>
      </c>
      <c r="AL627" s="61">
        <f t="shared" si="2001"/>
        <v>0.98919166666666669</v>
      </c>
      <c r="AM627" s="83">
        <f t="shared" si="1993"/>
        <v>3.995164069696755E-2</v>
      </c>
      <c r="AN627" s="65">
        <f t="shared" si="1994"/>
        <v>-7.2605665515816153E-2</v>
      </c>
      <c r="AO627" s="59">
        <f t="shared" si="1995"/>
        <v>-0.1125573062127837</v>
      </c>
      <c r="AP627" s="59">
        <f t="shared" si="1996"/>
        <v>-1.6778834166666368E-2</v>
      </c>
      <c r="AQ627" s="59">
        <f t="shared" si="1997"/>
        <v>-8.0833333333341084E-4</v>
      </c>
      <c r="AR627" s="61" t="e">
        <f>AVERAGE(AR530:AR541)</f>
        <v>#DIV/0!</v>
      </c>
    </row>
    <row r="628" spans="1:88" hidden="1">
      <c r="B628" s="60" t="s">
        <v>45</v>
      </c>
      <c r="C628" s="58">
        <f t="shared" ref="C628:H628" si="2002">SUM(C542:C553)</f>
        <v>17047.755357436923</v>
      </c>
      <c r="D628" s="58">
        <f t="shared" si="2002"/>
        <v>14943.035999999996</v>
      </c>
      <c r="E628" s="58">
        <f t="shared" si="2002"/>
        <v>1694.7999999999997</v>
      </c>
      <c r="F628" s="58">
        <f t="shared" si="2002"/>
        <v>1589.3700000000001</v>
      </c>
      <c r="G628" s="58">
        <f t="shared" si="2002"/>
        <v>1897.6999999999998</v>
      </c>
      <c r="H628" s="58">
        <f t="shared" si="2002"/>
        <v>1771.88</v>
      </c>
      <c r="I628" s="59">
        <f t="shared" ref="I628:P628" si="2003">AVERAGE(I542:I553)</f>
        <v>0.76115141551882781</v>
      </c>
      <c r="J628" s="59">
        <f t="shared" si="2003"/>
        <v>0.72584390200353377</v>
      </c>
      <c r="K628" s="59">
        <f t="shared" si="2003"/>
        <v>0.19469499839657625</v>
      </c>
      <c r="L628" s="59">
        <f t="shared" si="2003"/>
        <v>0.17060014288914493</v>
      </c>
      <c r="M628" s="59">
        <f t="shared" si="2003"/>
        <v>0.98499999999999988</v>
      </c>
      <c r="N628" s="59">
        <f t="shared" si="2003"/>
        <v>0.97130833333333333</v>
      </c>
      <c r="O628" s="59">
        <f t="shared" si="2003"/>
        <v>0.9900000000000001</v>
      </c>
      <c r="P628" s="61">
        <f t="shared" si="2003"/>
        <v>0.99004999999999999</v>
      </c>
      <c r="Q628" s="83">
        <f t="shared" si="1986"/>
        <v>-5.7158892076895285E-2</v>
      </c>
      <c r="R628" s="65">
        <f t="shared" si="1987"/>
        <v>-0.12346020419156023</v>
      </c>
      <c r="S628" s="59">
        <f t="shared" si="1988"/>
        <v>-6.6301312114664945E-2</v>
      </c>
      <c r="T628" s="59">
        <f t="shared" si="1989"/>
        <v>-1.3691666666666547E-2</v>
      </c>
      <c r="U628" s="59">
        <f t="shared" si="1990"/>
        <v>4.9999999999883471E-5</v>
      </c>
      <c r="V628" s="61" t="e">
        <f>AVERAGE(V542:V553)</f>
        <v>#DIV/0!</v>
      </c>
      <c r="W628" s="83"/>
      <c r="X628" s="60" t="s">
        <v>45</v>
      </c>
      <c r="Y628" s="58">
        <f t="shared" ref="Y628:AD628" si="2004">SUM(Y542:Y553)</f>
        <v>8502.0437947635583</v>
      </c>
      <c r="Z628" s="58">
        <f t="shared" si="2004"/>
        <v>7916.9400000000005</v>
      </c>
      <c r="AA628" s="58">
        <f t="shared" si="2004"/>
        <v>1694.7999999999997</v>
      </c>
      <c r="AB628" s="58">
        <f t="shared" si="2004"/>
        <v>1614.41</v>
      </c>
      <c r="AC628" s="58">
        <f t="shared" si="2004"/>
        <v>1897.6999999999998</v>
      </c>
      <c r="AD628" s="58">
        <f t="shared" si="2004"/>
        <v>1762.6500000000003</v>
      </c>
      <c r="AE628" s="59">
        <f t="shared" ref="AE628:AL628" si="2005">AVERAGE(AE542:AE553)</f>
        <v>0.75892985192334128</v>
      </c>
      <c r="AF628" s="59">
        <f t="shared" si="2005"/>
        <v>0.78285982476970339</v>
      </c>
      <c r="AG628" s="59">
        <f t="shared" si="2005"/>
        <v>0.19419540132462246</v>
      </c>
      <c r="AH628" s="59">
        <f t="shared" si="2005"/>
        <v>0.18070700748847926</v>
      </c>
      <c r="AI628" s="59">
        <f t="shared" si="2005"/>
        <v>0.98499999999999988</v>
      </c>
      <c r="AJ628" s="59">
        <f t="shared" si="2005"/>
        <v>0.96003333333333318</v>
      </c>
      <c r="AK628" s="59">
        <f t="shared" si="2005"/>
        <v>0.9900000000000001</v>
      </c>
      <c r="AL628" s="61">
        <f t="shared" si="2005"/>
        <v>0.99029166666666668</v>
      </c>
      <c r="AM628" s="83">
        <f t="shared" si="1993"/>
        <v>2.3459013579735233E-3</v>
      </c>
      <c r="AN628" s="65">
        <f t="shared" si="1994"/>
        <v>-6.8819193230211906E-2</v>
      </c>
      <c r="AO628" s="59">
        <f t="shared" si="1995"/>
        <v>-7.1165094588185429E-2</v>
      </c>
      <c r="AP628" s="59">
        <f t="shared" si="1996"/>
        <v>-2.4966666666666693E-2</v>
      </c>
      <c r="AQ628" s="59">
        <f t="shared" si="1997"/>
        <v>2.9166666666657903E-4</v>
      </c>
      <c r="AR628" s="61" t="e">
        <f>AVERAGE(AR542:AR553)</f>
        <v>#DIV/0!</v>
      </c>
    </row>
    <row r="629" spans="1:88" hidden="1">
      <c r="B629" s="60" t="s">
        <v>46</v>
      </c>
      <c r="C629" s="58">
        <f t="shared" ref="C629:H629" si="2006">SUM(C554:C565)</f>
        <v>16962.516580649743</v>
      </c>
      <c r="D629" s="58">
        <f t="shared" si="2006"/>
        <v>15514.986000000003</v>
      </c>
      <c r="E629" s="58">
        <f t="shared" si="2006"/>
        <v>1694.7999999999997</v>
      </c>
      <c r="F629" s="58">
        <f t="shared" si="2006"/>
        <v>1630.1599999999999</v>
      </c>
      <c r="G629" s="58">
        <f t="shared" si="2006"/>
        <v>1897.6999999999998</v>
      </c>
      <c r="H629" s="58">
        <f t="shared" si="2006"/>
        <v>1839.5100000000002</v>
      </c>
      <c r="I629" s="59">
        <f t="shared" ref="I629:P629" si="2007">AVERAGE(I554:I565)</f>
        <v>0.75734565844123358</v>
      </c>
      <c r="J629" s="59">
        <f t="shared" si="2007"/>
        <v>0.72728351867711005</v>
      </c>
      <c r="K629" s="59">
        <f t="shared" si="2007"/>
        <v>0.19372152340459334</v>
      </c>
      <c r="L629" s="59">
        <f t="shared" si="2007"/>
        <v>0.17738351974526376</v>
      </c>
      <c r="M629" s="59">
        <f t="shared" si="2007"/>
        <v>0.98499999999999988</v>
      </c>
      <c r="N629" s="59">
        <f t="shared" si="2007"/>
        <v>0.96667500000000006</v>
      </c>
      <c r="O629" s="59">
        <f t="shared" si="2007"/>
        <v>0.9900000000000001</v>
      </c>
      <c r="P629" s="61">
        <f t="shared" si="2007"/>
        <v>0.994425</v>
      </c>
      <c r="Q629" s="83">
        <f t="shared" si="1986"/>
        <v>-5.4673583191018005E-2</v>
      </c>
      <c r="R629" s="65">
        <f t="shared" si="1987"/>
        <v>-8.5337017875109056E-2</v>
      </c>
      <c r="S629" s="59">
        <f t="shared" si="1988"/>
        <v>-3.0663434684091051E-2</v>
      </c>
      <c r="T629" s="59">
        <f t="shared" si="1989"/>
        <v>-1.8324999999999814E-2</v>
      </c>
      <c r="U629" s="59">
        <f t="shared" si="1990"/>
        <v>4.4249999999999012E-3</v>
      </c>
      <c r="V629" s="61" t="e">
        <f>AVERAGE(V554:V565)</f>
        <v>#DIV/0!</v>
      </c>
      <c r="W629" s="83"/>
      <c r="X629" s="60" t="s">
        <v>46</v>
      </c>
      <c r="Y629" s="58">
        <f t="shared" ref="Y629:AD629" si="2008">SUM(Y554:Y565)</f>
        <v>8459.533575789741</v>
      </c>
      <c r="Z629" s="58">
        <f t="shared" si="2008"/>
        <v>8157.4290000000001</v>
      </c>
      <c r="AA629" s="58">
        <f t="shared" si="2008"/>
        <v>1694.7999999999997</v>
      </c>
      <c r="AB629" s="58">
        <f t="shared" si="2008"/>
        <v>1659.6200000000001</v>
      </c>
      <c r="AC629" s="58">
        <f t="shared" si="2008"/>
        <v>1897.6999999999998</v>
      </c>
      <c r="AD629" s="58">
        <f t="shared" si="2008"/>
        <v>1848.1000000000001</v>
      </c>
      <c r="AE629" s="59">
        <f t="shared" ref="AE629:AL629" si="2009">AVERAGE(AE554:AE565)</f>
        <v>0.75513520266372447</v>
      </c>
      <c r="AF629" s="59">
        <f t="shared" si="2009"/>
        <v>0.7669030834660352</v>
      </c>
      <c r="AG629" s="59">
        <f t="shared" si="2009"/>
        <v>0.19269166593979301</v>
      </c>
      <c r="AH629" s="59">
        <f t="shared" si="2009"/>
        <v>0.18589526765850942</v>
      </c>
      <c r="AI629" s="59">
        <f t="shared" si="2009"/>
        <v>0.98499999999999988</v>
      </c>
      <c r="AJ629" s="59">
        <f t="shared" si="2009"/>
        <v>0.95991666666666686</v>
      </c>
      <c r="AK629" s="59">
        <f t="shared" si="2009"/>
        <v>0.9900000000000001</v>
      </c>
      <c r="AL629" s="61">
        <f t="shared" si="2009"/>
        <v>0.9974249999999999</v>
      </c>
      <c r="AM629" s="83">
        <f t="shared" si="1993"/>
        <v>-9.5748270560793713E-3</v>
      </c>
      <c r="AN629" s="65">
        <f t="shared" si="1994"/>
        <v>-3.5711729622343591E-2</v>
      </c>
      <c r="AO629" s="59">
        <f t="shared" si="1995"/>
        <v>-2.613690256626422E-2</v>
      </c>
      <c r="AP629" s="59">
        <f t="shared" si="1996"/>
        <v>-2.5083333333333013E-2</v>
      </c>
      <c r="AQ629" s="59">
        <f t="shared" si="1997"/>
        <v>7.4249999999997929E-3</v>
      </c>
      <c r="AR629" s="61" t="e">
        <f>AVERAGE(AR554:AR565)</f>
        <v>#DIV/0!</v>
      </c>
    </row>
    <row r="630" spans="1:88" hidden="1">
      <c r="B630" s="60" t="s">
        <v>47</v>
      </c>
      <c r="C630" s="58">
        <f t="shared" ref="C630:H630" si="2010">SUM(C566:C577)</f>
        <v>16877.703997746492</v>
      </c>
      <c r="D630" s="58">
        <f t="shared" si="2010"/>
        <v>15143.832</v>
      </c>
      <c r="E630" s="58">
        <f t="shared" si="2010"/>
        <v>1694.7999999999997</v>
      </c>
      <c r="F630" s="58">
        <f t="shared" si="2010"/>
        <v>1601.3600000000001</v>
      </c>
      <c r="G630" s="58">
        <f t="shared" si="2010"/>
        <v>1897.6999999999998</v>
      </c>
      <c r="H630" s="58">
        <f t="shared" si="2010"/>
        <v>1803.2800000000002</v>
      </c>
      <c r="I630" s="59">
        <f t="shared" ref="I630:P630" si="2011">AVERAGE(I566:I577)</f>
        <v>0.75355893014902764</v>
      </c>
      <c r="J630" s="59">
        <f t="shared" si="2011"/>
        <v>0.71813742714283835</v>
      </c>
      <c r="K630" s="59">
        <f t="shared" si="2011"/>
        <v>0.19275291578757039</v>
      </c>
      <c r="L630" s="59">
        <f t="shared" si="2011"/>
        <v>0.17297971070148488</v>
      </c>
      <c r="M630" s="59">
        <f t="shared" si="2011"/>
        <v>0.98499999999999988</v>
      </c>
      <c r="N630" s="59">
        <f t="shared" si="2011"/>
        <v>0.97546818478745523</v>
      </c>
      <c r="O630" s="59">
        <f t="shared" si="2011"/>
        <v>0.9900000000000001</v>
      </c>
      <c r="P630" s="61">
        <f t="shared" si="2011"/>
        <v>0.99876508064516134</v>
      </c>
      <c r="Q630" s="83">
        <f t="shared" si="1986"/>
        <v>-5.2976542319517206E-2</v>
      </c>
      <c r="R630" s="65">
        <f t="shared" si="1987"/>
        <v>-0.10273150885795823</v>
      </c>
      <c r="S630" s="59">
        <f t="shared" si="1988"/>
        <v>-4.9754966538441026E-2</v>
      </c>
      <c r="T630" s="59">
        <f t="shared" si="1989"/>
        <v>-9.5318152125446476E-3</v>
      </c>
      <c r="U630" s="59">
        <f t="shared" si="1990"/>
        <v>8.7650806451612384E-3</v>
      </c>
      <c r="V630" s="61">
        <f>AVERAGE(V566:V577)</f>
        <v>-1.5188211564452245E-2</v>
      </c>
      <c r="W630" s="83"/>
      <c r="X630" s="60" t="s">
        <v>47</v>
      </c>
      <c r="Y630" s="58">
        <f t="shared" ref="Y630:AD630" si="2012">SUM(Y566:Y577)</f>
        <v>8417.2359079107919</v>
      </c>
      <c r="Z630" s="58">
        <f t="shared" si="2012"/>
        <v>7955.5109999999986</v>
      </c>
      <c r="AA630" s="58">
        <f t="shared" si="2012"/>
        <v>1694.7999999999997</v>
      </c>
      <c r="AB630" s="58">
        <f t="shared" si="2012"/>
        <v>1634.2599999999998</v>
      </c>
      <c r="AC630" s="58">
        <f t="shared" si="2012"/>
        <v>1897.6999999999998</v>
      </c>
      <c r="AD630" s="58">
        <f t="shared" si="2012"/>
        <v>1846.19</v>
      </c>
      <c r="AE630" s="59">
        <f t="shared" ref="AE630:AL630" si="2013">AVERAGE(AE566:AE577)</f>
        <v>0.75135952665040584</v>
      </c>
      <c r="AF630" s="59">
        <f t="shared" si="2013"/>
        <v>0.7426185546904861</v>
      </c>
      <c r="AG630" s="59">
        <f t="shared" si="2013"/>
        <v>0.19225830219640938</v>
      </c>
      <c r="AH630" s="59">
        <f t="shared" si="2013"/>
        <v>0.18174257104454686</v>
      </c>
      <c r="AI630" s="59">
        <f t="shared" si="2013"/>
        <v>0.98499999999999988</v>
      </c>
      <c r="AJ630" s="59">
        <f t="shared" si="2013"/>
        <v>0.96934598488570589</v>
      </c>
      <c r="AK630" s="59">
        <f t="shared" si="2013"/>
        <v>0.9900000000000001</v>
      </c>
      <c r="AL630" s="61">
        <f t="shared" si="2013"/>
        <v>0.99838060931899653</v>
      </c>
      <c r="AM630" s="83">
        <f t="shared" si="1993"/>
        <v>-2.7711310836848746E-2</v>
      </c>
      <c r="AN630" s="65">
        <f t="shared" si="1994"/>
        <v>-5.4854694933386572E-2</v>
      </c>
      <c r="AO630" s="59">
        <f t="shared" si="1995"/>
        <v>-2.7143384096537826E-2</v>
      </c>
      <c r="AP630" s="59">
        <f t="shared" si="1996"/>
        <v>-1.5654015114293984E-2</v>
      </c>
      <c r="AQ630" s="59">
        <f t="shared" si="1997"/>
        <v>8.3806093189964237E-3</v>
      </c>
      <c r="AR630" s="61">
        <f>AVERAGE(AR566:AR577)</f>
        <v>-1.4171439802462422E-2</v>
      </c>
    </row>
    <row r="631" spans="1:88" hidden="1">
      <c r="B631" s="60" t="s">
        <v>48</v>
      </c>
      <c r="C631" s="58">
        <f t="shared" ref="C631:H631" si="2014">SUM(C578:C589)</f>
        <v>16793.315477757762</v>
      </c>
      <c r="D631" s="58">
        <f t="shared" si="2014"/>
        <v>15111.36</v>
      </c>
      <c r="E631" s="58">
        <f t="shared" si="2014"/>
        <v>1694.7999999999997</v>
      </c>
      <c r="F631" s="58">
        <f t="shared" si="2014"/>
        <v>1618.1599999999999</v>
      </c>
      <c r="G631" s="58">
        <f t="shared" si="2014"/>
        <v>1897.6999999999998</v>
      </c>
      <c r="H631" s="58">
        <f t="shared" si="2014"/>
        <v>1804.06</v>
      </c>
      <c r="I631" s="59">
        <f t="shared" ref="I631:P631" si="2015">AVERAGE(I578:I589)</f>
        <v>0.74979113549828247</v>
      </c>
      <c r="J631" s="59">
        <f t="shared" si="2015"/>
        <v>0.71132429331102387</v>
      </c>
      <c r="K631" s="59">
        <f t="shared" si="2015"/>
        <v>0.19178915120863257</v>
      </c>
      <c r="L631" s="59">
        <f t="shared" si="2015"/>
        <v>0.17265531185995905</v>
      </c>
      <c r="M631" s="59">
        <f t="shared" si="2015"/>
        <v>0.98499999999999988</v>
      </c>
      <c r="N631" s="59">
        <f t="shared" si="2015"/>
        <v>0.98657950265770611</v>
      </c>
      <c r="O631" s="59">
        <f t="shared" si="2015"/>
        <v>0.9900000000000001</v>
      </c>
      <c r="P631" s="61">
        <f t="shared" si="2015"/>
        <v>0.9997583333333333</v>
      </c>
      <c r="Q631" s="83">
        <f t="shared" si="1986"/>
        <v>-5.081230581044216E-2</v>
      </c>
      <c r="R631" s="65">
        <f t="shared" si="1987"/>
        <v>-0.10015624847788163</v>
      </c>
      <c r="S631" s="59">
        <f t="shared" si="1988"/>
        <v>-4.9343942667439467E-2</v>
      </c>
      <c r="T631" s="59">
        <f t="shared" si="1989"/>
        <v>1.5795026577062332E-3</v>
      </c>
      <c r="U631" s="59">
        <f t="shared" si="1990"/>
        <v>9.7583333333332023E-3</v>
      </c>
      <c r="V631" s="61">
        <f>AVERAGE(V578:V589)</f>
        <v>-1.3463427292876799E-2</v>
      </c>
      <c r="W631" s="83"/>
      <c r="X631" s="60" t="s">
        <v>48</v>
      </c>
      <c r="Y631" s="58">
        <f t="shared" ref="Y631:AD631" si="2016">SUM(Y578:Y589)</f>
        <v>8375.1497283712379</v>
      </c>
      <c r="Z631" s="58">
        <f t="shared" si="2016"/>
        <v>7799.6040000000012</v>
      </c>
      <c r="AA631" s="58">
        <f t="shared" si="2016"/>
        <v>1694.7999999999997</v>
      </c>
      <c r="AB631" s="58">
        <f t="shared" si="2016"/>
        <v>1638.2300000000002</v>
      </c>
      <c r="AC631" s="58">
        <f t="shared" si="2016"/>
        <v>1897.6999999999998</v>
      </c>
      <c r="AD631" s="58">
        <f t="shared" si="2016"/>
        <v>1830.9199999999996</v>
      </c>
      <c r="AE631" s="59">
        <f t="shared" ref="AE631:AL631" si="2017">AVERAGE(AE578:AE589)</f>
        <v>0.74760272901715374</v>
      </c>
      <c r="AF631" s="59">
        <f t="shared" si="2017"/>
        <v>0.72618404016902049</v>
      </c>
      <c r="AG631" s="59">
        <f t="shared" si="2017"/>
        <v>0.19129701068542734</v>
      </c>
      <c r="AH631" s="59">
        <f t="shared" si="2017"/>
        <v>0.17824321828597034</v>
      </c>
      <c r="AI631" s="59">
        <f t="shared" si="2017"/>
        <v>0.98499999999999988</v>
      </c>
      <c r="AJ631" s="59">
        <f t="shared" si="2017"/>
        <v>0.98315664788058543</v>
      </c>
      <c r="AK631" s="59">
        <f t="shared" si="2017"/>
        <v>0.9900000000000001</v>
      </c>
      <c r="AL631" s="61">
        <f t="shared" si="2017"/>
        <v>0.99952905017921145</v>
      </c>
      <c r="AM631" s="83">
        <f t="shared" si="1993"/>
        <v>-3.3530682623792551E-2</v>
      </c>
      <c r="AN631" s="65">
        <f t="shared" si="1994"/>
        <v>-6.8720649425710767E-2</v>
      </c>
      <c r="AO631" s="59">
        <f t="shared" si="1995"/>
        <v>-3.5189966801918215E-2</v>
      </c>
      <c r="AP631" s="59">
        <f t="shared" si="1996"/>
        <v>-1.8433521194144431E-3</v>
      </c>
      <c r="AQ631" s="59">
        <f t="shared" si="1997"/>
        <v>9.5290501792113513E-3</v>
      </c>
      <c r="AR631" s="61">
        <f>AVERAGE(AR578:AR589)</f>
        <v>-1.3017215349434357E-2</v>
      </c>
    </row>
    <row r="632" spans="1:88" hidden="1">
      <c r="B632" s="60" t="s">
        <v>49</v>
      </c>
      <c r="C632" s="58">
        <f t="shared" ref="C632:H632" si="2018">SUM(C590:C601)</f>
        <v>16709.348900368968</v>
      </c>
      <c r="D632" s="58">
        <f t="shared" si="2018"/>
        <v>14534.61</v>
      </c>
      <c r="E632" s="58">
        <f t="shared" si="2018"/>
        <v>1694.7999999999997</v>
      </c>
      <c r="F632" s="58">
        <f t="shared" si="2018"/>
        <v>1604.5800000000002</v>
      </c>
      <c r="G632" s="58">
        <f t="shared" si="2018"/>
        <v>1897.6999999999998</v>
      </c>
      <c r="H632" s="58">
        <f t="shared" si="2018"/>
        <v>1792.2000000000003</v>
      </c>
      <c r="I632" s="59">
        <f t="shared" ref="I632:P632" si="2019">AVERAGE(I590:I601)</f>
        <v>0.74604217982079091</v>
      </c>
      <c r="J632" s="59">
        <f t="shared" si="2019"/>
        <v>0.69746427573216563</v>
      </c>
      <c r="K632" s="59">
        <f t="shared" si="2019"/>
        <v>0.19083020545258933</v>
      </c>
      <c r="L632" s="59">
        <f t="shared" si="2019"/>
        <v>0.16617098966333846</v>
      </c>
      <c r="M632" s="59">
        <f t="shared" si="2019"/>
        <v>0.98499999999999988</v>
      </c>
      <c r="N632" s="59">
        <f t="shared" si="2019"/>
        <v>0.97207894785132243</v>
      </c>
      <c r="O632" s="59">
        <f t="shared" si="2019"/>
        <v>0.9900000000000001</v>
      </c>
      <c r="P632" s="61">
        <f t="shared" si="2019"/>
        <v>0.99933067396313369</v>
      </c>
      <c r="Q632" s="112">
        <f t="shared" si="1986"/>
        <v>-7.455741251067971E-2</v>
      </c>
      <c r="R632" s="65">
        <f t="shared" si="1987"/>
        <v>-0.1301510258320685</v>
      </c>
      <c r="S632" s="59">
        <f t="shared" si="1988"/>
        <v>-5.5593613321388791E-2</v>
      </c>
      <c r="T632" s="59">
        <f t="shared" si="1989"/>
        <v>-1.2921052148677448E-2</v>
      </c>
      <c r="U632" s="59">
        <f t="shared" si="1990"/>
        <v>9.3306739631335844E-3</v>
      </c>
      <c r="V632" s="61">
        <f>AVERAGE(V590:V601)</f>
        <v>-1.4461160138930333E-2</v>
      </c>
      <c r="X632" s="60" t="s">
        <v>49</v>
      </c>
      <c r="Y632" s="58">
        <f t="shared" ref="Y632:AD632" si="2020">SUM(Y590:Y601)</f>
        <v>8333.2739797293834</v>
      </c>
      <c r="Z632" s="58">
        <f t="shared" si="2020"/>
        <v>7571.6759999999995</v>
      </c>
      <c r="AA632" s="58">
        <f t="shared" si="2020"/>
        <v>1694.7999999999997</v>
      </c>
      <c r="AB632" s="58">
        <f t="shared" si="2020"/>
        <v>1606.51</v>
      </c>
      <c r="AC632" s="58">
        <f t="shared" si="2020"/>
        <v>1897.6999999999998</v>
      </c>
      <c r="AD632" s="58">
        <f t="shared" si="2020"/>
        <v>1823.5399999999997</v>
      </c>
      <c r="AE632" s="59">
        <f t="shared" ref="AE632:AL632" si="2021">AVERAGE(AE590:AE601)</f>
        <v>0.74386471537206822</v>
      </c>
      <c r="AF632" s="59">
        <f t="shared" si="2021"/>
        <v>0.71569626306083911</v>
      </c>
      <c r="AG632" s="59">
        <f t="shared" si="2021"/>
        <v>0.19034052563200021</v>
      </c>
      <c r="AH632" s="59">
        <f t="shared" si="2021"/>
        <v>0.17317967181899638</v>
      </c>
      <c r="AI632" s="59">
        <f t="shared" si="2021"/>
        <v>0.98499999999999988</v>
      </c>
      <c r="AJ632" s="59">
        <f t="shared" si="2021"/>
        <v>0.97060374331528243</v>
      </c>
      <c r="AK632" s="59">
        <f t="shared" si="2021"/>
        <v>0.9900000000000001</v>
      </c>
      <c r="AL632" s="61">
        <f t="shared" si="2021"/>
        <v>0.99910594278033793</v>
      </c>
      <c r="AM632" s="95">
        <f t="shared" si="1993"/>
        <v>-5.2313523537772744E-2</v>
      </c>
      <c r="AN632" s="65">
        <f t="shared" si="1994"/>
        <v>-9.1392408503784273E-2</v>
      </c>
      <c r="AO632" s="59">
        <f t="shared" si="1995"/>
        <v>-3.9078884966011529E-2</v>
      </c>
      <c r="AP632" s="59">
        <f t="shared" si="1996"/>
        <v>-1.4396256684717446E-2</v>
      </c>
      <c r="AQ632" s="59">
        <f t="shared" si="1997"/>
        <v>9.1059427803378279E-3</v>
      </c>
      <c r="AR632" s="61">
        <f>AVERAGE(AR590:AR601)</f>
        <v>-1.4360276524314132E-2</v>
      </c>
    </row>
    <row r="633" spans="1:88" hidden="1">
      <c r="A633" s="102">
        <f>(D633/D632-1)-(H633/H632-1)-(N633-N632)</f>
        <v>-1.4230622224647993E-2</v>
      </c>
      <c r="B633" s="60" t="s">
        <v>74</v>
      </c>
      <c r="C633" s="58">
        <f t="shared" ref="C633:H633" si="2022">SUM(C602:C613)</f>
        <v>16625.802155867124</v>
      </c>
      <c r="D633" s="58">
        <f t="shared" si="2022"/>
        <v>14023.895999999997</v>
      </c>
      <c r="E633" s="58">
        <f t="shared" si="2022"/>
        <v>1694.7999999999997</v>
      </c>
      <c r="F633" s="58">
        <f t="shared" si="2022"/>
        <v>1592.9099999999996</v>
      </c>
      <c r="G633" s="58">
        <f t="shared" si="2022"/>
        <v>1897.6999999999998</v>
      </c>
      <c r="H633" s="58">
        <f t="shared" si="2022"/>
        <v>1749.3200000000002</v>
      </c>
      <c r="I633" s="59">
        <f t="shared" ref="I633:P633" si="2023">AVERAGE(I602:I613)</f>
        <v>0.74231196892168694</v>
      </c>
      <c r="J633" s="59">
        <f t="shared" si="2023"/>
        <v>0.6918013871284342</v>
      </c>
      <c r="K633" s="59">
        <f t="shared" si="2023"/>
        <v>0.18987605442532643</v>
      </c>
      <c r="L633" s="59">
        <f t="shared" si="2023"/>
        <v>0.15979822356630818</v>
      </c>
      <c r="M633" s="59">
        <f t="shared" si="2023"/>
        <v>0.98499999999999988</v>
      </c>
      <c r="N633" s="59">
        <f t="shared" si="2023"/>
        <v>0.97509768628831106</v>
      </c>
      <c r="O633" s="59">
        <f t="shared" si="2023"/>
        <v>0.9900000000000001</v>
      </c>
      <c r="P633" s="61">
        <f t="shared" si="2023"/>
        <v>0.99892891607959455</v>
      </c>
      <c r="Q633" s="83">
        <f t="shared" ref="Q633:Q634" si="2024">R633-S633-T633</f>
        <v>-6.8406381542186812E-2</v>
      </c>
      <c r="R633" s="65">
        <f t="shared" si="1987"/>
        <v>-0.15649808240674468</v>
      </c>
      <c r="S633" s="59">
        <f t="shared" si="1988"/>
        <v>-7.818938715286905E-2</v>
      </c>
      <c r="T633" s="59">
        <f t="shared" si="1989"/>
        <v>-9.9023137116888149E-3</v>
      </c>
      <c r="U633" s="59">
        <f t="shared" si="1990"/>
        <v>8.9289160795944511E-3</v>
      </c>
      <c r="V633" s="61">
        <f>AVERAGE(V602:V613)</f>
        <v>-1.8568494623655906E-2</v>
      </c>
      <c r="W633" s="102">
        <f>(Z633/Z632-1)-(AD633/AD632-1)-(AJ633-AJ632)</f>
        <v>-8.9349071641946498E-3</v>
      </c>
      <c r="X633" s="60" t="s">
        <v>74</v>
      </c>
      <c r="Y633" s="58">
        <f t="shared" ref="Y633:AD633" si="2025">SUM(Y602:Y613)</f>
        <v>8291.6076098307349</v>
      </c>
      <c r="Z633" s="58">
        <f t="shared" si="2025"/>
        <v>7284.7500000000009</v>
      </c>
      <c r="AA633" s="58">
        <f t="shared" si="2025"/>
        <v>1694.7999999999997</v>
      </c>
      <c r="AB633" s="58">
        <f t="shared" si="2025"/>
        <v>1571.5100000000002</v>
      </c>
      <c r="AC633" s="58">
        <f t="shared" si="2025"/>
        <v>1897.6999999999998</v>
      </c>
      <c r="AD633" s="58">
        <f t="shared" si="2025"/>
        <v>1775.6</v>
      </c>
      <c r="AE633" s="59">
        <f t="shared" ref="AE633:AL633" si="2026">AVERAGE(AE602:AE613)</f>
        <v>0.74014539179520789</v>
      </c>
      <c r="AF633" s="59">
        <f t="shared" si="2026"/>
        <v>0.71084023454118095</v>
      </c>
      <c r="AG633" s="59">
        <f t="shared" si="2026"/>
        <v>0.18938882300384019</v>
      </c>
      <c r="AH633" s="59">
        <f t="shared" si="2026"/>
        <v>0.16600891044061303</v>
      </c>
      <c r="AI633" s="59">
        <f t="shared" si="2026"/>
        <v>0.98499999999999988</v>
      </c>
      <c r="AJ633" s="59">
        <f t="shared" si="2026"/>
        <v>0.96793352682603651</v>
      </c>
      <c r="AK633" s="59">
        <f t="shared" si="2026"/>
        <v>0.9900000000000001</v>
      </c>
      <c r="AL633" s="61">
        <f t="shared" si="2026"/>
        <v>0.99919314392534908</v>
      </c>
      <c r="AM633" s="83">
        <f t="shared" ref="AM633:AM634" si="2027">AN633-AO633-AP633</f>
        <v>-4.0023410784603031E-2</v>
      </c>
      <c r="AN633" s="65">
        <f t="shared" si="1994"/>
        <v>-0.12143092838076164</v>
      </c>
      <c r="AO633" s="59">
        <f t="shared" si="1995"/>
        <v>-6.4341044422195237E-2</v>
      </c>
      <c r="AP633" s="59">
        <f t="shared" si="1996"/>
        <v>-1.706647317396337E-2</v>
      </c>
      <c r="AQ633" s="59">
        <f t="shared" si="1997"/>
        <v>9.1931439253489788E-3</v>
      </c>
      <c r="AR633" s="61">
        <f>AVERAGE(AR602:AR613)</f>
        <v>-1.8066191756272398E-2</v>
      </c>
    </row>
    <row r="634" spans="1:88">
      <c r="A634" s="102">
        <f>(D634/D633-1)-(H634/H633-1)-(N634-N633)</f>
        <v>0.26746019754925909</v>
      </c>
      <c r="B634" s="60" t="s">
        <v>107</v>
      </c>
      <c r="C634" s="58">
        <f t="shared" ref="C634:H634" si="2028">SUM(C626:C626)</f>
        <v>14122.336829261545</v>
      </c>
      <c r="D634" s="58">
        <f t="shared" si="2028"/>
        <v>10486.248</v>
      </c>
      <c r="E634" s="58">
        <f t="shared" si="2028"/>
        <v>1694.7999999999997</v>
      </c>
      <c r="F634" s="58">
        <f t="shared" si="2028"/>
        <v>858.24</v>
      </c>
      <c r="G634" s="58">
        <f t="shared" si="2028"/>
        <v>1897.6999999999998</v>
      </c>
      <c r="H634" s="58">
        <f t="shared" si="2028"/>
        <v>928.15999999999985</v>
      </c>
      <c r="I634" s="59">
        <f t="shared" ref="I634:P634" si="2029">AVERAGE(I626:I626)</f>
        <v>0.80564587140358757</v>
      </c>
      <c r="J634" s="59">
        <f t="shared" si="2029"/>
        <v>0.75617878485880807</v>
      </c>
      <c r="K634" s="59">
        <f t="shared" si="2029"/>
        <v>0.21411482027252593</v>
      </c>
      <c r="L634" s="59">
        <f t="shared" si="2029"/>
        <v>0.15703860215053764</v>
      </c>
      <c r="M634" s="59">
        <f t="shared" si="2029"/>
        <v>0.98499999999999988</v>
      </c>
      <c r="N634" s="59">
        <f t="shared" si="2029"/>
        <v>0.92479560285714268</v>
      </c>
      <c r="O634" s="59">
        <f t="shared" si="2029"/>
        <v>0.9900000000000001</v>
      </c>
      <c r="P634" s="61">
        <f t="shared" si="2029"/>
        <v>0.9897999999999999</v>
      </c>
      <c r="Q634" s="83">
        <f t="shared" si="2024"/>
        <v>0.31363630647152096</v>
      </c>
      <c r="R634" s="65">
        <f t="shared" si="1987"/>
        <v>-0.25747076232649779</v>
      </c>
      <c r="S634" s="59">
        <f t="shared" si="1988"/>
        <v>-0.51090267165516157</v>
      </c>
      <c r="T634" s="59">
        <f t="shared" si="1989"/>
        <v>-6.0204397142857191E-2</v>
      </c>
      <c r="U634" s="59">
        <f t="shared" si="1990"/>
        <v>-2.0000000000020002E-4</v>
      </c>
      <c r="V634" s="61" t="e">
        <f>AVERAGE(V626:V626)</f>
        <v>#DIV/0!</v>
      </c>
      <c r="W634" s="102"/>
      <c r="X634" s="60" t="s">
        <v>107</v>
      </c>
      <c r="Y634" s="58">
        <f t="shared" ref="Y634:AD634" si="2030">SUM(Y626:Y626)</f>
        <v>7046.1150059926549</v>
      </c>
      <c r="Z634" s="58">
        <f t="shared" si="2030"/>
        <v>4455.78</v>
      </c>
      <c r="AA634" s="58">
        <f t="shared" si="2030"/>
        <v>1694.7999999999997</v>
      </c>
      <c r="AB634" s="58">
        <f t="shared" si="2030"/>
        <v>753.69000000000017</v>
      </c>
      <c r="AC634" s="58">
        <f t="shared" si="2030"/>
        <v>1897.6999999999998</v>
      </c>
      <c r="AD634" s="58">
        <f t="shared" si="2030"/>
        <v>926.73</v>
      </c>
      <c r="AE634" s="59">
        <f t="shared" ref="AE634:AL634" si="2031">AVERAGE(AE626:AE626)</f>
        <v>0.80311806892679083</v>
      </c>
      <c r="AF634" s="59">
        <f t="shared" si="2031"/>
        <v>0.68482743292458237</v>
      </c>
      <c r="AG634" s="59">
        <f t="shared" si="2031"/>
        <v>0.19953761426297567</v>
      </c>
      <c r="AH634" s="59">
        <f t="shared" si="2031"/>
        <v>0.12711703405017921</v>
      </c>
      <c r="AI634" s="59">
        <f t="shared" si="2031"/>
        <v>0.98499999999999988</v>
      </c>
      <c r="AJ634" s="59">
        <f t="shared" si="2031"/>
        <v>0.86442005285714274</v>
      </c>
      <c r="AK634" s="59">
        <f t="shared" si="2031"/>
        <v>0.9900000000000001</v>
      </c>
      <c r="AL634" s="61">
        <f t="shared" si="2031"/>
        <v>0.98837142857142857</v>
      </c>
      <c r="AM634" s="83">
        <f t="shared" si="2027"/>
        <v>0.26461017238259343</v>
      </c>
      <c r="AN634" s="65">
        <f t="shared" si="1994"/>
        <v>-0.36762599017892827</v>
      </c>
      <c r="AO634" s="59">
        <f t="shared" si="1995"/>
        <v>-0.51165621541866457</v>
      </c>
      <c r="AP634" s="59">
        <f t="shared" si="1996"/>
        <v>-0.12057994714285714</v>
      </c>
      <c r="AQ634" s="59">
        <f t="shared" si="1997"/>
        <v>-1.6285714285715347E-3</v>
      </c>
      <c r="AR634" s="61" t="e">
        <f>AVERAGE(AR626:AR626)</f>
        <v>#DIV/0!</v>
      </c>
    </row>
    <row r="635" spans="1:88">
      <c r="B635" s="5"/>
      <c r="C635" s="2"/>
      <c r="D635" s="2"/>
      <c r="E635" s="2"/>
      <c r="F635" s="2"/>
      <c r="G635" s="2"/>
      <c r="H635" s="2"/>
      <c r="I635" s="74"/>
      <c r="J635" s="74"/>
      <c r="K635" s="74"/>
      <c r="L635" s="74"/>
      <c r="M635" s="74"/>
      <c r="N635" s="74"/>
      <c r="O635" s="74"/>
      <c r="P635" s="75"/>
      <c r="Q635" s="113"/>
      <c r="R635" s="97"/>
      <c r="S635" s="74"/>
      <c r="T635" s="74"/>
      <c r="U635" s="74"/>
      <c r="V635" s="75"/>
      <c r="X635" s="5"/>
      <c r="Y635" s="2"/>
      <c r="Z635" s="2"/>
      <c r="AA635" s="2"/>
      <c r="AB635" s="2"/>
      <c r="AC635" s="2"/>
      <c r="AD635" s="2"/>
      <c r="AE635" s="74"/>
      <c r="AF635" s="74"/>
      <c r="AG635" s="74"/>
      <c r="AH635" s="74"/>
      <c r="AI635" s="74"/>
      <c r="AJ635" s="74"/>
      <c r="AK635" s="74"/>
      <c r="AL635" s="75"/>
      <c r="AM635" s="113"/>
      <c r="AN635" s="97"/>
      <c r="AO635" s="74"/>
      <c r="AP635" s="74"/>
      <c r="AQ635" s="74"/>
      <c r="AR635" s="75"/>
    </row>
    <row r="636" spans="1:88" hidden="1">
      <c r="B636" s="60" t="s">
        <v>38</v>
      </c>
      <c r="C636" s="58">
        <f>SUM(C521:C532)</f>
        <v>18291.856060967202</v>
      </c>
      <c r="D636" s="58">
        <f>SUM(D521:D532)</f>
        <v>14365.016</v>
      </c>
      <c r="E636" s="58">
        <f>AVERAGE(E543:E554)</f>
        <v>141.23333333333332</v>
      </c>
      <c r="F636" s="58">
        <f t="shared" ref="F636:L636" si="2032">AVERAGE(F521:F532)</f>
        <v>120.90799999999999</v>
      </c>
      <c r="G636" s="58">
        <f t="shared" si="2032"/>
        <v>158.14166666666665</v>
      </c>
      <c r="H636" s="58">
        <f t="shared" si="2032"/>
        <v>133.46999999999997</v>
      </c>
      <c r="I636" s="59">
        <f t="shared" si="2032"/>
        <v>0.80564587140358768</v>
      </c>
      <c r="J636" s="59">
        <f t="shared" si="2032"/>
        <v>0.77673562314926969</v>
      </c>
      <c r="K636" s="59">
        <f t="shared" si="2032"/>
        <v>0.20890111190737637</v>
      </c>
      <c r="L636" s="59">
        <f t="shared" si="2032"/>
        <v>0.16415651577700971</v>
      </c>
      <c r="M636" s="59">
        <f>AVERAGE(M554:M565)</f>
        <v>0.98499999999999988</v>
      </c>
      <c r="N636" s="59">
        <f>AVERAGE(N521:N532)</f>
        <v>0.94211692199999997</v>
      </c>
      <c r="O636" s="59">
        <f>AVERAGE(O521:O532)</f>
        <v>0.9900000000000001</v>
      </c>
      <c r="P636" s="61">
        <f>AVERAGE(P521:P532)</f>
        <v>0.98913999999999991</v>
      </c>
      <c r="Q636" s="112">
        <f t="shared" ref="Q636:Q640" si="2033">R636-S636</f>
        <v>-5.8667053765075416E-2</v>
      </c>
      <c r="R636" s="65">
        <f t="shared" ref="R636:R643" si="2034">D636/C636-1</f>
        <v>-0.21467696049427398</v>
      </c>
      <c r="S636" s="59">
        <f t="shared" ref="S636:S643" si="2035">H636/G636-1</f>
        <v>-0.15600990672919857</v>
      </c>
      <c r="T636" s="59">
        <f t="shared" ref="T636:T639" si="2036">N636-M636</f>
        <v>-4.2883077999999908E-2</v>
      </c>
      <c r="U636" s="59">
        <f t="shared" ref="U636:U640" si="2037">P636-O636</f>
        <v>-8.6000000000019394E-4</v>
      </c>
      <c r="V636" s="23"/>
      <c r="X636" s="60" t="s">
        <v>38</v>
      </c>
      <c r="Y636" s="58">
        <f>SUM(Y521:Y532)</f>
        <v>9123.4933237569112</v>
      </c>
      <c r="Z636" s="58">
        <f>SUM(Z521:Z532)</f>
        <v>6408.9620000000014</v>
      </c>
      <c r="AA636" s="58">
        <f>AVERAGE(AA543:AA554)</f>
        <v>141.23333333333332</v>
      </c>
      <c r="AB636" s="58">
        <f t="shared" ref="AB636:AH636" si="2038">AVERAGE(AB521:AB532)</f>
        <v>123.40666666666669</v>
      </c>
      <c r="AC636" s="58">
        <f t="shared" si="2038"/>
        <v>158.14166666666665</v>
      </c>
      <c r="AD636" s="58">
        <f t="shared" si="2038"/>
        <v>134.54900000000004</v>
      </c>
      <c r="AE636" s="59">
        <f t="shared" si="2038"/>
        <v>0.80311806892679083</v>
      </c>
      <c r="AF636" s="59">
        <f t="shared" si="2038"/>
        <v>0.71542939427622632</v>
      </c>
      <c r="AG636" s="59">
        <f t="shared" si="2038"/>
        <v>0.19779629224797401</v>
      </c>
      <c r="AH636" s="59">
        <f t="shared" si="2038"/>
        <v>0.14073191836277524</v>
      </c>
      <c r="AI636" s="59">
        <f>AVERAGE(AI554:AI565)</f>
        <v>0.98499999999999988</v>
      </c>
      <c r="AJ636" s="59">
        <f>AVERAGE(AJ521:AJ532)</f>
        <v>0.88820770199999988</v>
      </c>
      <c r="AK636" s="59">
        <f>AVERAGE(AK521:AK532)</f>
        <v>0.9900000000000001</v>
      </c>
      <c r="AL636" s="61">
        <f>AVERAGE(AL521:AL532)</f>
        <v>0.98777999999999988</v>
      </c>
      <c r="AM636" s="112">
        <f t="shared" ref="AM636:AM640" si="2039">AN636-AO636</f>
        <v>-0.14834510138375723</v>
      </c>
      <c r="AN636" s="65">
        <f t="shared" ref="AN636:AN643" si="2040">Z636/Y636-1</f>
        <v>-0.29753201185432654</v>
      </c>
      <c r="AO636" s="59">
        <f t="shared" ref="AO636:AO643" si="2041">AD636/AC636-1</f>
        <v>-0.14918691047056931</v>
      </c>
      <c r="AP636" s="59">
        <f t="shared" ref="AP636:AP639" si="2042">AJ636-AI636</f>
        <v>-9.6792297999999999E-2</v>
      </c>
      <c r="AQ636" s="59">
        <f t="shared" ref="AQ636:AQ640" si="2043">AL636-AK636</f>
        <v>-2.2200000000002218E-3</v>
      </c>
      <c r="AR636" s="23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</row>
    <row r="637" spans="1:88" hidden="1">
      <c r="B637" s="60" t="s">
        <v>39</v>
      </c>
      <c r="C637" s="58">
        <f>SUM(C533:C544)</f>
        <v>17113.823919902134</v>
      </c>
      <c r="D637" s="58">
        <f>SUM(D533:D544)</f>
        <v>15108.341999999999</v>
      </c>
      <c r="E637" s="58">
        <f>AVERAGE(E544:E555)</f>
        <v>141.23333333333332</v>
      </c>
      <c r="F637" s="58">
        <f t="shared" ref="F637:L637" si="2044">AVERAGE(F533:F544)</f>
        <v>122.60499999999998</v>
      </c>
      <c r="G637" s="58">
        <f t="shared" si="2044"/>
        <v>158.14166666666665</v>
      </c>
      <c r="H637" s="58">
        <f t="shared" si="2044"/>
        <v>137.11000000000001</v>
      </c>
      <c r="I637" s="59">
        <f t="shared" si="2044"/>
        <v>0.76400520865077359</v>
      </c>
      <c r="J637" s="59">
        <f t="shared" si="2044"/>
        <v>0.78769684823115949</v>
      </c>
      <c r="K637" s="59">
        <f t="shared" si="2044"/>
        <v>0.19544626447054783</v>
      </c>
      <c r="L637" s="59">
        <f t="shared" si="2044"/>
        <v>0.17232419306835636</v>
      </c>
      <c r="M637" s="59">
        <f>AVERAGE(M555:M566)</f>
        <v>0.98499999999999988</v>
      </c>
      <c r="N637" s="59">
        <f>AVERAGE(N533:N544)</f>
        <v>0.97227031666666697</v>
      </c>
      <c r="O637" s="59">
        <f>AVERAGE(O533:O544)</f>
        <v>0.9900000000000001</v>
      </c>
      <c r="P637" s="61">
        <f>AVERAGE(P533:P544)</f>
        <v>0.9885250000000001</v>
      </c>
      <c r="Q637" s="112">
        <f t="shared" si="2033"/>
        <v>1.5807659713963473E-2</v>
      </c>
      <c r="R637" s="65">
        <f t="shared" si="2034"/>
        <v>-0.11718491023913746</v>
      </c>
      <c r="S637" s="59">
        <f t="shared" si="2035"/>
        <v>-0.13299256995310094</v>
      </c>
      <c r="T637" s="59">
        <f t="shared" si="2036"/>
        <v>-1.2729683333332908E-2</v>
      </c>
      <c r="U637" s="59">
        <f t="shared" si="2037"/>
        <v>-1.4750000000000041E-3</v>
      </c>
      <c r="V637" s="61"/>
      <c r="X637" s="60" t="s">
        <v>39</v>
      </c>
      <c r="Y637" s="58">
        <f>SUM(Y533:Y544)</f>
        <v>8535.0050922946975</v>
      </c>
      <c r="Z637" s="58">
        <f>SUM(Z533:Z544)</f>
        <v>8014.59</v>
      </c>
      <c r="AA637" s="58">
        <f>AVERAGE(AA544:AA555)</f>
        <v>141.23333333333332</v>
      </c>
      <c r="AB637" s="58">
        <f t="shared" ref="AB637:AH637" si="2045">AVERAGE(AB533:AB544)</f>
        <v>125.53416666666669</v>
      </c>
      <c r="AC637" s="58">
        <f t="shared" si="2045"/>
        <v>158.14166666666665</v>
      </c>
      <c r="AD637" s="58">
        <f t="shared" si="2045"/>
        <v>138.89166666666665</v>
      </c>
      <c r="AE637" s="59">
        <f t="shared" si="2045"/>
        <v>0.76177665175102949</v>
      </c>
      <c r="AF637" s="59">
        <f t="shared" si="2045"/>
        <v>0.82400627991472308</v>
      </c>
      <c r="AG637" s="59">
        <f t="shared" si="2045"/>
        <v>0.19494501158049529</v>
      </c>
      <c r="AH637" s="59">
        <f t="shared" si="2045"/>
        <v>0.18278590757808499</v>
      </c>
      <c r="AI637" s="59">
        <f>AVERAGE(AI555:AI566)</f>
        <v>0.98499999999999988</v>
      </c>
      <c r="AJ637" s="59">
        <f>AVERAGE(AJ533:AJ544)</f>
        <v>0.97367644499999983</v>
      </c>
      <c r="AK637" s="59">
        <f>AVERAGE(AK533:AK544)</f>
        <v>0.9900000000000001</v>
      </c>
      <c r="AL637" s="61">
        <f>AVERAGE(AL533:AL544)</f>
        <v>0.98881666666666668</v>
      </c>
      <c r="AM637" s="112">
        <f t="shared" si="2039"/>
        <v>6.0752102039565159E-2</v>
      </c>
      <c r="AN637" s="65">
        <f t="shared" si="2040"/>
        <v>-6.0974198218642139E-2</v>
      </c>
      <c r="AO637" s="59">
        <f t="shared" si="2041"/>
        <v>-0.1217263002582073</v>
      </c>
      <c r="AP637" s="59">
        <f t="shared" si="2042"/>
        <v>-1.1323555000000041E-2</v>
      </c>
      <c r="AQ637" s="59">
        <f t="shared" si="2043"/>
        <v>-1.1833333333334251E-3</v>
      </c>
      <c r="AR637" s="6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</row>
    <row r="638" spans="1:88" hidden="1">
      <c r="B638" s="60" t="s">
        <v>68</v>
      </c>
      <c r="C638" s="58">
        <f>SUM(C545:C556)</f>
        <v>17028.25480030262</v>
      </c>
      <c r="D638" s="58">
        <f>SUM(D545:D556)</f>
        <v>14824.385999999999</v>
      </c>
      <c r="E638" s="58">
        <f>AVERAGE(E545:E556)</f>
        <v>141.23333333333332</v>
      </c>
      <c r="F638" s="58">
        <f t="shared" ref="F638:L638" si="2046">AVERAGE(F545:F556)</f>
        <v>132.74833333333333</v>
      </c>
      <c r="G638" s="58">
        <f t="shared" si="2046"/>
        <v>158.14166666666665</v>
      </c>
      <c r="H638" s="58">
        <f t="shared" si="2046"/>
        <v>148.1575</v>
      </c>
      <c r="I638" s="59">
        <f t="shared" si="2046"/>
        <v>0.76018518260751966</v>
      </c>
      <c r="J638" s="59">
        <f t="shared" si="2046"/>
        <v>0.71999549090418291</v>
      </c>
      <c r="K638" s="59">
        <f t="shared" si="2046"/>
        <v>0.19446903314819508</v>
      </c>
      <c r="L638" s="59">
        <f t="shared" si="2046"/>
        <v>0.16960728094598054</v>
      </c>
      <c r="M638" s="59">
        <f>AVERAGE(M556:M567)</f>
        <v>0.98499999999999988</v>
      </c>
      <c r="N638" s="59">
        <f>AVERAGE(N545:N556)</f>
        <v>0.96645000000000003</v>
      </c>
      <c r="O638" s="59">
        <f>AVERAGE(O545:O556)</f>
        <v>0.9900000000000001</v>
      </c>
      <c r="P638" s="61">
        <f>AVERAGE(P545:P556)</f>
        <v>0.9911916666666668</v>
      </c>
      <c r="Q638" s="112">
        <f t="shared" si="2033"/>
        <v>-6.62899115345571E-2</v>
      </c>
      <c r="R638" s="65">
        <f t="shared" si="2034"/>
        <v>-0.12942423202778564</v>
      </c>
      <c r="S638" s="59">
        <f t="shared" si="2035"/>
        <v>-6.3134320493228535E-2</v>
      </c>
      <c r="T638" s="59">
        <f t="shared" si="2036"/>
        <v>-1.8549999999999844E-2</v>
      </c>
      <c r="U638" s="59">
        <f t="shared" si="2037"/>
        <v>1.191666666666702E-3</v>
      </c>
      <c r="V638" s="61"/>
      <c r="X638" s="60" t="s">
        <v>68</v>
      </c>
      <c r="Y638" s="58">
        <f>SUM(Y545:Y556)</f>
        <v>8492.3300668332231</v>
      </c>
      <c r="Z638" s="58">
        <f>SUM(Z545:Z556)</f>
        <v>7854.9240000000009</v>
      </c>
      <c r="AA638" s="58">
        <f>AVERAGE(AA545:AA556)</f>
        <v>141.23333333333332</v>
      </c>
      <c r="AB638" s="58">
        <f t="shared" ref="AB638:AH638" si="2047">AVERAGE(AB545:AB556)</f>
        <v>135.05083333333334</v>
      </c>
      <c r="AC638" s="58">
        <f t="shared" si="2047"/>
        <v>158.14166666666665</v>
      </c>
      <c r="AD638" s="58">
        <f t="shared" si="2047"/>
        <v>147.79000000000002</v>
      </c>
      <c r="AE638" s="59">
        <f t="shared" si="2047"/>
        <v>0.75796776849227421</v>
      </c>
      <c r="AF638" s="59">
        <f t="shared" si="2047"/>
        <v>0.77583005666769933</v>
      </c>
      <c r="AG638" s="59">
        <f t="shared" si="2047"/>
        <v>0.19343752814438644</v>
      </c>
      <c r="AH638" s="59">
        <f t="shared" si="2047"/>
        <v>0.17911170583055247</v>
      </c>
      <c r="AI638" s="59">
        <f>AVERAGE(AI556:AI567)</f>
        <v>0.98499999999999988</v>
      </c>
      <c r="AJ638" s="59">
        <f>AVERAGE(AJ545:AJ556)</f>
        <v>0.95377499999999993</v>
      </c>
      <c r="AK638" s="59">
        <f>AVERAGE(AK545:AK556)</f>
        <v>0.9900000000000001</v>
      </c>
      <c r="AL638" s="61">
        <f>AVERAGE(AL545:AL556)</f>
        <v>0.99385000000000001</v>
      </c>
      <c r="AM638" s="112">
        <f t="shared" si="2039"/>
        <v>-9.5984898360205184E-3</v>
      </c>
      <c r="AN638" s="65">
        <f t="shared" si="2040"/>
        <v>-7.5056676061451055E-2</v>
      </c>
      <c r="AO638" s="59">
        <f t="shared" si="2041"/>
        <v>-6.5458186225430537E-2</v>
      </c>
      <c r="AP638" s="59">
        <f t="shared" si="2042"/>
        <v>-3.1224999999999947E-2</v>
      </c>
      <c r="AQ638" s="59">
        <f t="shared" si="2043"/>
        <v>3.8499999999999091E-3</v>
      </c>
      <c r="AR638" s="6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</row>
    <row r="639" spans="1:88" hidden="1">
      <c r="B639" s="60" t="s">
        <v>69</v>
      </c>
      <c r="C639" s="58">
        <f>SUM(C557:C568)</f>
        <v>16943.113526301109</v>
      </c>
      <c r="D639" s="58">
        <f>SUM(D557:D568)</f>
        <v>15296.382000000003</v>
      </c>
      <c r="E639" s="58">
        <f t="shared" ref="E639:L639" si="2048">AVERAGE(E557:E568)</f>
        <v>141.23333333333332</v>
      </c>
      <c r="F639" s="58">
        <f t="shared" si="2048"/>
        <v>135.63833333333332</v>
      </c>
      <c r="G639" s="58">
        <f t="shared" si="2048"/>
        <v>158.14166666666665</v>
      </c>
      <c r="H639" s="58">
        <f t="shared" si="2048"/>
        <v>153.1225</v>
      </c>
      <c r="I639" s="59">
        <f t="shared" si="2048"/>
        <v>0.75638425669448217</v>
      </c>
      <c r="J639" s="59">
        <f t="shared" si="2048"/>
        <v>0.7168642107857246</v>
      </c>
      <c r="K639" s="59">
        <f t="shared" si="2048"/>
        <v>0.19349668798245415</v>
      </c>
      <c r="L639" s="59">
        <f t="shared" si="2048"/>
        <v>0.1747100198412698</v>
      </c>
      <c r="M639" s="59">
        <f>AVERAGE(M557:M568)</f>
        <v>0.98499999999999988</v>
      </c>
      <c r="N639" s="59">
        <f>AVERAGE(N557:N568)</f>
        <v>0.9669850134408603</v>
      </c>
      <c r="O639" s="59">
        <f>AVERAGE(O557:O568)</f>
        <v>0.9900000000000001</v>
      </c>
      <c r="P639" s="61">
        <f>AVERAGE(P557:P568)</f>
        <v>0.99686666666666657</v>
      </c>
      <c r="Q639" s="112">
        <f t="shared" si="2033"/>
        <v>-6.5453369482914137E-2</v>
      </c>
      <c r="R639" s="65">
        <f t="shared" si="2034"/>
        <v>-9.7191789675779128E-2</v>
      </c>
      <c r="S639" s="59">
        <f t="shared" si="2035"/>
        <v>-3.1738420192864991E-2</v>
      </c>
      <c r="T639" s="59">
        <f t="shared" si="2036"/>
        <v>-1.8014986559139579E-2</v>
      </c>
      <c r="U639" s="59">
        <f t="shared" si="2037"/>
        <v>6.8666666666664655E-3</v>
      </c>
      <c r="V639" s="61"/>
      <c r="X639" s="60" t="s">
        <v>69</v>
      </c>
      <c r="Y639" s="58">
        <f>SUM(Y557:Y568)</f>
        <v>8449.8684164990555</v>
      </c>
      <c r="Z639" s="58">
        <f>SUM(Z557:Z568)</f>
        <v>8059.0709999999999</v>
      </c>
      <c r="AA639" s="58">
        <f t="shared" ref="AA639:AH639" si="2049">AVERAGE(AA557:AA568)</f>
        <v>141.23333333333332</v>
      </c>
      <c r="AB639" s="58">
        <f t="shared" si="2049"/>
        <v>138.28749999999999</v>
      </c>
      <c r="AC639" s="58">
        <f t="shared" si="2049"/>
        <v>158.14166666666665</v>
      </c>
      <c r="AD639" s="58">
        <f t="shared" si="2049"/>
        <v>154.96166666666667</v>
      </c>
      <c r="AE639" s="59">
        <f t="shared" si="2049"/>
        <v>0.75417792964981289</v>
      </c>
      <c r="AF639" s="59">
        <f t="shared" si="2049"/>
        <v>0.75107023094733949</v>
      </c>
      <c r="AG639" s="59">
        <f t="shared" si="2049"/>
        <v>0.19300043508997985</v>
      </c>
      <c r="AH639" s="59">
        <f t="shared" si="2049"/>
        <v>0.18407032642089094</v>
      </c>
      <c r="AI639" s="59">
        <f>AVERAGE(AI557:AI568)</f>
        <v>0.98499999999999988</v>
      </c>
      <c r="AJ639" s="59">
        <f>AVERAGE(AJ557:AJ568)</f>
        <v>0.96164387480798774</v>
      </c>
      <c r="AK639" s="59">
        <f>AVERAGE(AK557:AK568)</f>
        <v>0.9900000000000001</v>
      </c>
      <c r="AL639" s="61">
        <f>AVERAGE(AL557:AL568)</f>
        <v>0.99764166666666665</v>
      </c>
      <c r="AM639" s="112">
        <f t="shared" si="2039"/>
        <v>-2.6140382701034359E-2</v>
      </c>
      <c r="AN639" s="65">
        <f t="shared" si="2040"/>
        <v>-4.6248935159273197E-2</v>
      </c>
      <c r="AO639" s="59">
        <f t="shared" si="2041"/>
        <v>-2.0108552458238838E-2</v>
      </c>
      <c r="AP639" s="59">
        <f t="shared" si="2042"/>
        <v>-2.3356125192012134E-2</v>
      </c>
      <c r="AQ639" s="59">
        <f t="shared" si="2043"/>
        <v>7.6416666666665467E-3</v>
      </c>
      <c r="AR639" s="6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</row>
    <row r="640" spans="1:88" hidden="1">
      <c r="B640" s="60" t="s">
        <v>70</v>
      </c>
      <c r="C640" s="58">
        <f>SUM(C569:C580)</f>
        <v>16858.397958669604</v>
      </c>
      <c r="D640" s="58">
        <f>SUM(D569:D580)</f>
        <v>15209.034</v>
      </c>
      <c r="E640" s="58">
        <f t="shared" ref="E640:P640" si="2050">AVERAGE(E569:E580)</f>
        <v>141.23333333333332</v>
      </c>
      <c r="F640" s="58">
        <f t="shared" si="2050"/>
        <v>133.56666666666669</v>
      </c>
      <c r="G640" s="58">
        <f t="shared" si="2050"/>
        <v>158.14166666666665</v>
      </c>
      <c r="H640" s="58">
        <f t="shared" si="2050"/>
        <v>149.90416666666667</v>
      </c>
      <c r="I640" s="59">
        <f t="shared" si="2050"/>
        <v>0.75260233541100974</v>
      </c>
      <c r="J640" s="59">
        <f t="shared" si="2050"/>
        <v>0.72176356647849838</v>
      </c>
      <c r="K640" s="59">
        <f t="shared" si="2050"/>
        <v>0.19252920454254185</v>
      </c>
      <c r="L640" s="59">
        <f t="shared" si="2050"/>
        <v>0.17387804259472608</v>
      </c>
      <c r="M640" s="59">
        <f t="shared" si="2050"/>
        <v>0.98499999999999988</v>
      </c>
      <c r="N640" s="59">
        <f t="shared" si="2050"/>
        <v>0.98110955384659482</v>
      </c>
      <c r="O640" s="59">
        <f t="shared" si="2050"/>
        <v>0.9900000000000001</v>
      </c>
      <c r="P640" s="61">
        <f t="shared" si="2050"/>
        <v>0.9985900806451613</v>
      </c>
      <c r="Q640" s="83">
        <f t="shared" si="2033"/>
        <v>-4.5746968900717055E-2</v>
      </c>
      <c r="R640" s="65">
        <f t="shared" si="2034"/>
        <v>-9.7836340244975784E-2</v>
      </c>
      <c r="S640" s="59">
        <f t="shared" si="2035"/>
        <v>-5.2089371344258728E-2</v>
      </c>
      <c r="T640" s="59">
        <f>N640-M640</f>
        <v>-3.8904461534050583E-3</v>
      </c>
      <c r="U640" s="59">
        <f t="shared" si="2037"/>
        <v>8.5900806451612022E-3</v>
      </c>
      <c r="V640" s="61">
        <f>AVERAGE(V569:V580)</f>
        <v>-1.3705068018265557E-2</v>
      </c>
      <c r="X640" s="60" t="s">
        <v>70</v>
      </c>
      <c r="Y640" s="58">
        <f>SUM(Y569:Y580)</f>
        <v>8407.6190744165633</v>
      </c>
      <c r="Z640" s="58">
        <f>SUM(Z569:Z580)</f>
        <v>7942.65</v>
      </c>
      <c r="AA640" s="58">
        <f t="shared" ref="AA640:AL640" si="2051">AVERAGE(AA569:AA580)</f>
        <v>141.23333333333332</v>
      </c>
      <c r="AB640" s="58">
        <f t="shared" si="2051"/>
        <v>136.34083333333334</v>
      </c>
      <c r="AC640" s="58">
        <f t="shared" si="2051"/>
        <v>158.14166666666665</v>
      </c>
      <c r="AD640" s="58">
        <f t="shared" si="2051"/>
        <v>152.79249999999999</v>
      </c>
      <c r="AE640" s="59">
        <f t="shared" si="2051"/>
        <v>0.75040704000156377</v>
      </c>
      <c r="AF640" s="59">
        <f t="shared" si="2051"/>
        <v>0.74363883478775306</v>
      </c>
      <c r="AG640" s="59">
        <f t="shared" si="2051"/>
        <v>0.19203543291452996</v>
      </c>
      <c r="AH640" s="59">
        <f t="shared" si="2051"/>
        <v>0.18160170842933951</v>
      </c>
      <c r="AI640" s="59">
        <f t="shared" si="2051"/>
        <v>0.98499999999999988</v>
      </c>
      <c r="AJ640" s="59">
        <f t="shared" si="2051"/>
        <v>0.9759794200777181</v>
      </c>
      <c r="AK640" s="59">
        <f t="shared" si="2051"/>
        <v>0.9900000000000001</v>
      </c>
      <c r="AL640" s="61">
        <f t="shared" si="2051"/>
        <v>0.99820560931899627</v>
      </c>
      <c r="AM640" s="83">
        <f t="shared" si="2039"/>
        <v>-2.1478142572161407E-2</v>
      </c>
      <c r="AN640" s="65">
        <f t="shared" si="2040"/>
        <v>-5.5303299340881407E-2</v>
      </c>
      <c r="AO640" s="59">
        <f t="shared" si="2041"/>
        <v>-3.3825156768719999E-2</v>
      </c>
      <c r="AP640" s="59">
        <f>AJ640-AI640</f>
        <v>-9.0205799222817795E-3</v>
      </c>
      <c r="AQ640" s="59">
        <f t="shared" si="2043"/>
        <v>8.2056093189961654E-3</v>
      </c>
      <c r="AR640" s="61">
        <f>AVERAGE(AR569:AR580)</f>
        <v>-1.2673164516707275E-2</v>
      </c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</row>
    <row r="641" spans="2:88" hidden="1">
      <c r="B641" s="60" t="s">
        <v>71</v>
      </c>
      <c r="C641" s="58">
        <f>SUM(C581:C592)</f>
        <v>16774.105968876254</v>
      </c>
      <c r="D641" s="58">
        <f>SUM(D581:D592)</f>
        <v>15039.114</v>
      </c>
      <c r="E641" s="58">
        <f t="shared" ref="E641:P641" si="2052">AVERAGE(E581:E592)</f>
        <v>141.23333333333332</v>
      </c>
      <c r="F641" s="58">
        <f t="shared" si="2052"/>
        <v>134.98750000000001</v>
      </c>
      <c r="G641" s="58">
        <f t="shared" si="2052"/>
        <v>158.14166666666665</v>
      </c>
      <c r="H641" s="58">
        <f t="shared" si="2052"/>
        <v>150.67916666666665</v>
      </c>
      <c r="I641" s="59">
        <f t="shared" si="2052"/>
        <v>0.7488393237339549</v>
      </c>
      <c r="J641" s="59">
        <f t="shared" si="2052"/>
        <v>0.70384027136284388</v>
      </c>
      <c r="K641" s="59">
        <f t="shared" si="2052"/>
        <v>0.19156655851982915</v>
      </c>
      <c r="L641" s="59">
        <f t="shared" si="2052"/>
        <v>0.17179659450204812</v>
      </c>
      <c r="M641" s="59">
        <f t="shared" si="2052"/>
        <v>0.98499999999999988</v>
      </c>
      <c r="N641" s="59">
        <f t="shared" si="2052"/>
        <v>0.98713950051625465</v>
      </c>
      <c r="O641" s="59">
        <f t="shared" si="2052"/>
        <v>0.9900000000000001</v>
      </c>
      <c r="P641" s="61">
        <f t="shared" si="2052"/>
        <v>0.99976696428571421</v>
      </c>
      <c r="Q641" s="83">
        <f>R641-S641</f>
        <v>-5.6244051447401633E-2</v>
      </c>
      <c r="R641" s="65">
        <f t="shared" si="2034"/>
        <v>-0.10343275356048598</v>
      </c>
      <c r="S641" s="59">
        <f t="shared" si="2035"/>
        <v>-4.7188702113084346E-2</v>
      </c>
      <c r="T641" s="59">
        <f>N641-M641</f>
        <v>2.1395005162547776E-3</v>
      </c>
      <c r="U641" s="59">
        <f>P641-O641</f>
        <v>9.7669642857141081E-3</v>
      </c>
      <c r="V641" s="61">
        <f>AVERAGE(V581:V592)</f>
        <v>-1.4732851281283758E-2</v>
      </c>
      <c r="X641" s="60" t="s">
        <v>71</v>
      </c>
      <c r="Y641" s="58">
        <f>SUM(Y581:Y592)</f>
        <v>8365.58097904448</v>
      </c>
      <c r="Z641" s="58">
        <f>SUM(Z581:Z592)</f>
        <v>7806.108000000002</v>
      </c>
      <c r="AA641" s="58">
        <f t="shared" ref="AA641:AL641" si="2053">AVERAGE(AA581:AA592)</f>
        <v>141.23333333333332</v>
      </c>
      <c r="AB641" s="58">
        <f t="shared" si="2053"/>
        <v>135.87833333333336</v>
      </c>
      <c r="AC641" s="58">
        <f t="shared" si="2053"/>
        <v>158.14166666666665</v>
      </c>
      <c r="AD641" s="58">
        <f t="shared" si="2053"/>
        <v>152.465</v>
      </c>
      <c r="AE641" s="59">
        <f t="shared" si="2053"/>
        <v>0.746655004801556</v>
      </c>
      <c r="AF641" s="59">
        <f t="shared" si="2053"/>
        <v>0.72163749040261871</v>
      </c>
      <c r="AG641" s="59">
        <f t="shared" si="2053"/>
        <v>0.19107525574995732</v>
      </c>
      <c r="AH641" s="59">
        <f t="shared" si="2053"/>
        <v>0.17838672827060931</v>
      </c>
      <c r="AI641" s="59">
        <f t="shared" si="2053"/>
        <v>0.98499999999999988</v>
      </c>
      <c r="AJ641" s="59">
        <f t="shared" si="2053"/>
        <v>0.9877940456356874</v>
      </c>
      <c r="AK641" s="59">
        <f t="shared" si="2053"/>
        <v>0.9900000000000001</v>
      </c>
      <c r="AL641" s="61">
        <f t="shared" si="2053"/>
        <v>0.99933983166922669</v>
      </c>
      <c r="AM641" s="83">
        <f>AN641-AO641</f>
        <v>-3.098187394510088E-2</v>
      </c>
      <c r="AN641" s="65">
        <f t="shared" si="2040"/>
        <v>-6.6877958679252614E-2</v>
      </c>
      <c r="AO641" s="59">
        <f t="shared" si="2041"/>
        <v>-3.5896084734151734E-2</v>
      </c>
      <c r="AP641" s="59">
        <f>AJ641-AI641</f>
        <v>2.7940456356875254E-3</v>
      </c>
      <c r="AQ641" s="59">
        <f>AL641-AK641</f>
        <v>9.3398316692265837E-3</v>
      </c>
      <c r="AR641" s="61">
        <f>AVERAGE(AR581:AR592)</f>
        <v>-1.4397630684573899E-2</v>
      </c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</row>
    <row r="642" spans="2:88" hidden="1">
      <c r="B642" s="60" t="s">
        <v>72</v>
      </c>
      <c r="C642" s="58">
        <f>SUM(C593:C604)</f>
        <v>16690.235439031872</v>
      </c>
      <c r="D642" s="58">
        <f>SUM(D593:D604)</f>
        <v>14157.972</v>
      </c>
      <c r="E642" s="58">
        <f t="shared" ref="E642:P642" si="2054">AVERAGE(E593:E604)</f>
        <v>141.23333333333332</v>
      </c>
      <c r="F642" s="58">
        <f t="shared" si="2054"/>
        <v>132.25750000000002</v>
      </c>
      <c r="G642" s="58">
        <f t="shared" si="2054"/>
        <v>158.14166666666665</v>
      </c>
      <c r="H642" s="58">
        <f t="shared" si="2054"/>
        <v>146.41499999999999</v>
      </c>
      <c r="I642" s="59">
        <f t="shared" si="2054"/>
        <v>0.74509512711528503</v>
      </c>
      <c r="J642" s="59">
        <f t="shared" si="2054"/>
        <v>0.69380705982380186</v>
      </c>
      <c r="K642" s="59">
        <f t="shared" si="2054"/>
        <v>0.19060872572723001</v>
      </c>
      <c r="L642" s="59">
        <f t="shared" si="2054"/>
        <v>0.16138497535842292</v>
      </c>
      <c r="M642" s="59">
        <f t="shared" si="2054"/>
        <v>0.98499999999999988</v>
      </c>
      <c r="N642" s="59">
        <f t="shared" si="2054"/>
        <v>0.97113812851208559</v>
      </c>
      <c r="O642" s="59">
        <f t="shared" si="2054"/>
        <v>0.9900000000000001</v>
      </c>
      <c r="P642" s="61">
        <f t="shared" si="2054"/>
        <v>0.99905968668891365</v>
      </c>
      <c r="Q642" s="83">
        <f>R642-S642</f>
        <v>-7.7568331362803389E-2</v>
      </c>
      <c r="R642" s="65">
        <f t="shared" si="2034"/>
        <v>-0.1517212533209632</v>
      </c>
      <c r="S642" s="59">
        <f t="shared" si="2035"/>
        <v>-7.4152921958159812E-2</v>
      </c>
      <c r="T642" s="59">
        <f>N642-M642</f>
        <v>-1.386187148791429E-2</v>
      </c>
      <c r="U642" s="59">
        <f>P642-O642</f>
        <v>9.0596866889135486E-3</v>
      </c>
      <c r="V642" s="61">
        <f>AVERAGE(V593:V604)</f>
        <v>-1.5036160138930332E-2</v>
      </c>
      <c r="X642" s="60" t="s">
        <v>72</v>
      </c>
      <c r="Y642" s="58">
        <f>SUM(Y593:Y604)</f>
        <v>8323.7530741492574</v>
      </c>
      <c r="Z642" s="58">
        <f>SUM(Z593:Z604)</f>
        <v>7363.7339999999986</v>
      </c>
      <c r="AA642" s="58">
        <f t="shared" ref="AA642:AL642" si="2055">AVERAGE(AA593:AA604)</f>
        <v>141.23333333333332</v>
      </c>
      <c r="AB642" s="58">
        <f t="shared" si="2055"/>
        <v>131.39500000000001</v>
      </c>
      <c r="AC642" s="58">
        <f t="shared" si="2055"/>
        <v>158.14166666666665</v>
      </c>
      <c r="AD642" s="58">
        <f t="shared" si="2055"/>
        <v>149.08166666666668</v>
      </c>
      <c r="AE642" s="59">
        <f t="shared" si="2055"/>
        <v>0.74292172977754822</v>
      </c>
      <c r="AF642" s="59">
        <f t="shared" si="2055"/>
        <v>0.70814000118312259</v>
      </c>
      <c r="AG642" s="59">
        <f t="shared" si="2055"/>
        <v>0.19011987947120748</v>
      </c>
      <c r="AH642" s="59">
        <f t="shared" si="2055"/>
        <v>0.16791024108577426</v>
      </c>
      <c r="AI642" s="59">
        <f t="shared" si="2055"/>
        <v>0.98499999999999988</v>
      </c>
      <c r="AJ642" s="59">
        <f t="shared" si="2055"/>
        <v>0.96955196136663202</v>
      </c>
      <c r="AK642" s="59">
        <f t="shared" si="2055"/>
        <v>0.9900000000000001</v>
      </c>
      <c r="AL642" s="61">
        <f t="shared" si="2055"/>
        <v>0.99912791991101235</v>
      </c>
      <c r="AM642" s="83">
        <f>AN642-AO642</f>
        <v>-5.804447729132578E-2</v>
      </c>
      <c r="AN642" s="65">
        <f t="shared" si="2040"/>
        <v>-0.11533488146479876</v>
      </c>
      <c r="AO642" s="59">
        <f t="shared" si="2041"/>
        <v>-5.7290404173472975E-2</v>
      </c>
      <c r="AP642" s="59">
        <f>AJ642-AI642</f>
        <v>-1.5448038633367855E-2</v>
      </c>
      <c r="AQ642" s="59">
        <f>AL642-AK642</f>
        <v>9.12791991101225E-3</v>
      </c>
      <c r="AR642" s="61">
        <f>AVERAGE(AR593:AR604)</f>
        <v>-1.4976943190980795E-2</v>
      </c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</row>
    <row r="643" spans="2:88">
      <c r="B643" s="60" t="s">
        <v>75</v>
      </c>
      <c r="C643" s="58">
        <f>SUM(C605:C626)</f>
        <v>43487.233324134271</v>
      </c>
      <c r="D643" s="58">
        <f>SUM(D605:D626)</f>
        <v>22443.173999999999</v>
      </c>
      <c r="E643" s="58">
        <f t="shared" ref="E643:P643" si="2056">AVERAGE(E605:E626)</f>
        <v>215.16863636363632</v>
      </c>
      <c r="F643" s="58">
        <f t="shared" si="2056"/>
        <v>201.56545454545449</v>
      </c>
      <c r="G643" s="58">
        <f t="shared" si="2056"/>
        <v>239.29999999999993</v>
      </c>
      <c r="H643" s="58">
        <f t="shared" si="2056"/>
        <v>219.04545454545453</v>
      </c>
      <c r="I643" s="59">
        <f t="shared" si="2056"/>
        <v>0.74691205921168402</v>
      </c>
      <c r="J643" s="59">
        <f t="shared" si="2056"/>
        <v>0.70311796891988787</v>
      </c>
      <c r="K643" s="59">
        <f t="shared" si="2056"/>
        <v>0.1899117271787597</v>
      </c>
      <c r="L643" s="59">
        <f t="shared" si="2056"/>
        <v>0.16239680596285438</v>
      </c>
      <c r="M643" s="59">
        <f t="shared" si="2056"/>
        <v>0.98499999999999988</v>
      </c>
      <c r="N643" s="59">
        <f t="shared" si="2056"/>
        <v>0.9706804886470356</v>
      </c>
      <c r="O643" s="59">
        <f t="shared" si="2056"/>
        <v>0.9900000000000001</v>
      </c>
      <c r="P643" s="61">
        <f t="shared" si="2056"/>
        <v>0.99838138807429144</v>
      </c>
      <c r="Q643" s="83">
        <f>R643-S643</f>
        <v>-0.39927269252283659</v>
      </c>
      <c r="R643" s="65">
        <f t="shared" si="2034"/>
        <v>-0.48391350094132968</v>
      </c>
      <c r="S643" s="59">
        <f t="shared" si="2035"/>
        <v>-8.4640808418493085E-2</v>
      </c>
      <c r="T643" s="59">
        <f>N643-M643</f>
        <v>-1.4319511352964276E-2</v>
      </c>
      <c r="U643" s="59">
        <f>P643-O643</f>
        <v>8.3813880742913405E-3</v>
      </c>
      <c r="V643" s="61" t="e">
        <f>AVERAGE(V605:V626)</f>
        <v>#DIV/0!</v>
      </c>
      <c r="X643" s="60" t="s">
        <v>75</v>
      </c>
      <c r="Y643" s="58">
        <f>SUM(Y605:Y626)</f>
        <v>21693.211977160179</v>
      </c>
      <c r="Z643" s="58">
        <f>SUM(Z605:Z626)</f>
        <v>10663.328999999998</v>
      </c>
      <c r="AA643" s="58">
        <f t="shared" ref="AA643:AL643" si="2057">AVERAGE(AA605:AA626)</f>
        <v>215.16863636363632</v>
      </c>
      <c r="AB643" s="58">
        <f t="shared" si="2057"/>
        <v>190.76545454545456</v>
      </c>
      <c r="AC643" s="58">
        <f t="shared" si="2057"/>
        <v>239.29999999999993</v>
      </c>
      <c r="AD643" s="58">
        <f t="shared" si="2057"/>
        <v>221.34272727272722</v>
      </c>
      <c r="AE643" s="59">
        <f t="shared" si="2057"/>
        <v>0.74471151425103954</v>
      </c>
      <c r="AF643" s="59">
        <f t="shared" si="2057"/>
        <v>0.71594664394876151</v>
      </c>
      <c r="AG643" s="59">
        <f t="shared" si="2057"/>
        <v>0.18815560009499455</v>
      </c>
      <c r="AH643" s="59">
        <f t="shared" si="2057"/>
        <v>0.16533109156076897</v>
      </c>
      <c r="AI643" s="59">
        <f t="shared" si="2057"/>
        <v>0.98499999999999988</v>
      </c>
      <c r="AJ643" s="59">
        <f t="shared" si="2057"/>
        <v>0.95541364609342239</v>
      </c>
      <c r="AK643" s="59">
        <f t="shared" si="2057"/>
        <v>0.9900000000000001</v>
      </c>
      <c r="AL643" s="61">
        <f t="shared" si="2057"/>
        <v>0.99843600474794014</v>
      </c>
      <c r="AM643" s="83">
        <f>AN643-AO643</f>
        <v>-0.43340774818437655</v>
      </c>
      <c r="AN643" s="65">
        <f t="shared" si="2040"/>
        <v>-0.50844858699454254</v>
      </c>
      <c r="AO643" s="59">
        <f t="shared" si="2041"/>
        <v>-7.5040838810165988E-2</v>
      </c>
      <c r="AP643" s="59">
        <f>AJ643-AI643</f>
        <v>-2.9586353906577489E-2</v>
      </c>
      <c r="AQ643" s="59">
        <f>AL643-AK643</f>
        <v>8.4360047479400402E-3</v>
      </c>
      <c r="AR643" s="61" t="e">
        <f>AVERAGE(AR605:AR626)</f>
        <v>#DIV/0!</v>
      </c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</row>
    <row r="644" spans="2:88" ht="15.75" thickBot="1"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</row>
    <row r="645" spans="2:88" ht="15.75" thickBot="1">
      <c r="X645" s="221" t="s">
        <v>12</v>
      </c>
      <c r="Y645" s="222"/>
      <c r="Z645" s="222"/>
      <c r="AA645" s="222"/>
      <c r="AB645" s="222"/>
      <c r="AC645" s="222"/>
      <c r="AD645" s="222"/>
      <c r="AE645" s="222"/>
      <c r="AF645" s="222"/>
      <c r="AG645" s="222"/>
      <c r="AH645" s="222"/>
      <c r="AI645" s="222"/>
      <c r="AJ645" s="222"/>
      <c r="AK645" s="222"/>
      <c r="AL645" s="223"/>
      <c r="AN645" s="215" t="s">
        <v>34</v>
      </c>
      <c r="AO645" s="216"/>
      <c r="AP645" s="216"/>
      <c r="AQ645" s="216"/>
      <c r="AR645" s="217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</row>
    <row r="646" spans="2:88" ht="60">
      <c r="X646" s="7" t="s">
        <v>0</v>
      </c>
      <c r="Y646" s="6" t="s">
        <v>1</v>
      </c>
      <c r="Z646" s="6" t="s">
        <v>2</v>
      </c>
      <c r="AA646" s="6" t="s">
        <v>4</v>
      </c>
      <c r="AB646" s="6" t="s">
        <v>3</v>
      </c>
      <c r="AC646" s="6" t="s">
        <v>5</v>
      </c>
      <c r="AD646" s="6" t="s">
        <v>6</v>
      </c>
      <c r="AE646" s="8" t="s">
        <v>19</v>
      </c>
      <c r="AF646" s="8" t="s">
        <v>18</v>
      </c>
      <c r="AG646" s="6" t="s">
        <v>41</v>
      </c>
      <c r="AH646" s="6" t="s">
        <v>24</v>
      </c>
      <c r="AI646" s="8" t="s">
        <v>20</v>
      </c>
      <c r="AJ646" s="8" t="s">
        <v>21</v>
      </c>
      <c r="AK646" s="8" t="s">
        <v>22</v>
      </c>
      <c r="AL646" s="9" t="s">
        <v>23</v>
      </c>
      <c r="AN646" s="66" t="s">
        <v>25</v>
      </c>
      <c r="AO646" s="67" t="s">
        <v>26</v>
      </c>
      <c r="AP646" s="67" t="s">
        <v>27</v>
      </c>
      <c r="AQ646" s="67" t="s">
        <v>28</v>
      </c>
      <c r="AR646" s="68" t="s">
        <v>40</v>
      </c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</row>
    <row r="647" spans="2:88" hidden="1">
      <c r="X647" s="5">
        <v>42766</v>
      </c>
      <c r="Y647" s="2"/>
      <c r="Z647" s="2">
        <v>0</v>
      </c>
      <c r="AA647" s="2">
        <v>79.599999999999994</v>
      </c>
      <c r="AB647" s="2"/>
      <c r="AC647" s="2">
        <v>103.2</v>
      </c>
      <c r="AD647" s="2"/>
      <c r="AE647" s="12">
        <v>0.82763481424572438</v>
      </c>
      <c r="AF647" s="2"/>
      <c r="AG647" s="2"/>
      <c r="AH647" s="2"/>
      <c r="AI647" s="10">
        <v>0.98499999999999999</v>
      </c>
      <c r="AJ647" s="2"/>
      <c r="AK647" s="10">
        <v>0.99</v>
      </c>
      <c r="AL647" s="3"/>
      <c r="AN647" s="77"/>
      <c r="AO647" s="78"/>
      <c r="AP647" s="78"/>
      <c r="AQ647" s="78"/>
      <c r="AR647" s="79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</row>
    <row r="648" spans="2:88" hidden="1">
      <c r="X648" s="5">
        <v>42794</v>
      </c>
      <c r="Y648" s="2"/>
      <c r="Z648" s="2">
        <v>0</v>
      </c>
      <c r="AA648" s="2">
        <v>108.1</v>
      </c>
      <c r="AB648" s="2"/>
      <c r="AC648" s="2">
        <v>137.5</v>
      </c>
      <c r="AD648" s="2"/>
      <c r="AE648" s="14">
        <v>0.81555559393111998</v>
      </c>
      <c r="AF648" s="2"/>
      <c r="AG648" s="2"/>
      <c r="AH648" s="2"/>
      <c r="AI648" s="10">
        <v>0.98499999999999999</v>
      </c>
      <c r="AJ648" s="2"/>
      <c r="AK648" s="10">
        <v>0.99</v>
      </c>
      <c r="AL648" s="3"/>
      <c r="AN648" s="77"/>
      <c r="AO648" s="78"/>
      <c r="AP648" s="78"/>
      <c r="AQ648" s="78"/>
      <c r="AR648" s="79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</row>
    <row r="649" spans="2:88" hidden="1">
      <c r="X649" s="5">
        <v>42825</v>
      </c>
      <c r="Y649" s="2"/>
      <c r="Z649" s="2">
        <v>44.795999999999999</v>
      </c>
      <c r="AA649" s="2">
        <v>161.4</v>
      </c>
      <c r="AB649" s="2"/>
      <c r="AC649" s="2">
        <v>187.8</v>
      </c>
      <c r="AD649" s="2"/>
      <c r="AE649" s="14">
        <v>0.80080060538540998</v>
      </c>
      <c r="AF649" s="2"/>
      <c r="AG649" s="2"/>
      <c r="AH649" s="2"/>
      <c r="AI649" s="10">
        <v>0.98499999999999999</v>
      </c>
      <c r="AJ649" s="2"/>
      <c r="AK649" s="10">
        <v>0.99</v>
      </c>
      <c r="AL649" s="3"/>
      <c r="AN649" s="81" t="e">
        <f>Z649/Y649-1</f>
        <v>#DIV/0!</v>
      </c>
      <c r="AO649" s="78"/>
      <c r="AP649" s="78"/>
      <c r="AQ649" s="78"/>
      <c r="AR649" s="79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</row>
    <row r="650" spans="2:88" hidden="1">
      <c r="X650" s="5">
        <v>42855</v>
      </c>
      <c r="Y650" s="2">
        <v>933.23753176531341</v>
      </c>
      <c r="Z650" s="2">
        <v>393.66899999999998</v>
      </c>
      <c r="AA650" s="2">
        <v>190.2</v>
      </c>
      <c r="AB650" s="2"/>
      <c r="AC650" s="2">
        <v>194</v>
      </c>
      <c r="AD650" s="2"/>
      <c r="AE650" s="11">
        <v>0.80175045684305279</v>
      </c>
      <c r="AF650" s="2"/>
      <c r="AG650" s="11">
        <f t="shared" ref="AG650" si="2058">Y650/24/30/5</f>
        <v>0.25923264771258708</v>
      </c>
      <c r="AH650" s="11">
        <f t="shared" ref="AH650" si="2059">Z650/24/30/5</f>
        <v>0.10935249999999999</v>
      </c>
      <c r="AI650" s="10">
        <v>0.98499999999999999</v>
      </c>
      <c r="AJ650" s="2"/>
      <c r="AK650" s="10">
        <v>0.99</v>
      </c>
      <c r="AL650" s="3"/>
      <c r="AN650" s="81">
        <f t="shared" ref="AN650:AN673" si="2060">Z650/Y650-1</f>
        <v>-0.57816848701387402</v>
      </c>
      <c r="AO650" s="78"/>
      <c r="AP650" s="78"/>
      <c r="AQ650" s="78"/>
      <c r="AR650" s="79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</row>
    <row r="651" spans="2:88" hidden="1">
      <c r="X651" s="5">
        <v>42886</v>
      </c>
      <c r="Y651" s="2">
        <v>945.49761494667598</v>
      </c>
      <c r="Z651" s="2">
        <v>624.29399999999998</v>
      </c>
      <c r="AA651" s="2">
        <v>197</v>
      </c>
      <c r="AB651" s="2"/>
      <c r="AC651" s="2">
        <v>197.7</v>
      </c>
      <c r="AD651" s="2"/>
      <c r="AE651" s="14">
        <v>0.79708111190918562</v>
      </c>
      <c r="AF651" s="2"/>
      <c r="AG651" s="11">
        <f>Y651/24/31/5</f>
        <v>0.25416602552329998</v>
      </c>
      <c r="AH651" s="11">
        <f>Z651/24/31/5</f>
        <v>0.16782096774193547</v>
      </c>
      <c r="AI651" s="10">
        <v>0.98499999999999999</v>
      </c>
      <c r="AJ651" s="2"/>
      <c r="AK651" s="10">
        <v>0.99</v>
      </c>
      <c r="AL651" s="3"/>
      <c r="AN651" s="81">
        <f t="shared" si="2060"/>
        <v>-0.33971911707550018</v>
      </c>
      <c r="AO651" s="78"/>
      <c r="AP651" s="78"/>
      <c r="AQ651" s="78"/>
      <c r="AR651" s="79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</row>
    <row r="652" spans="2:88" hidden="1">
      <c r="X652" s="5">
        <v>42916</v>
      </c>
      <c r="Y652" s="2">
        <v>848.88815947753938</v>
      </c>
      <c r="Z652" s="2">
        <v>654.59100000000001</v>
      </c>
      <c r="AA652" s="2">
        <v>178.9</v>
      </c>
      <c r="AB652" s="2">
        <v>155.32</v>
      </c>
      <c r="AC652" s="2">
        <v>177.2</v>
      </c>
      <c r="AD652" s="2">
        <v>148.03</v>
      </c>
      <c r="AE652" s="14">
        <v>0.79842753901198216</v>
      </c>
      <c r="AF652" s="10">
        <f>Z652/6/AD652</f>
        <v>0.73700263460109439</v>
      </c>
      <c r="AG652" s="11">
        <f>Y652/24/30/5</f>
        <v>0.23580226652153874</v>
      </c>
      <c r="AH652" s="11">
        <f>Z652/24/30/5</f>
        <v>0.18183083333333333</v>
      </c>
      <c r="AI652" s="10">
        <v>0.98499999999999999</v>
      </c>
      <c r="AJ652" s="11">
        <v>0.82414458000000002</v>
      </c>
      <c r="AK652" s="10">
        <v>0.99</v>
      </c>
      <c r="AL652" s="16">
        <v>0.99860000000000004</v>
      </c>
      <c r="AM652" s="102">
        <f t="shared" ref="AM652:AM664" si="2061">AB652/F523-1</f>
        <v>3.5190615835777095E-2</v>
      </c>
      <c r="AN652" s="81">
        <f t="shared" si="2060"/>
        <v>-0.22888428505955649</v>
      </c>
      <c r="AO652" s="10">
        <f>AD652/AC652-1</f>
        <v>-0.16461625282167036</v>
      </c>
      <c r="AP652" s="10">
        <f>AJ652-AI652</f>
        <v>-0.16085541999999997</v>
      </c>
      <c r="AQ652" s="10">
        <f>AL652-AK652</f>
        <v>8.600000000000052E-3</v>
      </c>
      <c r="AR652" s="23"/>
    </row>
    <row r="653" spans="2:88" hidden="1">
      <c r="X653" s="5">
        <v>42947</v>
      </c>
      <c r="Y653" s="2">
        <v>751.29789735389397</v>
      </c>
      <c r="Z653" s="2">
        <v>501.654</v>
      </c>
      <c r="AA653" s="2">
        <v>155.5</v>
      </c>
      <c r="AB653" s="2">
        <v>155.74</v>
      </c>
      <c r="AC653" s="2">
        <v>154.6</v>
      </c>
      <c r="AD653" s="2">
        <v>153.06</v>
      </c>
      <c r="AE653" s="14">
        <v>0.80993736239100256</v>
      </c>
      <c r="AF653" s="10">
        <f t="shared" ref="AF653:AF661" si="2062">Z653/6/AD653</f>
        <v>0.54624983666535998</v>
      </c>
      <c r="AG653" s="11">
        <f>Y653/24/31/5</f>
        <v>0.20196180036394998</v>
      </c>
      <c r="AH653" s="11">
        <f>Z653/24/31/5</f>
        <v>0.13485322580645159</v>
      </c>
      <c r="AI653" s="10">
        <v>0.98499999999999999</v>
      </c>
      <c r="AJ653" s="15">
        <v>0.75889202999999994</v>
      </c>
      <c r="AK653" s="10">
        <v>0.99</v>
      </c>
      <c r="AL653" s="16">
        <v>0.98929999999999996</v>
      </c>
      <c r="AM653" s="102">
        <f t="shared" si="2061"/>
        <v>-8.3402835696411159E-4</v>
      </c>
      <c r="AN653" s="81">
        <f t="shared" si="2060"/>
        <v>-0.3322835032989595</v>
      </c>
      <c r="AO653" s="10">
        <f t="shared" ref="AO653:AO657" si="2063">AD653/AC653-1</f>
        <v>-9.9611901681758708E-3</v>
      </c>
      <c r="AP653" s="10">
        <f t="shared" ref="AP653:AP673" si="2064">AJ653-AI653</f>
        <v>-0.22610797000000005</v>
      </c>
      <c r="AQ653" s="10">
        <f t="shared" ref="AQ653:AQ673" si="2065">AL653-AK653</f>
        <v>-7.0000000000003393E-4</v>
      </c>
      <c r="AR653" s="23"/>
    </row>
    <row r="654" spans="2:88" hidden="1">
      <c r="X654" s="5">
        <v>42978</v>
      </c>
      <c r="Y654" s="2">
        <v>713.53684115529745</v>
      </c>
      <c r="Z654" s="2">
        <v>518.77800000000002</v>
      </c>
      <c r="AA654" s="2">
        <v>145.4</v>
      </c>
      <c r="AB654" s="2">
        <v>126.64</v>
      </c>
      <c r="AC654" s="2">
        <v>146.30000000000001</v>
      </c>
      <c r="AD654" s="2">
        <v>127.41</v>
      </c>
      <c r="AE654" s="14">
        <v>0.81286949322772539</v>
      </c>
      <c r="AF654" s="10">
        <f t="shared" si="2062"/>
        <v>0.67862020249587951</v>
      </c>
      <c r="AG654" s="11">
        <f>Y654/24/31/5</f>
        <v>0.19181097880518747</v>
      </c>
      <c r="AH654" s="11">
        <f>Z654/24/31/5</f>
        <v>0.13945645161290324</v>
      </c>
      <c r="AI654" s="10">
        <v>0.98499999999999999</v>
      </c>
      <c r="AJ654" s="10">
        <v>0.83907969999999998</v>
      </c>
      <c r="AK654" s="10">
        <v>0.99</v>
      </c>
      <c r="AL654" s="16">
        <v>0.99099999999999999</v>
      </c>
      <c r="AM654" s="102">
        <f t="shared" si="2061"/>
        <v>-4.7103085026335645E-2</v>
      </c>
      <c r="AN654" s="81">
        <f t="shared" si="2060"/>
        <v>-0.27294854297916937</v>
      </c>
      <c r="AO654" s="10">
        <f t="shared" si="2063"/>
        <v>-0.12911825017088185</v>
      </c>
      <c r="AP654" s="10">
        <f t="shared" si="2064"/>
        <v>-0.1459203</v>
      </c>
      <c r="AQ654" s="10">
        <f t="shared" si="2065"/>
        <v>1.0000000000000009E-3</v>
      </c>
      <c r="AR654" s="23"/>
    </row>
    <row r="655" spans="2:88" hidden="1">
      <c r="X655" s="5">
        <v>43008</v>
      </c>
      <c r="Y655" s="2">
        <v>711.08482451902501</v>
      </c>
      <c r="Z655" s="2">
        <v>603.79499999999996</v>
      </c>
      <c r="AA655" s="2">
        <v>141.6</v>
      </c>
      <c r="AB655" s="2">
        <v>124.99</v>
      </c>
      <c r="AC655" s="2">
        <v>145.5</v>
      </c>
      <c r="AD655" s="2">
        <v>127.09</v>
      </c>
      <c r="AE655" s="14">
        <v>0.81453015408823026</v>
      </c>
      <c r="AF655" s="10">
        <f t="shared" si="2062"/>
        <v>0.79182075694389797</v>
      </c>
      <c r="AG655" s="11">
        <f>Y655/24/30/5</f>
        <v>0.19752356236639584</v>
      </c>
      <c r="AH655" s="11">
        <f>Z655/24/30/5</f>
        <v>0.16772083333333332</v>
      </c>
      <c r="AI655" s="10">
        <v>0.98499999999999999</v>
      </c>
      <c r="AJ655" s="11">
        <v>0.96731053999999994</v>
      </c>
      <c r="AK655" s="10">
        <v>0.99</v>
      </c>
      <c r="AL655" s="16">
        <v>0.99129999999999996</v>
      </c>
      <c r="AM655" s="102">
        <f t="shared" si="2061"/>
        <v>2.5685212538979041E-2</v>
      </c>
      <c r="AN655" s="81">
        <f t="shared" si="2060"/>
        <v>-0.15088189315753642</v>
      </c>
      <c r="AO655" s="10">
        <f t="shared" si="2063"/>
        <v>-0.1265292096219931</v>
      </c>
      <c r="AP655" s="10">
        <f t="shared" si="2064"/>
        <v>-1.7689460000000046E-2</v>
      </c>
      <c r="AQ655" s="10">
        <f t="shared" si="2065"/>
        <v>1.2999999999999678E-3</v>
      </c>
      <c r="AR655" s="23"/>
    </row>
    <row r="656" spans="2:88" hidden="1">
      <c r="X656" s="5">
        <v>43039</v>
      </c>
      <c r="Y656" s="2">
        <v>815.05032989697895</v>
      </c>
      <c r="Z656" s="2">
        <v>706.67100000000005</v>
      </c>
      <c r="AA656" s="2">
        <v>139.1</v>
      </c>
      <c r="AB656" s="2">
        <v>128.03</v>
      </c>
      <c r="AC656" s="2">
        <v>172.2</v>
      </c>
      <c r="AD656" s="2">
        <v>150.87</v>
      </c>
      <c r="AE656" s="14">
        <v>0.78886017218058357</v>
      </c>
      <c r="AF656" s="10">
        <f t="shared" si="2062"/>
        <v>0.7806621594750448</v>
      </c>
      <c r="AG656" s="11">
        <f>Y656/24/31/5</f>
        <v>0.21909955104757498</v>
      </c>
      <c r="AH656" s="11">
        <f>Z656/24/31/5</f>
        <v>0.18996532258064519</v>
      </c>
      <c r="AI656" s="10">
        <v>0.98499999999999999</v>
      </c>
      <c r="AJ656" s="11">
        <v>0.9719546</v>
      </c>
      <c r="AK656" s="10">
        <v>0.99</v>
      </c>
      <c r="AL656" s="16">
        <v>0.97399999999999998</v>
      </c>
      <c r="AM656" s="102">
        <f t="shared" si="2061"/>
        <v>5.4975261132490516E-3</v>
      </c>
      <c r="AN656" s="81">
        <f t="shared" si="2060"/>
        <v>-0.13297256122904444</v>
      </c>
      <c r="AO656" s="10">
        <f t="shared" si="2063"/>
        <v>-0.12386759581881523</v>
      </c>
      <c r="AP656" s="10">
        <f t="shared" si="2064"/>
        <v>-1.3045399999999985E-2</v>
      </c>
      <c r="AQ656" s="10">
        <f t="shared" si="2065"/>
        <v>-1.6000000000000014E-2</v>
      </c>
      <c r="AR656" s="23"/>
    </row>
    <row r="657" spans="24:44" hidden="1">
      <c r="X657" s="5">
        <v>43069</v>
      </c>
      <c r="Y657" s="2">
        <v>721.38329439136942</v>
      </c>
      <c r="Z657" s="2">
        <v>566.02499999999998</v>
      </c>
      <c r="AA657" s="2">
        <v>108.1</v>
      </c>
      <c r="AB657" s="2">
        <v>87.17</v>
      </c>
      <c r="AC657" s="2">
        <v>152.1</v>
      </c>
      <c r="AD657" s="2">
        <v>114.62</v>
      </c>
      <c r="AE657" s="12">
        <v>0.79047040805541247</v>
      </c>
      <c r="AF657" s="10">
        <f t="shared" si="2062"/>
        <v>0.82304571627988121</v>
      </c>
      <c r="AG657" s="11">
        <f>Y657/24/30/5</f>
        <v>0.20038424844204705</v>
      </c>
      <c r="AH657" s="11">
        <f>Z657/24/30/5</f>
        <v>0.15722916666666664</v>
      </c>
      <c r="AI657" s="10">
        <v>0.98499999999999999</v>
      </c>
      <c r="AJ657" s="11">
        <v>0.97794199999999998</v>
      </c>
      <c r="AK657" s="10">
        <v>0.99</v>
      </c>
      <c r="AL657" s="16">
        <v>0.98</v>
      </c>
      <c r="AM657" s="102">
        <f t="shared" si="2061"/>
        <v>-4.857018118314782E-2</v>
      </c>
      <c r="AN657" s="81">
        <f t="shared" si="2060"/>
        <v>-0.21536164699023852</v>
      </c>
      <c r="AO657" s="10">
        <f t="shared" si="2063"/>
        <v>-0.24641683103221557</v>
      </c>
      <c r="AP657" s="10">
        <f t="shared" si="2064"/>
        <v>-7.0580000000000087E-3</v>
      </c>
      <c r="AQ657" s="10">
        <f t="shared" si="2065"/>
        <v>-1.0000000000000009E-2</v>
      </c>
      <c r="AR657" s="23"/>
    </row>
    <row r="658" spans="24:44" hidden="1">
      <c r="X658" s="5">
        <v>43100</v>
      </c>
      <c r="Y658" s="2">
        <v>606.13851248656192</v>
      </c>
      <c r="Z658" s="2">
        <v>547.58100000000002</v>
      </c>
      <c r="AA658" s="2">
        <v>89.9</v>
      </c>
      <c r="AB658" s="2">
        <v>78.14</v>
      </c>
      <c r="AC658" s="2">
        <v>129.6</v>
      </c>
      <c r="AD658" s="2">
        <v>107.15</v>
      </c>
      <c r="AE658" s="14">
        <v>0.77949911585206011</v>
      </c>
      <c r="AF658" s="10">
        <f t="shared" si="2062"/>
        <v>0.85173588427438174</v>
      </c>
      <c r="AG658" s="11">
        <f>Y658/24/31/5</f>
        <v>0.16294046034584997</v>
      </c>
      <c r="AH658" s="11">
        <f>Z658/24/31/5</f>
        <v>0.14719919354838712</v>
      </c>
      <c r="AI658" s="10">
        <v>0.98499999999999999</v>
      </c>
      <c r="AJ658" s="11">
        <v>0.99160000000000004</v>
      </c>
      <c r="AK658" s="10">
        <v>0.99</v>
      </c>
      <c r="AL658" s="16">
        <v>0.99160000000000004</v>
      </c>
      <c r="AM658" s="102">
        <f t="shared" si="2061"/>
        <v>-6.1053167133044983E-3</v>
      </c>
      <c r="AN658" s="81">
        <f t="shared" si="2060"/>
        <v>-9.6607477136441022E-2</v>
      </c>
      <c r="AO658" s="10">
        <f>AD658/AC658-1</f>
        <v>-0.17322530864197527</v>
      </c>
      <c r="AP658" s="10">
        <f t="shared" si="2064"/>
        <v>6.6000000000000503E-3</v>
      </c>
      <c r="AQ658" s="10">
        <f t="shared" si="2065"/>
        <v>1.6000000000000458E-3</v>
      </c>
      <c r="AR658" s="23"/>
    </row>
    <row r="659" spans="24:44" hidden="1">
      <c r="X659" s="5">
        <v>43131</v>
      </c>
      <c r="Y659" s="2">
        <v>509.90911959604773</v>
      </c>
      <c r="Z659" s="2">
        <v>484.30799999999999</v>
      </c>
      <c r="AA659" s="2">
        <v>79.599999999999994</v>
      </c>
      <c r="AB659" s="2">
        <v>71.33</v>
      </c>
      <c r="AC659" s="2">
        <v>103.2</v>
      </c>
      <c r="AD659" s="2">
        <v>96.31</v>
      </c>
      <c r="AE659" s="12">
        <v>0.82763481424572438</v>
      </c>
      <c r="AF659" s="10">
        <f t="shared" si="2062"/>
        <v>0.83810611566815496</v>
      </c>
      <c r="AG659" s="11">
        <f>Y659/24/31/5</f>
        <v>0.1370723439774322</v>
      </c>
      <c r="AH659" s="11">
        <f>Z659/24/31/5</f>
        <v>0.13019032258064517</v>
      </c>
      <c r="AI659" s="10">
        <v>0.98499999999999999</v>
      </c>
      <c r="AJ659" s="11">
        <v>0.98080000000000001</v>
      </c>
      <c r="AK659" s="10">
        <v>0.99</v>
      </c>
      <c r="AL659" s="16">
        <v>0.9849</v>
      </c>
      <c r="AM659" s="102">
        <f t="shared" si="2061"/>
        <v>-2.5812619502868062E-2</v>
      </c>
      <c r="AN659" s="81">
        <f t="shared" si="2060"/>
        <v>-5.0207220487307747E-2</v>
      </c>
      <c r="AO659" s="10">
        <f t="shared" ref="AO659:AO673" si="2066">AD659/AC659-1</f>
        <v>-6.676356589147292E-2</v>
      </c>
      <c r="AP659" s="10">
        <f t="shared" si="2064"/>
        <v>-4.1999999999999815E-3</v>
      </c>
      <c r="AQ659" s="10">
        <f t="shared" si="2065"/>
        <v>-5.0999999999999934E-3</v>
      </c>
      <c r="AR659" s="23"/>
    </row>
    <row r="660" spans="24:44" hidden="1">
      <c r="X660" s="5">
        <v>43159</v>
      </c>
      <c r="Y660" s="2">
        <v>669.4691981682081</v>
      </c>
      <c r="Z660" s="2">
        <f>686193/1000</f>
        <v>686.19299999999998</v>
      </c>
      <c r="AA660" s="2">
        <v>108.1</v>
      </c>
      <c r="AB660" s="2">
        <v>108.25</v>
      </c>
      <c r="AC660" s="2">
        <v>137.5</v>
      </c>
      <c r="AD660" s="2">
        <v>138.13</v>
      </c>
      <c r="AE660" s="14">
        <v>0.81555559393111998</v>
      </c>
      <c r="AF660" s="10">
        <f t="shared" si="2062"/>
        <v>0.82795554912039382</v>
      </c>
      <c r="AG660" s="11">
        <f>Y660/24/28/5</f>
        <v>0.19924678516910957</v>
      </c>
      <c r="AH660" s="11">
        <f>Z660/24/28/5</f>
        <v>0.20422410714285713</v>
      </c>
      <c r="AI660" s="10">
        <v>0.98499999999999999</v>
      </c>
      <c r="AJ660" s="11">
        <v>0.9385</v>
      </c>
      <c r="AK660" s="10">
        <v>0.99</v>
      </c>
      <c r="AL660" s="17">
        <v>0.97330000000000005</v>
      </c>
      <c r="AM660" s="102">
        <f t="shared" si="2061"/>
        <v>-2.7053747977709874E-2</v>
      </c>
      <c r="AN660" s="81">
        <f t="shared" si="2060"/>
        <v>2.498068899592587E-2</v>
      </c>
      <c r="AO660" s="10">
        <f t="shared" si="2066"/>
        <v>4.5818181818182424E-3</v>
      </c>
      <c r="AP660" s="10">
        <f t="shared" si="2064"/>
        <v>-4.6499999999999986E-2</v>
      </c>
      <c r="AQ660" s="10">
        <f t="shared" si="2065"/>
        <v>-1.6699999999999937E-2</v>
      </c>
      <c r="AR660" s="23"/>
    </row>
    <row r="661" spans="24:44" hidden="1">
      <c r="X661" s="5">
        <v>43190</v>
      </c>
      <c r="Y661" s="2">
        <v>898</v>
      </c>
      <c r="Z661" s="2">
        <v>849.06</v>
      </c>
      <c r="AA661" s="2">
        <v>161.4</v>
      </c>
      <c r="AB661" s="2">
        <v>162.26</v>
      </c>
      <c r="AC661" s="2">
        <v>187.8</v>
      </c>
      <c r="AD661" s="2">
        <v>186.97</v>
      </c>
      <c r="AE661" s="14">
        <v>0.80080060538540998</v>
      </c>
      <c r="AF661" s="10">
        <f t="shared" si="2062"/>
        <v>0.75685938920682461</v>
      </c>
      <c r="AG661" s="11">
        <f>Y661/24/31/5</f>
        <v>0.24139784946236556</v>
      </c>
      <c r="AH661" s="11">
        <f>Z661/24/31/5</f>
        <v>0.22824193548387095</v>
      </c>
      <c r="AI661" s="10">
        <v>0.98499999999999999</v>
      </c>
      <c r="AJ661" s="11">
        <v>0.92633659999999995</v>
      </c>
      <c r="AK661" s="10">
        <v>0.99</v>
      </c>
      <c r="AL661" s="17">
        <v>0.99950000000000006</v>
      </c>
      <c r="AM661" s="102">
        <f t="shared" si="2061"/>
        <v>-2.4645347439288479E-2</v>
      </c>
      <c r="AN661" s="81">
        <f t="shared" si="2060"/>
        <v>-5.4498886414253933E-2</v>
      </c>
      <c r="AO661" s="10">
        <f t="shared" si="2066"/>
        <v>-4.4195953141640265E-3</v>
      </c>
      <c r="AP661" s="10">
        <f t="shared" si="2064"/>
        <v>-5.8663400000000032E-2</v>
      </c>
      <c r="AQ661" s="10">
        <f t="shared" si="2065"/>
        <v>9.5000000000000639E-3</v>
      </c>
      <c r="AR661" s="23"/>
    </row>
    <row r="662" spans="24:44" hidden="1">
      <c r="X662" s="25">
        <v>43220</v>
      </c>
      <c r="Y662" s="26">
        <v>873.50033665575188</v>
      </c>
      <c r="Z662" s="26">
        <v>727.28899999999999</v>
      </c>
      <c r="AA662" s="26">
        <v>190.2</v>
      </c>
      <c r="AB662" s="26">
        <v>153.721</v>
      </c>
      <c r="AC662" s="26">
        <v>194</v>
      </c>
      <c r="AD662" s="26">
        <v>157.76</v>
      </c>
      <c r="AE662" s="27">
        <f t="shared" ref="AE662:AE684" si="2067">Y662/6/AC662/AI662</f>
        <v>0.76185770810940034</v>
      </c>
      <c r="AF662" s="27">
        <f t="shared" ref="AF662:AF684" si="2068">Z662/6/AD662/AJ662</f>
        <v>0.79737292469892351</v>
      </c>
      <c r="AG662" s="85">
        <f>Y662/24/30/5</f>
        <v>0.24263898240437548</v>
      </c>
      <c r="AH662" s="85">
        <f>Z662/24/30/5</f>
        <v>0.20202472222222223</v>
      </c>
      <c r="AI662" s="29">
        <v>0.98499999999999999</v>
      </c>
      <c r="AJ662" s="28">
        <v>0.96360132000000009</v>
      </c>
      <c r="AK662" s="29">
        <v>0.99</v>
      </c>
      <c r="AL662" s="30">
        <v>0.97570000000000001</v>
      </c>
      <c r="AM662" s="103">
        <f t="shared" si="2061"/>
        <v>3.5716210753267807E-2</v>
      </c>
      <c r="AN662" s="87">
        <f t="shared" si="2060"/>
        <v>-0.16738555272403299</v>
      </c>
      <c r="AO662" s="29">
        <f t="shared" si="2066"/>
        <v>-0.18680412371134025</v>
      </c>
      <c r="AP662" s="29">
        <f t="shared" si="2064"/>
        <v>-2.1398679999999892E-2</v>
      </c>
      <c r="AQ662" s="29">
        <f t="shared" si="2065"/>
        <v>-1.4299999999999979E-2</v>
      </c>
      <c r="AR662" s="32"/>
    </row>
    <row r="663" spans="24:44" hidden="1">
      <c r="X663" s="5">
        <v>43251</v>
      </c>
      <c r="Y663" s="2">
        <v>884.87786204916699</v>
      </c>
      <c r="Z663" s="2">
        <f>819111/1000</f>
        <v>819.11099999999999</v>
      </c>
      <c r="AA663" s="2">
        <v>197</v>
      </c>
      <c r="AB663" s="2">
        <v>170.5</v>
      </c>
      <c r="AC663" s="2">
        <v>197.7</v>
      </c>
      <c r="AD663" s="2">
        <v>172.13</v>
      </c>
      <c r="AE663" s="10">
        <f t="shared" si="2067"/>
        <v>0.75733700846465923</v>
      </c>
      <c r="AF663" s="10">
        <f t="shared" si="2068"/>
        <v>0.79549926139307936</v>
      </c>
      <c r="AG663" s="11">
        <f>Y663/24/31/5</f>
        <v>0.23787039302396962</v>
      </c>
      <c r="AH663" s="11">
        <f>Z663/24/31/5</f>
        <v>0.22019112903225807</v>
      </c>
      <c r="AI663" s="10">
        <v>0.98499999999999999</v>
      </c>
      <c r="AJ663" s="11">
        <v>0.997</v>
      </c>
      <c r="AK663" s="10">
        <v>0.99</v>
      </c>
      <c r="AL663" s="17">
        <v>0.999</v>
      </c>
      <c r="AM663" s="102">
        <f t="shared" si="2061"/>
        <v>3.8051750380517557E-2</v>
      </c>
      <c r="AN663" s="81">
        <f t="shared" si="2060"/>
        <v>-7.432309572856366E-2</v>
      </c>
      <c r="AO663" s="10">
        <f t="shared" si="2066"/>
        <v>-0.12933737986848759</v>
      </c>
      <c r="AP663" s="10">
        <f t="shared" si="2064"/>
        <v>1.2000000000000011E-2</v>
      </c>
      <c r="AQ663" s="10">
        <f t="shared" si="2065"/>
        <v>9.000000000000008E-3</v>
      </c>
      <c r="AR663" s="23"/>
    </row>
    <row r="664" spans="24:44" hidden="1">
      <c r="X664" s="5">
        <v>43281</v>
      </c>
      <c r="Y664" s="2">
        <v>794.59169279819457</v>
      </c>
      <c r="Z664" s="2">
        <f>783786/1000</f>
        <v>783.78599999999994</v>
      </c>
      <c r="AA664" s="2">
        <v>178.9</v>
      </c>
      <c r="AB664" s="2">
        <f>5.29*30</f>
        <v>158.69999999999999</v>
      </c>
      <c r="AC664" s="2">
        <v>177.2</v>
      </c>
      <c r="AD664" s="2">
        <f>5.31*30</f>
        <v>159.29999999999998</v>
      </c>
      <c r="AE664" s="10">
        <f t="shared" si="2067"/>
        <v>0.75873972338863482</v>
      </c>
      <c r="AF664" s="10">
        <f t="shared" si="2068"/>
        <v>0.82789640314944268</v>
      </c>
      <c r="AG664" s="11">
        <f>Y664/24/30/5</f>
        <v>0.22071991466616514</v>
      </c>
      <c r="AH664" s="11">
        <f>Z664/24/30/5</f>
        <v>0.21771833333333332</v>
      </c>
      <c r="AI664" s="10">
        <v>0.98499999999999999</v>
      </c>
      <c r="AJ664" s="11">
        <v>0.99050000000000005</v>
      </c>
      <c r="AK664" s="10">
        <v>0.99</v>
      </c>
      <c r="AL664" s="17">
        <v>0.99109999999999998</v>
      </c>
      <c r="AM664" s="102">
        <f t="shared" si="2061"/>
        <v>2.1235521235521304E-2</v>
      </c>
      <c r="AN664" s="81">
        <f t="shared" si="2060"/>
        <v>-1.3599050803239421E-2</v>
      </c>
      <c r="AO664" s="10">
        <f t="shared" si="2066"/>
        <v>-0.1010158013544018</v>
      </c>
      <c r="AP664" s="10">
        <f t="shared" si="2064"/>
        <v>5.5000000000000604E-3</v>
      </c>
      <c r="AQ664" s="10">
        <f t="shared" si="2065"/>
        <v>1.0999999999999899E-3</v>
      </c>
      <c r="AR664" s="23"/>
    </row>
    <row r="665" spans="24:44" hidden="1">
      <c r="X665" s="5">
        <v>43312</v>
      </c>
      <c r="Y665" s="2">
        <v>703.20447270269779</v>
      </c>
      <c r="Z665" s="2">
        <f>639015/1000</f>
        <v>639.01499999999999</v>
      </c>
      <c r="AA665" s="2">
        <v>155.5</v>
      </c>
      <c r="AB665" s="2">
        <v>129.88999999999999</v>
      </c>
      <c r="AC665" s="2">
        <v>154.6</v>
      </c>
      <c r="AD665" s="2">
        <v>127.76</v>
      </c>
      <c r="AE665" s="10">
        <f t="shared" si="2067"/>
        <v>0.76963472429554336</v>
      </c>
      <c r="AF665" s="10">
        <f t="shared" si="2068"/>
        <v>0.84536437190790426</v>
      </c>
      <c r="AG665" s="11">
        <f>Y665/24/31/5</f>
        <v>0.18903346040395103</v>
      </c>
      <c r="AH665" s="11">
        <f>Z665/24/31/5</f>
        <v>0.17177822580645161</v>
      </c>
      <c r="AI665" s="10">
        <v>0.98499999999999999</v>
      </c>
      <c r="AJ665" s="11">
        <v>0.98609999999999998</v>
      </c>
      <c r="AK665" s="10">
        <v>0.99</v>
      </c>
      <c r="AL665" s="17">
        <v>0.99009999999999998</v>
      </c>
      <c r="AN665" s="81">
        <f t="shared" si="2060"/>
        <v>-9.1281377173259237E-2</v>
      </c>
      <c r="AO665" s="10">
        <f t="shared" si="2066"/>
        <v>-0.17360931435963767</v>
      </c>
      <c r="AP665" s="10">
        <f t="shared" si="2064"/>
        <v>1.0999999999999899E-3</v>
      </c>
      <c r="AQ665" s="10">
        <f t="shared" si="2065"/>
        <v>9.9999999999988987E-5</v>
      </c>
      <c r="AR665" s="23"/>
    </row>
    <row r="666" spans="24:44" hidden="1">
      <c r="X666" s="5">
        <v>43343</v>
      </c>
      <c r="Y666" s="2">
        <v>667.69558296679691</v>
      </c>
      <c r="Z666" s="2">
        <f>555228/1000</f>
        <v>555.22799999999995</v>
      </c>
      <c r="AA666" s="2">
        <v>145.4</v>
      </c>
      <c r="AB666" s="2">
        <v>112.6</v>
      </c>
      <c r="AC666" s="2">
        <v>146.30000000000001</v>
      </c>
      <c r="AD666" s="2">
        <v>111.44</v>
      </c>
      <c r="AE666" s="10">
        <f t="shared" si="2067"/>
        <v>0.77223004785475091</v>
      </c>
      <c r="AF666" s="10">
        <f t="shared" si="2068"/>
        <v>0.8513266999928315</v>
      </c>
      <c r="AG666" s="11">
        <f>Y666/24/31/5</f>
        <v>0.17948805993731098</v>
      </c>
      <c r="AH666" s="11">
        <f>Z666/24/31/5</f>
        <v>0.14925483870967743</v>
      </c>
      <c r="AI666" s="10">
        <v>0.98499999999999999</v>
      </c>
      <c r="AJ666" s="11">
        <v>0.97540000000000004</v>
      </c>
      <c r="AK666" s="10">
        <v>0.99</v>
      </c>
      <c r="AL666" s="17">
        <v>0.99939999999999996</v>
      </c>
      <c r="AN666" s="81">
        <f t="shared" si="2060"/>
        <v>-0.16844140628737647</v>
      </c>
      <c r="AO666" s="10">
        <f t="shared" si="2066"/>
        <v>-0.23827751196172253</v>
      </c>
      <c r="AP666" s="10">
        <f t="shared" si="2064"/>
        <v>-9.5999999999999419E-3</v>
      </c>
      <c r="AQ666" s="10">
        <f t="shared" si="2065"/>
        <v>9.3999999999999639E-3</v>
      </c>
      <c r="AR666" s="23"/>
    </row>
    <row r="667" spans="24:44" hidden="1">
      <c r="X667" s="5">
        <v>43373</v>
      </c>
      <c r="Y667" s="2">
        <v>665.30997280366148</v>
      </c>
      <c r="Z667" s="2">
        <f>596019/1000</f>
        <v>596.01900000000001</v>
      </c>
      <c r="AA667" s="2">
        <v>141.6</v>
      </c>
      <c r="AB667" s="2">
        <v>118.77</v>
      </c>
      <c r="AC667" s="2">
        <v>145.5</v>
      </c>
      <c r="AD667" s="2">
        <v>121.43</v>
      </c>
      <c r="AE667" s="10">
        <f t="shared" si="2067"/>
        <v>0.77370171449597513</v>
      </c>
      <c r="AF667" s="10">
        <f t="shared" si="2068"/>
        <v>0.84474976242595501</v>
      </c>
      <c r="AG667" s="11">
        <f>Y667/24/30/5</f>
        <v>0.18480832577879486</v>
      </c>
      <c r="AH667" s="11">
        <f>Z667/24/30/5</f>
        <v>0.16556083333333332</v>
      </c>
      <c r="AI667" s="10">
        <v>0.98499999999999999</v>
      </c>
      <c r="AJ667" s="11">
        <v>0.96840000000000004</v>
      </c>
      <c r="AK667" s="10">
        <v>0.99</v>
      </c>
      <c r="AL667" s="17">
        <v>0.98180000000000001</v>
      </c>
      <c r="AN667" s="81">
        <f t="shared" si="2060"/>
        <v>-0.10414840545928483</v>
      </c>
      <c r="AO667" s="10">
        <f t="shared" si="2066"/>
        <v>-0.16542955326460473</v>
      </c>
      <c r="AP667" s="10">
        <f t="shared" si="2064"/>
        <v>-1.6599999999999948E-2</v>
      </c>
      <c r="AQ667" s="10">
        <f t="shared" si="2065"/>
        <v>-8.1999999999999851E-3</v>
      </c>
      <c r="AR667" s="23"/>
    </row>
    <row r="668" spans="24:44" hidden="1">
      <c r="X668" s="5">
        <v>43404</v>
      </c>
      <c r="Y668" s="2">
        <v>762.84472678108409</v>
      </c>
      <c r="Z668" s="2">
        <f>801405/1000</f>
        <v>801.40499999999997</v>
      </c>
      <c r="AA668" s="2">
        <v>139.1</v>
      </c>
      <c r="AB668" s="2">
        <f>4.44*31</f>
        <v>137.64000000000001</v>
      </c>
      <c r="AC668" s="2">
        <v>172.2</v>
      </c>
      <c r="AD668" s="2">
        <f>5.5*31</f>
        <v>170.5</v>
      </c>
      <c r="AE668" s="10">
        <f t="shared" si="2067"/>
        <v>0.74957573708323666</v>
      </c>
      <c r="AF668" s="10">
        <f t="shared" si="2068"/>
        <v>0.80215758424553907</v>
      </c>
      <c r="AG668" s="11">
        <f>Y668/24/31/5</f>
        <v>0.20506578676910864</v>
      </c>
      <c r="AH668" s="11">
        <f>Z668/24/31/5</f>
        <v>0.21543145161290322</v>
      </c>
      <c r="AI668" s="10">
        <v>0.98499999999999999</v>
      </c>
      <c r="AJ668" s="11">
        <v>0.97660000000000002</v>
      </c>
      <c r="AK668" s="10">
        <v>0.99</v>
      </c>
      <c r="AL668" s="17">
        <v>0.97660000000000002</v>
      </c>
      <c r="AN668" s="81">
        <f t="shared" si="2060"/>
        <v>5.0547997338364903E-2</v>
      </c>
      <c r="AO668" s="10">
        <f t="shared" si="2066"/>
        <v>-9.8722415795585716E-3</v>
      </c>
      <c r="AP668" s="10">
        <f t="shared" si="2064"/>
        <v>-8.3999999999999631E-3</v>
      </c>
      <c r="AQ668" s="10">
        <f t="shared" si="2065"/>
        <v>-1.3399999999999967E-2</v>
      </c>
      <c r="AR668" s="23"/>
    </row>
    <row r="669" spans="24:44" hidden="1">
      <c r="X669" s="5">
        <v>43434</v>
      </c>
      <c r="Y669" s="2">
        <v>675.03592193029067</v>
      </c>
      <c r="Z669" s="2">
        <f>621432/1000</f>
        <v>621.43200000000002</v>
      </c>
      <c r="AA669" s="2">
        <v>108.1</v>
      </c>
      <c r="AB669" s="2">
        <f>3.29*30</f>
        <v>98.7</v>
      </c>
      <c r="AC669" s="2">
        <v>152.1</v>
      </c>
      <c r="AD669" s="2">
        <f>4.5*30</f>
        <v>135</v>
      </c>
      <c r="AE669" s="10">
        <f t="shared" si="2067"/>
        <v>0.75094856101470631</v>
      </c>
      <c r="AF669" s="10">
        <f t="shared" si="2068"/>
        <v>0.77237491190979568</v>
      </c>
      <c r="AG669" s="11">
        <f>Y669/24/30/5</f>
        <v>0.18750997831396962</v>
      </c>
      <c r="AH669" s="11">
        <f>Z669/24/30/5</f>
        <v>0.17262</v>
      </c>
      <c r="AI669" s="10">
        <v>0.98499999999999999</v>
      </c>
      <c r="AJ669" s="11">
        <v>0.99329999999999996</v>
      </c>
      <c r="AK669" s="10">
        <v>0.99</v>
      </c>
      <c r="AL669" s="17">
        <v>0.99990000000000001</v>
      </c>
      <c r="AN669" s="81">
        <f t="shared" si="2060"/>
        <v>-7.9408991712630939E-2</v>
      </c>
      <c r="AO669" s="10">
        <f t="shared" si="2066"/>
        <v>-0.1124260355029586</v>
      </c>
      <c r="AP669" s="10">
        <f t="shared" si="2064"/>
        <v>8.2999999999999741E-3</v>
      </c>
      <c r="AQ669" s="10">
        <f t="shared" si="2065"/>
        <v>9.9000000000000199E-3</v>
      </c>
      <c r="AR669" s="23"/>
    </row>
    <row r="670" spans="24:44" hidden="1">
      <c r="X670" s="5">
        <v>43465</v>
      </c>
      <c r="Y670" s="2">
        <v>567.27057052249859</v>
      </c>
      <c r="Z670" s="2">
        <f>570207/1000</f>
        <v>570.20699999999999</v>
      </c>
      <c r="AA670" s="2">
        <v>89.9</v>
      </c>
      <c r="AB670" s="2">
        <v>88.04</v>
      </c>
      <c r="AC670" s="2">
        <v>129.6</v>
      </c>
      <c r="AD670" s="2">
        <v>126.17</v>
      </c>
      <c r="AE670" s="10">
        <f t="shared" si="2067"/>
        <v>0.74062398232032267</v>
      </c>
      <c r="AF670" s="10">
        <f t="shared" si="2068"/>
        <v>0.79286926994906615</v>
      </c>
      <c r="AG670" s="11">
        <f>Y670/24/31/5</f>
        <v>0.15249208885013404</v>
      </c>
      <c r="AH670" s="11">
        <f>Z670/24/31/5</f>
        <v>0.15328145161290321</v>
      </c>
      <c r="AI670" s="10">
        <v>0.98499999999999999</v>
      </c>
      <c r="AJ670" s="11">
        <v>0.95</v>
      </c>
      <c r="AK670" s="10">
        <v>0.99</v>
      </c>
      <c r="AL670" s="17">
        <v>0.99829999999999997</v>
      </c>
      <c r="AN670" s="81">
        <f t="shared" si="2060"/>
        <v>5.17641779794209E-3</v>
      </c>
      <c r="AO670" s="10">
        <f t="shared" si="2066"/>
        <v>-2.6466049382716017E-2</v>
      </c>
      <c r="AP670" s="10">
        <f t="shared" si="2064"/>
        <v>-3.5000000000000031E-2</v>
      </c>
      <c r="AQ670" s="10">
        <f t="shared" si="2065"/>
        <v>8.2999999999999741E-3</v>
      </c>
      <c r="AR670" s="23"/>
    </row>
    <row r="671" spans="24:44" hidden="1">
      <c r="X671" s="46">
        <v>43496</v>
      </c>
      <c r="Y671" s="47">
        <v>477.20140004213414</v>
      </c>
      <c r="Z671" s="47">
        <f>565827/1000</f>
        <v>565.827</v>
      </c>
      <c r="AA671" s="47">
        <v>79.599999999999994</v>
      </c>
      <c r="AB671" s="47">
        <v>87.11</v>
      </c>
      <c r="AC671" s="47">
        <v>103.2</v>
      </c>
      <c r="AD671" s="47">
        <v>121.52</v>
      </c>
      <c r="AE671" s="49">
        <f t="shared" si="2067"/>
        <v>0.78241024941652915</v>
      </c>
      <c r="AF671" s="49">
        <f t="shared" si="2068"/>
        <v>0.7899439952244427</v>
      </c>
      <c r="AG671" s="48">
        <f>Y671/24/31/5</f>
        <v>0.12827994624788552</v>
      </c>
      <c r="AH671" s="48">
        <f>Z671/24/31/5</f>
        <v>0.15210403225806451</v>
      </c>
      <c r="AI671" s="49">
        <v>0.98499999999999999</v>
      </c>
      <c r="AJ671" s="48">
        <v>0.98240000000000005</v>
      </c>
      <c r="AK671" s="49">
        <v>0.99</v>
      </c>
      <c r="AL671" s="50">
        <v>0.99409999999999998</v>
      </c>
      <c r="AM671" s="94"/>
      <c r="AN671" s="92">
        <f t="shared" si="2060"/>
        <v>0.18571948856403342</v>
      </c>
      <c r="AO671" s="49">
        <f t="shared" si="2066"/>
        <v>0.17751937984496124</v>
      </c>
      <c r="AP671" s="49">
        <f t="shared" si="2064"/>
        <v>-2.5999999999999357E-3</v>
      </c>
      <c r="AQ671" s="49">
        <f t="shared" si="2065"/>
        <v>4.0999999999999925E-3</v>
      </c>
      <c r="AR671" s="52"/>
    </row>
    <row r="672" spans="24:44" hidden="1">
      <c r="X672" s="5">
        <v>43524</v>
      </c>
      <c r="Y672" s="2">
        <v>626.65207765242167</v>
      </c>
      <c r="Z672" s="2">
        <v>514.51199999999994</v>
      </c>
      <c r="AA672" s="2">
        <v>108.1</v>
      </c>
      <c r="AB672" s="2">
        <v>88.759999999999991</v>
      </c>
      <c r="AC672" s="2">
        <v>137.5</v>
      </c>
      <c r="AD672" s="2">
        <v>108.64</v>
      </c>
      <c r="AE672" s="10">
        <f t="shared" si="2067"/>
        <v>0.77114545780947141</v>
      </c>
      <c r="AF672" s="10">
        <f t="shared" si="2068"/>
        <v>0.84212368839962237</v>
      </c>
      <c r="AG672" s="11">
        <f>Y672/24/28/5</f>
        <v>0.1865035945394112</v>
      </c>
      <c r="AH672" s="11">
        <f>Z672/24/28/5</f>
        <v>0.15312857142857142</v>
      </c>
      <c r="AI672" s="10">
        <v>0.98499999999999999</v>
      </c>
      <c r="AJ672" s="11">
        <v>0.93730000000000002</v>
      </c>
      <c r="AK672" s="10">
        <v>0.99</v>
      </c>
      <c r="AL672" s="17">
        <v>0.96640000000000004</v>
      </c>
      <c r="AN672" s="81">
        <f t="shared" si="2060"/>
        <v>-0.17895109846682944</v>
      </c>
      <c r="AO672" s="10">
        <f t="shared" si="2066"/>
        <v>-0.20989090909090913</v>
      </c>
      <c r="AP672" s="10">
        <f t="shared" si="2064"/>
        <v>-4.7699999999999965E-2</v>
      </c>
      <c r="AQ672" s="10">
        <f t="shared" si="2065"/>
        <v>-2.3599999999999954E-2</v>
      </c>
      <c r="AR672" s="23"/>
    </row>
    <row r="673" spans="24:44" hidden="1">
      <c r="X673" s="5">
        <v>43555</v>
      </c>
      <c r="Y673" s="2">
        <v>840.28346776120202</v>
      </c>
      <c r="Z673" s="2">
        <f>850725/1000</f>
        <v>850.72500000000002</v>
      </c>
      <c r="AA673" s="2">
        <v>161.4</v>
      </c>
      <c r="AB673" s="2">
        <v>155.55000000000001</v>
      </c>
      <c r="AC673" s="2">
        <v>187.8</v>
      </c>
      <c r="AD673" s="2">
        <v>178.62</v>
      </c>
      <c r="AE673" s="10">
        <f t="shared" si="2067"/>
        <v>0.75708170278818598</v>
      </c>
      <c r="AF673" s="10">
        <f t="shared" si="2068"/>
        <v>0.80367934393850538</v>
      </c>
      <c r="AG673" s="11">
        <f>Y673/24/31/5</f>
        <v>0.22588265262397905</v>
      </c>
      <c r="AH673" s="11">
        <f>Z673/24/31/5</f>
        <v>0.22868951612903224</v>
      </c>
      <c r="AI673" s="10">
        <v>0.98499999999999999</v>
      </c>
      <c r="AJ673" s="11">
        <v>0.98770000000000002</v>
      </c>
      <c r="AK673" s="10">
        <v>0.99</v>
      </c>
      <c r="AL673" s="17">
        <v>0.99419999999999997</v>
      </c>
      <c r="AN673" s="81">
        <f t="shared" si="2060"/>
        <v>1.2426202156062605E-2</v>
      </c>
      <c r="AO673" s="10">
        <f t="shared" si="2066"/>
        <v>-4.8881789137380172E-2</v>
      </c>
      <c r="AP673" s="10">
        <f t="shared" si="2064"/>
        <v>2.7000000000000357E-3</v>
      </c>
      <c r="AQ673" s="10">
        <f t="shared" si="2065"/>
        <v>4.1999999999999815E-3</v>
      </c>
      <c r="AR673" s="23"/>
    </row>
    <row r="674" spans="24:44" hidden="1">
      <c r="X674" s="25">
        <v>43585</v>
      </c>
      <c r="Y674" s="26">
        <v>869.13283497247312</v>
      </c>
      <c r="Z674" s="63">
        <f>827004/1000</f>
        <v>827.00400000000002</v>
      </c>
      <c r="AA674" s="26">
        <v>190.2</v>
      </c>
      <c r="AB674" s="26">
        <f>5.8*30</f>
        <v>174</v>
      </c>
      <c r="AC674" s="26">
        <v>194</v>
      </c>
      <c r="AD674" s="26">
        <f>6*30</f>
        <v>180</v>
      </c>
      <c r="AE674" s="27">
        <f t="shared" si="2067"/>
        <v>0.75804841956885338</v>
      </c>
      <c r="AF674" s="27">
        <f t="shared" si="2068"/>
        <v>0.77122010720560419</v>
      </c>
      <c r="AG674" s="28">
        <f>Y674/24/30/5</f>
        <v>0.24142578749235363</v>
      </c>
      <c r="AH674" s="28">
        <f>Z674/24/30/5</f>
        <v>0.22972333333333333</v>
      </c>
      <c r="AI674" s="29">
        <v>0.98499999999999999</v>
      </c>
      <c r="AJ674" s="28">
        <v>0.9929</v>
      </c>
      <c r="AK674" s="29">
        <v>0.99</v>
      </c>
      <c r="AL674" s="30">
        <v>0.99560000000000004</v>
      </c>
      <c r="AM674" s="103"/>
      <c r="AN674" s="87">
        <f t="shared" ref="AN674:AN678" si="2069">Z674/Y674-1</f>
        <v>-4.8472262555593559E-2</v>
      </c>
      <c r="AO674" s="29">
        <f t="shared" ref="AO674:AO678" si="2070">AD674/AC674-1</f>
        <v>-7.2164948453608213E-2</v>
      </c>
      <c r="AP674" s="29">
        <f t="shared" ref="AP674:AP684" si="2071">AJ674-AI674</f>
        <v>7.9000000000000181E-3</v>
      </c>
      <c r="AQ674" s="29">
        <f t="shared" ref="AQ674:AQ684" si="2072">AL674-AK674</f>
        <v>5.6000000000000494E-3</v>
      </c>
      <c r="AR674" s="32"/>
    </row>
    <row r="675" spans="24:44" hidden="1">
      <c r="X675" s="5">
        <v>43616</v>
      </c>
      <c r="Y675" s="2">
        <v>880.45347273892116</v>
      </c>
      <c r="Z675" s="64">
        <f>844821/1000</f>
        <v>844.82100000000003</v>
      </c>
      <c r="AA675" s="2">
        <v>197</v>
      </c>
      <c r="AB675" s="2">
        <v>192.85</v>
      </c>
      <c r="AC675" s="2">
        <v>197.7</v>
      </c>
      <c r="AD675" s="2">
        <v>194.47</v>
      </c>
      <c r="AE675" s="10">
        <f t="shared" si="2067"/>
        <v>0.75355032342233597</v>
      </c>
      <c r="AF675" s="10">
        <f t="shared" si="2068"/>
        <v>0.74673796054979591</v>
      </c>
      <c r="AG675" s="10">
        <f>Y675/24/31/5</f>
        <v>0.23668104105884979</v>
      </c>
      <c r="AH675" s="10">
        <f>Z675/24/31/5</f>
        <v>0.22710241935483871</v>
      </c>
      <c r="AI675" s="10">
        <v>0.98499999999999999</v>
      </c>
      <c r="AJ675" s="11">
        <v>0.96960000000000002</v>
      </c>
      <c r="AK675" s="10">
        <v>0.99</v>
      </c>
      <c r="AL675" s="17">
        <v>0.9859</v>
      </c>
      <c r="AM675" s="102"/>
      <c r="AN675" s="81">
        <f t="shared" si="2069"/>
        <v>-4.0470591396584932E-2</v>
      </c>
      <c r="AO675" s="10">
        <f t="shared" si="2070"/>
        <v>-1.6337885685381859E-2</v>
      </c>
      <c r="AP675" s="10">
        <f t="shared" si="2071"/>
        <v>-1.5399999999999969E-2</v>
      </c>
      <c r="AQ675" s="10">
        <f t="shared" si="2072"/>
        <v>-4.0999999999999925E-3</v>
      </c>
      <c r="AR675" s="23"/>
    </row>
    <row r="676" spans="24:44" hidden="1">
      <c r="X676" s="5">
        <v>43646</v>
      </c>
      <c r="Y676" s="2">
        <v>790.61873433420351</v>
      </c>
      <c r="Z676" s="2">
        <f>827802/1000</f>
        <v>827.80200000000002</v>
      </c>
      <c r="AA676" s="2">
        <v>178.9</v>
      </c>
      <c r="AB676" s="2">
        <v>190.2</v>
      </c>
      <c r="AC676" s="2">
        <v>177.2</v>
      </c>
      <c r="AD676" s="2">
        <v>187.5</v>
      </c>
      <c r="AE676" s="10">
        <f t="shared" si="2067"/>
        <v>0.75494602477169159</v>
      </c>
      <c r="AF676" s="10">
        <f t="shared" si="2068"/>
        <v>0.73707703095261956</v>
      </c>
      <c r="AG676" s="10">
        <f>Y676/24/30/5</f>
        <v>0.2196163150928343</v>
      </c>
      <c r="AH676" s="10">
        <f>Z676/24/30/5</f>
        <v>0.22994500000000001</v>
      </c>
      <c r="AI676" s="10">
        <v>0.98499999999999999</v>
      </c>
      <c r="AJ676" s="11">
        <v>0.99829999999999997</v>
      </c>
      <c r="AK676" s="10">
        <v>0.99</v>
      </c>
      <c r="AL676" s="17">
        <v>0.99909999999999999</v>
      </c>
      <c r="AM676" s="102"/>
      <c r="AN676" s="81">
        <f t="shared" si="2069"/>
        <v>4.7030590158111174E-2</v>
      </c>
      <c r="AO676" s="10">
        <f t="shared" si="2070"/>
        <v>5.8126410835214415E-2</v>
      </c>
      <c r="AP676" s="10">
        <f t="shared" si="2071"/>
        <v>1.3299999999999979E-2</v>
      </c>
      <c r="AQ676" s="10">
        <f t="shared" si="2072"/>
        <v>9.099999999999997E-3</v>
      </c>
      <c r="AR676" s="23"/>
    </row>
    <row r="677" spans="24:44" hidden="1">
      <c r="X677" s="5">
        <v>43677</v>
      </c>
      <c r="Y677" s="2">
        <v>699.68845033918421</v>
      </c>
      <c r="Z677" s="2">
        <v>636.17999999999995</v>
      </c>
      <c r="AA677" s="2">
        <v>155.5</v>
      </c>
      <c r="AB677" s="2">
        <v>142.29</v>
      </c>
      <c r="AC677" s="2">
        <v>154.6</v>
      </c>
      <c r="AD677" s="2">
        <v>141.04999999999998</v>
      </c>
      <c r="AE677" s="10">
        <f t="shared" si="2067"/>
        <v>0.76578655067406554</v>
      </c>
      <c r="AF677" s="10">
        <f t="shared" si="2068"/>
        <v>0.79412555302497578</v>
      </c>
      <c r="AG677" s="10">
        <f>Y677/24/31/5</f>
        <v>0.18808829310193126</v>
      </c>
      <c r="AH677" s="10">
        <f>Z677/24/31/5</f>
        <v>0.17101612903225805</v>
      </c>
      <c r="AI677" s="10">
        <v>0.98499999999999999</v>
      </c>
      <c r="AJ677" s="11">
        <v>0.9466</v>
      </c>
      <c r="AK677" s="10">
        <v>0.99</v>
      </c>
      <c r="AL677" s="17">
        <v>0.98119999999999996</v>
      </c>
      <c r="AM677" s="102"/>
      <c r="AN677" s="81">
        <f t="shared" si="2069"/>
        <v>-9.0766755272861266E-2</v>
      </c>
      <c r="AO677" s="10">
        <f t="shared" si="2070"/>
        <v>-8.764553686934029E-2</v>
      </c>
      <c r="AP677" s="10">
        <f t="shared" si="2071"/>
        <v>-3.839999999999999E-2</v>
      </c>
      <c r="AQ677" s="10">
        <f t="shared" si="2072"/>
        <v>-8.80000000000003E-3</v>
      </c>
      <c r="AR677" s="23"/>
    </row>
    <row r="678" spans="24:44" hidden="1">
      <c r="X678" s="5">
        <v>43708</v>
      </c>
      <c r="Y678" s="2">
        <v>664.35710505196289</v>
      </c>
      <c r="Z678" s="2">
        <f>626253/1000</f>
        <v>626.25300000000004</v>
      </c>
      <c r="AA678" s="2">
        <v>145.4</v>
      </c>
      <c r="AB678" s="2">
        <v>139</v>
      </c>
      <c r="AC678" s="2">
        <v>146.30000000000001</v>
      </c>
      <c r="AD678" s="2">
        <v>140</v>
      </c>
      <c r="AE678" s="10">
        <f t="shared" si="2067"/>
        <v>0.76836889761547711</v>
      </c>
      <c r="AF678" s="10">
        <f t="shared" si="2068"/>
        <v>0.79262097141642118</v>
      </c>
      <c r="AG678" s="10">
        <f>Y678/24/31/5</f>
        <v>0.17859061963762443</v>
      </c>
      <c r="AH678" s="10">
        <f>Z678/24/31/5</f>
        <v>0.16834758064516128</v>
      </c>
      <c r="AI678" s="10">
        <v>0.98499999999999999</v>
      </c>
      <c r="AJ678" s="11">
        <v>0.94059999999999999</v>
      </c>
      <c r="AK678" s="10">
        <v>0.99</v>
      </c>
      <c r="AL678" s="17">
        <v>0.98119999999999996</v>
      </c>
      <c r="AM678" s="102"/>
      <c r="AN678" s="81">
        <f t="shared" si="2069"/>
        <v>-5.7354854433268265E-2</v>
      </c>
      <c r="AO678" s="10">
        <f t="shared" si="2070"/>
        <v>-4.3062200956937913E-2</v>
      </c>
      <c r="AP678" s="10">
        <f t="shared" si="2071"/>
        <v>-4.4399999999999995E-2</v>
      </c>
      <c r="AQ678" s="10">
        <f t="shared" si="2072"/>
        <v>-8.80000000000003E-3</v>
      </c>
      <c r="AR678" s="23"/>
    </row>
    <row r="679" spans="24:44" hidden="1">
      <c r="X679" s="5">
        <v>43738</v>
      </c>
      <c r="Y679" s="2">
        <v>661.98342293964322</v>
      </c>
      <c r="Z679" s="2">
        <f>634866/1000</f>
        <v>634.86599999999999</v>
      </c>
      <c r="AA679" s="2">
        <v>141.6</v>
      </c>
      <c r="AB679" s="2">
        <v>143</v>
      </c>
      <c r="AC679" s="2">
        <v>145.5</v>
      </c>
      <c r="AD679" s="2">
        <v>153</v>
      </c>
      <c r="AE679" s="10">
        <f t="shared" si="2067"/>
        <v>0.76983320592349536</v>
      </c>
      <c r="AF679" s="10">
        <f t="shared" si="2068"/>
        <v>0.71994083218685478</v>
      </c>
      <c r="AG679" s="10">
        <f>Y679/24/30/5</f>
        <v>0.18388428414990091</v>
      </c>
      <c r="AH679" s="10">
        <f>Z679/24/30/5</f>
        <v>0.17635166666666666</v>
      </c>
      <c r="AI679" s="10">
        <v>0.98499999999999999</v>
      </c>
      <c r="AJ679" s="11">
        <v>0.96060000000000001</v>
      </c>
      <c r="AK679" s="10">
        <v>0.99</v>
      </c>
      <c r="AL679" s="17">
        <v>0.99760000000000004</v>
      </c>
      <c r="AM679" s="102"/>
      <c r="AN679" s="81">
        <f t="shared" ref="AN679" si="2073">Z679/Y679-1</f>
        <v>-4.0963900303158662E-2</v>
      </c>
      <c r="AO679" s="10">
        <f t="shared" ref="AO679" si="2074">AD679/AC679-1</f>
        <v>5.1546391752577359E-2</v>
      </c>
      <c r="AP679" s="10">
        <f t="shared" si="2071"/>
        <v>-2.4399999999999977E-2</v>
      </c>
      <c r="AQ679" s="10">
        <f t="shared" si="2072"/>
        <v>7.6000000000000512E-3</v>
      </c>
      <c r="AR679" s="23"/>
    </row>
    <row r="680" spans="24:44" hidden="1">
      <c r="X680" s="5">
        <v>43769</v>
      </c>
      <c r="Y680" s="2">
        <v>759.03050314717859</v>
      </c>
      <c r="Z680" s="2">
        <f>579075/1000</f>
        <v>579.07500000000005</v>
      </c>
      <c r="AA680" s="2">
        <v>139.1</v>
      </c>
      <c r="AB680" s="2">
        <v>124.62</v>
      </c>
      <c r="AC680" s="2">
        <v>172.2</v>
      </c>
      <c r="AD680" s="2">
        <v>150.97</v>
      </c>
      <c r="AE680" s="10">
        <f t="shared" si="2067"/>
        <v>0.7458278583978204</v>
      </c>
      <c r="AF680" s="10">
        <f t="shared" si="2068"/>
        <v>0.71062987876265882</v>
      </c>
      <c r="AG680" s="10">
        <f>Y680/24/31/5</f>
        <v>0.20404045783526309</v>
      </c>
      <c r="AH680" s="10">
        <f>Z680/24/31/5</f>
        <v>0.15566532258064517</v>
      </c>
      <c r="AI680" s="10">
        <v>0.98499999999999999</v>
      </c>
      <c r="AJ680" s="11">
        <v>0.89959999999999996</v>
      </c>
      <c r="AK680" s="10">
        <v>0.99</v>
      </c>
      <c r="AL680" s="17">
        <v>0.98880000000000001</v>
      </c>
      <c r="AM680" s="102"/>
      <c r="AN680" s="81">
        <f t="shared" ref="AN680:AN681" si="2075">Z680/Y680-1</f>
        <v>-0.23708599641388139</v>
      </c>
      <c r="AO680" s="10">
        <f t="shared" ref="AO680:AO681" si="2076">AD680/AC680-1</f>
        <v>-0.12328687572590002</v>
      </c>
      <c r="AP680" s="10">
        <f t="shared" si="2071"/>
        <v>-8.5400000000000031E-2</v>
      </c>
      <c r="AQ680" s="10">
        <f t="shared" si="2072"/>
        <v>-1.1999999999999789E-3</v>
      </c>
      <c r="AR680" s="23"/>
    </row>
    <row r="681" spans="24:44" hidden="1">
      <c r="X681" s="5">
        <v>43799</v>
      </c>
      <c r="Y681" s="2">
        <v>671.66074232063897</v>
      </c>
      <c r="Z681" s="2">
        <f>568200/1000</f>
        <v>568.20000000000005</v>
      </c>
      <c r="AA681" s="2">
        <v>108.1</v>
      </c>
      <c r="AB681" s="2">
        <v>94.2</v>
      </c>
      <c r="AC681" s="2">
        <v>152.1</v>
      </c>
      <c r="AD681" s="2">
        <v>126.6</v>
      </c>
      <c r="AE681" s="10">
        <f t="shared" si="2067"/>
        <v>0.74719381820963249</v>
      </c>
      <c r="AF681" s="10">
        <f t="shared" si="2068"/>
        <v>0.75634507225611269</v>
      </c>
      <c r="AG681" s="10">
        <f>Y681/24/30/5</f>
        <v>0.18657242842239971</v>
      </c>
      <c r="AH681" s="10">
        <f>Z681/24/30/5</f>
        <v>0.15783333333333333</v>
      </c>
      <c r="AI681" s="10">
        <v>0.98499999999999999</v>
      </c>
      <c r="AJ681" s="11">
        <v>0.98899999999999999</v>
      </c>
      <c r="AK681" s="10">
        <v>0.99</v>
      </c>
      <c r="AL681" s="17">
        <v>1</v>
      </c>
      <c r="AM681" s="102"/>
      <c r="AN681" s="81">
        <f t="shared" si="2075"/>
        <v>-0.15403720331066872</v>
      </c>
      <c r="AO681" s="10">
        <f t="shared" si="2076"/>
        <v>-0.16765285996055224</v>
      </c>
      <c r="AP681" s="10">
        <f t="shared" si="2071"/>
        <v>4.0000000000000036E-3</v>
      </c>
      <c r="AQ681" s="10">
        <f t="shared" si="2072"/>
        <v>1.0000000000000009E-2</v>
      </c>
      <c r="AR681" s="23"/>
    </row>
    <row r="682" spans="24:44" hidden="1">
      <c r="X682" s="46">
        <v>43830</v>
      </c>
      <c r="Y682" s="47">
        <v>564.43421766988615</v>
      </c>
      <c r="Z682" s="47">
        <f>399000/1000</f>
        <v>399</v>
      </c>
      <c r="AA682" s="47">
        <v>89.9</v>
      </c>
      <c r="AB682" s="47">
        <v>67.27</v>
      </c>
      <c r="AC682" s="47">
        <v>129.6</v>
      </c>
      <c r="AD682" s="47">
        <v>93.31</v>
      </c>
      <c r="AE682" s="49">
        <f t="shared" si="2067"/>
        <v>0.73692086240872101</v>
      </c>
      <c r="AF682" s="49">
        <f t="shared" si="2068"/>
        <v>0.75567614202352407</v>
      </c>
      <c r="AG682" s="49">
        <f>Y682/24/31/5</f>
        <v>0.15172962840588339</v>
      </c>
      <c r="AH682" s="49">
        <f>Z682/24/31/5</f>
        <v>0.10725806451612903</v>
      </c>
      <c r="AI682" s="49">
        <v>0.98499999999999999</v>
      </c>
      <c r="AJ682" s="48">
        <v>0.94310000000000005</v>
      </c>
      <c r="AK682" s="49">
        <v>0.99</v>
      </c>
      <c r="AL682" s="50">
        <v>0.99939999999999996</v>
      </c>
      <c r="AM682" s="104"/>
      <c r="AN682" s="92">
        <f t="shared" ref="AN682:AN684" si="2077">Z682/Y682-1</f>
        <v>-0.29309742834663099</v>
      </c>
      <c r="AO682" s="49">
        <f t="shared" ref="AO682:AO684" si="2078">AD682/AC682-1</f>
        <v>-0.28001543209876534</v>
      </c>
      <c r="AP682" s="49">
        <f t="shared" si="2071"/>
        <v>-4.1899999999999937E-2</v>
      </c>
      <c r="AQ682" s="49">
        <f t="shared" si="2072"/>
        <v>9.3999999999999639E-3</v>
      </c>
      <c r="AR682" s="52"/>
    </row>
    <row r="683" spans="24:44" hidden="1">
      <c r="X683" s="5">
        <v>43861</v>
      </c>
      <c r="Y683" s="2">
        <v>474.81539304192353</v>
      </c>
      <c r="Z683" s="2">
        <f>421485/1000</f>
        <v>421.48500000000001</v>
      </c>
      <c r="AA683" s="2">
        <v>79.599999999999994</v>
      </c>
      <c r="AB683" s="2">
        <v>72.260000000000005</v>
      </c>
      <c r="AC683" s="2">
        <v>103.2</v>
      </c>
      <c r="AD683" s="2">
        <v>96.53</v>
      </c>
      <c r="AE683" s="10">
        <f t="shared" si="2067"/>
        <v>0.77849819816944665</v>
      </c>
      <c r="AF683" s="10">
        <f t="shared" si="2068"/>
        <v>0.80706125259146255</v>
      </c>
      <c r="AG683" s="10">
        <f>Y683/24/31/5</f>
        <v>0.12763854651664613</v>
      </c>
      <c r="AH683" s="10">
        <f>Z683/24/31/5</f>
        <v>0.11330241935483872</v>
      </c>
      <c r="AI683" s="10">
        <v>0.98499999999999999</v>
      </c>
      <c r="AJ683" s="11">
        <v>0.90169999999999995</v>
      </c>
      <c r="AK683" s="10">
        <v>0.99</v>
      </c>
      <c r="AL683" s="17">
        <v>0.998</v>
      </c>
      <c r="AM683" s="102"/>
      <c r="AN683" s="81">
        <f t="shared" si="2077"/>
        <v>-0.11231816369781156</v>
      </c>
      <c r="AO683" s="10">
        <f t="shared" si="2078"/>
        <v>-6.463178294573646E-2</v>
      </c>
      <c r="AP683" s="10">
        <f t="shared" si="2071"/>
        <v>-8.3300000000000041E-2</v>
      </c>
      <c r="AQ683" s="10">
        <f t="shared" si="2072"/>
        <v>8.0000000000000071E-3</v>
      </c>
      <c r="AR683" s="23"/>
    </row>
    <row r="684" spans="24:44" hidden="1">
      <c r="X684" s="5">
        <v>43890</v>
      </c>
      <c r="Y684" s="2">
        <v>623.51881726415968</v>
      </c>
      <c r="Z684" s="2">
        <f>645537/1000</f>
        <v>645.53700000000003</v>
      </c>
      <c r="AA684" s="2">
        <v>108.1</v>
      </c>
      <c r="AB684" s="2">
        <v>110.78</v>
      </c>
      <c r="AC684" s="2">
        <v>137.5</v>
      </c>
      <c r="AD684" s="2">
        <v>144.13</v>
      </c>
      <c r="AE684" s="10">
        <f t="shared" si="2067"/>
        <v>0.76728973052042415</v>
      </c>
      <c r="AF684" s="10">
        <f t="shared" si="2068"/>
        <v>0.78034225815286651</v>
      </c>
      <c r="AG684" s="10">
        <f>Y684/24/29/5</f>
        <v>0.17917207392648266</v>
      </c>
      <c r="AH684" s="10">
        <f>Z684/24/29/5</f>
        <v>0.18549913793103448</v>
      </c>
      <c r="AI684" s="10">
        <v>0.98499999999999999</v>
      </c>
      <c r="AJ684" s="11">
        <v>0.95660000000000001</v>
      </c>
      <c r="AK684" s="10">
        <v>0.99</v>
      </c>
      <c r="AL684" s="17">
        <v>1</v>
      </c>
      <c r="AM684" s="102"/>
      <c r="AN684" s="81">
        <f t="shared" si="2077"/>
        <v>3.5312779865169786E-2</v>
      </c>
      <c r="AO684" s="10">
        <f t="shared" si="2078"/>
        <v>4.8218181818181716E-2</v>
      </c>
      <c r="AP684" s="10">
        <f t="shared" si="2071"/>
        <v>-2.8399999999999981E-2</v>
      </c>
      <c r="AQ684" s="10">
        <f t="shared" si="2072"/>
        <v>1.0000000000000009E-2</v>
      </c>
      <c r="AR684" s="23"/>
    </row>
    <row r="685" spans="24:44" hidden="1">
      <c r="X685" s="5">
        <v>43921</v>
      </c>
      <c r="Y685" s="2">
        <v>836.08205042239581</v>
      </c>
      <c r="Z685" s="2">
        <f>781503/1000</f>
        <v>781.50300000000004</v>
      </c>
      <c r="AA685" s="2">
        <v>161.4</v>
      </c>
      <c r="AB685" s="2">
        <v>149.93</v>
      </c>
      <c r="AC685" s="2">
        <v>187.8</v>
      </c>
      <c r="AD685" s="2">
        <v>171.35</v>
      </c>
      <c r="AE685" s="10">
        <f t="shared" ref="AE685:AF694" si="2079">Y685/6/AC685/AI685</f>
        <v>0.75329629427424483</v>
      </c>
      <c r="AF685" s="10">
        <f t="shared" ref="AF685:AF690" si="2080">Z685/6/AD685/AJ685</f>
        <v>0.7945468612942147</v>
      </c>
      <c r="AG685" s="10">
        <f>Y685/24/31/5</f>
        <v>0.22475323936085911</v>
      </c>
      <c r="AH685" s="10">
        <f>Z685/24/31/5</f>
        <v>0.21008145161290326</v>
      </c>
      <c r="AI685" s="10">
        <v>0.98499999999999999</v>
      </c>
      <c r="AJ685" s="11">
        <v>0.95669999999999999</v>
      </c>
      <c r="AK685" s="10">
        <v>0.99</v>
      </c>
      <c r="AL685" s="17">
        <v>0.99939999999999996</v>
      </c>
      <c r="AM685" s="102"/>
      <c r="AN685" s="81">
        <f t="shared" ref="AN685" si="2081">Z685/Y685-1</f>
        <v>-6.5279538527136194E-2</v>
      </c>
      <c r="AO685" s="10">
        <f t="shared" ref="AO685" si="2082">AD685/AC685-1</f>
        <v>-8.759318423855178E-2</v>
      </c>
      <c r="AP685" s="10">
        <f t="shared" ref="AP685:AP686" si="2083">AJ685-AI685</f>
        <v>-2.8299999999999992E-2</v>
      </c>
      <c r="AQ685" s="10">
        <f t="shared" ref="AQ685:AQ686" si="2084">AL685-AK685</f>
        <v>9.3999999999999639E-3</v>
      </c>
      <c r="AR685" s="23"/>
    </row>
    <row r="686" spans="24:44" hidden="1">
      <c r="X686" s="25">
        <v>43951</v>
      </c>
      <c r="Y686" s="44">
        <v>864.78717079761088</v>
      </c>
      <c r="Z686" s="26">
        <f>782745/1000</f>
        <v>782.745</v>
      </c>
      <c r="AA686" s="26">
        <v>190.2</v>
      </c>
      <c r="AB686" s="26">
        <v>173.7</v>
      </c>
      <c r="AC686" s="26">
        <v>194</v>
      </c>
      <c r="AD686" s="26">
        <v>176.1</v>
      </c>
      <c r="AE686" s="29">
        <f t="shared" si="2079"/>
        <v>0.75425817747100921</v>
      </c>
      <c r="AF686" s="29">
        <f t="shared" si="2080"/>
        <v>0.75439396935873559</v>
      </c>
      <c r="AG686" s="29">
        <f>Y686/24/30/5</f>
        <v>0.24021865855489191</v>
      </c>
      <c r="AH686" s="29">
        <f>Z686/24/30/5</f>
        <v>0.2174291666666667</v>
      </c>
      <c r="AI686" s="29">
        <v>0.98499999999999999</v>
      </c>
      <c r="AJ686" s="28">
        <v>0.98199999999999998</v>
      </c>
      <c r="AK686" s="29">
        <v>0.99</v>
      </c>
      <c r="AL686" s="30">
        <v>0.99880000000000002</v>
      </c>
      <c r="AM686" s="103"/>
      <c r="AN686" s="87">
        <f t="shared" ref="AN686" si="2085">Z686/Y686-1</f>
        <v>-9.4869782494508725E-2</v>
      </c>
      <c r="AO686" s="29">
        <f t="shared" ref="AO686" si="2086">AD686/AC686-1</f>
        <v>-9.2268041237113407E-2</v>
      </c>
      <c r="AP686" s="29">
        <f t="shared" si="2083"/>
        <v>-3.0000000000000027E-3</v>
      </c>
      <c r="AQ686" s="29">
        <f t="shared" si="2084"/>
        <v>8.80000000000003E-3</v>
      </c>
      <c r="AR686" s="32"/>
    </row>
    <row r="687" spans="24:44" hidden="1">
      <c r="X687" s="5">
        <v>43982</v>
      </c>
      <c r="Y687" s="43">
        <v>876.05120537522657</v>
      </c>
      <c r="Z687" s="2">
        <f>800832/1000</f>
        <v>800.83199999999999</v>
      </c>
      <c r="AA687" s="2">
        <v>197</v>
      </c>
      <c r="AB687" s="2">
        <v>190.03</v>
      </c>
      <c r="AC687" s="2">
        <v>197.7</v>
      </c>
      <c r="AD687" s="2">
        <v>188.79</v>
      </c>
      <c r="AE687" s="10">
        <f t="shared" si="2079"/>
        <v>0.74978257180522423</v>
      </c>
      <c r="AF687" s="29">
        <f t="shared" si="2080"/>
        <v>0.72930327921030058</v>
      </c>
      <c r="AG687" s="10">
        <f t="shared" ref="AG687:AH687" si="2087">Y687/24/31/5</f>
        <v>0.23549763585355551</v>
      </c>
      <c r="AH687" s="10">
        <f t="shared" si="2087"/>
        <v>0.21527741935483871</v>
      </c>
      <c r="AI687" s="10">
        <v>0.98499999999999999</v>
      </c>
      <c r="AJ687" s="11">
        <v>0.96940000000000004</v>
      </c>
      <c r="AK687" s="10">
        <v>0.99</v>
      </c>
      <c r="AL687" s="17">
        <v>0.99729999999999996</v>
      </c>
      <c r="AM687" s="102"/>
      <c r="AN687" s="81">
        <f t="shared" ref="AN687" si="2088">Z687/Y687-1</f>
        <v>-8.5861653877879252E-2</v>
      </c>
      <c r="AO687" s="10">
        <f t="shared" ref="AO687" si="2089">AD687/AC687-1</f>
        <v>-4.5068285280728371E-2</v>
      </c>
      <c r="AP687" s="10">
        <f t="shared" ref="AP687:AP694" si="2090">AJ687-AI687</f>
        <v>-1.5599999999999947E-2</v>
      </c>
      <c r="AQ687" s="10">
        <f t="shared" ref="AQ687:AQ694" si="2091">AL687-AK687</f>
        <v>7.2999999999999732E-3</v>
      </c>
      <c r="AR687" s="23"/>
    </row>
    <row r="688" spans="24:44" hidden="1">
      <c r="X688" s="5">
        <v>44012</v>
      </c>
      <c r="Y688" s="43">
        <v>786.66564066253261</v>
      </c>
      <c r="Z688" s="2">
        <f>815898/1000</f>
        <v>815.89800000000002</v>
      </c>
      <c r="AA688" s="2">
        <v>178.9</v>
      </c>
      <c r="AB688" s="2">
        <v>185.88</v>
      </c>
      <c r="AC688" s="2">
        <v>177.2</v>
      </c>
      <c r="AD688" s="2">
        <v>184.46</v>
      </c>
      <c r="AE688" s="10">
        <f t="shared" si="2079"/>
        <v>0.75117129464783317</v>
      </c>
      <c r="AF688" s="10">
        <f t="shared" si="2080"/>
        <v>0.75362406035438989</v>
      </c>
      <c r="AG688" s="10">
        <f>Y688/24/30/5</f>
        <v>0.21851823351737015</v>
      </c>
      <c r="AH688" s="10">
        <f>Z688/24/30/5</f>
        <v>0.22663833333333333</v>
      </c>
      <c r="AI688" s="10">
        <v>0.98499999999999999</v>
      </c>
      <c r="AJ688" s="11">
        <v>0.97819999999999996</v>
      </c>
      <c r="AK688" s="10">
        <v>0.99</v>
      </c>
      <c r="AL688" s="17">
        <v>0.99850000000000005</v>
      </c>
      <c r="AM688" s="102"/>
      <c r="AN688" s="81">
        <f t="shared" ref="AN688:AN692" si="2092">Z688/Y688-1</f>
        <v>3.7159827284242164E-2</v>
      </c>
      <c r="AO688" s="10">
        <f t="shared" ref="AO688:AO692" si="2093">AD688/AC688-1</f>
        <v>4.0970654627539682E-2</v>
      </c>
      <c r="AP688" s="10">
        <f t="shared" si="2090"/>
        <v>-6.8000000000000282E-3</v>
      </c>
      <c r="AQ688" s="10">
        <f t="shared" si="2091"/>
        <v>8.5000000000000631E-3</v>
      </c>
      <c r="AR688" s="23"/>
    </row>
    <row r="689" spans="24:44" hidden="1">
      <c r="X689" s="5">
        <v>44043</v>
      </c>
      <c r="Y689" s="43">
        <v>696.19000808748831</v>
      </c>
      <c r="Z689" s="2">
        <f>699828/1000</f>
        <v>699.82799999999997</v>
      </c>
      <c r="AA689" s="2">
        <v>155.5</v>
      </c>
      <c r="AB689" s="2">
        <v>154.16999999999996</v>
      </c>
      <c r="AC689" s="2">
        <v>154.6</v>
      </c>
      <c r="AD689" s="2">
        <v>153.65</v>
      </c>
      <c r="AE689" s="10">
        <f t="shared" si="2079"/>
        <v>0.76195761792069527</v>
      </c>
      <c r="AF689" s="10">
        <f t="shared" si="2080"/>
        <v>0.78852692579319916</v>
      </c>
      <c r="AG689" s="10">
        <f>Y689/24/31/5</f>
        <v>0.18714785163642159</v>
      </c>
      <c r="AH689" s="10">
        <f>Z689/24/31/5</f>
        <v>0.18812580645161289</v>
      </c>
      <c r="AI689" s="10">
        <v>0.98499999999999999</v>
      </c>
      <c r="AJ689" s="11">
        <v>0.9627</v>
      </c>
      <c r="AK689" s="10">
        <v>0.99</v>
      </c>
      <c r="AL689" s="17">
        <v>0.98670000000000002</v>
      </c>
      <c r="AM689" s="102"/>
      <c r="AN689" s="81">
        <f t="shared" si="2092"/>
        <v>5.2255732921326903E-3</v>
      </c>
      <c r="AO689" s="10">
        <f t="shared" si="2093"/>
        <v>-6.1448900388098027E-3</v>
      </c>
      <c r="AP689" s="10">
        <f t="shared" si="2090"/>
        <v>-2.2299999999999986E-2</v>
      </c>
      <c r="AQ689" s="10">
        <f t="shared" si="2091"/>
        <v>-3.2999999999999696E-3</v>
      </c>
      <c r="AR689" s="23"/>
    </row>
    <row r="690" spans="24:44" hidden="1">
      <c r="X690" s="5">
        <v>44074</v>
      </c>
      <c r="Y690" s="43">
        <v>661.03531952670312</v>
      </c>
      <c r="Z690" s="2">
        <v>581.65200000000004</v>
      </c>
      <c r="AA690" s="2">
        <v>145.4</v>
      </c>
      <c r="AB690" s="2">
        <v>134.54</v>
      </c>
      <c r="AC690" s="2">
        <v>146.30000000000001</v>
      </c>
      <c r="AD690" s="2">
        <v>136.63</v>
      </c>
      <c r="AE690" s="10">
        <f t="shared" si="2079"/>
        <v>0.76452705312739988</v>
      </c>
      <c r="AF690" s="10">
        <f t="shared" si="2080"/>
        <v>0.77755842947506482</v>
      </c>
      <c r="AG690" s="10">
        <f>Y690/24/31/5</f>
        <v>0.17769766653943633</v>
      </c>
      <c r="AH690" s="10">
        <f>Z690/24/31/5</f>
        <v>0.15635806451612905</v>
      </c>
      <c r="AI690" s="10">
        <v>0.98499999999999999</v>
      </c>
      <c r="AJ690" s="11">
        <v>0.91249999999999998</v>
      </c>
      <c r="AK690" s="10">
        <v>0.99</v>
      </c>
      <c r="AL690" s="17">
        <v>0.99880000000000002</v>
      </c>
      <c r="AM690" s="102"/>
      <c r="AN690" s="81">
        <f t="shared" si="2092"/>
        <v>-0.12008937674244247</v>
      </c>
      <c r="AO690" s="10">
        <f t="shared" si="2093"/>
        <v>-6.6097060833902987E-2</v>
      </c>
      <c r="AP690" s="10">
        <f t="shared" si="2090"/>
        <v>-7.2500000000000009E-2</v>
      </c>
      <c r="AQ690" s="10">
        <f t="shared" si="2091"/>
        <v>8.80000000000003E-3</v>
      </c>
      <c r="AR690" s="23"/>
    </row>
    <row r="691" spans="24:44" hidden="1">
      <c r="X691" s="5">
        <v>44104</v>
      </c>
      <c r="Y691" s="43">
        <v>658.67350582494498</v>
      </c>
      <c r="Z691" s="2">
        <f>667884/1000</f>
        <v>667.88400000000001</v>
      </c>
      <c r="AA691" s="2">
        <v>141.6</v>
      </c>
      <c r="AB691" s="2">
        <v>145.53</v>
      </c>
      <c r="AC691" s="2">
        <v>145.5</v>
      </c>
      <c r="AD691" s="2">
        <v>159.03</v>
      </c>
      <c r="AE691" s="10">
        <f t="shared" si="2079"/>
        <v>0.76598403989387787</v>
      </c>
      <c r="AF691" s="10">
        <f t="shared" si="2079"/>
        <v>0.72965285431860083</v>
      </c>
      <c r="AG691" s="10">
        <f>Y691/24/30/5</f>
        <v>0.18296486272915141</v>
      </c>
      <c r="AH691" s="10">
        <f>Z691/24/30/5</f>
        <v>0.18552333333333335</v>
      </c>
      <c r="AI691" s="10">
        <v>0.98499999999999999</v>
      </c>
      <c r="AJ691" s="11">
        <v>0.95930000000000004</v>
      </c>
      <c r="AK691" s="10">
        <v>0.99</v>
      </c>
      <c r="AL691" s="17">
        <v>0.99739999999999995</v>
      </c>
      <c r="AM691" s="102"/>
      <c r="AN691" s="81">
        <f t="shared" si="2092"/>
        <v>1.3983398593692575E-2</v>
      </c>
      <c r="AO691" s="10">
        <f t="shared" si="2093"/>
        <v>9.2989690721649421E-2</v>
      </c>
      <c r="AP691" s="10">
        <f t="shared" si="2090"/>
        <v>-2.5699999999999945E-2</v>
      </c>
      <c r="AQ691" s="10">
        <f t="shared" si="2091"/>
        <v>7.3999999999999622E-3</v>
      </c>
      <c r="AR691" s="23"/>
    </row>
    <row r="692" spans="24:44" hidden="1">
      <c r="X692" s="5">
        <v>44135</v>
      </c>
      <c r="Y692" s="43">
        <v>755.23535063144277</v>
      </c>
      <c r="Z692" s="2">
        <f>726879/1000</f>
        <v>726.87900000000002</v>
      </c>
      <c r="AA692" s="2">
        <v>139.1</v>
      </c>
      <c r="AB692" s="2">
        <v>135.99</v>
      </c>
      <c r="AC692" s="2">
        <v>172.2</v>
      </c>
      <c r="AD692" s="2">
        <v>172.93</v>
      </c>
      <c r="AE692" s="10">
        <f t="shared" si="2079"/>
        <v>0.74209871910583136</v>
      </c>
      <c r="AF692" s="10">
        <f t="shared" si="2079"/>
        <v>0.70336570941140375</v>
      </c>
      <c r="AG692" s="10">
        <f>Y692/24/31/5</f>
        <v>0.20302025554608677</v>
      </c>
      <c r="AH692" s="10">
        <f>Z692/24/31/5</f>
        <v>0.1953975806451613</v>
      </c>
      <c r="AI692" s="10">
        <v>0.98499999999999999</v>
      </c>
      <c r="AJ692" s="11">
        <v>0.996</v>
      </c>
      <c r="AK692" s="10">
        <v>0.99</v>
      </c>
      <c r="AL692" s="17">
        <v>1</v>
      </c>
      <c r="AM692" s="102"/>
      <c r="AN692" s="81">
        <f t="shared" si="2092"/>
        <v>-3.7546376249118052E-2</v>
      </c>
      <c r="AO692" s="10">
        <f t="shared" si="2093"/>
        <v>4.239256678281178E-3</v>
      </c>
      <c r="AP692" s="10">
        <f t="shared" si="2090"/>
        <v>1.100000000000001E-2</v>
      </c>
      <c r="AQ692" s="10">
        <f t="shared" si="2091"/>
        <v>1.0000000000000009E-2</v>
      </c>
      <c r="AR692" s="23"/>
    </row>
    <row r="693" spans="24:44" hidden="1">
      <c r="X693" s="5">
        <v>44165</v>
      </c>
      <c r="Y693" s="43">
        <v>668.30243860903602</v>
      </c>
      <c r="Z693" s="2">
        <f>568053/1000</f>
        <v>568.053</v>
      </c>
      <c r="AA693" s="2">
        <v>108.1</v>
      </c>
      <c r="AB693" s="2">
        <v>100.85</v>
      </c>
      <c r="AC693" s="2">
        <v>152.1</v>
      </c>
      <c r="AD693" s="2">
        <v>141.36000000000001</v>
      </c>
      <c r="AE693" s="10">
        <f t="shared" si="2079"/>
        <v>0.7434578491185847</v>
      </c>
      <c r="AF693" s="10">
        <f t="shared" si="2079"/>
        <v>0.69317683017045761</v>
      </c>
      <c r="AG693" s="10">
        <f>Y693/24/30/5</f>
        <v>0.1856395662802878</v>
      </c>
      <c r="AH693" s="10">
        <f>Z693/24/30/5</f>
        <v>0.1577925</v>
      </c>
      <c r="AI693" s="10">
        <v>0.98499999999999999</v>
      </c>
      <c r="AJ693" s="11">
        <v>0.96619999999999995</v>
      </c>
      <c r="AK693" s="10">
        <v>0.99</v>
      </c>
      <c r="AL693" s="17">
        <v>0.99629999999999996</v>
      </c>
      <c r="AM693" s="102"/>
      <c r="AN693" s="81">
        <f t="shared" ref="AN693:AN694" si="2094">Z693/Y693-1</f>
        <v>-0.15000609427325906</v>
      </c>
      <c r="AO693" s="10">
        <f t="shared" ref="AO693:AO694" si="2095">AD693/AC693-1</f>
        <v>-7.0611439842208967E-2</v>
      </c>
      <c r="AP693" s="10">
        <f t="shared" si="2090"/>
        <v>-1.8800000000000039E-2</v>
      </c>
      <c r="AQ693" s="10">
        <f t="shared" si="2091"/>
        <v>6.2999999999999723E-3</v>
      </c>
      <c r="AR693" s="23"/>
    </row>
    <row r="694" spans="24:44" hidden="1">
      <c r="X694" s="5">
        <v>44196</v>
      </c>
      <c r="Y694" s="43">
        <v>561.61204658153667</v>
      </c>
      <c r="Z694" s="2">
        <f>500592/1000</f>
        <v>500.59199999999998</v>
      </c>
      <c r="AA694" s="2">
        <v>89.9</v>
      </c>
      <c r="AB694" s="2">
        <v>82.35</v>
      </c>
      <c r="AC694" s="2">
        <v>129.6</v>
      </c>
      <c r="AD694" s="2">
        <v>118.73</v>
      </c>
      <c r="AE694" s="10">
        <f t="shared" si="2079"/>
        <v>0.73323625809667736</v>
      </c>
      <c r="AF694" s="10">
        <f t="shared" si="2079"/>
        <v>0.70922851558349276</v>
      </c>
      <c r="AG694" s="10">
        <f>Y694/24/31/5</f>
        <v>0.15097098026385394</v>
      </c>
      <c r="AH694" s="10">
        <f>Z694/24/31/5</f>
        <v>0.13456774193548388</v>
      </c>
      <c r="AI694" s="10">
        <v>0.98499999999999999</v>
      </c>
      <c r="AJ694" s="11">
        <v>0.99080000000000001</v>
      </c>
      <c r="AK694" s="10">
        <v>0.99</v>
      </c>
      <c r="AL694" s="17">
        <v>0.99790000000000001</v>
      </c>
      <c r="AM694" s="102"/>
      <c r="AN694" s="81">
        <f t="shared" si="2094"/>
        <v>-0.10865159847079175</v>
      </c>
      <c r="AO694" s="10">
        <f t="shared" si="2095"/>
        <v>-8.3873456790123369E-2</v>
      </c>
      <c r="AP694" s="10">
        <f t="shared" si="2090"/>
        <v>5.8000000000000274E-3</v>
      </c>
      <c r="AQ694" s="10">
        <f t="shared" si="2091"/>
        <v>7.9000000000000181E-3</v>
      </c>
      <c r="AR694" s="23"/>
    </row>
    <row r="695" spans="24:44" hidden="1">
      <c r="X695" s="5">
        <v>44227</v>
      </c>
      <c r="Y695" s="43">
        <v>472.44131607671386</v>
      </c>
      <c r="Z695" s="2">
        <v>401.31599999999997</v>
      </c>
      <c r="AA695" s="2">
        <v>79.599999999999994</v>
      </c>
      <c r="AB695" s="2">
        <v>70.179999999999993</v>
      </c>
      <c r="AC695" s="2">
        <v>103.2</v>
      </c>
      <c r="AD695" s="2">
        <v>90.98</v>
      </c>
      <c r="AE695" s="10">
        <f t="shared" ref="AE695:AE696" si="2096">Y695/6/AC695/AI695</f>
        <v>0.77460570717859933</v>
      </c>
      <c r="AF695" s="10">
        <f t="shared" ref="AF695:AF696" si="2097">Z695/6/AD695/AJ695</f>
        <v>0.74282364898351894</v>
      </c>
      <c r="AG695" s="10">
        <f>Y695/24/31/5</f>
        <v>0.12700035378406288</v>
      </c>
      <c r="AH695" s="10">
        <f>Z695/24/31/5</f>
        <v>0.10788064516129033</v>
      </c>
      <c r="AI695" s="10">
        <v>0.98499999999999999</v>
      </c>
      <c r="AJ695" s="11">
        <v>0.98970000000000002</v>
      </c>
      <c r="AK695" s="10">
        <v>0.99</v>
      </c>
      <c r="AL695" s="17">
        <v>1</v>
      </c>
      <c r="AM695" s="102"/>
      <c r="AN695" s="81">
        <f t="shared" ref="AN695" si="2098">Z695/Y695-1</f>
        <v>-0.15054846741042593</v>
      </c>
      <c r="AO695" s="10">
        <f t="shared" ref="AO695" si="2099">AD695/AC695-1</f>
        <v>-0.11841085271317831</v>
      </c>
      <c r="AP695" s="10">
        <f t="shared" ref="AP695" si="2100">AJ695-AI695</f>
        <v>4.7000000000000375E-3</v>
      </c>
      <c r="AQ695" s="10">
        <f t="shared" ref="AQ695" si="2101">AL695-AK695</f>
        <v>1.0000000000000009E-2</v>
      </c>
      <c r="AR695" s="23"/>
    </row>
    <row r="696" spans="24:44" hidden="1">
      <c r="X696" s="5">
        <v>44255</v>
      </c>
      <c r="Y696" s="43">
        <v>620.40122317783869</v>
      </c>
      <c r="Z696" s="2">
        <v>560.40599999999995</v>
      </c>
      <c r="AA696" s="2">
        <v>108.1</v>
      </c>
      <c r="AB696" s="2">
        <v>105.23</v>
      </c>
      <c r="AC696" s="2">
        <v>137.5</v>
      </c>
      <c r="AD696" s="2">
        <v>139.1</v>
      </c>
      <c r="AE696" s="10">
        <f t="shared" si="2096"/>
        <v>0.7634532818678218</v>
      </c>
      <c r="AF696" s="10">
        <f t="shared" si="2097"/>
        <v>0.7669270800800424</v>
      </c>
      <c r="AG696" s="10">
        <f>Y696/24/28/5</f>
        <v>0.18464322118388057</v>
      </c>
      <c r="AH696" s="10">
        <f>Z696/24/28/5</f>
        <v>0.16678750000000001</v>
      </c>
      <c r="AI696" s="10">
        <v>0.98499999999999999</v>
      </c>
      <c r="AJ696" s="11">
        <v>0.87552857142857143</v>
      </c>
      <c r="AK696" s="10">
        <v>0.99</v>
      </c>
      <c r="AL696" s="17">
        <v>1</v>
      </c>
      <c r="AM696" s="102"/>
      <c r="AN696" s="81">
        <f t="shared" ref="AN696" si="2102">Z696/Y696-1</f>
        <v>-9.6703908594069632E-2</v>
      </c>
      <c r="AO696" s="10">
        <f t="shared" ref="AO696" si="2103">AD696/AC696-1</f>
        <v>1.1636363636363667E-2</v>
      </c>
      <c r="AP696" s="10">
        <f t="shared" ref="AP696" si="2104">AJ696-AI696</f>
        <v>-0.10947142857142855</v>
      </c>
      <c r="AQ696" s="10">
        <f t="shared" ref="AQ696" si="2105">AL696-AK696</f>
        <v>1.0000000000000009E-2</v>
      </c>
      <c r="AR696" s="23"/>
    </row>
    <row r="697" spans="24:44" hidden="1">
      <c r="X697" s="5">
        <v>44286</v>
      </c>
      <c r="Y697" s="43">
        <v>831.90164017028405</v>
      </c>
      <c r="Z697" s="2">
        <v>761.71199999999999</v>
      </c>
      <c r="AA697" s="2">
        <v>161.4</v>
      </c>
      <c r="AB697" s="2">
        <v>152.74999999999997</v>
      </c>
      <c r="AC697" s="2">
        <v>187.8</v>
      </c>
      <c r="AD697" s="2">
        <v>177.18000000000004</v>
      </c>
      <c r="AE697" s="10">
        <f t="shared" ref="AE697:AE708" si="2106">Y697/6/AC697/AI697</f>
        <v>0.74952981280287378</v>
      </c>
      <c r="AF697" s="10">
        <f t="shared" ref="AF697:AF708" si="2107">Z697/6/AD697/AJ697</f>
        <v>0.73472357350677531</v>
      </c>
      <c r="AG697" s="10">
        <f>Y697/24/31/5</f>
        <v>0.22362947316405485</v>
      </c>
      <c r="AH697" s="10">
        <f>Z697/24/31/5</f>
        <v>0.20476129032258067</v>
      </c>
      <c r="AI697" s="10">
        <v>0.98499999999999999</v>
      </c>
      <c r="AJ697" s="11">
        <v>0.97521612903225807</v>
      </c>
      <c r="AK697" s="10">
        <v>0.99</v>
      </c>
      <c r="AL697" s="17">
        <v>1</v>
      </c>
      <c r="AM697" s="102"/>
      <c r="AN697" s="81">
        <f t="shared" ref="AN697:AN708" si="2108">Z697/Y697-1</f>
        <v>-8.4372522881331014E-2</v>
      </c>
      <c r="AO697" s="10">
        <f t="shared" ref="AO697:AO708" si="2109">AD697/AC697-1</f>
        <v>-5.6549520766772998E-2</v>
      </c>
      <c r="AP697" s="10">
        <f t="shared" ref="AP697:AP708" si="2110">AJ697-AI697</f>
        <v>-9.7838709677419144E-3</v>
      </c>
      <c r="AQ697" s="10">
        <f t="shared" ref="AQ697:AQ708" si="2111">AL697-AK697</f>
        <v>1.0000000000000009E-2</v>
      </c>
      <c r="AR697" s="23"/>
    </row>
    <row r="698" spans="24:44" hidden="1">
      <c r="X698" s="25">
        <v>44316</v>
      </c>
      <c r="Y698" s="44">
        <v>860.46323494362287</v>
      </c>
      <c r="Z698" s="26">
        <v>777.96</v>
      </c>
      <c r="AA698" s="26">
        <v>190.2</v>
      </c>
      <c r="AB698" s="26">
        <v>180.36999999999998</v>
      </c>
      <c r="AC698" s="26">
        <v>194</v>
      </c>
      <c r="AD698" s="26">
        <v>183.48999999999998</v>
      </c>
      <c r="AE698" s="29">
        <f t="shared" si="2106"/>
        <v>0.75048688658365426</v>
      </c>
      <c r="AF698" s="29">
        <f t="shared" si="2107"/>
        <v>0.72831845832472608</v>
      </c>
      <c r="AG698" s="29">
        <f>Y698/24/30/5</f>
        <v>0.23901756526211745</v>
      </c>
      <c r="AH698" s="29">
        <f>Z698/24/30/5</f>
        <v>0.21610000000000001</v>
      </c>
      <c r="AI698" s="29">
        <v>0.98499999999999999</v>
      </c>
      <c r="AJ698" s="28">
        <v>0.97022464000000008</v>
      </c>
      <c r="AK698" s="29">
        <v>0.99</v>
      </c>
      <c r="AL698" s="30">
        <v>0.98560000000000003</v>
      </c>
      <c r="AM698" s="103"/>
      <c r="AN698" s="87">
        <f t="shared" si="2108"/>
        <v>-9.5882347546235813E-2</v>
      </c>
      <c r="AO698" s="29">
        <f t="shared" si="2109"/>
        <v>-5.4175257731958859E-2</v>
      </c>
      <c r="AP698" s="29">
        <f t="shared" si="2110"/>
        <v>-1.4775359999999904E-2</v>
      </c>
      <c r="AQ698" s="29">
        <f t="shared" si="2111"/>
        <v>-4.3999999999999595E-3</v>
      </c>
      <c r="AR698" s="32">
        <v>-2.1379634131763501E-2</v>
      </c>
    </row>
    <row r="699" spans="24:44" hidden="1">
      <c r="X699" s="5">
        <v>44347</v>
      </c>
      <c r="Y699" s="43">
        <v>871.6709493483504</v>
      </c>
      <c r="Z699" s="2">
        <v>730.73099999999999</v>
      </c>
      <c r="AA699" s="2">
        <v>197</v>
      </c>
      <c r="AB699" s="2">
        <v>177.45000000000007</v>
      </c>
      <c r="AC699" s="2">
        <v>197.7</v>
      </c>
      <c r="AD699" s="2">
        <v>177.23</v>
      </c>
      <c r="AE699" s="10">
        <f t="shared" si="2106"/>
        <v>0.746033658946198</v>
      </c>
      <c r="AF699" s="29">
        <f t="shared" si="2107"/>
        <v>0.72228051158562534</v>
      </c>
      <c r="AG699" s="10">
        <f t="shared" ref="AG699" si="2112">Y699/24/31/5</f>
        <v>0.23432014767428772</v>
      </c>
      <c r="AH699" s="10">
        <f t="shared" ref="AH699" si="2113">Z699/24/31/5</f>
        <v>0.19643306451612902</v>
      </c>
      <c r="AI699" s="10">
        <v>0.98499999999999999</v>
      </c>
      <c r="AJ699" s="11">
        <v>0.95140000000000002</v>
      </c>
      <c r="AK699" s="10">
        <v>0.99</v>
      </c>
      <c r="AL699" s="17">
        <v>1</v>
      </c>
      <c r="AM699" s="102"/>
      <c r="AN699" s="81">
        <f t="shared" si="2108"/>
        <v>-0.16168939604298527</v>
      </c>
      <c r="AO699" s="10">
        <f t="shared" si="2109"/>
        <v>-0.10354071825998989</v>
      </c>
      <c r="AP699" s="10">
        <f t="shared" si="2110"/>
        <v>-3.3599999999999963E-2</v>
      </c>
      <c r="AQ699" s="10">
        <f t="shared" si="2111"/>
        <v>1.0000000000000009E-2</v>
      </c>
      <c r="AR699" s="23">
        <v>-1.6094016683867601E-2</v>
      </c>
    </row>
    <row r="700" spans="24:44" hidden="1">
      <c r="X700" s="5">
        <v>44377</v>
      </c>
      <c r="Y700" s="43">
        <v>782.73231245922</v>
      </c>
      <c r="Z700" s="2">
        <v>793.92</v>
      </c>
      <c r="AA700" s="2">
        <v>178.9</v>
      </c>
      <c r="AB700" s="2">
        <v>183.81</v>
      </c>
      <c r="AC700" s="2">
        <v>177.2</v>
      </c>
      <c r="AD700" s="2">
        <v>180.86</v>
      </c>
      <c r="AE700" s="10">
        <f t="shared" si="2106"/>
        <v>0.7474154381745941</v>
      </c>
      <c r="AF700" s="10">
        <f t="shared" si="2107"/>
        <v>0.73610586003349832</v>
      </c>
      <c r="AG700" s="10">
        <f>Y700/24/30/5</f>
        <v>0.21742564234978329</v>
      </c>
      <c r="AH700" s="10">
        <f>Z700/24/30/5</f>
        <v>0.22053333333333333</v>
      </c>
      <c r="AI700" s="10">
        <v>0.98499999999999999</v>
      </c>
      <c r="AJ700" s="11">
        <v>0.99390000000000001</v>
      </c>
      <c r="AK700" s="10">
        <v>0.99</v>
      </c>
      <c r="AL700" s="17">
        <v>1</v>
      </c>
      <c r="AM700" s="102"/>
      <c r="AN700" s="81">
        <f t="shared" si="2108"/>
        <v>1.429312085715484E-2</v>
      </c>
      <c r="AO700" s="10">
        <f t="shared" si="2109"/>
        <v>2.0654627539503423E-2</v>
      </c>
      <c r="AP700" s="10">
        <f t="shared" si="2110"/>
        <v>8.900000000000019E-3</v>
      </c>
      <c r="AQ700" s="10">
        <f t="shared" si="2111"/>
        <v>1.0000000000000009E-2</v>
      </c>
      <c r="AR700" s="23">
        <v>-1.9199999999999998E-2</v>
      </c>
    </row>
    <row r="701" spans="24:44" hidden="1">
      <c r="X701" s="5">
        <v>44408</v>
      </c>
      <c r="Y701" s="43">
        <v>692.70905804705092</v>
      </c>
      <c r="Z701" s="2">
        <v>623.57399999999996</v>
      </c>
      <c r="AA701" s="2">
        <v>155.5</v>
      </c>
      <c r="AB701" s="2">
        <v>145.43</v>
      </c>
      <c r="AC701" s="2">
        <v>154.6</v>
      </c>
      <c r="AD701" s="2">
        <v>143.36000000000001</v>
      </c>
      <c r="AE701" s="10">
        <f t="shared" si="2106"/>
        <v>0.75814782983109186</v>
      </c>
      <c r="AF701" s="10">
        <f t="shared" si="2107"/>
        <v>0.77592975690356392</v>
      </c>
      <c r="AG701" s="10">
        <f>Y701/24/31/5</f>
        <v>0.18621211237823948</v>
      </c>
      <c r="AH701" s="10">
        <f>Z701/24/31/5</f>
        <v>0.16762741935483869</v>
      </c>
      <c r="AI701" s="10">
        <v>0.98499999999999999</v>
      </c>
      <c r="AJ701" s="11">
        <v>0.93430000000000002</v>
      </c>
      <c r="AK701" s="10">
        <v>0.99</v>
      </c>
      <c r="AL701" s="17">
        <v>1</v>
      </c>
      <c r="AM701" s="102"/>
      <c r="AN701" s="81">
        <f t="shared" si="2108"/>
        <v>-9.9803889156528269E-2</v>
      </c>
      <c r="AO701" s="10">
        <f t="shared" si="2109"/>
        <v>-7.2703751617076207E-2</v>
      </c>
      <c r="AP701" s="10">
        <f t="shared" si="2110"/>
        <v>-5.0699999999999967E-2</v>
      </c>
      <c r="AQ701" s="10">
        <f t="shared" si="2111"/>
        <v>1.0000000000000009E-2</v>
      </c>
      <c r="AR701" s="23">
        <v>-8.0000000000000002E-3</v>
      </c>
    </row>
    <row r="702" spans="24:44" hidden="1">
      <c r="X702" s="5">
        <v>44439</v>
      </c>
      <c r="Y702" s="43">
        <v>657.73014292906953</v>
      </c>
      <c r="Z702" s="2">
        <v>636.37800000000004</v>
      </c>
      <c r="AA702" s="2">
        <v>145.4</v>
      </c>
      <c r="AB702" s="2">
        <v>140.93999999999997</v>
      </c>
      <c r="AC702" s="2">
        <v>146.30000000000001</v>
      </c>
      <c r="AD702" s="2">
        <v>141.97</v>
      </c>
      <c r="AE702" s="10">
        <f t="shared" si="2106"/>
        <v>0.76070441786176279</v>
      </c>
      <c r="AF702" s="10">
        <f t="shared" si="2107"/>
        <v>0.75766264323005605</v>
      </c>
      <c r="AG702" s="10">
        <f>Y702/24/31/5</f>
        <v>0.17680917820673914</v>
      </c>
      <c r="AH702" s="10">
        <f>Z702/24/31/5</f>
        <v>0.17106935483870969</v>
      </c>
      <c r="AI702" s="10">
        <v>0.98499999999999999</v>
      </c>
      <c r="AJ702" s="11">
        <v>0.98603299999999994</v>
      </c>
      <c r="AK702" s="10">
        <v>0.99</v>
      </c>
      <c r="AL702" s="17">
        <v>0.997</v>
      </c>
      <c r="AM702" s="102"/>
      <c r="AN702" s="81">
        <f t="shared" si="2108"/>
        <v>-3.246337902955454E-2</v>
      </c>
      <c r="AO702" s="10">
        <f t="shared" si="2109"/>
        <v>-2.9596719070403399E-2</v>
      </c>
      <c r="AP702" s="10">
        <f t="shared" si="2110"/>
        <v>1.0329999999999506E-3</v>
      </c>
      <c r="AQ702" s="10">
        <f t="shared" si="2111"/>
        <v>7.0000000000000062E-3</v>
      </c>
      <c r="AR702" s="23">
        <v>-7.0000000000000001E-3</v>
      </c>
    </row>
    <row r="703" spans="24:44" hidden="1">
      <c r="X703" s="5">
        <v>44469</v>
      </c>
      <c r="Y703" s="43">
        <v>655.38013829582019</v>
      </c>
      <c r="Z703" s="2">
        <v>597.64200000000005</v>
      </c>
      <c r="AA703" s="2">
        <v>141.6</v>
      </c>
      <c r="AB703" s="24">
        <f>F574</f>
        <v>129.91</v>
      </c>
      <c r="AC703" s="2">
        <v>145.5</v>
      </c>
      <c r="AD703" s="24">
        <f>H574</f>
        <v>139.51</v>
      </c>
      <c r="AE703" s="10">
        <f t="shared" si="2106"/>
        <v>0.76215411969440838</v>
      </c>
      <c r="AF703" s="10">
        <f t="shared" si="2107"/>
        <v>0.72217800537924648</v>
      </c>
      <c r="AG703" s="10">
        <f>Y703/24/30/5</f>
        <v>0.18205003841550563</v>
      </c>
      <c r="AH703" s="10">
        <f>Z703/24/30/5</f>
        <v>0.1660116666666667</v>
      </c>
      <c r="AI703" s="10">
        <v>0.98499999999999999</v>
      </c>
      <c r="AJ703" s="11">
        <v>0.98864474871111119</v>
      </c>
      <c r="AK703" s="10">
        <v>0.99</v>
      </c>
      <c r="AL703" s="17">
        <v>0.9988866666666667</v>
      </c>
      <c r="AM703" s="102"/>
      <c r="AN703" s="81">
        <f t="shared" si="2108"/>
        <v>-8.8098700161948984E-2</v>
      </c>
      <c r="AO703" s="10">
        <f t="shared" si="2109"/>
        <v>-4.1168384879725184E-2</v>
      </c>
      <c r="AP703" s="10">
        <f t="shared" si="2110"/>
        <v>3.6447487111112009E-3</v>
      </c>
      <c r="AQ703" s="10">
        <f t="shared" si="2111"/>
        <v>8.8866666666667093E-3</v>
      </c>
      <c r="AR703" s="23">
        <v>-4.4999999999999997E-3</v>
      </c>
    </row>
    <row r="704" spans="24:44" hidden="1">
      <c r="X704" s="5">
        <v>44500</v>
      </c>
      <c r="Y704" s="43">
        <v>751.45917387828558</v>
      </c>
      <c r="Z704" s="2">
        <v>688.39200000000005</v>
      </c>
      <c r="AA704" s="2">
        <v>139.1</v>
      </c>
      <c r="AB704" s="2">
        <v>127.04000000000002</v>
      </c>
      <c r="AC704" s="2">
        <v>172.2</v>
      </c>
      <c r="AD704" s="2">
        <v>159.08000000000004</v>
      </c>
      <c r="AE704" s="10">
        <f t="shared" si="2106"/>
        <v>0.73838822551030225</v>
      </c>
      <c r="AF704" s="10">
        <f t="shared" si="2107"/>
        <v>0.73413171076307338</v>
      </c>
      <c r="AG704" s="10">
        <f>Y704/24/31/5</f>
        <v>0.20200515426835636</v>
      </c>
      <c r="AH704" s="10">
        <f>Z704/24/31/5</f>
        <v>0.18505161290322583</v>
      </c>
      <c r="AI704" s="10">
        <v>0.98499999999999999</v>
      </c>
      <c r="AJ704" s="11">
        <v>0.98241502999999997</v>
      </c>
      <c r="AK704" s="10">
        <v>0.99</v>
      </c>
      <c r="AL704" s="17">
        <v>0.99913548387096773</v>
      </c>
      <c r="AM704" s="102"/>
      <c r="AN704" s="81">
        <f t="shared" si="2108"/>
        <v>-8.3926281121561752E-2</v>
      </c>
      <c r="AO704" s="10">
        <f t="shared" si="2109"/>
        <v>-7.619047619047592E-2</v>
      </c>
      <c r="AP704" s="10">
        <f t="shared" si="2110"/>
        <v>-2.5849700000000198E-3</v>
      </c>
      <c r="AQ704" s="10">
        <f t="shared" si="2111"/>
        <v>9.1354838709677422E-3</v>
      </c>
      <c r="AR704" s="23">
        <v>-2.24E-2</v>
      </c>
    </row>
    <row r="705" spans="24:44" hidden="1">
      <c r="X705" s="5">
        <v>44530</v>
      </c>
      <c r="Y705" s="43">
        <v>664.9609264159908</v>
      </c>
      <c r="Z705" s="2">
        <v>631.81200000000001</v>
      </c>
      <c r="AA705" s="2">
        <v>108.1</v>
      </c>
      <c r="AB705" s="2">
        <v>103.76999999999998</v>
      </c>
      <c r="AC705" s="2">
        <v>152.1</v>
      </c>
      <c r="AD705" s="2">
        <v>148.66</v>
      </c>
      <c r="AE705" s="10">
        <f t="shared" si="2106"/>
        <v>0.7397405598729917</v>
      </c>
      <c r="AF705" s="10">
        <f t="shared" si="2107"/>
        <v>0.71033010551432896</v>
      </c>
      <c r="AG705" s="10">
        <f>Y705/24/30/5</f>
        <v>0.18471136844888633</v>
      </c>
      <c r="AH705" s="10">
        <f>Z705/24/30/5</f>
        <v>0.17550333333333334</v>
      </c>
      <c r="AI705" s="10">
        <v>0.98499999999999999</v>
      </c>
      <c r="AJ705" s="11">
        <v>0.99719999999999998</v>
      </c>
      <c r="AK705" s="10">
        <v>0.99</v>
      </c>
      <c r="AL705" s="17">
        <v>1</v>
      </c>
      <c r="AM705" s="102"/>
      <c r="AN705" s="81">
        <f t="shared" si="2108"/>
        <v>-4.9850938753133955E-2</v>
      </c>
      <c r="AO705" s="10">
        <f t="shared" si="2109"/>
        <v>-2.2616699539776408E-2</v>
      </c>
      <c r="AP705" s="10">
        <f t="shared" si="2110"/>
        <v>1.2199999999999989E-2</v>
      </c>
      <c r="AQ705" s="10">
        <f t="shared" si="2111"/>
        <v>1.0000000000000009E-2</v>
      </c>
      <c r="AR705" s="23">
        <v>-1.84970075160121E-2</v>
      </c>
    </row>
    <row r="706" spans="24:44" hidden="1">
      <c r="X706" s="5">
        <v>44561</v>
      </c>
      <c r="Y706" s="43">
        <v>558.803986348629</v>
      </c>
      <c r="Z706" s="2">
        <v>525.15599999999995</v>
      </c>
      <c r="AA706" s="2">
        <v>89.9</v>
      </c>
      <c r="AB706" s="2">
        <v>84.149999999999977</v>
      </c>
      <c r="AC706" s="2">
        <v>129.6</v>
      </c>
      <c r="AD706" s="2">
        <v>121.52999999999999</v>
      </c>
      <c r="AE706" s="10">
        <f t="shared" si="2106"/>
        <v>0.72957007680619401</v>
      </c>
      <c r="AF706" s="10">
        <f t="shared" si="2107"/>
        <v>0.72163706401511063</v>
      </c>
      <c r="AG706" s="10">
        <f>Y706/24/31/5</f>
        <v>0.15021612536253467</v>
      </c>
      <c r="AH706" s="10">
        <f>Z706/24/31/5</f>
        <v>0.14117096774193547</v>
      </c>
      <c r="AI706" s="10">
        <v>0.98499999999999999</v>
      </c>
      <c r="AJ706" s="11">
        <v>0.99800967741935476</v>
      </c>
      <c r="AK706" s="10">
        <v>0.99</v>
      </c>
      <c r="AL706" s="17">
        <v>1</v>
      </c>
      <c r="AM706" s="102"/>
      <c r="AN706" s="81">
        <f t="shared" si="2108"/>
        <v>-6.0214291899550965E-2</v>
      </c>
      <c r="AO706" s="10">
        <f t="shared" si="2109"/>
        <v>-6.2268518518518556E-2</v>
      </c>
      <c r="AP706" s="10">
        <f t="shared" si="2110"/>
        <v>1.300967741935477E-2</v>
      </c>
      <c r="AQ706" s="10">
        <f t="shared" si="2111"/>
        <v>1.0000000000000009E-2</v>
      </c>
      <c r="AR706" s="23">
        <v>-1.4500000000000001E-2</v>
      </c>
    </row>
    <row r="707" spans="24:44" hidden="1">
      <c r="X707" s="5">
        <v>44592</v>
      </c>
      <c r="Y707" s="43">
        <v>470.07910949633026</v>
      </c>
      <c r="Z707" s="2">
        <v>334.47899999999998</v>
      </c>
      <c r="AA707" s="2">
        <v>79.599999999999994</v>
      </c>
      <c r="AB707" s="2">
        <v>58.210000000000022</v>
      </c>
      <c r="AC707" s="2">
        <v>103.2</v>
      </c>
      <c r="AD707" s="2">
        <v>72.67</v>
      </c>
      <c r="AE707" s="10">
        <f t="shared" si="2106"/>
        <v>0.77073267864270634</v>
      </c>
      <c r="AF707" s="10">
        <f t="shared" si="2107"/>
        <v>0.76996736003576516</v>
      </c>
      <c r="AG707" s="10">
        <f>Y707/24/31/5</f>
        <v>0.12636535201514254</v>
      </c>
      <c r="AH707" s="10">
        <f>Z707/24/31/5</f>
        <v>8.9913709677419351E-2</v>
      </c>
      <c r="AI707" s="10">
        <v>0.98499999999999999</v>
      </c>
      <c r="AJ707" s="11">
        <v>0.99629999999999996</v>
      </c>
      <c r="AK707" s="10">
        <v>0.99</v>
      </c>
      <c r="AL707" s="17">
        <v>1</v>
      </c>
      <c r="AM707" s="102"/>
      <c r="AN707" s="81">
        <f t="shared" si="2108"/>
        <v>-0.2884623178460749</v>
      </c>
      <c r="AO707" s="10">
        <f t="shared" si="2109"/>
        <v>-0.29583333333333328</v>
      </c>
      <c r="AP707" s="10">
        <f t="shared" si="2110"/>
        <v>1.1299999999999977E-2</v>
      </c>
      <c r="AQ707" s="10">
        <f t="shared" si="2111"/>
        <v>1.0000000000000009E-2</v>
      </c>
      <c r="AR707" s="23">
        <v>0</v>
      </c>
    </row>
    <row r="708" spans="24:44" hidden="1">
      <c r="X708" s="5">
        <v>44620</v>
      </c>
      <c r="Y708" s="43">
        <v>617.29921706194955</v>
      </c>
      <c r="Z708" s="2">
        <v>625.779</v>
      </c>
      <c r="AA708" s="2">
        <v>108.1</v>
      </c>
      <c r="AB708" s="2">
        <v>108.97</v>
      </c>
      <c r="AC708" s="2">
        <v>137.5</v>
      </c>
      <c r="AD708" s="2">
        <v>141.71999999999997</v>
      </c>
      <c r="AE708" s="10">
        <f t="shared" si="2106"/>
        <v>0.75963601545848269</v>
      </c>
      <c r="AF708" s="10">
        <f t="shared" si="2107"/>
        <v>0.74765028752798957</v>
      </c>
      <c r="AG708" s="10">
        <f>Y708/24/28/5</f>
        <v>0.18372000507796116</v>
      </c>
      <c r="AH708" s="10">
        <f>Z708/24/28/5</f>
        <v>0.18624374999999999</v>
      </c>
      <c r="AI708" s="10">
        <v>0.98499999999999999</v>
      </c>
      <c r="AJ708" s="11">
        <v>0.98432856000000002</v>
      </c>
      <c r="AK708" s="10">
        <v>0.99</v>
      </c>
      <c r="AL708" s="17">
        <v>0.99790000000000001</v>
      </c>
      <c r="AM708" s="102"/>
      <c r="AN708" s="81">
        <f t="shared" si="2108"/>
        <v>1.3736908623358079E-2</v>
      </c>
      <c r="AO708" s="10">
        <f t="shared" si="2109"/>
        <v>3.069090909090888E-2</v>
      </c>
      <c r="AP708" s="10">
        <f t="shared" si="2110"/>
        <v>-6.7143999999996762E-4</v>
      </c>
      <c r="AQ708" s="10">
        <f t="shared" si="2111"/>
        <v>7.9000000000000181E-3</v>
      </c>
      <c r="AR708" s="23">
        <v>-1.32E-2</v>
      </c>
    </row>
    <row r="709" spans="24:44" hidden="1">
      <c r="X709" s="5">
        <v>44651</v>
      </c>
      <c r="Y709" s="43">
        <v>827.74213196943265</v>
      </c>
      <c r="Z709" s="2">
        <f>[1]Database!$I$425/1000</f>
        <v>772.09799999999996</v>
      </c>
      <c r="AA709" s="2">
        <v>161.4</v>
      </c>
      <c r="AB709" s="2">
        <v>162.41999999999999</v>
      </c>
      <c r="AC709" s="2">
        <v>187.8</v>
      </c>
      <c r="AD709" s="2">
        <v>188.44</v>
      </c>
      <c r="AE709" s="10">
        <f t="shared" ref="AE709:AE720" si="2114">Y709/6/AC709/AI709</f>
        <v>0.74578216373885942</v>
      </c>
      <c r="AF709" s="10">
        <f t="shared" ref="AF709:AF720" si="2115">Z709/6/AD709/AJ709</f>
        <v>0.72462415024764137</v>
      </c>
      <c r="AG709" s="10">
        <f>Y709/24/31/5</f>
        <v>0.22251132579823457</v>
      </c>
      <c r="AH709" s="10">
        <f>Z709/24/31/5</f>
        <v>0.20755322580645158</v>
      </c>
      <c r="AI709" s="10">
        <v>0.98499999999999999</v>
      </c>
      <c r="AJ709" s="11">
        <f>'[2]UTT '!$II$10</f>
        <v>0.94240000000000002</v>
      </c>
      <c r="AK709" s="10">
        <v>0.99</v>
      </c>
      <c r="AL709" s="17">
        <v>1</v>
      </c>
      <c r="AM709" s="102"/>
      <c r="AN709" s="81">
        <f t="shared" ref="AN709:AN720" si="2116">Z709/Y709-1</f>
        <v>-6.7223993826482586E-2</v>
      </c>
      <c r="AO709" s="10">
        <f t="shared" ref="AO709:AO720" si="2117">AD709/AC709-1</f>
        <v>3.4078807241746389E-3</v>
      </c>
      <c r="AP709" s="10">
        <f t="shared" ref="AP709:AP720" si="2118">AJ709-AI709</f>
        <v>-4.2599999999999971E-2</v>
      </c>
      <c r="AQ709" s="10">
        <f t="shared" ref="AQ709:AQ720" si="2119">AL709-AK709</f>
        <v>1.0000000000000009E-2</v>
      </c>
      <c r="AR709" s="23">
        <v>-1.3142754346753801E-2</v>
      </c>
    </row>
    <row r="710" spans="24:44" hidden="1">
      <c r="X710" s="25">
        <v>44681</v>
      </c>
      <c r="Y710" s="44">
        <v>856.16091876890471</v>
      </c>
      <c r="Z710" s="26">
        <v>750.72900000000004</v>
      </c>
      <c r="AA710" s="26">
        <v>190.2</v>
      </c>
      <c r="AB710" s="26">
        <v>174.14000000000001</v>
      </c>
      <c r="AC710" s="26">
        <v>194</v>
      </c>
      <c r="AD710" s="26">
        <v>182.27000000000004</v>
      </c>
      <c r="AE710" s="29">
        <f t="shared" si="2114"/>
        <v>0.74673445215073597</v>
      </c>
      <c r="AF710" s="29">
        <f t="shared" si="2115"/>
        <v>0.69374673164069545</v>
      </c>
      <c r="AG710" s="29">
        <f>Y710/24/30/5</f>
        <v>0.23782247743580687</v>
      </c>
      <c r="AH710" s="29">
        <f>Z710/24/30/5</f>
        <v>0.20853583333333336</v>
      </c>
      <c r="AI710" s="29">
        <v>0.98499999999999999</v>
      </c>
      <c r="AJ710" s="28">
        <v>0.98950000000000005</v>
      </c>
      <c r="AK710" s="29">
        <v>0.99</v>
      </c>
      <c r="AL710" s="30">
        <v>1</v>
      </c>
      <c r="AM710" s="103"/>
      <c r="AN710" s="87">
        <f t="shared" si="2116"/>
        <v>-0.12314497947477898</v>
      </c>
      <c r="AO710" s="29">
        <f t="shared" si="2117"/>
        <v>-6.0463917525772959E-2</v>
      </c>
      <c r="AP710" s="29">
        <f t="shared" si="2118"/>
        <v>4.5000000000000595E-3</v>
      </c>
      <c r="AQ710" s="29">
        <f t="shared" si="2119"/>
        <v>1.0000000000000009E-2</v>
      </c>
      <c r="AR710" s="32">
        <v>-2.0799999999999999E-2</v>
      </c>
    </row>
    <row r="711" spans="24:44" hidden="1">
      <c r="X711" s="5">
        <v>44712</v>
      </c>
      <c r="Y711" s="43">
        <v>867.31259460160868</v>
      </c>
      <c r="Z711" s="2">
        <v>786.846</v>
      </c>
      <c r="AA711" s="70">
        <v>197</v>
      </c>
      <c r="AB711" s="69">
        <v>187.18</v>
      </c>
      <c r="AC711" s="70">
        <v>197.7</v>
      </c>
      <c r="AD711" s="69">
        <v>186.75000000000006</v>
      </c>
      <c r="AE711" s="10">
        <f t="shared" si="2114"/>
        <v>0.74230349065146717</v>
      </c>
      <c r="AF711" s="29">
        <f t="shared" si="2115"/>
        <v>0.71716940169476973</v>
      </c>
      <c r="AG711" s="10">
        <f t="shared" ref="AG711" si="2120">Y711/24/31/5</f>
        <v>0.23314854693591633</v>
      </c>
      <c r="AH711" s="10">
        <f t="shared" ref="AH711" si="2121">Z711/24/31/5</f>
        <v>0.21151774193548384</v>
      </c>
      <c r="AI711" s="10">
        <v>0.98499999999999999</v>
      </c>
      <c r="AJ711" s="11">
        <v>0.97916555741935507</v>
      </c>
      <c r="AK711" s="10">
        <v>0.99</v>
      </c>
      <c r="AL711" s="17">
        <v>1</v>
      </c>
      <c r="AM711" s="102"/>
      <c r="AN711" s="81">
        <f t="shared" si="2116"/>
        <v>-9.2776923916999321E-2</v>
      </c>
      <c r="AO711" s="10">
        <f t="shared" si="2117"/>
        <v>-5.5386949924127071E-2</v>
      </c>
      <c r="AP711" s="10">
        <f t="shared" si="2118"/>
        <v>-5.8344425806449163E-3</v>
      </c>
      <c r="AQ711" s="10">
        <f t="shared" si="2119"/>
        <v>1.0000000000000009E-2</v>
      </c>
      <c r="AR711" s="23">
        <v>-6.4999999999999997E-3</v>
      </c>
    </row>
    <row r="712" spans="24:44" hidden="1">
      <c r="X712" s="5">
        <v>44742</v>
      </c>
      <c r="Y712" s="43">
        <v>778.81865089692383</v>
      </c>
      <c r="Z712" s="2">
        <v>712.64099999999996</v>
      </c>
      <c r="AA712" s="2">
        <v>178.9</v>
      </c>
      <c r="AB712" s="2">
        <v>171.11999999999995</v>
      </c>
      <c r="AC712" s="2">
        <v>177.2</v>
      </c>
      <c r="AD712" s="2">
        <v>170.06999999999996</v>
      </c>
      <c r="AE712" s="10">
        <f t="shared" si="2114"/>
        <v>0.7436783609837212</v>
      </c>
      <c r="AF712" s="10">
        <f t="shared" si="2115"/>
        <v>0.70039839953584171</v>
      </c>
      <c r="AG712" s="10">
        <f>Y712/24/30/5</f>
        <v>0.21633851413803443</v>
      </c>
      <c r="AH712" s="10">
        <f>Z712/24/30/5</f>
        <v>0.19795583333333333</v>
      </c>
      <c r="AI712" s="10">
        <v>0.98499999999999999</v>
      </c>
      <c r="AJ712" s="11">
        <v>0.99711832473333306</v>
      </c>
      <c r="AK712" s="10">
        <v>0.99</v>
      </c>
      <c r="AL712" s="17">
        <v>0.99920666666666658</v>
      </c>
      <c r="AM712" s="102"/>
      <c r="AN712" s="81">
        <f t="shared" si="2116"/>
        <v>-8.4971836281412361E-2</v>
      </c>
      <c r="AO712" s="10">
        <f t="shared" si="2117"/>
        <v>-4.0237020316027272E-2</v>
      </c>
      <c r="AP712" s="10">
        <f t="shared" si="2118"/>
        <v>1.2118324733333075E-2</v>
      </c>
      <c r="AQ712" s="10">
        <f t="shared" si="2119"/>
        <v>9.2066666666665853E-3</v>
      </c>
      <c r="AR712" s="23">
        <v>-8.5000000000000006E-3</v>
      </c>
    </row>
    <row r="713" spans="24:44" hidden="1">
      <c r="X713" s="5">
        <v>44773</v>
      </c>
      <c r="Y713" s="43">
        <v>689.24551275681563</v>
      </c>
      <c r="Z713" s="2">
        <v>667.68600000000004</v>
      </c>
      <c r="AA713" s="2">
        <v>155.5</v>
      </c>
      <c r="AB713" s="2">
        <v>154.21999999999994</v>
      </c>
      <c r="AC713" s="2">
        <v>154.6</v>
      </c>
      <c r="AD713" s="2">
        <v>152.39999999999998</v>
      </c>
      <c r="AE713" s="10">
        <f t="shared" si="2114"/>
        <v>0.75435709068193635</v>
      </c>
      <c r="AF713" s="10">
        <f t="shared" si="2115"/>
        <v>0.74799003876543546</v>
      </c>
      <c r="AG713" s="10">
        <f>Y713/24/31/5</f>
        <v>0.1852810518163483</v>
      </c>
      <c r="AH713" s="10">
        <f>Z713/24/31/5</f>
        <v>0.17948548387096774</v>
      </c>
      <c r="AI713" s="10">
        <v>0.98499999999999999</v>
      </c>
      <c r="AJ713" s="11">
        <v>0.97620322580645158</v>
      </c>
      <c r="AK713" s="10">
        <v>0.99</v>
      </c>
      <c r="AL713" s="17">
        <v>1</v>
      </c>
      <c r="AM713" s="102"/>
      <c r="AN713" s="81">
        <f t="shared" si="2116"/>
        <v>-3.1279873945907477E-2</v>
      </c>
      <c r="AO713" s="10">
        <f t="shared" si="2117"/>
        <v>-1.4230271668822847E-2</v>
      </c>
      <c r="AP713" s="10">
        <f t="shared" si="2118"/>
        <v>-8.7967741935484067E-3</v>
      </c>
      <c r="AQ713" s="10">
        <f t="shared" si="2119"/>
        <v>1.0000000000000009E-2</v>
      </c>
      <c r="AR713" s="23">
        <v>-6.1999999999999998E-3</v>
      </c>
    </row>
    <row r="714" spans="24:44" hidden="1">
      <c r="X714" s="5">
        <v>44804</v>
      </c>
      <c r="Y714" s="43">
        <v>654.44149221442422</v>
      </c>
      <c r="Z714" s="2">
        <v>687.87599999999998</v>
      </c>
      <c r="AA714" s="2">
        <v>145.4</v>
      </c>
      <c r="AB714" s="2">
        <v>161.01</v>
      </c>
      <c r="AC714" s="2">
        <v>146.30000000000001</v>
      </c>
      <c r="AD714" s="2">
        <v>161.92999999999995</v>
      </c>
      <c r="AE714" s="10">
        <f t="shared" si="2114"/>
        <v>0.75690089577245401</v>
      </c>
      <c r="AF714" s="10">
        <f t="shared" si="2115"/>
        <v>0.72702180166392061</v>
      </c>
      <c r="AG714" s="10">
        <f>Y714/24/31/5</f>
        <v>0.17592513231570545</v>
      </c>
      <c r="AH714" s="10">
        <f>Z714/24/31/5</f>
        <v>0.18491290322580645</v>
      </c>
      <c r="AI714" s="10">
        <v>0.98499999999999999</v>
      </c>
      <c r="AJ714" s="11">
        <v>0.97383225806451623</v>
      </c>
      <c r="AK714" s="10">
        <v>0.99</v>
      </c>
      <c r="AL714" s="17">
        <v>1</v>
      </c>
      <c r="AM714" s="102"/>
      <c r="AN714" s="81">
        <f t="shared" si="2116"/>
        <v>5.1088612478472184E-2</v>
      </c>
      <c r="AO714" s="10">
        <f t="shared" si="2117"/>
        <v>0.10683526999316428</v>
      </c>
      <c r="AP714" s="10">
        <f t="shared" si="2118"/>
        <v>-1.1167741935483755E-2</v>
      </c>
      <c r="AQ714" s="10">
        <f t="shared" si="2119"/>
        <v>1.0000000000000009E-2</v>
      </c>
      <c r="AR714" s="23">
        <v>-1.2500000000000001E-2</v>
      </c>
    </row>
    <row r="715" spans="24:44" hidden="1">
      <c r="X715" s="5">
        <v>44834</v>
      </c>
      <c r="Y715" s="43">
        <v>652.10323760434107</v>
      </c>
      <c r="Z715" s="2">
        <v>584.46</v>
      </c>
      <c r="AA715" s="2">
        <v>141.6</v>
      </c>
      <c r="AB715" s="24">
        <v>129.53000000000003</v>
      </c>
      <c r="AC715" s="2">
        <v>145.5</v>
      </c>
      <c r="AD715" s="24">
        <v>135.13000000000002</v>
      </c>
      <c r="AE715" s="10">
        <f t="shared" si="2114"/>
        <v>0.75834334909593637</v>
      </c>
      <c r="AF715" s="10">
        <f t="shared" si="2115"/>
        <v>0.7284076964683357</v>
      </c>
      <c r="AG715" s="10">
        <f>Y715/24/30/5</f>
        <v>0.18113978822342808</v>
      </c>
      <c r="AH715" s="10">
        <f>Z715/24/30/5</f>
        <v>0.16235000000000002</v>
      </c>
      <c r="AI715" s="10">
        <v>0.98499999999999999</v>
      </c>
      <c r="AJ715" s="11">
        <v>0.98964000000000008</v>
      </c>
      <c r="AK715" s="10">
        <v>0.99</v>
      </c>
      <c r="AL715" s="17">
        <v>1</v>
      </c>
      <c r="AM715" s="102"/>
      <c r="AN715" s="81">
        <f t="shared" si="2116"/>
        <v>-0.10373087220490551</v>
      </c>
      <c r="AO715" s="10">
        <f t="shared" si="2117"/>
        <v>-7.1271477663230054E-2</v>
      </c>
      <c r="AP715" s="10">
        <f t="shared" si="2118"/>
        <v>4.6400000000000885E-3</v>
      </c>
      <c r="AQ715" s="10">
        <f t="shared" si="2119"/>
        <v>1.0000000000000009E-2</v>
      </c>
      <c r="AR715" s="23">
        <v>-9.7000000000000003E-3</v>
      </c>
    </row>
    <row r="716" spans="24:44" hidden="1">
      <c r="X716" s="5">
        <v>44865</v>
      </c>
      <c r="Y716" s="43">
        <v>747.70187800889414</v>
      </c>
      <c r="Z716" s="2">
        <v>680.75099999999998</v>
      </c>
      <c r="AA716" s="2">
        <v>139.1</v>
      </c>
      <c r="AB716" s="2">
        <v>130.94999999999999</v>
      </c>
      <c r="AC716" s="2">
        <v>172.2</v>
      </c>
      <c r="AD716" s="2">
        <v>160.17999999999998</v>
      </c>
      <c r="AE716" s="10">
        <f t="shared" si="2114"/>
        <v>0.7346962843827507</v>
      </c>
      <c r="AF716" s="10">
        <f t="shared" si="2115"/>
        <v>0.71208593066617676</v>
      </c>
      <c r="AG716" s="10">
        <f>Y716/24/31/5</f>
        <v>0.20099512849701456</v>
      </c>
      <c r="AH716" s="10">
        <f>Z716/24/31/5</f>
        <v>0.18299758064516131</v>
      </c>
      <c r="AI716" s="10">
        <v>0.98499999999999999</v>
      </c>
      <c r="AJ716" s="11">
        <v>0.9947096774193549</v>
      </c>
      <c r="AK716" s="10">
        <v>0.99</v>
      </c>
      <c r="AL716" s="17">
        <v>0.99724193548387097</v>
      </c>
      <c r="AM716" s="102"/>
      <c r="AN716" s="81">
        <f t="shared" si="2116"/>
        <v>-8.9542209238770654E-2</v>
      </c>
      <c r="AO716" s="10">
        <f t="shared" si="2117"/>
        <v>-6.9802555168408942E-2</v>
      </c>
      <c r="AP716" s="10">
        <f t="shared" si="2118"/>
        <v>9.7096774193549118E-3</v>
      </c>
      <c r="AQ716" s="10">
        <f t="shared" si="2119"/>
        <v>7.241935483870976E-3</v>
      </c>
      <c r="AR716" s="23">
        <v>-1.59105742581051E-2</v>
      </c>
    </row>
    <row r="717" spans="24:44" hidden="1">
      <c r="X717" s="5">
        <v>44895</v>
      </c>
      <c r="Y717" s="43">
        <v>661.63612178391088</v>
      </c>
      <c r="Z717" s="2">
        <v>563.52300000000002</v>
      </c>
      <c r="AA717" s="2">
        <v>108.1</v>
      </c>
      <c r="AB717" s="2">
        <v>98.27</v>
      </c>
      <c r="AC717" s="2">
        <v>152.1</v>
      </c>
      <c r="AD717" s="2">
        <v>134.56</v>
      </c>
      <c r="AE717" s="10">
        <f t="shared" si="2114"/>
        <v>0.73604185707362679</v>
      </c>
      <c r="AF717" s="10">
        <f t="shared" si="2115"/>
        <v>0.69817314671638475</v>
      </c>
      <c r="AG717" s="10">
        <f>Y717/24/30/5</f>
        <v>0.18378781160664193</v>
      </c>
      <c r="AH717" s="10">
        <f>Z717/24/30/5</f>
        <v>0.15653416666666667</v>
      </c>
      <c r="AI717" s="10">
        <v>0.98499999999999999</v>
      </c>
      <c r="AJ717" s="11">
        <v>0.99972666666666654</v>
      </c>
      <c r="AK717" s="10">
        <v>0.99</v>
      </c>
      <c r="AL717" s="17">
        <v>1</v>
      </c>
      <c r="AM717" s="102"/>
      <c r="AN717" s="81">
        <f t="shared" si="2116"/>
        <v>-0.14828864167720635</v>
      </c>
      <c r="AO717" s="10">
        <f t="shared" si="2117"/>
        <v>-0.11531886916502299</v>
      </c>
      <c r="AP717" s="10">
        <f t="shared" si="2118"/>
        <v>1.4726666666666555E-2</v>
      </c>
      <c r="AQ717" s="10">
        <f t="shared" si="2119"/>
        <v>1.0000000000000009E-2</v>
      </c>
      <c r="AR717" s="23">
        <v>-2.4899999999999999E-2</v>
      </c>
    </row>
    <row r="718" spans="24:44" hidden="1">
      <c r="X718" s="5">
        <v>44926</v>
      </c>
      <c r="Y718" s="43">
        <v>556.00996641688585</v>
      </c>
      <c r="Z718" s="2">
        <v>508.29599999999999</v>
      </c>
      <c r="AA718" s="2">
        <v>89.9</v>
      </c>
      <c r="AB718" s="2">
        <v>81.760000000000005</v>
      </c>
      <c r="AC718" s="2">
        <v>129.6</v>
      </c>
      <c r="AD718" s="2">
        <v>117.48</v>
      </c>
      <c r="AE718" s="10">
        <f t="shared" si="2114"/>
        <v>0.72592222642216309</v>
      </c>
      <c r="AF718" s="10">
        <f t="shared" si="2115"/>
        <v>0.72568883864483102</v>
      </c>
      <c r="AG718" s="10">
        <f>Y718/24/31/5</f>
        <v>0.14946504473572203</v>
      </c>
      <c r="AH718" s="10">
        <f>Z718/24/31/5</f>
        <v>0.13663870967741934</v>
      </c>
      <c r="AI718" s="10">
        <v>0.98499999999999999</v>
      </c>
      <c r="AJ718" s="11">
        <v>0.99369032258064516</v>
      </c>
      <c r="AK718" s="10">
        <v>0.99</v>
      </c>
      <c r="AL718" s="17">
        <v>1</v>
      </c>
      <c r="AM718" s="102"/>
      <c r="AN718" s="81">
        <f t="shared" si="2116"/>
        <v>-8.5814948110320088E-2</v>
      </c>
      <c r="AO718" s="10">
        <f t="shared" si="2117"/>
        <v>-9.3518518518518445E-2</v>
      </c>
      <c r="AP718" s="10">
        <f t="shared" si="2118"/>
        <v>8.6903225806451712E-3</v>
      </c>
      <c r="AQ718" s="10">
        <f t="shared" si="2119"/>
        <v>1.0000000000000009E-2</v>
      </c>
      <c r="AR718" s="23">
        <v>-1.9099999999999999E-2</v>
      </c>
    </row>
    <row r="719" spans="24:44" hidden="1">
      <c r="X719" s="5">
        <v>44957</v>
      </c>
      <c r="Y719" s="43">
        <v>467.72871394884862</v>
      </c>
      <c r="Z719" s="2">
        <v>389.49599999999998</v>
      </c>
      <c r="AA719" s="2">
        <v>79.599999999999994</v>
      </c>
      <c r="AB719" s="2">
        <v>68.47</v>
      </c>
      <c r="AC719" s="2">
        <v>103.2</v>
      </c>
      <c r="AD719" s="2">
        <v>87.930000000000021</v>
      </c>
      <c r="AE719" s="10">
        <f t="shared" si="2114"/>
        <v>0.76687901524949265</v>
      </c>
      <c r="AF719" s="10">
        <f t="shared" si="2115"/>
        <v>0.7467823970012375</v>
      </c>
      <c r="AG719" s="10">
        <f>Y719/24/31/5</f>
        <v>0.12573352525506681</v>
      </c>
      <c r="AH719" s="10">
        <f>Z719/24/31/5</f>
        <v>0.10470322580645161</v>
      </c>
      <c r="AI719" s="10">
        <v>0.98499999999999999</v>
      </c>
      <c r="AJ719" s="11">
        <v>0.98860000000000003</v>
      </c>
      <c r="AK719" s="10">
        <v>0.99</v>
      </c>
      <c r="AL719" s="17">
        <v>0.99762580645161292</v>
      </c>
      <c r="AM719" s="83">
        <f t="shared" ref="AM719:AM724" si="2122">AN719-AO719</f>
        <v>-1.9295758701986743E-2</v>
      </c>
      <c r="AN719" s="81">
        <f t="shared" si="2116"/>
        <v>-0.16726087498105635</v>
      </c>
      <c r="AO719" s="10">
        <f t="shared" si="2117"/>
        <v>-0.14796511627906961</v>
      </c>
      <c r="AP719" s="10">
        <f t="shared" si="2118"/>
        <v>3.6000000000000476E-3</v>
      </c>
      <c r="AQ719" s="10">
        <f t="shared" si="2119"/>
        <v>7.6258064516129265E-3</v>
      </c>
      <c r="AR719" s="23">
        <v>-1.09E-2</v>
      </c>
    </row>
    <row r="720" spans="24:44" hidden="1">
      <c r="X720" s="5">
        <v>44985</v>
      </c>
      <c r="Y720" s="43">
        <v>614.21272097663973</v>
      </c>
      <c r="Z720" s="2">
        <v>649.04700000000003</v>
      </c>
      <c r="AA720" s="2">
        <v>108.1</v>
      </c>
      <c r="AB720" s="2">
        <v>113.5</v>
      </c>
      <c r="AC720" s="2">
        <v>137.5</v>
      </c>
      <c r="AD720" s="2">
        <v>148.63999999999999</v>
      </c>
      <c r="AE720" s="10">
        <f t="shared" si="2114"/>
        <v>0.75583783538119031</v>
      </c>
      <c r="AF720" s="10">
        <f t="shared" si="2115"/>
        <v>0.73105561300479271</v>
      </c>
      <c r="AG720" s="10">
        <f>Y720/24/28/5</f>
        <v>0.18280140505257134</v>
      </c>
      <c r="AH720" s="10">
        <f>Z720/24/28/5</f>
        <v>0.19316875000000003</v>
      </c>
      <c r="AI720" s="10">
        <v>0.98499999999999999</v>
      </c>
      <c r="AJ720" s="11">
        <v>0.99549431423469381</v>
      </c>
      <c r="AK720" s="10">
        <v>0.99</v>
      </c>
      <c r="AL720" s="17">
        <v>0.99800357142857143</v>
      </c>
      <c r="AM720" s="83">
        <f t="shared" si="2122"/>
        <v>-2.4304476885513626E-2</v>
      </c>
      <c r="AN720" s="81">
        <f t="shared" si="2116"/>
        <v>5.671370493266803E-2</v>
      </c>
      <c r="AO720" s="10">
        <f t="shared" si="2117"/>
        <v>8.1018181818181656E-2</v>
      </c>
      <c r="AP720" s="10">
        <f t="shared" si="2118"/>
        <v>1.0494314234693825E-2</v>
      </c>
      <c r="AQ720" s="10">
        <f t="shared" si="2119"/>
        <v>8.0035714285714432E-3</v>
      </c>
      <c r="AR720" s="23">
        <v>-1.6799999999999999E-2</v>
      </c>
    </row>
    <row r="721" spans="23:65" hidden="1">
      <c r="X721" s="5">
        <v>45016</v>
      </c>
      <c r="Y721" s="43">
        <v>823.60342130958554</v>
      </c>
      <c r="Z721" s="2">
        <v>724.37699999999995</v>
      </c>
      <c r="AA721" s="2">
        <v>161.4</v>
      </c>
      <c r="AB721" s="2">
        <v>149.16000000000003</v>
      </c>
      <c r="AC721" s="2">
        <v>187.8</v>
      </c>
      <c r="AD721" s="2">
        <v>170.12000000000003</v>
      </c>
      <c r="AE721" s="10">
        <f t="shared" ref="AE721" si="2123">Y721/6/AC721/AI721</f>
        <v>0.74205325292016522</v>
      </c>
      <c r="AF721" s="10">
        <f t="shared" ref="AF721" si="2124">Z721/6/AD721/AJ721</f>
        <v>0.71594751762406839</v>
      </c>
      <c r="AG721" s="10">
        <f>Y721/24/31/5</f>
        <v>0.22139876916924345</v>
      </c>
      <c r="AH721" s="10">
        <f>Z721/24/31/5</f>
        <v>0.19472499999999998</v>
      </c>
      <c r="AI721" s="10">
        <v>0.98499999999999999</v>
      </c>
      <c r="AJ721" s="11">
        <v>0.99123548387096772</v>
      </c>
      <c r="AK721" s="10">
        <v>0.99</v>
      </c>
      <c r="AL721" s="17">
        <v>1</v>
      </c>
      <c r="AM721" s="83">
        <f t="shared" si="2122"/>
        <v>-2.6335693629553236E-2</v>
      </c>
      <c r="AN721" s="81">
        <f t="shared" ref="AN721" si="2125">Z721/Y721-1</f>
        <v>-0.12047839863487797</v>
      </c>
      <c r="AO721" s="10">
        <f t="shared" ref="AO721" si="2126">AD721/AC721-1</f>
        <v>-9.4142705005324734E-2</v>
      </c>
      <c r="AP721" s="10">
        <f t="shared" ref="AP721" si="2127">AJ721-AI721</f>
        <v>6.2354838709677285E-3</v>
      </c>
      <c r="AQ721" s="10">
        <f t="shared" ref="AQ721" si="2128">AL721-AK721</f>
        <v>1.0000000000000009E-2</v>
      </c>
      <c r="AR721" s="23">
        <v>-1.43E-2</v>
      </c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23:65" hidden="1">
      <c r="W722" s="83"/>
      <c r="X722" s="5">
        <f>EOMONTH(X721,1)</f>
        <v>45046</v>
      </c>
      <c r="Y722" s="43">
        <v>851.88011417506016</v>
      </c>
      <c r="Z722" s="2">
        <v>782.53200000000004</v>
      </c>
      <c r="AA722" s="2">
        <v>190.2</v>
      </c>
      <c r="AB722" s="2">
        <v>182.11</v>
      </c>
      <c r="AC722" s="2">
        <v>194</v>
      </c>
      <c r="AD722" s="2">
        <v>188.19000000000003</v>
      </c>
      <c r="AE722" s="10">
        <f t="shared" ref="AE722" si="2129">Y722/6/AC722/AI722</f>
        <v>0.74300077988998214</v>
      </c>
      <c r="AF722" s="10">
        <f t="shared" ref="AF722" si="2130">Z722/6/AD722/AJ722</f>
        <v>0.7071964232551039</v>
      </c>
      <c r="AG722" s="11">
        <f>Y722/24/DAY(X722)/5</f>
        <v>0.23663336504862781</v>
      </c>
      <c r="AH722" s="11">
        <f>Z722/24/DAY(X722)/5</f>
        <v>0.21736999999999998</v>
      </c>
      <c r="AI722" s="10">
        <v>0.98499999999999999</v>
      </c>
      <c r="AJ722" s="11">
        <v>0.97997333333333336</v>
      </c>
      <c r="AK722" s="10">
        <v>0.99</v>
      </c>
      <c r="AL722" s="17">
        <v>1</v>
      </c>
      <c r="AM722" s="83">
        <f t="shared" si="2122"/>
        <v>-5.1457501315603893E-2</v>
      </c>
      <c r="AN722" s="81">
        <f t="shared" ref="AN722:AN724" si="2131">Z722/Y722-1</f>
        <v>-8.1405954923851165E-2</v>
      </c>
      <c r="AO722" s="10">
        <f t="shared" ref="AO722:AO724" si="2132">AD722/AC722-1</f>
        <v>-2.9948453608247272E-2</v>
      </c>
      <c r="AP722" s="10">
        <f t="shared" ref="AP722:AP724" si="2133">AJ722-AI722</f>
        <v>-5.0266666666666238E-3</v>
      </c>
      <c r="AQ722" s="10">
        <f t="shared" ref="AQ722:AQ724" si="2134">AL722-AK722</f>
        <v>1.0000000000000009E-2</v>
      </c>
      <c r="AR722" s="23">
        <v>-2.1811770331896015E-2</v>
      </c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23:65" hidden="1">
      <c r="W723" s="83"/>
      <c r="X723" s="5">
        <f t="shared" ref="X723:X754" si="2135">EOMONTH(X722,1)</f>
        <v>45077</v>
      </c>
      <c r="Y723" s="43">
        <v>862.97603162860071</v>
      </c>
      <c r="Z723" s="2">
        <v>712.90499999999997</v>
      </c>
      <c r="AA723" s="2">
        <v>197</v>
      </c>
      <c r="AB723" s="2">
        <v>190.73</v>
      </c>
      <c r="AC723" s="2">
        <v>197.7</v>
      </c>
      <c r="AD723" s="2">
        <v>190.65000000000003</v>
      </c>
      <c r="AE723" s="10">
        <f t="shared" ref="AE723" si="2136">Y723/6/AC723/AI723</f>
        <v>0.73859197319820979</v>
      </c>
      <c r="AF723" s="10">
        <f t="shared" ref="AF723" si="2137">Z723/6/AD723/AJ723</f>
        <v>0.68530016930613258</v>
      </c>
      <c r="AG723" s="11">
        <f>Y723/24/DAY(X723)/5</f>
        <v>0.23198280420123671</v>
      </c>
      <c r="AH723" s="11">
        <f>Z723/24/DAY(X723)/5</f>
        <v>0.19164112903225805</v>
      </c>
      <c r="AI723" s="10">
        <v>0.98499999999999999</v>
      </c>
      <c r="AJ723" s="11">
        <v>0.90941635761706563</v>
      </c>
      <c r="AK723" s="10">
        <v>0.99</v>
      </c>
      <c r="AL723" s="17">
        <v>0.99364193548387103</v>
      </c>
      <c r="AM723" s="83">
        <f t="shared" si="2122"/>
        <v>-0.13823932924785209</v>
      </c>
      <c r="AN723" s="81">
        <f t="shared" si="2131"/>
        <v>-0.1738994202948928</v>
      </c>
      <c r="AO723" s="10">
        <f t="shared" si="2132"/>
        <v>-3.566009104704071E-2</v>
      </c>
      <c r="AP723" s="10">
        <f t="shared" si="2133"/>
        <v>-7.5583642382934357E-2</v>
      </c>
      <c r="AQ723" s="10">
        <f t="shared" si="2134"/>
        <v>3.6419354838710394E-3</v>
      </c>
      <c r="AR723" s="23">
        <v>-1.6899999999999998E-2</v>
      </c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23:65" hidden="1">
      <c r="W724" s="83"/>
      <c r="X724" s="5">
        <f t="shared" si="2135"/>
        <v>45107</v>
      </c>
      <c r="Y724" s="43">
        <v>774.92455764243925</v>
      </c>
      <c r="Z724" s="2">
        <v>711.86099999999999</v>
      </c>
      <c r="AA724" s="2">
        <v>178.9</v>
      </c>
      <c r="AB724" s="2">
        <v>169.89000000000001</v>
      </c>
      <c r="AC724" s="2">
        <v>177.2</v>
      </c>
      <c r="AD724" s="2">
        <v>167.28999999999996</v>
      </c>
      <c r="AE724" s="10">
        <f t="shared" ref="AE724" si="2138">Y724/6/AC724/AI724</f>
        <v>0.73995996917880247</v>
      </c>
      <c r="AF724" s="10">
        <f t="shared" ref="AF724" si="2139">Z724/6/AD724/AJ724</f>
        <v>0.71811316320945084</v>
      </c>
      <c r="AG724" s="11">
        <f>Y724/24/DAY(X724)/5</f>
        <v>0.21525682156734421</v>
      </c>
      <c r="AH724" s="11">
        <f>Z724/24/DAY(X724)/5</f>
        <v>0.19773916666666666</v>
      </c>
      <c r="AI724" s="10">
        <v>0.98499999999999999</v>
      </c>
      <c r="AJ724" s="11">
        <v>0.98760000000000014</v>
      </c>
      <c r="AK724" s="10">
        <v>0.99</v>
      </c>
      <c r="AL724" s="17">
        <v>1</v>
      </c>
      <c r="AM724" s="83">
        <f t="shared" si="2122"/>
        <v>-2.5454746500213288E-2</v>
      </c>
      <c r="AN724" s="81">
        <f t="shared" si="2131"/>
        <v>-8.1380254400890584E-2</v>
      </c>
      <c r="AO724" s="10">
        <f t="shared" si="2132"/>
        <v>-5.5925507900677296E-2</v>
      </c>
      <c r="AP724" s="10">
        <f t="shared" si="2133"/>
        <v>2.6000000000001577E-3</v>
      </c>
      <c r="AQ724" s="10">
        <f t="shared" si="2134"/>
        <v>1.0000000000000009E-2</v>
      </c>
      <c r="AR724" s="23">
        <v>-1.5100000000000001E-2</v>
      </c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23:65" hidden="1">
      <c r="W725" s="83"/>
      <c r="X725" s="5">
        <f t="shared" si="2135"/>
        <v>45138</v>
      </c>
      <c r="Y725" s="43">
        <v>685.79928519303155</v>
      </c>
      <c r="Z725" s="2">
        <v>571.75799999999936</v>
      </c>
      <c r="AA725" s="2">
        <v>155.5</v>
      </c>
      <c r="AB725" s="2">
        <f>AB467</f>
        <v>138.42000000000002</v>
      </c>
      <c r="AC725" s="2">
        <v>154.6</v>
      </c>
      <c r="AD725" s="2">
        <f>AD467</f>
        <v>136.71</v>
      </c>
      <c r="AE725" s="10">
        <f t="shared" ref="AE725" si="2140">Y725/6/AC725/AI725</f>
        <v>0.75058530522852662</v>
      </c>
      <c r="AF725" s="10">
        <f t="shared" ref="AF725" si="2141">Z725/6/AD725/AJ725</f>
        <v>0.73358195351289091</v>
      </c>
      <c r="AG725" s="11">
        <f>Y725/24/DAY(X725)/5</f>
        <v>0.18435464655726655</v>
      </c>
      <c r="AH725" s="11">
        <f>Z725/24/DAY(X725)/5</f>
        <v>0.15369838709677403</v>
      </c>
      <c r="AI725" s="10">
        <v>0.98499999999999999</v>
      </c>
      <c r="AJ725" s="11">
        <v>0.95019354838709669</v>
      </c>
      <c r="AK725" s="10">
        <v>0.99</v>
      </c>
      <c r="AL725" s="17">
        <v>1</v>
      </c>
      <c r="AM725" s="83">
        <f t="shared" ref="AM725" si="2142">AN725-AO725</f>
        <v>-5.0571612829822032E-2</v>
      </c>
      <c r="AN725" s="81">
        <f t="shared" ref="AN725" si="2143">Z725/Y725-1</f>
        <v>-0.16628959471856708</v>
      </c>
      <c r="AO725" s="10">
        <f t="shared" ref="AO725" si="2144">AD725/AC725-1</f>
        <v>-0.11571798188874505</v>
      </c>
      <c r="AP725" s="10">
        <f t="shared" ref="AP725" si="2145">AJ725-AI725</f>
        <v>-3.48064516129033E-2</v>
      </c>
      <c r="AQ725" s="10">
        <f t="shared" ref="AQ725" si="2146">AL725-AK725</f>
        <v>1.0000000000000009E-2</v>
      </c>
      <c r="AR725" s="23">
        <v>0</v>
      </c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23:65" hidden="1">
      <c r="W726" s="83"/>
      <c r="X726" s="5">
        <f t="shared" si="2135"/>
        <v>45169</v>
      </c>
      <c r="Y726" s="43">
        <v>651.16928475335203</v>
      </c>
      <c r="Z726" s="2">
        <f>578955/1000</f>
        <v>578.95500000000004</v>
      </c>
      <c r="AA726" s="2">
        <v>145.4</v>
      </c>
      <c r="AB726" s="2">
        <v>132.81</v>
      </c>
      <c r="AC726" s="2">
        <v>146.30000000000001</v>
      </c>
      <c r="AD726" s="2">
        <v>133.71</v>
      </c>
      <c r="AE726" s="10">
        <f t="shared" ref="AE726:AE727" si="2147">Y726/6/AC726/AI726</f>
        <v>0.75311639129359165</v>
      </c>
      <c r="AF726" s="10">
        <f t="shared" ref="AF726:AF727" si="2148">Z726/6/AD726/AJ726</f>
        <v>0.74013701186261216</v>
      </c>
      <c r="AG726" s="11">
        <f>Y726/24/DAY(X726)/5</f>
        <v>0.17504550665412691</v>
      </c>
      <c r="AH726" s="11">
        <f>Z726/24/DAY(X726)/5</f>
        <v>0.15563306451612904</v>
      </c>
      <c r="AI726" s="10">
        <v>0.98499999999999999</v>
      </c>
      <c r="AJ726" s="11">
        <v>0.97502903225806448</v>
      </c>
      <c r="AK726" s="10">
        <v>0.99</v>
      </c>
      <c r="AL726" s="17">
        <v>1</v>
      </c>
      <c r="AM726" s="83">
        <f t="shared" ref="AM726:AM729" si="2149">AN726-AO726</f>
        <v>-2.484335351311362E-2</v>
      </c>
      <c r="AN726" s="81">
        <f t="shared" ref="AN726:AN729" si="2150">Z726/Y726-1</f>
        <v>-0.11089940272705756</v>
      </c>
      <c r="AO726" s="10">
        <f t="shared" ref="AO726:AO729" si="2151">AD726/AC726-1</f>
        <v>-8.6056049213943941E-2</v>
      </c>
      <c r="AP726" s="10">
        <f t="shared" ref="AP726:AP729" si="2152">AJ726-AI726</f>
        <v>-9.9709677419355103E-3</v>
      </c>
      <c r="AQ726" s="10">
        <f t="shared" ref="AQ726:AQ729" si="2153">AL726-AK726</f>
        <v>1.0000000000000009E-2</v>
      </c>
      <c r="AR726" s="23">
        <v>-5.1999999999999998E-3</v>
      </c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23:65" hidden="1">
      <c r="W727" s="83"/>
      <c r="X727" s="5">
        <f t="shared" si="2135"/>
        <v>45199</v>
      </c>
      <c r="Y727" s="43">
        <v>648.84272141631936</v>
      </c>
      <c r="Z727" s="2">
        <f>650604/1000</f>
        <v>650.60400000000004</v>
      </c>
      <c r="AA727" s="2">
        <v>141.6</v>
      </c>
      <c r="AB727" s="2">
        <v>141.79</v>
      </c>
      <c r="AC727" s="2">
        <v>145.5</v>
      </c>
      <c r="AD727" s="2">
        <v>147.78</v>
      </c>
      <c r="AE727" s="10">
        <f t="shared" si="2147"/>
        <v>0.75455163235045664</v>
      </c>
      <c r="AF727" s="10">
        <f t="shared" si="2148"/>
        <v>0.74263228255501923</v>
      </c>
      <c r="AG727" s="11">
        <f t="shared" ref="AG727" si="2154">Y727/24/DAY(X727)/5</f>
        <v>0.18023408928231094</v>
      </c>
      <c r="AH727" s="11">
        <f t="shared" ref="AH727" si="2155">Z727/24/DAY(X727)/5</f>
        <v>0.18072333333333335</v>
      </c>
      <c r="AI727" s="10">
        <v>0.98499999999999999</v>
      </c>
      <c r="AJ727" s="11">
        <v>0.98804333333333338</v>
      </c>
      <c r="AK727" s="10">
        <v>0.99</v>
      </c>
      <c r="AL727" s="17">
        <v>1</v>
      </c>
      <c r="AM727" s="83">
        <f t="shared" si="2149"/>
        <v>-1.295561077354157E-2</v>
      </c>
      <c r="AN727" s="81">
        <f t="shared" si="2150"/>
        <v>2.7144923192419235E-3</v>
      </c>
      <c r="AO727" s="10">
        <f t="shared" si="2151"/>
        <v>1.5670103092783494E-2</v>
      </c>
      <c r="AP727" s="10">
        <f t="shared" si="2152"/>
        <v>3.0433333333333978E-3</v>
      </c>
      <c r="AQ727" s="10">
        <f t="shared" si="2153"/>
        <v>1.0000000000000009E-2</v>
      </c>
      <c r="AR727" s="23">
        <v>-1.0999999999999999E-2</v>
      </c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23:65" hidden="1">
      <c r="W728" s="83"/>
      <c r="X728" s="5">
        <f t="shared" si="2135"/>
        <v>45230</v>
      </c>
      <c r="Y728" s="43">
        <v>743.9633686188497</v>
      </c>
      <c r="Z728" s="2">
        <f>679938/1000</f>
        <v>679.93799999999999</v>
      </c>
      <c r="AA728" s="2">
        <v>139.1</v>
      </c>
      <c r="AB728" s="2">
        <v>139.17999999999998</v>
      </c>
      <c r="AC728" s="2">
        <v>172.2</v>
      </c>
      <c r="AD728" s="2">
        <v>170.64000000000004</v>
      </c>
      <c r="AE728" s="10">
        <f t="shared" ref="AE728:AE730" si="2156">Y728/6/AC728/AI728</f>
        <v>0.73102280296083699</v>
      </c>
      <c r="AF728" s="10">
        <f t="shared" ref="AF728:AF729" si="2157">Z728/6/AD728/AJ728</f>
        <v>0.74096800383506223</v>
      </c>
      <c r="AG728" s="11">
        <f t="shared" ref="AG728:AG729" si="2158">Y728/24/DAY(X728)/5</f>
        <v>0.19999015285452948</v>
      </c>
      <c r="AH728" s="11">
        <f t="shared" ref="AH728:AH729" si="2159">Z728/24/DAY(X728)/5</f>
        <v>0.18277903225806452</v>
      </c>
      <c r="AI728" s="10">
        <v>0.98499999999999999</v>
      </c>
      <c r="AJ728" s="11">
        <v>0.89626774193548386</v>
      </c>
      <c r="AK728" s="10">
        <v>0.99</v>
      </c>
      <c r="AL728" s="17">
        <v>1</v>
      </c>
      <c r="AM728" s="83">
        <f t="shared" si="2149"/>
        <v>-7.7000606751675971E-2</v>
      </c>
      <c r="AN728" s="81">
        <f t="shared" si="2150"/>
        <v>-8.6059840201152982E-2</v>
      </c>
      <c r="AO728" s="10">
        <f t="shared" si="2151"/>
        <v>-9.059233449477011E-3</v>
      </c>
      <c r="AP728" s="10">
        <f t="shared" si="2152"/>
        <v>-8.8732258064516123E-2</v>
      </c>
      <c r="AQ728" s="10">
        <f t="shared" si="2153"/>
        <v>1.0000000000000009E-2</v>
      </c>
      <c r="AR728" s="23">
        <v>-1.52E-2</v>
      </c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23:65" hidden="1">
      <c r="W729" s="83"/>
      <c r="X729" s="5">
        <f t="shared" si="2135"/>
        <v>45260</v>
      </c>
      <c r="Y729" s="43">
        <v>658.32794117499134</v>
      </c>
      <c r="Z729" s="2">
        <v>565.96500000000003</v>
      </c>
      <c r="AA729" s="2">
        <v>108.1</v>
      </c>
      <c r="AB729" s="2">
        <v>95.649999999999991</v>
      </c>
      <c r="AC729" s="2">
        <v>152.1</v>
      </c>
      <c r="AD729" s="2">
        <v>130.08000000000001</v>
      </c>
      <c r="AE729" s="10">
        <f t="shared" si="2156"/>
        <v>0.73236164778825852</v>
      </c>
      <c r="AF729" s="10">
        <f t="shared" si="2157"/>
        <v>0.72716172184618511</v>
      </c>
      <c r="AG729" s="11">
        <f t="shared" si="2158"/>
        <v>0.1828688725486087</v>
      </c>
      <c r="AH729" s="11">
        <f t="shared" si="2159"/>
        <v>0.15721250000000001</v>
      </c>
      <c r="AI729" s="10">
        <v>0.98499999999999999</v>
      </c>
      <c r="AJ729" s="11">
        <v>0.99723333333333342</v>
      </c>
      <c r="AK729" s="10">
        <v>0.99</v>
      </c>
      <c r="AL729" s="17">
        <v>1</v>
      </c>
      <c r="AM729" s="83">
        <f t="shared" si="2149"/>
        <v>4.473887910559915E-3</v>
      </c>
      <c r="AN729" s="81">
        <f t="shared" si="2150"/>
        <v>-0.14029928763184629</v>
      </c>
      <c r="AO729" s="10">
        <f t="shared" si="2151"/>
        <v>-0.14477317554240621</v>
      </c>
      <c r="AP729" s="10">
        <f t="shared" si="2152"/>
        <v>1.2233333333333429E-2</v>
      </c>
      <c r="AQ729" s="10">
        <f t="shared" si="2153"/>
        <v>1.0000000000000009E-2</v>
      </c>
      <c r="AR729" s="23">
        <v>-1.72E-2</v>
      </c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23:65" hidden="1">
      <c r="W730" s="83"/>
      <c r="X730" s="5">
        <f t="shared" si="2135"/>
        <v>45291</v>
      </c>
      <c r="Y730" s="43">
        <v>553.22991658480134</v>
      </c>
      <c r="Z730" s="2">
        <v>517.755</v>
      </c>
      <c r="AA730" s="2">
        <v>89.9</v>
      </c>
      <c r="AB730" s="2">
        <v>82.71</v>
      </c>
      <c r="AC730" s="2">
        <v>129.6</v>
      </c>
      <c r="AD730" s="2">
        <v>120.23</v>
      </c>
      <c r="AE730" s="10">
        <f t="shared" si="2156"/>
        <v>0.72229261529005206</v>
      </c>
      <c r="AF730" s="10">
        <f t="shared" ref="AF730" si="2160">Z730/6/AD730/AJ730</f>
        <v>0.71937844961885822</v>
      </c>
      <c r="AG730" s="11">
        <f t="shared" ref="AG730" si="2161">Y730/24/DAY(X730)/5</f>
        <v>0.14871771951204335</v>
      </c>
      <c r="AH730" s="11">
        <f t="shared" ref="AH730" si="2162">Z730/24/DAY(X730)/5</f>
        <v>0.13918145161290324</v>
      </c>
      <c r="AI730" s="10">
        <v>0.98499999999999999</v>
      </c>
      <c r="AJ730" s="11">
        <v>0.99770645161290317</v>
      </c>
      <c r="AK730" s="10">
        <v>0.99</v>
      </c>
      <c r="AL730" s="17">
        <v>1</v>
      </c>
      <c r="AM730" s="83">
        <f t="shared" ref="AM730" si="2163">AN730-AO730</f>
        <v>8.1761031873588408E-3</v>
      </c>
      <c r="AN730" s="81">
        <f t="shared" ref="AN730" si="2164">Z730/Y730-1</f>
        <v>-6.4123279528690458E-2</v>
      </c>
      <c r="AO730" s="10">
        <f t="shared" ref="AO730" si="2165">AD730/AC730-1</f>
        <v>-7.2299382716049299E-2</v>
      </c>
      <c r="AP730" s="10">
        <f t="shared" ref="AP730" si="2166">AJ730-AI730</f>
        <v>1.270645161290318E-2</v>
      </c>
      <c r="AQ730" s="10">
        <f t="shared" ref="AQ730" si="2167">AL730-AK730</f>
        <v>1.0000000000000009E-2</v>
      </c>
      <c r="AR730" s="23">
        <v>-2.2499999999999999E-2</v>
      </c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23:65" hidden="1">
      <c r="X731" s="5">
        <f t="shared" si="2135"/>
        <v>45322</v>
      </c>
      <c r="Y731" s="43">
        <v>465.39007037910437</v>
      </c>
      <c r="Z731" s="2">
        <v>215.80799999999999</v>
      </c>
      <c r="AA731" s="2">
        <v>79.599999999999994</v>
      </c>
      <c r="AB731" s="2">
        <v>43.78</v>
      </c>
      <c r="AC731" s="2">
        <v>103.2</v>
      </c>
      <c r="AD731" s="2">
        <v>50.59</v>
      </c>
      <c r="AE731" s="10">
        <f t="shared" ref="AE731" si="2168">Y731/6/AC731/AI731</f>
        <v>0.76304462017324526</v>
      </c>
      <c r="AF731" s="10">
        <f t="shared" ref="AF731" si="2169">Z731/6/AD731/AJ731</f>
        <v>0.71713793376945656</v>
      </c>
      <c r="AG731" s="11">
        <f t="shared" ref="AG731:AG733" si="2170">Y731/24/DAY(X731)/5</f>
        <v>0.12510485762879148</v>
      </c>
      <c r="AH731" s="11">
        <f t="shared" ref="AH731" si="2171">Z731/24/DAY(X731)/5</f>
        <v>5.8012903225806448E-2</v>
      </c>
      <c r="AI731" s="10">
        <v>0.98499999999999999</v>
      </c>
      <c r="AJ731" s="11">
        <v>0.99139999999999995</v>
      </c>
      <c r="AK731" s="10">
        <v>0.99</v>
      </c>
      <c r="AL731" s="17">
        <v>1</v>
      </c>
      <c r="AM731" s="83">
        <f t="shared" ref="AM731:AM732" si="2172">AN731-AO731</f>
        <v>-2.6498944288240289E-2</v>
      </c>
      <c r="AN731" s="81">
        <f t="shared" ref="AN731:AN732" si="2173">Z731/Y731-1</f>
        <v>-0.53628576599366662</v>
      </c>
      <c r="AO731" s="10">
        <f t="shared" ref="AO731:AO732" si="2174">AD731/AC731-1</f>
        <v>-0.50978682170542633</v>
      </c>
      <c r="AP731" s="10">
        <f t="shared" ref="AP731:AP732" si="2175">AJ731-AI731</f>
        <v>6.3999999999999613E-3</v>
      </c>
      <c r="AQ731" s="10">
        <f t="shared" ref="AQ731:AQ732" si="2176">AL731-AK731</f>
        <v>1.0000000000000009E-2</v>
      </c>
      <c r="AR731" s="23">
        <v>-1.6899999999999998E-2</v>
      </c>
    </row>
    <row r="732" spans="23:65" hidden="1">
      <c r="X732" s="5">
        <f t="shared" si="2135"/>
        <v>45351</v>
      </c>
      <c r="Y732" s="43">
        <v>611.14165737175665</v>
      </c>
      <c r="Z732" s="2">
        <v>587.25900000000001</v>
      </c>
      <c r="AA732" s="2">
        <v>108.1</v>
      </c>
      <c r="AB732" s="2">
        <v>113.08999999999997</v>
      </c>
      <c r="AC732" s="2">
        <v>137.5</v>
      </c>
      <c r="AD732" s="2">
        <v>143.82999999999996</v>
      </c>
      <c r="AE732" s="10">
        <f t="shared" ref="AE732:AE733" si="2177">Y732/6/AC732/AI732</f>
        <v>0.75205864620428442</v>
      </c>
      <c r="AF732" s="10">
        <f t="shared" ref="AF732:AF733" si="2178">Z732/6/AD732/AJ732</f>
        <v>0.70111403898691638</v>
      </c>
      <c r="AG732" s="11">
        <f>Y732/24/28/5</f>
        <v>0.18188739802730852</v>
      </c>
      <c r="AH732" s="11">
        <f t="shared" ref="AH732:AH733" si="2179">Z732/24/DAY(X732)/5</f>
        <v>0.16875258620689657</v>
      </c>
      <c r="AI732" s="10">
        <v>0.98499999999999999</v>
      </c>
      <c r="AJ732" s="11">
        <v>0.97060000000000002</v>
      </c>
      <c r="AK732" s="10">
        <v>0.99</v>
      </c>
      <c r="AL732" s="17">
        <v>0.97715517241379302</v>
      </c>
      <c r="AM732" s="83">
        <f t="shared" si="2172"/>
        <v>-8.5115122355683859E-2</v>
      </c>
      <c r="AN732" s="81">
        <f t="shared" si="2173"/>
        <v>-3.907875871932065E-2</v>
      </c>
      <c r="AO732" s="10">
        <f t="shared" si="2174"/>
        <v>4.6036363636363209E-2</v>
      </c>
      <c r="AP732" s="10">
        <f t="shared" si="2175"/>
        <v>-1.4399999999999968E-2</v>
      </c>
      <c r="AQ732" s="10">
        <f t="shared" si="2176"/>
        <v>-1.2844827586206975E-2</v>
      </c>
      <c r="AR732" s="23">
        <v>-1.45037878064286E-2</v>
      </c>
    </row>
    <row r="733" spans="23:65" hidden="1">
      <c r="X733" s="5">
        <f t="shared" si="2135"/>
        <v>45382</v>
      </c>
      <c r="Y733" s="43">
        <v>819.48540420303766</v>
      </c>
      <c r="Z733" s="2">
        <v>750.15899999999999</v>
      </c>
      <c r="AA733" s="2">
        <v>161.4</v>
      </c>
      <c r="AB733" s="2">
        <v>157.08999999999997</v>
      </c>
      <c r="AC733" s="2">
        <v>187.8</v>
      </c>
      <c r="AD733" s="2">
        <v>177.47000000000006</v>
      </c>
      <c r="AE733" s="10">
        <f t="shared" si="2177"/>
        <v>0.73834298665556441</v>
      </c>
      <c r="AF733" s="10">
        <f t="shared" si="2178"/>
        <v>0.70587130479443905</v>
      </c>
      <c r="AG733" s="11">
        <f t="shared" si="2170"/>
        <v>0.22029177532339722</v>
      </c>
      <c r="AH733" s="11">
        <f t="shared" si="2179"/>
        <v>0.20165564516129031</v>
      </c>
      <c r="AI733" s="10">
        <v>0.98499999999999999</v>
      </c>
      <c r="AJ733" s="11">
        <v>0.99804838709677413</v>
      </c>
      <c r="AK733" s="10">
        <v>0.99</v>
      </c>
      <c r="AL733" s="17">
        <v>1</v>
      </c>
      <c r="AM733" s="83">
        <f t="shared" ref="AM733:AM734" si="2180">AN733-AO733</f>
        <v>-2.9592160202540185E-2</v>
      </c>
      <c r="AN733" s="81">
        <f t="shared" ref="AN733:AN734" si="2181">Z733/Y733-1</f>
        <v>-8.4597485016171481E-2</v>
      </c>
      <c r="AO733" s="10">
        <f t="shared" ref="AO733:AO734" si="2182">AD733/AC733-1</f>
        <v>-5.5005324813631296E-2</v>
      </c>
      <c r="AP733" s="10">
        <f t="shared" ref="AP733:AP734" si="2183">AJ733-AI733</f>
        <v>1.3048387096774139E-2</v>
      </c>
      <c r="AQ733" s="10">
        <f t="shared" ref="AQ733:AQ734" si="2184">AL733-AK733</f>
        <v>1.0000000000000009E-2</v>
      </c>
      <c r="AR733" s="23">
        <v>-2.1000000000000001E-2</v>
      </c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23:65" hidden="1">
      <c r="W734" s="83"/>
      <c r="X734" s="5">
        <f t="shared" si="2135"/>
        <v>45412</v>
      </c>
      <c r="Y734" s="43">
        <v>847.62071360418497</v>
      </c>
      <c r="Z734" s="2">
        <v>784.30200000000002</v>
      </c>
      <c r="AA734" s="2">
        <v>190.2</v>
      </c>
      <c r="AB734" s="2">
        <v>183.76</v>
      </c>
      <c r="AC734" s="2">
        <v>194</v>
      </c>
      <c r="AD734" s="2">
        <v>189.48000000000005</v>
      </c>
      <c r="AE734" s="10">
        <f t="shared" ref="AE734" si="2185">Y734/6/AC734/AI734</f>
        <v>0.73928577599053225</v>
      </c>
      <c r="AF734" s="10">
        <f t="shared" ref="AF734" si="2186">Z734/6/AD734/AJ734</f>
        <v>0.70202792067904585</v>
      </c>
      <c r="AG734" s="11">
        <f t="shared" ref="AG734" si="2187">Y734/24/DAY(X734)/5</f>
        <v>0.2354501982233847</v>
      </c>
      <c r="AH734" s="11">
        <f t="shared" ref="AH734" si="2188">Z734/24/DAY(X734)/5</f>
        <v>0.2178616666666667</v>
      </c>
      <c r="AI734" s="10">
        <v>0.98499999999999999</v>
      </c>
      <c r="AJ734" s="11">
        <v>0.98268496410763118</v>
      </c>
      <c r="AK734" s="10">
        <v>0.99</v>
      </c>
      <c r="AL734" s="17">
        <v>0.99956333333333325</v>
      </c>
      <c r="AM734" s="83">
        <f t="shared" si="2180"/>
        <v>-5.1402737231054596E-2</v>
      </c>
      <c r="AN734" s="81">
        <f t="shared" si="2181"/>
        <v>-7.4701706303219262E-2</v>
      </c>
      <c r="AO734" s="10">
        <f t="shared" si="2182"/>
        <v>-2.3298969072164666E-2</v>
      </c>
      <c r="AP734" s="10">
        <f t="shared" si="2183"/>
        <v>-2.3150358923688108E-3</v>
      </c>
      <c r="AQ734" s="10">
        <f t="shared" si="2184"/>
        <v>9.5633333333332571E-3</v>
      </c>
      <c r="AR734" s="23">
        <v>-2.02766666666667E-2</v>
      </c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23:65" hidden="1">
      <c r="W735" s="83"/>
      <c r="X735" s="5">
        <f t="shared" si="2135"/>
        <v>45443</v>
      </c>
      <c r="Y735" s="43">
        <v>858.66115147045764</v>
      </c>
      <c r="Z735" s="2">
        <v>724.79700000000003</v>
      </c>
      <c r="AA735" s="2">
        <v>197</v>
      </c>
      <c r="AB735" s="2">
        <v>195.99999999999994</v>
      </c>
      <c r="AC735" s="2">
        <v>197.7</v>
      </c>
      <c r="AD735" s="2">
        <v>199.06</v>
      </c>
      <c r="AE735" s="10">
        <f t="shared" ref="AE735" si="2189">Y735/6/AC735/AI735</f>
        <v>0.73489901333221874</v>
      </c>
      <c r="AF735" s="10">
        <f t="shared" ref="AF735" si="2190">Z735/6/AD735/AJ735</f>
        <v>0.63215216165596555</v>
      </c>
      <c r="AG735" s="11">
        <f t="shared" ref="AG735" si="2191">Y735/24/DAY(X735)/5</f>
        <v>0.23082289018023056</v>
      </c>
      <c r="AH735" s="11">
        <f t="shared" ref="AH735" si="2192">Z735/24/DAY(X735)/5</f>
        <v>0.19483790322580646</v>
      </c>
      <c r="AI735" s="10">
        <v>0.98499999999999999</v>
      </c>
      <c r="AJ735" s="11">
        <v>0.95997408593849731</v>
      </c>
      <c r="AK735" s="10">
        <v>0.99</v>
      </c>
      <c r="AL735" s="17">
        <v>0.99957419354838706</v>
      </c>
      <c r="AM735" s="83">
        <f t="shared" ref="AM735:AM738" si="2193">AN735-AO735</f>
        <v>-0.16277780302586042</v>
      </c>
      <c r="AN735" s="81">
        <f t="shared" ref="AN735" si="2194">Z735/Y735-1</f>
        <v>-0.1558986932635944</v>
      </c>
      <c r="AO735" s="10">
        <f t="shared" ref="AO735" si="2195">AD735/AC735-1</f>
        <v>6.8791097622660224E-3</v>
      </c>
      <c r="AP735" s="10">
        <f t="shared" ref="AP735" si="2196">AJ735-AI735</f>
        <v>-2.5025914061502674E-2</v>
      </c>
      <c r="AQ735" s="10">
        <f t="shared" ref="AQ735" si="2197">AL735-AK735</f>
        <v>9.5741935483870666E-3</v>
      </c>
      <c r="AR735" s="23">
        <v>-3.6499999999999998E-2</v>
      </c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23:65" hidden="1">
      <c r="W736" s="83"/>
      <c r="X736" s="5">
        <f t="shared" si="2135"/>
        <v>45473</v>
      </c>
      <c r="Y736" s="43">
        <v>771.0499348542271</v>
      </c>
      <c r="Z736" s="2">
        <v>730.18799999999999</v>
      </c>
      <c r="AA736" s="2">
        <v>178.9</v>
      </c>
      <c r="AB736" s="2">
        <v>188.72</v>
      </c>
      <c r="AC736" s="2">
        <v>177.2</v>
      </c>
      <c r="AD736" s="2">
        <v>184.46999999999997</v>
      </c>
      <c r="AE736" s="10">
        <f t="shared" ref="AE736" si="2198">Y736/6/AC736/AI736</f>
        <v>0.73626016933290861</v>
      </c>
      <c r="AF736" s="10">
        <f t="shared" ref="AF736" si="2199">Z736/6/AD736/AJ736</f>
        <v>0.6884961669368479</v>
      </c>
      <c r="AG736" s="11">
        <f t="shared" ref="AG736" si="2200">Y736/24/DAY(X736)/5</f>
        <v>0.21418053745950752</v>
      </c>
      <c r="AH736" s="11">
        <f t="shared" ref="AH736" si="2201">Z736/24/DAY(X736)/5</f>
        <v>0.20282999999999998</v>
      </c>
      <c r="AI736" s="10">
        <v>0.98499999999999999</v>
      </c>
      <c r="AJ736" s="11">
        <v>0.95820000000000005</v>
      </c>
      <c r="AK736" s="10">
        <v>0.99</v>
      </c>
      <c r="AL736" s="17">
        <v>0.99957419354838706</v>
      </c>
      <c r="AM736" s="83">
        <f t="shared" si="2193"/>
        <v>-9.4022274219424995E-2</v>
      </c>
      <c r="AN736" s="81">
        <f t="shared" ref="AN736" si="2202">Z736/Y736-1</f>
        <v>-5.2995186183307785E-2</v>
      </c>
      <c r="AO736" s="10">
        <f t="shared" ref="AO736" si="2203">AD736/AC736-1</f>
        <v>4.102708803611721E-2</v>
      </c>
      <c r="AP736" s="10">
        <f t="shared" ref="AP736" si="2204">AJ736-AI736</f>
        <v>-2.6799999999999935E-2</v>
      </c>
      <c r="AQ736" s="10">
        <f t="shared" ref="AQ736" si="2205">AL736-AK736</f>
        <v>9.5741935483870666E-3</v>
      </c>
      <c r="AR736" s="23">
        <v>-2.2499999999999999E-2</v>
      </c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23:65" hidden="1">
      <c r="W737" s="83"/>
      <c r="X737" s="5">
        <f t="shared" si="2135"/>
        <v>45504</v>
      </c>
      <c r="Y737" s="43">
        <v>682.37028876706631</v>
      </c>
      <c r="Z737" s="2">
        <v>609.31500000000005</v>
      </c>
      <c r="AA737" s="2">
        <v>155.5</v>
      </c>
      <c r="AB737" s="2">
        <v>141.75000000000003</v>
      </c>
      <c r="AC737" s="2">
        <v>154.6</v>
      </c>
      <c r="AD737" s="2">
        <v>140.17000000000004</v>
      </c>
      <c r="AE737" s="10">
        <f t="shared" ref="AE737" si="2206">Y737/6/AC737/AI737</f>
        <v>0.74683237870238384</v>
      </c>
      <c r="AF737" s="10">
        <f t="shared" ref="AF737" si="2207">Z737/6/AD737/AJ737</f>
        <v>0.77378538477075898</v>
      </c>
      <c r="AG737" s="11">
        <f t="shared" ref="AG737" si="2208">Y737/24/DAY(X737)/5</f>
        <v>0.18343287332448019</v>
      </c>
      <c r="AH737" s="11">
        <f t="shared" ref="AH737" si="2209">Z737/24/DAY(X737)/5</f>
        <v>0.16379435483870969</v>
      </c>
      <c r="AI737" s="10">
        <v>0.98499999999999999</v>
      </c>
      <c r="AJ737" s="11">
        <v>0.93630000000000002</v>
      </c>
      <c r="AK737" s="10">
        <v>0.99</v>
      </c>
      <c r="AL737" s="17">
        <v>1</v>
      </c>
      <c r="AM737" s="83">
        <f t="shared" si="2193"/>
        <v>-1.3723417891120193E-2</v>
      </c>
      <c r="AN737" s="81">
        <f t="shared" ref="AN737:AN738" si="2210">Z737/Y737-1</f>
        <v>-0.10706106342798927</v>
      </c>
      <c r="AO737" s="10">
        <f t="shared" ref="AO737:AO738" si="2211">AD737/AC737-1</f>
        <v>-9.3337645536869074E-2</v>
      </c>
      <c r="AP737" s="10">
        <f t="shared" ref="AP737:AP738" si="2212">AJ737-AI737</f>
        <v>-4.8699999999999966E-2</v>
      </c>
      <c r="AQ737" s="10">
        <f t="shared" ref="AQ737:AQ738" si="2213">AL737-AK737</f>
        <v>1.0000000000000009E-2</v>
      </c>
      <c r="AR737" s="23">
        <v>-5.3E-3</v>
      </c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23:65" hidden="1">
      <c r="W738" s="83"/>
      <c r="X738" s="5">
        <f t="shared" si="2135"/>
        <v>45535</v>
      </c>
      <c r="Y738" s="43">
        <v>647.91343832958523</v>
      </c>
      <c r="Z738" s="2">
        <v>692.65499999999997</v>
      </c>
      <c r="AA738" s="2">
        <v>145.4</v>
      </c>
      <c r="AB738" s="2">
        <v>161.11999999999995</v>
      </c>
      <c r="AC738" s="2">
        <v>146.30000000000001</v>
      </c>
      <c r="AD738" s="2">
        <v>163.04000000000002</v>
      </c>
      <c r="AE738" s="10">
        <f t="shared" ref="AE738" si="2214">Y738/6/AC738/AI738</f>
        <v>0.74935080933712361</v>
      </c>
      <c r="AF738" s="10">
        <f t="shared" ref="AF738" si="2215">Z738/6/AD738/AJ738</f>
        <v>0.74139408161864551</v>
      </c>
      <c r="AG738" s="11">
        <f t="shared" ref="AG738" si="2216">Y738/24/DAY(X738)/5</f>
        <v>0.17417027912085623</v>
      </c>
      <c r="AH738" s="11">
        <f t="shared" ref="AH738" si="2217">Z738/24/DAY(X738)/5</f>
        <v>0.18619758064516129</v>
      </c>
      <c r="AI738" s="10">
        <v>0.98499999999999999</v>
      </c>
      <c r="AJ738" s="11">
        <v>0.95504193548387084</v>
      </c>
      <c r="AK738" s="10">
        <v>0.99</v>
      </c>
      <c r="AL738" s="17">
        <v>1</v>
      </c>
      <c r="AM738" s="83">
        <f t="shared" si="2193"/>
        <v>-4.5367575282651007E-2</v>
      </c>
      <c r="AN738" s="81">
        <f t="shared" si="2210"/>
        <v>6.9054844402926641E-2</v>
      </c>
      <c r="AO738" s="10">
        <f t="shared" si="2211"/>
        <v>0.11442241968557765</v>
      </c>
      <c r="AP738" s="10">
        <f t="shared" si="2212"/>
        <v>-2.9958064516129146E-2</v>
      </c>
      <c r="AQ738" s="10">
        <f t="shared" si="2213"/>
        <v>1.0000000000000009E-2</v>
      </c>
      <c r="AR738" s="23">
        <v>-5.4999999999999997E-3</v>
      </c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23:65" hidden="1">
      <c r="W739" s="83"/>
      <c r="X739" s="5">
        <f t="shared" si="2135"/>
        <v>45565</v>
      </c>
      <c r="Y739" s="43">
        <v>645.59850780923784</v>
      </c>
      <c r="Z739" s="2">
        <v>544.03499999999997</v>
      </c>
      <c r="AA739" s="2">
        <v>141.6</v>
      </c>
      <c r="AB739" s="2">
        <v>120.02</v>
      </c>
      <c r="AC739" s="2">
        <v>145.5</v>
      </c>
      <c r="AD739" s="2">
        <v>126.65999999999998</v>
      </c>
      <c r="AE739" s="10">
        <f t="shared" ref="AE739" si="2218">Y739/6/AC739/AI739</f>
        <v>0.75077887418870437</v>
      </c>
      <c r="AF739" s="10">
        <f t="shared" ref="AF739" si="2219">Z739/6/AD739/AJ739</f>
        <v>0.76426772203662663</v>
      </c>
      <c r="AG739" s="11">
        <f t="shared" ref="AG739" si="2220">Y739/24/DAY(X739)/5</f>
        <v>0.17933291883589939</v>
      </c>
      <c r="AH739" s="11">
        <f t="shared" ref="AH739" si="2221">Z739/24/DAY(X739)/5</f>
        <v>0.15112083333333332</v>
      </c>
      <c r="AI739" s="10">
        <v>0.98499999999999999</v>
      </c>
      <c r="AJ739" s="11">
        <v>0.93667857900000007</v>
      </c>
      <c r="AK739" s="10">
        <v>0.99</v>
      </c>
      <c r="AL739" s="17">
        <v>1</v>
      </c>
      <c r="AM739" s="83">
        <f t="shared" ref="AM739" si="2222">AN739-AO739</f>
        <v>-2.783228943789684E-2</v>
      </c>
      <c r="AN739" s="81">
        <f t="shared" ref="AN739" si="2223">Z739/Y739-1</f>
        <v>-0.15731682552037118</v>
      </c>
      <c r="AO739" s="10">
        <f t="shared" ref="AO739" si="2224">AD739/AC739-1</f>
        <v>-0.12948453608247434</v>
      </c>
      <c r="AP739" s="10">
        <f t="shared" ref="AP739" si="2225">AJ739-AI739</f>
        <v>-4.832142099999992E-2</v>
      </c>
      <c r="AQ739" s="10">
        <f t="shared" ref="AQ739" si="2226">AL739-AK739</f>
        <v>1.0000000000000009E-2</v>
      </c>
      <c r="AR739" s="23">
        <v>-9.4000000000000004E-3</v>
      </c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23:65" hidden="1">
      <c r="W740" s="83"/>
      <c r="X740" s="5">
        <f t="shared" si="2135"/>
        <v>45596</v>
      </c>
      <c r="Y740" s="43">
        <v>740.24355177575535</v>
      </c>
      <c r="Z740" s="2">
        <v>646.77</v>
      </c>
      <c r="AA740" s="2">
        <v>139.1</v>
      </c>
      <c r="AB740" s="2">
        <v>126.35999999999997</v>
      </c>
      <c r="AC740" s="2">
        <v>172.2</v>
      </c>
      <c r="AD740" s="2">
        <v>151.13000000000002</v>
      </c>
      <c r="AE740" s="10">
        <f t="shared" ref="AE740" si="2227">Y740/6/AC740/AI740</f>
        <v>0.72736768894603276</v>
      </c>
      <c r="AF740" s="10">
        <f t="shared" ref="AF740" si="2228">Z740/6/AD740/AJ740</f>
        <v>0.73514421332883473</v>
      </c>
      <c r="AG740" s="11">
        <f t="shared" ref="AG740" si="2229">Y740/24/DAY(X740)/5</f>
        <v>0.19899020209025681</v>
      </c>
      <c r="AH740" s="11">
        <f t="shared" ref="AH740" si="2230">Z740/24/DAY(X740)/5</f>
        <v>0.17386290322580647</v>
      </c>
      <c r="AI740" s="10">
        <v>0.98499999999999999</v>
      </c>
      <c r="AJ740" s="11">
        <v>0.97023154676378776</v>
      </c>
      <c r="AK740" s="10">
        <v>0.99</v>
      </c>
      <c r="AL740" s="17">
        <v>0.99528709677419358</v>
      </c>
      <c r="AM740" s="83">
        <f t="shared" ref="AM740" si="2231">AN740-AO740</f>
        <v>-3.916327107195916E-3</v>
      </c>
      <c r="AN740" s="81">
        <f t="shared" ref="AN740" si="2232">Z740/Y740-1</f>
        <v>-0.12627405068443154</v>
      </c>
      <c r="AO740" s="10">
        <f t="shared" ref="AO740" si="2233">AD740/AC740-1</f>
        <v>-0.12235772357723562</v>
      </c>
      <c r="AP740" s="10">
        <f t="shared" ref="AP740" si="2234">AJ740-AI740</f>
        <v>-1.4768453236212231E-2</v>
      </c>
      <c r="AQ740" s="10">
        <f t="shared" ref="AQ740" si="2235">AL740-AK740</f>
        <v>5.2870967741935893E-3</v>
      </c>
      <c r="AR740" s="23">
        <v>-2.6200000000000001E-2</v>
      </c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23:65" hidden="1">
      <c r="W741" s="83"/>
      <c r="X741" s="5">
        <f t="shared" si="2135"/>
        <v>45626</v>
      </c>
      <c r="Y741" s="43">
        <v>655.03630146911632</v>
      </c>
      <c r="Z741" s="2">
        <v>483.62099999999998</v>
      </c>
      <c r="AA741" s="2">
        <v>108.1</v>
      </c>
      <c r="AB741" s="2">
        <v>82.050000000000011</v>
      </c>
      <c r="AC741" s="2">
        <v>152.1</v>
      </c>
      <c r="AD741" s="2">
        <v>108.30000000000001</v>
      </c>
      <c r="AE741" s="10">
        <f t="shared" ref="AE741" si="2236">Y741/6/AC741/AI741</f>
        <v>0.72869983954931727</v>
      </c>
      <c r="AF741" s="10">
        <f t="shared" ref="AF741" si="2237">Z741/6/AD741/AJ741</f>
        <v>0.75837013627422645</v>
      </c>
      <c r="AG741" s="11">
        <f t="shared" ref="AG741" si="2238">Y741/24/DAY(X741)/5</f>
        <v>0.18195452818586563</v>
      </c>
      <c r="AH741" s="11">
        <f t="shared" ref="AH741" si="2239">Z741/24/DAY(X741)/5</f>
        <v>0.13433916666666665</v>
      </c>
      <c r="AI741" s="10">
        <v>0.98499999999999999</v>
      </c>
      <c r="AJ741" s="11">
        <v>0.98139585879413327</v>
      </c>
      <c r="AK741" s="10">
        <v>0.99</v>
      </c>
      <c r="AL741" s="17">
        <v>1</v>
      </c>
      <c r="AM741" s="83">
        <f t="shared" ref="AM741:AM743" si="2240">AN741-AO741</f>
        <v>2.6280194789711775E-2</v>
      </c>
      <c r="AN741" s="81">
        <f t="shared" ref="AN741" si="2241">Z741/Y741-1</f>
        <v>-0.2616882470248838</v>
      </c>
      <c r="AO741" s="10">
        <f t="shared" ref="AO741" si="2242">AD741/AC741-1</f>
        <v>-0.28796844181459558</v>
      </c>
      <c r="AP741" s="10">
        <f t="shared" ref="AP741" si="2243">AJ741-AI741</f>
        <v>-3.6041412058667177E-3</v>
      </c>
      <c r="AQ741" s="10">
        <f t="shared" ref="AQ741" si="2244">AL741-AK741</f>
        <v>1.0000000000000009E-2</v>
      </c>
      <c r="AR741" s="23">
        <v>-1.8200000000000001E-2</v>
      </c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23:65" hidden="1">
      <c r="W742" s="83"/>
      <c r="X742" s="5">
        <f t="shared" si="2135"/>
        <v>45657</v>
      </c>
      <c r="Y742" s="43">
        <v>550.46376700187739</v>
      </c>
      <c r="Z742" s="2">
        <v>521.697</v>
      </c>
      <c r="AA742" s="2">
        <v>89.9</v>
      </c>
      <c r="AB742" s="2">
        <v>79.329999999999984</v>
      </c>
      <c r="AC742" s="2">
        <v>129.6</v>
      </c>
      <c r="AD742" s="2">
        <v>115.30999999999997</v>
      </c>
      <c r="AE742" s="10">
        <f t="shared" ref="AE742:AE743" si="2245">Y742/6/AC742/AI742</f>
        <v>0.71868115221360185</v>
      </c>
      <c r="AF742" s="10">
        <f t="shared" ref="AF742:AF743" si="2246">Z742/6/AD742/AJ742</f>
        <v>0.76834433887769815</v>
      </c>
      <c r="AG742" s="11">
        <f t="shared" ref="AG742:AG743" si="2247">Y742/24/DAY(X742)/5</f>
        <v>0.14797413091448317</v>
      </c>
      <c r="AH742" s="11">
        <f t="shared" ref="AH742:AH743" si="2248">Z742/24/DAY(X742)/5</f>
        <v>0.14024112903225808</v>
      </c>
      <c r="AI742" s="10">
        <v>0.98499999999999999</v>
      </c>
      <c r="AJ742" s="11">
        <v>0.98139585879413327</v>
      </c>
      <c r="AK742" s="10">
        <v>0.99</v>
      </c>
      <c r="AL742" s="17">
        <v>1</v>
      </c>
      <c r="AM742" s="83">
        <f t="shared" si="2240"/>
        <v>5.8003198526500155E-2</v>
      </c>
      <c r="AN742" s="81">
        <f t="shared" ref="AN742:AN743" si="2249">Z742/Y742-1</f>
        <v>-5.2259147152512342E-2</v>
      </c>
      <c r="AO742" s="10">
        <f t="shared" ref="AO742:AO743" si="2250">AD742/AC742-1</f>
        <v>-0.1102623456790125</v>
      </c>
      <c r="AP742" s="10">
        <f t="shared" ref="AP742:AP743" si="2251">AJ742-AI742</f>
        <v>-3.6041412058667177E-3</v>
      </c>
      <c r="AQ742" s="10">
        <f t="shared" ref="AQ742:AQ743" si="2252">AL742-AK742</f>
        <v>1.0000000000000009E-2</v>
      </c>
      <c r="AR742" s="23">
        <v>-1.35225806451613E-2</v>
      </c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23:65">
      <c r="W743" s="83"/>
      <c r="X743" s="5">
        <f t="shared" si="2135"/>
        <v>45688</v>
      </c>
      <c r="Y743" s="43">
        <v>463.06312002720887</v>
      </c>
      <c r="Z743" s="2">
        <v>474.81599999999997</v>
      </c>
      <c r="AA743" s="2">
        <v>79.599999999999994</v>
      </c>
      <c r="AB743" s="2">
        <v>79.86999999999999</v>
      </c>
      <c r="AC743" s="2">
        <v>103.2</v>
      </c>
      <c r="AD743" s="2">
        <v>103.72</v>
      </c>
      <c r="AE743" s="10">
        <f t="shared" si="2245"/>
        <v>0.75922939707237913</v>
      </c>
      <c r="AF743" s="10">
        <f t="shared" si="2246"/>
        <v>0.76678009006323622</v>
      </c>
      <c r="AG743" s="11">
        <f t="shared" si="2247"/>
        <v>0.12447933334064756</v>
      </c>
      <c r="AH743" s="11">
        <f t="shared" si="2248"/>
        <v>0.12763870967741936</v>
      </c>
      <c r="AI743" s="10">
        <v>0.98499999999999999</v>
      </c>
      <c r="AJ743" s="11">
        <v>0.99504050290322588</v>
      </c>
      <c r="AK743" s="10">
        <v>0.99</v>
      </c>
      <c r="AL743" s="17">
        <v>1</v>
      </c>
      <c r="AM743" s="83">
        <f t="shared" si="2240"/>
        <v>2.0341970203014315E-2</v>
      </c>
      <c r="AN743" s="81">
        <f t="shared" si="2249"/>
        <v>2.5380729892936715E-2</v>
      </c>
      <c r="AO743" s="10">
        <f t="shared" si="2250"/>
        <v>5.0387596899224008E-3</v>
      </c>
      <c r="AP743" s="10">
        <f t="shared" si="2251"/>
        <v>1.004050290322589E-2</v>
      </c>
      <c r="AQ743" s="10">
        <f t="shared" si="2252"/>
        <v>1.0000000000000009E-2</v>
      </c>
      <c r="AR743" s="23">
        <v>-8.2064516129032299E-3</v>
      </c>
    </row>
    <row r="744" spans="23:65">
      <c r="W744" s="83"/>
      <c r="X744" s="5">
        <f t="shared" si="2135"/>
        <v>45716</v>
      </c>
      <c r="Y744" s="43">
        <v>608.08594908489783</v>
      </c>
      <c r="Z744" s="2"/>
      <c r="AA744" s="2"/>
      <c r="AB744" s="2"/>
      <c r="AC744" s="2">
        <v>137.5</v>
      </c>
      <c r="AD744" s="2"/>
      <c r="AE744" s="12"/>
      <c r="AF744" s="10"/>
      <c r="AG744" s="12"/>
      <c r="AH744" s="12"/>
      <c r="AI744" s="12"/>
      <c r="AJ744" s="10"/>
      <c r="AK744" s="10"/>
      <c r="AL744" s="23"/>
      <c r="AM744" s="83"/>
      <c r="AN744" s="81"/>
      <c r="AO744" s="10"/>
      <c r="AP744" s="10"/>
      <c r="AQ744" s="10"/>
      <c r="AR744" s="23"/>
    </row>
    <row r="745" spans="23:65">
      <c r="W745" s="83"/>
      <c r="X745" s="5">
        <f t="shared" si="2135"/>
        <v>45747</v>
      </c>
      <c r="Y745" s="43">
        <v>815.3879771820225</v>
      </c>
      <c r="Z745" s="2"/>
      <c r="AA745" s="2"/>
      <c r="AB745" s="2"/>
      <c r="AC745" s="2">
        <v>187.79999999999998</v>
      </c>
      <c r="AD745" s="2"/>
      <c r="AE745" s="12"/>
      <c r="AF745" s="10"/>
      <c r="AG745" s="12"/>
      <c r="AH745" s="12"/>
      <c r="AI745" s="12"/>
      <c r="AJ745" s="10"/>
      <c r="AK745" s="10"/>
      <c r="AL745" s="23"/>
      <c r="AM745" s="83"/>
      <c r="AN745" s="81"/>
      <c r="AO745" s="10"/>
      <c r="AP745" s="10"/>
      <c r="AQ745" s="10"/>
      <c r="AR745" s="23"/>
    </row>
    <row r="746" spans="23:65">
      <c r="W746" s="83"/>
      <c r="X746" s="5">
        <f t="shared" si="2135"/>
        <v>45777</v>
      </c>
      <c r="Y746" s="43">
        <v>843.38261003616401</v>
      </c>
      <c r="Z746" s="2"/>
      <c r="AA746" s="2"/>
      <c r="AB746" s="2"/>
      <c r="AC746" s="2">
        <v>194</v>
      </c>
      <c r="AD746" s="2"/>
      <c r="AE746" s="12"/>
      <c r="AF746" s="10"/>
      <c r="AG746" s="12"/>
      <c r="AH746" s="12"/>
      <c r="AI746" s="12"/>
      <c r="AJ746" s="10"/>
      <c r="AK746" s="10"/>
      <c r="AL746" s="23"/>
      <c r="AM746" s="83"/>
      <c r="AN746" s="81"/>
      <c r="AO746" s="10"/>
      <c r="AP746" s="10"/>
      <c r="AQ746" s="10"/>
      <c r="AR746" s="23"/>
    </row>
    <row r="747" spans="23:65">
      <c r="W747" s="83"/>
      <c r="X747" s="5">
        <f t="shared" si="2135"/>
        <v>45808</v>
      </c>
      <c r="Y747" s="43">
        <v>854.36784571310534</v>
      </c>
      <c r="Z747" s="2"/>
      <c r="AA747" s="2"/>
      <c r="AB747" s="2"/>
      <c r="AC747" s="2">
        <v>197.70000000000002</v>
      </c>
      <c r="AD747" s="2"/>
      <c r="AE747" s="12"/>
      <c r="AF747" s="10"/>
      <c r="AG747" s="12"/>
      <c r="AH747" s="12"/>
      <c r="AI747" s="12"/>
      <c r="AJ747" s="10"/>
      <c r="AK747" s="10"/>
      <c r="AL747" s="23"/>
      <c r="AM747" s="83"/>
      <c r="AN747" s="81"/>
      <c r="AO747" s="10"/>
      <c r="AP747" s="10"/>
      <c r="AQ747" s="10"/>
      <c r="AR747" s="23"/>
    </row>
    <row r="748" spans="23:65">
      <c r="W748" s="83"/>
      <c r="X748" s="5">
        <f t="shared" si="2135"/>
        <v>45838</v>
      </c>
      <c r="Y748" s="43">
        <v>767.19468517995597</v>
      </c>
      <c r="Z748" s="2"/>
      <c r="AA748" s="2"/>
      <c r="AB748" s="2"/>
      <c r="AC748" s="2">
        <v>177.20000000000002</v>
      </c>
      <c r="AD748" s="2"/>
      <c r="AE748" s="12"/>
      <c r="AF748" s="10"/>
      <c r="AG748" s="12"/>
      <c r="AH748" s="12"/>
      <c r="AI748" s="12"/>
      <c r="AJ748" s="10"/>
      <c r="AK748" s="10"/>
      <c r="AL748" s="23"/>
      <c r="AM748" s="83"/>
      <c r="AN748" s="81"/>
      <c r="AO748" s="10"/>
      <c r="AP748" s="10"/>
      <c r="AQ748" s="10"/>
      <c r="AR748" s="23"/>
    </row>
    <row r="749" spans="23:65">
      <c r="W749" s="83"/>
      <c r="X749" s="5">
        <f t="shared" si="2135"/>
        <v>45869</v>
      </c>
      <c r="Y749" s="43">
        <v>678.95843732323101</v>
      </c>
      <c r="Z749" s="2"/>
      <c r="AA749" s="2"/>
      <c r="AB749" s="2"/>
      <c r="AC749" s="2">
        <v>154.6</v>
      </c>
      <c r="AD749" s="2"/>
      <c r="AE749" s="12"/>
      <c r="AF749" s="10"/>
      <c r="AG749" s="12"/>
      <c r="AH749" s="12"/>
      <c r="AI749" s="12"/>
      <c r="AJ749" s="10"/>
      <c r="AK749" s="10"/>
      <c r="AL749" s="23"/>
      <c r="AM749" s="83"/>
      <c r="AN749" s="81"/>
      <c r="AO749" s="10"/>
      <c r="AP749" s="10"/>
      <c r="AQ749" s="10"/>
      <c r="AR749" s="23"/>
    </row>
    <row r="750" spans="23:65">
      <c r="W750" s="83"/>
      <c r="X750" s="5">
        <f t="shared" si="2135"/>
        <v>45900</v>
      </c>
      <c r="Y750" s="43">
        <v>644.67387113793734</v>
      </c>
      <c r="Z750" s="2"/>
      <c r="AA750" s="2"/>
      <c r="AB750" s="2"/>
      <c r="AC750" s="2">
        <v>146.29999999999998</v>
      </c>
      <c r="AD750" s="2"/>
      <c r="AE750" s="12"/>
      <c r="AF750" s="10"/>
      <c r="AG750" s="12"/>
      <c r="AH750" s="12"/>
      <c r="AI750" s="12"/>
      <c r="AJ750" s="10"/>
      <c r="AK750" s="10"/>
      <c r="AL750" s="23"/>
      <c r="AM750" s="83"/>
      <c r="AN750" s="81"/>
      <c r="AO750" s="10"/>
      <c r="AP750" s="10"/>
      <c r="AQ750" s="10"/>
      <c r="AR750" s="23"/>
    </row>
    <row r="751" spans="23:65">
      <c r="W751" s="83"/>
      <c r="X751" s="5">
        <f t="shared" si="2135"/>
        <v>45930</v>
      </c>
      <c r="Y751" s="43">
        <v>642.37051527019162</v>
      </c>
      <c r="Z751" s="2"/>
      <c r="AA751" s="2"/>
      <c r="AB751" s="2"/>
      <c r="AC751" s="2">
        <v>145.5</v>
      </c>
      <c r="AD751" s="2"/>
      <c r="AE751" s="12"/>
      <c r="AF751" s="10"/>
      <c r="AG751" s="12"/>
      <c r="AH751" s="12"/>
      <c r="AI751" s="12"/>
      <c r="AJ751" s="10"/>
      <c r="AK751" s="10"/>
      <c r="AL751" s="23"/>
      <c r="AM751" s="83"/>
      <c r="AN751" s="81"/>
      <c r="AO751" s="10"/>
      <c r="AP751" s="10"/>
      <c r="AQ751" s="10"/>
      <c r="AR751" s="23"/>
    </row>
    <row r="752" spans="23:65">
      <c r="W752" s="83"/>
      <c r="X752" s="5">
        <f t="shared" si="2135"/>
        <v>45961</v>
      </c>
      <c r="Y752" s="43">
        <v>736.54233401687657</v>
      </c>
      <c r="Z752" s="2"/>
      <c r="AA752" s="2"/>
      <c r="AB752" s="2"/>
      <c r="AC752" s="2">
        <v>172.20000000000002</v>
      </c>
      <c r="AD752" s="2"/>
      <c r="AE752" s="12"/>
      <c r="AF752" s="10"/>
      <c r="AG752" s="12"/>
      <c r="AH752" s="12"/>
      <c r="AI752" s="12"/>
      <c r="AJ752" s="10"/>
      <c r="AK752" s="10"/>
      <c r="AL752" s="23"/>
      <c r="AM752" s="83"/>
      <c r="AN752" s="81"/>
      <c r="AO752" s="10"/>
      <c r="AP752" s="10"/>
      <c r="AQ752" s="10"/>
      <c r="AR752" s="23"/>
    </row>
    <row r="753" spans="23:65">
      <c r="W753" s="83"/>
      <c r="X753" s="5">
        <f t="shared" si="2135"/>
        <v>45991</v>
      </c>
      <c r="Y753" s="43">
        <v>651.76111996177076</v>
      </c>
      <c r="Z753" s="2"/>
      <c r="AA753" s="2"/>
      <c r="AB753" s="2"/>
      <c r="AC753" s="2">
        <v>152.1</v>
      </c>
      <c r="AD753" s="2"/>
      <c r="AE753" s="12"/>
      <c r="AF753" s="10"/>
      <c r="AG753" s="12"/>
      <c r="AH753" s="12"/>
      <c r="AI753" s="12"/>
      <c r="AJ753" s="10"/>
      <c r="AK753" s="10"/>
      <c r="AL753" s="23"/>
      <c r="AM753" s="83"/>
      <c r="AN753" s="81"/>
      <c r="AO753" s="10"/>
      <c r="AP753" s="10"/>
      <c r="AQ753" s="10"/>
      <c r="AR753" s="23"/>
    </row>
    <row r="754" spans="23:65">
      <c r="W754" s="83"/>
      <c r="X754" s="5">
        <f t="shared" si="2135"/>
        <v>46022</v>
      </c>
      <c r="Y754" s="43">
        <v>547.71144816686797</v>
      </c>
      <c r="Z754" s="2"/>
      <c r="AA754" s="2"/>
      <c r="AB754" s="2"/>
      <c r="AC754" s="2">
        <v>129.6</v>
      </c>
      <c r="AD754" s="2"/>
      <c r="AE754" s="12"/>
      <c r="AF754" s="10"/>
      <c r="AG754" s="12"/>
      <c r="AH754" s="12"/>
      <c r="AI754" s="12"/>
      <c r="AJ754" s="10"/>
      <c r="AK754" s="10"/>
      <c r="AL754" s="23"/>
      <c r="AM754" s="83"/>
      <c r="AN754" s="81"/>
      <c r="AO754" s="10"/>
      <c r="AP754" s="10"/>
      <c r="AQ754" s="10"/>
      <c r="AR754" s="23"/>
    </row>
    <row r="755" spans="23:65" hidden="1">
      <c r="W755" s="83"/>
      <c r="X755" s="60" t="s">
        <v>43</v>
      </c>
      <c r="Y755" s="58">
        <f>SUM(Y647:Y658)</f>
        <v>7046.1150059926549</v>
      </c>
      <c r="Z755" s="58">
        <f t="shared" ref="Z755:AD755" si="2253">SUM(Z647:Z658)</f>
        <v>5161.8540000000003</v>
      </c>
      <c r="AA755" s="58">
        <f t="shared" si="2253"/>
        <v>1694.7999999999997</v>
      </c>
      <c r="AB755" s="58">
        <f t="shared" si="2253"/>
        <v>856.02999999999986</v>
      </c>
      <c r="AC755" s="58">
        <f t="shared" si="2253"/>
        <v>1897.6999999999998</v>
      </c>
      <c r="AD755" s="58">
        <f t="shared" si="2253"/>
        <v>928.23</v>
      </c>
      <c r="AE755" s="59">
        <f>AVERAGE(AE647:AE658)</f>
        <v>0.80311806892679083</v>
      </c>
      <c r="AF755" s="59">
        <f t="shared" ref="AF755:AL755" si="2254">AVERAGE(AF647:AF658)</f>
        <v>0.7441624558193628</v>
      </c>
      <c r="AG755" s="59">
        <f t="shared" si="2254"/>
        <v>0.21365794901427013</v>
      </c>
      <c r="AH755" s="59">
        <f t="shared" si="2254"/>
        <v>0.15504761051373953</v>
      </c>
      <c r="AI755" s="59">
        <f t="shared" si="2254"/>
        <v>0.98499999999999988</v>
      </c>
      <c r="AJ755" s="59">
        <f t="shared" si="2254"/>
        <v>0.90441763571428557</v>
      </c>
      <c r="AK755" s="59">
        <f t="shared" si="2254"/>
        <v>0.9900000000000001</v>
      </c>
      <c r="AL755" s="61">
        <f t="shared" si="2254"/>
        <v>0.98797142857142839</v>
      </c>
      <c r="AM755" s="83">
        <f t="shared" ref="AM755:AM761" si="2255">AN755-AO755</f>
        <v>0.24344735582132737</v>
      </c>
      <c r="AN755" s="65">
        <f t="shared" ref="AN755:AN763" si="2256">Z755/Y755-1</f>
        <v>-0.26741842907618008</v>
      </c>
      <c r="AO755" s="59">
        <f t="shared" ref="AO755:AO763" si="2257">AD755/AC755-1</f>
        <v>-0.51086578489750745</v>
      </c>
      <c r="AP755" s="59">
        <f t="shared" ref="AP755:AP763" si="2258">AJ755-AI755</f>
        <v>-8.0582364285714303E-2</v>
      </c>
      <c r="AQ755" s="59">
        <f t="shared" ref="AQ755:AQ763" si="2259">AL755-AK755</f>
        <v>-2.0285714285717127E-3</v>
      </c>
      <c r="AR755" s="61" t="e">
        <f t="shared" ref="AR755" si="2260">AVERAGE(AR647:AR658)</f>
        <v>#DIV/0!</v>
      </c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23:65" hidden="1">
      <c r="W756" s="83"/>
      <c r="X756" s="60" t="s">
        <v>44</v>
      </c>
      <c r="Y756" s="58">
        <f>SUM(Y659:Y670)</f>
        <v>8671.7094569743986</v>
      </c>
      <c r="Z756" s="58">
        <f t="shared" ref="Z756:AD756" si="2261">SUM(Z659:Z670)</f>
        <v>8133.0529999999999</v>
      </c>
      <c r="AA756" s="58">
        <f t="shared" si="2261"/>
        <v>1694.7999999999997</v>
      </c>
      <c r="AB756" s="58">
        <f t="shared" si="2261"/>
        <v>1510.4010000000001</v>
      </c>
      <c r="AC756" s="58">
        <f t="shared" si="2261"/>
        <v>1897.6999999999998</v>
      </c>
      <c r="AD756" s="58">
        <f t="shared" si="2261"/>
        <v>1702.9</v>
      </c>
      <c r="AE756" s="59">
        <f>AVERAGE(AE659:AE670)</f>
        <v>0.77322001838245702</v>
      </c>
      <c r="AF756" s="59">
        <f t="shared" ref="AF756:AL756" si="2262">AVERAGE(AF659:AF670)</f>
        <v>0.81271102030565912</v>
      </c>
      <c r="AG756" s="59">
        <f t="shared" si="2262"/>
        <v>0.1981119973963906</v>
      </c>
      <c r="AH756" s="59">
        <f t="shared" si="2262"/>
        <v>0.1858764459058713</v>
      </c>
      <c r="AI756" s="59">
        <f t="shared" si="2262"/>
        <v>0.98499999999999988</v>
      </c>
      <c r="AJ756" s="59">
        <f t="shared" si="2262"/>
        <v>0.97054482666666664</v>
      </c>
      <c r="AK756" s="59">
        <f t="shared" si="2262"/>
        <v>0.9900000000000001</v>
      </c>
      <c r="AL756" s="61">
        <f t="shared" si="2262"/>
        <v>0.98913333333333331</v>
      </c>
      <c r="AM756" s="83">
        <f t="shared" si="2255"/>
        <v>4.0534052049162383E-2</v>
      </c>
      <c r="AN756" s="65">
        <f t="shared" si="2256"/>
        <v>-6.2116524965117881E-2</v>
      </c>
      <c r="AO756" s="59">
        <f t="shared" si="2257"/>
        <v>-0.10265057701428026</v>
      </c>
      <c r="AP756" s="59">
        <f t="shared" si="2258"/>
        <v>-1.4455173333333238E-2</v>
      </c>
      <c r="AQ756" s="59">
        <f t="shared" si="2259"/>
        <v>-8.6666666666679326E-4</v>
      </c>
      <c r="AR756" s="61" t="e">
        <f t="shared" ref="AR756" si="2263">AVERAGE(AR659:AR670)</f>
        <v>#DIV/0!</v>
      </c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23:65" hidden="1">
      <c r="W757" s="83"/>
      <c r="X757" s="60" t="s">
        <v>45</v>
      </c>
      <c r="Y757" s="58">
        <f>SUM(Y671:Y682)</f>
        <v>8505.4964289698491</v>
      </c>
      <c r="Z757" s="58">
        <f t="shared" ref="Z757:AD757" si="2264">SUM(Z671:Z682)</f>
        <v>7874.2649999999994</v>
      </c>
      <c r="AA757" s="58">
        <f t="shared" si="2264"/>
        <v>1694.7999999999997</v>
      </c>
      <c r="AB757" s="58">
        <f t="shared" si="2264"/>
        <v>1598.8500000000001</v>
      </c>
      <c r="AC757" s="58">
        <f t="shared" si="2264"/>
        <v>1897.6999999999998</v>
      </c>
      <c r="AD757" s="58">
        <f t="shared" si="2264"/>
        <v>1775.6799999999998</v>
      </c>
      <c r="AE757" s="59">
        <f>AVERAGE(AE671:AE682)</f>
        <v>0.75925944758385677</v>
      </c>
      <c r="AF757" s="59">
        <f t="shared" ref="AF757:AL757" si="2265">AVERAGE(AF671:AF682)</f>
        <v>0.76834338132842817</v>
      </c>
      <c r="AG757" s="59">
        <f t="shared" si="2265"/>
        <v>0.19427458738402634</v>
      </c>
      <c r="AH757" s="59">
        <f t="shared" si="2265"/>
        <v>0.17976374743983617</v>
      </c>
      <c r="AI757" s="59">
        <f t="shared" si="2265"/>
        <v>0.98499999999999988</v>
      </c>
      <c r="AJ757" s="59">
        <f t="shared" si="2265"/>
        <v>0.96230833333333321</v>
      </c>
      <c r="AK757" s="59">
        <f t="shared" si="2265"/>
        <v>0.9900000000000001</v>
      </c>
      <c r="AL757" s="61">
        <f t="shared" si="2265"/>
        <v>0.99029166666666668</v>
      </c>
      <c r="AM757" s="83">
        <f t="shared" si="2255"/>
        <v>-9.9156429394792189E-3</v>
      </c>
      <c r="AN757" s="65">
        <f t="shared" si="2256"/>
        <v>-7.4214531067212763E-2</v>
      </c>
      <c r="AO757" s="59">
        <f t="shared" si="2257"/>
        <v>-6.4298888127733544E-2</v>
      </c>
      <c r="AP757" s="59">
        <f t="shared" si="2258"/>
        <v>-2.2691666666666666E-2</v>
      </c>
      <c r="AQ757" s="59">
        <f t="shared" si="2259"/>
        <v>2.9166666666657903E-4</v>
      </c>
      <c r="AR757" s="61" t="e">
        <f t="shared" ref="AR757" si="2266">AVERAGE(AR671:AR682)</f>
        <v>#DIV/0!</v>
      </c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23:65" hidden="1">
      <c r="W758" s="83"/>
      <c r="X758" s="60" t="s">
        <v>46</v>
      </c>
      <c r="Y758" s="58">
        <f>SUM(Y683:Y694)</f>
        <v>8462.9689468250017</v>
      </c>
      <c r="Z758" s="58">
        <f t="shared" ref="Z758:AD758" si="2267">SUM(Z683:Z694)</f>
        <v>7992.887999999999</v>
      </c>
      <c r="AA758" s="58">
        <f t="shared" si="2267"/>
        <v>1694.7999999999997</v>
      </c>
      <c r="AB758" s="58">
        <f t="shared" si="2267"/>
        <v>1636.0099999999998</v>
      </c>
      <c r="AC758" s="58">
        <f t="shared" si="2267"/>
        <v>1897.6999999999998</v>
      </c>
      <c r="AD758" s="58">
        <f t="shared" si="2267"/>
        <v>1843.69</v>
      </c>
      <c r="AE758" s="59">
        <f>AVERAGE(AE683:AE694)</f>
        <v>0.75546315034593758</v>
      </c>
      <c r="AF758" s="59">
        <f t="shared" ref="AF758:AL758" si="2268">AVERAGE(AF683:AF694)</f>
        <v>0.75173174547618249</v>
      </c>
      <c r="AG758" s="59">
        <f t="shared" si="2268"/>
        <v>0.19276996422708692</v>
      </c>
      <c r="AH758" s="59">
        <f t="shared" si="2268"/>
        <v>0.18216607959461129</v>
      </c>
      <c r="AI758" s="59">
        <f t="shared" si="2268"/>
        <v>0.98499999999999988</v>
      </c>
      <c r="AJ758" s="59">
        <f t="shared" si="2268"/>
        <v>0.96100833333333346</v>
      </c>
      <c r="AK758" s="59">
        <f t="shared" si="2268"/>
        <v>0.9900000000000001</v>
      </c>
      <c r="AL758" s="61">
        <f t="shared" si="2268"/>
        <v>0.9974249999999999</v>
      </c>
      <c r="AM758" s="83">
        <f t="shared" si="2255"/>
        <v>-2.708486229271756E-2</v>
      </c>
      <c r="AN758" s="65">
        <f t="shared" si="2256"/>
        <v>-5.5545630591184003E-2</v>
      </c>
      <c r="AO758" s="59">
        <f t="shared" si="2257"/>
        <v>-2.8460768298466443E-2</v>
      </c>
      <c r="AP758" s="59">
        <f t="shared" si="2258"/>
        <v>-2.3991666666666411E-2</v>
      </c>
      <c r="AQ758" s="59">
        <f t="shared" si="2259"/>
        <v>7.4249999999997929E-3</v>
      </c>
      <c r="AR758" s="61" t="e">
        <f t="shared" ref="AR758" si="2269">AVERAGE(AR683:AR694)</f>
        <v>#DIV/0!</v>
      </c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23:65" hidden="1">
      <c r="W759" s="83"/>
      <c r="X759" s="60" t="s">
        <v>47</v>
      </c>
      <c r="Y759" s="58">
        <f>SUM(Y695:Y706)</f>
        <v>8420.6541020908753</v>
      </c>
      <c r="Z759" s="58">
        <f t="shared" ref="Z759:AD759" si="2270">SUM(Z695:Z706)</f>
        <v>7728.9989999999989</v>
      </c>
      <c r="AA759" s="58">
        <f t="shared" si="2270"/>
        <v>1694.7999999999997</v>
      </c>
      <c r="AB759" s="58">
        <f t="shared" si="2270"/>
        <v>1601.0300000000002</v>
      </c>
      <c r="AC759" s="58">
        <f t="shared" si="2270"/>
        <v>1897.6999999999998</v>
      </c>
      <c r="AD759" s="58">
        <f t="shared" si="2270"/>
        <v>1802.9500000000003</v>
      </c>
      <c r="AE759" s="59">
        <f>AVERAGE(AE695:AE706)</f>
        <v>0.75168583459420768</v>
      </c>
      <c r="AF759" s="59">
        <f t="shared" ref="AF759:AL759" si="2271">AVERAGE(AF695:AF706)</f>
        <v>0.73775403485996371</v>
      </c>
      <c r="AG759" s="59">
        <f t="shared" si="2271"/>
        <v>0.19233669837487066</v>
      </c>
      <c r="AH759" s="59">
        <f t="shared" si="2271"/>
        <v>0.17657751568100355</v>
      </c>
      <c r="AI759" s="59">
        <f t="shared" si="2271"/>
        <v>0.98499999999999988</v>
      </c>
      <c r="AJ759" s="59">
        <f t="shared" si="2271"/>
        <v>0.97021431638260791</v>
      </c>
      <c r="AK759" s="59">
        <f t="shared" si="2271"/>
        <v>0.9900000000000001</v>
      </c>
      <c r="AL759" s="61">
        <f t="shared" si="2271"/>
        <v>0.99838517921146952</v>
      </c>
      <c r="AM759" s="83">
        <f t="shared" si="2255"/>
        <v>-3.2209069328702822E-2</v>
      </c>
      <c r="AN759" s="65">
        <f t="shared" si="2256"/>
        <v>-8.2137930581798413E-2</v>
      </c>
      <c r="AO759" s="59">
        <f t="shared" si="2257"/>
        <v>-4.9928861253095591E-2</v>
      </c>
      <c r="AP759" s="59">
        <f t="shared" si="2258"/>
        <v>-1.4785683617391965E-2</v>
      </c>
      <c r="AQ759" s="59">
        <f t="shared" si="2259"/>
        <v>8.3851792114694179E-3</v>
      </c>
      <c r="AR759" s="61">
        <f t="shared" ref="AR759" si="2272">AVERAGE(AR695:AR706)</f>
        <v>-1.4618962036849247E-2</v>
      </c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23:65" hidden="1">
      <c r="W760" s="83"/>
      <c r="X760" s="60" t="s">
        <v>48</v>
      </c>
      <c r="Y760" s="58">
        <f>SUM(Y707:Y718)</f>
        <v>8378.5508315804218</v>
      </c>
      <c r="Z760" s="58">
        <f t="shared" ref="Z760:AD760" si="2273">SUM(Z707:Z718)</f>
        <v>7675.1640000000007</v>
      </c>
      <c r="AA760" s="58">
        <f t="shared" si="2273"/>
        <v>1694.7999999999997</v>
      </c>
      <c r="AB760" s="58">
        <f t="shared" si="2273"/>
        <v>1617.78</v>
      </c>
      <c r="AC760" s="58">
        <f t="shared" si="2273"/>
        <v>1897.6999999999998</v>
      </c>
      <c r="AD760" s="58">
        <f t="shared" si="2273"/>
        <v>1803.6000000000001</v>
      </c>
      <c r="AE760" s="59">
        <f>AVERAGE(AE707:AE718)</f>
        <v>0.74792740542123681</v>
      </c>
      <c r="AF760" s="59">
        <f t="shared" ref="AF760:AL760" si="2274">AVERAGE(AF707:AF718)</f>
        <v>0.72441031530064892</v>
      </c>
      <c r="AG760" s="59">
        <f t="shared" si="2274"/>
        <v>0.19137501488299635</v>
      </c>
      <c r="AH760" s="59">
        <f t="shared" si="2274"/>
        <v>0.17538657818100359</v>
      </c>
      <c r="AI760" s="59">
        <f t="shared" si="2274"/>
        <v>0.98499999999999988</v>
      </c>
      <c r="AJ760" s="59">
        <f t="shared" si="2274"/>
        <v>0.98471788272419358</v>
      </c>
      <c r="AK760" s="59">
        <f t="shared" si="2274"/>
        <v>0.9900000000000001</v>
      </c>
      <c r="AL760" s="61">
        <f t="shared" si="2274"/>
        <v>0.99952905017921145</v>
      </c>
      <c r="AM760" s="83">
        <f t="shared" si="2255"/>
        <v>-3.4364552501530032E-2</v>
      </c>
      <c r="AN760" s="65">
        <f t="shared" si="2256"/>
        <v>-8.3950893862124287E-2</v>
      </c>
      <c r="AO760" s="59">
        <f t="shared" si="2257"/>
        <v>-4.9586341360594255E-2</v>
      </c>
      <c r="AP760" s="59">
        <f t="shared" si="2258"/>
        <v>-2.8211727580629287E-4</v>
      </c>
      <c r="AQ760" s="59">
        <f t="shared" si="2259"/>
        <v>9.5290501792113513E-3</v>
      </c>
      <c r="AR760" s="61">
        <f t="shared" ref="AR760" si="2275">AVERAGE(AR707:AR718)</f>
        <v>-1.2537777383738243E-2</v>
      </c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23:65" hidden="1">
      <c r="X761" s="60" t="s">
        <v>49</v>
      </c>
      <c r="Y761" s="58">
        <f t="shared" ref="Y761:AD761" si="2276">SUM(Y719:Y730)</f>
        <v>8336.6580774225204</v>
      </c>
      <c r="Z761" s="58">
        <f t="shared" si="2276"/>
        <v>7535.1929999999993</v>
      </c>
      <c r="AA761" s="58">
        <f t="shared" si="2276"/>
        <v>1694.7999999999997</v>
      </c>
      <c r="AB761" s="58">
        <f t="shared" si="2276"/>
        <v>1604.42</v>
      </c>
      <c r="AC761" s="58">
        <f t="shared" si="2276"/>
        <v>1897.6999999999998</v>
      </c>
      <c r="AD761" s="58">
        <f t="shared" si="2276"/>
        <v>1791.9700000000003</v>
      </c>
      <c r="AE761" s="59">
        <f t="shared" ref="AE761:AL761" si="2277">AVERAGE(AE719:AE730)</f>
        <v>0.74418776839413037</v>
      </c>
      <c r="AF761" s="59">
        <f t="shared" si="2277"/>
        <v>0.72568789221928443</v>
      </c>
      <c r="AG761" s="59">
        <f t="shared" si="2277"/>
        <v>0.19041813980858133</v>
      </c>
      <c r="AH761" s="59">
        <f t="shared" si="2277"/>
        <v>0.17238125336021504</v>
      </c>
      <c r="AI761" s="59">
        <f t="shared" si="2277"/>
        <v>0.98499999999999988</v>
      </c>
      <c r="AJ761" s="59">
        <f t="shared" si="2277"/>
        <v>0.97139941082635628</v>
      </c>
      <c r="AK761" s="59">
        <f t="shared" si="2277"/>
        <v>0.9900000000000001</v>
      </c>
      <c r="AL761" s="61">
        <f t="shared" si="2277"/>
        <v>0.99910594278033793</v>
      </c>
      <c r="AM761" s="95">
        <f t="shared" si="2255"/>
        <v>-4.0422640731143655E-2</v>
      </c>
      <c r="AN761" s="65">
        <f t="shared" si="2256"/>
        <v>-9.6137453399109951E-2</v>
      </c>
      <c r="AO761" s="59">
        <f t="shared" si="2257"/>
        <v>-5.5714812667966296E-2</v>
      </c>
      <c r="AP761" s="59">
        <f t="shared" si="2258"/>
        <v>-1.3600589173643596E-2</v>
      </c>
      <c r="AQ761" s="59">
        <f t="shared" si="2259"/>
        <v>9.1059427803378279E-3</v>
      </c>
      <c r="AR761" s="61">
        <f>AVERAGE(AR719:AR730)</f>
        <v>-1.3909314194324666E-2</v>
      </c>
    </row>
    <row r="762" spans="23:65" hidden="1">
      <c r="X762" s="60" t="s">
        <v>74</v>
      </c>
      <c r="Y762" s="58">
        <f t="shared" ref="Y762:AD762" si="2278">SUM(Y731:Y742)</f>
        <v>8294.9747870354076</v>
      </c>
      <c r="Z762" s="58">
        <f t="shared" si="2278"/>
        <v>7290.6060000000007</v>
      </c>
      <c r="AA762" s="58">
        <f t="shared" si="2278"/>
        <v>1694.7999999999997</v>
      </c>
      <c r="AB762" s="58">
        <f t="shared" si="2278"/>
        <v>1593.0699999999995</v>
      </c>
      <c r="AC762" s="58">
        <f t="shared" si="2278"/>
        <v>1897.6999999999998</v>
      </c>
      <c r="AD762" s="58">
        <f t="shared" si="2278"/>
        <v>1749.5100000000002</v>
      </c>
      <c r="AE762" s="59">
        <f t="shared" ref="AE762:AL762" si="2279">AVERAGE(AE731:AE742)</f>
        <v>0.74046682955215981</v>
      </c>
      <c r="AF762" s="59">
        <f t="shared" si="2279"/>
        <v>0.72400878364412169</v>
      </c>
      <c r="AG762" s="59">
        <f t="shared" si="2279"/>
        <v>0.18946604910953846</v>
      </c>
      <c r="AH762" s="59">
        <f t="shared" si="2279"/>
        <v>0.16612555601903353</v>
      </c>
      <c r="AI762" s="59">
        <f t="shared" si="2279"/>
        <v>0.98499999999999988</v>
      </c>
      <c r="AJ762" s="59">
        <f t="shared" si="2279"/>
        <v>0.96849593466490236</v>
      </c>
      <c r="AK762" s="59">
        <f t="shared" si="2279"/>
        <v>0.9900000000000001</v>
      </c>
      <c r="AL762" s="61">
        <f t="shared" si="2279"/>
        <v>0.99759616580150778</v>
      </c>
      <c r="AM762" s="83">
        <f t="shared" ref="AM762:AM763" si="2280">AN762-AO762-AP762</f>
        <v>-2.648826483692579E-2</v>
      </c>
      <c r="AN762" s="65">
        <f t="shared" si="2256"/>
        <v>-0.12108159612554581</v>
      </c>
      <c r="AO762" s="59">
        <f t="shared" si="2257"/>
        <v>-7.8089265953522502E-2</v>
      </c>
      <c r="AP762" s="59">
        <f t="shared" si="2258"/>
        <v>-1.6504065335097517E-2</v>
      </c>
      <c r="AQ762" s="59">
        <f t="shared" si="2259"/>
        <v>7.5961658015076816E-3</v>
      </c>
      <c r="AR762" s="61">
        <f>AVERAGE(AR731:AR742)</f>
        <v>-1.7483586259854713E-2</v>
      </c>
    </row>
    <row r="763" spans="23:65">
      <c r="W763" s="102"/>
      <c r="X763" s="60" t="s">
        <v>107</v>
      </c>
      <c r="Y763" s="58">
        <f t="shared" ref="Y763:AD763" si="2281">SUM(Y755:Y755)</f>
        <v>7046.1150059926549</v>
      </c>
      <c r="Z763" s="58">
        <f t="shared" si="2281"/>
        <v>5161.8540000000003</v>
      </c>
      <c r="AA763" s="58">
        <f t="shared" si="2281"/>
        <v>1694.7999999999997</v>
      </c>
      <c r="AB763" s="58">
        <f t="shared" si="2281"/>
        <v>856.02999999999986</v>
      </c>
      <c r="AC763" s="58">
        <f t="shared" si="2281"/>
        <v>1897.6999999999998</v>
      </c>
      <c r="AD763" s="58">
        <f t="shared" si="2281"/>
        <v>928.23</v>
      </c>
      <c r="AE763" s="59">
        <f t="shared" ref="AE763:AL763" si="2282">AVERAGE(AE755:AE755)</f>
        <v>0.80311806892679083</v>
      </c>
      <c r="AF763" s="59">
        <f t="shared" si="2282"/>
        <v>0.7441624558193628</v>
      </c>
      <c r="AG763" s="59">
        <f t="shared" si="2282"/>
        <v>0.21365794901427013</v>
      </c>
      <c r="AH763" s="59">
        <f t="shared" si="2282"/>
        <v>0.15504761051373953</v>
      </c>
      <c r="AI763" s="59">
        <f t="shared" si="2282"/>
        <v>0.98499999999999988</v>
      </c>
      <c r="AJ763" s="59">
        <f t="shared" si="2282"/>
        <v>0.90441763571428557</v>
      </c>
      <c r="AK763" s="59">
        <f t="shared" si="2282"/>
        <v>0.9900000000000001</v>
      </c>
      <c r="AL763" s="61">
        <f t="shared" si="2282"/>
        <v>0.98797142857142839</v>
      </c>
      <c r="AM763" s="83">
        <f t="shared" si="2280"/>
        <v>0.32402972010704167</v>
      </c>
      <c r="AN763" s="65">
        <f t="shared" si="2256"/>
        <v>-0.26741842907618008</v>
      </c>
      <c r="AO763" s="59">
        <f t="shared" si="2257"/>
        <v>-0.51086578489750745</v>
      </c>
      <c r="AP763" s="59">
        <f t="shared" si="2258"/>
        <v>-8.0582364285714303E-2</v>
      </c>
      <c r="AQ763" s="59">
        <f t="shared" si="2259"/>
        <v>-2.0285714285717127E-3</v>
      </c>
      <c r="AR763" s="61" t="e">
        <f>AVERAGE(AR755:AR755)</f>
        <v>#DIV/0!</v>
      </c>
    </row>
    <row r="764" spans="23:65">
      <c r="X764" s="5"/>
      <c r="Y764" s="2"/>
      <c r="Z764" s="2"/>
      <c r="AA764" s="2"/>
      <c r="AB764" s="2"/>
      <c r="AC764" s="2"/>
      <c r="AD764" s="2"/>
      <c r="AE764" s="74"/>
      <c r="AF764" s="74"/>
      <c r="AG764" s="74"/>
      <c r="AH764" s="74"/>
      <c r="AI764" s="74"/>
      <c r="AJ764" s="74"/>
      <c r="AK764" s="74"/>
      <c r="AL764" s="75"/>
      <c r="AM764" s="113"/>
      <c r="AN764" s="97"/>
      <c r="AO764" s="74"/>
      <c r="AP764" s="74"/>
      <c r="AQ764" s="74"/>
      <c r="AR764" s="75"/>
      <c r="AS764" s="5"/>
      <c r="AT764" s="80"/>
      <c r="AU764" s="80"/>
      <c r="AV764" s="2"/>
      <c r="AW764" s="2"/>
      <c r="AX764" s="2"/>
      <c r="AY764" s="2"/>
      <c r="AZ764" s="74"/>
      <c r="BA764" s="74"/>
      <c r="BB764" s="74"/>
      <c r="BC764" s="74"/>
      <c r="BD764" s="74"/>
      <c r="BE764" s="74"/>
      <c r="BF764" s="74"/>
      <c r="BG764" s="75"/>
      <c r="BH764" s="98"/>
      <c r="BI764" s="97"/>
      <c r="BJ764" s="74"/>
      <c r="BK764" s="74"/>
      <c r="BL764" s="74"/>
      <c r="BM764" s="75"/>
    </row>
    <row r="765" spans="23:65" hidden="1">
      <c r="X765" s="60" t="s">
        <v>38</v>
      </c>
      <c r="Y765" s="58">
        <f>SUM(Y650:Y661)</f>
        <v>9123.4933237569112</v>
      </c>
      <c r="Z765" s="58">
        <f>SUM(Z650:Z661)</f>
        <v>7136.6190000000006</v>
      </c>
      <c r="AA765" s="58">
        <f>AVERAGE(AA672:AA683)</f>
        <v>141.23333333333332</v>
      </c>
      <c r="AB765" s="58">
        <f t="shared" ref="AB765:AH765" si="2283">AVERAGE(AB650:AB661)</f>
        <v>119.78699999999999</v>
      </c>
      <c r="AC765" s="58">
        <f t="shared" si="2283"/>
        <v>158.14166666666665</v>
      </c>
      <c r="AD765" s="58">
        <f t="shared" si="2283"/>
        <v>134.964</v>
      </c>
      <c r="AE765" s="59">
        <f t="shared" si="2283"/>
        <v>0.80311806892679083</v>
      </c>
      <c r="AF765" s="59">
        <f t="shared" si="2283"/>
        <v>0.76320582447309127</v>
      </c>
      <c r="AG765" s="59">
        <f t="shared" si="2283"/>
        <v>0.20838654331144488</v>
      </c>
      <c r="AH765" s="59">
        <f t="shared" si="2283"/>
        <v>0.16317373831925241</v>
      </c>
      <c r="AI765" s="59">
        <f>AVERAGE(AI683:AI694)</f>
        <v>0.98499999999999988</v>
      </c>
      <c r="AJ765" s="59">
        <f>AVERAGE(AJ650:AJ661)</f>
        <v>0.91765600499999989</v>
      </c>
      <c r="AK765" s="59">
        <f>AVERAGE(AK650:AK661)</f>
        <v>0.9900000000000001</v>
      </c>
      <c r="AL765" s="61">
        <f>AVERAGE(AL650:AL661)</f>
        <v>0.98734999999999984</v>
      </c>
      <c r="AM765" s="112">
        <f t="shared" ref="AM765:AM769" si="2284">AN765-AO765</f>
        <v>-7.1212928842663725E-2</v>
      </c>
      <c r="AN765" s="65">
        <f t="shared" ref="AN765:AN772" si="2285">Z765/Y765-1</f>
        <v>-0.21777560998299139</v>
      </c>
      <c r="AO765" s="59">
        <f t="shared" ref="AO765:AO772" si="2286">AD765/AC765-1</f>
        <v>-0.14656268114032767</v>
      </c>
      <c r="AP765" s="59">
        <f t="shared" ref="AP765:AP768" si="2287">AJ765-AI765</f>
        <v>-6.734399499999999E-2</v>
      </c>
      <c r="AQ765" s="59">
        <f t="shared" ref="AQ765:AQ769" si="2288">AL765-AK765</f>
        <v>-2.6500000000002633E-3</v>
      </c>
      <c r="AR765" s="23"/>
    </row>
    <row r="766" spans="23:65" hidden="1">
      <c r="X766" s="60" t="s">
        <v>39</v>
      </c>
      <c r="Y766" s="58">
        <f>SUM(Y662:Y673)</f>
        <v>8538.4680846659012</v>
      </c>
      <c r="Z766" s="58">
        <f>SUM(Z662:Z673)</f>
        <v>8044.5560000000005</v>
      </c>
      <c r="AA766" s="58">
        <f>AVERAGE(AA673:AA684)</f>
        <v>141.23333333333332</v>
      </c>
      <c r="AB766" s="58">
        <f t="shared" ref="AB766:AH766" si="2289">AVERAGE(AB662:AB673)</f>
        <v>124.99841666666664</v>
      </c>
      <c r="AC766" s="58">
        <f t="shared" si="2289"/>
        <v>158.14166666666665</v>
      </c>
      <c r="AD766" s="58">
        <f t="shared" si="2289"/>
        <v>140.85583333333332</v>
      </c>
      <c r="AE766" s="59">
        <f t="shared" si="2289"/>
        <v>0.7621072180867845</v>
      </c>
      <c r="AF766" s="59">
        <f t="shared" si="2289"/>
        <v>0.81377985143625908</v>
      </c>
      <c r="AG766" s="59">
        <f t="shared" si="2289"/>
        <v>0.19502443196325459</v>
      </c>
      <c r="AH766" s="59">
        <f t="shared" si="2289"/>
        <v>0.18348192545656258</v>
      </c>
      <c r="AI766" s="59">
        <f>AVERAGE(AI684:AI695)</f>
        <v>0.98499999999999988</v>
      </c>
      <c r="AJ766" s="59">
        <f>AVERAGE(AJ662:AJ673)</f>
        <v>0.97569177666666673</v>
      </c>
      <c r="AK766" s="59">
        <f>AVERAGE(AK662:AK673)</f>
        <v>0.9900000000000001</v>
      </c>
      <c r="AL766" s="61">
        <f>AVERAGE(AL662:AL673)</f>
        <v>0.98888333333333323</v>
      </c>
      <c r="AM766" s="112">
        <f t="shared" si="2284"/>
        <v>5.1460486885618772E-2</v>
      </c>
      <c r="AN766" s="65">
        <f t="shared" si="2285"/>
        <v>-5.7845515116805246E-2</v>
      </c>
      <c r="AO766" s="59">
        <f t="shared" si="2286"/>
        <v>-0.10930600200242402</v>
      </c>
      <c r="AP766" s="59">
        <f t="shared" si="2287"/>
        <v>-9.3082233333331432E-3</v>
      </c>
      <c r="AQ766" s="59">
        <f t="shared" si="2288"/>
        <v>-1.1166666666668768E-3</v>
      </c>
      <c r="AR766" s="61"/>
    </row>
    <row r="767" spans="23:65" hidden="1">
      <c r="X767" s="60" t="s">
        <v>68</v>
      </c>
      <c r="Y767" s="58">
        <f>SUM(Y674:Y685)</f>
        <v>8495.7757442425718</v>
      </c>
      <c r="Z767" s="58">
        <f>SUM(Z674:Z685)</f>
        <v>7791.7259999999987</v>
      </c>
      <c r="AA767" s="58">
        <f>AVERAGE(AA674:AA685)</f>
        <v>141.23333333333332</v>
      </c>
      <c r="AB767" s="58">
        <f t="shared" ref="AB767:AH767" si="2290">AVERAGE(AB674:AB685)</f>
        <v>133.36666666666667</v>
      </c>
      <c r="AC767" s="58">
        <f t="shared" si="2290"/>
        <v>158.14166666666665</v>
      </c>
      <c r="AD767" s="58">
        <f t="shared" si="2290"/>
        <v>148.24249999999998</v>
      </c>
      <c r="AE767" s="59">
        <f t="shared" si="2290"/>
        <v>0.7582966819963507</v>
      </c>
      <c r="AF767" s="59">
        <f t="shared" si="2290"/>
        <v>0.76386032670142601</v>
      </c>
      <c r="AG767" s="59">
        <f t="shared" si="2290"/>
        <v>0.19351605958341903</v>
      </c>
      <c r="AH767" s="59">
        <f t="shared" si="2290"/>
        <v>0.1776771548634285</v>
      </c>
      <c r="AI767" s="59">
        <f>AVERAGE(AI685:AI696)</f>
        <v>0.98499999999999988</v>
      </c>
      <c r="AJ767" s="59">
        <f>AVERAGE(AJ674:AJ685)</f>
        <v>0.95460833333333328</v>
      </c>
      <c r="AK767" s="59">
        <f>AVERAGE(AK674:AK685)</f>
        <v>0.9900000000000001</v>
      </c>
      <c r="AL767" s="61">
        <f>AVERAGE(AL674:AL685)</f>
        <v>0.99385000000000001</v>
      </c>
      <c r="AM767" s="112">
        <f t="shared" si="2284"/>
        <v>-2.027373822680234E-2</v>
      </c>
      <c r="AN767" s="65">
        <f t="shared" si="2285"/>
        <v>-8.2870565965644127E-2</v>
      </c>
      <c r="AO767" s="59">
        <f t="shared" si="2286"/>
        <v>-6.2596827738841787E-2</v>
      </c>
      <c r="AP767" s="59">
        <f t="shared" si="2287"/>
        <v>-3.0391666666666595E-2</v>
      </c>
      <c r="AQ767" s="59">
        <f t="shared" si="2288"/>
        <v>3.8499999999999091E-3</v>
      </c>
      <c r="AR767" s="61"/>
    </row>
    <row r="768" spans="23:65" hidden="1">
      <c r="X768" s="60" t="s">
        <v>69</v>
      </c>
      <c r="Y768" s="58">
        <f>SUM(Y686:Y697)</f>
        <v>8453.296865521359</v>
      </c>
      <c r="Z768" s="58">
        <f>SUM(Z686:Z697)</f>
        <v>7867.7969999999987</v>
      </c>
      <c r="AA768" s="58">
        <f t="shared" ref="AA768:AH768" si="2291">AVERAGE(AA686:AA697)</f>
        <v>141.23333333333332</v>
      </c>
      <c r="AB768" s="58">
        <f t="shared" si="2291"/>
        <v>135.93333333333331</v>
      </c>
      <c r="AC768" s="58">
        <f t="shared" si="2291"/>
        <v>158.14166666666665</v>
      </c>
      <c r="AD768" s="58">
        <f t="shared" si="2291"/>
        <v>153.24499999999998</v>
      </c>
      <c r="AE768" s="59">
        <f t="shared" si="2291"/>
        <v>0.754505198586369</v>
      </c>
      <c r="AF768" s="59">
        <f t="shared" si="2291"/>
        <v>0.74027540635383182</v>
      </c>
      <c r="AG768" s="59">
        <f t="shared" si="2291"/>
        <v>0.19307906325442115</v>
      </c>
      <c r="AH768" s="59">
        <f t="shared" si="2291"/>
        <v>0.1797116151433692</v>
      </c>
      <c r="AI768" s="59">
        <f>AVERAGE(AI686:AI697)</f>
        <v>0.98499999999999988</v>
      </c>
      <c r="AJ768" s="59">
        <f>AVERAGE(AJ686:AJ697)</f>
        <v>0.9631287250384023</v>
      </c>
      <c r="AK768" s="59">
        <f>AVERAGE(AK686:AK697)</f>
        <v>0.9900000000000001</v>
      </c>
      <c r="AL768" s="61">
        <f>AVERAGE(AL686:AL697)</f>
        <v>0.99764166666666665</v>
      </c>
      <c r="AM768" s="112">
        <f t="shared" si="2284"/>
        <v>-3.8299102907279559E-2</v>
      </c>
      <c r="AN768" s="65">
        <f t="shared" si="2285"/>
        <v>-6.9262901189410586E-2</v>
      </c>
      <c r="AO768" s="59">
        <f t="shared" si="2286"/>
        <v>-3.0963798282131028E-2</v>
      </c>
      <c r="AP768" s="59">
        <f t="shared" si="2287"/>
        <v>-2.1871274961597575E-2</v>
      </c>
      <c r="AQ768" s="59">
        <f t="shared" si="2288"/>
        <v>7.6416666666665467E-3</v>
      </c>
      <c r="AR768" s="61"/>
    </row>
    <row r="769" spans="24:44" hidden="1">
      <c r="X769" s="60" t="s">
        <v>70</v>
      </c>
      <c r="Y769" s="58">
        <f>SUM(Y698:Y709)</f>
        <v>8411.030381193752</v>
      </c>
      <c r="Z769" s="58">
        <f>SUM(Z698:Z709)</f>
        <v>7737.9210000000003</v>
      </c>
      <c r="AA769" s="58">
        <f t="shared" ref="AA769:AL769" si="2292">AVERAGE(AA698:AA709)</f>
        <v>141.23333333333332</v>
      </c>
      <c r="AB769" s="58">
        <f t="shared" si="2292"/>
        <v>133.53916666666666</v>
      </c>
      <c r="AC769" s="58">
        <f t="shared" si="2292"/>
        <v>158.14166666666665</v>
      </c>
      <c r="AD769" s="58">
        <f t="shared" si="2292"/>
        <v>149.87666666666669</v>
      </c>
      <c r="AE769" s="59">
        <f t="shared" si="2292"/>
        <v>0.75073267259343712</v>
      </c>
      <c r="AF769" s="59">
        <f t="shared" si="2292"/>
        <v>0.73756799279671892</v>
      </c>
      <c r="AG769" s="59">
        <f t="shared" si="2292"/>
        <v>0.19211366793814902</v>
      </c>
      <c r="AH769" s="59">
        <f t="shared" si="2292"/>
        <v>0.17693428651433693</v>
      </c>
      <c r="AI769" s="59">
        <f t="shared" si="2292"/>
        <v>0.98499999999999988</v>
      </c>
      <c r="AJ769" s="59">
        <f t="shared" si="2292"/>
        <v>0.97709630467753883</v>
      </c>
      <c r="AK769" s="59">
        <f t="shared" si="2292"/>
        <v>0.9900000000000001</v>
      </c>
      <c r="AL769" s="61">
        <f t="shared" si="2292"/>
        <v>0.99821017921146948</v>
      </c>
      <c r="AM769" s="83">
        <f t="shared" si="2284"/>
        <v>-2.7763716449527021E-2</v>
      </c>
      <c r="AN769" s="65">
        <f t="shared" si="2285"/>
        <v>-8.0026982508440203E-2</v>
      </c>
      <c r="AO769" s="59">
        <f t="shared" si="2286"/>
        <v>-5.2263266058913183E-2</v>
      </c>
      <c r="AP769" s="59">
        <f>AJ769-AI769</f>
        <v>-7.9036953224610462E-3</v>
      </c>
      <c r="AQ769" s="59">
        <f t="shared" si="2288"/>
        <v>8.2101792114693817E-3</v>
      </c>
      <c r="AR769" s="61">
        <f>AVERAGE(AR698:AR709)</f>
        <v>-1.3159451056533085E-2</v>
      </c>
    </row>
    <row r="770" spans="24:44" hidden="1">
      <c r="X770" s="60" t="s">
        <v>71</v>
      </c>
      <c r="Y770" s="58">
        <f>SUM(Y710:Y721)</f>
        <v>8368.9752292877838</v>
      </c>
      <c r="Z770" s="58">
        <f>SUM(Z710:Z721)</f>
        <v>7705.728000000001</v>
      </c>
      <c r="AA770" s="58">
        <f t="shared" ref="AA770:AL770" si="2293">AVERAGE(AA710:AA721)</f>
        <v>141.23333333333332</v>
      </c>
      <c r="AB770" s="58">
        <f t="shared" si="2293"/>
        <v>134.94250000000002</v>
      </c>
      <c r="AC770" s="58">
        <f t="shared" si="2293"/>
        <v>158.14166666666665</v>
      </c>
      <c r="AD770" s="58">
        <f t="shared" si="2293"/>
        <v>150.6216666666667</v>
      </c>
      <c r="AE770" s="59">
        <f t="shared" si="2293"/>
        <v>0.74697900923046989</v>
      </c>
      <c r="AF770" s="59">
        <f t="shared" si="2293"/>
        <v>0.72037229278554082</v>
      </c>
      <c r="AG770" s="59">
        <f t="shared" si="2293"/>
        <v>0.1911530995984583</v>
      </c>
      <c r="AH770" s="59">
        <f t="shared" si="2293"/>
        <v>0.17612710237455198</v>
      </c>
      <c r="AI770" s="59">
        <f t="shared" si="2293"/>
        <v>0.98499999999999988</v>
      </c>
      <c r="AJ770" s="59">
        <f t="shared" si="2293"/>
        <v>0.98907631923299866</v>
      </c>
      <c r="AK770" s="59">
        <f t="shared" si="2293"/>
        <v>0.9900000000000001</v>
      </c>
      <c r="AL770" s="61">
        <f t="shared" si="2293"/>
        <v>0.99933983166922669</v>
      </c>
      <c r="AM770" s="83">
        <f>AN770-AO770</f>
        <v>-3.1698409894299728E-2</v>
      </c>
      <c r="AN770" s="65">
        <f t="shared" si="2285"/>
        <v>-7.9250710047116035E-2</v>
      </c>
      <c r="AO770" s="59">
        <f t="shared" si="2286"/>
        <v>-4.7552300152816307E-2</v>
      </c>
      <c r="AP770" s="59">
        <f>AJ770-AI770</f>
        <v>4.0763192329987818E-3</v>
      </c>
      <c r="AQ770" s="59">
        <f>AL770-AK770</f>
        <v>9.3398316692265837E-3</v>
      </c>
      <c r="AR770" s="61">
        <f>AVERAGE(AR710:AR721)</f>
        <v>-1.3842547854842091E-2</v>
      </c>
    </row>
    <row r="771" spans="24:44" hidden="1">
      <c r="X771" s="60" t="s">
        <v>72</v>
      </c>
      <c r="Y771" s="58">
        <f>SUM(Y722:Y733)</f>
        <v>8327.130353141345</v>
      </c>
      <c r="Z771" s="58">
        <f>SUM(Z722:Z733)</f>
        <v>7325.4989999999989</v>
      </c>
      <c r="AA771" s="58">
        <f t="shared" ref="AA771:AL771" si="2294">AVERAGE(AA722:AA733)</f>
        <v>141.23333333333332</v>
      </c>
      <c r="AB771" s="58">
        <f t="shared" si="2294"/>
        <v>132.27083333333334</v>
      </c>
      <c r="AC771" s="58">
        <f t="shared" si="2294"/>
        <v>158.14166666666665</v>
      </c>
      <c r="AD771" s="58">
        <f t="shared" si="2294"/>
        <v>146.43083333333331</v>
      </c>
      <c r="AE771" s="59">
        <f t="shared" si="2294"/>
        <v>0.74324411418431746</v>
      </c>
      <c r="AF771" s="59">
        <f t="shared" si="2294"/>
        <v>0.71988270471267723</v>
      </c>
      <c r="AG771" s="59">
        <f t="shared" si="2294"/>
        <v>0.19019733410046594</v>
      </c>
      <c r="AH771" s="59">
        <f t="shared" si="2294"/>
        <v>0.16703326659251019</v>
      </c>
      <c r="AI771" s="59">
        <f t="shared" si="2294"/>
        <v>0.98499999999999988</v>
      </c>
      <c r="AJ771" s="59">
        <f t="shared" si="2294"/>
        <v>0.97012595990894901</v>
      </c>
      <c r="AK771" s="59">
        <f t="shared" si="2294"/>
        <v>0.9900000000000001</v>
      </c>
      <c r="AL771" s="61">
        <f t="shared" si="2294"/>
        <v>0.9975664256581388</v>
      </c>
      <c r="AM771" s="83">
        <f>AN771-AO771</f>
        <v>-4.6232496896397302E-2</v>
      </c>
      <c r="AN771" s="65">
        <f t="shared" si="2285"/>
        <v>-0.12028529765521068</v>
      </c>
      <c r="AO771" s="59">
        <f t="shared" si="2286"/>
        <v>-7.4052800758813375E-2</v>
      </c>
      <c r="AP771" s="59">
        <f>AJ771-AI771</f>
        <v>-1.4874040091050866E-2</v>
      </c>
      <c r="AQ771" s="59">
        <f>AL771-AK771</f>
        <v>7.5664256581386979E-3</v>
      </c>
      <c r="AR771" s="61">
        <f>AVERAGE(AR722:AR733)</f>
        <v>-1.4776296511527051E-2</v>
      </c>
    </row>
    <row r="772" spans="24:44">
      <c r="X772" s="60" t="s">
        <v>75</v>
      </c>
      <c r="Y772" s="58">
        <f>SUM(Y734:Y755)</f>
        <v>21698.572574174395</v>
      </c>
      <c r="Z772" s="58">
        <f>SUM(Z734:Z755)</f>
        <v>11374.05</v>
      </c>
      <c r="AA772" s="58">
        <f t="shared" ref="AA772:AL772" si="2295">AVERAGE(AA734:AA755)</f>
        <v>283.64545454545447</v>
      </c>
      <c r="AB772" s="58">
        <f t="shared" si="2295"/>
        <v>201.36454545454538</v>
      </c>
      <c r="AC772" s="58">
        <f t="shared" si="2295"/>
        <v>239.29999999999993</v>
      </c>
      <c r="AD772" s="58">
        <f t="shared" si="2295"/>
        <v>219.05181818181816</v>
      </c>
      <c r="AE772" s="59">
        <f t="shared" si="2295"/>
        <v>0.74495483341745394</v>
      </c>
      <c r="AF772" s="59">
        <f t="shared" si="2295"/>
        <v>0.73408406109647717</v>
      </c>
      <c r="AG772" s="59">
        <f t="shared" si="2295"/>
        <v>0.18949507642635288</v>
      </c>
      <c r="AH772" s="59">
        <f t="shared" si="2295"/>
        <v>0.16797925980232431</v>
      </c>
      <c r="AI772" s="59">
        <f t="shared" si="2295"/>
        <v>0.98499999999999988</v>
      </c>
      <c r="AJ772" s="59">
        <f t="shared" si="2295"/>
        <v>0.96012372431814252</v>
      </c>
      <c r="AK772" s="59">
        <f t="shared" si="2295"/>
        <v>0.9900000000000001</v>
      </c>
      <c r="AL772" s="61">
        <f t="shared" si="2295"/>
        <v>0.99836093143415716</v>
      </c>
      <c r="AM772" s="83">
        <f>AN772-AO772</f>
        <v>-0.39120153387406986</v>
      </c>
      <c r="AN772" s="65">
        <f t="shared" si="2285"/>
        <v>-0.47581574957896655</v>
      </c>
      <c r="AO772" s="59">
        <f t="shared" si="2286"/>
        <v>-8.4614215704896689E-2</v>
      </c>
      <c r="AP772" s="59">
        <f>AJ772-AI772</f>
        <v>-2.4876275681857352E-2</v>
      </c>
      <c r="AQ772" s="59">
        <f>AL772-AK772</f>
        <v>8.3609314341570595E-3</v>
      </c>
      <c r="AR772" s="61" t="e">
        <f>AVERAGE(AR734:AR755)</f>
        <v>#DIV/0!</v>
      </c>
    </row>
  </sheetData>
  <autoFilter ref="A2:CJ118" xr:uid="{BED4264B-2930-4502-8382-87C73253C50A}"/>
  <mergeCells count="20">
    <mergeCell ref="B1:P1"/>
    <mergeCell ref="R258:V258"/>
    <mergeCell ref="AN516:AR516"/>
    <mergeCell ref="R387:V387"/>
    <mergeCell ref="B258:P258"/>
    <mergeCell ref="AN258:AR258"/>
    <mergeCell ref="X258:AL258"/>
    <mergeCell ref="X130:AL130"/>
    <mergeCell ref="B387:P387"/>
    <mergeCell ref="B516:P516"/>
    <mergeCell ref="B130:P130"/>
    <mergeCell ref="R130:V130"/>
    <mergeCell ref="AN387:AR387"/>
    <mergeCell ref="R516:V516"/>
    <mergeCell ref="AN645:AR645"/>
    <mergeCell ref="AN130:AQ130"/>
    <mergeCell ref="X387:AL387"/>
    <mergeCell ref="X645:AL645"/>
    <mergeCell ref="R1:V1"/>
    <mergeCell ref="X516:AL516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D6C0C-CA59-477D-A2AD-62B089397C4D}">
  <dimension ref="A1:Y693"/>
  <sheetViews>
    <sheetView zoomScale="80" zoomScaleNormal="80" workbookViewId="0">
      <selection activeCell="B1" sqref="B1:Y692"/>
    </sheetView>
  </sheetViews>
  <sheetFormatPr defaultRowHeight="15"/>
  <cols>
    <col min="4" max="4" width="19.28515625" customWidth="1"/>
    <col min="5" max="5" width="30.140625" customWidth="1"/>
    <col min="6" max="6" width="9.85546875" customWidth="1"/>
    <col min="13" max="13" width="17.5703125" customWidth="1"/>
    <col min="14" max="14" width="17.140625" customWidth="1"/>
    <col min="17" max="17" width="22.5703125" customWidth="1"/>
    <col min="18" max="18" width="19.7109375" customWidth="1"/>
    <col min="19" max="19" width="21.85546875" customWidth="1"/>
    <col min="20" max="20" width="19" customWidth="1"/>
    <col min="21" max="21" width="20.85546875" customWidth="1"/>
    <col min="22" max="22" width="19.85546875" customWidth="1"/>
    <col min="23" max="23" width="28.28515625" customWidth="1"/>
    <col min="24" max="24" width="25.85546875" customWidth="1"/>
    <col min="25" max="25" width="18.28515625" customWidth="1"/>
  </cols>
  <sheetData>
    <row r="1" spans="1:25" ht="60">
      <c r="B1" s="180" t="s">
        <v>50</v>
      </c>
      <c r="C1" s="181" t="s">
        <v>51</v>
      </c>
      <c r="D1" s="182" t="s">
        <v>52</v>
      </c>
      <c r="E1" s="183" t="s">
        <v>53</v>
      </c>
      <c r="F1" s="184" t="s">
        <v>0</v>
      </c>
      <c r="G1" s="185" t="s">
        <v>1</v>
      </c>
      <c r="H1" s="185" t="s">
        <v>2</v>
      </c>
      <c r="I1" s="185" t="s">
        <v>4</v>
      </c>
      <c r="J1" s="185" t="s">
        <v>3</v>
      </c>
      <c r="K1" s="185" t="s">
        <v>5</v>
      </c>
      <c r="L1" s="185" t="s">
        <v>6</v>
      </c>
      <c r="M1" s="185" t="s">
        <v>54</v>
      </c>
      <c r="N1" s="185" t="s">
        <v>18</v>
      </c>
      <c r="O1" s="185" t="s">
        <v>55</v>
      </c>
      <c r="P1" s="185" t="s">
        <v>24</v>
      </c>
      <c r="Q1" s="185" t="s">
        <v>20</v>
      </c>
      <c r="R1" s="185" t="s">
        <v>21</v>
      </c>
      <c r="S1" s="185" t="s">
        <v>22</v>
      </c>
      <c r="T1" s="186" t="s">
        <v>23</v>
      </c>
      <c r="U1" s="187" t="s">
        <v>56</v>
      </c>
      <c r="V1" s="183" t="s">
        <v>57</v>
      </c>
      <c r="W1" s="187" t="s">
        <v>58</v>
      </c>
      <c r="X1" s="183" t="s">
        <v>59</v>
      </c>
      <c r="Y1" s="188" t="s">
        <v>73</v>
      </c>
    </row>
    <row r="2" spans="1:25">
      <c r="B2" s="189" t="s">
        <v>9</v>
      </c>
      <c r="C2" s="190" t="s">
        <v>61</v>
      </c>
      <c r="D2" s="190">
        <v>10</v>
      </c>
      <c r="E2" s="191">
        <v>12</v>
      </c>
      <c r="F2" s="192">
        <v>42766</v>
      </c>
      <c r="G2" s="24">
        <v>99</v>
      </c>
      <c r="H2" s="24">
        <v>0</v>
      </c>
      <c r="I2" s="193">
        <v>79.599999999999994</v>
      </c>
      <c r="J2" s="194"/>
      <c r="K2" s="193">
        <v>103.2</v>
      </c>
      <c r="L2" s="194"/>
      <c r="M2" s="195">
        <v>0.83330457335440766</v>
      </c>
      <c r="N2" s="195"/>
      <c r="O2" s="195"/>
      <c r="P2" s="195"/>
      <c r="Q2" s="195">
        <v>0.98499999999999999</v>
      </c>
      <c r="R2" s="195"/>
      <c r="S2" s="196">
        <v>0.99</v>
      </c>
      <c r="T2" s="197"/>
      <c r="U2" s="198">
        <v>1.4999999999999999E-2</v>
      </c>
      <c r="V2" s="197">
        <v>0</v>
      </c>
      <c r="W2" s="198">
        <v>0</v>
      </c>
      <c r="X2" s="197">
        <v>0</v>
      </c>
      <c r="Y2" s="199">
        <f>(H2/G2-1)-(L2/K2-1)</f>
        <v>0</v>
      </c>
    </row>
    <row r="3" spans="1:25">
      <c r="B3" s="189" t="s">
        <v>9</v>
      </c>
      <c r="C3" s="190" t="s">
        <v>61</v>
      </c>
      <c r="D3" s="190">
        <v>10</v>
      </c>
      <c r="E3" s="191">
        <v>12</v>
      </c>
      <c r="F3" s="192">
        <v>42794</v>
      </c>
      <c r="G3" s="24"/>
      <c r="H3" s="24">
        <v>100.501</v>
      </c>
      <c r="I3" s="193">
        <v>108.1</v>
      </c>
      <c r="J3" s="194"/>
      <c r="K3" s="193">
        <v>137.5</v>
      </c>
      <c r="L3" s="194"/>
      <c r="M3" s="195">
        <v>0.81924583515313509</v>
      </c>
      <c r="N3" s="195"/>
      <c r="O3" s="195"/>
      <c r="P3" s="195"/>
      <c r="Q3" s="195">
        <v>0.98499999999999999</v>
      </c>
      <c r="R3" s="195"/>
      <c r="S3" s="196">
        <v>0.99</v>
      </c>
      <c r="T3" s="197"/>
      <c r="U3" s="198">
        <v>1.4999999999999999E-2</v>
      </c>
      <c r="V3" s="197">
        <v>0</v>
      </c>
      <c r="W3" s="198">
        <v>0</v>
      </c>
      <c r="X3" s="197">
        <v>0</v>
      </c>
      <c r="Y3" s="199" t="e">
        <f t="shared" ref="Y3:Y66" si="0">(H3/G3-1)-(L3/K3-1)</f>
        <v>#DIV/0!</v>
      </c>
    </row>
    <row r="4" spans="1:25">
      <c r="B4" s="189" t="s">
        <v>9</v>
      </c>
      <c r="C4" s="190" t="s">
        <v>61</v>
      </c>
      <c r="D4" s="190">
        <v>10</v>
      </c>
      <c r="E4" s="191">
        <v>12</v>
      </c>
      <c r="F4" s="192">
        <v>42825</v>
      </c>
      <c r="G4" s="24">
        <v>1807.8995808482773</v>
      </c>
      <c r="H4" s="24">
        <v>817.18799999999999</v>
      </c>
      <c r="I4" s="193">
        <v>161.4</v>
      </c>
      <c r="J4" s="194"/>
      <c r="K4" s="193">
        <v>187.8</v>
      </c>
      <c r="L4" s="194"/>
      <c r="M4" s="195">
        <v>0.80222736104378645</v>
      </c>
      <c r="N4" s="195"/>
      <c r="O4" s="195"/>
      <c r="P4" s="195"/>
      <c r="Q4" s="195">
        <v>0.98499999999999999</v>
      </c>
      <c r="R4" s="195"/>
      <c r="S4" s="196">
        <v>0.99</v>
      </c>
      <c r="T4" s="197"/>
      <c r="U4" s="198">
        <v>1.4999999999999999E-2</v>
      </c>
      <c r="V4" s="197">
        <v>0</v>
      </c>
      <c r="W4" s="198">
        <v>0</v>
      </c>
      <c r="X4" s="197">
        <v>0</v>
      </c>
      <c r="Y4" s="199">
        <f t="shared" si="0"/>
        <v>0.4520096185964988</v>
      </c>
    </row>
    <row r="5" spans="1:25">
      <c r="B5" s="189" t="s">
        <v>9</v>
      </c>
      <c r="C5" s="190" t="s">
        <v>61</v>
      </c>
      <c r="D5" s="190">
        <v>10</v>
      </c>
      <c r="E5" s="191">
        <v>12</v>
      </c>
      <c r="F5" s="192">
        <v>42855</v>
      </c>
      <c r="G5" s="24">
        <v>1867.737819823722</v>
      </c>
      <c r="H5" s="24">
        <v>1239.354</v>
      </c>
      <c r="I5" s="193">
        <v>190.2</v>
      </c>
      <c r="J5" s="194"/>
      <c r="K5" s="193">
        <v>194</v>
      </c>
      <c r="L5" s="194"/>
      <c r="M5" s="195">
        <v>0.80229287793115212</v>
      </c>
      <c r="N5" s="195"/>
      <c r="O5" s="195"/>
      <c r="P5" s="195"/>
      <c r="Q5" s="195">
        <v>0.98499999999999999</v>
      </c>
      <c r="R5" s="195"/>
      <c r="S5" s="196">
        <v>0.99</v>
      </c>
      <c r="T5" s="197"/>
      <c r="U5" s="198">
        <v>1.4999999999999999E-2</v>
      </c>
      <c r="V5" s="197">
        <v>0</v>
      </c>
      <c r="W5" s="198">
        <v>0</v>
      </c>
      <c r="X5" s="197">
        <v>0</v>
      </c>
      <c r="Y5" s="199">
        <f t="shared" si="0"/>
        <v>0.66355887151065496</v>
      </c>
    </row>
    <row r="6" spans="1:25">
      <c r="B6" s="189" t="s">
        <v>9</v>
      </c>
      <c r="C6" s="190" t="s">
        <v>61</v>
      </c>
      <c r="D6" s="190">
        <v>10</v>
      </c>
      <c r="E6" s="191">
        <v>12</v>
      </c>
      <c r="F6" s="192">
        <v>42886</v>
      </c>
      <c r="G6" s="24">
        <v>1892.2616882562811</v>
      </c>
      <c r="H6" s="24">
        <v>1244.73</v>
      </c>
      <c r="I6" s="193">
        <v>197</v>
      </c>
      <c r="J6" s="194"/>
      <c r="K6" s="193">
        <v>197.7</v>
      </c>
      <c r="L6" s="194"/>
      <c r="M6" s="195">
        <v>0.79761494193908333</v>
      </c>
      <c r="N6" s="195"/>
      <c r="O6" s="195"/>
      <c r="P6" s="195"/>
      <c r="Q6" s="195">
        <v>0.98499999999999999</v>
      </c>
      <c r="R6" s="195"/>
      <c r="S6" s="196">
        <v>0.99</v>
      </c>
      <c r="T6" s="197"/>
      <c r="U6" s="198">
        <v>1.4999999999999999E-2</v>
      </c>
      <c r="V6" s="197">
        <v>0</v>
      </c>
      <c r="W6" s="198">
        <v>0</v>
      </c>
      <c r="X6" s="197">
        <v>0</v>
      </c>
      <c r="Y6" s="199">
        <f t="shared" si="0"/>
        <v>0.65780013817592986</v>
      </c>
    </row>
    <row r="7" spans="1:25">
      <c r="B7" s="189" t="s">
        <v>9</v>
      </c>
      <c r="C7" s="190" t="s">
        <v>61</v>
      </c>
      <c r="D7" s="190">
        <v>10</v>
      </c>
      <c r="E7" s="191">
        <v>12</v>
      </c>
      <c r="F7" s="192">
        <v>42916</v>
      </c>
      <c r="G7" s="24">
        <v>1701.9564692196207</v>
      </c>
      <c r="H7" s="24">
        <v>1231.002</v>
      </c>
      <c r="I7" s="193">
        <v>178.9</v>
      </c>
      <c r="J7" s="194">
        <v>152.65</v>
      </c>
      <c r="K7" s="193">
        <v>177.2</v>
      </c>
      <c r="L7" s="194">
        <v>146.05000000000001</v>
      </c>
      <c r="M7" s="195">
        <v>0.80039337341028061</v>
      </c>
      <c r="N7" s="195">
        <f>H7/12/L7</f>
        <v>0.70238616912016427</v>
      </c>
      <c r="O7" s="195">
        <f>G7/24/30/10</f>
        <v>0.23638284294716955</v>
      </c>
      <c r="P7" s="195">
        <f>H7/24/30/10</f>
        <v>0.1709725</v>
      </c>
      <c r="Q7" s="195">
        <v>0.98499999999999999</v>
      </c>
      <c r="R7" s="195">
        <v>0.81046375999999998</v>
      </c>
      <c r="S7" s="196">
        <v>0.99</v>
      </c>
      <c r="T7" s="197">
        <v>0.99860000000000004</v>
      </c>
      <c r="U7" s="198">
        <v>1.4999999999999999E-2</v>
      </c>
      <c r="V7" s="197">
        <v>0</v>
      </c>
      <c r="W7" s="198">
        <v>0</v>
      </c>
      <c r="X7" s="197">
        <v>0</v>
      </c>
      <c r="Y7" s="199">
        <f t="shared" si="0"/>
        <v>-0.10092351323040394</v>
      </c>
    </row>
    <row r="8" spans="1:25">
      <c r="B8" s="189" t="s">
        <v>9</v>
      </c>
      <c r="C8" s="190" t="s">
        <v>61</v>
      </c>
      <c r="D8" s="190">
        <v>10</v>
      </c>
      <c r="E8" s="191">
        <v>12</v>
      </c>
      <c r="F8" s="192">
        <v>42947</v>
      </c>
      <c r="G8" s="24">
        <v>1509.6893407083551</v>
      </c>
      <c r="H8" s="24">
        <v>1049.0940000000001</v>
      </c>
      <c r="I8" s="193">
        <v>155.5</v>
      </c>
      <c r="J8" s="194">
        <v>156.31</v>
      </c>
      <c r="K8" s="193">
        <v>154.6</v>
      </c>
      <c r="L8" s="194">
        <v>154.55000000000001</v>
      </c>
      <c r="M8" s="195">
        <v>0.81376096415931176</v>
      </c>
      <c r="N8" s="195">
        <f t="shared" ref="N8:N16" si="1">H8/12/L8</f>
        <v>0.56567130378518282</v>
      </c>
      <c r="O8" s="195">
        <f>G8/24/31/10</f>
        <v>0.20291523396617675</v>
      </c>
      <c r="P8" s="195">
        <f>H8/24/31/10</f>
        <v>0.14100725806451614</v>
      </c>
      <c r="Q8" s="195">
        <v>0.98499999999999999</v>
      </c>
      <c r="R8" s="195">
        <v>0.76363119000000013</v>
      </c>
      <c r="S8" s="196">
        <v>0.99</v>
      </c>
      <c r="T8" s="197">
        <v>0.99470000000000003</v>
      </c>
      <c r="U8" s="198">
        <v>1.4999999999999999E-2</v>
      </c>
      <c r="V8" s="197">
        <v>0</v>
      </c>
      <c r="W8" s="198">
        <v>0</v>
      </c>
      <c r="X8" s="197">
        <v>0</v>
      </c>
      <c r="Y8" s="199">
        <f t="shared" si="0"/>
        <v>-0.30476937984736296</v>
      </c>
    </row>
    <row r="9" spans="1:25">
      <c r="B9" s="189" t="s">
        <v>9</v>
      </c>
      <c r="C9" s="190" t="s">
        <v>61</v>
      </c>
      <c r="D9" s="190">
        <v>10</v>
      </c>
      <c r="E9" s="191">
        <v>12</v>
      </c>
      <c r="F9" s="192">
        <v>42978</v>
      </c>
      <c r="G9" s="24">
        <v>1434.1558259360722</v>
      </c>
      <c r="H9" s="24">
        <v>1153.704</v>
      </c>
      <c r="I9" s="193">
        <v>145.4</v>
      </c>
      <c r="J9" s="194">
        <v>133.44999999999999</v>
      </c>
      <c r="K9" s="193">
        <v>146.30000000000001</v>
      </c>
      <c r="L9" s="194">
        <v>133.68</v>
      </c>
      <c r="M9" s="195">
        <v>0.81690352354526785</v>
      </c>
      <c r="N9" s="195">
        <f t="shared" si="1"/>
        <v>0.71919509275882698</v>
      </c>
      <c r="O9" s="195">
        <f>G9/24/31/10</f>
        <v>0.19276287983011725</v>
      </c>
      <c r="P9" s="195">
        <f>H9/24/31/10</f>
        <v>0.15506774193548387</v>
      </c>
      <c r="Q9" s="195">
        <v>0.98499999999999999</v>
      </c>
      <c r="R9" s="195">
        <v>0.92563775999999998</v>
      </c>
      <c r="S9" s="196">
        <v>0.99</v>
      </c>
      <c r="T9" s="197">
        <v>0.99360000000000004</v>
      </c>
      <c r="U9" s="198">
        <v>1.4999999999999999E-2</v>
      </c>
      <c r="V9" s="197">
        <v>0</v>
      </c>
      <c r="W9" s="198">
        <v>0</v>
      </c>
      <c r="X9" s="197">
        <v>0</v>
      </c>
      <c r="Y9" s="199">
        <f t="shared" si="0"/>
        <v>-0.10929074337377032</v>
      </c>
    </row>
    <row r="10" spans="1:25">
      <c r="B10" s="189" t="s">
        <v>9</v>
      </c>
      <c r="C10" s="190" t="s">
        <v>61</v>
      </c>
      <c r="D10" s="190">
        <v>10</v>
      </c>
      <c r="E10" s="191">
        <v>12</v>
      </c>
      <c r="F10" s="192">
        <v>43008</v>
      </c>
      <c r="G10" s="24">
        <v>1427.2891427749557</v>
      </c>
      <c r="H10" s="24">
        <v>1153.722</v>
      </c>
      <c r="I10" s="193">
        <v>141.6</v>
      </c>
      <c r="J10" s="194">
        <v>121.96</v>
      </c>
      <c r="K10" s="193">
        <v>145.5</v>
      </c>
      <c r="L10" s="194">
        <v>125.14</v>
      </c>
      <c r="M10" s="195">
        <v>0.8174622810853126</v>
      </c>
      <c r="N10" s="195">
        <f t="shared" si="1"/>
        <v>0.76828751797986261</v>
      </c>
      <c r="O10" s="195">
        <f>G10/24/30/10</f>
        <v>0.19823460316318831</v>
      </c>
      <c r="P10" s="195">
        <f>H10/24/30/10</f>
        <v>0.16023916666666665</v>
      </c>
      <c r="Q10" s="195">
        <v>0.98499999999999999</v>
      </c>
      <c r="R10" s="195">
        <v>0.93744936000000001</v>
      </c>
      <c r="S10" s="196">
        <v>0.99</v>
      </c>
      <c r="T10" s="197">
        <v>0.99180000000000001</v>
      </c>
      <c r="U10" s="198">
        <v>1.4999999999999999E-2</v>
      </c>
      <c r="V10" s="197">
        <v>0</v>
      </c>
      <c r="W10" s="198">
        <v>0</v>
      </c>
      <c r="X10" s="197">
        <v>0</v>
      </c>
      <c r="Y10" s="199">
        <f t="shared" si="0"/>
        <v>-5.1737770608008771E-2</v>
      </c>
    </row>
    <row r="11" spans="1:25">
      <c r="B11" s="189" t="s">
        <v>9</v>
      </c>
      <c r="C11" s="190" t="s">
        <v>61</v>
      </c>
      <c r="D11" s="190">
        <v>10</v>
      </c>
      <c r="E11" s="191">
        <v>12</v>
      </c>
      <c r="F11" s="192">
        <v>43039</v>
      </c>
      <c r="G11" s="24">
        <v>1632.3086828711521</v>
      </c>
      <c r="H11" s="24">
        <v>1389.684</v>
      </c>
      <c r="I11" s="193">
        <v>139.1</v>
      </c>
      <c r="J11" s="194">
        <v>126.05</v>
      </c>
      <c r="K11" s="193">
        <v>172.2</v>
      </c>
      <c r="L11" s="194">
        <v>150.63999999999999</v>
      </c>
      <c r="M11" s="195">
        <v>0.7899287083193729</v>
      </c>
      <c r="N11" s="195">
        <f t="shared" si="1"/>
        <v>0.76876659585767404</v>
      </c>
      <c r="O11" s="195">
        <f>G11/24/31/10</f>
        <v>0.2193963283428968</v>
      </c>
      <c r="P11" s="195">
        <f>H11/24/31/10</f>
        <v>0.18678548387096774</v>
      </c>
      <c r="Q11" s="195">
        <v>0.98499999999999999</v>
      </c>
      <c r="R11" s="195">
        <v>0.97253900000000004</v>
      </c>
      <c r="S11" s="196">
        <v>0.99</v>
      </c>
      <c r="T11" s="197">
        <v>0.97399999999999998</v>
      </c>
      <c r="U11" s="198">
        <v>1.4999999999999999E-2</v>
      </c>
      <c r="V11" s="197">
        <v>0</v>
      </c>
      <c r="W11" s="198">
        <v>0</v>
      </c>
      <c r="X11" s="197">
        <v>0</v>
      </c>
      <c r="Y11" s="199">
        <f t="shared" si="0"/>
        <v>-2.3435718903042524E-2</v>
      </c>
    </row>
    <row r="12" spans="1:25">
      <c r="A12" t="s">
        <v>60</v>
      </c>
      <c r="B12" s="189" t="s">
        <v>9</v>
      </c>
      <c r="C12" s="190" t="s">
        <v>61</v>
      </c>
      <c r="D12" s="190">
        <v>10</v>
      </c>
      <c r="E12" s="191">
        <v>12</v>
      </c>
      <c r="F12" s="192">
        <v>43069</v>
      </c>
      <c r="G12" s="24">
        <v>1447.8891922583055</v>
      </c>
      <c r="H12" s="24">
        <v>1112.7539999999999</v>
      </c>
      <c r="I12" s="193">
        <v>108.1</v>
      </c>
      <c r="J12" s="194">
        <v>90.65</v>
      </c>
      <c r="K12" s="193">
        <v>152.1</v>
      </c>
      <c r="L12" s="194">
        <v>116.24</v>
      </c>
      <c r="M12" s="195">
        <v>0.79327700649698962</v>
      </c>
      <c r="N12" s="195">
        <f t="shared" si="1"/>
        <v>0.79774174122505159</v>
      </c>
      <c r="O12" s="195">
        <f>G12/24/30/10</f>
        <v>0.20109572114698687</v>
      </c>
      <c r="P12" s="195">
        <f>H12/24/30/10</f>
        <v>0.15454916666666665</v>
      </c>
      <c r="Q12" s="195">
        <v>0.98499999999999999</v>
      </c>
      <c r="R12" s="195">
        <v>0.99051200000000006</v>
      </c>
      <c r="S12" s="196">
        <v>0.99</v>
      </c>
      <c r="T12" s="197">
        <v>0.99199999999999999</v>
      </c>
      <c r="U12" s="198">
        <v>1.4999999999999999E-2</v>
      </c>
      <c r="V12" s="197">
        <v>0</v>
      </c>
      <c r="W12" s="198">
        <v>0</v>
      </c>
      <c r="X12" s="197">
        <v>0</v>
      </c>
      <c r="Y12" s="199">
        <f t="shared" si="0"/>
        <v>4.3012747182438194E-3</v>
      </c>
    </row>
    <row r="13" spans="1:25">
      <c r="B13" s="189" t="s">
        <v>9</v>
      </c>
      <c r="C13" s="190" t="s">
        <v>61</v>
      </c>
      <c r="D13" s="190">
        <v>10</v>
      </c>
      <c r="E13" s="191">
        <v>12</v>
      </c>
      <c r="F13" s="192">
        <v>43100</v>
      </c>
      <c r="G13" s="24">
        <v>1218.3457837295498</v>
      </c>
      <c r="H13" s="24">
        <v>1027.1579999999999</v>
      </c>
      <c r="I13" s="193">
        <v>89.9</v>
      </c>
      <c r="J13" s="194">
        <v>77.64</v>
      </c>
      <c r="K13" s="193">
        <v>129.6</v>
      </c>
      <c r="L13" s="194">
        <v>103.55</v>
      </c>
      <c r="M13" s="195">
        <v>0.78340135270675793</v>
      </c>
      <c r="N13" s="195">
        <f t="shared" si="1"/>
        <v>0.82661999034282951</v>
      </c>
      <c r="O13" s="195">
        <f>G13/24/31/10</f>
        <v>0.16375615372709001</v>
      </c>
      <c r="P13" s="195">
        <f>H13/24/31/10</f>
        <v>0.13805887096774191</v>
      </c>
      <c r="Q13" s="195">
        <v>0.98499999999999999</v>
      </c>
      <c r="R13" s="195">
        <v>0.98709999999999998</v>
      </c>
      <c r="S13" s="196">
        <v>0.99</v>
      </c>
      <c r="T13" s="197">
        <v>0.98709999999999998</v>
      </c>
      <c r="U13" s="198">
        <v>1.4999999999999999E-2</v>
      </c>
      <c r="V13" s="197">
        <v>0</v>
      </c>
      <c r="W13" s="198">
        <v>0</v>
      </c>
      <c r="X13" s="197">
        <v>0</v>
      </c>
      <c r="Y13" s="199">
        <f t="shared" si="0"/>
        <v>4.4079012578996823E-2</v>
      </c>
    </row>
    <row r="14" spans="1:25">
      <c r="B14" s="189" t="s">
        <v>9</v>
      </c>
      <c r="C14" s="190" t="s">
        <v>61</v>
      </c>
      <c r="D14" s="190">
        <v>10</v>
      </c>
      <c r="E14" s="191">
        <v>12</v>
      </c>
      <c r="F14" s="192">
        <v>43131</v>
      </c>
      <c r="G14" s="24">
        <v>1026.8045617238879</v>
      </c>
      <c r="H14" s="24">
        <v>905.23800000000006</v>
      </c>
      <c r="I14" s="193">
        <v>79.599999999999994</v>
      </c>
      <c r="J14" s="194">
        <v>72.37</v>
      </c>
      <c r="K14" s="193">
        <v>103.2</v>
      </c>
      <c r="L14" s="194">
        <v>91.91</v>
      </c>
      <c r="M14" s="195">
        <v>0.83330457335440766</v>
      </c>
      <c r="N14" s="195">
        <f t="shared" si="1"/>
        <v>0.82076487868567094</v>
      </c>
      <c r="O14" s="195">
        <f>G14/24/31/10</f>
        <v>0.13801136582310319</v>
      </c>
      <c r="P14" s="195">
        <f>H14/24/31/10</f>
        <v>0.1216717741935484</v>
      </c>
      <c r="Q14" s="195">
        <v>0.98499999999999999</v>
      </c>
      <c r="R14" s="195">
        <v>0.98370000000000002</v>
      </c>
      <c r="S14" s="196">
        <v>0.99</v>
      </c>
      <c r="T14" s="197">
        <v>0.98509999999999998</v>
      </c>
      <c r="U14" s="198">
        <v>1.4999999999999999E-2</v>
      </c>
      <c r="V14" s="197">
        <v>0</v>
      </c>
      <c r="W14" s="198">
        <v>0</v>
      </c>
      <c r="X14" s="197">
        <v>0</v>
      </c>
      <c r="Y14" s="199">
        <f t="shared" si="0"/>
        <v>-8.9938621117133799E-3</v>
      </c>
    </row>
    <row r="15" spans="1:25">
      <c r="B15" s="189" t="s">
        <v>9</v>
      </c>
      <c r="C15" s="190" t="s">
        <v>61</v>
      </c>
      <c r="D15" s="190">
        <v>10</v>
      </c>
      <c r="E15" s="191">
        <v>12</v>
      </c>
      <c r="F15" s="192">
        <v>43159</v>
      </c>
      <c r="G15" s="24">
        <v>1344.9968498626595</v>
      </c>
      <c r="H15" s="24">
        <f>1330560/1000</f>
        <v>1330.56</v>
      </c>
      <c r="I15" s="193">
        <v>108.1</v>
      </c>
      <c r="J15" s="194">
        <v>111.43</v>
      </c>
      <c r="K15" s="193">
        <v>137.5</v>
      </c>
      <c r="L15" s="194">
        <v>135.04</v>
      </c>
      <c r="M15" s="195">
        <v>0.81924583515313509</v>
      </c>
      <c r="N15" s="195">
        <f t="shared" si="1"/>
        <v>0.821090047393365</v>
      </c>
      <c r="O15" s="195">
        <f>G15/24/28/10</f>
        <v>0.20014834075337196</v>
      </c>
      <c r="P15" s="195">
        <f>H15/24/28/10</f>
        <v>0.19800000000000001</v>
      </c>
      <c r="Q15" s="195">
        <v>0.98499999999999999</v>
      </c>
      <c r="R15" s="195">
        <v>0.96279999999999999</v>
      </c>
      <c r="S15" s="196">
        <v>0.99</v>
      </c>
      <c r="T15" s="197">
        <v>0.97989999999999999</v>
      </c>
      <c r="U15" s="198">
        <v>1.4999999999999999E-2</v>
      </c>
      <c r="V15" s="197">
        <v>0</v>
      </c>
      <c r="W15" s="198">
        <v>0</v>
      </c>
      <c r="X15" s="197">
        <v>0</v>
      </c>
      <c r="Y15" s="199">
        <f t="shared" si="0"/>
        <v>7.1571665813012775E-3</v>
      </c>
    </row>
    <row r="16" spans="1:25">
      <c r="B16" s="189" t="s">
        <v>9</v>
      </c>
      <c r="C16" s="190" t="s">
        <v>61</v>
      </c>
      <c r="D16" s="190">
        <v>10</v>
      </c>
      <c r="E16" s="191">
        <v>12</v>
      </c>
      <c r="F16" s="192">
        <v>43190</v>
      </c>
      <c r="G16" s="24">
        <v>1799</v>
      </c>
      <c r="H16" s="24">
        <v>1719.816</v>
      </c>
      <c r="I16" s="193">
        <v>161.4</v>
      </c>
      <c r="J16" s="194">
        <v>165.02</v>
      </c>
      <c r="K16" s="193">
        <v>187.8</v>
      </c>
      <c r="L16" s="194">
        <v>178.69</v>
      </c>
      <c r="M16" s="195">
        <v>0.80222736104378645</v>
      </c>
      <c r="N16" s="195">
        <f t="shared" si="1"/>
        <v>0.80204823996866093</v>
      </c>
      <c r="O16" s="195">
        <f>G16/24/31/10</f>
        <v>0.24180107526881719</v>
      </c>
      <c r="P16" s="195">
        <f>H16/24/31/10</f>
        <v>0.23115806451612902</v>
      </c>
      <c r="Q16" s="195">
        <v>0.98499999999999999</v>
      </c>
      <c r="R16" s="195">
        <v>0.99790000000000001</v>
      </c>
      <c r="S16" s="196">
        <v>0.99</v>
      </c>
      <c r="T16" s="197">
        <v>0.99790000000000001</v>
      </c>
      <c r="U16" s="198">
        <v>1.4999999999999999E-2</v>
      </c>
      <c r="V16" s="197">
        <v>0</v>
      </c>
      <c r="W16" s="198">
        <v>0</v>
      </c>
      <c r="X16" s="197">
        <v>0</v>
      </c>
      <c r="Y16" s="199">
        <f t="shared" si="0"/>
        <v>4.4934879808390393E-3</v>
      </c>
    </row>
    <row r="17" spans="2:25">
      <c r="B17" s="189" t="s">
        <v>9</v>
      </c>
      <c r="C17" s="190" t="s">
        <v>61</v>
      </c>
      <c r="D17" s="190">
        <v>10</v>
      </c>
      <c r="E17" s="191">
        <v>12</v>
      </c>
      <c r="F17" s="192">
        <v>43220</v>
      </c>
      <c r="G17" s="24">
        <v>1746.8951828811271</v>
      </c>
      <c r="H17" s="24">
        <v>1355.046</v>
      </c>
      <c r="I17" s="193">
        <v>190.2</v>
      </c>
      <c r="J17" s="194">
        <v>147.37</v>
      </c>
      <c r="K17" s="193">
        <v>194</v>
      </c>
      <c r="L17" s="194">
        <v>151.99</v>
      </c>
      <c r="M17" s="195">
        <f>G17/E17/K17/Q17</f>
        <v>0.76181170429340761</v>
      </c>
      <c r="N17" s="195">
        <f>H17/E17/L17/R17</f>
        <v>0.7828996845222056</v>
      </c>
      <c r="O17" s="195">
        <f>G17/24/DAY(F17)/D17</f>
        <v>0.24262433095571212</v>
      </c>
      <c r="P17" s="195">
        <f>H17/24/DAY(F17)/D17</f>
        <v>0.18820083333333334</v>
      </c>
      <c r="Q17" s="195">
        <v>0.98499999999999999</v>
      </c>
      <c r="R17" s="195">
        <v>0.94896820000000004</v>
      </c>
      <c r="S17" s="196">
        <v>0.99</v>
      </c>
      <c r="T17" s="197">
        <v>0.97399999999999998</v>
      </c>
      <c r="U17" s="198">
        <v>1.4999999999999999E-2</v>
      </c>
      <c r="V17" s="197">
        <v>0</v>
      </c>
      <c r="W17" s="198">
        <v>0</v>
      </c>
      <c r="X17" s="197">
        <v>0</v>
      </c>
      <c r="Y17" s="199">
        <f t="shared" si="0"/>
        <v>-7.7653967972407534E-3</v>
      </c>
    </row>
    <row r="18" spans="2:25">
      <c r="B18" s="189" t="s">
        <v>9</v>
      </c>
      <c r="C18" s="190" t="s">
        <v>61</v>
      </c>
      <c r="D18" s="190">
        <v>10</v>
      </c>
      <c r="E18" s="191">
        <v>12</v>
      </c>
      <c r="F18" s="192">
        <v>43251</v>
      </c>
      <c r="G18" s="24">
        <v>1769.8323570260998</v>
      </c>
      <c r="H18" s="24">
        <f>1526538/1000</f>
        <v>1526.538</v>
      </c>
      <c r="I18" s="193">
        <v>197</v>
      </c>
      <c r="J18" s="194">
        <v>164.16</v>
      </c>
      <c r="K18" s="193">
        <v>197.7</v>
      </c>
      <c r="L18" s="194">
        <v>165.63</v>
      </c>
      <c r="M18" s="195">
        <f t="shared" ref="M18:M75" si="2">G18/E18/K18/Q18</f>
        <v>0.75736980222906047</v>
      </c>
      <c r="N18" s="195">
        <f t="shared" ref="N18:N75" si="3">H18/E18/L18/R18</f>
        <v>0.77113077074342173</v>
      </c>
      <c r="O18" s="195">
        <f t="shared" ref="O18:O75" si="4">G18/24/DAY(F18)/D18</f>
        <v>0.2378806931486693</v>
      </c>
      <c r="P18" s="195">
        <f t="shared" ref="P18:P75" si="5">H18/24/DAY(F18)/D18</f>
        <v>0.20517983870967743</v>
      </c>
      <c r="Q18" s="195">
        <v>0.98499999999999999</v>
      </c>
      <c r="R18" s="195">
        <v>0.996</v>
      </c>
      <c r="S18" s="196">
        <v>0.99</v>
      </c>
      <c r="T18" s="197">
        <v>0.99819999999999998</v>
      </c>
      <c r="U18" s="198">
        <v>1.4999999999999999E-2</v>
      </c>
      <c r="V18" s="197">
        <v>0</v>
      </c>
      <c r="W18" s="198">
        <v>0</v>
      </c>
      <c r="X18" s="197">
        <v>0</v>
      </c>
      <c r="Y18" s="199">
        <f t="shared" si="0"/>
        <v>2.4748018968860142E-2</v>
      </c>
    </row>
    <row r="19" spans="2:25">
      <c r="B19" s="189" t="s">
        <v>9</v>
      </c>
      <c r="C19" s="190" t="s">
        <v>61</v>
      </c>
      <c r="D19" s="190">
        <v>10</v>
      </c>
      <c r="E19" s="191">
        <v>12</v>
      </c>
      <c r="F19" s="192">
        <v>43281</v>
      </c>
      <c r="G19" s="24">
        <v>1591.8398856611111</v>
      </c>
      <c r="H19" s="24">
        <f>1476846/1000</f>
        <v>1476.846</v>
      </c>
      <c r="I19" s="193">
        <v>178.9</v>
      </c>
      <c r="J19" s="194">
        <f>5.14*30</f>
        <v>154.19999999999999</v>
      </c>
      <c r="K19" s="193">
        <v>177.2</v>
      </c>
      <c r="L19" s="194">
        <f>5.16*30</f>
        <v>154.80000000000001</v>
      </c>
      <c r="M19" s="195">
        <f t="shared" si="2"/>
        <v>0.76000804279252332</v>
      </c>
      <c r="N19" s="195">
        <f t="shared" si="3"/>
        <v>0.80623574664581876</v>
      </c>
      <c r="O19" s="195">
        <f t="shared" si="4"/>
        <v>0.22108887300848762</v>
      </c>
      <c r="P19" s="195">
        <f t="shared" si="5"/>
        <v>0.20511749999999998</v>
      </c>
      <c r="Q19" s="195">
        <v>0.98499999999999999</v>
      </c>
      <c r="R19" s="195">
        <v>0.98609999999999998</v>
      </c>
      <c r="S19" s="196">
        <v>0.99</v>
      </c>
      <c r="T19" s="197">
        <v>0.98740000000000006</v>
      </c>
      <c r="U19" s="198">
        <v>1.4999999999999999E-2</v>
      </c>
      <c r="V19" s="197">
        <v>0</v>
      </c>
      <c r="W19" s="198">
        <v>0</v>
      </c>
      <c r="X19" s="197">
        <v>0</v>
      </c>
      <c r="Y19" s="199">
        <f t="shared" si="0"/>
        <v>5.4171229524862863E-2</v>
      </c>
    </row>
    <row r="20" spans="2:25">
      <c r="B20" s="189" t="s">
        <v>9</v>
      </c>
      <c r="C20" s="190" t="s">
        <v>61</v>
      </c>
      <c r="D20" s="190">
        <v>10</v>
      </c>
      <c r="E20" s="191">
        <v>12</v>
      </c>
      <c r="F20" s="192">
        <v>43312</v>
      </c>
      <c r="G20" s="24">
        <v>1412.0124403645248</v>
      </c>
      <c r="H20" s="24">
        <f>1216494/1000</f>
        <v>1216.4939999999999</v>
      </c>
      <c r="I20" s="193">
        <v>155.5</v>
      </c>
      <c r="J20" s="194">
        <v>128.13</v>
      </c>
      <c r="K20" s="193">
        <v>154.6</v>
      </c>
      <c r="L20" s="194">
        <v>126.33</v>
      </c>
      <c r="M20" s="195">
        <f t="shared" si="2"/>
        <v>0.77270114698294867</v>
      </c>
      <c r="N20" s="195">
        <f t="shared" si="3"/>
        <v>0.81841697959413007</v>
      </c>
      <c r="O20" s="195">
        <f t="shared" si="4"/>
        <v>0.18978661832856517</v>
      </c>
      <c r="P20" s="195">
        <f t="shared" si="5"/>
        <v>0.1635072580645161</v>
      </c>
      <c r="Q20" s="195">
        <v>0.98499999999999999</v>
      </c>
      <c r="R20" s="195">
        <v>0.98050000000000004</v>
      </c>
      <c r="S20" s="196">
        <v>0.99</v>
      </c>
      <c r="T20" s="197">
        <v>0.9879</v>
      </c>
      <c r="U20" s="198">
        <v>1.4999999999999999E-2</v>
      </c>
      <c r="V20" s="197">
        <v>0</v>
      </c>
      <c r="W20" s="198">
        <v>0</v>
      </c>
      <c r="X20" s="197">
        <v>0</v>
      </c>
      <c r="Y20" s="199">
        <f t="shared" si="0"/>
        <v>4.4391060510239888E-2</v>
      </c>
    </row>
    <row r="21" spans="2:25">
      <c r="B21" s="189" t="s">
        <v>9</v>
      </c>
      <c r="C21" s="190" t="s">
        <v>61</v>
      </c>
      <c r="D21" s="190">
        <v>10</v>
      </c>
      <c r="E21" s="191">
        <v>12</v>
      </c>
      <c r="F21" s="192">
        <v>43343</v>
      </c>
      <c r="G21" s="24">
        <v>1341.3659439980083</v>
      </c>
      <c r="H21" s="24">
        <f>1036044/1000</f>
        <v>1036.0440000000001</v>
      </c>
      <c r="I21" s="193">
        <v>145.4</v>
      </c>
      <c r="J21" s="194">
        <v>111.41</v>
      </c>
      <c r="K21" s="193">
        <v>146.30000000000001</v>
      </c>
      <c r="L21" s="194">
        <v>110.13</v>
      </c>
      <c r="M21" s="195">
        <f t="shared" si="2"/>
        <v>0.77568514271257771</v>
      </c>
      <c r="N21" s="195">
        <f t="shared" si="3"/>
        <v>0.80886847454021904</v>
      </c>
      <c r="O21" s="195">
        <f t="shared" si="4"/>
        <v>0.18029112150510868</v>
      </c>
      <c r="P21" s="195">
        <f t="shared" si="5"/>
        <v>0.13925322580645161</v>
      </c>
      <c r="Q21" s="195">
        <v>0.98499999999999999</v>
      </c>
      <c r="R21" s="195">
        <v>0.96919999999999995</v>
      </c>
      <c r="S21" s="196">
        <v>0.99</v>
      </c>
      <c r="T21" s="197">
        <v>0.99780000000000002</v>
      </c>
      <c r="U21" s="198">
        <v>1.4999999999999999E-2</v>
      </c>
      <c r="V21" s="197">
        <v>0</v>
      </c>
      <c r="W21" s="198">
        <v>0</v>
      </c>
      <c r="X21" s="197">
        <v>0</v>
      </c>
      <c r="Y21" s="199">
        <f t="shared" si="0"/>
        <v>1.961154580711022E-2</v>
      </c>
    </row>
    <row r="22" spans="2:25">
      <c r="B22" s="189" t="s">
        <v>9</v>
      </c>
      <c r="C22" s="190" t="s">
        <v>61</v>
      </c>
      <c r="D22" s="190">
        <v>10</v>
      </c>
      <c r="E22" s="191">
        <v>12</v>
      </c>
      <c r="F22" s="192">
        <v>43373</v>
      </c>
      <c r="G22" s="24">
        <v>1334.9435352374162</v>
      </c>
      <c r="H22" s="24">
        <f>1117884/1000</f>
        <v>1117.884</v>
      </c>
      <c r="I22" s="193">
        <v>141.6</v>
      </c>
      <c r="J22" s="194">
        <v>118.09</v>
      </c>
      <c r="K22" s="193">
        <v>145.5</v>
      </c>
      <c r="L22" s="194">
        <v>119.04</v>
      </c>
      <c r="M22" s="195">
        <f t="shared" si="2"/>
        <v>0.77621570710567811</v>
      </c>
      <c r="N22" s="195">
        <f t="shared" si="3"/>
        <v>0.80156599857482547</v>
      </c>
      <c r="O22" s="195">
        <f t="shared" si="4"/>
        <v>0.18540882433853001</v>
      </c>
      <c r="P22" s="195">
        <f t="shared" si="5"/>
        <v>0.15526166666666666</v>
      </c>
      <c r="Q22" s="195">
        <v>0.98499999999999999</v>
      </c>
      <c r="R22" s="195">
        <v>0.97629999999999995</v>
      </c>
      <c r="S22" s="196">
        <v>0.99</v>
      </c>
      <c r="T22" s="197">
        <v>0.98529999999999995</v>
      </c>
      <c r="U22" s="198">
        <v>1.4999999999999999E-2</v>
      </c>
      <c r="V22" s="197">
        <v>0</v>
      </c>
      <c r="W22" s="198">
        <v>0</v>
      </c>
      <c r="X22" s="197">
        <v>0</v>
      </c>
      <c r="Y22" s="199">
        <f t="shared" si="0"/>
        <v>1.9257380731390827E-2</v>
      </c>
    </row>
    <row r="23" spans="2:25">
      <c r="B23" s="189" t="s">
        <v>9</v>
      </c>
      <c r="C23" s="190" t="s">
        <v>61</v>
      </c>
      <c r="D23" s="190">
        <v>10</v>
      </c>
      <c r="E23" s="191">
        <v>12</v>
      </c>
      <c r="F23" s="192">
        <v>43404</v>
      </c>
      <c r="G23" s="24">
        <v>1526.6983110893887</v>
      </c>
      <c r="H23" s="24">
        <f>1482006/1000</f>
        <v>1482.0060000000001</v>
      </c>
      <c r="I23" s="193">
        <v>139.1</v>
      </c>
      <c r="J23" s="194">
        <f>4.5*31</f>
        <v>139.5</v>
      </c>
      <c r="K23" s="193">
        <v>172.2</v>
      </c>
      <c r="L23" s="194">
        <f>5.26*31</f>
        <v>163.06</v>
      </c>
      <c r="M23" s="195">
        <f t="shared" si="2"/>
        <v>0.75007139176762383</v>
      </c>
      <c r="N23" s="195">
        <f t="shared" si="3"/>
        <v>0.77761086671211843</v>
      </c>
      <c r="O23" s="195">
        <f t="shared" si="4"/>
        <v>0.20520138589911138</v>
      </c>
      <c r="P23" s="195">
        <f t="shared" si="5"/>
        <v>0.19919435483870968</v>
      </c>
      <c r="Q23" s="195">
        <v>0.98499999999999999</v>
      </c>
      <c r="R23" s="195">
        <v>0.97399999999999998</v>
      </c>
      <c r="S23" s="196">
        <v>0.99</v>
      </c>
      <c r="T23" s="197">
        <v>0.97460000000000002</v>
      </c>
      <c r="U23" s="198">
        <v>1.4999999999999999E-2</v>
      </c>
      <c r="V23" s="197">
        <v>0</v>
      </c>
      <c r="W23" s="198">
        <v>0</v>
      </c>
      <c r="X23" s="197">
        <v>0</v>
      </c>
      <c r="Y23" s="199">
        <f t="shared" si="0"/>
        <v>2.3803983696042974E-2</v>
      </c>
    </row>
    <row r="24" spans="2:25">
      <c r="B24" s="189" t="s">
        <v>9</v>
      </c>
      <c r="C24" s="190" t="s">
        <v>61</v>
      </c>
      <c r="D24" s="190">
        <v>10</v>
      </c>
      <c r="E24" s="191">
        <v>12</v>
      </c>
      <c r="F24" s="192">
        <v>43434</v>
      </c>
      <c r="G24" s="24">
        <v>1354.2107615191931</v>
      </c>
      <c r="H24" s="24">
        <f>1146594/1000</f>
        <v>1146.5940000000001</v>
      </c>
      <c r="I24" s="193">
        <v>108.1</v>
      </c>
      <c r="J24" s="194">
        <f>3.28*30</f>
        <v>98.399999999999991</v>
      </c>
      <c r="K24" s="193">
        <v>152.1</v>
      </c>
      <c r="L24" s="194">
        <f>4.42*30</f>
        <v>132.6</v>
      </c>
      <c r="M24" s="195">
        <f t="shared" si="2"/>
        <v>0.75325074535698933</v>
      </c>
      <c r="N24" s="195">
        <f t="shared" si="3"/>
        <v>0.75233291350496234</v>
      </c>
      <c r="O24" s="195">
        <f t="shared" si="4"/>
        <v>0.18808482798877682</v>
      </c>
      <c r="P24" s="195">
        <f t="shared" si="5"/>
        <v>0.15924916666666669</v>
      </c>
      <c r="Q24" s="195">
        <v>0.98499999999999999</v>
      </c>
      <c r="R24" s="195">
        <v>0.95779999999999998</v>
      </c>
      <c r="S24" s="196">
        <v>0.99</v>
      </c>
      <c r="T24" s="197">
        <v>0.99990000000000001</v>
      </c>
      <c r="U24" s="198">
        <v>1.4999999999999999E-2</v>
      </c>
      <c r="V24" s="197">
        <v>0</v>
      </c>
      <c r="W24" s="198">
        <v>0</v>
      </c>
      <c r="X24" s="197">
        <v>0</v>
      </c>
      <c r="Y24" s="199">
        <f t="shared" si="0"/>
        <v>-2.5106872717300166E-2</v>
      </c>
    </row>
    <row r="25" spans="2:25">
      <c r="B25" s="189" t="s">
        <v>9</v>
      </c>
      <c r="C25" s="190" t="s">
        <v>61</v>
      </c>
      <c r="D25" s="190">
        <v>10</v>
      </c>
      <c r="E25" s="191">
        <v>12</v>
      </c>
      <c r="F25" s="192">
        <v>43465</v>
      </c>
      <c r="G25" s="24">
        <v>1139.5188115222481</v>
      </c>
      <c r="H25" s="24">
        <f>1131264/1000</f>
        <v>1131.2639999999999</v>
      </c>
      <c r="I25" s="193">
        <v>89.9</v>
      </c>
      <c r="J25" s="194">
        <v>86.18</v>
      </c>
      <c r="K25" s="193">
        <v>129.6</v>
      </c>
      <c r="L25" s="194">
        <v>121.83</v>
      </c>
      <c r="M25" s="195">
        <f t="shared" si="2"/>
        <v>0.74387338597627495</v>
      </c>
      <c r="N25" s="195">
        <f t="shared" si="3"/>
        <v>0.79396630079973196</v>
      </c>
      <c r="O25" s="195">
        <f t="shared" si="4"/>
        <v>0.15316113058094732</v>
      </c>
      <c r="P25" s="195">
        <f t="shared" si="5"/>
        <v>0.1520516129032258</v>
      </c>
      <c r="Q25" s="195">
        <v>0.98499999999999999</v>
      </c>
      <c r="R25" s="195">
        <v>0.97460000000000002</v>
      </c>
      <c r="S25" s="196">
        <v>0.99</v>
      </c>
      <c r="T25" s="197">
        <v>1</v>
      </c>
      <c r="U25" s="198">
        <v>1.4999999999999999E-2</v>
      </c>
      <c r="V25" s="197">
        <v>0</v>
      </c>
      <c r="W25" s="198">
        <v>0</v>
      </c>
      <c r="X25" s="197">
        <v>0</v>
      </c>
      <c r="Y25" s="199">
        <f t="shared" si="0"/>
        <v>5.27095832567398E-2</v>
      </c>
    </row>
    <row r="26" spans="2:25">
      <c r="B26" s="189" t="s">
        <v>9</v>
      </c>
      <c r="C26" s="190" t="s">
        <v>61</v>
      </c>
      <c r="D26" s="190">
        <v>10</v>
      </c>
      <c r="E26" s="191">
        <v>12</v>
      </c>
      <c r="F26" s="192">
        <v>43496</v>
      </c>
      <c r="G26" s="24">
        <v>960.37030658035246</v>
      </c>
      <c r="H26" s="24">
        <f>1086210/1000</f>
        <v>1086.21</v>
      </c>
      <c r="I26" s="193">
        <v>79.599999999999994</v>
      </c>
      <c r="J26" s="194">
        <v>87.73</v>
      </c>
      <c r="K26" s="193">
        <v>103.2</v>
      </c>
      <c r="L26" s="194">
        <v>117.8</v>
      </c>
      <c r="M26" s="195">
        <f t="shared" si="2"/>
        <v>0.78730235393003611</v>
      </c>
      <c r="N26" s="195">
        <f t="shared" si="3"/>
        <v>0.78184760909718465</v>
      </c>
      <c r="O26" s="195">
        <f t="shared" si="4"/>
        <v>0.12908203045434846</v>
      </c>
      <c r="P26" s="195">
        <f t="shared" si="5"/>
        <v>0.14599596774193549</v>
      </c>
      <c r="Q26" s="195">
        <v>0.98499999999999999</v>
      </c>
      <c r="R26" s="195">
        <v>0.98280000000000001</v>
      </c>
      <c r="S26" s="196">
        <v>0.99</v>
      </c>
      <c r="T26" s="197">
        <v>0.98399999999999999</v>
      </c>
      <c r="U26" s="198">
        <v>1.4999999999999999E-2</v>
      </c>
      <c r="V26" s="197">
        <v>0</v>
      </c>
      <c r="W26" s="198">
        <v>0</v>
      </c>
      <c r="X26" s="197">
        <v>0</v>
      </c>
      <c r="Y26" s="199">
        <f t="shared" si="0"/>
        <v>-1.0440398181894128E-2</v>
      </c>
    </row>
    <row r="27" spans="2:25">
      <c r="B27" s="189" t="s">
        <v>9</v>
      </c>
      <c r="C27" s="190" t="s">
        <v>61</v>
      </c>
      <c r="D27" s="190">
        <v>10</v>
      </c>
      <c r="E27" s="191">
        <v>12</v>
      </c>
      <c r="F27" s="192">
        <v>43524</v>
      </c>
      <c r="G27" s="24">
        <v>1257.9755536765454</v>
      </c>
      <c r="H27" s="24">
        <v>1015.398</v>
      </c>
      <c r="I27" s="193">
        <v>108.1</v>
      </c>
      <c r="J27" s="194">
        <v>91.28</v>
      </c>
      <c r="K27" s="193">
        <v>137.5</v>
      </c>
      <c r="L27" s="194">
        <v>109.48</v>
      </c>
      <c r="M27" s="195">
        <f t="shared" si="2"/>
        <v>0.77401972230521165</v>
      </c>
      <c r="N27" s="195">
        <f t="shared" si="3"/>
        <v>0.8146880917251571</v>
      </c>
      <c r="O27" s="195">
        <f t="shared" si="4"/>
        <v>0.18719874310662876</v>
      </c>
      <c r="P27" s="195">
        <f t="shared" si="5"/>
        <v>0.15110089285714284</v>
      </c>
      <c r="Q27" s="195">
        <v>0.98499999999999999</v>
      </c>
      <c r="R27" s="195">
        <v>0.94869999999999999</v>
      </c>
      <c r="S27" s="196">
        <v>0.99</v>
      </c>
      <c r="T27" s="197">
        <v>0.97789999999999999</v>
      </c>
      <c r="U27" s="198">
        <v>1.4999999999999999E-2</v>
      </c>
      <c r="V27" s="197">
        <v>0</v>
      </c>
      <c r="W27" s="198">
        <v>0</v>
      </c>
      <c r="X27" s="197">
        <v>0</v>
      </c>
      <c r="Y27" s="199">
        <f t="shared" si="0"/>
        <v>1.0950126844422203E-2</v>
      </c>
    </row>
    <row r="28" spans="2:25">
      <c r="B28" s="189" t="s">
        <v>9</v>
      </c>
      <c r="C28" s="190" t="s">
        <v>61</v>
      </c>
      <c r="D28" s="190">
        <v>10</v>
      </c>
      <c r="E28" s="191">
        <v>12</v>
      </c>
      <c r="F28" s="192">
        <v>43555</v>
      </c>
      <c r="G28" s="24">
        <v>1682.4738355775567</v>
      </c>
      <c r="H28" s="24">
        <f>1635012/1000</f>
        <v>1635.0119999999999</v>
      </c>
      <c r="I28" s="193">
        <v>161.4</v>
      </c>
      <c r="J28" s="194">
        <v>156.35</v>
      </c>
      <c r="K28" s="193">
        <v>187.8</v>
      </c>
      <c r="L28" s="194">
        <v>178.04</v>
      </c>
      <c r="M28" s="195">
        <f t="shared" si="2"/>
        <v>0.75794074571607328</v>
      </c>
      <c r="N28" s="195">
        <f t="shared" si="3"/>
        <v>0.77091073078813466</v>
      </c>
      <c r="O28" s="195">
        <f t="shared" si="4"/>
        <v>0.22613895639483289</v>
      </c>
      <c r="P28" s="195">
        <f t="shared" si="5"/>
        <v>0.21975967741935482</v>
      </c>
      <c r="Q28" s="195">
        <v>0.98499999999999999</v>
      </c>
      <c r="R28" s="195">
        <v>0.99270000000000003</v>
      </c>
      <c r="S28" s="196">
        <v>0.99</v>
      </c>
      <c r="T28" s="197">
        <v>0.99509999999999998</v>
      </c>
      <c r="U28" s="198">
        <v>1.4999999999999999E-2</v>
      </c>
      <c r="V28" s="197">
        <v>0</v>
      </c>
      <c r="W28" s="198">
        <v>0</v>
      </c>
      <c r="X28" s="197">
        <v>0</v>
      </c>
      <c r="Y28" s="199">
        <f t="shared" si="0"/>
        <v>2.3760627602813722E-2</v>
      </c>
    </row>
    <row r="29" spans="2:25">
      <c r="B29" s="189" t="s">
        <v>9</v>
      </c>
      <c r="C29" s="190" t="s">
        <v>61</v>
      </c>
      <c r="D29" s="190">
        <v>10</v>
      </c>
      <c r="E29" s="191">
        <v>12</v>
      </c>
      <c r="F29" s="192">
        <v>43585</v>
      </c>
      <c r="G29" s="24">
        <v>1738.1607069667216</v>
      </c>
      <c r="H29" s="24">
        <f>1577820/1000</f>
        <v>1577.82</v>
      </c>
      <c r="I29" s="193">
        <v>190.2</v>
      </c>
      <c r="J29" s="194">
        <f>5.92*30</f>
        <v>177.6</v>
      </c>
      <c r="K29" s="193">
        <v>194</v>
      </c>
      <c r="L29" s="194">
        <f>6.01*30</f>
        <v>180.29999999999998</v>
      </c>
      <c r="M29" s="195">
        <f t="shared" si="2"/>
        <v>0.75800264577194065</v>
      </c>
      <c r="N29" s="195">
        <f t="shared" si="3"/>
        <v>0.73893686719205176</v>
      </c>
      <c r="O29" s="195">
        <f t="shared" si="4"/>
        <v>0.24141120930093357</v>
      </c>
      <c r="P29" s="195">
        <f t="shared" si="5"/>
        <v>0.21914166666666665</v>
      </c>
      <c r="Q29" s="195">
        <v>0.98499999999999999</v>
      </c>
      <c r="R29" s="195">
        <v>0.9869</v>
      </c>
      <c r="S29" s="196">
        <v>0.99</v>
      </c>
      <c r="T29" s="197">
        <v>0.99239999999999995</v>
      </c>
      <c r="U29" s="198">
        <v>1.4999999999999999E-2</v>
      </c>
      <c r="V29" s="197">
        <v>3.6499999999999998E-2</v>
      </c>
      <c r="W29" s="198">
        <v>0</v>
      </c>
      <c r="X29" s="197">
        <v>0</v>
      </c>
      <c r="Y29" s="199">
        <f t="shared" si="0"/>
        <v>-2.1628786323155458E-2</v>
      </c>
    </row>
    <row r="30" spans="2:25">
      <c r="B30" s="189" t="s">
        <v>9</v>
      </c>
      <c r="C30" s="190" t="s">
        <v>61</v>
      </c>
      <c r="D30" s="190">
        <v>10</v>
      </c>
      <c r="E30" s="191">
        <v>12</v>
      </c>
      <c r="F30" s="192">
        <v>43616</v>
      </c>
      <c r="G30" s="24">
        <v>1760.9831952409693</v>
      </c>
      <c r="H30" s="24">
        <f>1573734/1000</f>
        <v>1573.7339999999999</v>
      </c>
      <c r="I30" s="193">
        <v>197</v>
      </c>
      <c r="J30" s="194">
        <v>196.71</v>
      </c>
      <c r="K30" s="193">
        <v>197.7</v>
      </c>
      <c r="L30" s="194">
        <v>194.43</v>
      </c>
      <c r="M30" s="195">
        <f t="shared" si="2"/>
        <v>0.75358295321791524</v>
      </c>
      <c r="N30" s="195">
        <f t="shared" si="3"/>
        <v>0.70275842346889517</v>
      </c>
      <c r="O30" s="195">
        <f t="shared" si="4"/>
        <v>0.23669128968292599</v>
      </c>
      <c r="P30" s="195">
        <f t="shared" si="5"/>
        <v>0.21152338709677418</v>
      </c>
      <c r="Q30" s="195">
        <v>0.98499999999999999</v>
      </c>
      <c r="R30" s="195">
        <v>0.95979999999999999</v>
      </c>
      <c r="S30" s="196">
        <v>0.99</v>
      </c>
      <c r="T30" s="197">
        <v>0.98570000000000002</v>
      </c>
      <c r="U30" s="198">
        <v>1.4999999999999999E-2</v>
      </c>
      <c r="V30" s="197">
        <v>3.6499999999999998E-2</v>
      </c>
      <c r="W30" s="198">
        <v>0</v>
      </c>
      <c r="X30" s="197">
        <v>0</v>
      </c>
      <c r="Y30" s="199">
        <f t="shared" si="0"/>
        <v>-8.9791975022978754E-2</v>
      </c>
    </row>
    <row r="31" spans="2:25">
      <c r="B31" s="189" t="s">
        <v>9</v>
      </c>
      <c r="C31" s="190" t="s">
        <v>61</v>
      </c>
      <c r="D31" s="190">
        <v>10</v>
      </c>
      <c r="E31" s="191">
        <v>12</v>
      </c>
      <c r="F31" s="192">
        <v>43646</v>
      </c>
      <c r="G31" s="24">
        <v>1583.8806862328054</v>
      </c>
      <c r="H31" s="24">
        <f>1637196/1000</f>
        <v>1637.1959999999999</v>
      </c>
      <c r="I31" s="193">
        <v>178.9</v>
      </c>
      <c r="J31" s="194">
        <v>194.1</v>
      </c>
      <c r="K31" s="193">
        <v>177.2</v>
      </c>
      <c r="L31" s="194">
        <v>189.29999999999998</v>
      </c>
      <c r="M31" s="195">
        <f t="shared" si="2"/>
        <v>0.75620800257856058</v>
      </c>
      <c r="N31" s="195">
        <f t="shared" si="3"/>
        <v>0.72398163632808288</v>
      </c>
      <c r="O31" s="195">
        <f t="shared" si="4"/>
        <v>0.21998342864344517</v>
      </c>
      <c r="P31" s="195">
        <f t="shared" si="5"/>
        <v>0.2273883333333333</v>
      </c>
      <c r="Q31" s="195">
        <v>0.98499999999999999</v>
      </c>
      <c r="R31" s="195">
        <v>0.99550000000000005</v>
      </c>
      <c r="S31" s="196">
        <v>0.99</v>
      </c>
      <c r="T31" s="197">
        <v>0.99809999999999999</v>
      </c>
      <c r="U31" s="198">
        <v>1.4999999999999999E-2</v>
      </c>
      <c r="V31" s="197">
        <v>3.6499999999999998E-2</v>
      </c>
      <c r="W31" s="198">
        <v>0</v>
      </c>
      <c r="X31" s="197">
        <v>0</v>
      </c>
      <c r="Y31" s="199">
        <f t="shared" si="0"/>
        <v>-3.4623231190493708E-2</v>
      </c>
    </row>
    <row r="32" spans="2:25">
      <c r="B32" s="189" t="s">
        <v>9</v>
      </c>
      <c r="C32" s="190" t="s">
        <v>61</v>
      </c>
      <c r="D32" s="190">
        <v>10</v>
      </c>
      <c r="E32" s="191">
        <v>12</v>
      </c>
      <c r="F32" s="192">
        <v>43677</v>
      </c>
      <c r="G32" s="24">
        <v>1404.952378162702</v>
      </c>
      <c r="H32" s="24">
        <v>1272.492</v>
      </c>
      <c r="I32" s="193">
        <v>155.5</v>
      </c>
      <c r="J32" s="194">
        <v>145</v>
      </c>
      <c r="K32" s="193">
        <v>154.6</v>
      </c>
      <c r="L32" s="194">
        <v>142</v>
      </c>
      <c r="M32" s="195">
        <f t="shared" si="2"/>
        <v>0.76883764124803389</v>
      </c>
      <c r="N32" s="195">
        <f t="shared" si="3"/>
        <v>0.77869406218331894</v>
      </c>
      <c r="O32" s="195">
        <f t="shared" si="4"/>
        <v>0.18883768523692229</v>
      </c>
      <c r="P32" s="195">
        <f t="shared" si="5"/>
        <v>0.17103387096774195</v>
      </c>
      <c r="Q32" s="195">
        <v>0.98499999999999999</v>
      </c>
      <c r="R32" s="195">
        <v>0.95899999999999996</v>
      </c>
      <c r="S32" s="196">
        <v>0.99</v>
      </c>
      <c r="T32" s="197">
        <v>0.98199999999999998</v>
      </c>
      <c r="U32" s="198">
        <v>1.4999999999999999E-2</v>
      </c>
      <c r="V32" s="197">
        <v>1.0200000000000001E-2</v>
      </c>
      <c r="W32" s="198">
        <v>0</v>
      </c>
      <c r="X32" s="197">
        <v>0</v>
      </c>
      <c r="Y32" s="199">
        <f t="shared" si="0"/>
        <v>-1.2780398008814586E-2</v>
      </c>
    </row>
    <row r="33" spans="2:25">
      <c r="B33" s="189" t="s">
        <v>9</v>
      </c>
      <c r="C33" s="190" t="s">
        <v>61</v>
      </c>
      <c r="D33" s="190">
        <v>10</v>
      </c>
      <c r="E33" s="191">
        <v>12</v>
      </c>
      <c r="F33" s="192">
        <v>43708</v>
      </c>
      <c r="G33" s="24">
        <v>1334.6591142780183</v>
      </c>
      <c r="H33" s="24">
        <f>1262502/1000</f>
        <v>1262.502</v>
      </c>
      <c r="I33" s="193">
        <v>145.4</v>
      </c>
      <c r="J33" s="194">
        <v>141</v>
      </c>
      <c r="K33" s="193">
        <v>146.30000000000001</v>
      </c>
      <c r="L33" s="194">
        <v>142</v>
      </c>
      <c r="M33" s="195">
        <f t="shared" si="2"/>
        <v>0.7718067169990146</v>
      </c>
      <c r="N33" s="195">
        <f t="shared" si="3"/>
        <v>0.77169558335325994</v>
      </c>
      <c r="O33" s="195">
        <f t="shared" si="4"/>
        <v>0.17938966589758309</v>
      </c>
      <c r="P33" s="195">
        <f t="shared" si="5"/>
        <v>0.16969112903225808</v>
      </c>
      <c r="Q33" s="195">
        <v>0.98499999999999999</v>
      </c>
      <c r="R33" s="195">
        <v>0.96009999999999995</v>
      </c>
      <c r="S33" s="196">
        <v>0.99</v>
      </c>
      <c r="T33" s="197">
        <v>0.98019999999999996</v>
      </c>
      <c r="U33" s="198">
        <v>1.4999999999999999E-2</v>
      </c>
      <c r="V33" s="197">
        <v>8.9999999999999993E-3</v>
      </c>
      <c r="W33" s="198">
        <v>0</v>
      </c>
      <c r="X33" s="197">
        <v>0</v>
      </c>
      <c r="Y33" s="199">
        <f t="shared" si="0"/>
        <v>-2.4672416894735982E-2</v>
      </c>
    </row>
    <row r="34" spans="2:25">
      <c r="B34" s="189" t="s">
        <v>9</v>
      </c>
      <c r="C34" s="190" t="s">
        <v>61</v>
      </c>
      <c r="D34" s="190">
        <v>10</v>
      </c>
      <c r="E34" s="191">
        <v>12</v>
      </c>
      <c r="F34" s="192">
        <v>43738</v>
      </c>
      <c r="G34" s="24">
        <v>1328.2688175612288</v>
      </c>
      <c r="H34" s="24">
        <f>1304826/1000</f>
        <v>1304.826</v>
      </c>
      <c r="I34" s="193">
        <v>141.6</v>
      </c>
      <c r="J34" s="194">
        <v>143</v>
      </c>
      <c r="K34" s="193">
        <v>145.5</v>
      </c>
      <c r="L34" s="194">
        <v>152</v>
      </c>
      <c r="M34" s="195">
        <f t="shared" si="2"/>
        <v>0.77233462857014956</v>
      </c>
      <c r="N34" s="195">
        <f t="shared" si="3"/>
        <v>0.72486080816592102</v>
      </c>
      <c r="O34" s="195">
        <f t="shared" si="4"/>
        <v>0.18448178021683731</v>
      </c>
      <c r="P34" s="195">
        <f t="shared" si="5"/>
        <v>0.18122583333333334</v>
      </c>
      <c r="Q34" s="195">
        <v>0.98499999999999999</v>
      </c>
      <c r="R34" s="195">
        <v>0.9869</v>
      </c>
      <c r="S34" s="196">
        <v>0.99</v>
      </c>
      <c r="T34" s="197">
        <v>0.99790000000000001</v>
      </c>
      <c r="U34" s="198">
        <v>1.4999999999999999E-2</v>
      </c>
      <c r="V34" s="197">
        <v>1.46E-2</v>
      </c>
      <c r="W34" s="198">
        <v>0</v>
      </c>
      <c r="X34" s="197">
        <v>0</v>
      </c>
      <c r="Y34" s="199">
        <f t="shared" si="0"/>
        <v>-6.2322690994330743E-2</v>
      </c>
    </row>
    <row r="35" spans="2:25">
      <c r="B35" s="189" t="s">
        <v>9</v>
      </c>
      <c r="C35" s="190" t="s">
        <v>61</v>
      </c>
      <c r="D35" s="190">
        <v>10</v>
      </c>
      <c r="E35" s="191">
        <v>12</v>
      </c>
      <c r="F35" s="192">
        <v>43769</v>
      </c>
      <c r="G35" s="24">
        <v>1519.0648195339418</v>
      </c>
      <c r="H35" s="24">
        <f>1252716/1000</f>
        <v>1252.7159999999999</v>
      </c>
      <c r="I35" s="193">
        <v>139.1</v>
      </c>
      <c r="J35" s="194">
        <v>126.48</v>
      </c>
      <c r="K35" s="193">
        <v>172.2</v>
      </c>
      <c r="L35" s="194">
        <v>152.82999999999998</v>
      </c>
      <c r="M35" s="195">
        <f t="shared" si="2"/>
        <v>0.74632103480878575</v>
      </c>
      <c r="N35" s="195">
        <f t="shared" si="3"/>
        <v>0.7172804283666081</v>
      </c>
      <c r="O35" s="195">
        <f t="shared" si="4"/>
        <v>0.20417537896961582</v>
      </c>
      <c r="P35" s="195">
        <f t="shared" si="5"/>
        <v>0.16837580645161287</v>
      </c>
      <c r="Q35" s="195">
        <v>0.98499999999999999</v>
      </c>
      <c r="R35" s="195">
        <v>0.95230000000000004</v>
      </c>
      <c r="S35" s="196">
        <v>0.99</v>
      </c>
      <c r="T35" s="197">
        <v>0.98880000000000001</v>
      </c>
      <c r="U35" s="198">
        <v>1.4999999999999999E-2</v>
      </c>
      <c r="V35" s="197">
        <v>2.3400000000000001E-2</v>
      </c>
      <c r="W35" s="198">
        <v>0</v>
      </c>
      <c r="X35" s="197">
        <v>0</v>
      </c>
      <c r="Y35" s="199">
        <f t="shared" si="0"/>
        <v>-6.2851880904097657E-2</v>
      </c>
    </row>
    <row r="36" spans="2:25">
      <c r="B36" s="189" t="s">
        <v>9</v>
      </c>
      <c r="C36" s="190" t="s">
        <v>61</v>
      </c>
      <c r="D36" s="190">
        <v>10</v>
      </c>
      <c r="E36" s="191">
        <v>12</v>
      </c>
      <c r="F36" s="192">
        <v>43799</v>
      </c>
      <c r="G36" s="24">
        <v>1347.4397077115971</v>
      </c>
      <c r="H36" s="24">
        <f>1097586/1000</f>
        <v>1097.586</v>
      </c>
      <c r="I36" s="193">
        <v>108.1</v>
      </c>
      <c r="J36" s="194">
        <v>96.3</v>
      </c>
      <c r="K36" s="193">
        <v>152.1</v>
      </c>
      <c r="L36" s="194">
        <v>130.80000000000001</v>
      </c>
      <c r="M36" s="195">
        <f t="shared" si="2"/>
        <v>0.74948449163020425</v>
      </c>
      <c r="N36" s="195">
        <f t="shared" si="3"/>
        <v>0.70159277910683238</v>
      </c>
      <c r="O36" s="195">
        <f t="shared" si="4"/>
        <v>0.18714440384883291</v>
      </c>
      <c r="P36" s="195">
        <f t="shared" si="5"/>
        <v>0.15244250000000001</v>
      </c>
      <c r="Q36" s="195">
        <v>0.98499999999999999</v>
      </c>
      <c r="R36" s="195">
        <v>0.99670000000000003</v>
      </c>
      <c r="S36" s="196">
        <v>0.99</v>
      </c>
      <c r="T36" s="197">
        <v>1</v>
      </c>
      <c r="U36" s="198">
        <v>1.4999999999999999E-2</v>
      </c>
      <c r="V36" s="197">
        <v>3.3700000000000001E-2</v>
      </c>
      <c r="W36" s="198">
        <v>0</v>
      </c>
      <c r="X36" s="197">
        <v>0</v>
      </c>
      <c r="Y36" s="199">
        <f t="shared" si="0"/>
        <v>-4.5389040297539984E-2</v>
      </c>
    </row>
    <row r="37" spans="2:25">
      <c r="B37" s="189" t="s">
        <v>9</v>
      </c>
      <c r="C37" s="190" t="s">
        <v>61</v>
      </c>
      <c r="D37" s="190">
        <v>10</v>
      </c>
      <c r="E37" s="191">
        <v>12</v>
      </c>
      <c r="F37" s="192">
        <v>43830</v>
      </c>
      <c r="G37" s="24">
        <v>1133.8212174646367</v>
      </c>
      <c r="H37" s="24">
        <f>825690/1000</f>
        <v>825.69</v>
      </c>
      <c r="I37" s="193">
        <v>89.9</v>
      </c>
      <c r="J37" s="194">
        <v>67.89</v>
      </c>
      <c r="K37" s="193">
        <v>129.6</v>
      </c>
      <c r="L37" s="194">
        <v>95.48</v>
      </c>
      <c r="M37" s="195">
        <f t="shared" si="2"/>
        <v>0.74015401904639333</v>
      </c>
      <c r="N37" s="195">
        <f t="shared" si="3"/>
        <v>0.7339324812196697</v>
      </c>
      <c r="O37" s="195">
        <f t="shared" si="4"/>
        <v>0.15239532492804256</v>
      </c>
      <c r="P37" s="195">
        <f t="shared" si="5"/>
        <v>0.11097983870967743</v>
      </c>
      <c r="Q37" s="195">
        <v>0.98499999999999999</v>
      </c>
      <c r="R37" s="195">
        <v>0.9819</v>
      </c>
      <c r="S37" s="196">
        <v>0.99</v>
      </c>
      <c r="T37" s="197">
        <v>0.99870000000000003</v>
      </c>
      <c r="U37" s="198">
        <v>1.4999999999999999E-2</v>
      </c>
      <c r="V37" s="197">
        <v>3.1899999999999998E-2</v>
      </c>
      <c r="W37" s="198">
        <v>0</v>
      </c>
      <c r="X37" s="197">
        <v>0</v>
      </c>
      <c r="Y37" s="199">
        <f t="shared" si="0"/>
        <v>-8.4918906802492478E-3</v>
      </c>
    </row>
    <row r="38" spans="2:25">
      <c r="B38" s="189" t="s">
        <v>9</v>
      </c>
      <c r="C38" s="190" t="s">
        <v>61</v>
      </c>
      <c r="D38" s="190">
        <v>10</v>
      </c>
      <c r="E38" s="191">
        <v>12</v>
      </c>
      <c r="F38" s="192">
        <v>43861</v>
      </c>
      <c r="G38" s="24">
        <v>955.56845504745058</v>
      </c>
      <c r="H38" s="24">
        <f>815004/1000</f>
        <v>815.00400000000002</v>
      </c>
      <c r="I38" s="193">
        <v>79.599999999999994</v>
      </c>
      <c r="J38" s="194">
        <v>73.099999999999994</v>
      </c>
      <c r="K38" s="193">
        <v>103.2</v>
      </c>
      <c r="L38" s="194">
        <v>98.13</v>
      </c>
      <c r="M38" s="195">
        <f t="shared" si="2"/>
        <v>0.78336584216038596</v>
      </c>
      <c r="N38" s="195">
        <f t="shared" si="3"/>
        <v>0.75607658271953393</v>
      </c>
      <c r="O38" s="195">
        <f t="shared" si="4"/>
        <v>0.1284366203020767</v>
      </c>
      <c r="P38" s="195">
        <f t="shared" si="5"/>
        <v>0.10954354838709676</v>
      </c>
      <c r="Q38" s="195">
        <v>0.98499999999999999</v>
      </c>
      <c r="R38" s="195">
        <v>0.91539999999999999</v>
      </c>
      <c r="S38" s="196">
        <v>0.99</v>
      </c>
      <c r="T38" s="197">
        <v>0.98850000000000005</v>
      </c>
      <c r="U38" s="198">
        <v>1.4999999999999999E-2</v>
      </c>
      <c r="V38" s="197">
        <v>0</v>
      </c>
      <c r="W38" s="198">
        <v>0</v>
      </c>
      <c r="X38" s="197">
        <v>0</v>
      </c>
      <c r="Y38" s="199">
        <f t="shared" si="0"/>
        <v>-9.7972443924301933E-2</v>
      </c>
    </row>
    <row r="39" spans="2:25">
      <c r="B39" s="189" t="s">
        <v>9</v>
      </c>
      <c r="C39" s="190" t="s">
        <v>61</v>
      </c>
      <c r="D39" s="190">
        <v>10</v>
      </c>
      <c r="E39" s="191">
        <v>12</v>
      </c>
      <c r="F39" s="192">
        <v>43890</v>
      </c>
      <c r="G39" s="24">
        <v>1251.6856759081627</v>
      </c>
      <c r="H39" s="24">
        <f>1281138/1000</f>
        <v>1281.1379999999999</v>
      </c>
      <c r="I39" s="193">
        <v>108.1</v>
      </c>
      <c r="J39" s="194">
        <v>114.84</v>
      </c>
      <c r="K39" s="193">
        <v>137.5</v>
      </c>
      <c r="L39" s="194">
        <v>149.35</v>
      </c>
      <c r="M39" s="195">
        <f t="shared" si="2"/>
        <v>0.77014962369368567</v>
      </c>
      <c r="N39" s="195">
        <f t="shared" si="3"/>
        <v>0.7179280682629986</v>
      </c>
      <c r="O39" s="195">
        <f t="shared" si="4"/>
        <v>0.1798398959638165</v>
      </c>
      <c r="P39" s="195">
        <f t="shared" si="5"/>
        <v>0.18407155172413794</v>
      </c>
      <c r="Q39" s="195">
        <v>0.98499999999999999</v>
      </c>
      <c r="R39" s="195">
        <v>0.99570000000000003</v>
      </c>
      <c r="S39" s="196">
        <v>0.99</v>
      </c>
      <c r="T39" s="197">
        <v>0.99939999999999996</v>
      </c>
      <c r="U39" s="198">
        <v>1.4999999999999999E-2</v>
      </c>
      <c r="V39" s="197">
        <v>0</v>
      </c>
      <c r="W39" s="198">
        <v>0</v>
      </c>
      <c r="X39" s="197">
        <v>0</v>
      </c>
      <c r="Y39" s="199">
        <f t="shared" si="0"/>
        <v>-6.265169024417272E-2</v>
      </c>
    </row>
    <row r="40" spans="2:25">
      <c r="B40" s="189" t="s">
        <v>9</v>
      </c>
      <c r="C40" s="190" t="s">
        <v>61</v>
      </c>
      <c r="D40" s="190">
        <v>10</v>
      </c>
      <c r="E40" s="191">
        <v>12</v>
      </c>
      <c r="F40" s="192">
        <v>43921</v>
      </c>
      <c r="G40" s="24">
        <v>1674.0614663996689</v>
      </c>
      <c r="H40" s="24">
        <f>1494312/1000</f>
        <v>1494.3119999999999</v>
      </c>
      <c r="I40" s="193">
        <v>161.4</v>
      </c>
      <c r="J40" s="194">
        <v>152.19999999999999</v>
      </c>
      <c r="K40" s="193">
        <v>187.8</v>
      </c>
      <c r="L40" s="194">
        <v>172.5</v>
      </c>
      <c r="M40" s="195">
        <f t="shared" si="2"/>
        <v>0.75415104198749294</v>
      </c>
      <c r="N40" s="195">
        <f t="shared" si="3"/>
        <v>0.75701536815484871</v>
      </c>
      <c r="O40" s="195">
        <f t="shared" si="4"/>
        <v>0.22500826161285875</v>
      </c>
      <c r="P40" s="195">
        <f t="shared" si="5"/>
        <v>0.20084838709677419</v>
      </c>
      <c r="Q40" s="195">
        <v>0.98499999999999999</v>
      </c>
      <c r="R40" s="195">
        <v>0.9536</v>
      </c>
      <c r="S40" s="196">
        <v>0.99</v>
      </c>
      <c r="T40" s="197">
        <v>0.98780000000000001</v>
      </c>
      <c r="U40" s="198">
        <v>1.4999999999999999E-2</v>
      </c>
      <c r="V40" s="197">
        <v>0</v>
      </c>
      <c r="W40" s="198">
        <v>0</v>
      </c>
      <c r="X40" s="197">
        <v>0</v>
      </c>
      <c r="Y40" s="199">
        <f t="shared" si="0"/>
        <v>-2.5903628947185897E-2</v>
      </c>
    </row>
    <row r="41" spans="2:25">
      <c r="B41" s="189" t="s">
        <v>9</v>
      </c>
      <c r="C41" s="190" t="s">
        <v>61</v>
      </c>
      <c r="D41" s="190">
        <v>10</v>
      </c>
      <c r="E41" s="191">
        <v>12</v>
      </c>
      <c r="F41" s="192">
        <v>43951</v>
      </c>
      <c r="G41" s="24">
        <v>1729.4699034318878</v>
      </c>
      <c r="H41" s="24">
        <f>1541622/1000</f>
        <v>1541.6220000000001</v>
      </c>
      <c r="I41" s="193">
        <v>190.2</v>
      </c>
      <c r="J41" s="194">
        <v>178.20000000000002</v>
      </c>
      <c r="K41" s="193">
        <v>194</v>
      </c>
      <c r="L41" s="194">
        <v>177.89999999999998</v>
      </c>
      <c r="M41" s="195">
        <f t="shared" si="2"/>
        <v>0.75421263254308091</v>
      </c>
      <c r="N41" s="195">
        <f t="shared" si="3"/>
        <v>0.72649782902021476</v>
      </c>
      <c r="O41" s="195">
        <f t="shared" si="4"/>
        <v>0.24020415325442887</v>
      </c>
      <c r="P41" s="195">
        <f t="shared" si="5"/>
        <v>0.21411416666666669</v>
      </c>
      <c r="Q41" s="195">
        <v>0.98499999999999999</v>
      </c>
      <c r="R41" s="195">
        <v>0.99399999999999999</v>
      </c>
      <c r="S41" s="196">
        <v>0.99</v>
      </c>
      <c r="T41" s="197">
        <v>0.999</v>
      </c>
      <c r="U41" s="198">
        <v>1.4999999999999999E-2</v>
      </c>
      <c r="V41" s="197">
        <v>0</v>
      </c>
      <c r="W41" s="198">
        <v>0</v>
      </c>
      <c r="X41" s="197">
        <v>0</v>
      </c>
      <c r="Y41" s="199">
        <f t="shared" si="0"/>
        <v>-2.5626193867686164E-2</v>
      </c>
    </row>
    <row r="42" spans="2:25">
      <c r="B42" s="189" t="s">
        <v>9</v>
      </c>
      <c r="C42" s="190" t="s">
        <v>61</v>
      </c>
      <c r="D42" s="190">
        <v>10</v>
      </c>
      <c r="E42" s="191">
        <v>12</v>
      </c>
      <c r="F42" s="192">
        <v>43982</v>
      </c>
      <c r="G42" s="24">
        <v>1752.1782792647641</v>
      </c>
      <c r="H42" s="24">
        <f>1583364/1000</f>
        <v>1583.364</v>
      </c>
      <c r="I42" s="193">
        <v>197</v>
      </c>
      <c r="J42" s="194">
        <v>192.51</v>
      </c>
      <c r="K42" s="193">
        <v>197.7</v>
      </c>
      <c r="L42" s="194">
        <v>190.03</v>
      </c>
      <c r="M42" s="195">
        <f t="shared" si="2"/>
        <v>0.74981503845182551</v>
      </c>
      <c r="N42" s="195">
        <f t="shared" si="3"/>
        <v>0.72660973294362297</v>
      </c>
      <c r="O42" s="195">
        <f t="shared" si="4"/>
        <v>0.2355078332345113</v>
      </c>
      <c r="P42" s="195">
        <f t="shared" si="5"/>
        <v>0.21281774193548389</v>
      </c>
      <c r="Q42" s="195">
        <v>0.98499999999999999</v>
      </c>
      <c r="R42" s="195">
        <v>0.9556</v>
      </c>
      <c r="S42" s="196">
        <v>0.99</v>
      </c>
      <c r="T42" s="197">
        <v>0.98860000000000003</v>
      </c>
      <c r="U42" s="198">
        <v>1.4999999999999999E-2</v>
      </c>
      <c r="V42" s="197">
        <v>0</v>
      </c>
      <c r="W42" s="198">
        <v>0</v>
      </c>
      <c r="X42" s="197">
        <v>0</v>
      </c>
      <c r="Y42" s="199">
        <f t="shared" si="0"/>
        <v>-5.7549222565444147E-2</v>
      </c>
    </row>
    <row r="43" spans="2:25">
      <c r="B43" s="189" t="s">
        <v>9</v>
      </c>
      <c r="C43" s="190" t="s">
        <v>61</v>
      </c>
      <c r="D43" s="190">
        <v>10</v>
      </c>
      <c r="E43" s="191">
        <v>12</v>
      </c>
      <c r="F43" s="192">
        <v>44012</v>
      </c>
      <c r="G43" s="24">
        <v>1575.9612828016416</v>
      </c>
      <c r="H43" s="24">
        <f>1580274/1000</f>
        <v>1580.2739999999999</v>
      </c>
      <c r="I43" s="193">
        <v>178.9</v>
      </c>
      <c r="J43" s="194">
        <v>188.75</v>
      </c>
      <c r="K43" s="193">
        <v>177.2</v>
      </c>
      <c r="L43" s="194">
        <v>184.28</v>
      </c>
      <c r="M43" s="195">
        <f t="shared" si="2"/>
        <v>0.75242696256566788</v>
      </c>
      <c r="N43" s="195">
        <f t="shared" si="3"/>
        <v>0.72344234125618401</v>
      </c>
      <c r="O43" s="195">
        <f t="shared" si="4"/>
        <v>0.21888351150022797</v>
      </c>
      <c r="P43" s="195">
        <f t="shared" si="5"/>
        <v>0.21948249999999997</v>
      </c>
      <c r="Q43" s="195">
        <v>0.98499999999999999</v>
      </c>
      <c r="R43" s="195">
        <v>0.98780000000000001</v>
      </c>
      <c r="S43" s="196">
        <v>0.99</v>
      </c>
      <c r="T43" s="197">
        <v>0.99850000000000005</v>
      </c>
      <c r="U43" s="198">
        <v>1.4999999999999999E-2</v>
      </c>
      <c r="V43" s="197">
        <v>0</v>
      </c>
      <c r="W43" s="198">
        <v>0</v>
      </c>
      <c r="X43" s="197">
        <v>0</v>
      </c>
      <c r="Y43" s="199">
        <f t="shared" si="0"/>
        <v>-3.7218290360442774E-2</v>
      </c>
    </row>
    <row r="44" spans="2:25">
      <c r="B44" s="189" t="s">
        <v>9</v>
      </c>
      <c r="C44" s="190" t="s">
        <v>61</v>
      </c>
      <c r="D44" s="190">
        <v>10</v>
      </c>
      <c r="E44" s="191">
        <v>12</v>
      </c>
      <c r="F44" s="192">
        <v>44043</v>
      </c>
      <c r="G44" s="24">
        <v>1397.9276162718886</v>
      </c>
      <c r="H44" s="24">
        <f>1333482/1000</f>
        <v>1333.482</v>
      </c>
      <c r="I44" s="193">
        <v>155.5</v>
      </c>
      <c r="J44" s="194">
        <v>156.01999999999998</v>
      </c>
      <c r="K44" s="193">
        <v>154.6</v>
      </c>
      <c r="L44" s="194">
        <v>153.03000000000006</v>
      </c>
      <c r="M44" s="195">
        <f t="shared" si="2"/>
        <v>0.76499345304179378</v>
      </c>
      <c r="N44" s="195">
        <f t="shared" si="3"/>
        <v>0.77415245446389447</v>
      </c>
      <c r="O44" s="195">
        <f t="shared" si="4"/>
        <v>0.18789349681073772</v>
      </c>
      <c r="P44" s="195">
        <f t="shared" si="5"/>
        <v>0.17923145161290321</v>
      </c>
      <c r="Q44" s="195">
        <v>0.98499999999999999</v>
      </c>
      <c r="R44" s="195">
        <v>0.93799999999999994</v>
      </c>
      <c r="S44" s="196">
        <v>0.99</v>
      </c>
      <c r="T44" s="197">
        <v>0.98960000000000004</v>
      </c>
      <c r="U44" s="198">
        <v>1.4999999999999999E-2</v>
      </c>
      <c r="V44" s="197">
        <v>0</v>
      </c>
      <c r="W44" s="198">
        <v>0</v>
      </c>
      <c r="X44" s="197">
        <v>0</v>
      </c>
      <c r="Y44" s="199">
        <f t="shared" si="0"/>
        <v>-3.5945585580761774E-2</v>
      </c>
    </row>
    <row r="45" spans="2:25">
      <c r="B45" s="189" t="s">
        <v>9</v>
      </c>
      <c r="C45" s="190" t="s">
        <v>61</v>
      </c>
      <c r="D45" s="190">
        <v>10</v>
      </c>
      <c r="E45" s="191">
        <v>12</v>
      </c>
      <c r="F45" s="192">
        <v>44074</v>
      </c>
      <c r="G45" s="24">
        <v>1327.9858187066282</v>
      </c>
      <c r="H45" s="24">
        <v>1166.8320000000001</v>
      </c>
      <c r="I45" s="193">
        <v>145.4</v>
      </c>
      <c r="J45" s="194">
        <v>135.93</v>
      </c>
      <c r="K45" s="193">
        <v>146.30000000000001</v>
      </c>
      <c r="L45" s="194">
        <v>136.41999999999999</v>
      </c>
      <c r="M45" s="195">
        <f t="shared" si="2"/>
        <v>0.76794768341401964</v>
      </c>
      <c r="N45" s="195">
        <f t="shared" si="3"/>
        <v>0.75980107520806983</v>
      </c>
      <c r="O45" s="195">
        <f t="shared" si="4"/>
        <v>0.17849271756809518</v>
      </c>
      <c r="P45" s="195">
        <f t="shared" si="5"/>
        <v>0.15683225806451612</v>
      </c>
      <c r="Q45" s="195">
        <v>0.98499999999999999</v>
      </c>
      <c r="R45" s="195">
        <v>0.93810000000000004</v>
      </c>
      <c r="S45" s="196">
        <v>0.99</v>
      </c>
      <c r="T45" s="197">
        <v>0.99860000000000004</v>
      </c>
      <c r="U45" s="198">
        <v>1.4999999999999999E-2</v>
      </c>
      <c r="V45" s="197">
        <v>0</v>
      </c>
      <c r="W45" s="198">
        <v>0</v>
      </c>
      <c r="X45" s="197">
        <v>0</v>
      </c>
      <c r="Y45" s="199">
        <f t="shared" si="0"/>
        <v>-5.3819595446323309E-2</v>
      </c>
    </row>
    <row r="46" spans="2:25">
      <c r="B46" s="189" t="s">
        <v>9</v>
      </c>
      <c r="C46" s="190" t="s">
        <v>61</v>
      </c>
      <c r="D46" s="190">
        <v>10</v>
      </c>
      <c r="E46" s="191">
        <v>12</v>
      </c>
      <c r="F46" s="192">
        <v>44104</v>
      </c>
      <c r="G46" s="24">
        <v>1321.6274734734229</v>
      </c>
      <c r="H46" s="24">
        <f>1335456/1000</f>
        <v>1335.4559999999999</v>
      </c>
      <c r="I46" s="193">
        <v>141.6</v>
      </c>
      <c r="J46" s="194">
        <v>146.83000000000001</v>
      </c>
      <c r="K46" s="193">
        <v>145.5</v>
      </c>
      <c r="L46" s="194">
        <v>157.63999999999999</v>
      </c>
      <c r="M46" s="195">
        <f t="shared" si="2"/>
        <v>0.76847295542729899</v>
      </c>
      <c r="N46" s="195">
        <f t="shared" si="3"/>
        <v>0.71475443309211817</v>
      </c>
      <c r="O46" s="195">
        <f t="shared" si="4"/>
        <v>0.1835593713157532</v>
      </c>
      <c r="P46" s="195">
        <f t="shared" si="5"/>
        <v>0.18548000000000001</v>
      </c>
      <c r="Q46" s="195">
        <v>0.98499999999999999</v>
      </c>
      <c r="R46" s="195">
        <v>0.98770000000000002</v>
      </c>
      <c r="S46" s="196">
        <v>0.99</v>
      </c>
      <c r="T46" s="197">
        <v>0.99429999999999996</v>
      </c>
      <c r="U46" s="198">
        <v>1.4999999999999999E-2</v>
      </c>
      <c r="V46" s="197">
        <v>0</v>
      </c>
      <c r="W46" s="198">
        <v>0</v>
      </c>
      <c r="X46" s="197">
        <v>0</v>
      </c>
      <c r="Y46" s="199">
        <f t="shared" si="0"/>
        <v>-7.2973170166026557E-2</v>
      </c>
    </row>
    <row r="47" spans="2:25">
      <c r="B47" s="189" t="s">
        <v>9</v>
      </c>
      <c r="C47" s="190" t="s">
        <v>61</v>
      </c>
      <c r="D47" s="190">
        <v>10</v>
      </c>
      <c r="E47" s="191">
        <v>12</v>
      </c>
      <c r="F47" s="192">
        <v>44135</v>
      </c>
      <c r="G47" s="24">
        <v>1511.4694954362719</v>
      </c>
      <c r="H47" s="24">
        <f>1422570/1000</f>
        <v>1422.57</v>
      </c>
      <c r="I47" s="193">
        <v>139.1</v>
      </c>
      <c r="J47" s="194">
        <v>135.99</v>
      </c>
      <c r="K47" s="193">
        <v>172.2</v>
      </c>
      <c r="L47" s="194">
        <v>172.93</v>
      </c>
      <c r="M47" s="195">
        <f t="shared" si="2"/>
        <v>0.74258942963474184</v>
      </c>
      <c r="N47" s="195">
        <f t="shared" si="3"/>
        <v>0.68737896721773317</v>
      </c>
      <c r="O47" s="195">
        <f t="shared" si="4"/>
        <v>0.20315450207476773</v>
      </c>
      <c r="P47" s="195">
        <f t="shared" si="5"/>
        <v>0.19120564516129032</v>
      </c>
      <c r="Q47" s="195">
        <v>0.98499999999999999</v>
      </c>
      <c r="R47" s="195">
        <v>0.99729999999999996</v>
      </c>
      <c r="S47" s="196">
        <v>0.99</v>
      </c>
      <c r="T47" s="197">
        <v>0.99970000000000003</v>
      </c>
      <c r="U47" s="198">
        <v>1.4999999999999999E-2</v>
      </c>
      <c r="V47" s="197">
        <v>0</v>
      </c>
      <c r="W47" s="198">
        <v>0</v>
      </c>
      <c r="X47" s="197">
        <v>0</v>
      </c>
      <c r="Y47" s="199">
        <f t="shared" si="0"/>
        <v>-6.3055855825465357E-2</v>
      </c>
    </row>
    <row r="48" spans="2:25">
      <c r="B48" s="189" t="s">
        <v>9</v>
      </c>
      <c r="C48" s="190" t="s">
        <v>61</v>
      </c>
      <c r="D48" s="190">
        <v>10</v>
      </c>
      <c r="E48" s="191">
        <v>12</v>
      </c>
      <c r="F48" s="192">
        <v>44165</v>
      </c>
      <c r="G48" s="24">
        <v>1340.7025091730388</v>
      </c>
      <c r="H48" s="24">
        <f>1109790/1000</f>
        <v>1109.79</v>
      </c>
      <c r="I48" s="193">
        <v>108.1</v>
      </c>
      <c r="J48" s="194">
        <v>102.51</v>
      </c>
      <c r="K48" s="193">
        <v>152.1</v>
      </c>
      <c r="L48" s="194">
        <v>140.22999999999999</v>
      </c>
      <c r="M48" s="195">
        <f t="shared" si="2"/>
        <v>0.74573706917205318</v>
      </c>
      <c r="N48" s="195">
        <f t="shared" si="3"/>
        <v>0.68813210755476006</v>
      </c>
      <c r="O48" s="195">
        <f t="shared" si="4"/>
        <v>0.18620868182958872</v>
      </c>
      <c r="P48" s="195">
        <f t="shared" si="5"/>
        <v>0.15413749999999998</v>
      </c>
      <c r="Q48" s="195">
        <v>0.98499999999999999</v>
      </c>
      <c r="R48" s="195">
        <v>0.95840000000000003</v>
      </c>
      <c r="S48" s="196">
        <v>0.99</v>
      </c>
      <c r="T48" s="197">
        <v>0.99629999999999996</v>
      </c>
      <c r="U48" s="198">
        <v>1.4999999999999999E-2</v>
      </c>
      <c r="V48" s="197">
        <v>0</v>
      </c>
      <c r="W48" s="198">
        <v>0</v>
      </c>
      <c r="X48" s="197">
        <v>0</v>
      </c>
      <c r="Y48" s="199">
        <f t="shared" si="0"/>
        <v>-9.4191710687598684E-2</v>
      </c>
    </row>
    <row r="49" spans="2:25">
      <c r="B49" s="189" t="s">
        <v>9</v>
      </c>
      <c r="C49" s="190" t="s">
        <v>61</v>
      </c>
      <c r="D49" s="190">
        <v>10</v>
      </c>
      <c r="E49" s="191">
        <v>12</v>
      </c>
      <c r="F49" s="192">
        <v>44196</v>
      </c>
      <c r="G49" s="24">
        <v>1128.1521113773138</v>
      </c>
      <c r="H49" s="24">
        <f>983274/1000</f>
        <v>983.274</v>
      </c>
      <c r="I49" s="193">
        <v>89.9</v>
      </c>
      <c r="J49" s="194">
        <v>83.85</v>
      </c>
      <c r="K49" s="193">
        <v>129.6</v>
      </c>
      <c r="L49" s="194">
        <v>119.27</v>
      </c>
      <c r="M49" s="195">
        <f t="shared" si="2"/>
        <v>0.73645324895116149</v>
      </c>
      <c r="N49" s="195">
        <f t="shared" si="3"/>
        <v>0.69185142817868783</v>
      </c>
      <c r="O49" s="195">
        <f t="shared" si="4"/>
        <v>0.15163334830340239</v>
      </c>
      <c r="P49" s="195">
        <f t="shared" si="5"/>
        <v>0.13216048387096774</v>
      </c>
      <c r="Q49" s="195">
        <v>0.98499999999999999</v>
      </c>
      <c r="R49" s="195">
        <v>0.99299999999999999</v>
      </c>
      <c r="S49" s="196">
        <v>0.99</v>
      </c>
      <c r="T49" s="197">
        <v>0.99780000000000002</v>
      </c>
      <c r="U49" s="198">
        <v>1.4999999999999999E-2</v>
      </c>
      <c r="V49" s="197">
        <v>0</v>
      </c>
      <c r="W49" s="198">
        <v>0</v>
      </c>
      <c r="X49" s="197">
        <v>0</v>
      </c>
      <c r="Y49" s="199">
        <f t="shared" si="0"/>
        <v>-4.8713934277296311E-2</v>
      </c>
    </row>
    <row r="50" spans="2:25">
      <c r="B50" s="189" t="s">
        <v>9</v>
      </c>
      <c r="C50" s="190" t="s">
        <v>61</v>
      </c>
      <c r="D50" s="190">
        <v>10</v>
      </c>
      <c r="E50" s="191">
        <v>12</v>
      </c>
      <c r="F50" s="192">
        <v>44227</v>
      </c>
      <c r="G50" s="24">
        <v>950.79061277221342</v>
      </c>
      <c r="H50" s="24">
        <v>766.13400000000001</v>
      </c>
      <c r="I50" s="193">
        <v>79.599999999999994</v>
      </c>
      <c r="J50" s="194">
        <v>71.559999999999988</v>
      </c>
      <c r="K50" s="193">
        <v>103.2</v>
      </c>
      <c r="L50" s="194">
        <v>93.47999999999999</v>
      </c>
      <c r="M50" s="195">
        <f t="shared" si="2"/>
        <v>0.77944901294958402</v>
      </c>
      <c r="N50" s="195">
        <f t="shared" si="3"/>
        <v>0.69769636112736133</v>
      </c>
      <c r="O50" s="195">
        <f t="shared" si="4"/>
        <v>0.12779443720056632</v>
      </c>
      <c r="P50" s="195">
        <f t="shared" si="5"/>
        <v>0.10297500000000001</v>
      </c>
      <c r="Q50" s="195">
        <v>0.98499999999999999</v>
      </c>
      <c r="R50" s="195">
        <v>0.97889999999999999</v>
      </c>
      <c r="S50" s="196">
        <v>0.99</v>
      </c>
      <c r="T50" s="197">
        <v>1</v>
      </c>
      <c r="U50" s="198">
        <v>1.4999999999999999E-2</v>
      </c>
      <c r="V50" s="197">
        <v>0</v>
      </c>
      <c r="W50" s="198">
        <v>0</v>
      </c>
      <c r="X50" s="197">
        <v>0</v>
      </c>
      <c r="Y50" s="199">
        <f t="shared" si="0"/>
        <v>-0.10002770601355881</v>
      </c>
    </row>
    <row r="51" spans="2:25">
      <c r="B51" s="189" t="s">
        <v>9</v>
      </c>
      <c r="C51" s="190" t="s">
        <v>61</v>
      </c>
      <c r="D51" s="190">
        <v>10</v>
      </c>
      <c r="E51" s="191">
        <v>12</v>
      </c>
      <c r="F51" s="192">
        <v>44255</v>
      </c>
      <c r="G51" s="24">
        <v>1245.4272475286218</v>
      </c>
      <c r="H51" s="24">
        <v>1096.2239999999999</v>
      </c>
      <c r="I51" s="193">
        <v>108.1</v>
      </c>
      <c r="J51" s="194">
        <v>106.51</v>
      </c>
      <c r="K51" s="193">
        <v>137.5</v>
      </c>
      <c r="L51" s="194">
        <v>140.61000000000004</v>
      </c>
      <c r="M51" s="195">
        <f t="shared" si="2"/>
        <v>0.76629887557521725</v>
      </c>
      <c r="N51" s="195">
        <f t="shared" si="3"/>
        <v>0.72286308226138463</v>
      </c>
      <c r="O51" s="195">
        <f t="shared" si="4"/>
        <v>0.18533143564414017</v>
      </c>
      <c r="P51" s="195">
        <f t="shared" si="5"/>
        <v>0.1631285714285714</v>
      </c>
      <c r="Q51" s="195">
        <v>0.98499999999999999</v>
      </c>
      <c r="R51" s="195">
        <v>0.89876428571428579</v>
      </c>
      <c r="S51" s="196">
        <v>0.99</v>
      </c>
      <c r="T51" s="197">
        <v>1</v>
      </c>
      <c r="U51" s="198">
        <v>1.4999999999999999E-2</v>
      </c>
      <c r="V51" s="197">
        <v>0</v>
      </c>
      <c r="W51" s="198">
        <v>0</v>
      </c>
      <c r="X51" s="197">
        <v>0</v>
      </c>
      <c r="Y51" s="199">
        <f t="shared" si="0"/>
        <v>-0.14241903556110047</v>
      </c>
    </row>
    <row r="52" spans="2:25">
      <c r="B52" s="189" t="s">
        <v>9</v>
      </c>
      <c r="C52" s="190" t="s">
        <v>61</v>
      </c>
      <c r="D52" s="190">
        <v>10</v>
      </c>
      <c r="E52" s="191">
        <v>12</v>
      </c>
      <c r="F52" s="192">
        <v>44286</v>
      </c>
      <c r="G52" s="24">
        <v>1665.6911590676705</v>
      </c>
      <c r="H52" s="24">
        <v>1485.7739999999999</v>
      </c>
      <c r="I52" s="193">
        <v>161.4</v>
      </c>
      <c r="J52" s="194">
        <v>155.31</v>
      </c>
      <c r="K52" s="193">
        <v>187.8</v>
      </c>
      <c r="L52" s="194">
        <v>180.7</v>
      </c>
      <c r="M52" s="195">
        <f t="shared" si="2"/>
        <v>0.75038028677755531</v>
      </c>
      <c r="N52" s="195">
        <f t="shared" si="3"/>
        <v>0.6887351227676326</v>
      </c>
      <c r="O52" s="195">
        <f t="shared" si="4"/>
        <v>0.22388322030479441</v>
      </c>
      <c r="P52" s="195">
        <f t="shared" si="5"/>
        <v>0.19970080645161289</v>
      </c>
      <c r="Q52" s="195">
        <v>0.98499999999999999</v>
      </c>
      <c r="R52" s="195">
        <v>0.99485806451612901</v>
      </c>
      <c r="S52" s="196">
        <v>0.99</v>
      </c>
      <c r="T52" s="197">
        <v>1</v>
      </c>
      <c r="U52" s="198">
        <v>1.4999999999999999E-2</v>
      </c>
      <c r="V52" s="197">
        <v>0</v>
      </c>
      <c r="W52" s="198">
        <v>0</v>
      </c>
      <c r="X52" s="197">
        <v>0</v>
      </c>
      <c r="Y52" s="199">
        <f t="shared" si="0"/>
        <v>-7.020733946032387E-2</v>
      </c>
    </row>
    <row r="53" spans="2:25">
      <c r="B53" s="189" t="s">
        <v>9</v>
      </c>
      <c r="C53" s="190" t="s">
        <v>61</v>
      </c>
      <c r="D53" s="190">
        <v>10</v>
      </c>
      <c r="E53" s="191">
        <v>12</v>
      </c>
      <c r="F53" s="192">
        <v>44316</v>
      </c>
      <c r="G53" s="24">
        <v>1720.8225539147284</v>
      </c>
      <c r="H53" s="24">
        <v>1509.5219999999999</v>
      </c>
      <c r="I53" s="193">
        <v>190.2</v>
      </c>
      <c r="J53" s="194">
        <v>179.77000000000004</v>
      </c>
      <c r="K53" s="193">
        <v>194</v>
      </c>
      <c r="L53" s="194">
        <v>185.49999999999997</v>
      </c>
      <c r="M53" s="195">
        <f t="shared" si="2"/>
        <v>0.75044156938036544</v>
      </c>
      <c r="N53" s="195">
        <f t="shared" si="3"/>
        <v>0.69148404461171242</v>
      </c>
      <c r="O53" s="195">
        <f t="shared" si="4"/>
        <v>0.23900313248815674</v>
      </c>
      <c r="P53" s="195">
        <f t="shared" si="5"/>
        <v>0.20965583333333332</v>
      </c>
      <c r="Q53" s="195">
        <v>0.98499999999999999</v>
      </c>
      <c r="R53" s="195">
        <v>0.98069085</v>
      </c>
      <c r="S53" s="196">
        <v>0.99</v>
      </c>
      <c r="T53" s="197">
        <v>0.98850000000000005</v>
      </c>
      <c r="U53" s="198">
        <v>1.4999999999999999E-2</v>
      </c>
      <c r="V53" s="197">
        <v>2.1460316435409882E-2</v>
      </c>
      <c r="W53" s="198">
        <v>0</v>
      </c>
      <c r="X53" s="197">
        <v>0</v>
      </c>
      <c r="Y53" s="199">
        <f t="shared" si="0"/>
        <v>-7.8976004312538373E-2</v>
      </c>
    </row>
    <row r="54" spans="2:25">
      <c r="B54" s="189" t="s">
        <v>9</v>
      </c>
      <c r="C54" s="190" t="s">
        <v>61</v>
      </c>
      <c r="D54" s="190">
        <v>10</v>
      </c>
      <c r="E54" s="191">
        <v>12</v>
      </c>
      <c r="F54" s="192">
        <v>44347</v>
      </c>
      <c r="G54" s="24">
        <v>1743.4173878684401</v>
      </c>
      <c r="H54" s="24">
        <v>1461.636</v>
      </c>
      <c r="I54" s="193">
        <v>197</v>
      </c>
      <c r="J54" s="194">
        <v>179.44</v>
      </c>
      <c r="K54" s="193">
        <v>197.7</v>
      </c>
      <c r="L54" s="194">
        <v>180.14000000000001</v>
      </c>
      <c r="M54" s="195">
        <f t="shared" si="2"/>
        <v>0.74606596325956631</v>
      </c>
      <c r="N54" s="195">
        <f t="shared" si="3"/>
        <v>0.70772182657272653</v>
      </c>
      <c r="O54" s="195">
        <f t="shared" si="4"/>
        <v>0.23433029406833872</v>
      </c>
      <c r="P54" s="195">
        <f t="shared" si="5"/>
        <v>0.1964564516129032</v>
      </c>
      <c r="Q54" s="195">
        <v>0.98499999999999999</v>
      </c>
      <c r="R54" s="195">
        <v>0.95540000000000003</v>
      </c>
      <c r="S54" s="196">
        <v>0.99</v>
      </c>
      <c r="T54" s="197">
        <v>1</v>
      </c>
      <c r="U54" s="198">
        <v>1.4999999999999999E-2</v>
      </c>
      <c r="V54" s="197">
        <v>1.0797789094995007E-2</v>
      </c>
      <c r="W54" s="198">
        <v>0</v>
      </c>
      <c r="X54" s="197">
        <v>0</v>
      </c>
      <c r="Y54" s="199">
        <f t="shared" si="0"/>
        <v>-7.2804443887210746E-2</v>
      </c>
    </row>
    <row r="55" spans="2:25">
      <c r="B55" s="189" t="s">
        <v>9</v>
      </c>
      <c r="C55" s="190" t="s">
        <v>61</v>
      </c>
      <c r="D55" s="190">
        <v>10</v>
      </c>
      <c r="E55" s="191">
        <v>12</v>
      </c>
      <c r="F55" s="192">
        <v>44377</v>
      </c>
      <c r="G55" s="24">
        <v>1568.0814763876335</v>
      </c>
      <c r="H55" s="24">
        <v>1546.896</v>
      </c>
      <c r="I55" s="193">
        <v>178.9</v>
      </c>
      <c r="J55" s="194">
        <v>182.26999999999998</v>
      </c>
      <c r="K55" s="193">
        <v>177.2</v>
      </c>
      <c r="L55" s="194">
        <v>180.01999999999998</v>
      </c>
      <c r="M55" s="195">
        <f t="shared" si="2"/>
        <v>0.74866482775283971</v>
      </c>
      <c r="N55" s="195">
        <f t="shared" si="3"/>
        <v>0.72293666046429994</v>
      </c>
      <c r="O55" s="195">
        <f t="shared" si="4"/>
        <v>0.21778909394272689</v>
      </c>
      <c r="P55" s="195">
        <f t="shared" si="5"/>
        <v>0.21484666666666663</v>
      </c>
      <c r="Q55" s="195">
        <v>0.98499999999999999</v>
      </c>
      <c r="R55" s="195">
        <v>0.99051</v>
      </c>
      <c r="S55" s="196">
        <v>0.99</v>
      </c>
      <c r="T55" s="197">
        <v>1</v>
      </c>
      <c r="U55" s="198">
        <v>1.4999999999999999E-2</v>
      </c>
      <c r="V55" s="197">
        <v>1.8800000000000001E-2</v>
      </c>
      <c r="W55" s="198">
        <v>0</v>
      </c>
      <c r="X55" s="197">
        <v>0</v>
      </c>
      <c r="Y55" s="199">
        <f t="shared" si="0"/>
        <v>-2.9424664844912907E-2</v>
      </c>
    </row>
    <row r="56" spans="2:25">
      <c r="B56" s="189" t="s">
        <v>9</v>
      </c>
      <c r="C56" s="190" t="s">
        <v>61</v>
      </c>
      <c r="D56" s="190">
        <v>10</v>
      </c>
      <c r="E56" s="191">
        <v>12</v>
      </c>
      <c r="F56" s="192">
        <v>44408</v>
      </c>
      <c r="G56" s="24">
        <v>1390.9379781905291</v>
      </c>
      <c r="H56" s="24">
        <f>1237806/1000</f>
        <v>1237.806</v>
      </c>
      <c r="I56" s="193">
        <v>155.5</v>
      </c>
      <c r="J56" s="194">
        <v>145.87000000000003</v>
      </c>
      <c r="K56" s="193">
        <v>154.6</v>
      </c>
      <c r="L56" s="194">
        <v>145.22999999999999</v>
      </c>
      <c r="M56" s="195">
        <f t="shared" si="2"/>
        <v>0.7611684857765848</v>
      </c>
      <c r="N56" s="195">
        <f t="shared" si="3"/>
        <v>0.72661194593658129</v>
      </c>
      <c r="O56" s="195">
        <f t="shared" si="4"/>
        <v>0.18695402932668401</v>
      </c>
      <c r="P56" s="195">
        <f t="shared" si="5"/>
        <v>0.1663717741935484</v>
      </c>
      <c r="Q56" s="195">
        <v>0.98499999999999999</v>
      </c>
      <c r="R56" s="195">
        <v>0.97749032258064528</v>
      </c>
      <c r="S56" s="196">
        <v>0.99</v>
      </c>
      <c r="T56" s="197">
        <v>1</v>
      </c>
      <c r="U56" s="198">
        <v>1.4999999999999999E-2</v>
      </c>
      <c r="V56" s="197">
        <v>9.2999999999999992E-3</v>
      </c>
      <c r="W56" s="198">
        <v>0</v>
      </c>
      <c r="X56" s="197">
        <v>0</v>
      </c>
      <c r="Y56" s="199">
        <f t="shared" si="0"/>
        <v>-4.9484579109315585E-2</v>
      </c>
    </row>
    <row r="57" spans="2:25">
      <c r="B57" s="189" t="s">
        <v>9</v>
      </c>
      <c r="C57" s="190" t="s">
        <v>61</v>
      </c>
      <c r="D57" s="190">
        <v>10</v>
      </c>
      <c r="E57" s="191">
        <v>12</v>
      </c>
      <c r="F57" s="192">
        <v>44439</v>
      </c>
      <c r="G57" s="24">
        <v>1321.3458896130949</v>
      </c>
      <c r="H57" s="24">
        <v>1250.0999999999999</v>
      </c>
      <c r="I57" s="193">
        <v>145.4</v>
      </c>
      <c r="J57" s="194">
        <v>140.78000000000003</v>
      </c>
      <c r="K57" s="193">
        <v>146.30000000000001</v>
      </c>
      <c r="L57" s="194">
        <v>144.21999999999997</v>
      </c>
      <c r="M57" s="195">
        <f t="shared" si="2"/>
        <v>0.76410794499694945</v>
      </c>
      <c r="N57" s="195">
        <f t="shared" si="3"/>
        <v>0.73633135581488929</v>
      </c>
      <c r="O57" s="195">
        <f t="shared" si="4"/>
        <v>0.1776002539802547</v>
      </c>
      <c r="P57" s="195">
        <f t="shared" si="5"/>
        <v>0.1680241935483871</v>
      </c>
      <c r="Q57" s="195">
        <v>0.98499999999999999</v>
      </c>
      <c r="R57" s="195">
        <v>0.98099032258064511</v>
      </c>
      <c r="S57" s="196">
        <v>0.99</v>
      </c>
      <c r="T57" s="197">
        <v>1</v>
      </c>
      <c r="U57" s="198">
        <v>1.4999999999999999E-2</v>
      </c>
      <c r="V57" s="197">
        <v>4.5999999999999999E-3</v>
      </c>
      <c r="W57" s="198">
        <v>0</v>
      </c>
      <c r="X57" s="197">
        <v>0</v>
      </c>
      <c r="Y57" s="199">
        <f t="shared" si="0"/>
        <v>-3.9701820494509876E-2</v>
      </c>
    </row>
    <row r="58" spans="2:25">
      <c r="B58" s="189" t="s">
        <v>9</v>
      </c>
      <c r="C58" s="190" t="s">
        <v>61</v>
      </c>
      <c r="D58" s="190">
        <v>10</v>
      </c>
      <c r="E58" s="191">
        <v>12</v>
      </c>
      <c r="F58" s="192">
        <v>44469</v>
      </c>
      <c r="G58" s="24">
        <v>1315.0193361060558</v>
      </c>
      <c r="H58" s="24">
        <v>1196.2080000000001</v>
      </c>
      <c r="I58" s="193">
        <v>141.6</v>
      </c>
      <c r="J58" s="194">
        <v>129.68999999999997</v>
      </c>
      <c r="K58" s="193">
        <v>145.5</v>
      </c>
      <c r="L58" s="194">
        <v>140.90999999999997</v>
      </c>
      <c r="M58" s="195">
        <f t="shared" si="2"/>
        <v>0.76463059065016237</v>
      </c>
      <c r="N58" s="195">
        <f t="shared" si="3"/>
        <v>0.71440511593464984</v>
      </c>
      <c r="O58" s="195">
        <f t="shared" si="4"/>
        <v>0.18264157445917442</v>
      </c>
      <c r="P58" s="195">
        <f t="shared" si="5"/>
        <v>0.16614000000000001</v>
      </c>
      <c r="Q58" s="195">
        <v>0.98499999999999999</v>
      </c>
      <c r="R58" s="195">
        <v>0.99023685422222218</v>
      </c>
      <c r="S58" s="196">
        <v>0.99</v>
      </c>
      <c r="T58" s="197">
        <v>0.99776666666666669</v>
      </c>
      <c r="U58" s="198">
        <v>1.4999999999999999E-2</v>
      </c>
      <c r="V58" s="197">
        <v>3.8999999999999998E-3</v>
      </c>
      <c r="W58" s="198">
        <v>0</v>
      </c>
      <c r="X58" s="197">
        <v>0</v>
      </c>
      <c r="Y58" s="199">
        <f t="shared" si="0"/>
        <v>-5.8803105660800159E-2</v>
      </c>
    </row>
    <row r="59" spans="2:25">
      <c r="B59" s="189" t="s">
        <v>9</v>
      </c>
      <c r="C59" s="190" t="s">
        <v>61</v>
      </c>
      <c r="D59" s="190">
        <v>10</v>
      </c>
      <c r="E59" s="191">
        <v>12</v>
      </c>
      <c r="F59" s="192">
        <v>44500</v>
      </c>
      <c r="G59" s="24">
        <v>1503.9121479590906</v>
      </c>
      <c r="H59" s="24">
        <v>1369.548</v>
      </c>
      <c r="I59" s="193">
        <v>139.1</v>
      </c>
      <c r="J59" s="194">
        <v>127.41</v>
      </c>
      <c r="K59" s="193">
        <v>172.2</v>
      </c>
      <c r="L59" s="194">
        <v>162.55999999999997</v>
      </c>
      <c r="M59" s="195">
        <f t="shared" si="2"/>
        <v>0.73887648248656812</v>
      </c>
      <c r="N59" s="195">
        <f t="shared" si="3"/>
        <v>0.71413162161866572</v>
      </c>
      <c r="O59" s="195">
        <f t="shared" si="4"/>
        <v>0.20213872956439388</v>
      </c>
      <c r="P59" s="195">
        <f t="shared" si="5"/>
        <v>0.18407903225806452</v>
      </c>
      <c r="Q59" s="195">
        <v>0.98499999999999999</v>
      </c>
      <c r="R59" s="195">
        <v>0.98311439999999994</v>
      </c>
      <c r="S59" s="196">
        <v>0.99</v>
      </c>
      <c r="T59" s="197">
        <v>0.99912580645161286</v>
      </c>
      <c r="U59" s="198">
        <v>1.4999999999999999E-2</v>
      </c>
      <c r="V59" s="197">
        <v>2.2700000000000001E-2</v>
      </c>
      <c r="W59" s="198">
        <v>0</v>
      </c>
      <c r="X59" s="197">
        <v>0</v>
      </c>
      <c r="Y59" s="199">
        <f t="shared" si="0"/>
        <v>-3.3361666108983168E-2</v>
      </c>
    </row>
    <row r="60" spans="2:25">
      <c r="B60" s="189" t="s">
        <v>9</v>
      </c>
      <c r="C60" s="190" t="s">
        <v>61</v>
      </c>
      <c r="D60" s="190">
        <v>10</v>
      </c>
      <c r="E60" s="191">
        <v>12</v>
      </c>
      <c r="F60" s="192">
        <v>44530</v>
      </c>
      <c r="G60" s="24">
        <v>1333.9989966271737</v>
      </c>
      <c r="H60" s="24">
        <v>1243.356</v>
      </c>
      <c r="I60" s="193">
        <v>108.1</v>
      </c>
      <c r="J60" s="194">
        <v>103.86999999999999</v>
      </c>
      <c r="K60" s="193">
        <v>152.1</v>
      </c>
      <c r="L60" s="194">
        <v>152.04999999999998</v>
      </c>
      <c r="M60" s="195">
        <f t="shared" si="2"/>
        <v>0.74200838382619294</v>
      </c>
      <c r="N60" s="195">
        <f t="shared" si="3"/>
        <v>0.68503905418360778</v>
      </c>
      <c r="O60" s="195">
        <f t="shared" si="4"/>
        <v>0.18527763842044079</v>
      </c>
      <c r="P60" s="195">
        <f t="shared" si="5"/>
        <v>0.17268833333333333</v>
      </c>
      <c r="Q60" s="195">
        <v>0.98499999999999999</v>
      </c>
      <c r="R60" s="195">
        <v>0.99474666666666656</v>
      </c>
      <c r="S60" s="196">
        <v>0.99</v>
      </c>
      <c r="T60" s="197">
        <v>1</v>
      </c>
      <c r="U60" s="198">
        <v>1.4999999999999999E-2</v>
      </c>
      <c r="V60" s="197">
        <v>2.0392090121721114E-2</v>
      </c>
      <c r="W60" s="198">
        <v>0</v>
      </c>
      <c r="X60" s="197">
        <v>0</v>
      </c>
      <c r="Y60" s="199">
        <f t="shared" si="0"/>
        <v>-6.7619593343324458E-2</v>
      </c>
    </row>
    <row r="61" spans="2:25">
      <c r="B61" s="189" t="s">
        <v>9</v>
      </c>
      <c r="C61" s="190" t="s">
        <v>61</v>
      </c>
      <c r="D61" s="190">
        <v>10</v>
      </c>
      <c r="E61" s="191">
        <v>12</v>
      </c>
      <c r="F61" s="192">
        <v>44561</v>
      </c>
      <c r="G61" s="24">
        <v>1122.511350820427</v>
      </c>
      <c r="H61" s="24">
        <v>1027.356</v>
      </c>
      <c r="I61" s="193">
        <v>89.9</v>
      </c>
      <c r="J61" s="194">
        <v>82.52000000000001</v>
      </c>
      <c r="K61" s="193">
        <v>129.6</v>
      </c>
      <c r="L61" s="194">
        <v>124.14</v>
      </c>
      <c r="M61" s="195">
        <f t="shared" si="2"/>
        <v>0.7327709827064055</v>
      </c>
      <c r="N61" s="195">
        <f t="shared" si="3"/>
        <v>0.69876656019914374</v>
      </c>
      <c r="O61" s="195">
        <f t="shared" si="4"/>
        <v>0.15087518156188534</v>
      </c>
      <c r="P61" s="195">
        <f t="shared" si="5"/>
        <v>0.13808548387096775</v>
      </c>
      <c r="Q61" s="195">
        <v>0.98499999999999999</v>
      </c>
      <c r="R61" s="195">
        <v>0.98695161290322586</v>
      </c>
      <c r="S61" s="196">
        <v>0.99</v>
      </c>
      <c r="T61" s="197">
        <v>1</v>
      </c>
      <c r="U61" s="198">
        <v>1.4999999999999999E-2</v>
      </c>
      <c r="V61" s="197">
        <v>2.0400000000000001E-2</v>
      </c>
      <c r="W61" s="198">
        <v>0</v>
      </c>
      <c r="X61" s="197">
        <v>0</v>
      </c>
      <c r="Y61" s="199">
        <f t="shared" si="0"/>
        <v>-4.2640427039177586E-2</v>
      </c>
    </row>
    <row r="62" spans="2:25">
      <c r="B62" s="189" t="s">
        <v>9</v>
      </c>
      <c r="C62" s="190" t="s">
        <v>61</v>
      </c>
      <c r="D62" s="190">
        <v>10</v>
      </c>
      <c r="E62" s="191">
        <v>12</v>
      </c>
      <c r="F62" s="192">
        <v>44592</v>
      </c>
      <c r="G62" s="24">
        <v>946.03665970835232</v>
      </c>
      <c r="H62" s="24">
        <v>658.30799999999999</v>
      </c>
      <c r="I62" s="193">
        <v>79.599999999999994</v>
      </c>
      <c r="J62" s="194">
        <v>56.830000000000005</v>
      </c>
      <c r="K62" s="193">
        <v>103.2</v>
      </c>
      <c r="L62" s="194">
        <v>72.97</v>
      </c>
      <c r="M62" s="195">
        <f t="shared" si="2"/>
        <v>0.77555176788483604</v>
      </c>
      <c r="N62" s="195">
        <f t="shared" si="3"/>
        <v>0.76031766834177983</v>
      </c>
      <c r="O62" s="195">
        <f t="shared" si="4"/>
        <v>0.12715546501456348</v>
      </c>
      <c r="P62" s="195">
        <f t="shared" si="5"/>
        <v>8.8482258064516123E-2</v>
      </c>
      <c r="Q62" s="195">
        <v>0.98499999999999999</v>
      </c>
      <c r="R62" s="195">
        <v>0.98880000000000001</v>
      </c>
      <c r="S62" s="196">
        <v>0.99</v>
      </c>
      <c r="T62" s="197">
        <v>1</v>
      </c>
      <c r="U62" s="198">
        <v>1.4999999999999999E-2</v>
      </c>
      <c r="V62" s="197">
        <v>0</v>
      </c>
      <c r="W62" s="198">
        <v>0</v>
      </c>
      <c r="X62" s="197">
        <v>0</v>
      </c>
      <c r="Y62" s="199">
        <f t="shared" si="0"/>
        <v>-1.1214774471306921E-2</v>
      </c>
    </row>
    <row r="63" spans="2:25">
      <c r="B63" s="189" t="s">
        <v>9</v>
      </c>
      <c r="C63" s="190" t="s">
        <v>61</v>
      </c>
      <c r="D63" s="190">
        <v>10</v>
      </c>
      <c r="E63" s="191">
        <v>12</v>
      </c>
      <c r="F63" s="192">
        <v>44620</v>
      </c>
      <c r="G63" s="24">
        <v>1239.2001112909788</v>
      </c>
      <c r="H63" s="24">
        <v>1237.596</v>
      </c>
      <c r="I63" s="193">
        <v>108.1</v>
      </c>
      <c r="J63" s="194">
        <v>106.95000000000002</v>
      </c>
      <c r="K63" s="193">
        <v>137.5</v>
      </c>
      <c r="L63" s="194">
        <v>143.46</v>
      </c>
      <c r="M63" s="195">
        <f t="shared" si="2"/>
        <v>0.76246738119734125</v>
      </c>
      <c r="N63" s="195">
        <f t="shared" si="3"/>
        <v>0.72490452287280727</v>
      </c>
      <c r="O63" s="195">
        <f t="shared" si="4"/>
        <v>0.18440477846591946</v>
      </c>
      <c r="P63" s="195">
        <f t="shared" si="5"/>
        <v>0.18416607142857142</v>
      </c>
      <c r="Q63" s="195">
        <v>0.98499999999999999</v>
      </c>
      <c r="R63" s="195">
        <v>0.99171302000000006</v>
      </c>
      <c r="S63" s="196">
        <v>0.99</v>
      </c>
      <c r="T63" s="197">
        <v>0.99790000000000001</v>
      </c>
      <c r="U63" s="198">
        <v>1.4999999999999999E-2</v>
      </c>
      <c r="V63" s="197">
        <v>1.18E-2</v>
      </c>
      <c r="W63" s="198">
        <v>0</v>
      </c>
      <c r="X63" s="197">
        <v>0</v>
      </c>
      <c r="Y63" s="199">
        <f t="shared" si="0"/>
        <v>-4.4639927711138561E-2</v>
      </c>
    </row>
    <row r="64" spans="2:25">
      <c r="B64" s="189" t="s">
        <v>9</v>
      </c>
      <c r="C64" s="190" t="s">
        <v>61</v>
      </c>
      <c r="D64" s="190">
        <v>10</v>
      </c>
      <c r="E64" s="191">
        <v>12</v>
      </c>
      <c r="F64" s="192">
        <v>44651</v>
      </c>
      <c r="G64" s="24">
        <v>1657.3627032723323</v>
      </c>
      <c r="H64" s="24">
        <f>[1]Database!$I$427/1000</f>
        <v>1543.3920000000001</v>
      </c>
      <c r="I64" s="193">
        <v>161.4</v>
      </c>
      <c r="J64" s="194">
        <v>158.37</v>
      </c>
      <c r="K64" s="193">
        <v>187.8</v>
      </c>
      <c r="L64" s="194">
        <v>188.27999999999997</v>
      </c>
      <c r="M64" s="195">
        <f t="shared" si="2"/>
        <v>0.7466283853436676</v>
      </c>
      <c r="N64" s="195">
        <f t="shared" si="3"/>
        <v>0.70722669149284445</v>
      </c>
      <c r="O64" s="195">
        <f t="shared" si="4"/>
        <v>0.22276380420327047</v>
      </c>
      <c r="P64" s="195">
        <f t="shared" si="5"/>
        <v>0.20744516129032262</v>
      </c>
      <c r="Q64" s="195">
        <v>0.98499999999999999</v>
      </c>
      <c r="R64" s="195">
        <v>0.96589999999999998</v>
      </c>
      <c r="S64" s="196">
        <v>0.99</v>
      </c>
      <c r="T64" s="197">
        <v>1</v>
      </c>
      <c r="U64" s="198">
        <v>1.4999999999999999E-2</v>
      </c>
      <c r="V64" s="197">
        <v>1.3364780319335381E-2</v>
      </c>
      <c r="W64" s="198">
        <v>0</v>
      </c>
      <c r="X64" s="197">
        <v>0</v>
      </c>
      <c r="Y64" s="199">
        <f t="shared" si="0"/>
        <v>-7.1322211997426832E-2</v>
      </c>
    </row>
    <row r="65" spans="2:25">
      <c r="B65" s="189" t="s">
        <v>9</v>
      </c>
      <c r="C65" s="190" t="s">
        <v>61</v>
      </c>
      <c r="D65" s="190">
        <v>10</v>
      </c>
      <c r="E65" s="191">
        <v>12</v>
      </c>
      <c r="F65" s="192">
        <v>44681</v>
      </c>
      <c r="G65" s="24">
        <v>1712.2184411451547</v>
      </c>
      <c r="H65" s="24">
        <v>1499.85</v>
      </c>
      <c r="I65" s="193">
        <v>190.2</v>
      </c>
      <c r="J65" s="194">
        <v>168.23000000000002</v>
      </c>
      <c r="K65" s="193">
        <v>194</v>
      </c>
      <c r="L65" s="194">
        <v>184.26</v>
      </c>
      <c r="M65" s="195">
        <f t="shared" si="2"/>
        <v>0.74668936153346355</v>
      </c>
      <c r="N65" s="195">
        <f t="shared" si="3"/>
        <v>0.67995328155858004</v>
      </c>
      <c r="O65" s="195">
        <f t="shared" si="4"/>
        <v>0.23780811682571593</v>
      </c>
      <c r="P65" s="195">
        <f t="shared" si="5"/>
        <v>0.20831249999999998</v>
      </c>
      <c r="Q65" s="195">
        <v>0.98499999999999999</v>
      </c>
      <c r="R65" s="195">
        <v>0.99760000000000004</v>
      </c>
      <c r="S65" s="196">
        <v>0.99</v>
      </c>
      <c r="T65" s="197">
        <v>1</v>
      </c>
      <c r="U65" s="198">
        <v>1.4999999999999999E-2</v>
      </c>
      <c r="V65" s="197">
        <v>2.1600000000000001E-2</v>
      </c>
      <c r="W65" s="198">
        <v>0</v>
      </c>
      <c r="X65" s="197">
        <v>0</v>
      </c>
      <c r="Y65" s="199">
        <f t="shared" si="0"/>
        <v>-7.3824975435507367E-2</v>
      </c>
    </row>
    <row r="66" spans="2:25">
      <c r="B66" s="189" t="s">
        <v>9</v>
      </c>
      <c r="C66" s="190" t="s">
        <v>61</v>
      </c>
      <c r="D66" s="190">
        <v>10</v>
      </c>
      <c r="E66" s="191">
        <v>12</v>
      </c>
      <c r="F66" s="192">
        <v>44712</v>
      </c>
      <c r="G66" s="24">
        <v>1734.7003009290979</v>
      </c>
      <c r="H66" s="24">
        <v>1525.3620000000001</v>
      </c>
      <c r="I66" s="193">
        <v>197</v>
      </c>
      <c r="J66" s="194">
        <v>179.49</v>
      </c>
      <c r="K66" s="193">
        <v>197.7</v>
      </c>
      <c r="L66" s="194">
        <v>186.24</v>
      </c>
      <c r="M66" s="195">
        <f t="shared" si="2"/>
        <v>0.74233563344326847</v>
      </c>
      <c r="N66" s="195">
        <f t="shared" si="3"/>
        <v>0.70454804448347241</v>
      </c>
      <c r="O66" s="195">
        <f t="shared" si="4"/>
        <v>0.23315864259799701</v>
      </c>
      <c r="P66" s="195">
        <f t="shared" si="5"/>
        <v>0.20502177419354842</v>
      </c>
      <c r="Q66" s="195">
        <v>0.98499999999999999</v>
      </c>
      <c r="R66" s="195">
        <v>0.968741935483871</v>
      </c>
      <c r="S66" s="196">
        <v>0.99</v>
      </c>
      <c r="T66" s="197">
        <v>1</v>
      </c>
      <c r="U66" s="198">
        <v>1.4999999999999999E-2</v>
      </c>
      <c r="V66" s="197">
        <v>8.0000000000000002E-3</v>
      </c>
      <c r="W66" s="198">
        <v>0</v>
      </c>
      <c r="X66" s="197">
        <v>0</v>
      </c>
      <c r="Y66" s="199">
        <f t="shared" si="0"/>
        <v>-6.2710310538588443E-2</v>
      </c>
    </row>
    <row r="67" spans="2:25">
      <c r="B67" s="189" t="s">
        <v>9</v>
      </c>
      <c r="C67" s="190" t="s">
        <v>61</v>
      </c>
      <c r="D67" s="190">
        <v>10</v>
      </c>
      <c r="E67" s="191">
        <v>12</v>
      </c>
      <c r="F67" s="192">
        <v>44742</v>
      </c>
      <c r="G67" s="24">
        <v>1560.2410690056954</v>
      </c>
      <c r="H67" s="24">
        <v>1383.7619999999999</v>
      </c>
      <c r="I67" s="193">
        <v>178.9</v>
      </c>
      <c r="J67" s="194">
        <v>167.48000000000002</v>
      </c>
      <c r="K67" s="193">
        <v>177.2</v>
      </c>
      <c r="L67" s="194">
        <v>166.64999999999998</v>
      </c>
      <c r="M67" s="195">
        <f t="shared" si="2"/>
        <v>0.74492150361407561</v>
      </c>
      <c r="N67" s="195">
        <f t="shared" si="3"/>
        <v>0.69426995830549476</v>
      </c>
      <c r="O67" s="195">
        <f t="shared" si="4"/>
        <v>0.21670014847301328</v>
      </c>
      <c r="P67" s="195">
        <f t="shared" si="5"/>
        <v>0.19218916666666666</v>
      </c>
      <c r="Q67" s="195">
        <v>0.98499999999999999</v>
      </c>
      <c r="R67" s="195">
        <v>0.99665870133333334</v>
      </c>
      <c r="S67" s="196">
        <v>0.99</v>
      </c>
      <c r="T67" s="197">
        <v>0.99919999999999998</v>
      </c>
      <c r="U67" s="198">
        <v>1.4999999999999999E-2</v>
      </c>
      <c r="V67" s="197">
        <v>1.14E-2</v>
      </c>
      <c r="W67" s="198">
        <v>0</v>
      </c>
      <c r="X67" s="197">
        <v>0</v>
      </c>
      <c r="Y67" s="199">
        <f t="shared" ref="Y67:Y153" si="6">(H67/G67-1)-(L67/K67-1)</f>
        <v>-5.3572883219119682E-2</v>
      </c>
    </row>
    <row r="68" spans="2:25">
      <c r="B68" s="189" t="s">
        <v>9</v>
      </c>
      <c r="C68" s="190" t="s">
        <v>61</v>
      </c>
      <c r="D68" s="190">
        <v>10</v>
      </c>
      <c r="E68" s="191">
        <v>12</v>
      </c>
      <c r="F68" s="192">
        <v>44773</v>
      </c>
      <c r="G68" s="24">
        <v>1383.9832882995765</v>
      </c>
      <c r="H68" s="24">
        <v>1309.74</v>
      </c>
      <c r="I68" s="193">
        <v>155.5</v>
      </c>
      <c r="J68" s="194">
        <v>150.19</v>
      </c>
      <c r="K68" s="193">
        <v>154.6</v>
      </c>
      <c r="L68" s="194">
        <v>151.57000000000002</v>
      </c>
      <c r="M68" s="195">
        <f t="shared" si="2"/>
        <v>0.75736264334770176</v>
      </c>
      <c r="N68" s="195">
        <f t="shared" si="3"/>
        <v>0.73660823026617239</v>
      </c>
      <c r="O68" s="195">
        <f t="shared" si="4"/>
        <v>0.18601925918005061</v>
      </c>
      <c r="P68" s="195">
        <f t="shared" si="5"/>
        <v>0.17604032258064514</v>
      </c>
      <c r="Q68" s="195">
        <v>0.98499999999999999</v>
      </c>
      <c r="R68" s="195">
        <v>0.97758387096774213</v>
      </c>
      <c r="S68" s="196">
        <v>0.99</v>
      </c>
      <c r="T68" s="197">
        <v>1</v>
      </c>
      <c r="U68" s="198">
        <v>1.4999999999999999E-2</v>
      </c>
      <c r="V68" s="197">
        <v>6.7999999999999996E-3</v>
      </c>
      <c r="W68" s="198">
        <v>0</v>
      </c>
      <c r="X68" s="197">
        <v>0</v>
      </c>
      <c r="Y68" s="199">
        <f t="shared" si="6"/>
        <v>-3.4045677120153828E-2</v>
      </c>
    </row>
    <row r="69" spans="2:25">
      <c r="B69" s="189" t="s">
        <v>9</v>
      </c>
      <c r="C69" s="190" t="s">
        <v>61</v>
      </c>
      <c r="D69" s="190">
        <v>10</v>
      </c>
      <c r="E69" s="191">
        <v>12</v>
      </c>
      <c r="F69" s="192">
        <v>44804</v>
      </c>
      <c r="G69" s="24">
        <v>1314.7391601650295</v>
      </c>
      <c r="H69" s="24">
        <v>1383.81</v>
      </c>
      <c r="I69" s="193">
        <v>145.4</v>
      </c>
      <c r="J69" s="194">
        <v>155.39000000000001</v>
      </c>
      <c r="K69" s="193">
        <v>146.30000000000001</v>
      </c>
      <c r="L69" s="194">
        <v>162.41</v>
      </c>
      <c r="M69" s="195">
        <f t="shared" si="2"/>
        <v>0.76028740527196481</v>
      </c>
      <c r="N69" s="195">
        <f t="shared" si="3"/>
        <v>0.72557370541744359</v>
      </c>
      <c r="O69" s="195">
        <f t="shared" si="4"/>
        <v>0.17671225271035343</v>
      </c>
      <c r="P69" s="195">
        <f t="shared" si="5"/>
        <v>0.18599596774193547</v>
      </c>
      <c r="Q69" s="195">
        <v>0.98499999999999999</v>
      </c>
      <c r="R69" s="195">
        <v>0.97859032258064516</v>
      </c>
      <c r="S69" s="196">
        <v>0.99</v>
      </c>
      <c r="T69" s="197">
        <v>1</v>
      </c>
      <c r="U69" s="198">
        <v>1.4999999999999999E-2</v>
      </c>
      <c r="V69" s="197">
        <v>1.29E-2</v>
      </c>
      <c r="W69" s="198">
        <v>0</v>
      </c>
      <c r="X69" s="197">
        <v>0</v>
      </c>
      <c r="Y69" s="199">
        <f t="shared" si="6"/>
        <v>-5.7580425249442957E-2</v>
      </c>
    </row>
    <row r="70" spans="2:25">
      <c r="B70" s="189" t="s">
        <v>9</v>
      </c>
      <c r="C70" s="190" t="s">
        <v>61</v>
      </c>
      <c r="D70" s="190">
        <v>10</v>
      </c>
      <c r="E70" s="191">
        <v>12</v>
      </c>
      <c r="F70" s="192">
        <v>44834</v>
      </c>
      <c r="G70" s="24">
        <v>1308.4442394255254</v>
      </c>
      <c r="H70" s="24">
        <v>1154.8679999999999</v>
      </c>
      <c r="I70" s="193">
        <v>141.6</v>
      </c>
      <c r="J70" s="194">
        <v>124.96999999999997</v>
      </c>
      <c r="K70" s="193">
        <v>145.5</v>
      </c>
      <c r="L70" s="194">
        <v>137.80000000000001</v>
      </c>
      <c r="M70" s="195">
        <f t="shared" si="2"/>
        <v>0.7608074376969115</v>
      </c>
      <c r="N70" s="195">
        <f t="shared" si="3"/>
        <v>0.7092813305682143</v>
      </c>
      <c r="O70" s="195">
        <f t="shared" si="4"/>
        <v>0.18172836658687855</v>
      </c>
      <c r="P70" s="195">
        <f t="shared" si="5"/>
        <v>0.16039833333333331</v>
      </c>
      <c r="Q70" s="195">
        <v>0.98499999999999999</v>
      </c>
      <c r="R70" s="195">
        <v>0.98465333333333349</v>
      </c>
      <c r="S70" s="196">
        <v>0.99</v>
      </c>
      <c r="T70" s="197">
        <v>1</v>
      </c>
      <c r="U70" s="198">
        <v>1.4999999999999999E-2</v>
      </c>
      <c r="V70" s="197">
        <v>1.03E-2</v>
      </c>
      <c r="W70" s="198">
        <v>0</v>
      </c>
      <c r="X70" s="197">
        <v>0</v>
      </c>
      <c r="Y70" s="199">
        <f t="shared" si="6"/>
        <v>-6.4452201133160303E-2</v>
      </c>
    </row>
    <row r="71" spans="2:25">
      <c r="B71" s="189" t="s">
        <v>9</v>
      </c>
      <c r="C71" s="190" t="s">
        <v>61</v>
      </c>
      <c r="D71" s="190">
        <v>10</v>
      </c>
      <c r="E71" s="191">
        <v>12</v>
      </c>
      <c r="F71" s="192">
        <v>44865</v>
      </c>
      <c r="G71" s="24">
        <v>1496.3925872192951</v>
      </c>
      <c r="H71" s="24">
        <v>1354.242</v>
      </c>
      <c r="I71" s="193">
        <v>139.1</v>
      </c>
      <c r="J71" s="194">
        <v>131.32999999999998</v>
      </c>
      <c r="K71" s="193">
        <v>172.2</v>
      </c>
      <c r="L71" s="194">
        <v>163.07999999999998</v>
      </c>
      <c r="M71" s="195">
        <f t="shared" si="2"/>
        <v>0.7351821000741352</v>
      </c>
      <c r="N71" s="195">
        <f t="shared" si="3"/>
        <v>0.69467979645126221</v>
      </c>
      <c r="O71" s="195">
        <f t="shared" si="4"/>
        <v>0.20112803591657191</v>
      </c>
      <c r="P71" s="195">
        <f t="shared" si="5"/>
        <v>0.1820217741935484</v>
      </c>
      <c r="Q71" s="195">
        <v>0.98499999999999999</v>
      </c>
      <c r="R71" s="195">
        <v>0.99616129032258072</v>
      </c>
      <c r="S71" s="196">
        <v>0.99</v>
      </c>
      <c r="T71" s="197">
        <v>1</v>
      </c>
      <c r="U71" s="198">
        <v>1.4999999999999999E-2</v>
      </c>
      <c r="V71" s="197">
        <v>1.75064168557344E-2</v>
      </c>
      <c r="W71" s="198">
        <v>0</v>
      </c>
      <c r="X71" s="197">
        <v>0</v>
      </c>
      <c r="Y71" s="199">
        <f t="shared" si="6"/>
        <v>-4.2033844366702766E-2</v>
      </c>
    </row>
    <row r="72" spans="2:25">
      <c r="B72" s="189" t="s">
        <v>9</v>
      </c>
      <c r="C72" s="190" t="s">
        <v>61</v>
      </c>
      <c r="D72" s="190">
        <v>10</v>
      </c>
      <c r="E72" s="191">
        <v>12</v>
      </c>
      <c r="F72" s="192">
        <v>44895</v>
      </c>
      <c r="G72" s="24">
        <v>1327.3290016440376</v>
      </c>
      <c r="H72" s="24">
        <v>1104.846</v>
      </c>
      <c r="I72" s="193">
        <v>108.1</v>
      </c>
      <c r="J72" s="194">
        <v>91.19</v>
      </c>
      <c r="K72" s="193">
        <v>152.1</v>
      </c>
      <c r="L72" s="194">
        <v>137.23000000000002</v>
      </c>
      <c r="M72" s="195">
        <f t="shared" si="2"/>
        <v>0.73829834190706178</v>
      </c>
      <c r="N72" s="195">
        <f t="shared" si="3"/>
        <v>0.67261832162777002</v>
      </c>
      <c r="O72" s="195">
        <f t="shared" si="4"/>
        <v>0.18435125022833856</v>
      </c>
      <c r="P72" s="195">
        <f t="shared" si="5"/>
        <v>0.15345083333333334</v>
      </c>
      <c r="Q72" s="195">
        <v>0.98499999999999999</v>
      </c>
      <c r="R72" s="195">
        <v>0.99747666666666679</v>
      </c>
      <c r="S72" s="196">
        <v>0.99</v>
      </c>
      <c r="T72" s="197">
        <v>1</v>
      </c>
      <c r="U72" s="198">
        <v>1.4999999999999999E-2</v>
      </c>
      <c r="V72" s="197">
        <v>2.52E-2</v>
      </c>
      <c r="W72" s="198">
        <v>0</v>
      </c>
      <c r="X72" s="197">
        <v>0</v>
      </c>
      <c r="Y72" s="199">
        <f t="shared" si="6"/>
        <v>-6.9852444074717024E-2</v>
      </c>
    </row>
    <row r="73" spans="2:25">
      <c r="B73" s="189" t="s">
        <v>9</v>
      </c>
      <c r="C73" s="190" t="s">
        <v>61</v>
      </c>
      <c r="D73" s="190">
        <v>10</v>
      </c>
      <c r="E73" s="191">
        <v>12</v>
      </c>
      <c r="F73" s="192">
        <v>44926</v>
      </c>
      <c r="G73" s="24">
        <v>1116.8987940663249</v>
      </c>
      <c r="H73" s="24">
        <v>962.65800000000002</v>
      </c>
      <c r="I73" s="193">
        <v>89.9</v>
      </c>
      <c r="J73" s="194">
        <v>72.790000000000006</v>
      </c>
      <c r="K73" s="193">
        <v>129.6</v>
      </c>
      <c r="L73" s="194">
        <v>115.19000000000001</v>
      </c>
      <c r="M73" s="195">
        <f t="shared" si="2"/>
        <v>0.72910712779287368</v>
      </c>
      <c r="N73" s="195">
        <f t="shared" si="3"/>
        <v>0.69724859527952243</v>
      </c>
      <c r="O73" s="195">
        <f t="shared" si="4"/>
        <v>0.15012080565407593</v>
      </c>
      <c r="P73" s="195">
        <f t="shared" si="5"/>
        <v>0.12938951612903227</v>
      </c>
      <c r="Q73" s="195">
        <v>0.98499999999999999</v>
      </c>
      <c r="R73" s="195">
        <v>0.99882258064516127</v>
      </c>
      <c r="S73" s="196">
        <v>0.99</v>
      </c>
      <c r="T73" s="197">
        <v>1</v>
      </c>
      <c r="U73" s="198">
        <v>1.4999999999999999E-2</v>
      </c>
      <c r="V73" s="197">
        <v>1.9599999999999999E-2</v>
      </c>
      <c r="W73" s="198">
        <v>0</v>
      </c>
      <c r="X73" s="197">
        <v>0</v>
      </c>
      <c r="Y73" s="199">
        <f t="shared" si="6"/>
        <v>-2.6909105602155092E-2</v>
      </c>
    </row>
    <row r="74" spans="2:25">
      <c r="B74" s="189" t="s">
        <v>9</v>
      </c>
      <c r="C74" s="190" t="s">
        <v>61</v>
      </c>
      <c r="D74" s="190">
        <v>10</v>
      </c>
      <c r="E74" s="191">
        <v>12</v>
      </c>
      <c r="F74" s="192">
        <v>44957</v>
      </c>
      <c r="G74" s="24">
        <v>941.30647640981044</v>
      </c>
      <c r="H74" s="24">
        <v>750.58799999999997</v>
      </c>
      <c r="I74" s="193">
        <v>79.599999999999994</v>
      </c>
      <c r="J74" s="194">
        <v>61.790000000000006</v>
      </c>
      <c r="K74" s="193">
        <v>103.2</v>
      </c>
      <c r="L74" s="194">
        <v>85.230000000000018</v>
      </c>
      <c r="M74" s="195">
        <f t="shared" si="2"/>
        <v>0.77167400904541172</v>
      </c>
      <c r="N74" s="195">
        <f t="shared" si="3"/>
        <v>0.73887336932783487</v>
      </c>
      <c r="O74" s="195">
        <f t="shared" si="4"/>
        <v>0.12651968768949065</v>
      </c>
      <c r="P74" s="195">
        <f t="shared" si="5"/>
        <v>0.10088548387096774</v>
      </c>
      <c r="Q74" s="195">
        <v>0.98499999999999999</v>
      </c>
      <c r="R74" s="195">
        <v>0.99324838709677421</v>
      </c>
      <c r="S74" s="196">
        <v>0.99</v>
      </c>
      <c r="T74" s="197">
        <v>1</v>
      </c>
      <c r="U74" s="198">
        <v>1.4999999999999999E-2</v>
      </c>
      <c r="V74" s="197">
        <v>1.11E-2</v>
      </c>
      <c r="W74" s="198">
        <v>0</v>
      </c>
      <c r="X74" s="197">
        <v>0</v>
      </c>
      <c r="Y74" s="199">
        <f t="shared" si="6"/>
        <v>-2.8482487394725919E-2</v>
      </c>
    </row>
    <row r="75" spans="2:25">
      <c r="B75" s="189" t="s">
        <v>9</v>
      </c>
      <c r="C75" s="190" t="s">
        <v>61</v>
      </c>
      <c r="D75" s="190">
        <v>10</v>
      </c>
      <c r="E75" s="191">
        <v>12</v>
      </c>
      <c r="F75" s="192">
        <v>44985</v>
      </c>
      <c r="G75" s="24">
        <v>1233.0041107345237</v>
      </c>
      <c r="H75" s="24">
        <v>1225.008</v>
      </c>
      <c r="I75" s="193">
        <v>108.1</v>
      </c>
      <c r="J75" s="194">
        <v>104.71000000000002</v>
      </c>
      <c r="K75" s="193">
        <v>137.5</v>
      </c>
      <c r="L75" s="194">
        <v>146.39999999999998</v>
      </c>
      <c r="M75" s="195">
        <f t="shared" si="2"/>
        <v>0.75865504429135433</v>
      </c>
      <c r="N75" s="195">
        <f t="shared" si="3"/>
        <v>0.70020039886804897</v>
      </c>
      <c r="O75" s="195">
        <f t="shared" si="4"/>
        <v>0.18348275457358981</v>
      </c>
      <c r="P75" s="195">
        <f t="shared" si="5"/>
        <v>0.18229285714285715</v>
      </c>
      <c r="Q75" s="195">
        <v>0.98499999999999999</v>
      </c>
      <c r="R75" s="195">
        <v>0.99585073515306122</v>
      </c>
      <c r="S75" s="196">
        <v>0.99</v>
      </c>
      <c r="T75" s="197">
        <v>0.99800357142857143</v>
      </c>
      <c r="U75" s="198">
        <v>1.4999999999999999E-2</v>
      </c>
      <c r="V75" s="197">
        <v>1.8499999999999999E-2</v>
      </c>
      <c r="W75" s="198">
        <v>0</v>
      </c>
      <c r="X75" s="197">
        <v>0</v>
      </c>
      <c r="Y75" s="199">
        <f t="shared" si="6"/>
        <v>-7.1212336860400405E-2</v>
      </c>
    </row>
    <row r="76" spans="2:25">
      <c r="B76" s="189" t="s">
        <v>9</v>
      </c>
      <c r="C76" s="190" t="s">
        <v>61</v>
      </c>
      <c r="D76" s="200">
        <v>10</v>
      </c>
      <c r="E76" s="201">
        <v>12</v>
      </c>
      <c r="F76" s="192">
        <v>45016</v>
      </c>
      <c r="G76" s="24">
        <v>1649.0758897559706</v>
      </c>
      <c r="H76" s="24">
        <v>1405.32</v>
      </c>
      <c r="I76" s="24">
        <v>161.4</v>
      </c>
      <c r="J76" s="24">
        <v>142.55000000000001</v>
      </c>
      <c r="K76" s="193">
        <v>187.8</v>
      </c>
      <c r="L76" s="194">
        <v>171.12999999999997</v>
      </c>
      <c r="M76" s="195">
        <f t="shared" ref="M76:M87" si="7">G76/E76/K76/Q76</f>
        <v>0.74289524341694935</v>
      </c>
      <c r="N76" s="195">
        <f t="shared" ref="N76:N87" si="8">H76/E76/L76/R76</f>
        <v>0.69331986768689846</v>
      </c>
      <c r="O76" s="195">
        <f t="shared" ref="O76:O87" si="9">G76/24/DAY(F76)/D76</f>
        <v>0.22164998518225412</v>
      </c>
      <c r="P76" s="195">
        <f t="shared" ref="P76:P87" si="10">H76/24/DAY(F76)/D76</f>
        <v>0.18888709677419355</v>
      </c>
      <c r="Q76" s="195">
        <v>0.98499999999999999</v>
      </c>
      <c r="R76" s="195">
        <v>0.98703870967741947</v>
      </c>
      <c r="S76" s="195">
        <v>0.99</v>
      </c>
      <c r="T76" s="195">
        <v>1</v>
      </c>
      <c r="U76" s="198">
        <v>1.4999999999999999E-2</v>
      </c>
      <c r="V76" s="197">
        <v>-1.47E-2</v>
      </c>
      <c r="W76" s="198">
        <v>0</v>
      </c>
      <c r="X76" s="197">
        <v>0</v>
      </c>
      <c r="Y76" s="199">
        <f t="shared" ref="Y76:Y87" si="11">(H76/G76-1)-(L76/K76-1)</f>
        <v>-5.9048984546520966E-2</v>
      </c>
    </row>
    <row r="77" spans="2:25">
      <c r="B77" s="189" t="s">
        <v>9</v>
      </c>
      <c r="C77" s="190" t="s">
        <v>61</v>
      </c>
      <c r="D77" s="200">
        <v>10</v>
      </c>
      <c r="E77" s="201">
        <v>12</v>
      </c>
      <c r="F77" s="192">
        <v>45046</v>
      </c>
      <c r="G77" s="24">
        <f>UTT!C335</f>
        <v>1703.6573489394289</v>
      </c>
      <c r="H77" s="24">
        <f>UTT!D335</f>
        <v>1495.83</v>
      </c>
      <c r="I77" s="24">
        <f>UTT!E335</f>
        <v>190.2</v>
      </c>
      <c r="J77" s="24">
        <f>UTT!F335</f>
        <v>179.47999999999996</v>
      </c>
      <c r="K77" s="24">
        <f>UTT!G335</f>
        <v>194</v>
      </c>
      <c r="L77" s="24">
        <f>UTT!H335</f>
        <v>187.25</v>
      </c>
      <c r="M77" s="195">
        <f t="shared" si="7"/>
        <v>0.74295591472579625</v>
      </c>
      <c r="N77" s="195">
        <f t="shared" si="8"/>
        <v>0.68223140143623928</v>
      </c>
      <c r="O77" s="195">
        <f t="shared" si="9"/>
        <v>0.23661907624158734</v>
      </c>
      <c r="P77" s="195">
        <f t="shared" si="10"/>
        <v>0.20775416666666663</v>
      </c>
      <c r="Q77" s="195">
        <f>UTT!M335</f>
        <v>0.98499999999999999</v>
      </c>
      <c r="R77" s="195">
        <f>UTT!N335</f>
        <v>0.97577000000000003</v>
      </c>
      <c r="S77" s="195">
        <f>UTT!O335</f>
        <v>0.99</v>
      </c>
      <c r="T77" s="195">
        <f>UTT!P335</f>
        <v>1</v>
      </c>
      <c r="U77" s="198">
        <v>1.4999999999999999E-2</v>
      </c>
      <c r="V77" s="195">
        <f>UTT!V335</f>
        <v>-2.5373395155103232E-2</v>
      </c>
      <c r="W77" s="198">
        <v>0</v>
      </c>
      <c r="X77" s="197">
        <v>0</v>
      </c>
      <c r="Y77" s="199">
        <f t="shared" si="11"/>
        <v>-8.7195122525963287E-2</v>
      </c>
    </row>
    <row r="78" spans="2:25">
      <c r="B78" s="189" t="s">
        <v>9</v>
      </c>
      <c r="C78" s="190" t="s">
        <v>61</v>
      </c>
      <c r="D78" s="200">
        <v>10</v>
      </c>
      <c r="E78" s="201">
        <v>12</v>
      </c>
      <c r="F78" s="192">
        <v>45077</v>
      </c>
      <c r="G78" s="24">
        <f>UTT!C336</f>
        <v>1726.0267994244525</v>
      </c>
      <c r="H78" s="24">
        <f>UTT!D336</f>
        <v>1501.644</v>
      </c>
      <c r="I78" s="24">
        <f>UTT!E336</f>
        <v>197</v>
      </c>
      <c r="J78" s="24">
        <f>UTT!F336</f>
        <v>194.24</v>
      </c>
      <c r="K78" s="24">
        <f>UTT!G336</f>
        <v>197.7</v>
      </c>
      <c r="L78" s="24">
        <f>UTT!H336</f>
        <v>191.43</v>
      </c>
      <c r="M78" s="195">
        <f t="shared" si="7"/>
        <v>0.73862395527605229</v>
      </c>
      <c r="N78" s="195">
        <f t="shared" si="8"/>
        <v>0.68455265741782634</v>
      </c>
      <c r="O78" s="195">
        <f t="shared" si="9"/>
        <v>0.23199284938500705</v>
      </c>
      <c r="P78" s="195">
        <f t="shared" si="10"/>
        <v>0.20183387096774194</v>
      </c>
      <c r="Q78" s="195">
        <f>UTT!M336</f>
        <v>0.98499999999999999</v>
      </c>
      <c r="R78" s="195">
        <f>UTT!N336</f>
        <v>0.954924155005203</v>
      </c>
      <c r="S78" s="195">
        <f>UTT!O336</f>
        <v>0.99</v>
      </c>
      <c r="T78" s="195">
        <f>UTT!P336</f>
        <v>0.99396451612903225</v>
      </c>
      <c r="U78" s="198">
        <v>1.4999999999999999E-2</v>
      </c>
      <c r="V78" s="195">
        <f>UTT!V336</f>
        <v>-1.3899999999999999E-2</v>
      </c>
      <c r="W78" s="198">
        <v>0</v>
      </c>
      <c r="X78" s="197">
        <v>0</v>
      </c>
      <c r="Y78" s="199">
        <f t="shared" si="11"/>
        <v>-9.8284884152421426E-2</v>
      </c>
    </row>
    <row r="79" spans="2:25">
      <c r="B79" s="189" t="s">
        <v>9</v>
      </c>
      <c r="C79" s="190" t="s">
        <v>61</v>
      </c>
      <c r="D79" s="200">
        <v>10</v>
      </c>
      <c r="E79" s="201">
        <v>12</v>
      </c>
      <c r="F79" s="192">
        <v>45107</v>
      </c>
      <c r="G79" s="24">
        <f>UTT!C337</f>
        <v>1552.4398636606668</v>
      </c>
      <c r="H79" s="24">
        <f>UTT!D337</f>
        <v>1396.4459999999999</v>
      </c>
      <c r="I79" s="24">
        <f>UTT!E337</f>
        <v>178.9</v>
      </c>
      <c r="J79" s="24">
        <f>UTT!F337</f>
        <v>173.85999999999999</v>
      </c>
      <c r="K79" s="24">
        <f>UTT!G337</f>
        <v>177.2</v>
      </c>
      <c r="L79" s="24">
        <f>UTT!H337</f>
        <v>167.66000000000003</v>
      </c>
      <c r="M79" s="195">
        <f t="shared" si="7"/>
        <v>0.74119689609600492</v>
      </c>
      <c r="N79" s="195">
        <f t="shared" si="8"/>
        <v>0.70083528981491228</v>
      </c>
      <c r="O79" s="195">
        <f t="shared" si="9"/>
        <v>0.21561664773064818</v>
      </c>
      <c r="P79" s="195">
        <f t="shared" si="10"/>
        <v>0.19395083333333332</v>
      </c>
      <c r="Q79" s="195">
        <f>UTT!M337</f>
        <v>0.98499999999999999</v>
      </c>
      <c r="R79" s="195">
        <f>UTT!N337</f>
        <v>0.99037000000000019</v>
      </c>
      <c r="S79" s="195">
        <f>UTT!O337</f>
        <v>0.99</v>
      </c>
      <c r="T79" s="195">
        <f>UTT!P337</f>
        <v>1</v>
      </c>
      <c r="U79" s="198">
        <v>1.4999999999999999E-2</v>
      </c>
      <c r="V79" s="195">
        <f>UTT!V337</f>
        <v>-1.47E-2</v>
      </c>
      <c r="W79" s="198">
        <v>0</v>
      </c>
      <c r="X79" s="197">
        <v>0</v>
      </c>
      <c r="Y79" s="199">
        <f t="shared" si="11"/>
        <v>-4.664555967715156E-2</v>
      </c>
    </row>
    <row r="80" spans="2:25">
      <c r="B80" s="189" t="s">
        <v>9</v>
      </c>
      <c r="C80" s="190" t="s">
        <v>61</v>
      </c>
      <c r="D80" s="200">
        <v>10</v>
      </c>
      <c r="E80" s="201">
        <v>12</v>
      </c>
      <c r="F80" s="192">
        <v>45137</v>
      </c>
      <c r="G80" s="24">
        <f>UTT!C338</f>
        <v>1377.0633718580787</v>
      </c>
      <c r="H80" s="24">
        <f>UTT!D338</f>
        <v>1099.1460000000043</v>
      </c>
      <c r="I80" s="24">
        <f>UTT!E338</f>
        <v>155.5</v>
      </c>
      <c r="J80" s="24">
        <f>UTT!F338</f>
        <v>140.26</v>
      </c>
      <c r="K80" s="24">
        <f>UTT!G338</f>
        <v>154.6</v>
      </c>
      <c r="L80" s="24">
        <f>UTT!H338</f>
        <v>136.38999999999999</v>
      </c>
      <c r="M80" s="195">
        <f t="shared" si="7"/>
        <v>0.75357583013096341</v>
      </c>
      <c r="N80" s="195">
        <f t="shared" si="8"/>
        <v>0.71199090931603626</v>
      </c>
      <c r="O80" s="195">
        <f t="shared" si="9"/>
        <v>0.19125880164695536</v>
      </c>
      <c r="P80" s="195">
        <f t="shared" si="10"/>
        <v>0.15265916666666726</v>
      </c>
      <c r="Q80" s="195">
        <f>UTT!M338</f>
        <v>0.98499999999999999</v>
      </c>
      <c r="R80" s="195">
        <f>UTT!N338</f>
        <v>0.94322903225806454</v>
      </c>
      <c r="S80" s="195">
        <f>UTT!O338</f>
        <v>0.99</v>
      </c>
      <c r="T80" s="195">
        <f>UTT!P338</f>
        <v>1</v>
      </c>
      <c r="U80" s="198">
        <v>1.4999999999999999E-2</v>
      </c>
      <c r="V80" s="195">
        <f>UTT!V338</f>
        <v>0</v>
      </c>
      <c r="W80" s="198">
        <v>0</v>
      </c>
      <c r="X80" s="197">
        <v>0</v>
      </c>
      <c r="Y80" s="199">
        <f t="shared" si="11"/>
        <v>-8.4031029129562285E-2</v>
      </c>
    </row>
    <row r="81" spans="2:25">
      <c r="B81" s="189" t="s">
        <v>9</v>
      </c>
      <c r="C81" s="190" t="s">
        <v>61</v>
      </c>
      <c r="D81" s="200">
        <v>10</v>
      </c>
      <c r="E81" s="201">
        <v>12</v>
      </c>
      <c r="F81" s="192">
        <v>45169</v>
      </c>
      <c r="G81" s="24">
        <f>UTT!C339</f>
        <v>1308.1654643642044</v>
      </c>
      <c r="H81" s="24">
        <f>UTT!D339</f>
        <v>1109.0340000000001</v>
      </c>
      <c r="I81" s="24">
        <f>UTT!E339</f>
        <v>145.4</v>
      </c>
      <c r="J81" s="24">
        <f>UTT!F339</f>
        <v>132.69999999999999</v>
      </c>
      <c r="K81" s="24">
        <f>UTT!G339</f>
        <v>146.30000000000001</v>
      </c>
      <c r="L81" s="24">
        <f>UTT!H339</f>
        <v>133.33000000000001</v>
      </c>
      <c r="M81" s="195">
        <f t="shared" si="7"/>
        <v>0.75648596824560499</v>
      </c>
      <c r="N81" s="195">
        <f t="shared" si="8"/>
        <v>0.70427291638339606</v>
      </c>
      <c r="O81" s="195">
        <f t="shared" si="9"/>
        <v>0.17582869144680166</v>
      </c>
      <c r="P81" s="195">
        <f t="shared" si="10"/>
        <v>0.14906370967741939</v>
      </c>
      <c r="Q81" s="202">
        <f>UTT!M339</f>
        <v>0.98499999999999999</v>
      </c>
      <c r="R81" s="202">
        <f>UTT!N339</f>
        <v>0.98422580645161284</v>
      </c>
      <c r="S81" s="202">
        <f>UTT!O339</f>
        <v>0.99</v>
      </c>
      <c r="T81" s="202">
        <f>UTT!P339</f>
        <v>1</v>
      </c>
      <c r="U81" s="198">
        <v>1.4999999999999999E-2</v>
      </c>
      <c r="V81" s="202">
        <f>UTT!V339</f>
        <v>-5.5999999999999999E-3</v>
      </c>
      <c r="W81" s="198">
        <v>0</v>
      </c>
      <c r="X81" s="197">
        <v>0</v>
      </c>
      <c r="Y81" s="199">
        <f t="shared" si="11"/>
        <v>-6.3568472546659871E-2</v>
      </c>
    </row>
    <row r="82" spans="2:25">
      <c r="B82" s="189" t="s">
        <v>9</v>
      </c>
      <c r="C82" s="190" t="s">
        <v>61</v>
      </c>
      <c r="D82" s="200">
        <v>10</v>
      </c>
      <c r="E82" s="201">
        <v>12</v>
      </c>
      <c r="F82" s="192">
        <v>45199</v>
      </c>
      <c r="G82" s="24">
        <f>UTT!C340</f>
        <v>1301.902018228398</v>
      </c>
      <c r="H82" s="24">
        <f>UTT!D340</f>
        <v>1230.1320000000001</v>
      </c>
      <c r="I82" s="24">
        <f>UTT!E340</f>
        <v>141.6</v>
      </c>
      <c r="J82" s="24">
        <f>UTT!F340</f>
        <v>140.91999999999999</v>
      </c>
      <c r="K82" s="24">
        <f>UTT!G340</f>
        <v>145.5</v>
      </c>
      <c r="L82" s="24">
        <f>UTT!H340</f>
        <v>149.81000000000006</v>
      </c>
      <c r="M82" s="195">
        <f t="shared" si="7"/>
        <v>0.75700340050842707</v>
      </c>
      <c r="N82" s="195">
        <f t="shared" si="8"/>
        <v>0.70599208276250391</v>
      </c>
      <c r="O82" s="195">
        <f t="shared" si="9"/>
        <v>0.18081972475394417</v>
      </c>
      <c r="P82" s="195">
        <f t="shared" si="10"/>
        <v>0.17085166666666668</v>
      </c>
      <c r="Q82" s="202">
        <f>UTT!M340</f>
        <v>0.98499999999999999</v>
      </c>
      <c r="R82" s="202">
        <f>UTT!N340</f>
        <v>0.96923666666666675</v>
      </c>
      <c r="S82" s="202">
        <f>UTT!O340</f>
        <v>0.99</v>
      </c>
      <c r="T82" s="202">
        <f>UTT!P340</f>
        <v>1</v>
      </c>
      <c r="U82" s="198">
        <v>1.4999999999999999E-2</v>
      </c>
      <c r="V82" s="202">
        <f>UTT!V340</f>
        <v>-1.18E-2</v>
      </c>
      <c r="W82" s="198">
        <v>0</v>
      </c>
      <c r="X82" s="197">
        <v>0</v>
      </c>
      <c r="Y82" s="199">
        <f t="shared" si="11"/>
        <v>-8.4749043568364324E-2</v>
      </c>
    </row>
    <row r="83" spans="2:25">
      <c r="B83" s="189" t="s">
        <v>9</v>
      </c>
      <c r="C83" s="190" t="s">
        <v>61</v>
      </c>
      <c r="D83" s="200">
        <v>10</v>
      </c>
      <c r="E83" s="201">
        <v>12</v>
      </c>
      <c r="F83" s="192">
        <v>45230</v>
      </c>
      <c r="G83" s="24">
        <f>UTT!C341</f>
        <v>1488.9106242831986</v>
      </c>
      <c r="H83" s="24">
        <f>UTT!D341</f>
        <v>1391.8140000000001</v>
      </c>
      <c r="I83" s="24">
        <f>UTT!E341</f>
        <v>139.1</v>
      </c>
      <c r="J83" s="24">
        <f>UTT!F341</f>
        <v>136.64999999999998</v>
      </c>
      <c r="K83" s="24">
        <f>UTT!G341</f>
        <v>172.2</v>
      </c>
      <c r="L83" s="24">
        <f>UTT!H341</f>
        <v>173.2</v>
      </c>
      <c r="M83" s="195">
        <f t="shared" si="7"/>
        <v>0.73150618957376456</v>
      </c>
      <c r="N83" s="195">
        <f t="shared" si="8"/>
        <v>0.71194606263310889</v>
      </c>
      <c r="O83" s="195">
        <f t="shared" si="9"/>
        <v>0.20012239573698903</v>
      </c>
      <c r="P83" s="195">
        <f t="shared" si="10"/>
        <v>0.18707177419354842</v>
      </c>
      <c r="Q83" s="202">
        <f>UTT!M341</f>
        <v>0.98499999999999999</v>
      </c>
      <c r="R83" s="202">
        <f>UTT!N341</f>
        <v>0.94059999999999999</v>
      </c>
      <c r="S83" s="202">
        <f>UTT!O341</f>
        <v>0.99</v>
      </c>
      <c r="T83" s="202">
        <f>UTT!P341</f>
        <v>1</v>
      </c>
      <c r="U83" s="198">
        <v>1.4999999999999999E-2</v>
      </c>
      <c r="V83" s="202">
        <f>UTT!V341</f>
        <v>-1.9900000000000001E-2</v>
      </c>
      <c r="W83" s="198">
        <v>0</v>
      </c>
      <c r="X83" s="197">
        <v>0</v>
      </c>
      <c r="Y83" s="199">
        <f t="shared" si="11"/>
        <v>-7.1020399558816893E-2</v>
      </c>
    </row>
    <row r="84" spans="2:25">
      <c r="B84" s="189" t="s">
        <v>9</v>
      </c>
      <c r="C84" s="190" t="s">
        <v>61</v>
      </c>
      <c r="D84" s="200">
        <v>10</v>
      </c>
      <c r="E84" s="201">
        <v>12</v>
      </c>
      <c r="F84" s="192">
        <v>45260</v>
      </c>
      <c r="G84" s="24">
        <f>UTT!C342</f>
        <v>1320.6923566358175</v>
      </c>
      <c r="H84" s="24">
        <f>UTT!D342</f>
        <v>1077.684</v>
      </c>
      <c r="I84" s="24">
        <f>UTT!E342</f>
        <v>108.1</v>
      </c>
      <c r="J84" s="24">
        <f>UTT!F342</f>
        <v>93.580000000000013</v>
      </c>
      <c r="K84" s="24">
        <f>UTT!G342</f>
        <v>152.1</v>
      </c>
      <c r="L84" s="24">
        <f>UTT!H342</f>
        <v>134.56</v>
      </c>
      <c r="M84" s="195">
        <f t="shared" si="7"/>
        <v>0.73460685019752658</v>
      </c>
      <c r="N84" s="195">
        <f t="shared" si="8"/>
        <v>0.67061112182876881</v>
      </c>
      <c r="O84" s="195">
        <f t="shared" si="9"/>
        <v>0.18342949397719688</v>
      </c>
      <c r="P84" s="195">
        <f t="shared" si="10"/>
        <v>0.14967833333333333</v>
      </c>
      <c r="Q84" s="202">
        <f>UTT!M342</f>
        <v>0.98499999999999999</v>
      </c>
      <c r="R84" s="202">
        <f>UTT!N342</f>
        <v>0.99523000000000006</v>
      </c>
      <c r="S84" s="202">
        <f>UTT!O342</f>
        <v>0.99</v>
      </c>
      <c r="T84" s="202">
        <f>UTT!P342</f>
        <v>1</v>
      </c>
      <c r="U84" s="198">
        <v>1.4999999999999999E-2</v>
      </c>
      <c r="V84" s="202">
        <f>UTT!V342</f>
        <v>-1.9199999999999998E-2</v>
      </c>
      <c r="W84" s="198">
        <v>0</v>
      </c>
      <c r="X84" s="197">
        <v>0</v>
      </c>
      <c r="Y84" s="199">
        <f t="shared" si="11"/>
        <v>-6.8681860009203177E-2</v>
      </c>
    </row>
    <row r="85" spans="2:25">
      <c r="B85" s="189" t="s">
        <v>9</v>
      </c>
      <c r="C85" s="190" t="s">
        <v>61</v>
      </c>
      <c r="D85" s="200">
        <v>10</v>
      </c>
      <c r="E85" s="201">
        <v>12</v>
      </c>
      <c r="F85" s="192">
        <v>45291</v>
      </c>
      <c r="G85" s="24">
        <f>UTT!C343</f>
        <v>1111.3143000959931</v>
      </c>
      <c r="H85" s="24">
        <f>UTT!D343</f>
        <v>990.73199999999997</v>
      </c>
      <c r="I85" s="24">
        <f>UTT!E343</f>
        <v>89.9</v>
      </c>
      <c r="J85" s="24">
        <f>UTT!F343</f>
        <v>80.819999999999993</v>
      </c>
      <c r="K85" s="24">
        <f>UTT!G343</f>
        <v>129.6</v>
      </c>
      <c r="L85" s="24">
        <f>UTT!H343</f>
        <v>125.42</v>
      </c>
      <c r="M85" s="195">
        <f t="shared" si="7"/>
        <v>0.72546159215390915</v>
      </c>
      <c r="N85" s="195">
        <f t="shared" si="8"/>
        <v>0.6631859070161944</v>
      </c>
      <c r="O85" s="195">
        <f t="shared" si="9"/>
        <v>0.14937020162580553</v>
      </c>
      <c r="P85" s="195">
        <f t="shared" si="10"/>
        <v>0.13316290322580643</v>
      </c>
      <c r="Q85" s="202">
        <f>UTT!M343</f>
        <v>0.98499999999999999</v>
      </c>
      <c r="R85" s="202">
        <f>UTT!N343</f>
        <v>0.99259677419354841</v>
      </c>
      <c r="S85" s="202">
        <f>UTT!O343</f>
        <v>0.99</v>
      </c>
      <c r="T85" s="202">
        <f>UTT!P343</f>
        <v>1</v>
      </c>
      <c r="U85" s="198">
        <v>1.4999999999999999E-2</v>
      </c>
      <c r="V85" s="202">
        <f>UTT!V343</f>
        <v>-2.41E-2</v>
      </c>
      <c r="W85" s="198">
        <v>0</v>
      </c>
      <c r="X85" s="197">
        <v>0</v>
      </c>
      <c r="Y85" s="199">
        <f t="shared" si="11"/>
        <v>-7.6251141489109053E-2</v>
      </c>
    </row>
    <row r="86" spans="2:25">
      <c r="B86" s="189" t="s">
        <v>9</v>
      </c>
      <c r="C86" s="190" t="s">
        <v>61</v>
      </c>
      <c r="D86" s="200">
        <v>10</v>
      </c>
      <c r="E86" s="201">
        <v>12</v>
      </c>
      <c r="F86" s="192">
        <v>45322</v>
      </c>
      <c r="G86" s="24">
        <f>UTT!C344</f>
        <v>936.59994402776147</v>
      </c>
      <c r="H86" s="24">
        <f>UTT!D344</f>
        <v>421.41</v>
      </c>
      <c r="I86" s="24">
        <f>UTT!E344</f>
        <v>79.599999999999994</v>
      </c>
      <c r="J86" s="24">
        <f>UTT!F344</f>
        <v>43.269999999999989</v>
      </c>
      <c r="K86" s="24">
        <f>UTT!G344</f>
        <v>103.2</v>
      </c>
      <c r="L86" s="24">
        <f>UTT!H344</f>
        <v>51.410000000000004</v>
      </c>
      <c r="M86" s="195">
        <f t="shared" si="7"/>
        <v>0.76781563900018479</v>
      </c>
      <c r="N86" s="195">
        <f t="shared" si="8"/>
        <v>0.68934441641226951</v>
      </c>
      <c r="O86" s="195">
        <f t="shared" si="9"/>
        <v>0.12588708925104319</v>
      </c>
      <c r="P86" s="195">
        <f t="shared" si="10"/>
        <v>5.6641129032258063E-2</v>
      </c>
      <c r="Q86" s="202">
        <f>UTT!M344</f>
        <v>0.98499999999999999</v>
      </c>
      <c r="R86" s="202">
        <f>UTT!N344</f>
        <v>0.99092258064516137</v>
      </c>
      <c r="S86" s="202">
        <f>UTT!O344</f>
        <v>0.99</v>
      </c>
      <c r="T86" s="202">
        <f>UTT!P344</f>
        <v>1</v>
      </c>
      <c r="U86" s="198">
        <v>1.4999999999999999E-2</v>
      </c>
      <c r="V86" s="202">
        <f>UTT!V344</f>
        <v>-1.49E-2</v>
      </c>
      <c r="W86" s="198">
        <v>0</v>
      </c>
      <c r="X86" s="197">
        <v>0</v>
      </c>
      <c r="Y86" s="199">
        <f t="shared" si="11"/>
        <v>-4.8222949339056798E-2</v>
      </c>
    </row>
    <row r="87" spans="2:25">
      <c r="B87" s="189" t="s">
        <v>9</v>
      </c>
      <c r="C87" s="190" t="s">
        <v>61</v>
      </c>
      <c r="D87" s="200">
        <v>10</v>
      </c>
      <c r="E87" s="201">
        <v>12</v>
      </c>
      <c r="F87" s="192">
        <v>45351</v>
      </c>
      <c r="G87" s="24">
        <f>UTT!C345</f>
        <v>1226.8390901808511</v>
      </c>
      <c r="H87" s="24">
        <f>UTT!D345</f>
        <v>1160.4360000000042</v>
      </c>
      <c r="I87" s="24">
        <f>UTT!E345</f>
        <v>108.1</v>
      </c>
      <c r="J87" s="24">
        <f>UTT!F345</f>
        <v>109.64999999999999</v>
      </c>
      <c r="K87" s="24">
        <f>UTT!G345</f>
        <v>137.5</v>
      </c>
      <c r="L87" s="24">
        <f>UTT!H345</f>
        <v>144.81</v>
      </c>
      <c r="M87" s="195">
        <f t="shared" si="7"/>
        <v>0.75486176906989766</v>
      </c>
      <c r="N87" s="195">
        <f t="shared" si="8"/>
        <v>0.69186933230284753</v>
      </c>
      <c r="O87" s="195">
        <f t="shared" si="9"/>
        <v>0.17626998422138668</v>
      </c>
      <c r="P87" s="195">
        <f t="shared" si="10"/>
        <v>0.16672931034482821</v>
      </c>
      <c r="Q87" s="202">
        <f>UTT!M345</f>
        <v>0.98499999999999999</v>
      </c>
      <c r="R87" s="202">
        <f>UTT!N345</f>
        <v>0.96519999999999995</v>
      </c>
      <c r="S87" s="202">
        <f>UTT!O345</f>
        <v>0.99</v>
      </c>
      <c r="T87" s="202">
        <f>UTT!P345</f>
        <v>0.99475172413793111</v>
      </c>
      <c r="U87" s="198">
        <v>1.4999999999999999E-2</v>
      </c>
      <c r="V87" s="202">
        <f>UTT!V345</f>
        <v>-1.7500000000000002E-2</v>
      </c>
      <c r="W87" s="198">
        <v>0</v>
      </c>
      <c r="X87" s="197">
        <v>0</v>
      </c>
      <c r="Y87" s="199">
        <f t="shared" si="11"/>
        <v>-0.10728898231349371</v>
      </c>
    </row>
    <row r="88" spans="2:25">
      <c r="B88" s="189" t="s">
        <v>9</v>
      </c>
      <c r="C88" s="190" t="s">
        <v>61</v>
      </c>
      <c r="D88" s="200">
        <v>10</v>
      </c>
      <c r="E88" s="201">
        <v>12</v>
      </c>
      <c r="F88" s="192">
        <f>EOMONTH(F87,1)</f>
        <v>45382</v>
      </c>
      <c r="G88" s="24">
        <f>UTT!C346</f>
        <v>1640.8305103071907</v>
      </c>
      <c r="H88" s="24">
        <f>UTT!D346</f>
        <v>1448.4</v>
      </c>
      <c r="I88" s="24">
        <f>UTT!E346</f>
        <v>161.4</v>
      </c>
      <c r="J88" s="24">
        <f>UTT!F346</f>
        <v>152.10000000000002</v>
      </c>
      <c r="K88" s="24">
        <f>UTT!G346</f>
        <v>187.8</v>
      </c>
      <c r="L88" s="24">
        <f>UTT!H346</f>
        <v>176.4</v>
      </c>
      <c r="M88" s="195">
        <f t="shared" ref="M88" si="12">G88/E88/K88/Q88</f>
        <v>0.7391807671998647</v>
      </c>
      <c r="N88" s="195">
        <f t="shared" ref="N88" si="13">H88/E88/L88/R88</f>
        <v>0.69194551088787182</v>
      </c>
      <c r="O88" s="195">
        <f t="shared" ref="O88" si="14">G88/24/DAY(F88)/D88</f>
        <v>0.22054173525634285</v>
      </c>
      <c r="P88" s="195">
        <f t="shared" ref="P88" si="15">H88/24/DAY(F88)/D88</f>
        <v>0.1946774193548387</v>
      </c>
      <c r="Q88" s="202">
        <f>UTT!M346</f>
        <v>0.98499999999999999</v>
      </c>
      <c r="R88" s="202">
        <f>UTT!N346</f>
        <v>0.98886451612903215</v>
      </c>
      <c r="S88" s="202">
        <f>UTT!O346</f>
        <v>0.99</v>
      </c>
      <c r="T88" s="202">
        <f>UTT!P346</f>
        <v>1</v>
      </c>
      <c r="U88" s="198">
        <v>1.4999999999999999E-2</v>
      </c>
      <c r="V88" s="202">
        <f>UTT!V346</f>
        <v>-1.9800000000000002E-2</v>
      </c>
      <c r="W88" s="198">
        <v>0</v>
      </c>
      <c r="X88" s="197">
        <v>0</v>
      </c>
      <c r="Y88" s="199">
        <f t="shared" ref="Y88" si="16">(H88/G88-1)-(L88/K88-1)</f>
        <v>-5.6573411882232971E-2</v>
      </c>
    </row>
    <row r="89" spans="2:25">
      <c r="B89" s="189" t="s">
        <v>9</v>
      </c>
      <c r="C89" s="190" t="s">
        <v>61</v>
      </c>
      <c r="D89" s="200">
        <v>10</v>
      </c>
      <c r="E89" s="201">
        <v>12</v>
      </c>
      <c r="F89" s="192">
        <f>EOMONTH(F88,1)</f>
        <v>45412</v>
      </c>
      <c r="G89" s="24">
        <f>UTT!C347</f>
        <v>1695.1390621947317</v>
      </c>
      <c r="H89" s="24">
        <f>UTT!D347</f>
        <v>1507.3979999999999</v>
      </c>
      <c r="I89" s="24">
        <f>UTT!E347</f>
        <v>190.2</v>
      </c>
      <c r="J89" s="24">
        <f>UTT!F347</f>
        <v>184.02999999999997</v>
      </c>
      <c r="K89" s="24">
        <f>UTT!G347</f>
        <v>194</v>
      </c>
      <c r="L89" s="24">
        <f>UTT!H347</f>
        <v>189.00000000000006</v>
      </c>
      <c r="M89" s="195">
        <f t="shared" ref="M89" si="17">G89/E89/K89/Q89</f>
        <v>0.73924113515216727</v>
      </c>
      <c r="N89" s="195">
        <f t="shared" ref="N89" si="18">H89/E89/L89/R89</f>
        <v>0.67049855322728191</v>
      </c>
      <c r="O89" s="195">
        <f t="shared" ref="O89" si="19">G89/24/DAY(F89)/D89</f>
        <v>0.23543598086037942</v>
      </c>
      <c r="P89" s="195">
        <f t="shared" ref="P89" si="20">H89/24/DAY(F89)/D89</f>
        <v>0.2093608333333333</v>
      </c>
      <c r="Q89" s="202">
        <f>UTT!M347</f>
        <v>0.98499999999999999</v>
      </c>
      <c r="R89" s="202">
        <f>UTT!N347</f>
        <v>0.99125876251111111</v>
      </c>
      <c r="S89" s="202">
        <f>UTT!O347</f>
        <v>0.99</v>
      </c>
      <c r="T89" s="202">
        <f>UTT!P347</f>
        <v>0.99975333333333327</v>
      </c>
      <c r="U89" s="198">
        <v>1.4999999999999999E-2</v>
      </c>
      <c r="V89" s="202">
        <f>UTT!V347</f>
        <v>-2.5743333333333299E-2</v>
      </c>
      <c r="W89" s="198">
        <v>0</v>
      </c>
      <c r="X89" s="197">
        <v>0</v>
      </c>
      <c r="Y89" s="199">
        <f t="shared" ref="Y89" si="21">(H89/G89-1)-(L89/K89-1)</f>
        <v>-8.4979406303534843E-2</v>
      </c>
    </row>
    <row r="90" spans="2:25">
      <c r="B90" s="189" t="s">
        <v>9</v>
      </c>
      <c r="C90" s="190" t="s">
        <v>61</v>
      </c>
      <c r="D90" s="200">
        <v>10</v>
      </c>
      <c r="E90" s="201">
        <v>12</v>
      </c>
      <c r="F90" s="192">
        <f>EOMONTH(F89,1)</f>
        <v>45443</v>
      </c>
      <c r="G90" s="24">
        <f>UTT!C348</f>
        <v>1717.3966654273302</v>
      </c>
      <c r="H90" s="24">
        <f>UTT!D348</f>
        <v>1404.0419999999999</v>
      </c>
      <c r="I90" s="24">
        <f>UTT!E348</f>
        <v>197</v>
      </c>
      <c r="J90" s="24">
        <f>UTT!F348</f>
        <v>195.99999999999997</v>
      </c>
      <c r="K90" s="24">
        <f>UTT!G348</f>
        <v>197.7</v>
      </c>
      <c r="L90" s="24">
        <f>UTT!H348</f>
        <v>197.27999999999992</v>
      </c>
      <c r="M90" s="195">
        <f t="shared" ref="M90" si="22">G90/E90/K90/Q90</f>
        <v>0.73493083549967175</v>
      </c>
      <c r="N90" s="195">
        <f t="shared" ref="N90" si="23">H90/E90/L90/R90</f>
        <v>0.61573295294858366</v>
      </c>
      <c r="O90" s="195">
        <f t="shared" ref="O90" si="24">G90/24/DAY(F90)/D90</f>
        <v>0.23083288513808201</v>
      </c>
      <c r="P90" s="195">
        <f t="shared" ref="P90" si="25">H90/24/DAY(F90)/D90</f>
        <v>0.18871532258064513</v>
      </c>
      <c r="Q90" s="202">
        <f>UTT!M348</f>
        <v>0.98499999999999999</v>
      </c>
      <c r="R90" s="202">
        <f>UTT!N348</f>
        <v>0.9632153547604746</v>
      </c>
      <c r="S90" s="202">
        <f>UTT!O348</f>
        <v>0.99</v>
      </c>
      <c r="T90" s="202">
        <f>UTT!P348</f>
        <v>0.99889354838709676</v>
      </c>
      <c r="U90" s="198">
        <v>1.4999999999999999E-2</v>
      </c>
      <c r="V90" s="202">
        <f>UTT!V348</f>
        <v>-3.8300000000000001E-2</v>
      </c>
      <c r="W90" s="198">
        <v>0</v>
      </c>
      <c r="X90" s="197">
        <v>0</v>
      </c>
      <c r="Y90" s="199">
        <f t="shared" ref="Y90" si="26">(H90/G90-1)-(L90/K90-1)</f>
        <v>-0.18033467807538361</v>
      </c>
    </row>
    <row r="91" spans="2:25">
      <c r="B91" s="189" t="s">
        <v>9</v>
      </c>
      <c r="C91" s="190" t="s">
        <v>61</v>
      </c>
      <c r="D91" s="200">
        <v>10</v>
      </c>
      <c r="E91" s="201">
        <v>12</v>
      </c>
      <c r="F91" s="192">
        <f>EOMONTH(F90,1)</f>
        <v>45473</v>
      </c>
      <c r="G91" s="24">
        <f>UTT!C349</f>
        <v>1544.6776643423636</v>
      </c>
      <c r="H91" s="24">
        <f>UTT!D349</f>
        <v>1432.0319999999999</v>
      </c>
      <c r="I91" s="24">
        <f>UTT!E349</f>
        <v>178.9</v>
      </c>
      <c r="J91" s="24">
        <f>UTT!F349</f>
        <v>191.7</v>
      </c>
      <c r="K91" s="24">
        <f>UTT!G349</f>
        <v>177.2</v>
      </c>
      <c r="L91" s="24">
        <f>UTT!H349</f>
        <v>184.18000000000004</v>
      </c>
      <c r="M91" s="195">
        <f t="shared" ref="M91" si="27">G91/E91/K91/Q91</f>
        <v>0.73749091161552516</v>
      </c>
      <c r="N91" s="195">
        <f t="shared" ref="N91" si="28">H91/E91/L91/R91</f>
        <v>0.65853376510256867</v>
      </c>
      <c r="O91" s="195">
        <f t="shared" ref="O91" si="29">G91/24/DAY(F91)/D91</f>
        <v>0.21453856449199496</v>
      </c>
      <c r="P91" s="195">
        <f t="shared" ref="P91" si="30">H91/24/DAY(F91)/D91</f>
        <v>0.19889333333333331</v>
      </c>
      <c r="Q91" s="202">
        <f>UTT!M349</f>
        <v>0.98499999999999999</v>
      </c>
      <c r="R91" s="202">
        <f>UTT!N349</f>
        <v>0.9839</v>
      </c>
      <c r="S91" s="202">
        <f>UTT!O349</f>
        <v>0.99</v>
      </c>
      <c r="T91" s="202">
        <f>UTT!P349</f>
        <v>1</v>
      </c>
      <c r="U91" s="198">
        <v>1.4999999999999999E-2</v>
      </c>
      <c r="V91" s="202">
        <f>UTT!V349</f>
        <v>-2.6599999999999999E-2</v>
      </c>
      <c r="W91" s="198">
        <v>0</v>
      </c>
      <c r="X91" s="197">
        <v>0</v>
      </c>
      <c r="Y91" s="199">
        <f t="shared" ref="Y91" si="31">(H91/G91-1)-(L91/K91-1)</f>
        <v>-0.11231554875352556</v>
      </c>
    </row>
    <row r="92" spans="2:25">
      <c r="B92" s="189" t="s">
        <v>9</v>
      </c>
      <c r="C92" s="190" t="s">
        <v>61</v>
      </c>
      <c r="D92" s="200">
        <v>10</v>
      </c>
      <c r="E92" s="201">
        <v>12</v>
      </c>
      <c r="F92" s="192">
        <f t="shared" ref="F92:F97" si="32">EOMONTH(F91,1)</f>
        <v>45504</v>
      </c>
      <c r="G92" s="24">
        <f>UTT!C350</f>
        <v>1370.1780549987882</v>
      </c>
      <c r="H92" s="24">
        <f>UTT!D350</f>
        <v>1182.5340000000001</v>
      </c>
      <c r="I92" s="24">
        <f>UTT!E350</f>
        <v>155.5</v>
      </c>
      <c r="J92" s="24">
        <f>UTT!F350</f>
        <v>144.38</v>
      </c>
      <c r="K92" s="24">
        <f>UTT!G350</f>
        <v>154.6</v>
      </c>
      <c r="L92" s="24">
        <f>UTT!H350</f>
        <v>141.64999999999998</v>
      </c>
      <c r="M92" s="195">
        <f t="shared" ref="M92:M93" si="33">G92/E92/K92/Q92</f>
        <v>0.7498079509803085</v>
      </c>
      <c r="N92" s="195">
        <f t="shared" ref="N92:N93" si="34">H92/E92/L92/R92</f>
        <v>0.72782728755495529</v>
      </c>
      <c r="O92" s="195">
        <f t="shared" ref="O92:O93" si="35">G92/24/DAY(F92)/D92</f>
        <v>0.18416371706972962</v>
      </c>
      <c r="P92" s="195">
        <f t="shared" ref="P92:P93" si="36">H92/24/DAY(F92)/D92</f>
        <v>0.15894274193548391</v>
      </c>
      <c r="Q92" s="202">
        <f>UTT!M350</f>
        <v>0.98499999999999999</v>
      </c>
      <c r="R92" s="202">
        <f>UTT!N350</f>
        <v>0.95584501032258062</v>
      </c>
      <c r="S92" s="202">
        <f>UTT!O350</f>
        <v>0.99</v>
      </c>
      <c r="T92" s="202">
        <f>UTT!P350</f>
        <v>1</v>
      </c>
      <c r="U92" s="198">
        <v>1.4999999999999999E-2</v>
      </c>
      <c r="V92" s="202">
        <f>UTT!V350</f>
        <v>-9.7999999999999997E-3</v>
      </c>
      <c r="W92" s="198">
        <v>0</v>
      </c>
      <c r="X92" s="197">
        <v>0</v>
      </c>
      <c r="Y92" s="199">
        <f t="shared" ref="Y92:Y93" si="37">(H92/G92-1)-(L92/K92-1)</f>
        <v>-5.3184110987858135E-2</v>
      </c>
    </row>
    <row r="93" spans="2:25">
      <c r="B93" s="189" t="s">
        <v>9</v>
      </c>
      <c r="C93" s="190" t="s">
        <v>61</v>
      </c>
      <c r="D93" s="200">
        <v>10</v>
      </c>
      <c r="E93" s="201">
        <v>12</v>
      </c>
      <c r="F93" s="192">
        <f t="shared" si="32"/>
        <v>45535</v>
      </c>
      <c r="G93" s="24">
        <f>UTT!C351</f>
        <v>1301.6246370423833</v>
      </c>
      <c r="H93" s="24">
        <f>UTT!D351</f>
        <v>1303.9860000000001</v>
      </c>
      <c r="I93" s="24">
        <f>UTT!E351</f>
        <v>145.4</v>
      </c>
      <c r="J93" s="24">
        <f>UTT!F351</f>
        <v>161.13999999999996</v>
      </c>
      <c r="K93" s="24">
        <f>UTT!G351</f>
        <v>146.30000000000001</v>
      </c>
      <c r="L93" s="24">
        <f>UTT!H351</f>
        <v>164.68</v>
      </c>
      <c r="M93" s="195">
        <f t="shared" si="33"/>
        <v>0.75270353840437687</v>
      </c>
      <c r="N93" s="195">
        <f t="shared" si="34"/>
        <v>0.6947269838331851</v>
      </c>
      <c r="O93" s="195">
        <f t="shared" si="35"/>
        <v>0.17494954798956766</v>
      </c>
      <c r="P93" s="195">
        <f t="shared" si="36"/>
        <v>0.17526693548387098</v>
      </c>
      <c r="Q93" s="202">
        <f>UTT!M351</f>
        <v>0.98499999999999999</v>
      </c>
      <c r="R93" s="202">
        <f>UTT!N351</f>
        <v>0.9498098229032258</v>
      </c>
      <c r="S93" s="202">
        <f>UTT!O351</f>
        <v>0.99</v>
      </c>
      <c r="T93" s="202">
        <f>UTT!P351</f>
        <v>1</v>
      </c>
      <c r="U93" s="198">
        <v>1.4999999999999999E-2</v>
      </c>
      <c r="V93" s="202">
        <f>UTT!V351</f>
        <v>-7.1000000000000004E-3</v>
      </c>
      <c r="W93" s="198">
        <v>0</v>
      </c>
      <c r="X93" s="197">
        <v>0</v>
      </c>
      <c r="Y93" s="199">
        <f t="shared" si="37"/>
        <v>-0.12381809663083976</v>
      </c>
    </row>
    <row r="94" spans="2:25">
      <c r="B94" s="189" t="s">
        <v>9</v>
      </c>
      <c r="C94" s="190" t="s">
        <v>61</v>
      </c>
      <c r="D94" s="200">
        <v>10</v>
      </c>
      <c r="E94" s="201">
        <v>12</v>
      </c>
      <c r="F94" s="192">
        <f t="shared" si="32"/>
        <v>45565</v>
      </c>
      <c r="G94" s="24">
        <f>UTT!C352</f>
        <v>1295.3925081372558</v>
      </c>
      <c r="H94" s="24">
        <f>UTT!D352</f>
        <v>1061.874</v>
      </c>
      <c r="I94" s="24">
        <f>UTT!E352</f>
        <v>141.6</v>
      </c>
      <c r="J94" s="24">
        <f>UTT!F352</f>
        <v>119.97000000000001</v>
      </c>
      <c r="K94" s="24">
        <f>UTT!G352</f>
        <v>145.5</v>
      </c>
      <c r="L94" s="24">
        <f>UTT!H352</f>
        <v>127.23000000000002</v>
      </c>
      <c r="M94" s="195">
        <f t="shared" ref="M94" si="38">G94/E94/K94/Q94</f>
        <v>0.75321838350588488</v>
      </c>
      <c r="N94" s="195">
        <f t="shared" ref="N94" si="39">H94/E94/L94/R94</f>
        <v>0.71756312839930814</v>
      </c>
      <c r="O94" s="195">
        <f t="shared" ref="O94" si="40">G94/24/DAY(F94)/D94</f>
        <v>0.17991562613017442</v>
      </c>
      <c r="P94" s="195">
        <f t="shared" ref="P94" si="41">H94/24/DAY(F94)/D94</f>
        <v>0.14748250000000002</v>
      </c>
      <c r="Q94" s="202">
        <f>UTT!M352</f>
        <v>0.98499999999999999</v>
      </c>
      <c r="R94" s="202">
        <f>UTT!N352</f>
        <v>0.96926403733333333</v>
      </c>
      <c r="S94" s="202">
        <f>UTT!O352</f>
        <v>0.99</v>
      </c>
      <c r="T94" s="202">
        <f>UTT!P352</f>
        <v>1</v>
      </c>
      <c r="U94" s="198">
        <v>1.4999999999999999E-2</v>
      </c>
      <c r="V94" s="202">
        <f>UTT!V352</f>
        <v>-1.0500000000000001E-2</v>
      </c>
      <c r="W94" s="198">
        <v>0</v>
      </c>
      <c r="X94" s="197">
        <v>0</v>
      </c>
      <c r="Y94" s="199">
        <f t="shared" ref="Y94" si="42">(H94/G94-1)-(L94/K94-1)</f>
        <v>-5.4701523490604531E-2</v>
      </c>
    </row>
    <row r="95" spans="2:25">
      <c r="B95" s="189" t="s">
        <v>9</v>
      </c>
      <c r="C95" s="190" t="s">
        <v>61</v>
      </c>
      <c r="D95" s="200">
        <v>10</v>
      </c>
      <c r="E95" s="201">
        <v>12</v>
      </c>
      <c r="F95" s="192">
        <f t="shared" si="32"/>
        <v>45596</v>
      </c>
      <c r="G95" s="24">
        <f>UTT!C353</f>
        <v>1481.4660711617826</v>
      </c>
      <c r="H95" s="24">
        <f>UTT!D353</f>
        <v>1277.028</v>
      </c>
      <c r="I95" s="24">
        <f>UTT!E353</f>
        <v>139.1</v>
      </c>
      <c r="J95" s="24">
        <f>UTT!F353</f>
        <v>127.17</v>
      </c>
      <c r="K95" s="24">
        <f>UTT!G353</f>
        <v>172.20000000000002</v>
      </c>
      <c r="L95" s="24">
        <f>UTT!H353</f>
        <v>153.45999999999995</v>
      </c>
      <c r="M95" s="195">
        <f t="shared" ref="M95" si="43">G95/E95/K95/Q95</f>
        <v>0.72784865862589565</v>
      </c>
      <c r="N95" s="195">
        <f t="shared" ref="N95" si="44">H95/E95/L95/R95</f>
        <v>0.70334677463612449</v>
      </c>
      <c r="O95" s="195">
        <f t="shared" ref="O95" si="45">G95/24/DAY(F95)/D95</f>
        <v>0.19912178375830411</v>
      </c>
      <c r="P95" s="195">
        <f t="shared" ref="P95" si="46">H95/24/DAY(F95)/D95</f>
        <v>0.17164354838709678</v>
      </c>
      <c r="Q95" s="202">
        <f>UTT!M353</f>
        <v>0.98499999999999999</v>
      </c>
      <c r="R95" s="202">
        <f>UTT!N353</f>
        <v>0.98594906507804358</v>
      </c>
      <c r="S95" s="202">
        <f>UTT!O353</f>
        <v>0.99</v>
      </c>
      <c r="T95" s="202">
        <f>UTT!P353</f>
        <v>0.99374838709677416</v>
      </c>
      <c r="U95" s="198">
        <v>1.4999999999999999E-2</v>
      </c>
      <c r="V95" s="202">
        <f>UTT!V353</f>
        <v>-2.5654838709677399E-2</v>
      </c>
      <c r="W95" s="198">
        <v>0</v>
      </c>
      <c r="X95" s="197">
        <v>0</v>
      </c>
      <c r="Y95" s="199">
        <f t="shared" ref="Y95" si="47">(H95/G95-1)-(L95/K95-1)</f>
        <v>-2.917018806335403E-2</v>
      </c>
    </row>
    <row r="96" spans="2:25">
      <c r="B96" s="189" t="s">
        <v>9</v>
      </c>
      <c r="C96" s="190" t="s">
        <v>61</v>
      </c>
      <c r="D96" s="200">
        <v>10</v>
      </c>
      <c r="E96" s="201">
        <v>12</v>
      </c>
      <c r="F96" s="192">
        <f t="shared" si="32"/>
        <v>45626</v>
      </c>
      <c r="G96" s="24">
        <f>UTT!C354</f>
        <v>1314.0888948526385</v>
      </c>
      <c r="H96" s="24">
        <f>UTT!D354</f>
        <v>937.66800000000001</v>
      </c>
      <c r="I96" s="24">
        <f>UTT!E354</f>
        <v>108.10000000000001</v>
      </c>
      <c r="J96" s="24">
        <f>UTT!F354</f>
        <v>84.36999999999999</v>
      </c>
      <c r="K96" s="24">
        <f>UTT!G354</f>
        <v>152.1</v>
      </c>
      <c r="L96" s="24">
        <f>UTT!H354</f>
        <v>111.37</v>
      </c>
      <c r="M96" s="195">
        <f t="shared" ref="M96" si="48">G96/E96/K96/Q96</f>
        <v>0.73093381594653895</v>
      </c>
      <c r="N96" s="195">
        <f t="shared" ref="N96" si="49">H96/E96/L96/R96</f>
        <v>0.71419644688837469</v>
      </c>
      <c r="O96" s="195">
        <f t="shared" ref="O96" si="50">G96/24/DAY(F96)/D96</f>
        <v>0.18251234650731091</v>
      </c>
      <c r="P96" s="195">
        <f t="shared" ref="P96" si="51">H96/24/DAY(F96)/D96</f>
        <v>0.13023166666666666</v>
      </c>
      <c r="Q96" s="202">
        <f>UTT!M354</f>
        <v>0.98499999999999999</v>
      </c>
      <c r="R96" s="202">
        <f>UTT!N354</f>
        <v>0.98238550083970488</v>
      </c>
      <c r="S96" s="202">
        <f>UTT!O354</f>
        <v>0.99</v>
      </c>
      <c r="T96" s="202">
        <f>UTT!P354</f>
        <v>1</v>
      </c>
      <c r="U96" s="198">
        <v>1.4999999999999999E-2</v>
      </c>
      <c r="V96" s="202">
        <f>UTT!V354</f>
        <v>-2.2800000000000001E-2</v>
      </c>
      <c r="W96" s="198">
        <v>0</v>
      </c>
      <c r="X96" s="197">
        <v>0</v>
      </c>
      <c r="Y96" s="199">
        <f t="shared" ref="Y96" si="52">(H96/G96-1)-(L96/K96-1)</f>
        <v>-1.8665747229824392E-2</v>
      </c>
    </row>
    <row r="97" spans="2:25">
      <c r="B97" s="189" t="s">
        <v>9</v>
      </c>
      <c r="C97" s="190" t="s">
        <v>61</v>
      </c>
      <c r="D97" s="200">
        <v>10</v>
      </c>
      <c r="E97" s="201">
        <v>12</v>
      </c>
      <c r="F97" s="192">
        <f t="shared" si="32"/>
        <v>45657</v>
      </c>
      <c r="G97" s="24">
        <f>UTT!C355</f>
        <v>1105.7577285955131</v>
      </c>
      <c r="H97" s="24">
        <f>UTT!D355</f>
        <v>996.61199999999997</v>
      </c>
      <c r="I97" s="24">
        <f>UTT!E355</f>
        <v>89.9</v>
      </c>
      <c r="J97" s="24">
        <f>UTT!F355</f>
        <v>77.62</v>
      </c>
      <c r="K97" s="24">
        <f>UTT!G355</f>
        <v>129.6</v>
      </c>
      <c r="L97" s="24">
        <f>UTT!H355</f>
        <v>112.75</v>
      </c>
      <c r="M97" s="195">
        <f t="shared" ref="M97" si="53">G97/E97/K97/Q97</f>
        <v>0.72183428419313955</v>
      </c>
      <c r="N97" s="195">
        <f t="shared" ref="N97" si="54">H97/E97/L97/R97</f>
        <v>0.7388671677694385</v>
      </c>
      <c r="O97" s="195">
        <f t="shared" ref="O97" si="55">G97/24/DAY(F97)/D97</f>
        <v>0.14862335061767648</v>
      </c>
      <c r="P97" s="195">
        <f t="shared" ref="P97" si="56">H97/24/DAY(F97)/D97</f>
        <v>0.13395322580645161</v>
      </c>
      <c r="Q97" s="202">
        <f>UTT!M355</f>
        <v>0.98499999999999999</v>
      </c>
      <c r="R97" s="202">
        <f>UTT!N355</f>
        <v>0.99692376000000005</v>
      </c>
      <c r="S97" s="202">
        <f>UTT!O355</f>
        <v>0.99</v>
      </c>
      <c r="T97" s="202">
        <f>UTT!P355</f>
        <v>1</v>
      </c>
      <c r="U97" s="198">
        <v>1.4999999999999999E-2</v>
      </c>
      <c r="V97" s="202">
        <f>UTT!V355</f>
        <v>-1.54E-2</v>
      </c>
      <c r="W97" s="198">
        <v>0</v>
      </c>
      <c r="X97" s="197">
        <v>0</v>
      </c>
      <c r="Y97" s="199">
        <f t="shared" ref="Y97" si="57">(H97/G97-1)-(L97/K97-1)</f>
        <v>3.1308702972715929E-2</v>
      </c>
    </row>
    <row r="98" spans="2:25">
      <c r="B98" s="189"/>
      <c r="C98" s="190"/>
      <c r="D98" s="200"/>
      <c r="E98" s="201"/>
      <c r="F98" s="192"/>
      <c r="G98" s="24"/>
      <c r="H98" s="24"/>
      <c r="I98" s="24"/>
      <c r="J98" s="24"/>
      <c r="K98" s="24"/>
      <c r="L98" s="24"/>
      <c r="M98" s="195"/>
      <c r="N98" s="195"/>
      <c r="O98" s="195"/>
      <c r="P98" s="195"/>
      <c r="Q98" s="202"/>
      <c r="R98" s="202"/>
      <c r="S98" s="202"/>
      <c r="T98" s="203"/>
      <c r="U98" s="198"/>
      <c r="V98" s="203"/>
      <c r="W98" s="198"/>
      <c r="X98" s="197"/>
      <c r="Y98" s="199"/>
    </row>
    <row r="99" spans="2:25">
      <c r="B99" s="189" t="s">
        <v>9</v>
      </c>
      <c r="C99" s="190" t="s">
        <v>62</v>
      </c>
      <c r="D99" s="190">
        <v>10</v>
      </c>
      <c r="E99" s="191">
        <v>12</v>
      </c>
      <c r="F99" s="192">
        <v>42766</v>
      </c>
      <c r="G99" s="24"/>
      <c r="H99" s="24">
        <v>0</v>
      </c>
      <c r="I99" s="193">
        <v>79.599999999999994</v>
      </c>
      <c r="J99" s="194"/>
      <c r="K99" s="193">
        <v>103.2</v>
      </c>
      <c r="L99" s="194"/>
      <c r="M99" s="195">
        <v>0.83104704670606167</v>
      </c>
      <c r="N99" s="195"/>
      <c r="O99" s="195"/>
      <c r="P99" s="195"/>
      <c r="Q99" s="195">
        <v>0.98499999999999999</v>
      </c>
      <c r="R99" s="195"/>
      <c r="S99" s="196">
        <v>0.99</v>
      </c>
      <c r="T99" s="197"/>
      <c r="U99" s="198">
        <v>1.4999999999999999E-2</v>
      </c>
      <c r="V99" s="197">
        <v>0</v>
      </c>
      <c r="W99" s="198">
        <v>0</v>
      </c>
      <c r="X99" s="197">
        <v>0</v>
      </c>
      <c r="Y99" s="199" t="e">
        <f t="shared" si="6"/>
        <v>#DIV/0!</v>
      </c>
    </row>
    <row r="100" spans="2:25">
      <c r="B100" s="189" t="s">
        <v>9</v>
      </c>
      <c r="C100" s="190" t="s">
        <v>62</v>
      </c>
      <c r="D100" s="190">
        <v>10</v>
      </c>
      <c r="E100" s="191">
        <v>12</v>
      </c>
      <c r="F100" s="192">
        <v>42794</v>
      </c>
      <c r="G100" s="24"/>
      <c r="H100" s="24">
        <v>28.943999999999999</v>
      </c>
      <c r="I100" s="193">
        <v>108.1</v>
      </c>
      <c r="J100" s="194"/>
      <c r="K100" s="193">
        <v>137.5</v>
      </c>
      <c r="L100" s="194"/>
      <c r="M100" s="195">
        <v>0.81636242274348869</v>
      </c>
      <c r="N100" s="195"/>
      <c r="O100" s="195"/>
      <c r="P100" s="195"/>
      <c r="Q100" s="195">
        <v>0.98499999999999999</v>
      </c>
      <c r="R100" s="195"/>
      <c r="S100" s="196">
        <v>0.99</v>
      </c>
      <c r="T100" s="197"/>
      <c r="U100" s="198">
        <v>1.4999999999999999E-2</v>
      </c>
      <c r="V100" s="197">
        <v>0</v>
      </c>
      <c r="W100" s="198">
        <v>0</v>
      </c>
      <c r="X100" s="197">
        <v>0</v>
      </c>
      <c r="Y100" s="199" t="e">
        <f t="shared" si="6"/>
        <v>#DIV/0!</v>
      </c>
    </row>
    <row r="101" spans="2:25">
      <c r="B101" s="189" t="s">
        <v>9</v>
      </c>
      <c r="C101" s="190" t="s">
        <v>62</v>
      </c>
      <c r="D101" s="190">
        <v>10</v>
      </c>
      <c r="E101" s="191">
        <v>12</v>
      </c>
      <c r="F101" s="192">
        <v>42825</v>
      </c>
      <c r="G101" s="24">
        <v>1803.1419503723607</v>
      </c>
      <c r="H101" s="24">
        <v>796.524</v>
      </c>
      <c r="I101" s="193">
        <v>161.4</v>
      </c>
      <c r="J101" s="194"/>
      <c r="K101" s="193">
        <v>187.8</v>
      </c>
      <c r="L101" s="194"/>
      <c r="M101" s="195">
        <v>0.80011623640946072</v>
      </c>
      <c r="N101" s="195"/>
      <c r="O101" s="195"/>
      <c r="P101" s="195"/>
      <c r="Q101" s="195">
        <v>0.98499999999999999</v>
      </c>
      <c r="R101" s="195"/>
      <c r="S101" s="196">
        <v>0.99</v>
      </c>
      <c r="T101" s="197"/>
      <c r="U101" s="198">
        <v>1.4999999999999999E-2</v>
      </c>
      <c r="V101" s="197">
        <v>0</v>
      </c>
      <c r="W101" s="198">
        <v>0</v>
      </c>
      <c r="X101" s="197">
        <v>0</v>
      </c>
      <c r="Y101" s="199">
        <f t="shared" si="6"/>
        <v>0.44174225985675308</v>
      </c>
    </row>
    <row r="102" spans="2:25">
      <c r="B102" s="189" t="s">
        <v>9</v>
      </c>
      <c r="C102" s="190" t="s">
        <v>62</v>
      </c>
      <c r="D102" s="190">
        <v>10</v>
      </c>
      <c r="E102" s="191">
        <v>12</v>
      </c>
      <c r="F102" s="192">
        <v>42855</v>
      </c>
      <c r="G102" s="24">
        <v>1865.923053559713</v>
      </c>
      <c r="H102" s="24">
        <v>1187.6759999999999</v>
      </c>
      <c r="I102" s="193">
        <v>190.2</v>
      </c>
      <c r="J102" s="194"/>
      <c r="K102" s="193">
        <v>194</v>
      </c>
      <c r="L102" s="194"/>
      <c r="M102" s="195">
        <v>0.80151333915795231</v>
      </c>
      <c r="N102" s="195"/>
      <c r="O102" s="195"/>
      <c r="P102" s="195"/>
      <c r="Q102" s="195">
        <v>0.98499999999999999</v>
      </c>
      <c r="R102" s="195"/>
      <c r="S102" s="196">
        <v>0.99</v>
      </c>
      <c r="T102" s="197"/>
      <c r="U102" s="198">
        <v>1.4999999999999999E-2</v>
      </c>
      <c r="V102" s="197">
        <v>0</v>
      </c>
      <c r="W102" s="198">
        <v>0</v>
      </c>
      <c r="X102" s="197">
        <v>0</v>
      </c>
      <c r="Y102" s="199">
        <f t="shared" si="6"/>
        <v>0.63650856220153995</v>
      </c>
    </row>
    <row r="103" spans="2:25">
      <c r="B103" s="189" t="s">
        <v>9</v>
      </c>
      <c r="C103" s="190" t="s">
        <v>62</v>
      </c>
      <c r="D103" s="190">
        <v>10</v>
      </c>
      <c r="E103" s="191">
        <v>12</v>
      </c>
      <c r="F103" s="192">
        <v>42886</v>
      </c>
      <c r="G103" s="24">
        <v>1890.4469219922721</v>
      </c>
      <c r="H103" s="24">
        <v>1141.3499999999999</v>
      </c>
      <c r="I103" s="193">
        <v>197</v>
      </c>
      <c r="J103" s="194"/>
      <c r="K103" s="193">
        <v>197.7</v>
      </c>
      <c r="L103" s="194"/>
      <c r="M103" s="195">
        <v>0.79684999240948917</v>
      </c>
      <c r="N103" s="195"/>
      <c r="O103" s="195"/>
      <c r="P103" s="195"/>
      <c r="Q103" s="195">
        <v>0.98499999999999999</v>
      </c>
      <c r="R103" s="195"/>
      <c r="S103" s="196">
        <v>0.99</v>
      </c>
      <c r="T103" s="197"/>
      <c r="U103" s="198">
        <v>1.4999999999999999E-2</v>
      </c>
      <c r="V103" s="197">
        <v>0</v>
      </c>
      <c r="W103" s="198">
        <v>0</v>
      </c>
      <c r="X103" s="197">
        <v>0</v>
      </c>
      <c r="Y103" s="199">
        <f t="shared" si="6"/>
        <v>0.60374612305812503</v>
      </c>
    </row>
    <row r="104" spans="2:25">
      <c r="B104" s="189" t="s">
        <v>9</v>
      </c>
      <c r="C104" s="190" t="s">
        <v>62</v>
      </c>
      <c r="D104" s="190">
        <v>10</v>
      </c>
      <c r="E104" s="191">
        <v>12</v>
      </c>
      <c r="F104" s="192">
        <v>42916</v>
      </c>
      <c r="G104" s="24">
        <v>1700.1417029556114</v>
      </c>
      <c r="H104" s="24">
        <v>1130.55</v>
      </c>
      <c r="I104" s="193">
        <v>178.9</v>
      </c>
      <c r="J104" s="194">
        <v>152.65</v>
      </c>
      <c r="K104" s="193">
        <v>177.2</v>
      </c>
      <c r="L104" s="194">
        <v>146.05000000000001</v>
      </c>
      <c r="M104" s="195">
        <v>0.79953992802652918</v>
      </c>
      <c r="N104" s="195">
        <f>H104/12/L104</f>
        <v>0.64507018144471062</v>
      </c>
      <c r="O104" s="195">
        <f>G104/24/30/10</f>
        <v>0.23613079207716825</v>
      </c>
      <c r="P104" s="195">
        <f>H104/24/30/10</f>
        <v>0.15702083333333333</v>
      </c>
      <c r="Q104" s="195">
        <v>0.98499999999999999</v>
      </c>
      <c r="R104" s="195">
        <v>0.78010632000000002</v>
      </c>
      <c r="S104" s="196">
        <v>0.99</v>
      </c>
      <c r="T104" s="197">
        <v>0.99860000000000004</v>
      </c>
      <c r="U104" s="198">
        <v>1.4999999999999999E-2</v>
      </c>
      <c r="V104" s="197">
        <v>0</v>
      </c>
      <c r="W104" s="198">
        <v>0</v>
      </c>
      <c r="X104" s="197">
        <v>0</v>
      </c>
      <c r="Y104" s="199">
        <f t="shared" si="6"/>
        <v>-0.15923594920861917</v>
      </c>
    </row>
    <row r="105" spans="2:25">
      <c r="B105" s="189" t="s">
        <v>9</v>
      </c>
      <c r="C105" s="190" t="s">
        <v>62</v>
      </c>
      <c r="D105" s="190">
        <v>10</v>
      </c>
      <c r="E105" s="191">
        <v>12</v>
      </c>
      <c r="F105" s="192">
        <v>42947</v>
      </c>
      <c r="G105" s="24">
        <v>1507.8745744443459</v>
      </c>
      <c r="H105" s="24">
        <v>1004.04</v>
      </c>
      <c r="I105" s="193">
        <v>155.5</v>
      </c>
      <c r="J105" s="194">
        <v>156.31</v>
      </c>
      <c r="K105" s="193">
        <v>154.6</v>
      </c>
      <c r="L105" s="194">
        <v>154.55000000000001</v>
      </c>
      <c r="M105" s="195">
        <v>0.81278275897172592</v>
      </c>
      <c r="N105" s="195">
        <f t="shared" ref="N105:N113" si="58">H105/12/L105</f>
        <v>0.54137819475897764</v>
      </c>
      <c r="O105" s="195">
        <f>G105/24/31/10</f>
        <v>0.20267131376940131</v>
      </c>
      <c r="P105" s="195">
        <f>H105/24/31/10</f>
        <v>0.13495161290322583</v>
      </c>
      <c r="Q105" s="195">
        <v>0.98499999999999999</v>
      </c>
      <c r="R105" s="195">
        <v>0.79665522999999994</v>
      </c>
      <c r="S105" s="196">
        <v>0.99</v>
      </c>
      <c r="T105" s="197">
        <v>0.99470000000000003</v>
      </c>
      <c r="U105" s="198">
        <v>1.4999999999999999E-2</v>
      </c>
      <c r="V105" s="197">
        <v>0</v>
      </c>
      <c r="W105" s="198">
        <v>0</v>
      </c>
      <c r="X105" s="197">
        <v>0</v>
      </c>
      <c r="Y105" s="199">
        <f t="shared" si="6"/>
        <v>-0.33381218393078027</v>
      </c>
    </row>
    <row r="106" spans="2:25">
      <c r="B106" s="189" t="s">
        <v>9</v>
      </c>
      <c r="C106" s="190" t="s">
        <v>62</v>
      </c>
      <c r="D106" s="190">
        <v>10</v>
      </c>
      <c r="E106" s="191">
        <v>12</v>
      </c>
      <c r="F106" s="192">
        <v>42978</v>
      </c>
      <c r="G106" s="24">
        <v>1432.341059672063</v>
      </c>
      <c r="H106" s="24">
        <v>1050.864</v>
      </c>
      <c r="I106" s="193">
        <v>145.4</v>
      </c>
      <c r="J106" s="194">
        <v>132.52000000000001</v>
      </c>
      <c r="K106" s="193">
        <v>146.30000000000001</v>
      </c>
      <c r="L106" s="194">
        <v>133.94999999999999</v>
      </c>
      <c r="M106" s="195">
        <v>0.8158698220961853</v>
      </c>
      <c r="N106" s="195">
        <f t="shared" si="58"/>
        <v>0.65376633072041812</v>
      </c>
      <c r="O106" s="195">
        <f>G106/24/31/10</f>
        <v>0.19251895963334181</v>
      </c>
      <c r="P106" s="195">
        <f>H106/24/31/10</f>
        <v>0.14124516129032258</v>
      </c>
      <c r="Q106" s="195">
        <v>0.98499999999999999</v>
      </c>
      <c r="R106" s="195">
        <v>0.92086847999999999</v>
      </c>
      <c r="S106" s="196">
        <v>0.99</v>
      </c>
      <c r="T106" s="197">
        <v>0.99360000000000004</v>
      </c>
      <c r="U106" s="198">
        <v>1.4999999999999999E-2</v>
      </c>
      <c r="V106" s="197">
        <v>0</v>
      </c>
      <c r="W106" s="198">
        <v>0</v>
      </c>
      <c r="X106" s="197">
        <v>0</v>
      </c>
      <c r="Y106" s="199">
        <f t="shared" si="6"/>
        <v>-0.18191557819131765</v>
      </c>
    </row>
    <row r="107" spans="2:25">
      <c r="B107" s="189" t="s">
        <v>9</v>
      </c>
      <c r="C107" s="190" t="s">
        <v>62</v>
      </c>
      <c r="D107" s="190">
        <v>10</v>
      </c>
      <c r="E107" s="191">
        <v>12</v>
      </c>
      <c r="F107" s="192">
        <v>43008</v>
      </c>
      <c r="G107" s="24">
        <v>1425.4743765109463</v>
      </c>
      <c r="H107" s="24">
        <v>1090.02</v>
      </c>
      <c r="I107" s="193">
        <v>141.6</v>
      </c>
      <c r="J107" s="194">
        <v>118.9</v>
      </c>
      <c r="K107" s="193">
        <v>145.5</v>
      </c>
      <c r="L107" s="194">
        <v>125.63</v>
      </c>
      <c r="M107" s="195">
        <v>0.81642289605437934</v>
      </c>
      <c r="N107" s="195">
        <f t="shared" si="58"/>
        <v>0.72303589906869381</v>
      </c>
      <c r="O107" s="195">
        <f>G107/24/30/10</f>
        <v>0.19798255229318698</v>
      </c>
      <c r="P107" s="195">
        <f>H107/24/30/10</f>
        <v>0.15139166666666665</v>
      </c>
      <c r="Q107" s="195">
        <v>0.98499999999999999</v>
      </c>
      <c r="R107" s="195">
        <v>0.96710417999999998</v>
      </c>
      <c r="S107" s="196">
        <v>0.99</v>
      </c>
      <c r="T107" s="197">
        <v>0.99180000000000001</v>
      </c>
      <c r="U107" s="198">
        <v>1.4999999999999999E-2</v>
      </c>
      <c r="V107" s="197">
        <v>0</v>
      </c>
      <c r="W107" s="198">
        <v>0</v>
      </c>
      <c r="X107" s="197">
        <v>0</v>
      </c>
      <c r="Y107" s="199">
        <f t="shared" si="6"/>
        <v>-9.8764666342397001E-2</v>
      </c>
    </row>
    <row r="108" spans="2:25">
      <c r="B108" s="189" t="s">
        <v>9</v>
      </c>
      <c r="C108" s="190" t="s">
        <v>62</v>
      </c>
      <c r="D108" s="190">
        <v>10</v>
      </c>
      <c r="E108" s="191">
        <v>12</v>
      </c>
      <c r="F108" s="192">
        <v>43039</v>
      </c>
      <c r="G108" s="24">
        <v>1630.4939166071431</v>
      </c>
      <c r="H108" s="24">
        <v>1365.21</v>
      </c>
      <c r="I108" s="193">
        <v>139.1</v>
      </c>
      <c r="J108" s="194">
        <v>121.97</v>
      </c>
      <c r="K108" s="193">
        <v>172.2</v>
      </c>
      <c r="L108" s="194">
        <v>153.08000000000001</v>
      </c>
      <c r="M108" s="195">
        <v>0.78905048229149399</v>
      </c>
      <c r="N108" s="195">
        <f t="shared" si="58"/>
        <v>0.74318983538019334</v>
      </c>
      <c r="O108" s="195">
        <f>G108/24/31/10</f>
        <v>0.21915240814612136</v>
      </c>
      <c r="P108" s="195">
        <f>H108/24/31/10</f>
        <v>0.1834959677419355</v>
      </c>
      <c r="Q108" s="195">
        <v>0.98499999999999999</v>
      </c>
      <c r="R108" s="195">
        <v>0.96776640000000003</v>
      </c>
      <c r="S108" s="196">
        <v>0.99</v>
      </c>
      <c r="T108" s="197">
        <v>0.97399999999999998</v>
      </c>
      <c r="U108" s="198">
        <v>1.4999999999999999E-2</v>
      </c>
      <c r="V108" s="197">
        <v>0</v>
      </c>
      <c r="W108" s="198">
        <v>0</v>
      </c>
      <c r="X108" s="197">
        <v>0</v>
      </c>
      <c r="Y108" s="199">
        <f t="shared" si="6"/>
        <v>-5.1667886087845449E-2</v>
      </c>
    </row>
    <row r="109" spans="2:25">
      <c r="B109" s="189" t="s">
        <v>9</v>
      </c>
      <c r="C109" s="190" t="s">
        <v>62</v>
      </c>
      <c r="D109" s="190">
        <v>10</v>
      </c>
      <c r="E109" s="191">
        <v>12</v>
      </c>
      <c r="F109" s="192">
        <v>43069</v>
      </c>
      <c r="G109" s="24">
        <v>1442.1506070450866</v>
      </c>
      <c r="H109" s="24">
        <v>1132.3140000000001</v>
      </c>
      <c r="I109" s="193">
        <v>108.1</v>
      </c>
      <c r="J109" s="194">
        <v>90.63</v>
      </c>
      <c r="K109" s="193">
        <v>152.1</v>
      </c>
      <c r="L109" s="194">
        <v>118.01</v>
      </c>
      <c r="M109" s="195">
        <v>0.79013292080050768</v>
      </c>
      <c r="N109" s="195">
        <f t="shared" si="58"/>
        <v>0.79958901787984071</v>
      </c>
      <c r="O109" s="195">
        <f>G109/24/30/10</f>
        <v>0.20029869542292872</v>
      </c>
      <c r="P109" s="195">
        <f>H109/24/30/10</f>
        <v>0.15726583333333335</v>
      </c>
      <c r="Q109" s="195">
        <v>0.98499999999999999</v>
      </c>
      <c r="R109" s="195">
        <v>0.98614800000000014</v>
      </c>
      <c r="S109" s="196">
        <v>0.99</v>
      </c>
      <c r="T109" s="197">
        <v>0.99250000000000005</v>
      </c>
      <c r="U109" s="198">
        <v>1.4999999999999999E-2</v>
      </c>
      <c r="V109" s="197">
        <v>0</v>
      </c>
      <c r="W109" s="198">
        <v>0</v>
      </c>
      <c r="X109" s="197">
        <v>0</v>
      </c>
      <c r="Y109" s="199">
        <f t="shared" si="6"/>
        <v>9.2854159132675917E-3</v>
      </c>
    </row>
    <row r="110" spans="2:25">
      <c r="B110" s="189" t="s">
        <v>9</v>
      </c>
      <c r="C110" s="190" t="s">
        <v>62</v>
      </c>
      <c r="D110" s="190">
        <v>10</v>
      </c>
      <c r="E110" s="191">
        <v>12</v>
      </c>
      <c r="F110" s="192">
        <v>43100</v>
      </c>
      <c r="G110" s="24">
        <v>1208.6833795671214</v>
      </c>
      <c r="H110" s="24">
        <v>1041.4860000000001</v>
      </c>
      <c r="I110" s="193">
        <v>89.9</v>
      </c>
      <c r="J110" s="194">
        <v>74.430000000000007</v>
      </c>
      <c r="K110" s="193">
        <v>129.6</v>
      </c>
      <c r="L110" s="194">
        <v>103.96</v>
      </c>
      <c r="M110" s="195">
        <v>0.77718838706733628</v>
      </c>
      <c r="N110" s="195">
        <f t="shared" si="58"/>
        <v>0.83484513274336292</v>
      </c>
      <c r="O110" s="195">
        <f>G110/24/31/10</f>
        <v>0.16245744349020447</v>
      </c>
      <c r="P110" s="195">
        <f>H110/24/31/10</f>
        <v>0.13998467741935486</v>
      </c>
      <c r="Q110" s="195">
        <v>0.98499999999999999</v>
      </c>
      <c r="R110" s="195">
        <v>0.98709999999999998</v>
      </c>
      <c r="S110" s="196">
        <v>0.99</v>
      </c>
      <c r="T110" s="197">
        <v>0.98709999999999998</v>
      </c>
      <c r="U110" s="198">
        <v>1.4999999999999999E-2</v>
      </c>
      <c r="V110" s="197">
        <v>0</v>
      </c>
      <c r="W110" s="198">
        <v>0</v>
      </c>
      <c r="X110" s="197">
        <v>0</v>
      </c>
      <c r="Y110" s="199">
        <f t="shared" si="6"/>
        <v>5.9509334356460775E-2</v>
      </c>
    </row>
    <row r="111" spans="2:25">
      <c r="B111" s="189" t="s">
        <v>9</v>
      </c>
      <c r="C111" s="190" t="s">
        <v>62</v>
      </c>
      <c r="D111" s="190">
        <v>10</v>
      </c>
      <c r="E111" s="191">
        <v>12</v>
      </c>
      <c r="F111" s="192">
        <v>43131</v>
      </c>
      <c r="G111" s="24">
        <v>1024.022819327583</v>
      </c>
      <c r="H111" s="24">
        <v>925.31399999999996</v>
      </c>
      <c r="I111" s="193">
        <v>79.599999999999994</v>
      </c>
      <c r="J111" s="194">
        <v>69.81</v>
      </c>
      <c r="K111" s="193">
        <v>103.2</v>
      </c>
      <c r="L111" s="194">
        <v>93.06</v>
      </c>
      <c r="M111" s="195">
        <v>0.83104704670606167</v>
      </c>
      <c r="N111" s="195">
        <f t="shared" si="58"/>
        <v>0.8285998280679131</v>
      </c>
      <c r="O111" s="195">
        <f>G111/24/31/10</f>
        <v>0.13763747571607299</v>
      </c>
      <c r="P111" s="195">
        <f>H111/24/31/10</f>
        <v>0.12437016129032256</v>
      </c>
      <c r="Q111" s="195">
        <v>0.98499999999999999</v>
      </c>
      <c r="R111" s="195">
        <v>0.98450000000000004</v>
      </c>
      <c r="S111" s="196">
        <v>0.99</v>
      </c>
      <c r="T111" s="197">
        <v>0.98540000000000005</v>
      </c>
      <c r="U111" s="198">
        <v>1.4999999999999999E-2</v>
      </c>
      <c r="V111" s="197">
        <v>0</v>
      </c>
      <c r="W111" s="198">
        <v>0</v>
      </c>
      <c r="X111" s="197">
        <v>0</v>
      </c>
      <c r="Y111" s="199">
        <f t="shared" si="6"/>
        <v>1.8626306527496084E-3</v>
      </c>
    </row>
    <row r="112" spans="2:25">
      <c r="B112" s="189" t="s">
        <v>9</v>
      </c>
      <c r="C112" s="190" t="s">
        <v>62</v>
      </c>
      <c r="D112" s="190">
        <v>10</v>
      </c>
      <c r="E112" s="191">
        <v>12</v>
      </c>
      <c r="F112" s="192">
        <v>43159</v>
      </c>
      <c r="G112" s="24">
        <v>1340.2630075391226</v>
      </c>
      <c r="H112" s="24">
        <f>1343016/1000</f>
        <v>1343.0160000000001</v>
      </c>
      <c r="I112" s="193">
        <v>108.1</v>
      </c>
      <c r="J112" s="194">
        <v>106.48</v>
      </c>
      <c r="K112" s="193">
        <v>137.5</v>
      </c>
      <c r="L112" s="194">
        <v>138.08000000000001</v>
      </c>
      <c r="M112" s="195">
        <v>0.81636242274348869</v>
      </c>
      <c r="N112" s="195">
        <f t="shared" si="58"/>
        <v>0.81053012746234065</v>
      </c>
      <c r="O112" s="195">
        <f>G112/24/28/10</f>
        <v>0.19944389993141703</v>
      </c>
      <c r="P112" s="195">
        <f>H112/24/28/10</f>
        <v>0.19985357142857144</v>
      </c>
      <c r="Q112" s="195">
        <v>0.98499999999999999</v>
      </c>
      <c r="R112" s="195">
        <v>0.96430000000000005</v>
      </c>
      <c r="S112" s="196">
        <v>0.99</v>
      </c>
      <c r="T112" s="197">
        <v>0.97989999999999999</v>
      </c>
      <c r="U112" s="198">
        <v>1.4999999999999999E-2</v>
      </c>
      <c r="V112" s="197">
        <v>0</v>
      </c>
      <c r="W112" s="198">
        <v>0</v>
      </c>
      <c r="X112" s="197">
        <v>0</v>
      </c>
      <c r="Y112" s="199">
        <f t="shared" si="6"/>
        <v>-2.1641129933380743E-3</v>
      </c>
    </row>
    <row r="113" spans="2:25">
      <c r="B113" s="189" t="s">
        <v>9</v>
      </c>
      <c r="C113" s="190" t="s">
        <v>62</v>
      </c>
      <c r="D113" s="190">
        <v>10</v>
      </c>
      <c r="E113" s="191">
        <v>12</v>
      </c>
      <c r="F113" s="192">
        <v>43190</v>
      </c>
      <c r="G113" s="24">
        <v>1794</v>
      </c>
      <c r="H113" s="24">
        <v>1740.75</v>
      </c>
      <c r="I113" s="193">
        <v>161.4</v>
      </c>
      <c r="J113" s="194">
        <v>161.91</v>
      </c>
      <c r="K113" s="193">
        <v>187.8</v>
      </c>
      <c r="L113" s="194">
        <v>180.92</v>
      </c>
      <c r="M113" s="195">
        <v>0.80011623640946072</v>
      </c>
      <c r="N113" s="195">
        <f t="shared" si="58"/>
        <v>0.80180466504532399</v>
      </c>
      <c r="O113" s="195">
        <f>G113/24/31/10</f>
        <v>0.24112903225806451</v>
      </c>
      <c r="P113" s="195">
        <f>H113/24/31/10</f>
        <v>0.23397177419354839</v>
      </c>
      <c r="Q113" s="195">
        <v>0.98499999999999999</v>
      </c>
      <c r="R113" s="195">
        <v>0.99790000000000001</v>
      </c>
      <c r="S113" s="196">
        <v>0.99</v>
      </c>
      <c r="T113" s="197">
        <v>0.99790000000000001</v>
      </c>
      <c r="U113" s="198">
        <v>1.4999999999999999E-2</v>
      </c>
      <c r="V113" s="197">
        <v>0</v>
      </c>
      <c r="W113" s="198">
        <v>0</v>
      </c>
      <c r="X113" s="197">
        <v>0</v>
      </c>
      <c r="Y113" s="199">
        <f t="shared" si="6"/>
        <v>6.9524435373861104E-3</v>
      </c>
    </row>
    <row r="114" spans="2:25">
      <c r="B114" s="189" t="s">
        <v>9</v>
      </c>
      <c r="C114" s="190" t="s">
        <v>62</v>
      </c>
      <c r="D114" s="190">
        <v>10</v>
      </c>
      <c r="E114" s="191">
        <v>12</v>
      </c>
      <c r="F114" s="192">
        <v>43220</v>
      </c>
      <c r="G114" s="24">
        <v>1745.1978319943994</v>
      </c>
      <c r="H114" s="24">
        <v>1292.3579999999999</v>
      </c>
      <c r="I114" s="193">
        <v>190.2</v>
      </c>
      <c r="J114" s="194">
        <v>148.85</v>
      </c>
      <c r="K114" s="193">
        <v>194</v>
      </c>
      <c r="L114" s="194">
        <v>153.6</v>
      </c>
      <c r="M114" s="195">
        <f>G114/E114/K114/Q114</f>
        <v>0.76107149859333278</v>
      </c>
      <c r="N114" s="195">
        <f>H114/E114/L114/R114</f>
        <v>0.7745487346516936</v>
      </c>
      <c r="O114" s="195">
        <f>G114/24/DAY(F114)/D114</f>
        <v>0.24238858777699993</v>
      </c>
      <c r="P114" s="195">
        <f>H114/24/DAY(F114)/D114</f>
        <v>0.17949416666666668</v>
      </c>
      <c r="Q114" s="195">
        <v>0.98499999999999999</v>
      </c>
      <c r="R114" s="195">
        <v>0.90523560000000003</v>
      </c>
      <c r="S114" s="196">
        <v>0.99</v>
      </c>
      <c r="T114" s="197">
        <v>0.97399999999999998</v>
      </c>
      <c r="U114" s="198">
        <v>1.4999999999999999E-2</v>
      </c>
      <c r="V114" s="197">
        <v>0</v>
      </c>
      <c r="W114" s="198">
        <v>0</v>
      </c>
      <c r="X114" s="197">
        <v>0</v>
      </c>
      <c r="Y114" s="199">
        <f t="shared" si="6"/>
        <v>-5.1230227184014376E-2</v>
      </c>
    </row>
    <row r="115" spans="2:25">
      <c r="B115" s="189" t="s">
        <v>9</v>
      </c>
      <c r="C115" s="190" t="s">
        <v>62</v>
      </c>
      <c r="D115" s="190">
        <v>10</v>
      </c>
      <c r="E115" s="191">
        <v>12</v>
      </c>
      <c r="F115" s="192">
        <v>43251</v>
      </c>
      <c r="G115" s="24">
        <v>1768.1350061393723</v>
      </c>
      <c r="H115" s="24">
        <f>1515798/1000</f>
        <v>1515.798</v>
      </c>
      <c r="I115" s="193">
        <v>197</v>
      </c>
      <c r="J115" s="194">
        <v>163.84</v>
      </c>
      <c r="K115" s="193">
        <v>197.7</v>
      </c>
      <c r="L115" s="194">
        <v>165.36</v>
      </c>
      <c r="M115" s="195">
        <f t="shared" ref="M115:M172" si="59">G115/E115/K115/Q115</f>
        <v>0.75664344964527452</v>
      </c>
      <c r="N115" s="195">
        <f t="shared" ref="N115:N172" si="60">H115/E115/L115/R115</f>
        <v>0.76803527145278261</v>
      </c>
      <c r="O115" s="195">
        <f t="shared" ref="O115:O172" si="61">G115/24/DAY(F115)/D115</f>
        <v>0.2376525545886253</v>
      </c>
      <c r="P115" s="195">
        <f t="shared" ref="P115:P172" si="62">H115/24/DAY(F115)/D115</f>
        <v>0.20373629032258064</v>
      </c>
      <c r="Q115" s="195">
        <v>0.98499999999999999</v>
      </c>
      <c r="R115" s="195">
        <v>0.99460000000000004</v>
      </c>
      <c r="S115" s="196">
        <v>0.99</v>
      </c>
      <c r="T115" s="197">
        <v>0.99819999999999998</v>
      </c>
      <c r="U115" s="198">
        <v>1.4999999999999999E-2</v>
      </c>
      <c r="V115" s="197">
        <v>0</v>
      </c>
      <c r="W115" s="198">
        <v>0</v>
      </c>
      <c r="X115" s="197">
        <v>0</v>
      </c>
      <c r="Y115" s="199">
        <f t="shared" si="6"/>
        <v>2.0867530376230903E-2</v>
      </c>
    </row>
    <row r="116" spans="2:25">
      <c r="B116" s="189" t="s">
        <v>9</v>
      </c>
      <c r="C116" s="190" t="s">
        <v>62</v>
      </c>
      <c r="D116" s="190">
        <v>10</v>
      </c>
      <c r="E116" s="191">
        <v>12</v>
      </c>
      <c r="F116" s="192">
        <v>43281</v>
      </c>
      <c r="G116" s="24">
        <v>1590.1425347743834</v>
      </c>
      <c r="H116" s="24">
        <f>1487388/1000</f>
        <v>1487.3879999999999</v>
      </c>
      <c r="I116" s="193">
        <v>178.9</v>
      </c>
      <c r="J116" s="194">
        <f>5.16*30</f>
        <v>154.80000000000001</v>
      </c>
      <c r="K116" s="193">
        <v>177.2</v>
      </c>
      <c r="L116" s="194">
        <f>5.18*30</f>
        <v>155.39999999999998</v>
      </c>
      <c r="M116" s="195">
        <f t="shared" si="59"/>
        <v>0.75919765957686569</v>
      </c>
      <c r="N116" s="195">
        <f t="shared" si="60"/>
        <v>0.80852773706296266</v>
      </c>
      <c r="O116" s="195">
        <f t="shared" si="61"/>
        <v>0.22085312982977548</v>
      </c>
      <c r="P116" s="195">
        <f t="shared" si="62"/>
        <v>0.20658166666666666</v>
      </c>
      <c r="Q116" s="195">
        <v>0.98499999999999999</v>
      </c>
      <c r="R116" s="195">
        <v>0.98650000000000004</v>
      </c>
      <c r="S116" s="196">
        <v>0.99</v>
      </c>
      <c r="T116" s="197">
        <v>0.98760000000000003</v>
      </c>
      <c r="U116" s="198">
        <v>1.4999999999999999E-2</v>
      </c>
      <c r="V116" s="197">
        <v>0</v>
      </c>
      <c r="W116" s="198">
        <v>0</v>
      </c>
      <c r="X116" s="197">
        <v>0</v>
      </c>
      <c r="Y116" s="199">
        <f t="shared" si="6"/>
        <v>5.8405129932532884E-2</v>
      </c>
    </row>
    <row r="117" spans="2:25">
      <c r="B117" s="189" t="s">
        <v>9</v>
      </c>
      <c r="C117" s="190" t="s">
        <v>62</v>
      </c>
      <c r="D117" s="190">
        <v>10</v>
      </c>
      <c r="E117" s="191">
        <v>12</v>
      </c>
      <c r="F117" s="192">
        <v>43312</v>
      </c>
      <c r="G117" s="24">
        <v>1410.3150894777968</v>
      </c>
      <c r="H117" s="24">
        <f>1218084/1000</f>
        <v>1218.0840000000001</v>
      </c>
      <c r="I117" s="193">
        <v>155.5</v>
      </c>
      <c r="J117" s="194">
        <v>128.25</v>
      </c>
      <c r="K117" s="193">
        <v>154.6</v>
      </c>
      <c r="L117" s="194">
        <v>126.45</v>
      </c>
      <c r="M117" s="195">
        <f t="shared" si="59"/>
        <v>0.77177229895051302</v>
      </c>
      <c r="N117" s="195">
        <f t="shared" si="60"/>
        <v>0.82239951608974471</v>
      </c>
      <c r="O117" s="195">
        <f t="shared" si="61"/>
        <v>0.18955847976852108</v>
      </c>
      <c r="P117" s="195">
        <f t="shared" si="62"/>
        <v>0.16372096774193551</v>
      </c>
      <c r="Q117" s="195">
        <v>0.98499999999999999</v>
      </c>
      <c r="R117" s="195">
        <v>0.97609999999999997</v>
      </c>
      <c r="S117" s="196">
        <v>0.99</v>
      </c>
      <c r="T117" s="197">
        <v>0.9879</v>
      </c>
      <c r="U117" s="198">
        <v>1.4999999999999999E-2</v>
      </c>
      <c r="V117" s="197">
        <v>0</v>
      </c>
      <c r="W117" s="198">
        <v>0</v>
      </c>
      <c r="X117" s="197">
        <v>0</v>
      </c>
      <c r="Y117" s="199">
        <f t="shared" si="6"/>
        <v>4.577914775967562E-2</v>
      </c>
    </row>
    <row r="118" spans="2:25">
      <c r="B118" s="189" t="s">
        <v>9</v>
      </c>
      <c r="C118" s="190" t="s">
        <v>62</v>
      </c>
      <c r="D118" s="190">
        <v>10</v>
      </c>
      <c r="E118" s="191">
        <v>12</v>
      </c>
      <c r="F118" s="192">
        <v>43343</v>
      </c>
      <c r="G118" s="24">
        <v>1339.6685931112804</v>
      </c>
      <c r="H118" s="24">
        <f>1036572/1000</f>
        <v>1036.5719999999999</v>
      </c>
      <c r="I118" s="193">
        <v>145.4</v>
      </c>
      <c r="J118" s="194">
        <v>110.9</v>
      </c>
      <c r="K118" s="193">
        <v>146.30000000000001</v>
      </c>
      <c r="L118" s="194">
        <v>109.83</v>
      </c>
      <c r="M118" s="195">
        <f t="shared" si="59"/>
        <v>0.7747035985853421</v>
      </c>
      <c r="N118" s="195">
        <f t="shared" si="60"/>
        <v>0.80857131081605293</v>
      </c>
      <c r="O118" s="195">
        <f t="shared" si="61"/>
        <v>0.18006298294506456</v>
      </c>
      <c r="P118" s="195">
        <f t="shared" si="62"/>
        <v>0.13932419354838707</v>
      </c>
      <c r="Q118" s="195">
        <v>0.98499999999999999</v>
      </c>
      <c r="R118" s="195">
        <v>0.97270000000000001</v>
      </c>
      <c r="S118" s="196">
        <v>0.99</v>
      </c>
      <c r="T118" s="197">
        <v>0.99780000000000002</v>
      </c>
      <c r="U118" s="198">
        <v>1.4999999999999999E-2</v>
      </c>
      <c r="V118" s="197">
        <v>0</v>
      </c>
      <c r="W118" s="198">
        <v>0</v>
      </c>
      <c r="X118" s="197">
        <v>0</v>
      </c>
      <c r="Y118" s="199">
        <f t="shared" si="6"/>
        <v>2.3034854059441279E-2</v>
      </c>
    </row>
    <row r="119" spans="2:25">
      <c r="B119" s="189" t="s">
        <v>9</v>
      </c>
      <c r="C119" s="190" t="s">
        <v>62</v>
      </c>
      <c r="D119" s="190">
        <v>10</v>
      </c>
      <c r="E119" s="191">
        <v>12</v>
      </c>
      <c r="F119" s="192">
        <v>43373</v>
      </c>
      <c r="G119" s="24">
        <v>1333.2461843506883</v>
      </c>
      <c r="H119" s="24">
        <f>1107012/1000</f>
        <v>1107.0119999999999</v>
      </c>
      <c r="I119" s="193">
        <v>141.6</v>
      </c>
      <c r="J119" s="194">
        <v>117.65</v>
      </c>
      <c r="K119" s="193">
        <v>145.5</v>
      </c>
      <c r="L119" s="194">
        <v>118.37</v>
      </c>
      <c r="M119" s="195">
        <f t="shared" si="59"/>
        <v>0.77522876617224479</v>
      </c>
      <c r="N119" s="195">
        <f t="shared" si="60"/>
        <v>0.79875415443983566</v>
      </c>
      <c r="O119" s="195">
        <f t="shared" si="61"/>
        <v>0.18517308115981782</v>
      </c>
      <c r="P119" s="195">
        <f t="shared" si="62"/>
        <v>0.15375166666666665</v>
      </c>
      <c r="Q119" s="195">
        <v>0.98499999999999999</v>
      </c>
      <c r="R119" s="195">
        <v>0.97570000000000001</v>
      </c>
      <c r="S119" s="196">
        <v>0.99</v>
      </c>
      <c r="T119" s="197">
        <v>0.98529999999999995</v>
      </c>
      <c r="U119" s="198">
        <v>1.4999999999999999E-2</v>
      </c>
      <c r="V119" s="197">
        <v>0</v>
      </c>
      <c r="W119" s="198">
        <v>0</v>
      </c>
      <c r="X119" s="197">
        <v>0</v>
      </c>
      <c r="Y119" s="199">
        <f t="shared" si="6"/>
        <v>1.6773751817271032E-2</v>
      </c>
    </row>
    <row r="120" spans="2:25">
      <c r="B120" s="189" t="s">
        <v>9</v>
      </c>
      <c r="C120" s="190" t="s">
        <v>62</v>
      </c>
      <c r="D120" s="190">
        <v>10</v>
      </c>
      <c r="E120" s="191">
        <v>12</v>
      </c>
      <c r="F120" s="192">
        <v>43404</v>
      </c>
      <c r="G120" s="24">
        <v>1525.0009602026607</v>
      </c>
      <c r="H120" s="24">
        <f>1467342/1000</f>
        <v>1467.3420000000001</v>
      </c>
      <c r="I120" s="193">
        <v>139.1</v>
      </c>
      <c r="J120" s="194">
        <f>4.46*31</f>
        <v>138.26</v>
      </c>
      <c r="K120" s="193">
        <v>172.2</v>
      </c>
      <c r="L120" s="194">
        <f>5.22*31</f>
        <v>161.82</v>
      </c>
      <c r="M120" s="195">
        <f t="shared" si="59"/>
        <v>0.7492374782611515</v>
      </c>
      <c r="N120" s="195">
        <f t="shared" si="60"/>
        <v>0.77797298598818354</v>
      </c>
      <c r="O120" s="195">
        <f t="shared" si="61"/>
        <v>0.2049732473390673</v>
      </c>
      <c r="P120" s="195">
        <f t="shared" si="62"/>
        <v>0.1972233870967742</v>
      </c>
      <c r="Q120" s="195">
        <v>0.98499999999999999</v>
      </c>
      <c r="R120" s="195">
        <v>0.97130000000000005</v>
      </c>
      <c r="S120" s="196">
        <v>0.99</v>
      </c>
      <c r="T120" s="197">
        <v>0.97460000000000002</v>
      </c>
      <c r="U120" s="198">
        <v>1.4999999999999999E-2</v>
      </c>
      <c r="V120" s="197">
        <v>0</v>
      </c>
      <c r="W120" s="198">
        <v>0</v>
      </c>
      <c r="X120" s="197">
        <v>0</v>
      </c>
      <c r="Y120" s="199">
        <f t="shared" si="6"/>
        <v>2.2469615219528394E-2</v>
      </c>
    </row>
    <row r="121" spans="2:25">
      <c r="B121" s="189" t="s">
        <v>9</v>
      </c>
      <c r="C121" s="190" t="s">
        <v>62</v>
      </c>
      <c r="D121" s="190">
        <v>10</v>
      </c>
      <c r="E121" s="191">
        <v>12</v>
      </c>
      <c r="F121" s="192">
        <v>43434</v>
      </c>
      <c r="G121" s="24">
        <v>1348.8434627692695</v>
      </c>
      <c r="H121" s="24">
        <f>1148178/1000</f>
        <v>1148.1780000000001</v>
      </c>
      <c r="I121" s="193">
        <v>108.1</v>
      </c>
      <c r="J121" s="194">
        <f>3.27*30</f>
        <v>98.1</v>
      </c>
      <c r="K121" s="193">
        <v>152.1</v>
      </c>
      <c r="L121" s="194">
        <f>4.4*30</f>
        <v>132</v>
      </c>
      <c r="M121" s="195">
        <f t="shared" si="59"/>
        <v>0.75026530032965977</v>
      </c>
      <c r="N121" s="195">
        <f t="shared" si="60"/>
        <v>0.7534925659925662</v>
      </c>
      <c r="O121" s="195">
        <f t="shared" si="61"/>
        <v>0.18733936982906521</v>
      </c>
      <c r="P121" s="195">
        <f t="shared" si="62"/>
        <v>0.15946916666666669</v>
      </c>
      <c r="Q121" s="195">
        <v>0.98499999999999999</v>
      </c>
      <c r="R121" s="195">
        <v>0.96199999999999997</v>
      </c>
      <c r="S121" s="196">
        <v>0.99</v>
      </c>
      <c r="T121" s="197">
        <v>0.99990000000000001</v>
      </c>
      <c r="U121" s="198">
        <v>1.4999999999999999E-2</v>
      </c>
      <c r="V121" s="197">
        <v>0</v>
      </c>
      <c r="W121" s="198">
        <v>0</v>
      </c>
      <c r="X121" s="197">
        <v>0</v>
      </c>
      <c r="Y121" s="199">
        <f t="shared" si="6"/>
        <v>-1.6618631297902198E-2</v>
      </c>
    </row>
    <row r="122" spans="2:25">
      <c r="B122" s="189" t="s">
        <v>9</v>
      </c>
      <c r="C122" s="190" t="s">
        <v>62</v>
      </c>
      <c r="D122" s="190">
        <v>10</v>
      </c>
      <c r="E122" s="191">
        <v>12</v>
      </c>
      <c r="F122" s="192">
        <v>43465</v>
      </c>
      <c r="G122" s="24">
        <v>1130.4815649091288</v>
      </c>
      <c r="H122" s="24">
        <f>1116936/1000</f>
        <v>1116.9359999999999</v>
      </c>
      <c r="I122" s="193">
        <v>89.9</v>
      </c>
      <c r="J122" s="194">
        <v>86.49</v>
      </c>
      <c r="K122" s="193">
        <v>129.6</v>
      </c>
      <c r="L122" s="194">
        <v>122.14</v>
      </c>
      <c r="M122" s="195">
        <f t="shared" si="59"/>
        <v>0.73797390702952259</v>
      </c>
      <c r="N122" s="195">
        <f t="shared" si="60"/>
        <v>0.78757744029191945</v>
      </c>
      <c r="O122" s="195">
        <f t="shared" si="61"/>
        <v>0.15194644689638828</v>
      </c>
      <c r="P122" s="195">
        <f t="shared" si="62"/>
        <v>0.15012580645161289</v>
      </c>
      <c r="Q122" s="195">
        <v>0.98499999999999999</v>
      </c>
      <c r="R122" s="195">
        <v>0.96760000000000002</v>
      </c>
      <c r="S122" s="196">
        <v>0.99</v>
      </c>
      <c r="T122" s="197">
        <v>1</v>
      </c>
      <c r="U122" s="198">
        <v>1.4999999999999999E-2</v>
      </c>
      <c r="V122" s="197">
        <v>0</v>
      </c>
      <c r="W122" s="198">
        <v>0</v>
      </c>
      <c r="X122" s="197">
        <v>0</v>
      </c>
      <c r="Y122" s="199">
        <f t="shared" si="6"/>
        <v>4.5579609155268819E-2</v>
      </c>
    </row>
    <row r="123" spans="2:25">
      <c r="B123" s="189" t="s">
        <v>9</v>
      </c>
      <c r="C123" s="190" t="s">
        <v>62</v>
      </c>
      <c r="D123" s="190">
        <v>10</v>
      </c>
      <c r="E123" s="191">
        <v>12</v>
      </c>
      <c r="F123" s="192">
        <v>43496</v>
      </c>
      <c r="G123" s="24">
        <v>957.76854291708833</v>
      </c>
      <c r="H123" s="24">
        <f>1080282/1000</f>
        <v>1080.2819999999999</v>
      </c>
      <c r="I123" s="193">
        <v>79.599999999999994</v>
      </c>
      <c r="J123" s="194">
        <v>88.039999999999992</v>
      </c>
      <c r="K123" s="193">
        <v>103.2</v>
      </c>
      <c r="L123" s="194">
        <v>118.11</v>
      </c>
      <c r="M123" s="195">
        <f t="shared" si="59"/>
        <v>0.78516945306625241</v>
      </c>
      <c r="N123" s="195">
        <f t="shared" si="60"/>
        <v>0.77672525330444186</v>
      </c>
      <c r="O123" s="195">
        <f t="shared" si="61"/>
        <v>0.12873233103724305</v>
      </c>
      <c r="P123" s="195">
        <f t="shared" si="62"/>
        <v>0.14519919354838709</v>
      </c>
      <c r="Q123" s="195">
        <v>0.98499999999999999</v>
      </c>
      <c r="R123" s="195">
        <v>0.98129999999999995</v>
      </c>
      <c r="S123" s="196">
        <v>0.99</v>
      </c>
      <c r="T123" s="197">
        <v>0.98399999999999999</v>
      </c>
      <c r="U123" s="198">
        <v>1.4999999999999999E-2</v>
      </c>
      <c r="V123" s="197">
        <v>0</v>
      </c>
      <c r="W123" s="198">
        <v>0</v>
      </c>
      <c r="X123" s="197">
        <v>0</v>
      </c>
      <c r="Y123" s="199">
        <f t="shared" si="6"/>
        <v>-1.6561228491857038E-2</v>
      </c>
    </row>
    <row r="124" spans="2:25">
      <c r="B124" s="189" t="s">
        <v>9</v>
      </c>
      <c r="C124" s="190" t="s">
        <v>62</v>
      </c>
      <c r="D124" s="190">
        <v>10</v>
      </c>
      <c r="E124" s="191">
        <v>12</v>
      </c>
      <c r="F124" s="192">
        <v>43524</v>
      </c>
      <c r="G124" s="24">
        <v>1253.5479909513413</v>
      </c>
      <c r="H124" s="24">
        <v>1014.0119999999999</v>
      </c>
      <c r="I124" s="193">
        <v>108.1</v>
      </c>
      <c r="J124" s="194">
        <v>92.399999999999991</v>
      </c>
      <c r="K124" s="193">
        <v>137.5</v>
      </c>
      <c r="L124" s="194">
        <v>110.32</v>
      </c>
      <c r="M124" s="195">
        <f t="shared" si="59"/>
        <v>0.77129548743352794</v>
      </c>
      <c r="N124" s="195">
        <f t="shared" si="60"/>
        <v>0.80738131558677328</v>
      </c>
      <c r="O124" s="195">
        <f t="shared" si="61"/>
        <v>0.18653987960585436</v>
      </c>
      <c r="P124" s="195">
        <f t="shared" si="62"/>
        <v>0.15089464285714285</v>
      </c>
      <c r="Q124" s="195">
        <v>0.98499999999999999</v>
      </c>
      <c r="R124" s="195">
        <v>0.94869999999999999</v>
      </c>
      <c r="S124" s="196">
        <v>0.99</v>
      </c>
      <c r="T124" s="197">
        <v>0.97789999999999999</v>
      </c>
      <c r="U124" s="198">
        <v>1.4999999999999999E-2</v>
      </c>
      <c r="V124" s="197">
        <v>0</v>
      </c>
      <c r="W124" s="198">
        <v>0</v>
      </c>
      <c r="X124" s="197">
        <v>0</v>
      </c>
      <c r="Y124" s="199">
        <f t="shared" si="6"/>
        <v>6.5863128072125576E-3</v>
      </c>
    </row>
    <row r="125" spans="2:25">
      <c r="B125" s="189" t="s">
        <v>9</v>
      </c>
      <c r="C125" s="190" t="s">
        <v>62</v>
      </c>
      <c r="D125" s="190">
        <v>10</v>
      </c>
      <c r="E125" s="191">
        <v>12</v>
      </c>
      <c r="F125" s="192">
        <v>43555</v>
      </c>
      <c r="G125" s="24">
        <v>1678.0462728523526</v>
      </c>
      <c r="H125" s="24">
        <f>1640028/1000</f>
        <v>1640.028</v>
      </c>
      <c r="I125" s="193">
        <v>161.4</v>
      </c>
      <c r="J125" s="194">
        <v>156.04</v>
      </c>
      <c r="K125" s="193">
        <v>187.8</v>
      </c>
      <c r="L125" s="194">
        <v>177.2</v>
      </c>
      <c r="M125" s="195">
        <f t="shared" si="59"/>
        <v>0.75594616480629417</v>
      </c>
      <c r="N125" s="195">
        <f t="shared" si="60"/>
        <v>0.77670669858308394</v>
      </c>
      <c r="O125" s="195">
        <f t="shared" si="61"/>
        <v>0.22554385387800435</v>
      </c>
      <c r="P125" s="195">
        <f t="shared" si="62"/>
        <v>0.22043387096774195</v>
      </c>
      <c r="Q125" s="195">
        <v>0.98499999999999999</v>
      </c>
      <c r="R125" s="195">
        <v>0.99299999999999999</v>
      </c>
      <c r="S125" s="196">
        <v>0.99</v>
      </c>
      <c r="T125" s="197">
        <v>0.99509999999999998</v>
      </c>
      <c r="U125" s="198">
        <v>1.4999999999999999E-2</v>
      </c>
      <c r="V125" s="197">
        <v>0</v>
      </c>
      <c r="W125" s="198">
        <v>0</v>
      </c>
      <c r="X125" s="197">
        <v>0</v>
      </c>
      <c r="Y125" s="199">
        <f t="shared" si="6"/>
        <v>3.3786752454797453E-2</v>
      </c>
    </row>
    <row r="126" spans="2:25">
      <c r="B126" s="189" t="s">
        <v>9</v>
      </c>
      <c r="C126" s="190" t="s">
        <v>62</v>
      </c>
      <c r="D126" s="190">
        <v>10</v>
      </c>
      <c r="E126" s="191">
        <v>12</v>
      </c>
      <c r="F126" s="192">
        <v>43585</v>
      </c>
      <c r="G126" s="24">
        <v>1736.4718428344272</v>
      </c>
      <c r="H126" s="24">
        <f>1574544/1000</f>
        <v>1574.5440000000001</v>
      </c>
      <c r="I126" s="193">
        <v>190.2</v>
      </c>
      <c r="J126" s="194">
        <f>5.81*30</f>
        <v>174.29999999999998</v>
      </c>
      <c r="K126" s="193">
        <v>194</v>
      </c>
      <c r="L126" s="194">
        <f>5.95*30</f>
        <v>178.5</v>
      </c>
      <c r="M126" s="195">
        <f t="shared" si="59"/>
        <v>0.75726614110036605</v>
      </c>
      <c r="N126" s="195">
        <f t="shared" si="60"/>
        <v>0.74408465684077063</v>
      </c>
      <c r="O126" s="195">
        <f t="shared" si="61"/>
        <v>0.24117664483811491</v>
      </c>
      <c r="P126" s="195">
        <f t="shared" si="62"/>
        <v>0.2186866666666667</v>
      </c>
      <c r="Q126" s="195">
        <v>0.98499999999999999</v>
      </c>
      <c r="R126" s="195">
        <v>0.9879</v>
      </c>
      <c r="S126" s="196">
        <v>0.99</v>
      </c>
      <c r="T126" s="197">
        <v>0.99239999999999995</v>
      </c>
      <c r="U126" s="198">
        <v>1.4999999999999999E-2</v>
      </c>
      <c r="V126" s="197">
        <v>0</v>
      </c>
      <c r="W126" s="198">
        <v>0</v>
      </c>
      <c r="X126" s="197">
        <v>0</v>
      </c>
      <c r="Y126" s="199">
        <f t="shared" si="6"/>
        <v>-1.3354154413225405E-2</v>
      </c>
    </row>
    <row r="127" spans="2:25">
      <c r="B127" s="189" t="s">
        <v>9</v>
      </c>
      <c r="C127" s="190" t="s">
        <v>62</v>
      </c>
      <c r="D127" s="190">
        <v>10</v>
      </c>
      <c r="E127" s="191">
        <v>12</v>
      </c>
      <c r="F127" s="192">
        <v>43616</v>
      </c>
      <c r="G127" s="24">
        <v>1759.2943311086754</v>
      </c>
      <c r="H127" s="24">
        <f>1564836/1000</f>
        <v>1564.836</v>
      </c>
      <c r="I127" s="193">
        <v>197</v>
      </c>
      <c r="J127" s="194">
        <v>189.98</v>
      </c>
      <c r="K127" s="193">
        <v>197.7</v>
      </c>
      <c r="L127" s="194">
        <v>193.09</v>
      </c>
      <c r="M127" s="195">
        <f t="shared" si="59"/>
        <v>0.75286023239704802</v>
      </c>
      <c r="N127" s="195">
        <f t="shared" si="60"/>
        <v>0.70363438548031609</v>
      </c>
      <c r="O127" s="195">
        <f t="shared" si="61"/>
        <v>0.23646429181568215</v>
      </c>
      <c r="P127" s="195">
        <f t="shared" si="62"/>
        <v>0.2103274193548387</v>
      </c>
      <c r="Q127" s="195">
        <v>0.98499999999999999</v>
      </c>
      <c r="R127" s="195">
        <v>0.95979999999999999</v>
      </c>
      <c r="S127" s="196">
        <v>0.99</v>
      </c>
      <c r="T127" s="197">
        <v>0.98570000000000002</v>
      </c>
      <c r="U127" s="198">
        <v>1.4999999999999999E-2</v>
      </c>
      <c r="V127" s="197">
        <v>0</v>
      </c>
      <c r="W127" s="198">
        <v>0</v>
      </c>
      <c r="X127" s="197">
        <v>0</v>
      </c>
      <c r="Y127" s="199">
        <f t="shared" si="6"/>
        <v>-8.7213846915894955E-2</v>
      </c>
    </row>
    <row r="128" spans="2:25">
      <c r="B128" s="189" t="s">
        <v>9</v>
      </c>
      <c r="C128" s="190" t="s">
        <v>62</v>
      </c>
      <c r="D128" s="190">
        <v>10</v>
      </c>
      <c r="E128" s="191">
        <v>12</v>
      </c>
      <c r="F128" s="192">
        <v>43646</v>
      </c>
      <c r="G128" s="24">
        <v>1582.1918221005112</v>
      </c>
      <c r="H128" s="24">
        <f>1643112/1000</f>
        <v>1643.1120000000001</v>
      </c>
      <c r="I128" s="193">
        <v>178.9</v>
      </c>
      <c r="J128" s="194">
        <v>189.29999999999998</v>
      </c>
      <c r="K128" s="193">
        <v>177.2</v>
      </c>
      <c r="L128" s="194">
        <v>186.6</v>
      </c>
      <c r="M128" s="195">
        <f t="shared" si="59"/>
        <v>0.75540167127898128</v>
      </c>
      <c r="N128" s="195">
        <f t="shared" si="60"/>
        <v>0.73570705055007979</v>
      </c>
      <c r="O128" s="195">
        <f t="shared" si="61"/>
        <v>0.21974886418062659</v>
      </c>
      <c r="P128" s="195">
        <f t="shared" si="62"/>
        <v>0.22821000000000002</v>
      </c>
      <c r="Q128" s="195">
        <v>0.98499999999999999</v>
      </c>
      <c r="R128" s="195">
        <v>0.99739999999999995</v>
      </c>
      <c r="S128" s="196">
        <v>0.99</v>
      </c>
      <c r="T128" s="197">
        <v>0.99809999999999999</v>
      </c>
      <c r="U128" s="198">
        <v>1.4999999999999999E-2</v>
      </c>
      <c r="V128" s="197">
        <v>0</v>
      </c>
      <c r="W128" s="198">
        <v>0</v>
      </c>
      <c r="X128" s="197">
        <v>0</v>
      </c>
      <c r="Y128" s="199">
        <f t="shared" si="6"/>
        <v>-1.4543742845559038E-2</v>
      </c>
    </row>
    <row r="129" spans="2:25">
      <c r="B129" s="189" t="s">
        <v>9</v>
      </c>
      <c r="C129" s="190" t="s">
        <v>62</v>
      </c>
      <c r="D129" s="190">
        <v>10</v>
      </c>
      <c r="E129" s="191">
        <v>12</v>
      </c>
      <c r="F129" s="192">
        <v>43677</v>
      </c>
      <c r="G129" s="24">
        <v>1403.2635140304076</v>
      </c>
      <c r="H129" s="24">
        <v>1235.2919999999999</v>
      </c>
      <c r="I129" s="193">
        <v>155.5</v>
      </c>
      <c r="J129" s="194">
        <v>142.91</v>
      </c>
      <c r="K129" s="193">
        <v>154.6</v>
      </c>
      <c r="L129" s="194">
        <v>140.43</v>
      </c>
      <c r="M129" s="195">
        <f t="shared" si="59"/>
        <v>0.76791343745576035</v>
      </c>
      <c r="N129" s="195">
        <f t="shared" si="60"/>
        <v>0.76726122349383796</v>
      </c>
      <c r="O129" s="195">
        <f t="shared" si="61"/>
        <v>0.18861068736967843</v>
      </c>
      <c r="P129" s="195">
        <f t="shared" si="62"/>
        <v>0.16603387096774191</v>
      </c>
      <c r="Q129" s="195">
        <v>0.98499999999999999</v>
      </c>
      <c r="R129" s="195">
        <v>0.95540000000000003</v>
      </c>
      <c r="S129" s="196">
        <v>0.99</v>
      </c>
      <c r="T129" s="197">
        <v>0.98199999999999998</v>
      </c>
      <c r="U129" s="198">
        <v>1.4999999999999999E-2</v>
      </c>
      <c r="V129" s="197">
        <v>0</v>
      </c>
      <c r="W129" s="198">
        <v>0</v>
      </c>
      <c r="X129" s="197">
        <v>0</v>
      </c>
      <c r="Y129" s="199">
        <f t="shared" si="6"/>
        <v>-2.804473482387726E-2</v>
      </c>
    </row>
    <row r="130" spans="2:25">
      <c r="B130" s="189" t="s">
        <v>9</v>
      </c>
      <c r="C130" s="190" t="s">
        <v>62</v>
      </c>
      <c r="D130" s="190">
        <v>10</v>
      </c>
      <c r="E130" s="191">
        <v>12</v>
      </c>
      <c r="F130" s="192">
        <v>43708</v>
      </c>
      <c r="G130" s="24">
        <v>1332.9702501457239</v>
      </c>
      <c r="H130" s="24">
        <f>1178964/1000</f>
        <v>1178.9639999999999</v>
      </c>
      <c r="I130" s="193">
        <v>145.4</v>
      </c>
      <c r="J130" s="194">
        <v>141</v>
      </c>
      <c r="K130" s="193">
        <v>146.30000000000001</v>
      </c>
      <c r="L130" s="194">
        <v>141</v>
      </c>
      <c r="M130" s="195">
        <f t="shared" si="59"/>
        <v>0.77083008059241542</v>
      </c>
      <c r="N130" s="195">
        <f t="shared" si="60"/>
        <v>0.72962014035869449</v>
      </c>
      <c r="O130" s="195">
        <f t="shared" si="61"/>
        <v>0.17916266803033926</v>
      </c>
      <c r="P130" s="195">
        <f t="shared" si="62"/>
        <v>0.15846290322580645</v>
      </c>
      <c r="Q130" s="195">
        <v>0.98499999999999999</v>
      </c>
      <c r="R130" s="195">
        <v>0.95499999999999996</v>
      </c>
      <c r="S130" s="196">
        <v>0.99</v>
      </c>
      <c r="T130" s="197">
        <v>0.98</v>
      </c>
      <c r="U130" s="198">
        <v>1.4999999999999999E-2</v>
      </c>
      <c r="V130" s="197">
        <v>0</v>
      </c>
      <c r="W130" s="198">
        <v>0</v>
      </c>
      <c r="X130" s="197">
        <v>0</v>
      </c>
      <c r="Y130" s="199">
        <f t="shared" si="6"/>
        <v>-7.9309218570612572E-2</v>
      </c>
    </row>
    <row r="131" spans="2:25">
      <c r="B131" s="189" t="s">
        <v>9</v>
      </c>
      <c r="C131" s="190" t="s">
        <v>62</v>
      </c>
      <c r="D131" s="190">
        <v>10</v>
      </c>
      <c r="E131" s="191">
        <v>12</v>
      </c>
      <c r="F131" s="192">
        <v>43738</v>
      </c>
      <c r="G131" s="24">
        <v>1326.5799534289345</v>
      </c>
      <c r="H131" s="24">
        <f>1274064/1000</f>
        <v>1274.0640000000001</v>
      </c>
      <c r="I131" s="193">
        <v>141.6</v>
      </c>
      <c r="J131" s="194">
        <v>142</v>
      </c>
      <c r="K131" s="193">
        <v>145.5</v>
      </c>
      <c r="L131" s="194">
        <v>149</v>
      </c>
      <c r="M131" s="195">
        <f t="shared" si="59"/>
        <v>0.77135262234138335</v>
      </c>
      <c r="N131" s="195">
        <f t="shared" si="60"/>
        <v>0.72282791477912534</v>
      </c>
      <c r="O131" s="195">
        <f t="shared" si="61"/>
        <v>0.18424721575401867</v>
      </c>
      <c r="P131" s="195">
        <f t="shared" si="62"/>
        <v>0.17695333333333335</v>
      </c>
      <c r="Q131" s="195">
        <v>0.98499999999999999</v>
      </c>
      <c r="R131" s="195">
        <v>0.98580000000000001</v>
      </c>
      <c r="S131" s="196">
        <v>0.99</v>
      </c>
      <c r="T131" s="197">
        <v>0.99790000000000001</v>
      </c>
      <c r="U131" s="198">
        <v>1.4999999999999999E-2</v>
      </c>
      <c r="V131" s="197">
        <v>0</v>
      </c>
      <c r="W131" s="198">
        <v>0</v>
      </c>
      <c r="X131" s="197">
        <v>0</v>
      </c>
      <c r="Y131" s="199">
        <f t="shared" si="6"/>
        <v>-6.3642459843427757E-2</v>
      </c>
    </row>
    <row r="132" spans="2:25">
      <c r="B132" s="189" t="s">
        <v>9</v>
      </c>
      <c r="C132" s="190" t="s">
        <v>62</v>
      </c>
      <c r="D132" s="190">
        <v>10</v>
      </c>
      <c r="E132" s="191">
        <v>12</v>
      </c>
      <c r="F132" s="192">
        <v>43769</v>
      </c>
      <c r="G132" s="24">
        <v>1517.3759554016474</v>
      </c>
      <c r="H132" s="24">
        <f>1225548/1000</f>
        <v>1225.548</v>
      </c>
      <c r="I132" s="193">
        <v>139.1</v>
      </c>
      <c r="J132" s="194">
        <v>125.86</v>
      </c>
      <c r="K132" s="193">
        <v>172.2</v>
      </c>
      <c r="L132" s="194">
        <v>152.83000000000001</v>
      </c>
      <c r="M132" s="195">
        <f t="shared" si="59"/>
        <v>0.74549129086984578</v>
      </c>
      <c r="N132" s="195">
        <f t="shared" si="60"/>
        <v>0.70209319865972786</v>
      </c>
      <c r="O132" s="195">
        <f t="shared" si="61"/>
        <v>0.20394838110237196</v>
      </c>
      <c r="P132" s="195">
        <f t="shared" si="62"/>
        <v>0.1647241935483871</v>
      </c>
      <c r="Q132" s="195">
        <v>0.98499999999999999</v>
      </c>
      <c r="R132" s="195">
        <v>0.95179999999999998</v>
      </c>
      <c r="S132" s="196">
        <v>0.99</v>
      </c>
      <c r="T132" s="197">
        <v>0.98880000000000001</v>
      </c>
      <c r="U132" s="198">
        <v>1.4999999999999999E-2</v>
      </c>
      <c r="V132" s="197">
        <v>0</v>
      </c>
      <c r="W132" s="198">
        <v>0</v>
      </c>
      <c r="X132" s="197">
        <v>0</v>
      </c>
      <c r="Y132" s="199">
        <f t="shared" si="6"/>
        <v>-7.9838611687069072E-2</v>
      </c>
    </row>
    <row r="133" spans="2:25">
      <c r="B133" s="189" t="s">
        <v>9</v>
      </c>
      <c r="C133" s="190" t="s">
        <v>62</v>
      </c>
      <c r="D133" s="190">
        <v>10</v>
      </c>
      <c r="E133" s="191">
        <v>12</v>
      </c>
      <c r="F133" s="192">
        <v>43799</v>
      </c>
      <c r="G133" s="24">
        <v>1342.099245455423</v>
      </c>
      <c r="H133" s="24">
        <f>1082880/1000</f>
        <v>1082.8800000000001</v>
      </c>
      <c r="I133" s="193">
        <v>108.1</v>
      </c>
      <c r="J133" s="194">
        <v>94.800000000000011</v>
      </c>
      <c r="K133" s="193">
        <v>152.1</v>
      </c>
      <c r="L133" s="194">
        <v>129.9</v>
      </c>
      <c r="M133" s="195">
        <f t="shared" si="59"/>
        <v>0.74651397382801132</v>
      </c>
      <c r="N133" s="195">
        <f t="shared" si="60"/>
        <v>0.69719813499498906</v>
      </c>
      <c r="O133" s="195">
        <f t="shared" si="61"/>
        <v>0.18640267297991986</v>
      </c>
      <c r="P133" s="195">
        <f t="shared" si="62"/>
        <v>0.15040000000000003</v>
      </c>
      <c r="Q133" s="195">
        <v>0.98499999999999999</v>
      </c>
      <c r="R133" s="195">
        <v>0.99639999999999995</v>
      </c>
      <c r="S133" s="196">
        <v>0.99</v>
      </c>
      <c r="T133" s="197">
        <v>1</v>
      </c>
      <c r="U133" s="198">
        <v>1.4999999999999999E-2</v>
      </c>
      <c r="V133" s="197">
        <v>0</v>
      </c>
      <c r="W133" s="198">
        <v>0</v>
      </c>
      <c r="X133" s="197">
        <v>0</v>
      </c>
      <c r="Y133" s="199">
        <f t="shared" si="6"/>
        <v>-4.7188010038383466E-2</v>
      </c>
    </row>
    <row r="134" spans="2:25">
      <c r="B134" s="189" t="s">
        <v>9</v>
      </c>
      <c r="C134" s="190" t="s">
        <v>62</v>
      </c>
      <c r="D134" s="190">
        <v>10</v>
      </c>
      <c r="E134" s="191">
        <v>12</v>
      </c>
      <c r="F134" s="192">
        <v>43830</v>
      </c>
      <c r="G134" s="24">
        <v>1124.8291570845829</v>
      </c>
      <c r="H134" s="24">
        <f>820416/1000</f>
        <v>820.41600000000005</v>
      </c>
      <c r="I134" s="193">
        <v>89.9</v>
      </c>
      <c r="J134" s="194">
        <v>66.650000000000006</v>
      </c>
      <c r="K134" s="193">
        <v>129.6</v>
      </c>
      <c r="L134" s="194">
        <v>93.62</v>
      </c>
      <c r="M134" s="195">
        <f t="shared" si="59"/>
        <v>0.73428403749437476</v>
      </c>
      <c r="N134" s="195">
        <f t="shared" si="60"/>
        <v>0.74297620261394004</v>
      </c>
      <c r="O134" s="195">
        <f t="shared" si="61"/>
        <v>0.15118671466190631</v>
      </c>
      <c r="P134" s="195">
        <f t="shared" si="62"/>
        <v>0.1102709677419355</v>
      </c>
      <c r="Q134" s="195">
        <v>0.98499999999999999</v>
      </c>
      <c r="R134" s="195">
        <v>0.9829</v>
      </c>
      <c r="S134" s="196">
        <v>0.99</v>
      </c>
      <c r="T134" s="197">
        <v>0.99870000000000003</v>
      </c>
      <c r="U134" s="198">
        <v>1.4999999999999999E-2</v>
      </c>
      <c r="V134" s="197">
        <v>0</v>
      </c>
      <c r="W134" s="198">
        <v>0</v>
      </c>
      <c r="X134" s="197">
        <v>0</v>
      </c>
      <c r="Y134" s="199">
        <f t="shared" si="6"/>
        <v>6.9928857676012646E-3</v>
      </c>
    </row>
    <row r="135" spans="2:25">
      <c r="B135" s="189" t="s">
        <v>9</v>
      </c>
      <c r="C135" s="190" t="s">
        <v>62</v>
      </c>
      <c r="D135" s="190">
        <v>10</v>
      </c>
      <c r="E135" s="191">
        <v>12</v>
      </c>
      <c r="F135" s="192">
        <v>43861</v>
      </c>
      <c r="G135" s="24">
        <v>952.97970020250295</v>
      </c>
      <c r="H135" s="24">
        <f>817464/1000</f>
        <v>817.46400000000006</v>
      </c>
      <c r="I135" s="193">
        <v>79.599999999999994</v>
      </c>
      <c r="J135" s="194">
        <v>73.099999999999994</v>
      </c>
      <c r="K135" s="193">
        <v>103.2</v>
      </c>
      <c r="L135" s="194">
        <v>98.13</v>
      </c>
      <c r="M135" s="195">
        <f t="shared" si="59"/>
        <v>0.78124360580092123</v>
      </c>
      <c r="N135" s="195">
        <f t="shared" si="60"/>
        <v>0.75317518644546477</v>
      </c>
      <c r="O135" s="195">
        <f t="shared" si="61"/>
        <v>0.12808866938205685</v>
      </c>
      <c r="P135" s="195">
        <f t="shared" si="62"/>
        <v>0.10987419354838709</v>
      </c>
      <c r="Q135" s="195">
        <v>0.98499999999999999</v>
      </c>
      <c r="R135" s="195">
        <v>0.92169999999999996</v>
      </c>
      <c r="S135" s="196">
        <v>0.99</v>
      </c>
      <c r="T135" s="197">
        <v>0.98850000000000005</v>
      </c>
      <c r="U135" s="198">
        <v>1.4999999999999999E-2</v>
      </c>
      <c r="V135" s="197">
        <v>0</v>
      </c>
      <c r="W135" s="198">
        <v>0</v>
      </c>
      <c r="X135" s="197">
        <v>0</v>
      </c>
      <c r="Y135" s="199">
        <f t="shared" si="6"/>
        <v>-9.3074177887924492E-2</v>
      </c>
    </row>
    <row r="136" spans="2:25">
      <c r="B136" s="189" t="s">
        <v>9</v>
      </c>
      <c r="C136" s="190" t="s">
        <v>62</v>
      </c>
      <c r="D136" s="190">
        <v>10</v>
      </c>
      <c r="E136" s="191">
        <v>12</v>
      </c>
      <c r="F136" s="192">
        <v>43890</v>
      </c>
      <c r="G136" s="24">
        <v>1247.2802509965843</v>
      </c>
      <c r="H136" s="24">
        <f>1275888/1000</f>
        <v>1275.8879999999999</v>
      </c>
      <c r="I136" s="193">
        <v>108.1</v>
      </c>
      <c r="J136" s="194">
        <v>114.84</v>
      </c>
      <c r="K136" s="193">
        <v>137.5</v>
      </c>
      <c r="L136" s="194">
        <v>149.35</v>
      </c>
      <c r="M136" s="195">
        <f t="shared" si="59"/>
        <v>0.76743900999636017</v>
      </c>
      <c r="N136" s="195">
        <f t="shared" si="60"/>
        <v>0.71592077333772175</v>
      </c>
      <c r="O136" s="195">
        <f t="shared" si="61"/>
        <v>0.17920693261445178</v>
      </c>
      <c r="P136" s="195">
        <f t="shared" si="62"/>
        <v>0.18331724137931033</v>
      </c>
      <c r="Q136" s="195">
        <v>0.98499999999999999</v>
      </c>
      <c r="R136" s="195">
        <v>0.99439999999999995</v>
      </c>
      <c r="S136" s="196">
        <v>0.99</v>
      </c>
      <c r="T136" s="197">
        <v>0.99439999999999995</v>
      </c>
      <c r="U136" s="198">
        <v>1.4999999999999999E-2</v>
      </c>
      <c r="V136" s="197">
        <v>0</v>
      </c>
      <c r="W136" s="198">
        <v>0</v>
      </c>
      <c r="X136" s="197">
        <v>0</v>
      </c>
      <c r="Y136" s="199">
        <f t="shared" si="6"/>
        <v>-6.3245714623249016E-2</v>
      </c>
    </row>
    <row r="137" spans="2:25">
      <c r="B137" s="189" t="s">
        <v>9</v>
      </c>
      <c r="C137" s="190" t="s">
        <v>62</v>
      </c>
      <c r="D137" s="190">
        <v>10</v>
      </c>
      <c r="E137" s="191">
        <v>12</v>
      </c>
      <c r="F137" s="192">
        <v>43921</v>
      </c>
      <c r="G137" s="24">
        <v>1669.6560414880908</v>
      </c>
      <c r="H137" s="24">
        <f>1500702/1000</f>
        <v>1500.702</v>
      </c>
      <c r="I137" s="193">
        <v>161.4</v>
      </c>
      <c r="J137" s="194">
        <v>152.19999999999999</v>
      </c>
      <c r="K137" s="193">
        <v>187.8</v>
      </c>
      <c r="L137" s="194">
        <v>172.5</v>
      </c>
      <c r="M137" s="195">
        <f t="shared" si="59"/>
        <v>0.75216643398226257</v>
      </c>
      <c r="N137" s="195">
        <f t="shared" si="60"/>
        <v>0.76025252893687389</v>
      </c>
      <c r="O137" s="195">
        <f t="shared" si="61"/>
        <v>0.22441613460861434</v>
      </c>
      <c r="P137" s="195">
        <f t="shared" si="62"/>
        <v>0.20170725806451612</v>
      </c>
      <c r="Q137" s="195">
        <v>0.98499999999999999</v>
      </c>
      <c r="R137" s="195">
        <v>0.9536</v>
      </c>
      <c r="S137" s="196">
        <v>0.99</v>
      </c>
      <c r="T137" s="197">
        <v>0.98780000000000001</v>
      </c>
      <c r="U137" s="198">
        <v>1.4999999999999999E-2</v>
      </c>
      <c r="V137" s="197">
        <v>0</v>
      </c>
      <c r="W137" s="198">
        <v>0</v>
      </c>
      <c r="X137" s="197">
        <v>0</v>
      </c>
      <c r="Y137" s="199">
        <f t="shared" si="6"/>
        <v>-1.9721277766160394E-2</v>
      </c>
    </row>
    <row r="138" spans="2:25">
      <c r="B138" s="189" t="s">
        <v>9</v>
      </c>
      <c r="C138" s="190" t="s">
        <v>62</v>
      </c>
      <c r="D138" s="190">
        <v>10</v>
      </c>
      <c r="E138" s="191">
        <v>12</v>
      </c>
      <c r="F138" s="192">
        <v>43951</v>
      </c>
      <c r="G138" s="24">
        <v>1727.7894836202552</v>
      </c>
      <c r="H138" s="24">
        <f>1556712/1000</f>
        <v>1556.712</v>
      </c>
      <c r="I138" s="193">
        <v>190.2</v>
      </c>
      <c r="J138" s="194">
        <v>178.20000000000002</v>
      </c>
      <c r="K138" s="193">
        <v>194</v>
      </c>
      <c r="L138" s="194">
        <v>177.89999999999998</v>
      </c>
      <c r="M138" s="195">
        <f t="shared" si="59"/>
        <v>0.75347981039486422</v>
      </c>
      <c r="N138" s="195">
        <f t="shared" si="60"/>
        <v>0.73360907434488898</v>
      </c>
      <c r="O138" s="195">
        <f t="shared" si="61"/>
        <v>0.23997076161392433</v>
      </c>
      <c r="P138" s="195">
        <f t="shared" si="62"/>
        <v>0.21621000000000001</v>
      </c>
      <c r="Q138" s="195">
        <v>0.98499999999999999</v>
      </c>
      <c r="R138" s="195">
        <v>0.99399999999999999</v>
      </c>
      <c r="S138" s="196">
        <v>0.99</v>
      </c>
      <c r="T138" s="197">
        <v>0.999</v>
      </c>
      <c r="U138" s="198">
        <v>1.4999999999999999E-2</v>
      </c>
      <c r="V138" s="197">
        <v>0</v>
      </c>
      <c r="W138" s="198">
        <v>0</v>
      </c>
      <c r="X138" s="197">
        <v>0</v>
      </c>
      <c r="Y138" s="199">
        <f t="shared" si="6"/>
        <v>-1.6025545360118132E-2</v>
      </c>
    </row>
    <row r="139" spans="2:25">
      <c r="B139" s="189" t="s">
        <v>9</v>
      </c>
      <c r="C139" s="190" t="s">
        <v>62</v>
      </c>
      <c r="D139" s="190">
        <v>10</v>
      </c>
      <c r="E139" s="191">
        <v>12</v>
      </c>
      <c r="F139" s="192">
        <v>43982</v>
      </c>
      <c r="G139" s="24">
        <v>1750.4978594531319</v>
      </c>
      <c r="H139" s="24">
        <f>1585284/1000</f>
        <v>1585.2840000000001</v>
      </c>
      <c r="I139" s="193">
        <v>197</v>
      </c>
      <c r="J139" s="194">
        <v>192.51</v>
      </c>
      <c r="K139" s="193">
        <v>197.7</v>
      </c>
      <c r="L139" s="194">
        <v>190.03</v>
      </c>
      <c r="M139" s="195">
        <f t="shared" si="59"/>
        <v>0.7490959312350628</v>
      </c>
      <c r="N139" s="195">
        <f t="shared" si="60"/>
        <v>0.72741470453184698</v>
      </c>
      <c r="O139" s="195">
        <f t="shared" si="61"/>
        <v>0.23528197035660375</v>
      </c>
      <c r="P139" s="195">
        <f t="shared" si="62"/>
        <v>0.21307580645161289</v>
      </c>
      <c r="Q139" s="195">
        <v>0.98499999999999999</v>
      </c>
      <c r="R139" s="195">
        <v>0.95569999999999999</v>
      </c>
      <c r="S139" s="196">
        <v>0.99</v>
      </c>
      <c r="T139" s="197">
        <v>0.98860000000000003</v>
      </c>
      <c r="U139" s="198">
        <v>1.4999999999999999E-2</v>
      </c>
      <c r="V139" s="197">
        <v>0</v>
      </c>
      <c r="W139" s="198">
        <v>0</v>
      </c>
      <c r="X139" s="197">
        <v>0</v>
      </c>
      <c r="Y139" s="199">
        <f t="shared" si="6"/>
        <v>-5.5584913320212537E-2</v>
      </c>
    </row>
    <row r="140" spans="2:25">
      <c r="B140" s="189" t="s">
        <v>9</v>
      </c>
      <c r="C140" s="190" t="s">
        <v>62</v>
      </c>
      <c r="D140" s="190">
        <v>10</v>
      </c>
      <c r="E140" s="191">
        <v>12</v>
      </c>
      <c r="F140" s="192">
        <v>44012</v>
      </c>
      <c r="G140" s="24">
        <v>1574.2808629900089</v>
      </c>
      <c r="H140" s="24">
        <f>1595628/1000</f>
        <v>1595.6279999999999</v>
      </c>
      <c r="I140" s="193">
        <v>178.9</v>
      </c>
      <c r="J140" s="194">
        <v>188.75</v>
      </c>
      <c r="K140" s="193">
        <v>177.2</v>
      </c>
      <c r="L140" s="194">
        <v>184.28</v>
      </c>
      <c r="M140" s="195">
        <f t="shared" si="59"/>
        <v>0.75162466292258645</v>
      </c>
      <c r="N140" s="195">
        <f t="shared" si="60"/>
        <v>0.73017565598349654</v>
      </c>
      <c r="O140" s="195">
        <f t="shared" si="61"/>
        <v>0.21865011985972344</v>
      </c>
      <c r="P140" s="195">
        <f t="shared" si="62"/>
        <v>0.22161499999999998</v>
      </c>
      <c r="Q140" s="195">
        <v>0.98499999999999999</v>
      </c>
      <c r="R140" s="195">
        <v>0.98819999999999997</v>
      </c>
      <c r="S140" s="196">
        <v>0.99</v>
      </c>
      <c r="T140" s="197">
        <v>0.99850000000000005</v>
      </c>
      <c r="U140" s="198">
        <v>1.4999999999999999E-2</v>
      </c>
      <c r="V140" s="197">
        <v>0</v>
      </c>
      <c r="W140" s="198">
        <v>0</v>
      </c>
      <c r="X140" s="197">
        <v>0</v>
      </c>
      <c r="Y140" s="199">
        <f t="shared" si="6"/>
        <v>-2.6394924094143235E-2</v>
      </c>
    </row>
    <row r="141" spans="2:25">
      <c r="B141" s="189" t="s">
        <v>9</v>
      </c>
      <c r="C141" s="190" t="s">
        <v>62</v>
      </c>
      <c r="D141" s="190">
        <v>10</v>
      </c>
      <c r="E141" s="191">
        <v>12</v>
      </c>
      <c r="F141" s="192">
        <v>44043</v>
      </c>
      <c r="G141" s="24">
        <v>1396.247196460256</v>
      </c>
      <c r="H141" s="24">
        <f>1341738/1000</f>
        <v>1341.7380000000001</v>
      </c>
      <c r="I141" s="193">
        <v>155.5</v>
      </c>
      <c r="J141" s="194">
        <v>156.02000000000001</v>
      </c>
      <c r="K141" s="193">
        <v>154.6</v>
      </c>
      <c r="L141" s="194">
        <v>153.03</v>
      </c>
      <c r="M141" s="195">
        <f t="shared" si="59"/>
        <v>0.76407387026848173</v>
      </c>
      <c r="N141" s="195">
        <f t="shared" si="60"/>
        <v>0.77828169234551126</v>
      </c>
      <c r="O141" s="195">
        <f t="shared" si="61"/>
        <v>0.18766763393283009</v>
      </c>
      <c r="P141" s="195">
        <f t="shared" si="62"/>
        <v>0.18034112903225807</v>
      </c>
      <c r="Q141" s="195">
        <v>0.98499999999999999</v>
      </c>
      <c r="R141" s="195">
        <v>0.93879999999999997</v>
      </c>
      <c r="S141" s="196">
        <v>0.99</v>
      </c>
      <c r="T141" s="197">
        <v>0.98960000000000004</v>
      </c>
      <c r="U141" s="198">
        <v>1.4999999999999999E-2</v>
      </c>
      <c r="V141" s="197">
        <v>0</v>
      </c>
      <c r="W141" s="198">
        <v>0</v>
      </c>
      <c r="X141" s="197">
        <v>0</v>
      </c>
      <c r="Y141" s="199">
        <f t="shared" si="6"/>
        <v>-2.8884550044132262E-2</v>
      </c>
    </row>
    <row r="142" spans="2:25">
      <c r="B142" s="189" t="s">
        <v>9</v>
      </c>
      <c r="C142" s="190" t="s">
        <v>62</v>
      </c>
      <c r="D142" s="190">
        <v>10</v>
      </c>
      <c r="E142" s="191">
        <v>12</v>
      </c>
      <c r="F142" s="192">
        <v>44074</v>
      </c>
      <c r="G142" s="24">
        <v>1326.3053988949955</v>
      </c>
      <c r="H142" s="24">
        <v>1164.27</v>
      </c>
      <c r="I142" s="193">
        <v>145.4</v>
      </c>
      <c r="J142" s="194">
        <v>135.93</v>
      </c>
      <c r="K142" s="193">
        <v>146.30000000000001</v>
      </c>
      <c r="L142" s="194">
        <v>136.41999999999999</v>
      </c>
      <c r="M142" s="195">
        <f t="shared" si="59"/>
        <v>0.76697593018945354</v>
      </c>
      <c r="N142" s="195">
        <f t="shared" si="60"/>
        <v>0.7577289248464425</v>
      </c>
      <c r="O142" s="195">
        <f t="shared" si="61"/>
        <v>0.17826685469018758</v>
      </c>
      <c r="P142" s="195">
        <f t="shared" si="62"/>
        <v>0.15648790322580644</v>
      </c>
      <c r="Q142" s="195">
        <v>0.98499999999999999</v>
      </c>
      <c r="R142" s="195">
        <v>0.93859999999999999</v>
      </c>
      <c r="S142" s="196">
        <v>0.99</v>
      </c>
      <c r="T142" s="197">
        <v>0.99860000000000004</v>
      </c>
      <c r="U142" s="198">
        <v>1.4999999999999999E-2</v>
      </c>
      <c r="V142" s="197">
        <v>0</v>
      </c>
      <c r="W142" s="198">
        <v>0</v>
      </c>
      <c r="X142" s="197">
        <v>0</v>
      </c>
      <c r="Y142" s="199">
        <f t="shared" si="6"/>
        <v>-5.463803635750708E-2</v>
      </c>
    </row>
    <row r="143" spans="2:25">
      <c r="B143" s="189" t="s">
        <v>9</v>
      </c>
      <c r="C143" s="190" t="s">
        <v>62</v>
      </c>
      <c r="D143" s="190">
        <v>10</v>
      </c>
      <c r="E143" s="191">
        <v>12</v>
      </c>
      <c r="F143" s="192">
        <v>44104</v>
      </c>
      <c r="G143" s="24">
        <v>1319.9470536617903</v>
      </c>
      <c r="H143" s="24">
        <f>1328478/1000</f>
        <v>1328.4780000000001</v>
      </c>
      <c r="I143" s="193">
        <v>141.6</v>
      </c>
      <c r="J143" s="194">
        <v>146.83000000000001</v>
      </c>
      <c r="K143" s="193">
        <v>145.5</v>
      </c>
      <c r="L143" s="194">
        <v>157.63999999999999</v>
      </c>
      <c r="M143" s="195">
        <f t="shared" si="59"/>
        <v>0.76749585922967667</v>
      </c>
      <c r="N143" s="195">
        <f t="shared" si="60"/>
        <v>0.71463739594244591</v>
      </c>
      <c r="O143" s="195">
        <f t="shared" si="61"/>
        <v>0.18332597967524863</v>
      </c>
      <c r="P143" s="195">
        <f t="shared" si="62"/>
        <v>0.18451083333333335</v>
      </c>
      <c r="Q143" s="195">
        <v>0.98499999999999999</v>
      </c>
      <c r="R143" s="195">
        <v>0.98270000000000002</v>
      </c>
      <c r="S143" s="196">
        <v>0.99</v>
      </c>
      <c r="T143" s="197">
        <v>0.99429999999999996</v>
      </c>
      <c r="U143" s="198">
        <v>1.4999999999999999E-2</v>
      </c>
      <c r="V143" s="197">
        <v>0</v>
      </c>
      <c r="W143" s="198">
        <v>0</v>
      </c>
      <c r="X143" s="197">
        <v>0</v>
      </c>
      <c r="Y143" s="199">
        <f t="shared" si="6"/>
        <v>-7.6973328741422264E-2</v>
      </c>
    </row>
    <row r="144" spans="2:25">
      <c r="B144" s="189" t="s">
        <v>9</v>
      </c>
      <c r="C144" s="190" t="s">
        <v>62</v>
      </c>
      <c r="D144" s="190">
        <v>10</v>
      </c>
      <c r="E144" s="191">
        <v>12</v>
      </c>
      <c r="F144" s="192">
        <v>44135</v>
      </c>
      <c r="G144" s="24">
        <v>1509.7890756246393</v>
      </c>
      <c r="H144" s="24">
        <f>1424874/1000</f>
        <v>1424.874</v>
      </c>
      <c r="I144" s="193">
        <v>139.1</v>
      </c>
      <c r="J144" s="194">
        <v>135.99</v>
      </c>
      <c r="K144" s="193">
        <v>172.2</v>
      </c>
      <c r="L144" s="194">
        <v>172.93</v>
      </c>
      <c r="M144" s="195">
        <f t="shared" si="59"/>
        <v>0.74176383441549654</v>
      </c>
      <c r="N144" s="195">
        <f t="shared" si="60"/>
        <v>0.68849224891246152</v>
      </c>
      <c r="O144" s="195">
        <f t="shared" si="61"/>
        <v>0.20292863919686011</v>
      </c>
      <c r="P144" s="195">
        <f t="shared" si="62"/>
        <v>0.19151532258064516</v>
      </c>
      <c r="Q144" s="195">
        <v>0.98499999999999999</v>
      </c>
      <c r="R144" s="195">
        <v>0.99729999999999996</v>
      </c>
      <c r="S144" s="196">
        <v>0.99</v>
      </c>
      <c r="T144" s="197">
        <v>0.99970000000000003</v>
      </c>
      <c r="U144" s="198">
        <v>1.4999999999999999E-2</v>
      </c>
      <c r="V144" s="197">
        <v>0</v>
      </c>
      <c r="W144" s="198">
        <v>0</v>
      </c>
      <c r="X144" s="197">
        <v>0</v>
      </c>
      <c r="Y144" s="199">
        <f t="shared" si="6"/>
        <v>-6.0482262403771414E-2</v>
      </c>
    </row>
    <row r="145" spans="2:25">
      <c r="B145" s="189" t="s">
        <v>9</v>
      </c>
      <c r="C145" s="190" t="s">
        <v>62</v>
      </c>
      <c r="D145" s="190">
        <v>10</v>
      </c>
      <c r="E145" s="191">
        <v>12</v>
      </c>
      <c r="F145" s="192">
        <v>44165</v>
      </c>
      <c r="G145" s="24">
        <v>1335.388749228146</v>
      </c>
      <c r="H145" s="24">
        <f>1104246/1000</f>
        <v>1104.2460000000001</v>
      </c>
      <c r="I145" s="193">
        <v>108.1</v>
      </c>
      <c r="J145" s="194">
        <v>102.51</v>
      </c>
      <c r="K145" s="193">
        <v>152.1</v>
      </c>
      <c r="L145" s="194">
        <v>140.22999999999999</v>
      </c>
      <c r="M145" s="195">
        <f t="shared" si="59"/>
        <v>0.74278140395887138</v>
      </c>
      <c r="N145" s="195">
        <f t="shared" si="60"/>
        <v>0.68562451616030651</v>
      </c>
      <c r="O145" s="195">
        <f t="shared" si="61"/>
        <v>0.18547065961502027</v>
      </c>
      <c r="P145" s="195">
        <f t="shared" si="62"/>
        <v>0.15336750000000002</v>
      </c>
      <c r="Q145" s="195">
        <v>0.98499999999999999</v>
      </c>
      <c r="R145" s="195">
        <v>0.95709999999999995</v>
      </c>
      <c r="S145" s="196">
        <v>0.99</v>
      </c>
      <c r="T145" s="197">
        <v>0.99629999999999996</v>
      </c>
      <c r="U145" s="198">
        <v>1.4999999999999999E-2</v>
      </c>
      <c r="V145" s="197">
        <v>0</v>
      </c>
      <c r="W145" s="198">
        <v>0</v>
      </c>
      <c r="X145" s="197">
        <v>0</v>
      </c>
      <c r="Y145" s="199">
        <f t="shared" si="6"/>
        <v>-9.5049469953455201E-2</v>
      </c>
    </row>
    <row r="146" spans="2:25">
      <c r="B146" s="189" t="s">
        <v>9</v>
      </c>
      <c r="C146" s="190" t="s">
        <v>62</v>
      </c>
      <c r="D146" s="190">
        <v>10</v>
      </c>
      <c r="E146" s="191">
        <v>12</v>
      </c>
      <c r="F146" s="192">
        <v>44196</v>
      </c>
      <c r="G146" s="24">
        <v>1119.2050112991601</v>
      </c>
      <c r="H146" s="24">
        <f>993006/1000</f>
        <v>993.00599999999997</v>
      </c>
      <c r="I146" s="193">
        <v>89.9</v>
      </c>
      <c r="J146" s="194">
        <v>83.85</v>
      </c>
      <c r="K146" s="193">
        <v>129.6</v>
      </c>
      <c r="L146" s="194">
        <v>119.27</v>
      </c>
      <c r="M146" s="195">
        <f t="shared" si="59"/>
        <v>0.73061261730690308</v>
      </c>
      <c r="N146" s="195">
        <f t="shared" si="60"/>
        <v>0.69743482744799667</v>
      </c>
      <c r="O146" s="195">
        <f t="shared" si="61"/>
        <v>0.15043078108859681</v>
      </c>
      <c r="P146" s="195">
        <f t="shared" si="62"/>
        <v>0.13346854838709679</v>
      </c>
      <c r="Q146" s="195">
        <v>0.98499999999999999</v>
      </c>
      <c r="R146" s="195">
        <v>0.99480000000000002</v>
      </c>
      <c r="S146" s="196">
        <v>0.99</v>
      </c>
      <c r="T146" s="197">
        <v>0.99780000000000002</v>
      </c>
      <c r="U146" s="198">
        <v>1.4999999999999999E-2</v>
      </c>
      <c r="V146" s="197">
        <v>0</v>
      </c>
      <c r="W146" s="198">
        <v>0</v>
      </c>
      <c r="X146" s="197">
        <v>0</v>
      </c>
      <c r="Y146" s="199">
        <f t="shared" si="6"/>
        <v>-3.3050935248653324E-2</v>
      </c>
    </row>
    <row r="147" spans="2:25">
      <c r="B147" s="189" t="s">
        <v>9</v>
      </c>
      <c r="C147" s="190" t="s">
        <v>62</v>
      </c>
      <c r="D147" s="190">
        <v>10</v>
      </c>
      <c r="E147" s="191">
        <v>12</v>
      </c>
      <c r="F147" s="192">
        <v>44227</v>
      </c>
      <c r="G147" s="24">
        <v>948.21480170149039</v>
      </c>
      <c r="H147" s="24">
        <v>774.13800000000003</v>
      </c>
      <c r="I147" s="193">
        <v>79.599999999999994</v>
      </c>
      <c r="J147" s="194">
        <v>71.559999999999988</v>
      </c>
      <c r="K147" s="193">
        <v>103.2</v>
      </c>
      <c r="L147" s="194">
        <v>93.47999999999999</v>
      </c>
      <c r="M147" s="195">
        <f t="shared" si="59"/>
        <v>0.77733738777191652</v>
      </c>
      <c r="N147" s="195">
        <f t="shared" si="60"/>
        <v>0.70599507314227805</v>
      </c>
      <c r="O147" s="195">
        <f t="shared" si="61"/>
        <v>0.12744822603514655</v>
      </c>
      <c r="P147" s="195">
        <f t="shared" si="62"/>
        <v>0.10405080645161291</v>
      </c>
      <c r="Q147" s="195">
        <v>0.98499999999999999</v>
      </c>
      <c r="R147" s="195">
        <v>0.97750000000000004</v>
      </c>
      <c r="S147" s="196">
        <v>0.99</v>
      </c>
      <c r="T147" s="197">
        <v>1</v>
      </c>
      <c r="U147" s="198">
        <v>1.4999999999999999E-2</v>
      </c>
      <c r="V147" s="197">
        <v>0</v>
      </c>
      <c r="W147" s="198">
        <v>0</v>
      </c>
      <c r="X147" s="197">
        <v>0</v>
      </c>
      <c r="Y147" s="199">
        <f t="shared" si="6"/>
        <v>-8.9397674591569776E-2</v>
      </c>
    </row>
    <row r="148" spans="2:25">
      <c r="B148" s="189" t="s">
        <v>9</v>
      </c>
      <c r="C148" s="190" t="s">
        <v>62</v>
      </c>
      <c r="D148" s="190">
        <v>10</v>
      </c>
      <c r="E148" s="191">
        <v>12</v>
      </c>
      <c r="F148" s="192">
        <v>44255</v>
      </c>
      <c r="G148" s="24">
        <v>1241.0438497416017</v>
      </c>
      <c r="H148" s="24">
        <v>1101.6780000000001</v>
      </c>
      <c r="I148" s="193">
        <v>108.1</v>
      </c>
      <c r="J148" s="194">
        <v>106.51</v>
      </c>
      <c r="K148" s="193">
        <v>137.5</v>
      </c>
      <c r="L148" s="194">
        <v>140.61000000000004</v>
      </c>
      <c r="M148" s="195">
        <f t="shared" si="59"/>
        <v>0.76360181494637847</v>
      </c>
      <c r="N148" s="195">
        <f t="shared" si="60"/>
        <v>0.73028718574218843</v>
      </c>
      <c r="O148" s="195">
        <f t="shared" si="61"/>
        <v>0.18467914430678595</v>
      </c>
      <c r="P148" s="195">
        <f t="shared" si="62"/>
        <v>0.16394017857142859</v>
      </c>
      <c r="Q148" s="195">
        <v>0.98499999999999999</v>
      </c>
      <c r="R148" s="195">
        <v>0.89405357142857156</v>
      </c>
      <c r="S148" s="196">
        <v>0.99</v>
      </c>
      <c r="T148" s="197">
        <v>1</v>
      </c>
      <c r="U148" s="198">
        <v>1.4999999999999999E-2</v>
      </c>
      <c r="V148" s="197">
        <v>0</v>
      </c>
      <c r="W148" s="198">
        <v>0</v>
      </c>
      <c r="X148" s="197">
        <v>0</v>
      </c>
      <c r="Y148" s="199">
        <f t="shared" si="6"/>
        <v>-0.1349154626681851</v>
      </c>
    </row>
    <row r="149" spans="2:25">
      <c r="B149" s="189" t="s">
        <v>9</v>
      </c>
      <c r="C149" s="190" t="s">
        <v>62</v>
      </c>
      <c r="D149" s="190">
        <v>10</v>
      </c>
      <c r="E149" s="191">
        <v>12</v>
      </c>
      <c r="F149" s="192">
        <v>44286</v>
      </c>
      <c r="G149" s="24">
        <v>1661.3077612806503</v>
      </c>
      <c r="H149" s="24">
        <v>1498.6320000000001</v>
      </c>
      <c r="I149" s="193">
        <v>161.4</v>
      </c>
      <c r="J149" s="194">
        <v>155.31</v>
      </c>
      <c r="K149" s="193">
        <v>187.8</v>
      </c>
      <c r="L149" s="194">
        <v>180.7</v>
      </c>
      <c r="M149" s="195">
        <f t="shared" si="59"/>
        <v>0.74840560181235138</v>
      </c>
      <c r="N149" s="195">
        <f t="shared" si="60"/>
        <v>0.69493884741124512</v>
      </c>
      <c r="O149" s="195">
        <f t="shared" si="61"/>
        <v>0.22329405393557128</v>
      </c>
      <c r="P149" s="195">
        <f t="shared" si="62"/>
        <v>0.20142903225806452</v>
      </c>
      <c r="Q149" s="195">
        <v>0.98499999999999999</v>
      </c>
      <c r="R149" s="195">
        <v>0.99450967741935492</v>
      </c>
      <c r="S149" s="196">
        <v>0.99</v>
      </c>
      <c r="T149" s="197">
        <v>1</v>
      </c>
      <c r="U149" s="198">
        <v>1.4999999999999999E-2</v>
      </c>
      <c r="V149" s="197">
        <v>0</v>
      </c>
      <c r="W149" s="198">
        <v>0</v>
      </c>
      <c r="X149" s="197">
        <v>0</v>
      </c>
      <c r="Y149" s="199">
        <f t="shared" si="6"/>
        <v>-6.0114127371781345E-2</v>
      </c>
    </row>
    <row r="150" spans="2:25">
      <c r="B150" s="189" t="s">
        <v>9</v>
      </c>
      <c r="C150" s="190" t="s">
        <v>62</v>
      </c>
      <c r="D150" s="190">
        <v>10</v>
      </c>
      <c r="E150" s="191">
        <v>12</v>
      </c>
      <c r="F150" s="192">
        <v>44316</v>
      </c>
      <c r="G150" s="24">
        <v>1719.1505362021539</v>
      </c>
      <c r="H150" s="24">
        <v>1507.548</v>
      </c>
      <c r="I150" s="193">
        <v>190.2</v>
      </c>
      <c r="J150" s="194">
        <v>179.77000000000004</v>
      </c>
      <c r="K150" s="193">
        <v>194</v>
      </c>
      <c r="L150" s="194">
        <v>185.49999999999997</v>
      </c>
      <c r="M150" s="195">
        <f t="shared" si="59"/>
        <v>0.74971241134288991</v>
      </c>
      <c r="N150" s="195">
        <f t="shared" si="60"/>
        <v>0.68829034704696546</v>
      </c>
      <c r="O150" s="195">
        <f t="shared" si="61"/>
        <v>0.23877090780585472</v>
      </c>
      <c r="P150" s="195">
        <f t="shared" si="62"/>
        <v>0.20938166666666666</v>
      </c>
      <c r="Q150" s="195">
        <v>0.98499999999999999</v>
      </c>
      <c r="R150" s="195">
        <v>0.98395290000000002</v>
      </c>
      <c r="S150" s="196">
        <v>0.99</v>
      </c>
      <c r="T150" s="197">
        <v>0.98850000000000005</v>
      </c>
      <c r="U150" s="198">
        <v>1.4999999999999999E-2</v>
      </c>
      <c r="V150" s="197">
        <v>2.0515610375187707E-2</v>
      </c>
      <c r="W150" s="198">
        <v>0</v>
      </c>
      <c r="X150" s="197">
        <v>0</v>
      </c>
      <c r="Y150" s="199">
        <f t="shared" si="6"/>
        <v>-7.9271086135128566E-2</v>
      </c>
    </row>
    <row r="151" spans="2:25">
      <c r="B151" s="189" t="s">
        <v>9</v>
      </c>
      <c r="C151" s="190" t="s">
        <v>62</v>
      </c>
      <c r="D151" s="190">
        <v>10</v>
      </c>
      <c r="E151" s="191">
        <v>12</v>
      </c>
      <c r="F151" s="192">
        <v>44347</v>
      </c>
      <c r="G151" s="24">
        <v>1741.7453701558663</v>
      </c>
      <c r="H151" s="24">
        <v>1482.6479999999999</v>
      </c>
      <c r="I151" s="193">
        <v>197</v>
      </c>
      <c r="J151" s="194">
        <v>179.44</v>
      </c>
      <c r="K151" s="193">
        <v>197.7</v>
      </c>
      <c r="L151" s="194">
        <v>180.14000000000001</v>
      </c>
      <c r="M151" s="195">
        <f t="shared" si="59"/>
        <v>0.74535045157888746</v>
      </c>
      <c r="N151" s="195">
        <f t="shared" si="60"/>
        <v>0.71587271758283022</v>
      </c>
      <c r="O151" s="195">
        <f t="shared" si="61"/>
        <v>0.23410556050482073</v>
      </c>
      <c r="P151" s="195">
        <f t="shared" si="62"/>
        <v>0.19928064516129029</v>
      </c>
      <c r="Q151" s="195">
        <v>0.98499999999999999</v>
      </c>
      <c r="R151" s="195">
        <v>0.95809999999999995</v>
      </c>
      <c r="S151" s="196">
        <v>0.99</v>
      </c>
      <c r="T151" s="197">
        <v>1</v>
      </c>
      <c r="U151" s="198">
        <v>1.4999999999999999E-2</v>
      </c>
      <c r="V151" s="197">
        <v>1.3533203919053991E-2</v>
      </c>
      <c r="W151" s="198">
        <v>0</v>
      </c>
      <c r="X151" s="197">
        <v>0</v>
      </c>
      <c r="Y151" s="199">
        <f t="shared" si="6"/>
        <v>-5.9935871508687844E-2</v>
      </c>
    </row>
    <row r="152" spans="2:25">
      <c r="B152" s="189" t="s">
        <v>9</v>
      </c>
      <c r="C152" s="190" t="s">
        <v>62</v>
      </c>
      <c r="D152" s="190">
        <v>10</v>
      </c>
      <c r="E152" s="191">
        <v>12</v>
      </c>
      <c r="F152" s="192">
        <v>44377</v>
      </c>
      <c r="G152" s="24">
        <v>1566.4094586750589</v>
      </c>
      <c r="H152" s="24">
        <v>1551.414</v>
      </c>
      <c r="I152" s="193">
        <v>178.9</v>
      </c>
      <c r="J152" s="194">
        <v>182.26999999999998</v>
      </c>
      <c r="K152" s="193">
        <v>177.2</v>
      </c>
      <c r="L152" s="194">
        <v>180.01999999999998</v>
      </c>
      <c r="M152" s="195">
        <f t="shared" si="59"/>
        <v>0.74786653960797356</v>
      </c>
      <c r="N152" s="195">
        <f t="shared" si="60"/>
        <v>0.72755285770598044</v>
      </c>
      <c r="O152" s="195">
        <f t="shared" si="61"/>
        <v>0.21755686926042489</v>
      </c>
      <c r="P152" s="195">
        <f t="shared" si="62"/>
        <v>0.21547416666666669</v>
      </c>
      <c r="Q152" s="195">
        <v>0.98499999999999999</v>
      </c>
      <c r="R152" s="195">
        <v>0.98709999999999998</v>
      </c>
      <c r="S152" s="196">
        <v>0.99</v>
      </c>
      <c r="T152" s="197">
        <v>1</v>
      </c>
      <c r="U152" s="198">
        <v>1.4999999999999999E-2</v>
      </c>
      <c r="V152" s="197">
        <v>1.7999999999999999E-2</v>
      </c>
      <c r="W152" s="198">
        <v>0</v>
      </c>
      <c r="X152" s="197">
        <v>0</v>
      </c>
      <c r="Y152" s="199">
        <f t="shared" si="6"/>
        <v>-2.5487362259454693E-2</v>
      </c>
    </row>
    <row r="153" spans="2:25">
      <c r="B153" s="189" t="s">
        <v>9</v>
      </c>
      <c r="C153" s="190" t="s">
        <v>62</v>
      </c>
      <c r="D153" s="190">
        <v>10</v>
      </c>
      <c r="E153" s="191">
        <v>12</v>
      </c>
      <c r="F153" s="192">
        <v>44408</v>
      </c>
      <c r="G153" s="24">
        <v>1389.2659604779546</v>
      </c>
      <c r="H153" s="24">
        <f>1248018/1000</f>
        <v>1248.018</v>
      </c>
      <c r="I153" s="193">
        <v>155.5</v>
      </c>
      <c r="J153" s="194">
        <v>145.87000000000003</v>
      </c>
      <c r="K153" s="193">
        <v>154.6</v>
      </c>
      <c r="L153" s="194">
        <v>145.22999999999999</v>
      </c>
      <c r="M153" s="195">
        <f t="shared" si="59"/>
        <v>0.76025350091713928</v>
      </c>
      <c r="N153" s="195">
        <f t="shared" si="60"/>
        <v>0.73150816388172413</v>
      </c>
      <c r="O153" s="195">
        <f t="shared" si="61"/>
        <v>0.18672929576316594</v>
      </c>
      <c r="P153" s="195">
        <f t="shared" si="62"/>
        <v>0.1677443548387097</v>
      </c>
      <c r="Q153" s="195">
        <v>0.98499999999999999</v>
      </c>
      <c r="R153" s="195">
        <v>0.9789580645161291</v>
      </c>
      <c r="S153" s="196">
        <v>0.99</v>
      </c>
      <c r="T153" s="197">
        <v>1</v>
      </c>
      <c r="U153" s="198">
        <v>1.4999999999999999E-2</v>
      </c>
      <c r="V153" s="197">
        <v>8.8000000000000005E-3</v>
      </c>
      <c r="W153" s="198">
        <v>0</v>
      </c>
      <c r="X153" s="197">
        <v>0</v>
      </c>
      <c r="Y153" s="199">
        <f t="shared" si="6"/>
        <v>-4.1062908048112079E-2</v>
      </c>
    </row>
    <row r="154" spans="2:25">
      <c r="B154" s="189" t="s">
        <v>9</v>
      </c>
      <c r="C154" s="190" t="s">
        <v>62</v>
      </c>
      <c r="D154" s="190">
        <v>10</v>
      </c>
      <c r="E154" s="191">
        <v>12</v>
      </c>
      <c r="F154" s="192">
        <v>44439</v>
      </c>
      <c r="G154" s="24">
        <v>1319.6738719005205</v>
      </c>
      <c r="H154" s="24">
        <v>1252.47</v>
      </c>
      <c r="I154" s="193">
        <v>145.4</v>
      </c>
      <c r="J154" s="194">
        <v>140.78000000000003</v>
      </c>
      <c r="K154" s="193">
        <v>146.30000000000001</v>
      </c>
      <c r="L154" s="194">
        <v>144.21999999999997</v>
      </c>
      <c r="M154" s="195">
        <f t="shared" si="59"/>
        <v>0.76314105053850612</v>
      </c>
      <c r="N154" s="195">
        <f t="shared" si="60"/>
        <v>0.74070126930264502</v>
      </c>
      <c r="O154" s="195">
        <f t="shared" si="61"/>
        <v>0.1773755204167366</v>
      </c>
      <c r="P154" s="195">
        <f t="shared" si="62"/>
        <v>0.16834274193548387</v>
      </c>
      <c r="Q154" s="195">
        <v>0.98499999999999999</v>
      </c>
      <c r="R154" s="195">
        <v>0.97705161290322562</v>
      </c>
      <c r="S154" s="196">
        <v>0.99</v>
      </c>
      <c r="T154" s="197">
        <v>1</v>
      </c>
      <c r="U154" s="198">
        <v>1.4999999999999999E-2</v>
      </c>
      <c r="V154" s="197">
        <v>4.5999999999999999E-3</v>
      </c>
      <c r="W154" s="198">
        <v>0</v>
      </c>
      <c r="X154" s="197">
        <v>0</v>
      </c>
      <c r="Y154" s="199">
        <f t="shared" ref="Y154:Y240" si="63">(H154/G154-1)-(L154/K154-1)</f>
        <v>-3.6707244357757629E-2</v>
      </c>
    </row>
    <row r="155" spans="2:25">
      <c r="B155" s="189" t="s">
        <v>9</v>
      </c>
      <c r="C155" s="190" t="s">
        <v>62</v>
      </c>
      <c r="D155" s="190">
        <v>10</v>
      </c>
      <c r="E155" s="191">
        <v>12</v>
      </c>
      <c r="F155" s="192">
        <v>44469</v>
      </c>
      <c r="G155" s="24">
        <v>1313.3473183934811</v>
      </c>
      <c r="H155" s="24">
        <v>1200.2819999999999</v>
      </c>
      <c r="I155" s="193">
        <v>141.6</v>
      </c>
      <c r="J155" s="194">
        <v>129.68999999999997</v>
      </c>
      <c r="K155" s="193">
        <v>145.5</v>
      </c>
      <c r="L155" s="194">
        <v>140.90999999999997</v>
      </c>
      <c r="M155" s="195">
        <f t="shared" si="59"/>
        <v>0.76365837993352825</v>
      </c>
      <c r="N155" s="195">
        <f t="shared" si="60"/>
        <v>0.71859042206277945</v>
      </c>
      <c r="O155" s="195">
        <f t="shared" si="61"/>
        <v>0.1824093497768724</v>
      </c>
      <c r="P155" s="195">
        <f t="shared" si="62"/>
        <v>0.16670583333333333</v>
      </c>
      <c r="Q155" s="195">
        <v>0.98499999999999999</v>
      </c>
      <c r="R155" s="195">
        <v>0.98782225888888886</v>
      </c>
      <c r="S155" s="196">
        <v>0.99</v>
      </c>
      <c r="T155" s="197">
        <f>T30</f>
        <v>0.98570000000000002</v>
      </c>
      <c r="U155" s="198">
        <v>1.4999999999999999E-2</v>
      </c>
      <c r="V155" s="197">
        <v>3.8E-3</v>
      </c>
      <c r="W155" s="198">
        <v>0</v>
      </c>
      <c r="X155" s="197">
        <v>0</v>
      </c>
      <c r="Y155" s="199">
        <f t="shared" si="63"/>
        <v>-5.454303547660766E-2</v>
      </c>
    </row>
    <row r="156" spans="2:25">
      <c r="B156" s="189" t="s">
        <v>9</v>
      </c>
      <c r="C156" s="190" t="s">
        <v>62</v>
      </c>
      <c r="D156" s="190">
        <v>10</v>
      </c>
      <c r="E156" s="191">
        <v>12</v>
      </c>
      <c r="F156" s="192">
        <v>44500</v>
      </c>
      <c r="G156" s="24">
        <v>1502.2401302465159</v>
      </c>
      <c r="H156" s="24">
        <v>1373.5319999999999</v>
      </c>
      <c r="I156" s="193">
        <v>139.1</v>
      </c>
      <c r="J156" s="194">
        <v>127.41</v>
      </c>
      <c r="K156" s="193">
        <v>172.2</v>
      </c>
      <c r="L156" s="194">
        <v>162.55999999999997</v>
      </c>
      <c r="M156" s="195">
        <f t="shared" si="59"/>
        <v>0.7380550152434191</v>
      </c>
      <c r="N156" s="195">
        <f t="shared" si="60"/>
        <v>0.71562721187422373</v>
      </c>
      <c r="O156" s="195">
        <f t="shared" si="61"/>
        <v>0.20191399600087584</v>
      </c>
      <c r="P156" s="195">
        <f t="shared" si="62"/>
        <v>0.18461451612903226</v>
      </c>
      <c r="Q156" s="195">
        <v>0.98499999999999999</v>
      </c>
      <c r="R156" s="195">
        <v>0.98391368000000001</v>
      </c>
      <c r="S156" s="196">
        <v>0.99</v>
      </c>
      <c r="T156" s="197">
        <v>0.99912580645161286</v>
      </c>
      <c r="U156" s="198">
        <v>1.4999999999999999E-2</v>
      </c>
      <c r="V156" s="197">
        <v>2.2200000000000001E-2</v>
      </c>
      <c r="W156" s="198">
        <v>0</v>
      </c>
      <c r="X156" s="197">
        <v>0</v>
      </c>
      <c r="Y156" s="199">
        <f t="shared" si="63"/>
        <v>-2.9696050749414393E-2</v>
      </c>
    </row>
    <row r="157" spans="2:25">
      <c r="B157" s="189" t="s">
        <v>9</v>
      </c>
      <c r="C157" s="190" t="s">
        <v>62</v>
      </c>
      <c r="D157" s="190">
        <v>10</v>
      </c>
      <c r="E157" s="191">
        <v>12</v>
      </c>
      <c r="F157" s="192">
        <v>44530</v>
      </c>
      <c r="G157" s="24">
        <v>1328.7118054820053</v>
      </c>
      <c r="H157" s="24">
        <v>1237.6679999999999</v>
      </c>
      <c r="I157" s="193">
        <v>108.1</v>
      </c>
      <c r="J157" s="194">
        <v>103.86999999999999</v>
      </c>
      <c r="K157" s="193">
        <v>152.1</v>
      </c>
      <c r="L157" s="194">
        <v>152.04999999999998</v>
      </c>
      <c r="M157" s="195">
        <f t="shared" si="59"/>
        <v>0.73906749693907703</v>
      </c>
      <c r="N157" s="195">
        <f t="shared" si="60"/>
        <v>0.68592294633749451</v>
      </c>
      <c r="O157" s="195">
        <f t="shared" si="61"/>
        <v>0.18454330631694518</v>
      </c>
      <c r="P157" s="195">
        <f t="shared" si="62"/>
        <v>0.17189833333333332</v>
      </c>
      <c r="Q157" s="195">
        <v>0.98499999999999999</v>
      </c>
      <c r="R157" s="195">
        <v>0.98892000000000002</v>
      </c>
      <c r="S157" s="196">
        <v>0.99</v>
      </c>
      <c r="T157" s="197">
        <v>1</v>
      </c>
      <c r="U157" s="198">
        <v>1.4999999999999999E-2</v>
      </c>
      <c r="V157" s="197">
        <v>2.1100000000000001E-2</v>
      </c>
      <c r="W157" s="198">
        <v>0</v>
      </c>
      <c r="X157" s="197">
        <v>0</v>
      </c>
      <c r="Y157" s="199">
        <f t="shared" si="63"/>
        <v>-6.81916245625932E-2</v>
      </c>
    </row>
    <row r="158" spans="2:25">
      <c r="B158" s="189" t="s">
        <v>9</v>
      </c>
      <c r="C158" s="190" t="s">
        <v>62</v>
      </c>
      <c r="D158" s="190">
        <v>10</v>
      </c>
      <c r="E158" s="191">
        <v>12</v>
      </c>
      <c r="F158" s="192">
        <v>44561</v>
      </c>
      <c r="G158" s="24">
        <v>1113.6089862426643</v>
      </c>
      <c r="H158" s="24">
        <v>1039.548</v>
      </c>
      <c r="I158" s="193">
        <v>89.9</v>
      </c>
      <c r="J158" s="194">
        <v>82.52000000000001</v>
      </c>
      <c r="K158" s="193">
        <v>129.6</v>
      </c>
      <c r="L158" s="194">
        <v>124.14</v>
      </c>
      <c r="M158" s="195">
        <f t="shared" si="59"/>
        <v>0.72695955422036851</v>
      </c>
      <c r="N158" s="195">
        <f t="shared" si="60"/>
        <v>0.70313381335394654</v>
      </c>
      <c r="O158" s="195">
        <f t="shared" si="61"/>
        <v>0.14967862718315381</v>
      </c>
      <c r="P158" s="195">
        <f t="shared" si="62"/>
        <v>0.13972419354838711</v>
      </c>
      <c r="Q158" s="195">
        <v>0.98499999999999999</v>
      </c>
      <c r="R158" s="195">
        <v>0.99246129032258068</v>
      </c>
      <c r="S158" s="196">
        <v>0.99</v>
      </c>
      <c r="T158" s="197">
        <v>1</v>
      </c>
      <c r="U158" s="198">
        <v>1.4999999999999999E-2</v>
      </c>
      <c r="V158" s="197">
        <v>2.2200000000000001E-2</v>
      </c>
      <c r="W158" s="198">
        <v>0</v>
      </c>
      <c r="X158" s="197">
        <v>0</v>
      </c>
      <c r="Y158" s="199">
        <f t="shared" si="63"/>
        <v>-2.4375748072599013E-2</v>
      </c>
    </row>
    <row r="159" spans="2:25">
      <c r="B159" s="189" t="s">
        <v>9</v>
      </c>
      <c r="C159" s="190" t="s">
        <v>62</v>
      </c>
      <c r="D159" s="190">
        <v>10</v>
      </c>
      <c r="E159" s="191">
        <v>12</v>
      </c>
      <c r="F159" s="192">
        <v>44592</v>
      </c>
      <c r="G159" s="24">
        <v>943.47372769298295</v>
      </c>
      <c r="H159" s="24">
        <v>664.36199999999997</v>
      </c>
      <c r="I159" s="193">
        <v>79.599999999999994</v>
      </c>
      <c r="J159" s="194">
        <v>56.830000000000005</v>
      </c>
      <c r="K159" s="193">
        <v>103.2</v>
      </c>
      <c r="L159" s="194">
        <v>72.97</v>
      </c>
      <c r="M159" s="195">
        <f t="shared" si="59"/>
        <v>0.773450700833057</v>
      </c>
      <c r="N159" s="195">
        <f t="shared" si="60"/>
        <v>0.76762030620013311</v>
      </c>
      <c r="O159" s="195">
        <f t="shared" si="61"/>
        <v>0.12681098490497084</v>
      </c>
      <c r="P159" s="195">
        <f t="shared" si="62"/>
        <v>8.9295967741935475E-2</v>
      </c>
      <c r="Q159" s="195">
        <v>0.98499999999999999</v>
      </c>
      <c r="R159" s="195">
        <v>0.98839999999999995</v>
      </c>
      <c r="S159" s="196">
        <v>0.99</v>
      </c>
      <c r="T159" s="197">
        <v>1</v>
      </c>
      <c r="U159" s="198">
        <v>1.4999999999999999E-2</v>
      </c>
      <c r="V159" s="197">
        <v>0</v>
      </c>
      <c r="W159" s="198">
        <v>0</v>
      </c>
      <c r="X159" s="197">
        <v>0</v>
      </c>
      <c r="Y159" s="199">
        <f t="shared" si="63"/>
        <v>-2.9077715910589275E-3</v>
      </c>
    </row>
    <row r="160" spans="2:25">
      <c r="B160" s="189" t="s">
        <v>9</v>
      </c>
      <c r="C160" s="190" t="s">
        <v>62</v>
      </c>
      <c r="D160" s="190">
        <v>10</v>
      </c>
      <c r="E160" s="191">
        <v>12</v>
      </c>
      <c r="F160" s="192">
        <v>44620</v>
      </c>
      <c r="G160" s="24">
        <v>1234.8386304928936</v>
      </c>
      <c r="H160" s="24">
        <v>1244.4000000000001</v>
      </c>
      <c r="I160" s="193">
        <v>108.1</v>
      </c>
      <c r="J160" s="194">
        <v>106.95000000000002</v>
      </c>
      <c r="K160" s="193">
        <v>137.5</v>
      </c>
      <c r="L160" s="194">
        <v>143.46</v>
      </c>
      <c r="M160" s="195">
        <f t="shared" si="59"/>
        <v>0.75978380587164662</v>
      </c>
      <c r="N160" s="195">
        <f t="shared" si="60"/>
        <v>0.73272380475061527</v>
      </c>
      <c r="O160" s="195">
        <f t="shared" si="61"/>
        <v>0.18375574858525201</v>
      </c>
      <c r="P160" s="195">
        <f t="shared" si="62"/>
        <v>0.18517857142857144</v>
      </c>
      <c r="Q160" s="195">
        <v>0.98499999999999999</v>
      </c>
      <c r="R160" s="195">
        <v>0.98652393999999999</v>
      </c>
      <c r="S160" s="196">
        <v>0.99</v>
      </c>
      <c r="T160" s="197">
        <v>0.99790000000000001</v>
      </c>
      <c r="U160" s="198">
        <v>1.4999999999999999E-2</v>
      </c>
      <c r="V160" s="197">
        <v>1.18E-2</v>
      </c>
      <c r="W160" s="198">
        <v>0</v>
      </c>
      <c r="X160" s="197">
        <v>0</v>
      </c>
      <c r="Y160" s="199">
        <f t="shared" si="63"/>
        <v>-3.5602443215067225E-2</v>
      </c>
    </row>
    <row r="161" spans="2:25">
      <c r="B161" s="189" t="s">
        <v>9</v>
      </c>
      <c r="C161" s="190" t="s">
        <v>62</v>
      </c>
      <c r="D161" s="190">
        <v>10</v>
      </c>
      <c r="E161" s="191">
        <v>12</v>
      </c>
      <c r="F161" s="192">
        <v>44651</v>
      </c>
      <c r="G161" s="24">
        <v>1653.001222474247</v>
      </c>
      <c r="H161" s="24">
        <f>[1]Database!$I$430/1000</f>
        <v>1546.296</v>
      </c>
      <c r="I161" s="193">
        <v>161.4</v>
      </c>
      <c r="J161" s="194">
        <v>158.37</v>
      </c>
      <c r="K161" s="193">
        <v>187.8</v>
      </c>
      <c r="L161" s="194">
        <v>188.27999999999997</v>
      </c>
      <c r="M161" s="195">
        <f t="shared" si="59"/>
        <v>0.74466357380328951</v>
      </c>
      <c r="N161" s="195">
        <f t="shared" si="60"/>
        <v>0.70958587978175303</v>
      </c>
      <c r="O161" s="195">
        <f t="shared" si="61"/>
        <v>0.22217758366589341</v>
      </c>
      <c r="P161" s="195">
        <f t="shared" si="62"/>
        <v>0.20783548387096773</v>
      </c>
      <c r="Q161" s="195">
        <v>0.98499999999999999</v>
      </c>
      <c r="R161" s="195">
        <v>0.96450000000000002</v>
      </c>
      <c r="S161" s="196">
        <v>0.99</v>
      </c>
      <c r="T161" s="197">
        <v>1</v>
      </c>
      <c r="U161" s="198">
        <v>1.4999999999999999E-2</v>
      </c>
      <c r="V161" s="197">
        <v>1.1177586172229186E-2</v>
      </c>
      <c r="W161" s="198">
        <v>0</v>
      </c>
      <c r="X161" s="197">
        <v>0</v>
      </c>
      <c r="Y161" s="199">
        <f t="shared" si="63"/>
        <v>-6.7108326490245673E-2</v>
      </c>
    </row>
    <row r="162" spans="2:25">
      <c r="B162" s="189" t="s">
        <v>9</v>
      </c>
      <c r="C162" s="190" t="s">
        <v>62</v>
      </c>
      <c r="D162" s="190">
        <v>10</v>
      </c>
      <c r="E162" s="191">
        <v>12</v>
      </c>
      <c r="F162" s="192">
        <v>44681</v>
      </c>
      <c r="G162" s="24">
        <v>1710.554783521143</v>
      </c>
      <c r="H162" s="24">
        <v>1527.5640000000001</v>
      </c>
      <c r="I162" s="193">
        <v>190.2</v>
      </c>
      <c r="J162" s="194">
        <v>168.23000000000002</v>
      </c>
      <c r="K162" s="193">
        <v>194</v>
      </c>
      <c r="L162" s="194">
        <v>184.26</v>
      </c>
      <c r="M162" s="195">
        <f t="shared" si="59"/>
        <v>0.74596384928617532</v>
      </c>
      <c r="N162" s="195">
        <f t="shared" si="60"/>
        <v>0.6925173547959802</v>
      </c>
      <c r="O162" s="195">
        <f t="shared" si="61"/>
        <v>0.23757705326682541</v>
      </c>
      <c r="P162" s="195">
        <f t="shared" si="62"/>
        <v>0.21216166666666667</v>
      </c>
      <c r="Q162" s="195">
        <v>0.98499999999999999</v>
      </c>
      <c r="R162" s="195">
        <v>0.99760000000000004</v>
      </c>
      <c r="S162" s="196">
        <v>0.99</v>
      </c>
      <c r="T162" s="197">
        <v>1</v>
      </c>
      <c r="U162" s="198">
        <v>1.4999999999999999E-2</v>
      </c>
      <c r="V162" s="197">
        <v>2.1000000000000001E-2</v>
      </c>
      <c r="W162" s="198">
        <v>0</v>
      </c>
      <c r="X162" s="197">
        <v>0</v>
      </c>
      <c r="Y162" s="199">
        <f t="shared" si="63"/>
        <v>-5.6771261331509892E-2</v>
      </c>
    </row>
    <row r="163" spans="2:25">
      <c r="B163" s="189" t="s">
        <v>9</v>
      </c>
      <c r="C163" s="190" t="s">
        <v>62</v>
      </c>
      <c r="D163" s="190">
        <v>10</v>
      </c>
      <c r="E163" s="191">
        <v>12</v>
      </c>
      <c r="F163" s="192">
        <v>44712</v>
      </c>
      <c r="G163" s="24">
        <v>1733.036643305087</v>
      </c>
      <c r="H163" s="24">
        <v>1521.4739999999999</v>
      </c>
      <c r="I163" s="193">
        <v>197</v>
      </c>
      <c r="J163" s="194">
        <v>179.49</v>
      </c>
      <c r="K163" s="193">
        <v>197.7</v>
      </c>
      <c r="L163" s="194">
        <v>186.24</v>
      </c>
      <c r="M163" s="195">
        <f t="shared" si="59"/>
        <v>0.74162369932099315</v>
      </c>
      <c r="N163" s="195">
        <f t="shared" si="60"/>
        <v>0.70905392440933956</v>
      </c>
      <c r="O163" s="195">
        <f t="shared" si="61"/>
        <v>0.23293503270229662</v>
      </c>
      <c r="P163" s="195">
        <f t="shared" si="62"/>
        <v>0.20449919354838708</v>
      </c>
      <c r="Q163" s="195">
        <v>0.98499999999999999</v>
      </c>
      <c r="R163" s="195">
        <v>0.96013225806451619</v>
      </c>
      <c r="S163" s="196">
        <v>0.99</v>
      </c>
      <c r="T163" s="197">
        <v>1</v>
      </c>
      <c r="U163" s="198">
        <v>1.4999999999999999E-2</v>
      </c>
      <c r="V163" s="197">
        <v>8.0000000000000002E-3</v>
      </c>
      <c r="W163" s="198">
        <v>0</v>
      </c>
      <c r="X163" s="197">
        <v>0</v>
      </c>
      <c r="Y163" s="199">
        <f t="shared" si="63"/>
        <v>-6.4109650520450479E-2</v>
      </c>
    </row>
    <row r="164" spans="2:25">
      <c r="B164" s="189" t="s">
        <v>9</v>
      </c>
      <c r="C164" s="190" t="s">
        <v>62</v>
      </c>
      <c r="D164" s="190">
        <v>10</v>
      </c>
      <c r="E164" s="191">
        <v>12</v>
      </c>
      <c r="F164" s="192">
        <v>44742</v>
      </c>
      <c r="G164" s="24">
        <v>1558.5774113816835</v>
      </c>
      <c r="H164" s="24">
        <v>1397.8320000000001</v>
      </c>
      <c r="I164" s="193">
        <v>178.9</v>
      </c>
      <c r="J164" s="194">
        <v>167.48000000000002</v>
      </c>
      <c r="K164" s="193">
        <v>177.2</v>
      </c>
      <c r="L164" s="194">
        <v>166.64999999999998</v>
      </c>
      <c r="M164" s="195">
        <f t="shared" si="59"/>
        <v>0.74412720690993361</v>
      </c>
      <c r="N164" s="195">
        <f t="shared" si="60"/>
        <v>0.70166221603624956</v>
      </c>
      <c r="O164" s="195">
        <f t="shared" si="61"/>
        <v>0.21646908491412273</v>
      </c>
      <c r="P164" s="195">
        <f t="shared" si="62"/>
        <v>0.19414333333333333</v>
      </c>
      <c r="Q164" s="195">
        <v>0.98499999999999999</v>
      </c>
      <c r="R164" s="195">
        <v>0.99618574666666659</v>
      </c>
      <c r="S164" s="196">
        <v>0.99</v>
      </c>
      <c r="T164" s="197">
        <v>0.99919999999999998</v>
      </c>
      <c r="U164" s="198">
        <v>1.4999999999999999E-2</v>
      </c>
      <c r="V164" s="197">
        <v>1.1299999999999999E-2</v>
      </c>
      <c r="W164" s="198">
        <v>0</v>
      </c>
      <c r="X164" s="197">
        <v>0</v>
      </c>
      <c r="Y164" s="199">
        <f t="shared" si="63"/>
        <v>-4.3598735652512821E-2</v>
      </c>
    </row>
    <row r="165" spans="2:25">
      <c r="B165" s="189" t="s">
        <v>9</v>
      </c>
      <c r="C165" s="190" t="s">
        <v>62</v>
      </c>
      <c r="D165" s="190">
        <v>10</v>
      </c>
      <c r="E165" s="191">
        <v>12</v>
      </c>
      <c r="F165" s="192">
        <v>44773</v>
      </c>
      <c r="G165" s="24">
        <v>1382.3196306755649</v>
      </c>
      <c r="H165" s="24">
        <v>1323.5039999999999</v>
      </c>
      <c r="I165" s="193">
        <v>155.5</v>
      </c>
      <c r="J165" s="194">
        <v>150.19</v>
      </c>
      <c r="K165" s="193">
        <v>154.6</v>
      </c>
      <c r="L165" s="194">
        <v>151.57000000000002</v>
      </c>
      <c r="M165" s="195">
        <f t="shared" si="59"/>
        <v>0.75645223341255363</v>
      </c>
      <c r="N165" s="195">
        <f t="shared" si="60"/>
        <v>0.73828798801451734</v>
      </c>
      <c r="O165" s="195">
        <f t="shared" si="61"/>
        <v>0.18579564928435011</v>
      </c>
      <c r="P165" s="195">
        <f t="shared" si="62"/>
        <v>0.17789032258064513</v>
      </c>
      <c r="Q165" s="195">
        <v>0.98499999999999999</v>
      </c>
      <c r="R165" s="195">
        <v>0.98560967741935479</v>
      </c>
      <c r="S165" s="196">
        <v>0.99</v>
      </c>
      <c r="T165" s="197">
        <v>1</v>
      </c>
      <c r="U165" s="198">
        <v>1.4999999999999999E-2</v>
      </c>
      <c r="V165" s="197">
        <v>6.7999999999999996E-3</v>
      </c>
      <c r="W165" s="198">
        <v>0</v>
      </c>
      <c r="X165" s="197">
        <v>0</v>
      </c>
      <c r="Y165" s="199">
        <f t="shared" si="63"/>
        <v>-2.2949537728321201E-2</v>
      </c>
    </row>
    <row r="166" spans="2:25">
      <c r="B166" s="189" t="s">
        <v>9</v>
      </c>
      <c r="C166" s="190" t="s">
        <v>62</v>
      </c>
      <c r="D166" s="190">
        <v>10</v>
      </c>
      <c r="E166" s="191">
        <v>12</v>
      </c>
      <c r="F166" s="192">
        <v>44804</v>
      </c>
      <c r="G166" s="24">
        <v>1313.0755025410178</v>
      </c>
      <c r="H166" s="24">
        <v>1392.846</v>
      </c>
      <c r="I166" s="193">
        <v>145.4</v>
      </c>
      <c r="J166" s="194">
        <v>155.39000000000001</v>
      </c>
      <c r="K166" s="193">
        <v>146.30000000000001</v>
      </c>
      <c r="L166" s="194">
        <v>162.41</v>
      </c>
      <c r="M166" s="195">
        <f t="shared" si="59"/>
        <v>0.75932534528581364</v>
      </c>
      <c r="N166" s="195">
        <f t="shared" si="60"/>
        <v>0.73115270034013513</v>
      </c>
      <c r="O166" s="195">
        <f t="shared" si="61"/>
        <v>0.17648864281465296</v>
      </c>
      <c r="P166" s="195">
        <f t="shared" si="62"/>
        <v>0.18721048387096773</v>
      </c>
      <c r="Q166" s="195">
        <v>0.98499999999999999</v>
      </c>
      <c r="R166" s="195">
        <v>0.97746451612903218</v>
      </c>
      <c r="S166" s="196">
        <v>0.99</v>
      </c>
      <c r="T166" s="197">
        <v>1</v>
      </c>
      <c r="U166" s="198">
        <v>1.4999999999999999E-2</v>
      </c>
      <c r="V166" s="197">
        <v>1.3100000000000001E-2</v>
      </c>
      <c r="W166" s="198">
        <v>0</v>
      </c>
      <c r="X166" s="197">
        <v>0</v>
      </c>
      <c r="Y166" s="199">
        <f t="shared" si="63"/>
        <v>-4.9365315650145902E-2</v>
      </c>
    </row>
    <row r="167" spans="2:25">
      <c r="B167" s="189" t="s">
        <v>9</v>
      </c>
      <c r="C167" s="190" t="s">
        <v>62</v>
      </c>
      <c r="D167" s="190">
        <v>10</v>
      </c>
      <c r="E167" s="191">
        <v>12</v>
      </c>
      <c r="F167" s="192">
        <v>44834</v>
      </c>
      <c r="G167" s="24">
        <v>1306.7805818015136</v>
      </c>
      <c r="H167" s="24">
        <v>1179.4380000000001</v>
      </c>
      <c r="I167" s="193">
        <v>141.6</v>
      </c>
      <c r="J167" s="194">
        <v>124.96999999999997</v>
      </c>
      <c r="K167" s="193">
        <v>145.5</v>
      </c>
      <c r="L167" s="194">
        <v>137.80000000000001</v>
      </c>
      <c r="M167" s="195">
        <f t="shared" si="59"/>
        <v>0.75984008803386049</v>
      </c>
      <c r="N167" s="195">
        <f t="shared" si="60"/>
        <v>0.72452101882384301</v>
      </c>
      <c r="O167" s="195">
        <f t="shared" si="61"/>
        <v>0.181497303027988</v>
      </c>
      <c r="P167" s="195">
        <f t="shared" si="62"/>
        <v>0.16381083333333335</v>
      </c>
      <c r="Q167" s="195">
        <v>0.98499999999999999</v>
      </c>
      <c r="R167" s="195">
        <v>0.98444999999999971</v>
      </c>
      <c r="S167" s="196">
        <v>0.99</v>
      </c>
      <c r="T167" s="197">
        <v>1</v>
      </c>
      <c r="U167" s="198">
        <v>1.4999999999999999E-2</v>
      </c>
      <c r="V167" s="197">
        <v>1.0200000000000001E-2</v>
      </c>
      <c r="W167" s="198">
        <v>0</v>
      </c>
      <c r="X167" s="197">
        <v>0</v>
      </c>
      <c r="Y167" s="199">
        <f t="shared" si="63"/>
        <v>-4.4526599828247027E-2</v>
      </c>
    </row>
    <row r="168" spans="2:25">
      <c r="B168" s="189" t="s">
        <v>9</v>
      </c>
      <c r="C168" s="190" t="s">
        <v>62</v>
      </c>
      <c r="D168" s="190">
        <v>10</v>
      </c>
      <c r="E168" s="191">
        <v>12</v>
      </c>
      <c r="F168" s="192">
        <v>44865</v>
      </c>
      <c r="G168" s="24">
        <v>1494.7289295952833</v>
      </c>
      <c r="H168" s="24">
        <v>1360.6980000000001</v>
      </c>
      <c r="I168" s="193">
        <v>139.1</v>
      </c>
      <c r="J168" s="194">
        <v>131.32999999999998</v>
      </c>
      <c r="K168" s="193">
        <v>172.2</v>
      </c>
      <c r="L168" s="194">
        <v>163.07999999999998</v>
      </c>
      <c r="M168" s="195">
        <f t="shared" si="59"/>
        <v>0.73436474016720188</v>
      </c>
      <c r="N168" s="195">
        <f t="shared" si="60"/>
        <v>0.69902824107928418</v>
      </c>
      <c r="O168" s="195">
        <f t="shared" si="61"/>
        <v>0.20090442602087139</v>
      </c>
      <c r="P168" s="195">
        <f t="shared" si="62"/>
        <v>0.18288951612903229</v>
      </c>
      <c r="Q168" s="195">
        <v>0.98499999999999999</v>
      </c>
      <c r="R168" s="195">
        <v>0.99468387096774191</v>
      </c>
      <c r="S168" s="196">
        <v>0.99</v>
      </c>
      <c r="T168" s="197">
        <v>1</v>
      </c>
      <c r="U168" s="198">
        <v>1.4999999999999999E-2</v>
      </c>
      <c r="V168" s="197">
        <v>1.7429924472136302E-2</v>
      </c>
      <c r="W168" s="198">
        <v>0</v>
      </c>
      <c r="X168" s="197">
        <v>0</v>
      </c>
      <c r="Y168" s="199">
        <f t="shared" si="63"/>
        <v>-3.6707381855316856E-2</v>
      </c>
    </row>
    <row r="169" spans="2:25">
      <c r="B169" s="189" t="s">
        <v>9</v>
      </c>
      <c r="C169" s="190" t="s">
        <v>62</v>
      </c>
      <c r="D169" s="190">
        <v>10</v>
      </c>
      <c r="E169" s="191">
        <v>12</v>
      </c>
      <c r="F169" s="192">
        <v>44895</v>
      </c>
      <c r="G169" s="24">
        <v>1322.0682464545951</v>
      </c>
      <c r="H169" s="24">
        <v>1110.0360000000001</v>
      </c>
      <c r="I169" s="193">
        <v>108.1</v>
      </c>
      <c r="J169" s="194">
        <v>91.19</v>
      </c>
      <c r="K169" s="193">
        <v>152.1</v>
      </c>
      <c r="L169" s="194">
        <v>137.23000000000002</v>
      </c>
      <c r="M169" s="195">
        <f t="shared" si="59"/>
        <v>0.73537215945438161</v>
      </c>
      <c r="N169" s="195">
        <f t="shared" si="60"/>
        <v>0.67630226776562985</v>
      </c>
      <c r="O169" s="195">
        <f t="shared" si="61"/>
        <v>0.18362058978536042</v>
      </c>
      <c r="P169" s="195">
        <f t="shared" si="62"/>
        <v>0.15417166666666665</v>
      </c>
      <c r="Q169" s="195">
        <v>0.98499999999999999</v>
      </c>
      <c r="R169" s="195">
        <v>0.99670333333333327</v>
      </c>
      <c r="S169" s="196">
        <v>0.99</v>
      </c>
      <c r="T169" s="197">
        <v>1</v>
      </c>
      <c r="U169" s="198">
        <v>1.4999999999999999E-2</v>
      </c>
      <c r="V169" s="197">
        <v>2.53E-2</v>
      </c>
      <c r="W169" s="198">
        <v>0</v>
      </c>
      <c r="X169" s="197">
        <v>0</v>
      </c>
      <c r="Y169" s="199">
        <f t="shared" si="63"/>
        <v>-6.26145705152098E-2</v>
      </c>
    </row>
    <row r="170" spans="2:25">
      <c r="B170" s="189" t="s">
        <v>9</v>
      </c>
      <c r="C170" s="190" t="s">
        <v>62</v>
      </c>
      <c r="D170" s="190">
        <v>10</v>
      </c>
      <c r="E170" s="191">
        <v>12</v>
      </c>
      <c r="F170" s="192">
        <v>44926</v>
      </c>
      <c r="G170" s="24">
        <v>1108.040941311451</v>
      </c>
      <c r="H170" s="24">
        <v>983.44200000000001</v>
      </c>
      <c r="I170" s="193">
        <v>89.9</v>
      </c>
      <c r="J170" s="194">
        <v>72.790000000000006</v>
      </c>
      <c r="K170" s="193">
        <v>129.6</v>
      </c>
      <c r="L170" s="194">
        <v>115.19000000000001</v>
      </c>
      <c r="M170" s="195">
        <f t="shared" si="59"/>
        <v>0.72332475644926664</v>
      </c>
      <c r="N170" s="195">
        <f t="shared" si="60"/>
        <v>0.71251405234033838</v>
      </c>
      <c r="O170" s="195">
        <f t="shared" si="61"/>
        <v>0.14893023404723801</v>
      </c>
      <c r="P170" s="195">
        <f t="shared" si="62"/>
        <v>0.13218306451612905</v>
      </c>
      <c r="Q170" s="195">
        <v>0.98499999999999999</v>
      </c>
      <c r="R170" s="195">
        <v>0.99852580645161293</v>
      </c>
      <c r="S170" s="196">
        <v>0.99</v>
      </c>
      <c r="T170" s="197">
        <v>1</v>
      </c>
      <c r="U170" s="198">
        <v>1.4999999999999999E-2</v>
      </c>
      <c r="V170" s="197">
        <v>1.9300000000000001E-2</v>
      </c>
      <c r="W170" s="198">
        <v>0</v>
      </c>
      <c r="X170" s="197">
        <v>0</v>
      </c>
      <c r="Y170" s="199">
        <f t="shared" si="63"/>
        <v>-1.2614914552413481E-3</v>
      </c>
    </row>
    <row r="171" spans="2:25">
      <c r="B171" s="189" t="s">
        <v>9</v>
      </c>
      <c r="C171" s="190" t="s">
        <v>62</v>
      </c>
      <c r="D171" s="190">
        <v>10</v>
      </c>
      <c r="E171" s="191">
        <v>12</v>
      </c>
      <c r="F171" s="192">
        <v>44957</v>
      </c>
      <c r="G171" s="24">
        <v>938.75635905451804</v>
      </c>
      <c r="H171" s="24">
        <v>752.04</v>
      </c>
      <c r="I171" s="193">
        <v>79.599999999999994</v>
      </c>
      <c r="J171" s="194">
        <v>61.790000000000006</v>
      </c>
      <c r="K171" s="193">
        <v>103.2</v>
      </c>
      <c r="L171" s="194">
        <v>85.230000000000018</v>
      </c>
      <c r="M171" s="195">
        <f t="shared" si="59"/>
        <v>0.76958344732889172</v>
      </c>
      <c r="N171" s="195">
        <f t="shared" si="60"/>
        <v>0.74157677445898851</v>
      </c>
      <c r="O171" s="195">
        <f t="shared" si="61"/>
        <v>0.126176929980446</v>
      </c>
      <c r="P171" s="195">
        <f t="shared" si="62"/>
        <v>0.10108064516129031</v>
      </c>
      <c r="Q171" s="195">
        <v>0.98499999999999999</v>
      </c>
      <c r="R171" s="195">
        <v>0.99154193548387104</v>
      </c>
      <c r="S171" s="196">
        <v>0.99</v>
      </c>
      <c r="T171" s="197">
        <v>1</v>
      </c>
      <c r="U171" s="198">
        <v>1.4999999999999999E-2</v>
      </c>
      <c r="V171" s="197">
        <v>1.0999999999999999E-2</v>
      </c>
      <c r="W171" s="198">
        <v>0</v>
      </c>
      <c r="X171" s="197">
        <v>0</v>
      </c>
      <c r="Y171" s="199">
        <f t="shared" si="63"/>
        <v>-2.4769663466956748E-2</v>
      </c>
    </row>
    <row r="172" spans="2:25">
      <c r="B172" s="189" t="s">
        <v>9</v>
      </c>
      <c r="C172" s="190" t="s">
        <v>62</v>
      </c>
      <c r="D172" s="190">
        <v>10</v>
      </c>
      <c r="E172" s="191">
        <v>12</v>
      </c>
      <c r="F172" s="192">
        <v>44985</v>
      </c>
      <c r="G172" s="24">
        <v>1228.664437340429</v>
      </c>
      <c r="H172" s="24">
        <v>1237.7280000000001</v>
      </c>
      <c r="I172" s="193">
        <v>108.1</v>
      </c>
      <c r="J172" s="194">
        <v>104.71000000000002</v>
      </c>
      <c r="K172" s="193">
        <v>137.5</v>
      </c>
      <c r="L172" s="194">
        <v>146.39999999999998</v>
      </c>
      <c r="M172" s="195">
        <f t="shared" si="59"/>
        <v>0.75598488684228826</v>
      </c>
      <c r="N172" s="195">
        <f t="shared" si="60"/>
        <v>0.70715209732113549</v>
      </c>
      <c r="O172" s="195">
        <f t="shared" si="61"/>
        <v>0.18283696984232573</v>
      </c>
      <c r="P172" s="195">
        <f t="shared" si="62"/>
        <v>0.18418571428571429</v>
      </c>
      <c r="Q172" s="195">
        <v>0.98499999999999999</v>
      </c>
      <c r="R172" s="195">
        <v>0.99629983676020406</v>
      </c>
      <c r="S172" s="196">
        <v>0.99</v>
      </c>
      <c r="T172" s="197">
        <v>0.99800357142857143</v>
      </c>
      <c r="U172" s="198">
        <v>1.4999999999999999E-2</v>
      </c>
      <c r="V172" s="197">
        <v>1.8599999999999998E-2</v>
      </c>
      <c r="W172" s="198">
        <v>0</v>
      </c>
      <c r="X172" s="197">
        <v>0</v>
      </c>
      <c r="Y172" s="199">
        <f t="shared" si="63"/>
        <v>-5.7350512739663406E-2</v>
      </c>
    </row>
    <row r="173" spans="2:25">
      <c r="B173" s="189" t="s">
        <v>9</v>
      </c>
      <c r="C173" s="190" t="s">
        <v>62</v>
      </c>
      <c r="D173" s="200">
        <v>10</v>
      </c>
      <c r="E173" s="201">
        <v>12</v>
      </c>
      <c r="F173" s="192">
        <f t="shared" ref="F173:F186" si="64">F76</f>
        <v>45016</v>
      </c>
      <c r="G173" s="24">
        <v>1644.7362163618757</v>
      </c>
      <c r="H173" s="24">
        <v>1420.806</v>
      </c>
      <c r="I173" s="24">
        <v>161.4</v>
      </c>
      <c r="J173" s="24">
        <v>142.55000000000001</v>
      </c>
      <c r="K173" s="193">
        <v>187.8</v>
      </c>
      <c r="L173" s="194">
        <v>171.12999999999997</v>
      </c>
      <c r="M173" s="195">
        <f t="shared" ref="M173:M182" si="65">G173/E173/K173/Q173</f>
        <v>0.74094025593427315</v>
      </c>
      <c r="N173" s="195">
        <f t="shared" ref="N173:N182" si="66">H173/E173/L173/R173</f>
        <v>0.70037397534001822</v>
      </c>
      <c r="O173" s="195">
        <f t="shared" ref="O173:O182" si="67">G173/24/DAY(F173)/D173</f>
        <v>0.22106669574756393</v>
      </c>
      <c r="P173" s="195">
        <f t="shared" ref="P173:P182" si="68">H173/24/DAY(F173)/D173</f>
        <v>0.19096854838709679</v>
      </c>
      <c r="Q173" s="195">
        <v>0.98499999999999999</v>
      </c>
      <c r="R173" s="195">
        <v>0.98786451612903237</v>
      </c>
      <c r="S173" s="195">
        <v>0.99</v>
      </c>
      <c r="T173" s="195">
        <v>1</v>
      </c>
      <c r="U173" s="198">
        <v>1.4999999999999999E-2</v>
      </c>
      <c r="V173" s="197">
        <v>-1.4200000000000001E-2</v>
      </c>
      <c r="W173" s="198">
        <v>0</v>
      </c>
      <c r="X173" s="197">
        <v>0</v>
      </c>
      <c r="Y173" s="199">
        <f t="shared" ref="Y173:Y182" si="69">(H173/G173-1)-(L173/K173-1)</f>
        <v>-4.7384980108927222E-2</v>
      </c>
    </row>
    <row r="174" spans="2:25">
      <c r="B174" s="189" t="s">
        <v>9</v>
      </c>
      <c r="C174" s="190" t="s">
        <v>62</v>
      </c>
      <c r="D174" s="200">
        <v>10</v>
      </c>
      <c r="E174" s="201">
        <v>12</v>
      </c>
      <c r="F174" s="192">
        <f t="shared" si="64"/>
        <v>45046</v>
      </c>
      <c r="G174" s="24">
        <f>UTT!C464</f>
        <v>1702.0020096035373</v>
      </c>
      <c r="H174" s="24">
        <f>UTT!D464</f>
        <v>1515.06</v>
      </c>
      <c r="I174" s="24">
        <f>UTT!E464</f>
        <v>190.2</v>
      </c>
      <c r="J174" s="24">
        <f>UTT!F464</f>
        <v>179.47999999999996</v>
      </c>
      <c r="K174" s="24">
        <f>UTT!G464</f>
        <v>194</v>
      </c>
      <c r="L174" s="24">
        <f>UTT!H464</f>
        <v>187.25</v>
      </c>
      <c r="M174" s="195">
        <f t="shared" si="65"/>
        <v>0.74223403003974453</v>
      </c>
      <c r="N174" s="195">
        <f t="shared" si="66"/>
        <v>0.68987078794726808</v>
      </c>
      <c r="O174" s="195">
        <f t="shared" si="67"/>
        <v>0.23638916800049131</v>
      </c>
      <c r="P174" s="195">
        <f t="shared" si="68"/>
        <v>0.210425</v>
      </c>
      <c r="Q174" s="195">
        <f>UTT!M464</f>
        <v>0.98499999999999999</v>
      </c>
      <c r="R174" s="195">
        <f>UTT!N464</f>
        <v>0.97736999999999996</v>
      </c>
      <c r="S174" s="195">
        <f>UTT!O464</f>
        <v>0.99</v>
      </c>
      <c r="T174" s="195">
        <f>UTT!P464</f>
        <v>1</v>
      </c>
      <c r="U174" s="198">
        <v>1.4999999999999999E-2</v>
      </c>
      <c r="V174" s="195">
        <f>UTT!V464</f>
        <v>-2.4488930774678765E-2</v>
      </c>
      <c r="W174" s="198">
        <v>0</v>
      </c>
      <c r="X174" s="197">
        <v>0</v>
      </c>
      <c r="Y174" s="199">
        <f t="shared" si="69"/>
        <v>-7.5042724271852101E-2</v>
      </c>
    </row>
    <row r="175" spans="2:25">
      <c r="B175" s="189" t="s">
        <v>9</v>
      </c>
      <c r="C175" s="190" t="s">
        <v>62</v>
      </c>
      <c r="D175" s="200">
        <v>10</v>
      </c>
      <c r="E175" s="201">
        <v>12</v>
      </c>
      <c r="F175" s="192">
        <f t="shared" si="64"/>
        <v>45077</v>
      </c>
      <c r="G175" s="24">
        <f>UTT!C465</f>
        <v>1724.3714600885614</v>
      </c>
      <c r="H175" s="24">
        <f>UTT!D465</f>
        <v>1511.3040000000001</v>
      </c>
      <c r="I175" s="24">
        <f>UTT!E465</f>
        <v>197</v>
      </c>
      <c r="J175" s="24">
        <f>UTT!F465</f>
        <v>194.24</v>
      </c>
      <c r="K175" s="24">
        <f>UTT!G465</f>
        <v>197.7</v>
      </c>
      <c r="L175" s="24">
        <f>UTT!H465</f>
        <v>191.43</v>
      </c>
      <c r="M175" s="195">
        <f t="shared" si="65"/>
        <v>0.73791558082438802</v>
      </c>
      <c r="N175" s="195">
        <f t="shared" si="66"/>
        <v>0.69055158583122433</v>
      </c>
      <c r="O175" s="195">
        <f t="shared" si="67"/>
        <v>0.23177035753878514</v>
      </c>
      <c r="P175" s="195">
        <f t="shared" si="68"/>
        <v>0.20313225806451615</v>
      </c>
      <c r="Q175" s="195">
        <f>UTT!M465</f>
        <v>0.98499999999999999</v>
      </c>
      <c r="R175" s="195">
        <f>UTT!N465</f>
        <v>0.9527181950468262</v>
      </c>
      <c r="S175" s="195">
        <f>UTT!O465</f>
        <v>0.99</v>
      </c>
      <c r="T175" s="195">
        <f>UTT!P465</f>
        <v>0.99396451612903225</v>
      </c>
      <c r="U175" s="198">
        <v>1.4999999999999999E-2</v>
      </c>
      <c r="V175" s="195">
        <f>UTT!V465</f>
        <v>-1.41E-2</v>
      </c>
      <c r="W175" s="198">
        <v>0</v>
      </c>
      <c r="X175" s="197">
        <v>0</v>
      </c>
      <c r="Y175" s="199">
        <f t="shared" si="69"/>
        <v>-9.1847671442972456E-2</v>
      </c>
    </row>
    <row r="176" spans="2:25">
      <c r="B176" s="189" t="s">
        <v>9</v>
      </c>
      <c r="C176" s="190" t="s">
        <v>62</v>
      </c>
      <c r="D176" s="200">
        <v>10</v>
      </c>
      <c r="E176" s="201">
        <v>12</v>
      </c>
      <c r="F176" s="192">
        <f t="shared" si="64"/>
        <v>45107</v>
      </c>
      <c r="G176" s="24">
        <f>UTT!C466</f>
        <v>1550.7845243247752</v>
      </c>
      <c r="H176" s="24">
        <f>UTT!D466</f>
        <v>1413.5940000000001</v>
      </c>
      <c r="I176" s="24">
        <f>UTT!E466</f>
        <v>178.9</v>
      </c>
      <c r="J176" s="24">
        <f>UTT!F466</f>
        <v>173.85999999999999</v>
      </c>
      <c r="K176" s="24">
        <f>UTT!G466</f>
        <v>177.2</v>
      </c>
      <c r="L176" s="24">
        <f>UTT!H466</f>
        <v>167.66000000000003</v>
      </c>
      <c r="M176" s="195">
        <f t="shared" si="65"/>
        <v>0.74040657087538397</v>
      </c>
      <c r="N176" s="195">
        <f t="shared" si="66"/>
        <v>0.71050792748563896</v>
      </c>
      <c r="O176" s="195">
        <f t="shared" si="67"/>
        <v>0.21538673948955211</v>
      </c>
      <c r="P176" s="195">
        <f t="shared" si="68"/>
        <v>0.19633250000000002</v>
      </c>
      <c r="Q176" s="195">
        <f>UTT!M466</f>
        <v>0.98499999999999999</v>
      </c>
      <c r="R176" s="195">
        <f>UTT!N466</f>
        <v>0.98888333333333345</v>
      </c>
      <c r="S176" s="195">
        <f>UTT!O466</f>
        <v>0.99</v>
      </c>
      <c r="T176" s="195">
        <f>UTT!P466</f>
        <v>1</v>
      </c>
      <c r="U176" s="198">
        <v>1.4999999999999999E-2</v>
      </c>
      <c r="V176" s="195">
        <f>UTT!V466</f>
        <v>-1.46E-2</v>
      </c>
      <c r="W176" s="198">
        <v>0</v>
      </c>
      <c r="X176" s="197">
        <v>0</v>
      </c>
      <c r="Y176" s="199">
        <f t="shared" si="69"/>
        <v>-3.4627767695741163E-2</v>
      </c>
    </row>
    <row r="177" spans="2:25">
      <c r="B177" s="189" t="s">
        <v>9</v>
      </c>
      <c r="C177" s="190" t="s">
        <v>62</v>
      </c>
      <c r="D177" s="200">
        <v>10</v>
      </c>
      <c r="E177" s="201">
        <v>12</v>
      </c>
      <c r="F177" s="192">
        <f t="shared" si="64"/>
        <v>45137</v>
      </c>
      <c r="G177" s="24">
        <f>UTT!C467</f>
        <v>1375.4080325221871</v>
      </c>
      <c r="H177" s="24">
        <f>UTT!D467</f>
        <v>1117.4760000000056</v>
      </c>
      <c r="I177" s="24">
        <f>UTT!E467</f>
        <v>155.5</v>
      </c>
      <c r="J177" s="24">
        <f>UTT!F467</f>
        <v>140.26</v>
      </c>
      <c r="K177" s="24">
        <f>UTT!G467</f>
        <v>154.6</v>
      </c>
      <c r="L177" s="24">
        <f>UTT!H467</f>
        <v>136.38999999999999</v>
      </c>
      <c r="M177" s="195">
        <f t="shared" si="65"/>
        <v>0.75266997224549093</v>
      </c>
      <c r="N177" s="195">
        <f t="shared" si="66"/>
        <v>0.72610437537738681</v>
      </c>
      <c r="O177" s="195">
        <f t="shared" si="67"/>
        <v>0.19102889340585932</v>
      </c>
      <c r="P177" s="195">
        <f t="shared" si="68"/>
        <v>0.15520500000000076</v>
      </c>
      <c r="Q177" s="195">
        <f>UTT!M467</f>
        <v>0.98499999999999999</v>
      </c>
      <c r="R177" s="195">
        <f>UTT!N467</f>
        <v>0.94031935483870976</v>
      </c>
      <c r="S177" s="195">
        <f>UTT!O467</f>
        <v>0.99</v>
      </c>
      <c r="T177" s="195">
        <f>UTT!P467</f>
        <v>1</v>
      </c>
      <c r="U177" s="198">
        <v>1.4999999999999999E-2</v>
      </c>
      <c r="V177" s="195">
        <f>UTT!V467</f>
        <v>0</v>
      </c>
      <c r="W177" s="198">
        <v>0</v>
      </c>
      <c r="X177" s="197">
        <v>0</v>
      </c>
      <c r="Y177" s="199">
        <f t="shared" si="69"/>
        <v>-6.9743443075737321E-2</v>
      </c>
    </row>
    <row r="178" spans="2:25">
      <c r="B178" s="189" t="s">
        <v>9</v>
      </c>
      <c r="C178" s="190" t="s">
        <v>62</v>
      </c>
      <c r="D178" s="200">
        <v>10</v>
      </c>
      <c r="E178" s="201">
        <v>12</v>
      </c>
      <c r="F178" s="192">
        <f t="shared" si="64"/>
        <v>45169</v>
      </c>
      <c r="G178" s="24">
        <f>UTT!C468</f>
        <v>1306.5101250283128</v>
      </c>
      <c r="H178" s="24">
        <f>UTT!D468</f>
        <v>1131.672</v>
      </c>
      <c r="I178" s="24">
        <f>UTT!E468</f>
        <v>145.4</v>
      </c>
      <c r="J178" s="24">
        <f>UTT!F468</f>
        <v>132.69999999999999</v>
      </c>
      <c r="K178" s="24">
        <f>UTT!G468</f>
        <v>146.30000000000001</v>
      </c>
      <c r="L178" s="24">
        <f>UTT!H468</f>
        <v>133.33000000000001</v>
      </c>
      <c r="M178" s="195">
        <f t="shared" si="65"/>
        <v>0.75552871855938464</v>
      </c>
      <c r="N178" s="195">
        <f t="shared" si="66"/>
        <v>0.71825800807561624</v>
      </c>
      <c r="O178" s="195">
        <f t="shared" si="67"/>
        <v>0.17560619960057969</v>
      </c>
      <c r="P178" s="195">
        <f t="shared" si="68"/>
        <v>0.1521064516129032</v>
      </c>
      <c r="Q178" s="202">
        <f>UTT!M468</f>
        <v>0.98499999999999999</v>
      </c>
      <c r="R178" s="202">
        <f>UTT!N468</f>
        <v>0.98476129032258064</v>
      </c>
      <c r="S178" s="202">
        <f>UTT!O468</f>
        <v>0.99</v>
      </c>
      <c r="T178" s="202">
        <f>UTT!P468</f>
        <v>1</v>
      </c>
      <c r="U178" s="198">
        <v>1.4999999999999999E-2</v>
      </c>
      <c r="V178" s="202">
        <f>UTT!V468</f>
        <v>-5.5999999999999999E-3</v>
      </c>
      <c r="W178" s="198">
        <v>0</v>
      </c>
      <c r="X178" s="197">
        <v>0</v>
      </c>
      <c r="Y178" s="199">
        <f t="shared" si="69"/>
        <v>-4.516726773686508E-2</v>
      </c>
    </row>
    <row r="179" spans="2:25">
      <c r="B179" s="189" t="s">
        <v>9</v>
      </c>
      <c r="C179" s="190" t="s">
        <v>62</v>
      </c>
      <c r="D179" s="200">
        <v>10</v>
      </c>
      <c r="E179" s="201">
        <v>12</v>
      </c>
      <c r="F179" s="192">
        <f t="shared" si="64"/>
        <v>45199</v>
      </c>
      <c r="G179" s="24">
        <f>UTT!C469</f>
        <v>1300.246678892506</v>
      </c>
      <c r="H179" s="24">
        <f>UTT!D469</f>
        <v>1256.8140000000001</v>
      </c>
      <c r="I179" s="24">
        <f>UTT!E469</f>
        <v>141.6</v>
      </c>
      <c r="J179" s="24">
        <f>UTT!F469</f>
        <v>140.91999999999999</v>
      </c>
      <c r="K179" s="24">
        <f>UTT!G469</f>
        <v>145.5</v>
      </c>
      <c r="L179" s="24">
        <f>UTT!H469</f>
        <v>149.81000000000006</v>
      </c>
      <c r="M179" s="195">
        <f t="shared" si="65"/>
        <v>0.75604088759369115</v>
      </c>
      <c r="N179" s="195">
        <f t="shared" si="66"/>
        <v>0.71523942717875388</v>
      </c>
      <c r="O179" s="195">
        <f t="shared" si="67"/>
        <v>0.18058981651284806</v>
      </c>
      <c r="P179" s="195">
        <f t="shared" si="68"/>
        <v>0.1745575</v>
      </c>
      <c r="Q179" s="202">
        <f>UTT!M469</f>
        <v>0.98499999999999999</v>
      </c>
      <c r="R179" s="202">
        <f>UTT!N469</f>
        <v>0.97745666666666675</v>
      </c>
      <c r="S179" s="202">
        <f>UTT!O469</f>
        <v>0.99</v>
      </c>
      <c r="T179" s="202">
        <f>UTT!P469</f>
        <v>1</v>
      </c>
      <c r="U179" s="198">
        <v>1.4999999999999999E-2</v>
      </c>
      <c r="V179" s="202">
        <f>UTT!V469</f>
        <v>-1.1900000000000001E-2</v>
      </c>
      <c r="W179" s="198">
        <v>0</v>
      </c>
      <c r="X179" s="197">
        <v>0</v>
      </c>
      <c r="Y179" s="199">
        <f t="shared" si="69"/>
        <v>-6.3025407723446225E-2</v>
      </c>
    </row>
    <row r="180" spans="2:25">
      <c r="B180" s="189" t="s">
        <v>9</v>
      </c>
      <c r="C180" s="190" t="s">
        <v>62</v>
      </c>
      <c r="D180" s="200">
        <v>10</v>
      </c>
      <c r="E180" s="201">
        <v>12</v>
      </c>
      <c r="F180" s="192">
        <f t="shared" si="64"/>
        <v>45230</v>
      </c>
      <c r="G180" s="24">
        <f>UTT!C470</f>
        <v>1487.2552849473068</v>
      </c>
      <c r="H180" s="24">
        <f>UTT!D470</f>
        <v>1401.9</v>
      </c>
      <c r="I180" s="24">
        <f>UTT!E470</f>
        <v>139.1</v>
      </c>
      <c r="J180" s="24">
        <f>UTT!F470</f>
        <v>136.64999999999998</v>
      </c>
      <c r="K180" s="24">
        <f>UTT!G470</f>
        <v>172.2</v>
      </c>
      <c r="L180" s="24">
        <f>UTT!H470</f>
        <v>173.2</v>
      </c>
      <c r="M180" s="195">
        <f t="shared" si="65"/>
        <v>0.73069291646636592</v>
      </c>
      <c r="N180" s="195">
        <f t="shared" si="66"/>
        <v>0.71532425538923994</v>
      </c>
      <c r="O180" s="195">
        <f t="shared" si="67"/>
        <v>0.19989990389076703</v>
      </c>
      <c r="P180" s="195">
        <f t="shared" si="68"/>
        <v>0.1884274193548387</v>
      </c>
      <c r="Q180" s="202">
        <f>UTT!M470</f>
        <v>0.98499999999999999</v>
      </c>
      <c r="R180" s="202">
        <f>UTT!N470</f>
        <v>0.94294193548387095</v>
      </c>
      <c r="S180" s="202">
        <f>UTT!O470</f>
        <v>0.99</v>
      </c>
      <c r="T180" s="202">
        <f>UTT!P470</f>
        <v>1</v>
      </c>
      <c r="U180" s="198">
        <v>1.4999999999999999E-2</v>
      </c>
      <c r="V180" s="202">
        <f>UTT!V470</f>
        <v>-1.9900000000000001E-2</v>
      </c>
      <c r="W180" s="198">
        <v>0</v>
      </c>
      <c r="X180" s="197">
        <v>0</v>
      </c>
      <c r="Y180" s="199">
        <f t="shared" si="69"/>
        <v>-6.3198346760804602E-2</v>
      </c>
    </row>
    <row r="181" spans="2:25">
      <c r="B181" s="189" t="s">
        <v>9</v>
      </c>
      <c r="C181" s="190" t="s">
        <v>62</v>
      </c>
      <c r="D181" s="200">
        <v>10</v>
      </c>
      <c r="E181" s="201">
        <v>12</v>
      </c>
      <c r="F181" s="192">
        <f t="shared" si="64"/>
        <v>45260</v>
      </c>
      <c r="G181" s="24">
        <f>UTT!C471</f>
        <v>1315.4579052223221</v>
      </c>
      <c r="H181" s="24">
        <f>UTT!D471</f>
        <v>1092.7799999999972</v>
      </c>
      <c r="I181" s="24">
        <f>UTT!E471</f>
        <v>108.1</v>
      </c>
      <c r="J181" s="24">
        <f>UTT!F471</f>
        <v>93.580000000000013</v>
      </c>
      <c r="K181" s="24">
        <f>UTT!G471</f>
        <v>152.1</v>
      </c>
      <c r="L181" s="24">
        <f>UTT!H471</f>
        <v>134.56</v>
      </c>
      <c r="M181" s="195">
        <f t="shared" si="65"/>
        <v>0.73169529865710958</v>
      </c>
      <c r="N181" s="195">
        <f t="shared" si="66"/>
        <v>0.68048582180745754</v>
      </c>
      <c r="O181" s="195">
        <f t="shared" si="67"/>
        <v>0.18270248683643361</v>
      </c>
      <c r="P181" s="195">
        <f t="shared" si="68"/>
        <v>0.1517749999999996</v>
      </c>
      <c r="Q181" s="202">
        <f>UTT!M471</f>
        <v>0.98499999999999999</v>
      </c>
      <c r="R181" s="202">
        <f>UTT!N471</f>
        <v>0.99452666666666678</v>
      </c>
      <c r="S181" s="202">
        <f>UTT!O471</f>
        <v>0.99</v>
      </c>
      <c r="T181" s="202">
        <f>UTT!P471</f>
        <v>1</v>
      </c>
      <c r="U181" s="198">
        <v>1.4999999999999999E-2</v>
      </c>
      <c r="V181" s="202">
        <f>UTT!V471</f>
        <v>-1.9099999999999999E-2</v>
      </c>
      <c r="W181" s="198">
        <v>0</v>
      </c>
      <c r="X181" s="197">
        <v>0</v>
      </c>
      <c r="Y181" s="199">
        <f t="shared" si="69"/>
        <v>-5.3958995476864335E-2</v>
      </c>
    </row>
    <row r="182" spans="2:25">
      <c r="B182" s="189" t="s">
        <v>9</v>
      </c>
      <c r="C182" s="190" t="s">
        <v>62</v>
      </c>
      <c r="D182" s="200">
        <v>10</v>
      </c>
      <c r="E182" s="201">
        <v>12</v>
      </c>
      <c r="F182" s="192">
        <f t="shared" si="64"/>
        <v>45291</v>
      </c>
      <c r="G182" s="24">
        <f>UTT!C472</f>
        <v>1102.5007366048935</v>
      </c>
      <c r="H182" s="24">
        <f>UTT!D472</f>
        <v>1018.338</v>
      </c>
      <c r="I182" s="24">
        <f>UTT!E472</f>
        <v>89.9</v>
      </c>
      <c r="J182" s="24">
        <f>UTT!F472</f>
        <v>80.819999999999993</v>
      </c>
      <c r="K182" s="24">
        <f>UTT!G472</f>
        <v>129.6</v>
      </c>
      <c r="L182" s="24">
        <f>UTT!H472</f>
        <v>125.42</v>
      </c>
      <c r="M182" s="195">
        <f t="shared" si="65"/>
        <v>0.71970813266702016</v>
      </c>
      <c r="N182" s="195">
        <f t="shared" si="66"/>
        <v>0.68124221849651556</v>
      </c>
      <c r="O182" s="195">
        <f t="shared" si="67"/>
        <v>0.14818558287700181</v>
      </c>
      <c r="P182" s="195">
        <f t="shared" si="68"/>
        <v>0.13687338709677419</v>
      </c>
      <c r="Q182" s="202">
        <f>UTT!M472</f>
        <v>0.98499999999999999</v>
      </c>
      <c r="R182" s="202">
        <f>UTT!N472</f>
        <v>0.99321290322580635</v>
      </c>
      <c r="S182" s="202">
        <f>UTT!O472</f>
        <v>0.99</v>
      </c>
      <c r="T182" s="202">
        <f>UTT!P472</f>
        <v>1</v>
      </c>
      <c r="U182" s="198">
        <v>1.4999999999999999E-2</v>
      </c>
      <c r="V182" s="202">
        <f>UTT!V472</f>
        <v>-2.3300000000000001E-2</v>
      </c>
      <c r="W182" s="198">
        <v>0</v>
      </c>
      <c r="X182" s="197">
        <v>0</v>
      </c>
      <c r="Y182" s="199">
        <f t="shared" si="69"/>
        <v>-4.40849456654403E-2</v>
      </c>
    </row>
    <row r="183" spans="2:25">
      <c r="B183" s="189" t="s">
        <v>9</v>
      </c>
      <c r="C183" s="190" t="s">
        <v>62</v>
      </c>
      <c r="D183" s="200">
        <v>10</v>
      </c>
      <c r="E183" s="201">
        <v>12</v>
      </c>
      <c r="F183" s="192">
        <f t="shared" si="64"/>
        <v>45322</v>
      </c>
      <c r="G183" s="24">
        <f>UTT!C473</f>
        <v>934.06257725924547</v>
      </c>
      <c r="H183" s="24">
        <f>UTT!D473</f>
        <v>429.37200000000001</v>
      </c>
      <c r="I183" s="24">
        <f>UTT!E473</f>
        <v>79.599999999999994</v>
      </c>
      <c r="J183" s="24">
        <f>UTT!F473</f>
        <v>43.269999999999989</v>
      </c>
      <c r="K183" s="24">
        <f>UTT!G473</f>
        <v>103.2</v>
      </c>
      <c r="L183" s="24">
        <f>UTT!H473</f>
        <v>51.410000000000004</v>
      </c>
      <c r="M183" s="195">
        <f t="shared" ref="M183:M184" si="70">G183/E183/K183/Q183</f>
        <v>0.76573553009224726</v>
      </c>
      <c r="N183" s="195">
        <f t="shared" ref="N183:N184" si="71">H183/E183/L183/R183</f>
        <v>0.70001696596599083</v>
      </c>
      <c r="O183" s="195">
        <f t="shared" ref="O183:O184" si="72">G183/24/DAY(F183)/D183</f>
        <v>0.12554604533054375</v>
      </c>
      <c r="P183" s="195">
        <f t="shared" ref="P183:P184" si="73">H183/24/DAY(F183)/D183</f>
        <v>5.7711290322580641E-2</v>
      </c>
      <c r="Q183" s="202">
        <f>UTT!M473</f>
        <v>0.98499999999999999</v>
      </c>
      <c r="R183" s="202">
        <f>UTT!N473</f>
        <v>0.99425161290322595</v>
      </c>
      <c r="S183" s="202">
        <f>UTT!O473</f>
        <v>0.99</v>
      </c>
      <c r="T183" s="202">
        <f>UTT!P473</f>
        <v>1</v>
      </c>
      <c r="U183" s="198">
        <v>1.4999999999999999E-2</v>
      </c>
      <c r="V183" s="202">
        <f>UTT!V473</f>
        <v>-1.67E-2</v>
      </c>
      <c r="W183" s="198">
        <v>0</v>
      </c>
      <c r="X183" s="197">
        <v>0</v>
      </c>
      <c r="Y183" s="199">
        <f t="shared" ref="Y183:Y184" si="74">(H183/G183-1)-(L183/K183-1)</f>
        <v>-3.8476650977278926E-2</v>
      </c>
    </row>
    <row r="184" spans="2:25">
      <c r="B184" s="189" t="s">
        <v>9</v>
      </c>
      <c r="C184" s="190" t="s">
        <v>62</v>
      </c>
      <c r="D184" s="200">
        <v>10</v>
      </c>
      <c r="E184" s="201">
        <v>12</v>
      </c>
      <c r="F184" s="192">
        <f t="shared" si="64"/>
        <v>45351</v>
      </c>
      <c r="G184" s="24">
        <f>UTT!C474</f>
        <v>1222.5211151537269</v>
      </c>
      <c r="H184" s="24">
        <f>UTT!D474</f>
        <v>1166.67</v>
      </c>
      <c r="I184" s="24">
        <f>UTT!E474</f>
        <v>108.1</v>
      </c>
      <c r="J184" s="24">
        <f>UTT!F474</f>
        <v>109.64999999999999</v>
      </c>
      <c r="K184" s="24">
        <f>UTT!G474</f>
        <v>137.5</v>
      </c>
      <c r="L184" s="24">
        <f>UTT!H474</f>
        <v>144.81</v>
      </c>
      <c r="M184" s="195">
        <f t="shared" si="70"/>
        <v>0.75220496240807688</v>
      </c>
      <c r="N184" s="195">
        <f t="shared" si="71"/>
        <v>0.69580240332501131</v>
      </c>
      <c r="O184" s="195">
        <f t="shared" si="72"/>
        <v>0.17564958551059295</v>
      </c>
      <c r="P184" s="195">
        <f t="shared" si="73"/>
        <v>0.16762500000000002</v>
      </c>
      <c r="Q184" s="202">
        <f>UTT!M474</f>
        <v>0.98499999999999999</v>
      </c>
      <c r="R184" s="202">
        <f>UTT!N474</f>
        <v>0.96489999999999998</v>
      </c>
      <c r="S184" s="202">
        <f>UTT!O474</f>
        <v>0.99</v>
      </c>
      <c r="T184" s="202">
        <f>UTT!P474</f>
        <v>0.99475172413793111</v>
      </c>
      <c r="U184" s="198">
        <v>1.4999999999999999E-2</v>
      </c>
      <c r="V184" s="202">
        <f>UTT!V474</f>
        <v>-1.7600000000000001E-2</v>
      </c>
      <c r="W184" s="198">
        <v>0</v>
      </c>
      <c r="X184" s="197">
        <v>0</v>
      </c>
      <c r="Y184" s="199">
        <f t="shared" si="74"/>
        <v>-9.8848831049786035E-2</v>
      </c>
    </row>
    <row r="185" spans="2:25">
      <c r="B185" s="189" t="s">
        <v>9</v>
      </c>
      <c r="C185" s="190" t="s">
        <v>62</v>
      </c>
      <c r="D185" s="200">
        <v>10</v>
      </c>
      <c r="E185" s="201">
        <v>12</v>
      </c>
      <c r="F185" s="192">
        <f t="shared" si="64"/>
        <v>45382</v>
      </c>
      <c r="G185" s="24">
        <f>UTT!C475</f>
        <v>1636.5125352800662</v>
      </c>
      <c r="H185" s="24">
        <f>UTT!D475</f>
        <v>1459.5060000000001</v>
      </c>
      <c r="I185" s="24">
        <f>UTT!E475</f>
        <v>161.4</v>
      </c>
      <c r="J185" s="24">
        <f>UTT!F475</f>
        <v>152.10000000000002</v>
      </c>
      <c r="K185" s="24">
        <f>UTT!G475</f>
        <v>187.8</v>
      </c>
      <c r="L185" s="24">
        <f>UTT!H475</f>
        <v>176.4</v>
      </c>
      <c r="M185" s="195">
        <f t="shared" ref="M185" si="75">G185/E185/K185/Q185</f>
        <v>0.73723555465460167</v>
      </c>
      <c r="N185" s="195">
        <f t="shared" ref="N185" si="76">H185/E185/L185/R185</f>
        <v>0.69719205819765084</v>
      </c>
      <c r="O185" s="195">
        <f t="shared" ref="O185" si="77">G185/24/DAY(F185)/D185</f>
        <v>0.21996136226882612</v>
      </c>
      <c r="P185" s="195">
        <f t="shared" ref="P185" si="78">H185/24/DAY(F185)/D185</f>
        <v>0.19617016129032258</v>
      </c>
      <c r="Q185" s="202">
        <f>UTT!M475</f>
        <v>0.98499999999999999</v>
      </c>
      <c r="R185" s="202">
        <f>UTT!N475</f>
        <v>0.98894838709677413</v>
      </c>
      <c r="S185" s="202">
        <f>UTT!O475</f>
        <v>0.99</v>
      </c>
      <c r="T185" s="202">
        <f>UTT!P475</f>
        <v>1</v>
      </c>
      <c r="U185" s="198">
        <v>1.4999999999999999E-2</v>
      </c>
      <c r="V185" s="202">
        <f>UTT!V475</f>
        <v>-2.0400000000000001E-2</v>
      </c>
      <c r="W185" s="198">
        <v>0</v>
      </c>
      <c r="X185" s="197">
        <v>0</v>
      </c>
      <c r="Y185" s="199">
        <f t="shared" ref="Y185" si="79">(H185/G185-1)-(L185/K185-1)</f>
        <v>-4.745794308760154E-2</v>
      </c>
    </row>
    <row r="186" spans="2:25">
      <c r="B186" s="189" t="s">
        <v>9</v>
      </c>
      <c r="C186" s="190" t="s">
        <v>62</v>
      </c>
      <c r="D186" s="200">
        <v>10</v>
      </c>
      <c r="E186" s="201">
        <v>12</v>
      </c>
      <c r="F186" s="192">
        <f t="shared" si="64"/>
        <v>45412</v>
      </c>
      <c r="G186" s="24">
        <f>UTT!C476</f>
        <v>1693.4919995555197</v>
      </c>
      <c r="H186" s="24">
        <f>UTT!D476</f>
        <v>1518.4559999999999</v>
      </c>
      <c r="I186" s="24">
        <f>UTT!E476</f>
        <v>190.2</v>
      </c>
      <c r="J186" s="24">
        <f>UTT!F476</f>
        <v>184.02999999999997</v>
      </c>
      <c r="K186" s="24">
        <f>UTT!G476</f>
        <v>194</v>
      </c>
      <c r="L186" s="24">
        <f>UTT!H476</f>
        <v>189.00000000000006</v>
      </c>
      <c r="M186" s="195">
        <f t="shared" ref="M186" si="80">G186/E186/K186/Q186</f>
        <v>0.73852285988954591</v>
      </c>
      <c r="N186" s="195">
        <f t="shared" ref="N186" si="81">H186/E186/L186/R186</f>
        <v>0.67612514665173129</v>
      </c>
      <c r="O186" s="195">
        <f t="shared" ref="O186" si="82">G186/24/DAY(F186)/D186</f>
        <v>0.23520722216048884</v>
      </c>
      <c r="P186" s="195">
        <f t="shared" ref="P186" si="83">H186/24/DAY(F186)/D186</f>
        <v>0.21089666666666665</v>
      </c>
      <c r="Q186" s="202">
        <f>UTT!M476</f>
        <v>0.98499999999999999</v>
      </c>
      <c r="R186" s="202">
        <f>UTT!N476</f>
        <v>0.99022086492234884</v>
      </c>
      <c r="S186" s="202">
        <f>UTT!O476</f>
        <v>0.99</v>
      </c>
      <c r="T186" s="202">
        <f>UTT!P476</f>
        <v>0.99975333333333327</v>
      </c>
      <c r="U186" s="198">
        <v>1.4999999999999999E-2</v>
      </c>
      <c r="V186" s="202">
        <f>UTT!V476</f>
        <v>-2.674E-2</v>
      </c>
      <c r="W186" s="198">
        <v>0</v>
      </c>
      <c r="X186" s="197">
        <v>0</v>
      </c>
      <c r="Y186" s="199">
        <f t="shared" ref="Y186" si="84">(H186/G186-1)-(L186/K186-1)</f>
        <v>-7.7584835694844201E-2</v>
      </c>
    </row>
    <row r="187" spans="2:25">
      <c r="B187" s="189" t="s">
        <v>9</v>
      </c>
      <c r="C187" s="190" t="s">
        <v>62</v>
      </c>
      <c r="D187" s="200">
        <v>10</v>
      </c>
      <c r="E187" s="201">
        <v>12</v>
      </c>
      <c r="F187" s="192">
        <f>EOMONTH(F186,1)</f>
        <v>45443</v>
      </c>
      <c r="G187" s="24">
        <f>UTT!C477</f>
        <v>1715.7496027881186</v>
      </c>
      <c r="H187" s="24">
        <f>UTT!D477</f>
        <v>1435.098</v>
      </c>
      <c r="I187" s="24">
        <f>UTT!E477</f>
        <v>197</v>
      </c>
      <c r="J187" s="24">
        <f>UTT!F477</f>
        <v>195.99999999999997</v>
      </c>
      <c r="K187" s="24">
        <f>UTT!G477</f>
        <v>197.7</v>
      </c>
      <c r="L187" s="24">
        <f>UTT!H477</f>
        <v>197.27999999999992</v>
      </c>
      <c r="M187" s="195">
        <f t="shared" ref="M187" si="85">G187/E187/K187/Q187</f>
        <v>0.73422600292026619</v>
      </c>
      <c r="N187" s="195">
        <f t="shared" ref="N187" si="86">H187/E187/L187/R187</f>
        <v>0.62678442683117996</v>
      </c>
      <c r="O187" s="195">
        <f t="shared" ref="O187" si="87">G187/24/DAY(F187)/D187</f>
        <v>0.23061150575109121</v>
      </c>
      <c r="P187" s="195">
        <f t="shared" ref="P187" si="88">H187/24/DAY(F187)/D187</f>
        <v>0.19288951612903224</v>
      </c>
      <c r="Q187" s="202">
        <f>UTT!M477</f>
        <v>0.98499999999999999</v>
      </c>
      <c r="R187" s="202">
        <f>UTT!N477</f>
        <v>0.96716162550181695</v>
      </c>
      <c r="S187" s="202">
        <f>UTT!O477</f>
        <v>0.99</v>
      </c>
      <c r="T187" s="202">
        <f>UTT!P477</f>
        <v>0.99889354838709676</v>
      </c>
      <c r="U187" s="198">
        <v>1.4999999999999999E-2</v>
      </c>
      <c r="V187" s="202">
        <f>UTT!V477</f>
        <v>-3.73E-2</v>
      </c>
      <c r="W187" s="198">
        <v>0</v>
      </c>
      <c r="X187" s="197">
        <v>0</v>
      </c>
      <c r="Y187" s="199">
        <f t="shared" ref="Y187" si="89">(H187/G187-1)-(L187/K187-1)</f>
        <v>-0.16144932265703615</v>
      </c>
    </row>
    <row r="188" spans="2:25">
      <c r="B188" s="189" t="s">
        <v>9</v>
      </c>
      <c r="C188" s="190" t="s">
        <v>62</v>
      </c>
      <c r="D188" s="200">
        <v>10</v>
      </c>
      <c r="E188" s="201">
        <v>12</v>
      </c>
      <c r="F188" s="192">
        <f>EOMONTH(F187,1)</f>
        <v>45473</v>
      </c>
      <c r="G188" s="24">
        <f>UTT!C478</f>
        <v>1543.0306017031514</v>
      </c>
      <c r="H188" s="24">
        <f>UTT!D478</f>
        <v>1466.7719999999999</v>
      </c>
      <c r="I188" s="24">
        <f>UTT!E478</f>
        <v>178.9</v>
      </c>
      <c r="J188" s="24">
        <f>UTT!F478</f>
        <v>191.7</v>
      </c>
      <c r="K188" s="24">
        <f>UTT!G478</f>
        <v>177.2</v>
      </c>
      <c r="L188" s="24">
        <f>UTT!H478</f>
        <v>184.18000000000004</v>
      </c>
      <c r="M188" s="195">
        <f t="shared" ref="M188" si="90">G188/E188/K188/Q188</f>
        <v>0.7367045380210071</v>
      </c>
      <c r="N188" s="195">
        <f t="shared" ref="N188" si="91">H188/E188/L188/R188</f>
        <v>0.6748522376653886</v>
      </c>
      <c r="O188" s="195">
        <f t="shared" ref="O188" si="92">G188/24/DAY(F188)/D188</f>
        <v>0.21430980579210437</v>
      </c>
      <c r="P188" s="195">
        <f t="shared" ref="P188" si="93">H188/24/DAY(F188)/D188</f>
        <v>0.20371833333333331</v>
      </c>
      <c r="Q188" s="202">
        <f>UTT!M478</f>
        <v>0.98499999999999999</v>
      </c>
      <c r="R188" s="202">
        <f>UTT!N478</f>
        <v>0.98340000000000005</v>
      </c>
      <c r="S188" s="202">
        <f>UTT!O478</f>
        <v>0.99</v>
      </c>
      <c r="T188" s="202">
        <f>UTT!P478</f>
        <v>1</v>
      </c>
      <c r="U188" s="198">
        <v>1.4999999999999999E-2</v>
      </c>
      <c r="V188" s="202">
        <f>UTT!V478</f>
        <v>-2.35E-2</v>
      </c>
      <c r="W188" s="198">
        <v>0</v>
      </c>
      <c r="X188" s="197">
        <v>0</v>
      </c>
      <c r="Y188" s="199">
        <f t="shared" ref="Y188" si="94">(H188/G188-1)-(L188/K188-1)</f>
        <v>-8.8811834369948217E-2</v>
      </c>
    </row>
    <row r="189" spans="2:25">
      <c r="B189" s="189" t="s">
        <v>9</v>
      </c>
      <c r="C189" s="190" t="s">
        <v>62</v>
      </c>
      <c r="D189" s="200">
        <v>10</v>
      </c>
      <c r="E189" s="201">
        <v>12</v>
      </c>
      <c r="F189" s="192">
        <f t="shared" ref="F189:F194" si="95">EOMONTH(F188,1)</f>
        <v>45504</v>
      </c>
      <c r="G189" s="24">
        <f>UTT!C479</f>
        <v>1368.530992359576</v>
      </c>
      <c r="H189" s="24">
        <f>UTT!D479</f>
        <v>1189.3800000000001</v>
      </c>
      <c r="I189" s="24">
        <f>UTT!E479</f>
        <v>155.5</v>
      </c>
      <c r="J189" s="24">
        <f>UTT!F479</f>
        <v>144.38</v>
      </c>
      <c r="K189" s="24">
        <f>UTT!G479</f>
        <v>154.6</v>
      </c>
      <c r="L189" s="24">
        <f>UTT!H479</f>
        <v>141.64999999999998</v>
      </c>
      <c r="M189" s="195">
        <f t="shared" ref="M189:M190" si="96">G189/E189/K189/Q189</f>
        <v>0.74890662238426331</v>
      </c>
      <c r="N189" s="195">
        <f t="shared" ref="N189:N190" si="97">H189/E189/L189/R189</f>
        <v>0.7350651121937456</v>
      </c>
      <c r="O189" s="195">
        <f t="shared" ref="O189:O190" si="98">G189/24/DAY(F189)/D189</f>
        <v>0.18394233768273868</v>
      </c>
      <c r="P189" s="195">
        <f t="shared" ref="P189:P190" si="99">H189/24/DAY(F189)/D189</f>
        <v>0.15986290322580649</v>
      </c>
      <c r="Q189" s="202">
        <f>UTT!M479</f>
        <v>0.98499999999999999</v>
      </c>
      <c r="R189" s="202">
        <f>UTT!N479</f>
        <v>0.95191242548387112</v>
      </c>
      <c r="S189" s="202">
        <f>UTT!O479</f>
        <v>0.99</v>
      </c>
      <c r="T189" s="202">
        <f>UTT!P479</f>
        <v>1</v>
      </c>
      <c r="U189" s="198">
        <v>1.4999999999999999E-2</v>
      </c>
      <c r="V189" s="202">
        <f>UTT!V479</f>
        <v>-9.7000000000000003E-3</v>
      </c>
      <c r="W189" s="198">
        <v>0</v>
      </c>
      <c r="X189" s="197">
        <v>0</v>
      </c>
      <c r="Y189" s="199">
        <f t="shared" ref="Y189:Y190" si="100">(H189/G189-1)-(L189/K189-1)</f>
        <v>-4.7142962006729183E-2</v>
      </c>
    </row>
    <row r="190" spans="2:25">
      <c r="B190" s="189" t="s">
        <v>9</v>
      </c>
      <c r="C190" s="190" t="s">
        <v>62</v>
      </c>
      <c r="D190" s="200">
        <v>10</v>
      </c>
      <c r="E190" s="201">
        <v>12</v>
      </c>
      <c r="F190" s="192">
        <f t="shared" si="95"/>
        <v>45535</v>
      </c>
      <c r="G190" s="24">
        <f>UTT!C480</f>
        <v>1299.9775744031715</v>
      </c>
      <c r="H190" s="24">
        <f>UTT!D480</f>
        <v>1328.682</v>
      </c>
      <c r="I190" s="24">
        <f>UTT!E480</f>
        <v>145.4</v>
      </c>
      <c r="J190" s="24">
        <f>UTT!F480</f>
        <v>161.13999999999996</v>
      </c>
      <c r="K190" s="24">
        <f>UTT!G480</f>
        <v>146.30000000000001</v>
      </c>
      <c r="L190" s="24">
        <f>UTT!H480</f>
        <v>164.68</v>
      </c>
      <c r="M190" s="195">
        <f t="shared" si="96"/>
        <v>0.75175107496658777</v>
      </c>
      <c r="N190" s="195">
        <f t="shared" si="97"/>
        <v>0.70802008062232391</v>
      </c>
      <c r="O190" s="195">
        <f t="shared" si="98"/>
        <v>0.17472816860257681</v>
      </c>
      <c r="P190" s="195">
        <f t="shared" si="99"/>
        <v>0.17858629032258064</v>
      </c>
      <c r="Q190" s="202">
        <f>UTT!M480</f>
        <v>0.98499999999999999</v>
      </c>
      <c r="R190" s="202">
        <f>UTT!N480</f>
        <v>0.94962769516129031</v>
      </c>
      <c r="S190" s="202">
        <f>UTT!O480</f>
        <v>0.99</v>
      </c>
      <c r="T190" s="202">
        <f>UTT!P480</f>
        <v>1</v>
      </c>
      <c r="U190" s="198">
        <v>1.4999999999999999E-2</v>
      </c>
      <c r="V190" s="202">
        <f>UTT!V480</f>
        <v>-6.4000000000000003E-3</v>
      </c>
      <c r="W190" s="198">
        <v>0</v>
      </c>
      <c r="X190" s="197">
        <v>0</v>
      </c>
      <c r="Y190" s="199">
        <f t="shared" si="100"/>
        <v>-0.10355155418983686</v>
      </c>
    </row>
    <row r="191" spans="2:25">
      <c r="B191" s="189" t="s">
        <v>9</v>
      </c>
      <c r="C191" s="190" t="s">
        <v>62</v>
      </c>
      <c r="D191" s="200">
        <v>10</v>
      </c>
      <c r="E191" s="201">
        <v>12</v>
      </c>
      <c r="F191" s="192">
        <f t="shared" si="95"/>
        <v>45565</v>
      </c>
      <c r="G191" s="24">
        <f>UTT!C481</f>
        <v>1293.7454454980434</v>
      </c>
      <c r="H191" s="24">
        <f>UTT!D481</f>
        <v>1080.2760000000001</v>
      </c>
      <c r="I191" s="24">
        <f>UTT!E481</f>
        <v>141.6</v>
      </c>
      <c r="J191" s="24">
        <f>UTT!F481</f>
        <v>119.97000000000001</v>
      </c>
      <c r="K191" s="24">
        <f>UTT!G481</f>
        <v>145.5</v>
      </c>
      <c r="L191" s="24">
        <f>UTT!H481</f>
        <v>127.23000000000002</v>
      </c>
      <c r="M191" s="195">
        <f t="shared" ref="M191" si="101">G191/E191/K191/Q191</f>
        <v>0.7522606831557227</v>
      </c>
      <c r="N191" s="195">
        <f t="shared" ref="N191" si="102">H191/E191/L191/R191</f>
        <v>0.72866162913542776</v>
      </c>
      <c r="O191" s="195">
        <f t="shared" ref="O191" si="103">G191/24/DAY(F191)/D191</f>
        <v>0.17968686743028381</v>
      </c>
      <c r="P191" s="195">
        <f t="shared" ref="P191" si="104">H191/24/DAY(F191)/D191</f>
        <v>0.15003833333333333</v>
      </c>
      <c r="Q191" s="202">
        <f>UTT!M481</f>
        <v>0.98499999999999999</v>
      </c>
      <c r="R191" s="202">
        <f>UTT!N481</f>
        <v>0.97104208800000014</v>
      </c>
      <c r="S191" s="202">
        <f>UTT!O481</f>
        <v>0.99</v>
      </c>
      <c r="T191" s="202">
        <f>UTT!P481</f>
        <v>1</v>
      </c>
      <c r="U191" s="198">
        <v>1.4999999999999999E-2</v>
      </c>
      <c r="V191" s="202">
        <f>UTT!V481</f>
        <v>-1.0699999999999999E-2</v>
      </c>
      <c r="W191" s="198">
        <v>0</v>
      </c>
      <c r="X191" s="197">
        <v>0</v>
      </c>
      <c r="Y191" s="199">
        <f t="shared" ref="Y191" si="105">(H191/G191-1)-(L191/K191-1)</f>
        <v>-3.9434108141705559E-2</v>
      </c>
    </row>
    <row r="192" spans="2:25">
      <c r="B192" s="189" t="s">
        <v>9</v>
      </c>
      <c r="C192" s="190" t="s">
        <v>62</v>
      </c>
      <c r="D192" s="200">
        <v>10</v>
      </c>
      <c r="E192" s="201">
        <v>12</v>
      </c>
      <c r="F192" s="192">
        <f t="shared" si="95"/>
        <v>45596</v>
      </c>
      <c r="G192" s="24">
        <f>UTT!C482</f>
        <v>1479.8190085225704</v>
      </c>
      <c r="H192" s="24">
        <f>UTT!D482</f>
        <v>1287.2159999999999</v>
      </c>
      <c r="I192" s="24">
        <f>UTT!E482</f>
        <v>139.1</v>
      </c>
      <c r="J192" s="24">
        <f>UTT!F482</f>
        <v>127.17</v>
      </c>
      <c r="K192" s="24">
        <f>UTT!G482</f>
        <v>172.2</v>
      </c>
      <c r="L192" s="24">
        <f>UTT!H482</f>
        <v>153.45999999999995</v>
      </c>
      <c r="M192" s="195">
        <f t="shared" ref="M192" si="106">G192/E192/K192/Q192</f>
        <v>0.72703945188403418</v>
      </c>
      <c r="N192" s="195">
        <f t="shared" ref="N192" si="107">H192/E192/L192/R192</f>
        <v>0.71417489744117246</v>
      </c>
      <c r="O192" s="195">
        <f t="shared" ref="O192" si="108">G192/24/DAY(F192)/D192</f>
        <v>0.19890040437131323</v>
      </c>
      <c r="P192" s="195">
        <f t="shared" ref="P192" si="109">H192/24/DAY(F192)/D192</f>
        <v>0.17301290322580642</v>
      </c>
      <c r="Q192" s="202">
        <f>UTT!M482</f>
        <v>0.98499999999999999</v>
      </c>
      <c r="R192" s="202">
        <f>UTT!N482</f>
        <v>0.97874691993820528</v>
      </c>
      <c r="S192" s="202">
        <f>UTT!O482</f>
        <v>0.99</v>
      </c>
      <c r="T192" s="202">
        <f>UTT!P482</f>
        <v>0.99374838709677416</v>
      </c>
      <c r="U192" s="198">
        <v>1.4999999999999999E-2</v>
      </c>
      <c r="V192" s="202">
        <f>UTT!V482</f>
        <v>-2.1399999999999999E-2</v>
      </c>
      <c r="W192" s="198">
        <v>0</v>
      </c>
      <c r="X192" s="197">
        <v>0</v>
      </c>
      <c r="Y192" s="199">
        <f t="shared" ref="Y192" si="110">(H192/G192-1)-(L192/K192-1)</f>
        <v>-2.1326139129332899E-2</v>
      </c>
    </row>
    <row r="193" spans="2:25">
      <c r="B193" s="189" t="s">
        <v>9</v>
      </c>
      <c r="C193" s="190" t="s">
        <v>62</v>
      </c>
      <c r="D193" s="200">
        <v>10</v>
      </c>
      <c r="E193" s="201">
        <v>12</v>
      </c>
      <c r="F193" s="192">
        <f t="shared" si="95"/>
        <v>45626</v>
      </c>
      <c r="G193" s="24">
        <f>UTT!C483</f>
        <v>1308.8806156962105</v>
      </c>
      <c r="H193" s="24">
        <f>UTT!D483</f>
        <v>947.16</v>
      </c>
      <c r="I193" s="24">
        <f>UTT!E483</f>
        <v>108.1</v>
      </c>
      <c r="J193" s="24">
        <f>UTT!F483</f>
        <v>84.36999999999999</v>
      </c>
      <c r="K193" s="24">
        <f>UTT!G483</f>
        <v>152.1</v>
      </c>
      <c r="L193" s="24">
        <f>UTT!H483</f>
        <v>111.37</v>
      </c>
      <c r="M193" s="195">
        <f t="shared" ref="M193" si="111">G193/E193/K193/Q193</f>
        <v>0.72803682216382404</v>
      </c>
      <c r="N193" s="195">
        <f t="shared" ref="N193" si="112">H193/E193/L193/R193</f>
        <v>0.7204757185225994</v>
      </c>
      <c r="O193" s="195">
        <f t="shared" ref="O193" si="113">G193/24/DAY(F193)/D193</f>
        <v>0.18178897440225145</v>
      </c>
      <c r="P193" s="195">
        <f t="shared" ref="P193" si="114">H193/24/DAY(F193)/D193</f>
        <v>0.13155</v>
      </c>
      <c r="Q193" s="202">
        <f>UTT!M483</f>
        <v>0.98499999999999999</v>
      </c>
      <c r="R193" s="202">
        <f>UTT!N483</f>
        <v>0.98368156933333328</v>
      </c>
      <c r="S193" s="202">
        <f>UTT!O483</f>
        <v>0.99</v>
      </c>
      <c r="T193" s="202">
        <f>UTT!P483</f>
        <v>1</v>
      </c>
      <c r="U193" s="198">
        <v>1.4999999999999999E-2</v>
      </c>
      <c r="V193" s="202">
        <f>UTT!V483</f>
        <v>-2.64E-2</v>
      </c>
      <c r="W193" s="198">
        <v>0</v>
      </c>
      <c r="X193" s="197">
        <v>0</v>
      </c>
      <c r="Y193" s="199">
        <f t="shared" ref="Y193" si="115">(H193/G193-1)-(L193/K193-1)</f>
        <v>-8.5744013005053521E-3</v>
      </c>
    </row>
    <row r="194" spans="2:25">
      <c r="B194" s="189" t="s">
        <v>9</v>
      </c>
      <c r="C194" s="190" t="s">
        <v>62</v>
      </c>
      <c r="D194" s="200">
        <v>10</v>
      </c>
      <c r="E194" s="201">
        <v>12</v>
      </c>
      <c r="F194" s="192">
        <f t="shared" si="95"/>
        <v>45657</v>
      </c>
      <c r="G194" s="24">
        <f>UTT!C484</f>
        <v>1096.988232921869</v>
      </c>
      <c r="H194" s="24">
        <f>UTT!D484</f>
        <v>1006.788</v>
      </c>
      <c r="I194" s="24">
        <f>UTT!E484</f>
        <v>89.9</v>
      </c>
      <c r="J194" s="24">
        <f>UTT!F484</f>
        <v>77.62</v>
      </c>
      <c r="K194" s="24">
        <f>UTT!G484</f>
        <v>129.6</v>
      </c>
      <c r="L194" s="24">
        <f>UTT!H484</f>
        <v>112.75</v>
      </c>
      <c r="M194" s="195">
        <f t="shared" ref="M194" si="116">G194/E194/K194/Q194</f>
        <v>0.71610959200368507</v>
      </c>
      <c r="N194" s="195">
        <f t="shared" ref="N194" si="117">H194/E194/L194/R194</f>
        <v>0.74641715352439009</v>
      </c>
      <c r="O194" s="195">
        <f t="shared" ref="O194" si="118">G194/24/DAY(F194)/D194</f>
        <v>0.14744465496261677</v>
      </c>
      <c r="P194" s="195">
        <f t="shared" ref="P194" si="119">H194/24/DAY(F194)/D194</f>
        <v>0.1353209677419355</v>
      </c>
      <c r="Q194" s="202">
        <f>UTT!M484</f>
        <v>0.98499999999999999</v>
      </c>
      <c r="R194" s="202">
        <f>UTT!N484</f>
        <v>0.99691612903225801</v>
      </c>
      <c r="S194" s="202">
        <f>UTT!O484</f>
        <v>0.99</v>
      </c>
      <c r="T194" s="202">
        <f>UTT!P484</f>
        <v>1</v>
      </c>
      <c r="U194" s="198">
        <v>1.4999999999999999E-2</v>
      </c>
      <c r="V194" s="202">
        <f>UTT!V484</f>
        <v>-1.7600000000000001E-2</v>
      </c>
      <c r="W194" s="198">
        <v>0</v>
      </c>
      <c r="X194" s="197">
        <v>0</v>
      </c>
      <c r="Y194" s="199">
        <f t="shared" ref="Y194" si="120">(H194/G194-1)-(L194/K194-1)</f>
        <v>4.7790089825387239E-2</v>
      </c>
    </row>
    <row r="195" spans="2:25">
      <c r="B195" s="189"/>
      <c r="C195" s="190"/>
      <c r="D195" s="200"/>
      <c r="E195" s="201"/>
      <c r="F195" s="192"/>
      <c r="G195" s="24"/>
      <c r="H195" s="24"/>
      <c r="I195" s="24"/>
      <c r="J195" s="24"/>
      <c r="K195" s="24"/>
      <c r="L195" s="24"/>
      <c r="M195" s="195"/>
      <c r="N195" s="195"/>
      <c r="O195" s="195"/>
      <c r="P195" s="195"/>
      <c r="Q195" s="202"/>
      <c r="R195" s="202"/>
      <c r="S195" s="202"/>
      <c r="T195" s="203"/>
      <c r="U195" s="198"/>
      <c r="V195" s="203"/>
      <c r="W195" s="198"/>
      <c r="X195" s="197"/>
      <c r="Y195" s="199"/>
    </row>
    <row r="196" spans="2:25">
      <c r="B196" s="189" t="s">
        <v>9</v>
      </c>
      <c r="C196" s="190" t="s">
        <v>63</v>
      </c>
      <c r="D196" s="190">
        <v>10</v>
      </c>
      <c r="E196" s="191">
        <v>12</v>
      </c>
      <c r="F196" s="192">
        <v>42766</v>
      </c>
      <c r="G196" s="24"/>
      <c r="H196" s="24">
        <v>0</v>
      </c>
      <c r="I196" s="193">
        <v>79.599999999999994</v>
      </c>
      <c r="J196" s="194"/>
      <c r="K196" s="193">
        <v>103.2</v>
      </c>
      <c r="L196" s="194"/>
      <c r="M196" s="195">
        <v>0.83399999999999996</v>
      </c>
      <c r="N196" s="195"/>
      <c r="O196" s="195"/>
      <c r="P196" s="195"/>
      <c r="Q196" s="195">
        <v>0.98499999999999999</v>
      </c>
      <c r="R196" s="195"/>
      <c r="S196" s="196">
        <v>0.99</v>
      </c>
      <c r="T196" s="197"/>
      <c r="U196" s="198">
        <v>1.4999999999999999E-2</v>
      </c>
      <c r="V196" s="197">
        <v>0</v>
      </c>
      <c r="W196" s="198">
        <v>0</v>
      </c>
      <c r="X196" s="197">
        <v>0</v>
      </c>
      <c r="Y196" s="199" t="e">
        <f t="shared" si="63"/>
        <v>#DIV/0!</v>
      </c>
    </row>
    <row r="197" spans="2:25">
      <c r="B197" s="189" t="s">
        <v>9</v>
      </c>
      <c r="C197" s="190" t="s">
        <v>63</v>
      </c>
      <c r="D197" s="190">
        <v>10</v>
      </c>
      <c r="E197" s="191">
        <v>12</v>
      </c>
      <c r="F197" s="192">
        <v>42794</v>
      </c>
      <c r="G197" s="24"/>
      <c r="H197" s="24"/>
      <c r="I197" s="193">
        <v>108.1</v>
      </c>
      <c r="J197" s="194"/>
      <c r="K197" s="193">
        <v>137.5</v>
      </c>
      <c r="L197" s="194"/>
      <c r="M197" s="195">
        <v>0.81899999999999995</v>
      </c>
      <c r="N197" s="195"/>
      <c r="O197" s="195"/>
      <c r="P197" s="195"/>
      <c r="Q197" s="195">
        <v>0.98499999999999999</v>
      </c>
      <c r="R197" s="195"/>
      <c r="S197" s="196">
        <v>0.99</v>
      </c>
      <c r="T197" s="197"/>
      <c r="U197" s="198">
        <v>1.4999999999999999E-2</v>
      </c>
      <c r="V197" s="197">
        <v>0</v>
      </c>
      <c r="W197" s="198">
        <v>0</v>
      </c>
      <c r="X197" s="197">
        <v>0</v>
      </c>
      <c r="Y197" s="199" t="e">
        <f t="shared" si="63"/>
        <v>#DIV/0!</v>
      </c>
    </row>
    <row r="198" spans="2:25">
      <c r="B198" s="189" t="s">
        <v>9</v>
      </c>
      <c r="C198" s="190" t="s">
        <v>63</v>
      </c>
      <c r="D198" s="190">
        <v>10</v>
      </c>
      <c r="E198" s="191">
        <v>12</v>
      </c>
      <c r="F198" s="192">
        <v>42825</v>
      </c>
      <c r="G198" s="24"/>
      <c r="H198" s="24">
        <v>117.09</v>
      </c>
      <c r="I198" s="193">
        <v>161.4</v>
      </c>
      <c r="J198" s="194"/>
      <c r="K198" s="193">
        <v>187.8</v>
      </c>
      <c r="L198" s="194"/>
      <c r="M198" s="195">
        <v>0.80200000000000005</v>
      </c>
      <c r="N198" s="195"/>
      <c r="O198" s="195"/>
      <c r="P198" s="195"/>
      <c r="Q198" s="195">
        <v>0.98499999999999999</v>
      </c>
      <c r="R198" s="195"/>
      <c r="S198" s="196">
        <v>0.99</v>
      </c>
      <c r="T198" s="197"/>
      <c r="U198" s="198">
        <v>1.4999999999999999E-2</v>
      </c>
      <c r="V198" s="197">
        <v>0</v>
      </c>
      <c r="W198" s="198">
        <v>0</v>
      </c>
      <c r="X198" s="197">
        <v>0</v>
      </c>
      <c r="Y198" s="199" t="e">
        <f t="shared" si="63"/>
        <v>#DIV/0!</v>
      </c>
    </row>
    <row r="199" spans="2:25">
      <c r="B199" s="189" t="s">
        <v>9</v>
      </c>
      <c r="C199" s="190" t="s">
        <v>63</v>
      </c>
      <c r="D199" s="190">
        <v>10</v>
      </c>
      <c r="E199" s="191">
        <v>12</v>
      </c>
      <c r="F199" s="192">
        <v>42855</v>
      </c>
      <c r="G199" s="24">
        <v>1867.275397156815</v>
      </c>
      <c r="H199" s="24">
        <v>844.83600000000001</v>
      </c>
      <c r="I199" s="193">
        <v>190.2</v>
      </c>
      <c r="J199" s="194"/>
      <c r="K199" s="193">
        <v>194</v>
      </c>
      <c r="L199" s="194"/>
      <c r="M199" s="195">
        <v>0.80175045684305279</v>
      </c>
      <c r="N199" s="195"/>
      <c r="O199" s="195"/>
      <c r="P199" s="195"/>
      <c r="Q199" s="195">
        <v>0.98499999999999999</v>
      </c>
      <c r="R199" s="195"/>
      <c r="S199" s="196">
        <v>0.99</v>
      </c>
      <c r="T199" s="197"/>
      <c r="U199" s="198">
        <v>1.4999999999999999E-2</v>
      </c>
      <c r="V199" s="197">
        <v>0</v>
      </c>
      <c r="W199" s="198">
        <v>0</v>
      </c>
      <c r="X199" s="197">
        <v>0</v>
      </c>
      <c r="Y199" s="199">
        <f t="shared" si="63"/>
        <v>0.45244317002536405</v>
      </c>
    </row>
    <row r="200" spans="2:25">
      <c r="B200" s="189" t="s">
        <v>9</v>
      </c>
      <c r="C200" s="190" t="s">
        <v>63</v>
      </c>
      <c r="D200" s="190">
        <v>10</v>
      </c>
      <c r="E200" s="191">
        <v>12</v>
      </c>
      <c r="F200" s="192">
        <v>42886</v>
      </c>
      <c r="G200" s="24">
        <v>1891.8054331143148</v>
      </c>
      <c r="H200" s="24">
        <v>1176</v>
      </c>
      <c r="I200" s="193">
        <v>197</v>
      </c>
      <c r="J200" s="194"/>
      <c r="K200" s="193">
        <v>197.7</v>
      </c>
      <c r="L200" s="194"/>
      <c r="M200" s="195">
        <v>0.79700000000000004</v>
      </c>
      <c r="N200" s="195"/>
      <c r="O200" s="195"/>
      <c r="P200" s="195"/>
      <c r="Q200" s="195">
        <v>0.98499999999999999</v>
      </c>
      <c r="R200" s="195"/>
      <c r="S200" s="196">
        <v>0.99</v>
      </c>
      <c r="T200" s="197"/>
      <c r="U200" s="198">
        <v>1.4999999999999999E-2</v>
      </c>
      <c r="V200" s="197">
        <v>0</v>
      </c>
      <c r="W200" s="198">
        <v>0</v>
      </c>
      <c r="X200" s="197">
        <v>0</v>
      </c>
      <c r="Y200" s="199">
        <f t="shared" si="63"/>
        <v>0.62162840819420495</v>
      </c>
    </row>
    <row r="201" spans="2:25">
      <c r="B201" s="189" t="s">
        <v>9</v>
      </c>
      <c r="C201" s="190" t="s">
        <v>63</v>
      </c>
      <c r="D201" s="190">
        <v>10</v>
      </c>
      <c r="E201" s="191">
        <v>12</v>
      </c>
      <c r="F201" s="192">
        <v>42916</v>
      </c>
      <c r="G201" s="24">
        <v>1701.4523540841149</v>
      </c>
      <c r="H201" s="24">
        <v>1246.674</v>
      </c>
      <c r="I201" s="193">
        <v>178.9</v>
      </c>
      <c r="J201" s="194">
        <v>150.04</v>
      </c>
      <c r="K201" s="193">
        <v>177.2</v>
      </c>
      <c r="L201" s="194">
        <v>143.55000000000001</v>
      </c>
      <c r="M201" s="195">
        <v>0.8</v>
      </c>
      <c r="N201" s="195">
        <f>H201/12/L201</f>
        <v>0.72371647509578541</v>
      </c>
      <c r="O201" s="195">
        <f>G201/24/30/10</f>
        <v>0.23631282695612707</v>
      </c>
      <c r="P201" s="195">
        <f>H201/24/30/10</f>
        <v>0.17314916666666666</v>
      </c>
      <c r="Q201" s="195">
        <v>0.98499999999999999</v>
      </c>
      <c r="R201" s="195">
        <v>0.80037789999999998</v>
      </c>
      <c r="S201" s="196">
        <v>0.99</v>
      </c>
      <c r="T201" s="197">
        <v>0.99860000000000004</v>
      </c>
      <c r="U201" s="198">
        <v>1.4999999999999999E-2</v>
      </c>
      <c r="V201" s="197">
        <v>0</v>
      </c>
      <c r="W201" s="198">
        <v>0</v>
      </c>
      <c r="X201" s="197">
        <v>0</v>
      </c>
      <c r="Y201" s="199">
        <f t="shared" si="63"/>
        <v>-7.7389907658969692E-2</v>
      </c>
    </row>
    <row r="202" spans="2:25">
      <c r="B202" s="189" t="s">
        <v>9</v>
      </c>
      <c r="C202" s="190" t="s">
        <v>63</v>
      </c>
      <c r="D202" s="190">
        <v>10</v>
      </c>
      <c r="E202" s="191">
        <v>12</v>
      </c>
      <c r="F202" s="192">
        <v>42947</v>
      </c>
      <c r="G202" s="24">
        <v>1509.1368721773149</v>
      </c>
      <c r="H202" s="24">
        <v>1199.508</v>
      </c>
      <c r="I202" s="193">
        <v>155.5</v>
      </c>
      <c r="J202" s="194">
        <v>155.87</v>
      </c>
      <c r="K202" s="193">
        <v>154.6</v>
      </c>
      <c r="L202" s="194">
        <v>154.13</v>
      </c>
      <c r="M202" s="195">
        <v>0.81299999999999994</v>
      </c>
      <c r="N202" s="195">
        <f t="shared" ref="N202:N210" si="121">H202/12/L202</f>
        <v>0.64853694932848893</v>
      </c>
      <c r="O202" s="195">
        <f>G202/24/31/10</f>
        <v>0.20284097744318749</v>
      </c>
      <c r="P202" s="195">
        <f>H202/24/31/10</f>
        <v>0.1612241935483871</v>
      </c>
      <c r="Q202" s="195">
        <v>0.98499999999999999</v>
      </c>
      <c r="R202" s="195">
        <v>0.8454083</v>
      </c>
      <c r="S202" s="196">
        <v>0.99</v>
      </c>
      <c r="T202" s="197">
        <v>0.99109999999999998</v>
      </c>
      <c r="U202" s="198">
        <v>1.4999999999999999E-2</v>
      </c>
      <c r="V202" s="197">
        <v>0</v>
      </c>
      <c r="W202" s="198">
        <v>0</v>
      </c>
      <c r="X202" s="197">
        <v>0</v>
      </c>
      <c r="Y202" s="199">
        <f t="shared" si="63"/>
        <v>-0.20212940623527931</v>
      </c>
    </row>
    <row r="203" spans="2:25">
      <c r="B203" s="189" t="s">
        <v>9</v>
      </c>
      <c r="C203" s="190" t="s">
        <v>63</v>
      </c>
      <c r="D203" s="190">
        <v>10</v>
      </c>
      <c r="E203" s="191">
        <v>12</v>
      </c>
      <c r="F203" s="192">
        <v>42978</v>
      </c>
      <c r="G203" s="24">
        <v>1433.5843614282148</v>
      </c>
      <c r="H203" s="24">
        <v>1195.3679999999999</v>
      </c>
      <c r="I203" s="193">
        <v>145.4</v>
      </c>
      <c r="J203" s="194">
        <v>132.9</v>
      </c>
      <c r="K203" s="193">
        <v>146.30000000000001</v>
      </c>
      <c r="L203" s="194">
        <v>133.47999999999999</v>
      </c>
      <c r="M203" s="195">
        <v>0.81699999999999995</v>
      </c>
      <c r="N203" s="195">
        <f t="shared" si="121"/>
        <v>0.74628408750374586</v>
      </c>
      <c r="O203" s="195">
        <f>G203/24/31/10</f>
        <v>0.19268607008443747</v>
      </c>
      <c r="P203" s="195">
        <f>H203/24/31/10</f>
        <v>0.16066774193548386</v>
      </c>
      <c r="Q203" s="195">
        <v>0.98499999999999999</v>
      </c>
      <c r="R203" s="195">
        <v>0.92285567999999996</v>
      </c>
      <c r="S203" s="196">
        <v>0.99</v>
      </c>
      <c r="T203" s="197">
        <v>0.99360000000000004</v>
      </c>
      <c r="U203" s="198">
        <v>1.4999999999999999E-2</v>
      </c>
      <c r="V203" s="197">
        <v>0</v>
      </c>
      <c r="W203" s="198">
        <v>0</v>
      </c>
      <c r="X203" s="197">
        <v>0</v>
      </c>
      <c r="Y203" s="199">
        <f t="shared" si="63"/>
        <v>-7.8540198107293291E-2</v>
      </c>
    </row>
    <row r="204" spans="2:25">
      <c r="B204" s="189" t="s">
        <v>9</v>
      </c>
      <c r="C204" s="190" t="s">
        <v>63</v>
      </c>
      <c r="D204" s="190">
        <v>10</v>
      </c>
      <c r="E204" s="191">
        <v>12</v>
      </c>
      <c r="F204" s="192">
        <v>43008</v>
      </c>
      <c r="G204" s="24">
        <v>1427.6971527984149</v>
      </c>
      <c r="H204" s="24">
        <v>1175.598</v>
      </c>
      <c r="I204" s="193">
        <v>141.6</v>
      </c>
      <c r="J204" s="194">
        <v>121.86</v>
      </c>
      <c r="K204" s="193">
        <v>145.5</v>
      </c>
      <c r="L204" s="194">
        <v>124.66</v>
      </c>
      <c r="M204" s="195">
        <v>0.81799999999999995</v>
      </c>
      <c r="N204" s="195">
        <f t="shared" si="121"/>
        <v>0.78586956521739126</v>
      </c>
      <c r="O204" s="195">
        <f>G204/24/30/10</f>
        <v>0.19829127122200207</v>
      </c>
      <c r="P204" s="195">
        <f>H204/24/30/10</f>
        <v>0.16327749999999999</v>
      </c>
      <c r="Q204" s="195">
        <v>0.98499999999999999</v>
      </c>
      <c r="R204" s="195">
        <v>0.96017317999999996</v>
      </c>
      <c r="S204" s="196">
        <v>0.99</v>
      </c>
      <c r="T204" s="197">
        <v>0.99129999999999996</v>
      </c>
      <c r="U204" s="198">
        <v>1.4999999999999999E-2</v>
      </c>
      <c r="V204" s="197">
        <v>0</v>
      </c>
      <c r="W204" s="198">
        <v>0</v>
      </c>
      <c r="X204" s="197">
        <v>0</v>
      </c>
      <c r="Y204" s="199">
        <f t="shared" si="63"/>
        <v>-3.3347230592618127E-2</v>
      </c>
    </row>
    <row r="205" spans="2:25">
      <c r="B205" s="189" t="s">
        <v>9</v>
      </c>
      <c r="C205" s="190" t="s">
        <v>63</v>
      </c>
      <c r="D205" s="190">
        <v>10</v>
      </c>
      <c r="E205" s="191">
        <v>12</v>
      </c>
      <c r="F205" s="192">
        <v>43039</v>
      </c>
      <c r="G205" s="24">
        <v>1631.787051964815</v>
      </c>
      <c r="H205" s="24">
        <v>1362.81</v>
      </c>
      <c r="I205" s="193">
        <v>139.1</v>
      </c>
      <c r="J205" s="194">
        <v>127.33</v>
      </c>
      <c r="K205" s="193">
        <v>172.2</v>
      </c>
      <c r="L205" s="194">
        <v>152.07</v>
      </c>
      <c r="M205" s="195">
        <v>0.79</v>
      </c>
      <c r="N205" s="195">
        <f t="shared" si="121"/>
        <v>0.74681067929243117</v>
      </c>
      <c r="O205" s="195">
        <f>G205/24/31/10</f>
        <v>0.2193262166619375</v>
      </c>
      <c r="P205" s="195">
        <f>H205/24/31/10</f>
        <v>0.18317338709677417</v>
      </c>
      <c r="Q205" s="195">
        <v>0.98499999999999999</v>
      </c>
      <c r="R205" s="195">
        <v>0.9694221999999999</v>
      </c>
      <c r="S205" s="196">
        <v>0.99</v>
      </c>
      <c r="T205" s="197">
        <v>0.97399999999999998</v>
      </c>
      <c r="U205" s="198">
        <v>1.4999999999999999E-2</v>
      </c>
      <c r="V205" s="197">
        <v>0</v>
      </c>
      <c r="W205" s="198">
        <v>0</v>
      </c>
      <c r="X205" s="197">
        <v>0</v>
      </c>
      <c r="Y205" s="199">
        <f t="shared" si="63"/>
        <v>-4.7936923630256922E-2</v>
      </c>
    </row>
    <row r="206" spans="2:25">
      <c r="B206" s="189" t="s">
        <v>9</v>
      </c>
      <c r="C206" s="190" t="s">
        <v>63</v>
      </c>
      <c r="D206" s="190">
        <v>10</v>
      </c>
      <c r="E206" s="191">
        <v>12</v>
      </c>
      <c r="F206" s="192">
        <v>43069</v>
      </c>
      <c r="G206" s="24">
        <v>1447.3211815644149</v>
      </c>
      <c r="H206" s="24">
        <v>1117.296</v>
      </c>
      <c r="I206" s="193">
        <v>108.1</v>
      </c>
      <c r="J206" s="194">
        <v>91.62</v>
      </c>
      <c r="K206" s="193">
        <v>152.1</v>
      </c>
      <c r="L206" s="194">
        <v>115.39</v>
      </c>
      <c r="M206" s="195">
        <v>0.79300000000000004</v>
      </c>
      <c r="N206" s="195">
        <f t="shared" si="121"/>
        <v>0.80689834474391198</v>
      </c>
      <c r="O206" s="195">
        <f>G206/24/30/10</f>
        <v>0.20101683077283541</v>
      </c>
      <c r="P206" s="195">
        <f>H206/24/30/10</f>
        <v>0.15518000000000001</v>
      </c>
      <c r="Q206" s="195">
        <v>0.98499999999999999</v>
      </c>
      <c r="R206" s="195">
        <v>0.98853195999999999</v>
      </c>
      <c r="S206" s="196">
        <v>0.99</v>
      </c>
      <c r="T206" s="197">
        <v>0.99319999999999997</v>
      </c>
      <c r="U206" s="198">
        <v>1.4999999999999999E-2</v>
      </c>
      <c r="V206" s="197">
        <v>0</v>
      </c>
      <c r="W206" s="198">
        <v>0</v>
      </c>
      <c r="X206" s="197">
        <v>0</v>
      </c>
      <c r="Y206" s="199">
        <f t="shared" si="63"/>
        <v>1.3329531633332836E-2</v>
      </c>
    </row>
    <row r="207" spans="2:25">
      <c r="B207" s="189" t="s">
        <v>9</v>
      </c>
      <c r="C207" s="190" t="s">
        <v>63</v>
      </c>
      <c r="D207" s="190">
        <v>10</v>
      </c>
      <c r="E207" s="191">
        <v>12</v>
      </c>
      <c r="F207" s="192">
        <v>43100</v>
      </c>
      <c r="G207" s="24">
        <v>1212.2770249731238</v>
      </c>
      <c r="H207" s="24">
        <v>1051.068</v>
      </c>
      <c r="I207" s="193">
        <v>89.9</v>
      </c>
      <c r="J207" s="194">
        <v>78.62</v>
      </c>
      <c r="K207" s="193">
        <v>129.6</v>
      </c>
      <c r="L207" s="194">
        <v>104.88</v>
      </c>
      <c r="M207" s="195">
        <v>0.78300000000000003</v>
      </c>
      <c r="N207" s="195">
        <f t="shared" si="121"/>
        <v>0.8351353928299009</v>
      </c>
      <c r="O207" s="195">
        <f>G207/24/31/10</f>
        <v>0.16294046034584997</v>
      </c>
      <c r="P207" s="195">
        <f>H207/24/31/10</f>
        <v>0.14127258064516129</v>
      </c>
      <c r="Q207" s="195">
        <v>0.98499999999999999</v>
      </c>
      <c r="R207" s="195">
        <v>0.98680000000000001</v>
      </c>
      <c r="S207" s="196">
        <v>0.99</v>
      </c>
      <c r="T207" s="197">
        <v>0.98680000000000001</v>
      </c>
      <c r="U207" s="198">
        <v>1.4999999999999999E-2</v>
      </c>
      <c r="V207" s="197">
        <v>0</v>
      </c>
      <c r="W207" s="198">
        <v>0</v>
      </c>
      <c r="X207" s="197">
        <v>0</v>
      </c>
      <c r="Y207" s="199">
        <f t="shared" si="63"/>
        <v>5.7760389177369476E-2</v>
      </c>
    </row>
    <row r="208" spans="2:25">
      <c r="B208" s="189" t="s">
        <v>9</v>
      </c>
      <c r="C208" s="190" t="s">
        <v>63</v>
      </c>
      <c r="D208" s="190">
        <v>10</v>
      </c>
      <c r="E208" s="191">
        <v>12</v>
      </c>
      <c r="F208" s="192">
        <v>43131</v>
      </c>
      <c r="G208" s="24">
        <v>1027.1116082976973</v>
      </c>
      <c r="H208" s="24">
        <v>946.35599999999999</v>
      </c>
      <c r="I208" s="193">
        <v>79.599999999999994</v>
      </c>
      <c r="J208" s="194">
        <v>73.22</v>
      </c>
      <c r="K208" s="193">
        <v>103.2</v>
      </c>
      <c r="L208" s="194">
        <v>93.11</v>
      </c>
      <c r="M208" s="195">
        <v>0.83399999999999996</v>
      </c>
      <c r="N208" s="195">
        <f t="shared" si="121"/>
        <v>0.84698743421759215</v>
      </c>
      <c r="O208" s="195">
        <f>G208/24/31/10</f>
        <v>0.13805263552388405</v>
      </c>
      <c r="P208" s="195">
        <f>H208/24/31/10</f>
        <v>0.1271983870967742</v>
      </c>
      <c r="Q208" s="195">
        <v>0.98499999999999999</v>
      </c>
      <c r="R208" s="195">
        <v>0.98509999999999998</v>
      </c>
      <c r="S208" s="196">
        <v>0.99</v>
      </c>
      <c r="T208" s="197">
        <v>0.98509999999999998</v>
      </c>
      <c r="U208" s="198">
        <v>1.4999999999999999E-2</v>
      </c>
      <c r="V208" s="197">
        <v>0</v>
      </c>
      <c r="W208" s="198">
        <v>0</v>
      </c>
      <c r="X208" s="197">
        <v>0</v>
      </c>
      <c r="Y208" s="199">
        <f t="shared" si="63"/>
        <v>1.9147332232079872E-2</v>
      </c>
    </row>
    <row r="209" spans="2:25">
      <c r="B209" s="189" t="s">
        <v>9</v>
      </c>
      <c r="C209" s="190" t="s">
        <v>63</v>
      </c>
      <c r="D209" s="190">
        <v>10</v>
      </c>
      <c r="E209" s="191">
        <v>12</v>
      </c>
      <c r="F209" s="192">
        <v>43159</v>
      </c>
      <c r="G209" s="24">
        <v>1344.4076234079598</v>
      </c>
      <c r="H209" s="24">
        <f>1350822/1000</f>
        <v>1350.8219999999999</v>
      </c>
      <c r="I209" s="193">
        <v>108.1</v>
      </c>
      <c r="J209" s="194">
        <v>111.26</v>
      </c>
      <c r="K209" s="193">
        <v>137.5</v>
      </c>
      <c r="L209" s="194">
        <v>135.04</v>
      </c>
      <c r="M209" s="195">
        <v>0.81899999999999995</v>
      </c>
      <c r="N209" s="195">
        <f t="shared" si="121"/>
        <v>0.83359374999999991</v>
      </c>
      <c r="O209" s="195">
        <f>G209/24/28/10</f>
        <v>0.20006065824523214</v>
      </c>
      <c r="P209" s="195">
        <f>H209/24/28/10</f>
        <v>0.20101517857142856</v>
      </c>
      <c r="Q209" s="195">
        <v>0.98499999999999999</v>
      </c>
      <c r="R209" s="195">
        <v>0.9647</v>
      </c>
      <c r="S209" s="196">
        <v>0.99</v>
      </c>
      <c r="T209" s="197">
        <v>0.97989999999999999</v>
      </c>
      <c r="U209" s="198">
        <v>1.4999999999999999E-2</v>
      </c>
      <c r="V209" s="197">
        <v>0</v>
      </c>
      <c r="W209" s="198">
        <v>0</v>
      </c>
      <c r="X209" s="197">
        <v>0</v>
      </c>
      <c r="Y209" s="199">
        <f t="shared" si="63"/>
        <v>2.2662063672568067E-2</v>
      </c>
    </row>
    <row r="210" spans="2:25">
      <c r="B210" s="189" t="s">
        <v>9</v>
      </c>
      <c r="C210" s="190" t="s">
        <v>63</v>
      </c>
      <c r="D210" s="190">
        <v>10</v>
      </c>
      <c r="E210" s="191">
        <v>12</v>
      </c>
      <c r="F210" s="192">
        <v>43190</v>
      </c>
      <c r="G210" s="24">
        <v>1798</v>
      </c>
      <c r="H210" s="24">
        <v>1698.68</v>
      </c>
      <c r="I210" s="193">
        <v>161.4</v>
      </c>
      <c r="J210" s="194">
        <v>166.36</v>
      </c>
      <c r="K210" s="193">
        <v>187.8</v>
      </c>
      <c r="L210" s="194">
        <v>178.39</v>
      </c>
      <c r="M210" s="195">
        <v>0.80200000000000005</v>
      </c>
      <c r="N210" s="195">
        <f t="shared" si="121"/>
        <v>0.79352355326344903</v>
      </c>
      <c r="O210" s="195">
        <f>G210/24/31/10</f>
        <v>0.2416666666666667</v>
      </c>
      <c r="P210" s="195">
        <f>H210/24/31/10</f>
        <v>0.22831720430107527</v>
      </c>
      <c r="Q210" s="195">
        <v>0.98499999999999999</v>
      </c>
      <c r="R210" s="195">
        <v>0.99780000000000002</v>
      </c>
      <c r="S210" s="196">
        <v>0.99</v>
      </c>
      <c r="T210" s="197">
        <v>0.99780000000000002</v>
      </c>
      <c r="U210" s="198">
        <v>1.4999999999999999E-2</v>
      </c>
      <c r="V210" s="197">
        <v>0</v>
      </c>
      <c r="W210" s="198">
        <v>0</v>
      </c>
      <c r="X210" s="197">
        <v>0</v>
      </c>
      <c r="Y210" s="199">
        <f t="shared" si="63"/>
        <v>-5.1326583436095419E-3</v>
      </c>
    </row>
    <row r="211" spans="2:25">
      <c r="B211" s="189" t="s">
        <v>9</v>
      </c>
      <c r="C211" s="190" t="s">
        <v>63</v>
      </c>
      <c r="D211" s="190">
        <v>10</v>
      </c>
      <c r="E211" s="191">
        <v>12</v>
      </c>
      <c r="F211" s="192">
        <v>43220</v>
      </c>
      <c r="G211" s="24">
        <v>1746.4626789607689</v>
      </c>
      <c r="H211" s="24">
        <v>1342.566</v>
      </c>
      <c r="I211" s="193">
        <v>190.2</v>
      </c>
      <c r="J211" s="194">
        <v>148.41999999999999</v>
      </c>
      <c r="K211" s="193">
        <v>194</v>
      </c>
      <c r="L211" s="194">
        <v>152.27000000000001</v>
      </c>
      <c r="M211" s="195">
        <f>G211/E211/K211/Q211</f>
        <v>0.76162309163255049</v>
      </c>
      <c r="N211" s="195">
        <f>H211/E211/L211/R211</f>
        <v>0.7827791241529658</v>
      </c>
      <c r="O211" s="195">
        <f>G211/24/DAY(F211)/D211</f>
        <v>0.24256426096677344</v>
      </c>
      <c r="P211" s="195">
        <f>H211/24/DAY(F211)/D211</f>
        <v>0.18646749999999998</v>
      </c>
      <c r="Q211" s="195">
        <v>0.98499999999999999</v>
      </c>
      <c r="R211" s="195">
        <v>0.93864380000000003</v>
      </c>
      <c r="S211" s="196">
        <v>0.99</v>
      </c>
      <c r="T211" s="197">
        <v>0.97399999999999998</v>
      </c>
      <c r="U211" s="198">
        <v>1.4999999999999999E-2</v>
      </c>
      <c r="V211" s="197">
        <v>0</v>
      </c>
      <c r="W211" s="198">
        <v>0</v>
      </c>
      <c r="X211" s="197">
        <v>0</v>
      </c>
      <c r="Y211" s="199">
        <f t="shared" si="63"/>
        <v>-1.6162472651369941E-2</v>
      </c>
    </row>
    <row r="212" spans="2:25">
      <c r="B212" s="189" t="s">
        <v>9</v>
      </c>
      <c r="C212" s="190" t="s">
        <v>63</v>
      </c>
      <c r="D212" s="190">
        <v>10</v>
      </c>
      <c r="E212" s="191">
        <v>12</v>
      </c>
      <c r="F212" s="192">
        <v>43251</v>
      </c>
      <c r="G212" s="24">
        <v>1769.4056215918188</v>
      </c>
      <c r="H212" s="24">
        <f>1527726/1000</f>
        <v>1527.7260000000001</v>
      </c>
      <c r="I212" s="193">
        <v>197</v>
      </c>
      <c r="J212" s="194">
        <v>164.25</v>
      </c>
      <c r="K212" s="193">
        <v>197.7</v>
      </c>
      <c r="L212" s="194">
        <v>165.53</v>
      </c>
      <c r="M212" s="195">
        <f t="shared" ref="M212:M269" si="122">G212/E212/K212/Q212</f>
        <v>0.75718718802258922</v>
      </c>
      <c r="N212" s="195">
        <f t="shared" ref="N212:N269" si="123">H212/E212/L212/R212</f>
        <v>0.77211958511571555</v>
      </c>
      <c r="O212" s="195">
        <f t="shared" ref="O212:O269" si="124">G212/24/DAY(F212)/D212</f>
        <v>0.23782333623545951</v>
      </c>
      <c r="P212" s="195">
        <f t="shared" ref="P212:P269" si="125">H212/24/DAY(F212)/D212</f>
        <v>0.20533951612903226</v>
      </c>
      <c r="Q212" s="195">
        <v>0.98499999999999999</v>
      </c>
      <c r="R212" s="195">
        <v>0.99609999999999999</v>
      </c>
      <c r="S212" s="196">
        <v>0.99</v>
      </c>
      <c r="T212" s="197">
        <v>0.99819999999999998</v>
      </c>
      <c r="U212" s="198">
        <v>1.4999999999999999E-2</v>
      </c>
      <c r="V212" s="197">
        <v>0</v>
      </c>
      <c r="W212" s="198">
        <v>0</v>
      </c>
      <c r="X212" s="197">
        <v>0</v>
      </c>
      <c r="Y212" s="199">
        <f t="shared" si="63"/>
        <v>2.6133268583072855E-2</v>
      </c>
    </row>
    <row r="213" spans="2:25">
      <c r="B213" s="189" t="s">
        <v>9</v>
      </c>
      <c r="C213" s="190" t="s">
        <v>63</v>
      </c>
      <c r="D213" s="190">
        <v>10</v>
      </c>
      <c r="E213" s="191">
        <v>12</v>
      </c>
      <c r="F213" s="192">
        <v>43281</v>
      </c>
      <c r="G213" s="24">
        <v>1591.3683867748728</v>
      </c>
      <c r="H213" s="24">
        <f>1490754/1000</f>
        <v>1490.7539999999999</v>
      </c>
      <c r="I213" s="193">
        <v>178.9</v>
      </c>
      <c r="J213" s="194">
        <f>5.18*30</f>
        <v>155.39999999999998</v>
      </c>
      <c r="K213" s="193">
        <v>177.2</v>
      </c>
      <c r="L213" s="194">
        <f>5.19*30</f>
        <v>155.70000000000002</v>
      </c>
      <c r="M213" s="195">
        <f t="shared" si="122"/>
        <v>0.75978293036197253</v>
      </c>
      <c r="N213" s="195">
        <f t="shared" si="123"/>
        <v>0.80961677138026089</v>
      </c>
      <c r="O213" s="195">
        <f t="shared" si="124"/>
        <v>0.22102338705206565</v>
      </c>
      <c r="P213" s="195">
        <f t="shared" si="125"/>
        <v>0.20704916666666665</v>
      </c>
      <c r="Q213" s="195">
        <v>0.98499999999999999</v>
      </c>
      <c r="R213" s="195">
        <v>0.98550000000000004</v>
      </c>
      <c r="S213" s="196">
        <v>0.99</v>
      </c>
      <c r="T213" s="197">
        <v>0.98760000000000003</v>
      </c>
      <c r="U213" s="198">
        <v>1.4999999999999999E-2</v>
      </c>
      <c r="V213" s="197">
        <v>0</v>
      </c>
      <c r="W213" s="198">
        <v>0</v>
      </c>
      <c r="X213" s="197">
        <v>0</v>
      </c>
      <c r="Y213" s="199">
        <f t="shared" si="63"/>
        <v>5.8106752708225295E-2</v>
      </c>
    </row>
    <row r="214" spans="2:25">
      <c r="B214" s="189" t="s">
        <v>9</v>
      </c>
      <c r="C214" s="190" t="s">
        <v>63</v>
      </c>
      <c r="D214" s="190">
        <v>10</v>
      </c>
      <c r="E214" s="191">
        <v>12</v>
      </c>
      <c r="F214" s="192">
        <v>43312</v>
      </c>
      <c r="G214" s="24">
        <v>1411.4957165474425</v>
      </c>
      <c r="H214" s="24">
        <f>1217682/1000</f>
        <v>1217.682</v>
      </c>
      <c r="I214" s="193">
        <v>155.5</v>
      </c>
      <c r="J214" s="194">
        <v>128.41</v>
      </c>
      <c r="K214" s="193">
        <v>154.6</v>
      </c>
      <c r="L214" s="194">
        <v>125.7</v>
      </c>
      <c r="M214" s="195">
        <f t="shared" si="122"/>
        <v>0.77241837816681136</v>
      </c>
      <c r="N214" s="195">
        <f t="shared" si="123"/>
        <v>0.82248324309997478</v>
      </c>
      <c r="O214" s="195">
        <f t="shared" si="124"/>
        <v>0.18971716620261322</v>
      </c>
      <c r="P214" s="195">
        <f t="shared" si="125"/>
        <v>0.16366693548387096</v>
      </c>
      <c r="Q214" s="195">
        <v>0.98499999999999999</v>
      </c>
      <c r="R214" s="195">
        <v>0.98150000000000004</v>
      </c>
      <c r="S214" s="196">
        <v>0.99</v>
      </c>
      <c r="T214" s="197">
        <v>0.9879</v>
      </c>
      <c r="U214" s="198">
        <v>1.4999999999999999E-2</v>
      </c>
      <c r="V214" s="197">
        <v>0</v>
      </c>
      <c r="W214" s="198">
        <v>0</v>
      </c>
      <c r="X214" s="197">
        <v>0</v>
      </c>
      <c r="Y214" s="199">
        <f t="shared" si="63"/>
        <v>4.962314499183218E-2</v>
      </c>
    </row>
    <row r="215" spans="2:25">
      <c r="B215" s="189" t="s">
        <v>9</v>
      </c>
      <c r="C215" s="190" t="s">
        <v>63</v>
      </c>
      <c r="D215" s="190">
        <v>10</v>
      </c>
      <c r="E215" s="191">
        <v>12</v>
      </c>
      <c r="F215" s="192">
        <v>43343</v>
      </c>
      <c r="G215" s="24">
        <v>1340.8314532438094</v>
      </c>
      <c r="H215" s="24">
        <f>1032606/1000</f>
        <v>1032.606</v>
      </c>
      <c r="I215" s="193">
        <v>145.4</v>
      </c>
      <c r="J215" s="194">
        <v>111.98</v>
      </c>
      <c r="K215" s="193">
        <v>146.30000000000001</v>
      </c>
      <c r="L215" s="194">
        <v>110.58</v>
      </c>
      <c r="M215" s="195">
        <f t="shared" si="122"/>
        <v>0.77537605738146087</v>
      </c>
      <c r="N215" s="195">
        <f t="shared" si="123"/>
        <v>0.8068998056250144</v>
      </c>
      <c r="O215" s="195">
        <f t="shared" si="124"/>
        <v>0.18021928134997439</v>
      </c>
      <c r="P215" s="195">
        <f t="shared" si="125"/>
        <v>0.13879112903225804</v>
      </c>
      <c r="Q215" s="195">
        <v>0.98499999999999999</v>
      </c>
      <c r="R215" s="195">
        <v>0.96440000000000003</v>
      </c>
      <c r="S215" s="196">
        <v>0.99</v>
      </c>
      <c r="T215" s="197">
        <v>0.99780000000000002</v>
      </c>
      <c r="U215" s="198">
        <v>1.4999999999999999E-2</v>
      </c>
      <c r="V215" s="197">
        <v>0</v>
      </c>
      <c r="W215" s="198">
        <v>0</v>
      </c>
      <c r="X215" s="197">
        <v>0</v>
      </c>
      <c r="Y215" s="199">
        <f t="shared" si="63"/>
        <v>1.427948460436268E-2</v>
      </c>
    </row>
    <row r="216" spans="2:25">
      <c r="B216" s="189" t="s">
        <v>9</v>
      </c>
      <c r="C216" s="190" t="s">
        <v>63</v>
      </c>
      <c r="D216" s="190">
        <v>10</v>
      </c>
      <c r="E216" s="191">
        <v>12</v>
      </c>
      <c r="F216" s="192">
        <v>43373</v>
      </c>
      <c r="G216" s="24">
        <v>1335.3251470123575</v>
      </c>
      <c r="H216" s="24">
        <f>1105950/1000</f>
        <v>1105.95</v>
      </c>
      <c r="I216" s="193">
        <v>141.6</v>
      </c>
      <c r="J216" s="194">
        <v>117.55</v>
      </c>
      <c r="K216" s="193">
        <v>145.5</v>
      </c>
      <c r="L216" s="194">
        <v>118.76</v>
      </c>
      <c r="M216" s="195">
        <f t="shared" si="122"/>
        <v>0.77643759892799635</v>
      </c>
      <c r="N216" s="195">
        <f t="shared" si="123"/>
        <v>0.80053632394102237</v>
      </c>
      <c r="O216" s="195">
        <f t="shared" si="124"/>
        <v>0.18546182597393854</v>
      </c>
      <c r="P216" s="195">
        <f t="shared" si="125"/>
        <v>0.15360416666666668</v>
      </c>
      <c r="Q216" s="195">
        <v>0.98499999999999999</v>
      </c>
      <c r="R216" s="195">
        <v>0.96940000000000004</v>
      </c>
      <c r="S216" s="196">
        <v>0.99</v>
      </c>
      <c r="T216" s="197">
        <v>0.98529999999999995</v>
      </c>
      <c r="U216" s="198">
        <v>1.4999999999999999E-2</v>
      </c>
      <c r="V216" s="197">
        <v>0</v>
      </c>
      <c r="W216" s="198">
        <v>0</v>
      </c>
      <c r="X216" s="197">
        <v>0</v>
      </c>
      <c r="Y216" s="199">
        <f t="shared" si="63"/>
        <v>1.2005315945981532E-2</v>
      </c>
    </row>
    <row r="217" spans="2:25">
      <c r="B217" s="189" t="s">
        <v>9</v>
      </c>
      <c r="C217" s="190" t="s">
        <v>63</v>
      </c>
      <c r="D217" s="190">
        <v>10</v>
      </c>
      <c r="E217" s="191">
        <v>12</v>
      </c>
      <c r="F217" s="192">
        <v>43404</v>
      </c>
      <c r="G217" s="24">
        <v>1526.2104297026915</v>
      </c>
      <c r="H217" s="24">
        <f>1439760/1000</f>
        <v>1439.76</v>
      </c>
      <c r="I217" s="193">
        <v>139.1</v>
      </c>
      <c r="J217" s="194">
        <f>4.35*31</f>
        <v>134.85</v>
      </c>
      <c r="K217" s="193">
        <v>172.2</v>
      </c>
      <c r="L217" s="194">
        <f>5.18*31</f>
        <v>160.57999999999998</v>
      </c>
      <c r="M217" s="195">
        <f t="shared" si="122"/>
        <v>0.74983169420060669</v>
      </c>
      <c r="N217" s="195">
        <f t="shared" si="123"/>
        <v>0.76711141823415807</v>
      </c>
      <c r="O217" s="195">
        <f t="shared" si="124"/>
        <v>0.20513581044391013</v>
      </c>
      <c r="P217" s="195">
        <f t="shared" si="125"/>
        <v>0.19351612903225807</v>
      </c>
      <c r="Q217" s="195">
        <v>0.98499999999999999</v>
      </c>
      <c r="R217" s="195">
        <v>0.97399999999999998</v>
      </c>
      <c r="S217" s="196">
        <v>0.99</v>
      </c>
      <c r="T217" s="197">
        <v>0.97460000000000002</v>
      </c>
      <c r="U217" s="198">
        <v>1.4999999999999999E-2</v>
      </c>
      <c r="V217" s="197">
        <v>0</v>
      </c>
      <c r="W217" s="198">
        <v>0</v>
      </c>
      <c r="X217" s="197">
        <v>0</v>
      </c>
      <c r="Y217" s="199">
        <f t="shared" si="63"/>
        <v>1.0835828037338624E-2</v>
      </c>
    </row>
    <row r="218" spans="2:25">
      <c r="B218" s="189" t="s">
        <v>9</v>
      </c>
      <c r="C218" s="190" t="s">
        <v>63</v>
      </c>
      <c r="D218" s="190">
        <v>10</v>
      </c>
      <c r="E218" s="191">
        <v>12</v>
      </c>
      <c r="F218" s="192">
        <v>43434</v>
      </c>
      <c r="G218" s="24">
        <v>1353.6795011171973</v>
      </c>
      <c r="H218" s="24">
        <f>1130088/1000</f>
        <v>1130.088</v>
      </c>
      <c r="I218" s="193">
        <v>108.1</v>
      </c>
      <c r="J218" s="194">
        <f>3.27*30</f>
        <v>98.1</v>
      </c>
      <c r="K218" s="193">
        <v>152.1</v>
      </c>
      <c r="L218" s="194">
        <f>4.39*30</f>
        <v>131.69999999999999</v>
      </c>
      <c r="M218" s="195">
        <f t="shared" si="122"/>
        <v>0.75295524313152096</v>
      </c>
      <c r="N218" s="195">
        <f t="shared" si="123"/>
        <v>0.74664774002571488</v>
      </c>
      <c r="O218" s="195">
        <f t="shared" si="124"/>
        <v>0.18801104182183298</v>
      </c>
      <c r="P218" s="195">
        <f t="shared" si="125"/>
        <v>0.15695666666666666</v>
      </c>
      <c r="Q218" s="195">
        <v>0.98499999999999999</v>
      </c>
      <c r="R218" s="195">
        <v>0.9577</v>
      </c>
      <c r="S218" s="196">
        <v>0.99</v>
      </c>
      <c r="T218" s="197">
        <v>0.99990000000000001</v>
      </c>
      <c r="U218" s="198">
        <v>1.4999999999999999E-2</v>
      </c>
      <c r="V218" s="197">
        <v>0</v>
      </c>
      <c r="W218" s="198">
        <v>0</v>
      </c>
      <c r="X218" s="197">
        <v>0</v>
      </c>
      <c r="Y218" s="199">
        <f t="shared" si="63"/>
        <v>-3.1050857471572879E-2</v>
      </c>
    </row>
    <row r="219" spans="2:25">
      <c r="B219" s="189" t="s">
        <v>9</v>
      </c>
      <c r="C219" s="190" t="s">
        <v>63</v>
      </c>
      <c r="D219" s="190">
        <v>10</v>
      </c>
      <c r="E219" s="191">
        <v>12</v>
      </c>
      <c r="F219" s="192">
        <v>43465</v>
      </c>
      <c r="G219" s="24">
        <v>1138.9335580905715</v>
      </c>
      <c r="H219" s="24">
        <f>1114704/1000</f>
        <v>1114.704</v>
      </c>
      <c r="I219" s="193">
        <v>89.9</v>
      </c>
      <c r="J219" s="194">
        <v>85.25</v>
      </c>
      <c r="K219" s="193">
        <v>129.6</v>
      </c>
      <c r="L219" s="194">
        <v>121.21</v>
      </c>
      <c r="M219" s="195">
        <f t="shared" si="122"/>
        <v>0.74349133484427654</v>
      </c>
      <c r="N219" s="195">
        <f t="shared" si="123"/>
        <v>0.78634558949025402</v>
      </c>
      <c r="O219" s="195">
        <f t="shared" si="124"/>
        <v>0.15308246748529186</v>
      </c>
      <c r="P219" s="195">
        <f t="shared" si="125"/>
        <v>0.14982580645161289</v>
      </c>
      <c r="Q219" s="195">
        <v>0.98499999999999999</v>
      </c>
      <c r="R219" s="195">
        <v>0.97460000000000002</v>
      </c>
      <c r="S219" s="196">
        <v>0.99</v>
      </c>
      <c r="T219" s="197">
        <v>1</v>
      </c>
      <c r="U219" s="198">
        <v>1.4999999999999999E-2</v>
      </c>
      <c r="V219" s="197">
        <v>0</v>
      </c>
      <c r="W219" s="198">
        <v>0</v>
      </c>
      <c r="X219" s="197">
        <v>0</v>
      </c>
      <c r="Y219" s="199">
        <f t="shared" si="63"/>
        <v>4.3463754787117947E-2</v>
      </c>
    </row>
    <row r="220" spans="2:25">
      <c r="B220" s="189" t="s">
        <v>9</v>
      </c>
      <c r="C220" s="190" t="s">
        <v>63</v>
      </c>
      <c r="D220" s="190">
        <v>10</v>
      </c>
      <c r="E220" s="191">
        <v>12</v>
      </c>
      <c r="F220" s="192">
        <v>43496</v>
      </c>
      <c r="G220" s="24">
        <v>960.6574872408363</v>
      </c>
      <c r="H220" s="24">
        <f>1085508/1000</f>
        <v>1085.508</v>
      </c>
      <c r="I220" s="193">
        <v>79.599999999999994</v>
      </c>
      <c r="J220" s="194">
        <v>84.01</v>
      </c>
      <c r="K220" s="193">
        <v>103.2</v>
      </c>
      <c r="L220" s="194">
        <v>117.8</v>
      </c>
      <c r="M220" s="195">
        <f t="shared" si="122"/>
        <v>0.7875377818774153</v>
      </c>
      <c r="N220" s="195">
        <f t="shared" si="123"/>
        <v>0.7818196149526081</v>
      </c>
      <c r="O220" s="195">
        <f t="shared" si="124"/>
        <v>0.12912063000548873</v>
      </c>
      <c r="P220" s="195">
        <f t="shared" si="125"/>
        <v>0.14590161290322581</v>
      </c>
      <c r="Q220" s="195">
        <v>0.98499999999999999</v>
      </c>
      <c r="R220" s="195">
        <v>0.98219999999999996</v>
      </c>
      <c r="S220" s="196">
        <v>0.99</v>
      </c>
      <c r="T220" s="197">
        <v>0.98399999999999999</v>
      </c>
      <c r="U220" s="198">
        <v>1.4999999999999999E-2</v>
      </c>
      <c r="V220" s="197">
        <v>0</v>
      </c>
      <c r="W220" s="198">
        <v>0</v>
      </c>
      <c r="X220" s="197">
        <v>0</v>
      </c>
      <c r="Y220" s="199">
        <f t="shared" si="63"/>
        <v>-1.1509260565637724E-2</v>
      </c>
    </row>
    <row r="221" spans="2:25">
      <c r="B221" s="189" t="s">
        <v>9</v>
      </c>
      <c r="C221" s="190" t="s">
        <v>63</v>
      </c>
      <c r="D221" s="190">
        <v>10</v>
      </c>
      <c r="E221" s="191">
        <v>12</v>
      </c>
      <c r="F221" s="192">
        <v>43524</v>
      </c>
      <c r="G221" s="24">
        <v>1257.4244501734652</v>
      </c>
      <c r="H221" s="24">
        <v>1005.978</v>
      </c>
      <c r="I221" s="193">
        <v>108.1</v>
      </c>
      <c r="J221" s="194">
        <v>89.600000000000009</v>
      </c>
      <c r="K221" s="193">
        <v>137.5</v>
      </c>
      <c r="L221" s="194">
        <v>109.48</v>
      </c>
      <c r="M221" s="195">
        <f t="shared" si="122"/>
        <v>0.77368063385538555</v>
      </c>
      <c r="N221" s="195">
        <f t="shared" si="123"/>
        <v>0.80713010773853211</v>
      </c>
      <c r="O221" s="195">
        <f t="shared" si="124"/>
        <v>0.18711673365676568</v>
      </c>
      <c r="P221" s="195">
        <f t="shared" si="125"/>
        <v>0.14969910714285711</v>
      </c>
      <c r="Q221" s="195">
        <v>0.98499999999999999</v>
      </c>
      <c r="R221" s="195">
        <v>0.94869999999999999</v>
      </c>
      <c r="S221" s="196">
        <v>0.99</v>
      </c>
      <c r="T221" s="197">
        <v>0.97789999999999999</v>
      </c>
      <c r="U221" s="198">
        <v>1.4999999999999999E-2</v>
      </c>
      <c r="V221" s="197">
        <v>0</v>
      </c>
      <c r="W221" s="198">
        <v>0</v>
      </c>
      <c r="X221" s="197">
        <v>0</v>
      </c>
      <c r="Y221" s="199">
        <f t="shared" si="63"/>
        <v>3.8123884965775012E-3</v>
      </c>
    </row>
    <row r="222" spans="2:25">
      <c r="B222" s="189" t="s">
        <v>9</v>
      </c>
      <c r="C222" s="190" t="s">
        <v>63</v>
      </c>
      <c r="D222" s="190">
        <v>10</v>
      </c>
      <c r="E222" s="191">
        <v>12</v>
      </c>
      <c r="F222" s="192">
        <v>43555</v>
      </c>
      <c r="G222" s="24">
        <v>1682.0294894463025</v>
      </c>
      <c r="H222" s="24">
        <f>1615020/1000</f>
        <v>1615.02</v>
      </c>
      <c r="I222" s="193">
        <v>161.4</v>
      </c>
      <c r="J222" s="194">
        <v>153.44</v>
      </c>
      <c r="K222" s="193">
        <v>187.8</v>
      </c>
      <c r="L222" s="194">
        <v>176.01</v>
      </c>
      <c r="M222" s="195">
        <f t="shared" si="122"/>
        <v>0.75774057140669782</v>
      </c>
      <c r="N222" s="195">
        <f t="shared" si="123"/>
        <v>0.76887285501769309</v>
      </c>
      <c r="O222" s="195">
        <f t="shared" si="124"/>
        <v>0.22607923245246</v>
      </c>
      <c r="P222" s="195">
        <f t="shared" si="125"/>
        <v>0.2170725806451613</v>
      </c>
      <c r="Q222" s="195">
        <v>0.98499999999999999</v>
      </c>
      <c r="R222" s="195">
        <v>0.99450000000000005</v>
      </c>
      <c r="S222" s="196">
        <v>0.99</v>
      </c>
      <c r="T222" s="197">
        <v>0.99509999999999998</v>
      </c>
      <c r="U222" s="198">
        <v>1.4999999999999999E-2</v>
      </c>
      <c r="V222" s="197">
        <v>0</v>
      </c>
      <c r="W222" s="198">
        <v>0</v>
      </c>
      <c r="X222" s="197">
        <v>0</v>
      </c>
      <c r="Y222" s="199">
        <f t="shared" si="63"/>
        <v>2.2941077904870988E-2</v>
      </c>
    </row>
    <row r="223" spans="2:25">
      <c r="B223" s="189" t="s">
        <v>9</v>
      </c>
      <c r="C223" s="190" t="s">
        <v>63</v>
      </c>
      <c r="D223" s="190">
        <v>10</v>
      </c>
      <c r="E223" s="191">
        <v>12</v>
      </c>
      <c r="F223" s="192">
        <v>43585</v>
      </c>
      <c r="G223" s="24">
        <v>1737.7303655659653</v>
      </c>
      <c r="H223" s="24">
        <f>1546740/1000</f>
        <v>1546.74</v>
      </c>
      <c r="I223" s="193">
        <v>190.2</v>
      </c>
      <c r="J223" s="194">
        <f>5.83*30</f>
        <v>174.9</v>
      </c>
      <c r="K223" s="193">
        <v>194</v>
      </c>
      <c r="L223" s="194">
        <f>5.94*30</f>
        <v>178.20000000000002</v>
      </c>
      <c r="M223" s="195">
        <f t="shared" si="122"/>
        <v>0.75781497617438787</v>
      </c>
      <c r="N223" s="195">
        <f t="shared" si="123"/>
        <v>0.73388443416852511</v>
      </c>
      <c r="O223" s="195">
        <f t="shared" si="124"/>
        <v>0.24135143966193962</v>
      </c>
      <c r="P223" s="195">
        <f t="shared" si="125"/>
        <v>0.21482499999999999</v>
      </c>
      <c r="Q223" s="195">
        <v>0.98499999999999999</v>
      </c>
      <c r="R223" s="195">
        <v>0.98560000000000003</v>
      </c>
      <c r="S223" s="196">
        <v>0.99</v>
      </c>
      <c r="T223" s="197">
        <v>0.99239999999999995</v>
      </c>
      <c r="U223" s="198">
        <v>1.4999999999999999E-2</v>
      </c>
      <c r="V223" s="197">
        <v>0</v>
      </c>
      <c r="W223" s="198">
        <v>0</v>
      </c>
      <c r="X223" s="197">
        <v>0</v>
      </c>
      <c r="Y223" s="199">
        <f t="shared" si="63"/>
        <v>-2.8464641497722432E-2</v>
      </c>
    </row>
    <row r="224" spans="2:25">
      <c r="B224" s="189" t="s">
        <v>9</v>
      </c>
      <c r="C224" s="190" t="s">
        <v>63</v>
      </c>
      <c r="D224" s="190">
        <v>10</v>
      </c>
      <c r="E224" s="191">
        <v>12</v>
      </c>
      <c r="F224" s="192">
        <v>43616</v>
      </c>
      <c r="G224" s="24">
        <v>1760.5585934838596</v>
      </c>
      <c r="H224" s="24">
        <f>1515822/1000</f>
        <v>1515.8219999999999</v>
      </c>
      <c r="I224" s="193">
        <v>197</v>
      </c>
      <c r="J224" s="194">
        <v>194.95</v>
      </c>
      <c r="K224" s="193">
        <v>197.7</v>
      </c>
      <c r="L224" s="194">
        <v>193.47</v>
      </c>
      <c r="M224" s="195">
        <f t="shared" si="122"/>
        <v>0.75340125208247632</v>
      </c>
      <c r="N224" s="195">
        <f t="shared" si="123"/>
        <v>0.68153445917343214</v>
      </c>
      <c r="O224" s="195">
        <f t="shared" si="124"/>
        <v>0.23663421955428224</v>
      </c>
      <c r="P224" s="195">
        <f t="shared" si="125"/>
        <v>0.20373951612903224</v>
      </c>
      <c r="Q224" s="195">
        <v>0.98499999999999999</v>
      </c>
      <c r="R224" s="195">
        <v>0.95799999999999996</v>
      </c>
      <c r="S224" s="196">
        <v>0.99</v>
      </c>
      <c r="T224" s="197">
        <v>0.98570000000000002</v>
      </c>
      <c r="U224" s="198">
        <v>1.4999999999999999E-2</v>
      </c>
      <c r="V224" s="197">
        <v>0</v>
      </c>
      <c r="W224" s="198">
        <v>0</v>
      </c>
      <c r="X224" s="197">
        <v>0</v>
      </c>
      <c r="Y224" s="199">
        <f t="shared" si="63"/>
        <v>-0.11761470842713373</v>
      </c>
    </row>
    <row r="225" spans="2:25">
      <c r="B225" s="189" t="s">
        <v>9</v>
      </c>
      <c r="C225" s="190" t="s">
        <v>63</v>
      </c>
      <c r="D225" s="190">
        <v>10</v>
      </c>
      <c r="E225" s="191">
        <v>12</v>
      </c>
      <c r="F225" s="192">
        <v>43646</v>
      </c>
      <c r="G225" s="24">
        <v>1583.4115448409982</v>
      </c>
      <c r="H225" s="24">
        <f>1557342/1000</f>
        <v>1557.3420000000001</v>
      </c>
      <c r="I225" s="193">
        <v>178.9</v>
      </c>
      <c r="J225" s="194">
        <v>190.5</v>
      </c>
      <c r="K225" s="193">
        <v>177.2</v>
      </c>
      <c r="L225" s="194">
        <v>185.1</v>
      </c>
      <c r="M225" s="195">
        <f t="shared" si="122"/>
        <v>0.7559840157101626</v>
      </c>
      <c r="N225" s="195">
        <f t="shared" si="123"/>
        <v>0.70500393982136755</v>
      </c>
      <c r="O225" s="195">
        <f t="shared" si="124"/>
        <v>0.21991827011680534</v>
      </c>
      <c r="P225" s="195">
        <f t="shared" si="125"/>
        <v>0.21629750000000003</v>
      </c>
      <c r="Q225" s="195">
        <v>0.98499999999999999</v>
      </c>
      <c r="R225" s="195">
        <v>0.99450000000000005</v>
      </c>
      <c r="S225" s="196">
        <v>0.99</v>
      </c>
      <c r="T225" s="197">
        <v>0.99809999999999999</v>
      </c>
      <c r="U225" s="198">
        <v>1.4999999999999999E-2</v>
      </c>
      <c r="V225" s="197">
        <v>0</v>
      </c>
      <c r="W225" s="198">
        <v>0</v>
      </c>
      <c r="X225" s="197">
        <v>0</v>
      </c>
      <c r="Y225" s="199">
        <f t="shared" si="63"/>
        <v>-6.104655518959734E-2</v>
      </c>
    </row>
    <row r="226" spans="2:25">
      <c r="B226" s="189" t="s">
        <v>9</v>
      </c>
      <c r="C226" s="190" t="s">
        <v>63</v>
      </c>
      <c r="D226" s="190">
        <v>10</v>
      </c>
      <c r="E226" s="191">
        <v>12</v>
      </c>
      <c r="F226" s="192">
        <v>43677</v>
      </c>
      <c r="G226" s="24">
        <v>1404.4382379647052</v>
      </c>
      <c r="H226" s="24">
        <v>1170.924</v>
      </c>
      <c r="I226" s="193">
        <v>155.5</v>
      </c>
      <c r="J226" s="194">
        <v>140.74</v>
      </c>
      <c r="K226" s="193">
        <v>154.6</v>
      </c>
      <c r="L226" s="194">
        <v>139.5</v>
      </c>
      <c r="M226" s="195">
        <f t="shared" si="122"/>
        <v>0.76855628627597727</v>
      </c>
      <c r="N226" s="195">
        <f t="shared" si="123"/>
        <v>0.73098202791196631</v>
      </c>
      <c r="O226" s="195">
        <f t="shared" si="124"/>
        <v>0.18876858037160016</v>
      </c>
      <c r="P226" s="195">
        <f t="shared" si="125"/>
        <v>0.15738225806451614</v>
      </c>
      <c r="Q226" s="195">
        <v>0.98499999999999999</v>
      </c>
      <c r="R226" s="195">
        <v>0.95689999999999997</v>
      </c>
      <c r="S226" s="196">
        <v>0.99</v>
      </c>
      <c r="T226" s="197">
        <v>0.98199999999999998</v>
      </c>
      <c r="U226" s="198">
        <v>1.4999999999999999E-2</v>
      </c>
      <c r="V226" s="197">
        <v>0</v>
      </c>
      <c r="W226" s="198">
        <v>0</v>
      </c>
      <c r="X226" s="197">
        <v>0</v>
      </c>
      <c r="Y226" s="199">
        <f t="shared" si="63"/>
        <v>-6.8597373863312217E-2</v>
      </c>
    </row>
    <row r="227" spans="2:25">
      <c r="B227" s="189" t="s">
        <v>9</v>
      </c>
      <c r="C227" s="190" t="s">
        <v>63</v>
      </c>
      <c r="D227" s="190">
        <v>10</v>
      </c>
      <c r="E227" s="191">
        <v>12</v>
      </c>
      <c r="F227" s="192">
        <v>43708</v>
      </c>
      <c r="G227" s="24">
        <v>1334.1272959775904</v>
      </c>
      <c r="H227" s="24">
        <f>1113390/1000</f>
        <v>1113.3900000000001</v>
      </c>
      <c r="I227" s="193">
        <v>145.4</v>
      </c>
      <c r="J227" s="194">
        <v>140</v>
      </c>
      <c r="K227" s="193">
        <v>146.30000000000001</v>
      </c>
      <c r="L227" s="194">
        <v>143</v>
      </c>
      <c r="M227" s="195">
        <f t="shared" si="122"/>
        <v>0.77149917709455351</v>
      </c>
      <c r="N227" s="195">
        <f t="shared" si="123"/>
        <v>0.68427406805386137</v>
      </c>
      <c r="O227" s="195">
        <f t="shared" si="124"/>
        <v>0.17931818494322452</v>
      </c>
      <c r="P227" s="195">
        <f t="shared" si="125"/>
        <v>0.14964919354838713</v>
      </c>
      <c r="Q227" s="195">
        <v>0.98499999999999999</v>
      </c>
      <c r="R227" s="195">
        <v>0.94820000000000004</v>
      </c>
      <c r="S227" s="196">
        <v>0.99</v>
      </c>
      <c r="T227" s="197">
        <v>0.98</v>
      </c>
      <c r="U227" s="198">
        <v>1.4999999999999999E-2</v>
      </c>
      <c r="V227" s="197">
        <v>0</v>
      </c>
      <c r="W227" s="198">
        <v>0</v>
      </c>
      <c r="X227" s="197">
        <v>0</v>
      </c>
      <c r="Y227" s="199">
        <f t="shared" si="63"/>
        <v>-0.14289805751717588</v>
      </c>
    </row>
    <row r="228" spans="2:25">
      <c r="B228" s="189" t="s">
        <v>9</v>
      </c>
      <c r="C228" s="190" t="s">
        <v>63</v>
      </c>
      <c r="D228" s="190">
        <v>10</v>
      </c>
      <c r="E228" s="191">
        <v>12</v>
      </c>
      <c r="F228" s="192">
        <v>43738</v>
      </c>
      <c r="G228" s="24">
        <v>1328.6485212772955</v>
      </c>
      <c r="H228" s="24">
        <f>1232388/1000</f>
        <v>1232.3879999999999</v>
      </c>
      <c r="I228" s="193">
        <v>141.6</v>
      </c>
      <c r="J228" s="194">
        <v>140</v>
      </c>
      <c r="K228" s="193">
        <v>145.5</v>
      </c>
      <c r="L228" s="194">
        <v>152</v>
      </c>
      <c r="M228" s="195">
        <f t="shared" si="122"/>
        <v>0.77255541093335633</v>
      </c>
      <c r="N228" s="195">
        <f t="shared" si="123"/>
        <v>0.68517525178934557</v>
      </c>
      <c r="O228" s="195">
        <f t="shared" si="124"/>
        <v>0.1845345168440688</v>
      </c>
      <c r="P228" s="195">
        <f t="shared" si="125"/>
        <v>0.17116499999999998</v>
      </c>
      <c r="Q228" s="195">
        <v>0.98499999999999999</v>
      </c>
      <c r="R228" s="195">
        <v>0.98609999999999998</v>
      </c>
      <c r="S228" s="196">
        <v>0.99</v>
      </c>
      <c r="T228" s="197">
        <v>0.99790000000000001</v>
      </c>
      <c r="U228" s="198">
        <v>1.4999999999999999E-2</v>
      </c>
      <c r="V228" s="197">
        <v>0</v>
      </c>
      <c r="W228" s="198">
        <v>0</v>
      </c>
      <c r="X228" s="197">
        <v>0</v>
      </c>
      <c r="Y228" s="199">
        <f t="shared" si="63"/>
        <v>-0.11712349128248312</v>
      </c>
    </row>
    <row r="229" spans="2:25">
      <c r="B229" s="189" t="s">
        <v>9</v>
      </c>
      <c r="C229" s="190" t="s">
        <v>63</v>
      </c>
      <c r="D229" s="190">
        <v>10</v>
      </c>
      <c r="E229" s="191">
        <v>12</v>
      </c>
      <c r="F229" s="192">
        <v>43769</v>
      </c>
      <c r="G229" s="24">
        <v>1518.5793775541777</v>
      </c>
      <c r="H229" s="24">
        <f>1212618/1000</f>
        <v>1212.6179999999999</v>
      </c>
      <c r="I229" s="193">
        <v>139.1</v>
      </c>
      <c r="J229" s="194">
        <v>123.07</v>
      </c>
      <c r="K229" s="193">
        <v>172.2</v>
      </c>
      <c r="L229" s="194">
        <v>151.9</v>
      </c>
      <c r="M229" s="195">
        <f t="shared" si="122"/>
        <v>0.74608253572960337</v>
      </c>
      <c r="N229" s="195">
        <f t="shared" si="123"/>
        <v>0.69864541543999337</v>
      </c>
      <c r="O229" s="195">
        <f t="shared" si="124"/>
        <v>0.20411013139169057</v>
      </c>
      <c r="P229" s="195">
        <f t="shared" si="125"/>
        <v>0.16298629032258063</v>
      </c>
      <c r="Q229" s="195">
        <v>0.98499999999999999</v>
      </c>
      <c r="R229" s="195">
        <v>0.95220000000000005</v>
      </c>
      <c r="S229" s="196">
        <v>0.99</v>
      </c>
      <c r="T229" s="197">
        <v>0.98880000000000001</v>
      </c>
      <c r="U229" s="198">
        <v>1.4999999999999999E-2</v>
      </c>
      <c r="V229" s="197">
        <v>0</v>
      </c>
      <c r="W229" s="198">
        <v>0</v>
      </c>
      <c r="X229" s="197">
        <v>0</v>
      </c>
      <c r="Y229" s="199">
        <f t="shared" si="63"/>
        <v>-8.3592507123634752E-2</v>
      </c>
    </row>
    <row r="230" spans="2:25">
      <c r="B230" s="189" t="s">
        <v>9</v>
      </c>
      <c r="C230" s="190" t="s">
        <v>63</v>
      </c>
      <c r="D230" s="190">
        <v>10</v>
      </c>
      <c r="E230" s="191">
        <v>12</v>
      </c>
      <c r="F230" s="192">
        <v>43799</v>
      </c>
      <c r="G230" s="24">
        <v>1346.911103611611</v>
      </c>
      <c r="H230" s="24">
        <f>1074372/1000</f>
        <v>1074.3720000000001</v>
      </c>
      <c r="I230" s="193">
        <v>108.1</v>
      </c>
      <c r="J230" s="194">
        <v>91.2</v>
      </c>
      <c r="K230" s="193">
        <v>152.1</v>
      </c>
      <c r="L230" s="194">
        <v>128.69999999999999</v>
      </c>
      <c r="M230" s="195">
        <f t="shared" si="122"/>
        <v>0.74919046691586322</v>
      </c>
      <c r="N230" s="195">
        <f t="shared" si="123"/>
        <v>0.71961990861339165</v>
      </c>
      <c r="O230" s="195">
        <f t="shared" si="124"/>
        <v>0.18707098661272376</v>
      </c>
      <c r="P230" s="195">
        <f t="shared" si="125"/>
        <v>0.14921833333333334</v>
      </c>
      <c r="Q230" s="195">
        <v>0.98499999999999999</v>
      </c>
      <c r="R230" s="195">
        <v>0.9667</v>
      </c>
      <c r="S230" s="196">
        <v>0.99</v>
      </c>
      <c r="T230" s="197">
        <v>1</v>
      </c>
      <c r="U230" s="198">
        <v>1.4999999999999999E-2</v>
      </c>
      <c r="V230" s="197">
        <v>0</v>
      </c>
      <c r="W230" s="198">
        <v>0</v>
      </c>
      <c r="X230" s="197">
        <v>0</v>
      </c>
      <c r="Y230" s="199">
        <f t="shared" si="63"/>
        <v>-4.849764069293927E-2</v>
      </c>
    </row>
    <row r="231" spans="2:25">
      <c r="B231" s="189" t="s">
        <v>9</v>
      </c>
      <c r="C231" s="190" t="s">
        <v>63</v>
      </c>
      <c r="D231" s="190">
        <v>10</v>
      </c>
      <c r="E231" s="191">
        <v>12</v>
      </c>
      <c r="F231" s="192">
        <v>43830</v>
      </c>
      <c r="G231" s="24">
        <v>1133.2388903001186</v>
      </c>
      <c r="H231" s="24">
        <f>812934/1000</f>
        <v>812.93399999999997</v>
      </c>
      <c r="I231" s="193">
        <v>89.9</v>
      </c>
      <c r="J231" s="194">
        <v>66.959999999999994</v>
      </c>
      <c r="K231" s="193">
        <v>129.6</v>
      </c>
      <c r="L231" s="194">
        <v>96.72</v>
      </c>
      <c r="M231" s="195">
        <f t="shared" si="122"/>
        <v>0.73977387817005513</v>
      </c>
      <c r="N231" s="195">
        <f t="shared" si="123"/>
        <v>0.71318474136168941</v>
      </c>
      <c r="O231" s="195">
        <f t="shared" si="124"/>
        <v>0.15231705514786539</v>
      </c>
      <c r="P231" s="195">
        <f t="shared" si="125"/>
        <v>0.10926532258064517</v>
      </c>
      <c r="Q231" s="195">
        <v>0.98499999999999999</v>
      </c>
      <c r="R231" s="195">
        <v>0.98209999999999997</v>
      </c>
      <c r="S231" s="196">
        <v>0.99</v>
      </c>
      <c r="T231" s="197">
        <v>0.99870000000000003</v>
      </c>
      <c r="U231" s="198">
        <v>1.4999999999999999E-2</v>
      </c>
      <c r="V231" s="197">
        <v>0</v>
      </c>
      <c r="W231" s="198">
        <v>0</v>
      </c>
      <c r="X231" s="197">
        <v>0</v>
      </c>
      <c r="Y231" s="199">
        <f t="shared" si="63"/>
        <v>-2.8941811766817649E-2</v>
      </c>
    </row>
    <row r="232" spans="2:25">
      <c r="B232" s="189" t="s">
        <v>9</v>
      </c>
      <c r="C232" s="190" t="s">
        <v>63</v>
      </c>
      <c r="D232" s="190">
        <v>10</v>
      </c>
      <c r="E232" s="191">
        <v>12</v>
      </c>
      <c r="F232" s="192">
        <v>43861</v>
      </c>
      <c r="G232" s="24">
        <v>955.85419980463189</v>
      </c>
      <c r="H232" s="24">
        <f>814284/1000</f>
        <v>814.28399999999999</v>
      </c>
      <c r="I232" s="193">
        <v>79.599999999999994</v>
      </c>
      <c r="J232" s="194">
        <v>71.3</v>
      </c>
      <c r="K232" s="193">
        <v>103.2</v>
      </c>
      <c r="L232" s="194">
        <v>95.3</v>
      </c>
      <c r="M232" s="195">
        <f t="shared" si="122"/>
        <v>0.78360009296802802</v>
      </c>
      <c r="N232" s="195">
        <f t="shared" si="123"/>
        <v>0.77210548342016216</v>
      </c>
      <c r="O232" s="195">
        <f t="shared" si="124"/>
        <v>0.12847502685546125</v>
      </c>
      <c r="P232" s="195">
        <f t="shared" si="125"/>
        <v>0.10944677419354838</v>
      </c>
      <c r="Q232" s="195">
        <v>0.98499999999999999</v>
      </c>
      <c r="R232" s="195">
        <v>0.92220000000000002</v>
      </c>
      <c r="S232" s="196">
        <v>0.99</v>
      </c>
      <c r="T232" s="197">
        <v>0.98850000000000005</v>
      </c>
      <c r="U232" s="198">
        <v>1.4999999999999999E-2</v>
      </c>
      <c r="V232" s="197">
        <v>0</v>
      </c>
      <c r="W232" s="198">
        <v>0</v>
      </c>
      <c r="X232" s="197">
        <v>0</v>
      </c>
      <c r="Y232" s="199">
        <f t="shared" si="63"/>
        <v>-7.1558183598966818E-2</v>
      </c>
    </row>
    <row r="233" spans="2:25">
      <c r="B233" s="189" t="s">
        <v>9</v>
      </c>
      <c r="C233" s="190" t="s">
        <v>63</v>
      </c>
      <c r="D233" s="190">
        <v>10</v>
      </c>
      <c r="E233" s="191">
        <v>12</v>
      </c>
      <c r="F233" s="192">
        <v>43890</v>
      </c>
      <c r="G233" s="24">
        <v>1251.1373279225975</v>
      </c>
      <c r="H233" s="24">
        <f>1286046/1000</f>
        <v>1286.046</v>
      </c>
      <c r="I233" s="193">
        <v>108.1</v>
      </c>
      <c r="J233" s="194">
        <v>110.78</v>
      </c>
      <c r="K233" s="193">
        <v>137.5</v>
      </c>
      <c r="L233" s="194">
        <v>144.13</v>
      </c>
      <c r="M233" s="195">
        <f t="shared" si="122"/>
        <v>0.76981223068610827</v>
      </c>
      <c r="N233" s="195">
        <f t="shared" si="123"/>
        <v>0.74722973207724308</v>
      </c>
      <c r="O233" s="195">
        <f t="shared" si="124"/>
        <v>0.17976111033370654</v>
      </c>
      <c r="P233" s="195">
        <f t="shared" si="125"/>
        <v>0.18477672413793106</v>
      </c>
      <c r="Q233" s="195">
        <v>0.98499999999999999</v>
      </c>
      <c r="R233" s="195">
        <v>0.99509999999999998</v>
      </c>
      <c r="S233" s="196">
        <v>0.99</v>
      </c>
      <c r="T233" s="197">
        <v>0.99439999999999995</v>
      </c>
      <c r="U233" s="198">
        <v>1.4999999999999999E-2</v>
      </c>
      <c r="V233" s="197">
        <v>0</v>
      </c>
      <c r="W233" s="198">
        <v>0</v>
      </c>
      <c r="X233" s="197">
        <v>0</v>
      </c>
      <c r="Y233" s="199">
        <f t="shared" si="63"/>
        <v>-2.0316630726771701E-2</v>
      </c>
    </row>
    <row r="234" spans="2:25">
      <c r="B234" s="189" t="s">
        <v>9</v>
      </c>
      <c r="C234" s="190" t="s">
        <v>63</v>
      </c>
      <c r="D234" s="190">
        <v>10</v>
      </c>
      <c r="E234" s="191">
        <v>12</v>
      </c>
      <c r="F234" s="192">
        <v>43921</v>
      </c>
      <c r="G234" s="24">
        <v>1673.6193419990709</v>
      </c>
      <c r="H234" s="24">
        <f>1487526/1000</f>
        <v>1487.5260000000001</v>
      </c>
      <c r="I234" s="193">
        <v>161.4</v>
      </c>
      <c r="J234" s="194">
        <v>148.58000000000001</v>
      </c>
      <c r="K234" s="193">
        <v>187.8</v>
      </c>
      <c r="L234" s="194">
        <v>169.87</v>
      </c>
      <c r="M234" s="195">
        <f t="shared" si="122"/>
        <v>0.75395186854966445</v>
      </c>
      <c r="N234" s="195">
        <f t="shared" si="123"/>
        <v>0.76830642901921598</v>
      </c>
      <c r="O234" s="195">
        <f t="shared" si="124"/>
        <v>0.22494883629019768</v>
      </c>
      <c r="P234" s="195">
        <f t="shared" si="125"/>
        <v>0.19993629032258067</v>
      </c>
      <c r="Q234" s="195">
        <v>0.98499999999999999</v>
      </c>
      <c r="R234" s="195">
        <v>0.94979999999999998</v>
      </c>
      <c r="S234" s="196">
        <v>0.99</v>
      </c>
      <c r="T234" s="197">
        <v>0.98780000000000001</v>
      </c>
      <c r="U234" s="198">
        <v>1.4999999999999999E-2</v>
      </c>
      <c r="V234" s="197">
        <v>0</v>
      </c>
      <c r="W234" s="198">
        <v>0</v>
      </c>
      <c r="X234" s="197">
        <v>0</v>
      </c>
      <c r="Y234" s="199">
        <f t="shared" si="63"/>
        <v>-1.5718247012525777E-2</v>
      </c>
    </row>
    <row r="235" spans="2:25">
      <c r="B235" s="189" t="s">
        <v>9</v>
      </c>
      <c r="C235" s="190" t="s">
        <v>63</v>
      </c>
      <c r="D235" s="190">
        <v>10</v>
      </c>
      <c r="E235" s="191">
        <v>12</v>
      </c>
      <c r="F235" s="192">
        <v>43951</v>
      </c>
      <c r="G235" s="24">
        <v>1729.0417137381353</v>
      </c>
      <c r="H235" s="24">
        <f>1526454/1000</f>
        <v>1526.454</v>
      </c>
      <c r="I235" s="193">
        <v>190.2</v>
      </c>
      <c r="J235" s="194">
        <v>171</v>
      </c>
      <c r="K235" s="193">
        <v>194</v>
      </c>
      <c r="L235" s="194">
        <v>176.1</v>
      </c>
      <c r="M235" s="195">
        <f t="shared" si="122"/>
        <v>0.75402590129351577</v>
      </c>
      <c r="N235" s="195">
        <f t="shared" si="123"/>
        <v>0.72750772391989937</v>
      </c>
      <c r="O235" s="195">
        <f t="shared" si="124"/>
        <v>0.24014468246362991</v>
      </c>
      <c r="P235" s="195">
        <f t="shared" si="125"/>
        <v>0.21200749999999999</v>
      </c>
      <c r="Q235" s="195">
        <v>0.98499999999999999</v>
      </c>
      <c r="R235" s="195">
        <v>0.9929</v>
      </c>
      <c r="S235" s="196">
        <v>0.99</v>
      </c>
      <c r="T235" s="197">
        <v>0.999</v>
      </c>
      <c r="U235" s="198">
        <v>1.4999999999999999E-2</v>
      </c>
      <c r="V235" s="197">
        <v>0</v>
      </c>
      <c r="W235" s="198">
        <v>0</v>
      </c>
      <c r="X235" s="197">
        <v>0</v>
      </c>
      <c r="Y235" s="199">
        <f t="shared" si="63"/>
        <v>-2.4899585274422265E-2</v>
      </c>
    </row>
    <row r="236" spans="2:25">
      <c r="B236" s="189" t="s">
        <v>9</v>
      </c>
      <c r="C236" s="190" t="s">
        <v>63</v>
      </c>
      <c r="D236" s="190">
        <v>10</v>
      </c>
      <c r="E236" s="191">
        <v>12</v>
      </c>
      <c r="F236" s="192">
        <v>43982</v>
      </c>
      <c r="G236" s="24">
        <v>1751.7558005164403</v>
      </c>
      <c r="H236" s="24">
        <f>1541916/1000</f>
        <v>1541.9159999999999</v>
      </c>
      <c r="I236" s="193">
        <v>197</v>
      </c>
      <c r="J236" s="194">
        <v>188.48</v>
      </c>
      <c r="K236" s="193">
        <v>197.7</v>
      </c>
      <c r="L236" s="194">
        <v>187.24</v>
      </c>
      <c r="M236" s="195">
        <f t="shared" si="122"/>
        <v>0.74963424582206384</v>
      </c>
      <c r="N236" s="195">
        <f t="shared" si="123"/>
        <v>0.71873439114723359</v>
      </c>
      <c r="O236" s="195">
        <f t="shared" si="124"/>
        <v>0.2354510484565108</v>
      </c>
      <c r="P236" s="195">
        <f t="shared" si="125"/>
        <v>0.20724677419354837</v>
      </c>
      <c r="Q236" s="195">
        <v>0.98499999999999999</v>
      </c>
      <c r="R236" s="195">
        <v>0.95479999999999998</v>
      </c>
      <c r="S236" s="196">
        <v>0.99</v>
      </c>
      <c r="T236" s="197">
        <v>0.98860000000000003</v>
      </c>
      <c r="U236" s="198">
        <v>1.4999999999999999E-2</v>
      </c>
      <c r="V236" s="197">
        <v>0</v>
      </c>
      <c r="W236" s="198">
        <v>0</v>
      </c>
      <c r="X236" s="197">
        <v>0</v>
      </c>
      <c r="Y236" s="199">
        <f t="shared" si="63"/>
        <v>-6.6879824975803914E-2</v>
      </c>
    </row>
    <row r="237" spans="2:25">
      <c r="B237" s="189" t="s">
        <v>9</v>
      </c>
      <c r="C237" s="190" t="s">
        <v>63</v>
      </c>
      <c r="D237" s="190">
        <v>10</v>
      </c>
      <c r="E237" s="191">
        <v>12</v>
      </c>
      <c r="F237" s="192">
        <v>44012</v>
      </c>
      <c r="G237" s="24">
        <v>1575.4944871167932</v>
      </c>
      <c r="H237" s="24">
        <f>1580802/1000</f>
        <v>1580.8019999999999</v>
      </c>
      <c r="I237" s="193">
        <v>178.9</v>
      </c>
      <c r="J237" s="194">
        <v>185.59</v>
      </c>
      <c r="K237" s="193">
        <v>177.2</v>
      </c>
      <c r="L237" s="194">
        <v>184.54</v>
      </c>
      <c r="M237" s="195">
        <f t="shared" si="122"/>
        <v>0.75220409563161184</v>
      </c>
      <c r="N237" s="195">
        <f t="shared" si="123"/>
        <v>0.72398371830092967</v>
      </c>
      <c r="O237" s="195">
        <f t="shared" si="124"/>
        <v>0.21881867876622127</v>
      </c>
      <c r="P237" s="195">
        <f t="shared" si="125"/>
        <v>0.21955583333333331</v>
      </c>
      <c r="Q237" s="195">
        <v>0.98499999999999999</v>
      </c>
      <c r="R237" s="195">
        <v>0.98599999999999999</v>
      </c>
      <c r="S237" s="196">
        <v>0.99</v>
      </c>
      <c r="T237" s="197">
        <v>0.99850000000000005</v>
      </c>
      <c r="U237" s="198">
        <v>1.4999999999999999E-2</v>
      </c>
      <c r="V237" s="197">
        <v>0</v>
      </c>
      <c r="W237" s="198">
        <v>0</v>
      </c>
      <c r="X237" s="197">
        <v>0</v>
      </c>
      <c r="Y237" s="199">
        <f t="shared" si="63"/>
        <v>-3.8053330112625572E-2</v>
      </c>
    </row>
    <row r="238" spans="2:25">
      <c r="B238" s="189" t="s">
        <v>9</v>
      </c>
      <c r="C238" s="190" t="s">
        <v>63</v>
      </c>
      <c r="D238" s="190">
        <v>10</v>
      </c>
      <c r="E238" s="191">
        <v>12</v>
      </c>
      <c r="F238" s="192">
        <v>44043</v>
      </c>
      <c r="G238" s="24">
        <v>1397.4160467748818</v>
      </c>
      <c r="H238" s="24">
        <f>1306206/1000</f>
        <v>1306.2059999999999</v>
      </c>
      <c r="I238" s="193">
        <v>155.5</v>
      </c>
      <c r="J238" s="194">
        <v>154.16999999999999</v>
      </c>
      <c r="K238" s="193">
        <v>154.6</v>
      </c>
      <c r="L238" s="194">
        <v>153.65</v>
      </c>
      <c r="M238" s="195">
        <f t="shared" si="122"/>
        <v>0.76471350484459755</v>
      </c>
      <c r="N238" s="195">
        <f t="shared" si="123"/>
        <v>0.75630564765955743</v>
      </c>
      <c r="O238" s="195">
        <f t="shared" si="124"/>
        <v>0.18782473746974218</v>
      </c>
      <c r="P238" s="195">
        <f t="shared" si="125"/>
        <v>0.17556532258064517</v>
      </c>
      <c r="Q238" s="195">
        <v>0.98499999999999999</v>
      </c>
      <c r="R238" s="195">
        <v>0.93669999999999998</v>
      </c>
      <c r="S238" s="196">
        <v>0.99</v>
      </c>
      <c r="T238" s="197">
        <v>0.98960000000000004</v>
      </c>
      <c r="U238" s="198">
        <v>1.4999999999999999E-2</v>
      </c>
      <c r="V238" s="197">
        <v>0</v>
      </c>
      <c r="W238" s="198">
        <v>0</v>
      </c>
      <c r="X238" s="197">
        <v>0</v>
      </c>
      <c r="Y238" s="199">
        <f t="shared" si="63"/>
        <v>-5.9125611888935281E-2</v>
      </c>
    </row>
    <row r="239" spans="2:25">
      <c r="B239" s="189" t="s">
        <v>9</v>
      </c>
      <c r="C239" s="190" t="s">
        <v>63</v>
      </c>
      <c r="D239" s="190">
        <v>10</v>
      </c>
      <c r="E239" s="191">
        <v>12</v>
      </c>
      <c r="F239" s="192">
        <v>44074</v>
      </c>
      <c r="G239" s="24">
        <v>1327.4566594977023</v>
      </c>
      <c r="H239" s="24">
        <v>1154.2380000000001</v>
      </c>
      <c r="I239" s="193">
        <v>145.4</v>
      </c>
      <c r="J239" s="194">
        <v>135.54</v>
      </c>
      <c r="K239" s="193">
        <v>146.30000000000001</v>
      </c>
      <c r="L239" s="194">
        <v>136.63</v>
      </c>
      <c r="M239" s="195">
        <f t="shared" si="122"/>
        <v>0.76764168120908061</v>
      </c>
      <c r="N239" s="195">
        <f t="shared" si="123"/>
        <v>0.75180749101073152</v>
      </c>
      <c r="O239" s="195">
        <f t="shared" si="124"/>
        <v>0.17842159401850838</v>
      </c>
      <c r="P239" s="195">
        <f t="shared" si="125"/>
        <v>0.15513951612903226</v>
      </c>
      <c r="Q239" s="195">
        <v>0.98499999999999999</v>
      </c>
      <c r="R239" s="195">
        <v>0.93640000000000001</v>
      </c>
      <c r="S239" s="196">
        <v>0.99</v>
      </c>
      <c r="T239" s="197">
        <v>0.99860000000000004</v>
      </c>
      <c r="U239" s="198">
        <v>1.4999999999999999E-2</v>
      </c>
      <c r="V239" s="197">
        <v>0</v>
      </c>
      <c r="W239" s="198">
        <v>0</v>
      </c>
      <c r="X239" s="197">
        <v>0</v>
      </c>
      <c r="Y239" s="199">
        <f t="shared" si="63"/>
        <v>-6.439206531447661E-2</v>
      </c>
    </row>
    <row r="240" spans="2:25">
      <c r="B240" s="189" t="s">
        <v>9</v>
      </c>
      <c r="C240" s="190" t="s">
        <v>63</v>
      </c>
      <c r="D240" s="190">
        <v>10</v>
      </c>
      <c r="E240" s="191">
        <v>12</v>
      </c>
      <c r="F240" s="192">
        <v>44104</v>
      </c>
      <c r="G240" s="24">
        <v>1322.0052786709093</v>
      </c>
      <c r="H240" s="24">
        <f>1313370/1000</f>
        <v>1313.37</v>
      </c>
      <c r="I240" s="193">
        <v>141.6</v>
      </c>
      <c r="J240" s="194">
        <v>145.53</v>
      </c>
      <c r="K240" s="193">
        <v>145.5</v>
      </c>
      <c r="L240" s="194">
        <v>159.03</v>
      </c>
      <c r="M240" s="195">
        <f t="shared" si="122"/>
        <v>0.76869263387868969</v>
      </c>
      <c r="N240" s="195">
        <f t="shared" si="123"/>
        <v>0.69749589938561651</v>
      </c>
      <c r="O240" s="195">
        <f t="shared" si="124"/>
        <v>0.18361184425984853</v>
      </c>
      <c r="P240" s="195">
        <f t="shared" si="125"/>
        <v>0.18241249999999998</v>
      </c>
      <c r="Q240" s="195">
        <v>0.98499999999999999</v>
      </c>
      <c r="R240" s="195">
        <v>0.98670000000000002</v>
      </c>
      <c r="S240" s="196">
        <v>0.99</v>
      </c>
      <c r="T240" s="197">
        <v>0.99429999999999996</v>
      </c>
      <c r="U240" s="198">
        <v>1.4999999999999999E-2</v>
      </c>
      <c r="V240" s="197">
        <v>0</v>
      </c>
      <c r="W240" s="198">
        <v>0</v>
      </c>
      <c r="X240" s="197">
        <v>0</v>
      </c>
      <c r="Y240" s="199">
        <f t="shared" si="63"/>
        <v>-9.9521645480249887E-2</v>
      </c>
    </row>
    <row r="241" spans="2:25">
      <c r="B241" s="189" t="s">
        <v>9</v>
      </c>
      <c r="C241" s="190" t="s">
        <v>63</v>
      </c>
      <c r="D241" s="190">
        <v>10</v>
      </c>
      <c r="E241" s="191">
        <v>12</v>
      </c>
      <c r="F241" s="192">
        <v>44135</v>
      </c>
      <c r="G241" s="24">
        <v>1510.9864806664073</v>
      </c>
      <c r="H241" s="24">
        <f>1423806/1000</f>
        <v>1423.806</v>
      </c>
      <c r="I241" s="193">
        <v>139.1</v>
      </c>
      <c r="J241" s="194">
        <v>135.99</v>
      </c>
      <c r="K241" s="193">
        <v>172.2</v>
      </c>
      <c r="L241" s="194">
        <v>172.93</v>
      </c>
      <c r="M241" s="195">
        <f t="shared" si="122"/>
        <v>0.74235212305095577</v>
      </c>
      <c r="N241" s="195">
        <f t="shared" si="123"/>
        <v>0.69137309626136145</v>
      </c>
      <c r="O241" s="195">
        <f t="shared" si="124"/>
        <v>0.20308958073473216</v>
      </c>
      <c r="P241" s="195">
        <f t="shared" si="125"/>
        <v>0.19137177419354839</v>
      </c>
      <c r="Q241" s="195">
        <v>0.98499999999999999</v>
      </c>
      <c r="R241" s="195">
        <v>0.99239999999999995</v>
      </c>
      <c r="S241" s="196">
        <v>0.99</v>
      </c>
      <c r="T241" s="197">
        <v>0.99970000000000003</v>
      </c>
      <c r="U241" s="198">
        <v>1.4999999999999999E-2</v>
      </c>
      <c r="V241" s="197">
        <v>0</v>
      </c>
      <c r="W241" s="198">
        <v>0</v>
      </c>
      <c r="X241" s="197">
        <v>0</v>
      </c>
      <c r="Y241" s="199">
        <f t="shared" ref="Y241:Y330" si="126">(H241/G241-1)-(L241/K241-1)</f>
        <v>-6.1936980504345485E-2</v>
      </c>
    </row>
    <row r="242" spans="2:25">
      <c r="B242" s="189" t="s">
        <v>9</v>
      </c>
      <c r="C242" s="190" t="s">
        <v>63</v>
      </c>
      <c r="D242" s="190">
        <v>10</v>
      </c>
      <c r="E242" s="191">
        <v>12</v>
      </c>
      <c r="F242" s="192">
        <v>44165</v>
      </c>
      <c r="G242" s="24">
        <v>1340.1765480935533</v>
      </c>
      <c r="H242" s="24">
        <f>1100094/1000</f>
        <v>1100.0940000000001</v>
      </c>
      <c r="I242" s="193">
        <v>108.1</v>
      </c>
      <c r="J242" s="194">
        <v>100.85</v>
      </c>
      <c r="K242" s="193">
        <v>152.1</v>
      </c>
      <c r="L242" s="194">
        <v>141.36000000000001</v>
      </c>
      <c r="M242" s="195">
        <f t="shared" si="122"/>
        <v>0.74544451458128413</v>
      </c>
      <c r="N242" s="195">
        <f t="shared" si="123"/>
        <v>0.67850802292097345</v>
      </c>
      <c r="O242" s="195">
        <f t="shared" si="124"/>
        <v>0.18613563167966019</v>
      </c>
      <c r="P242" s="195">
        <f t="shared" si="125"/>
        <v>0.15279083333333335</v>
      </c>
      <c r="Q242" s="195">
        <v>0.98499999999999999</v>
      </c>
      <c r="R242" s="195">
        <v>0.95579999999999998</v>
      </c>
      <c r="S242" s="196">
        <v>0.99</v>
      </c>
      <c r="T242" s="197">
        <v>0.99629999999999996</v>
      </c>
      <c r="U242" s="198">
        <v>1.4999999999999999E-2</v>
      </c>
      <c r="V242" s="197">
        <v>0</v>
      </c>
      <c r="W242" s="198">
        <v>0</v>
      </c>
      <c r="X242" s="197">
        <v>0</v>
      </c>
      <c r="Y242" s="199">
        <f t="shared" si="126"/>
        <v>-0.10853103838954248</v>
      </c>
    </row>
    <row r="243" spans="2:25">
      <c r="B243" s="189" t="s">
        <v>9</v>
      </c>
      <c r="C243" s="190" t="s">
        <v>63</v>
      </c>
      <c r="D243" s="190">
        <v>10</v>
      </c>
      <c r="E243" s="191">
        <v>12</v>
      </c>
      <c r="F243" s="192">
        <v>44196</v>
      </c>
      <c r="G243" s="24">
        <v>1127.572695848618</v>
      </c>
      <c r="H243" s="24">
        <f>980244/1000</f>
        <v>980.24400000000003</v>
      </c>
      <c r="I243" s="193">
        <v>89.9</v>
      </c>
      <c r="J243" s="194">
        <v>82.35</v>
      </c>
      <c r="K243" s="193">
        <v>129.6</v>
      </c>
      <c r="L243" s="194">
        <v>118.73</v>
      </c>
      <c r="M243" s="195">
        <f t="shared" si="122"/>
        <v>0.73607500877920484</v>
      </c>
      <c r="N243" s="195">
        <f t="shared" si="123"/>
        <v>0.69404458900239718</v>
      </c>
      <c r="O243" s="195">
        <f t="shared" si="124"/>
        <v>0.15155546987212606</v>
      </c>
      <c r="P243" s="195">
        <f t="shared" si="125"/>
        <v>0.1317532258064516</v>
      </c>
      <c r="Q243" s="195">
        <v>0.98499999999999999</v>
      </c>
      <c r="R243" s="195">
        <v>0.99129999999999996</v>
      </c>
      <c r="S243" s="196">
        <v>0.99</v>
      </c>
      <c r="T243" s="197">
        <v>0.99780000000000002</v>
      </c>
      <c r="U243" s="198">
        <v>1.4999999999999999E-2</v>
      </c>
      <c r="V243" s="197">
        <v>0</v>
      </c>
      <c r="W243" s="198">
        <v>0</v>
      </c>
      <c r="X243" s="197">
        <v>0</v>
      </c>
      <c r="Y243" s="199">
        <f t="shared" si="126"/>
        <v>-4.6786585255092605E-2</v>
      </c>
    </row>
    <row r="244" spans="2:25">
      <c r="B244" s="189" t="s">
        <v>9</v>
      </c>
      <c r="C244" s="190" t="s">
        <v>63</v>
      </c>
      <c r="D244" s="190">
        <v>10</v>
      </c>
      <c r="E244" s="191">
        <v>12</v>
      </c>
      <c r="F244" s="192">
        <v>44227</v>
      </c>
      <c r="G244" s="24">
        <v>951.07492880560903</v>
      </c>
      <c r="H244" s="24">
        <v>768.04200000000003</v>
      </c>
      <c r="I244" s="193">
        <v>79.599999999999994</v>
      </c>
      <c r="J244" s="194">
        <v>70.179999999999993</v>
      </c>
      <c r="K244" s="193">
        <v>103.2</v>
      </c>
      <c r="L244" s="194">
        <v>90.98</v>
      </c>
      <c r="M244" s="195">
        <f t="shared" si="122"/>
        <v>0.77968209250318821</v>
      </c>
      <c r="N244" s="195">
        <f t="shared" si="123"/>
        <v>0.71880022271705413</v>
      </c>
      <c r="O244" s="195">
        <f t="shared" si="124"/>
        <v>0.12783265172118402</v>
      </c>
      <c r="P244" s="195">
        <f t="shared" si="125"/>
        <v>0.10323145161290323</v>
      </c>
      <c r="Q244" s="195">
        <v>0.98499999999999999</v>
      </c>
      <c r="R244" s="195">
        <v>0.97870000000000001</v>
      </c>
      <c r="S244" s="196">
        <v>0.99</v>
      </c>
      <c r="T244" s="197">
        <v>1</v>
      </c>
      <c r="U244" s="198">
        <v>1.4999999999999999E-2</v>
      </c>
      <c r="V244" s="197">
        <v>0</v>
      </c>
      <c r="W244" s="198">
        <v>0</v>
      </c>
      <c r="X244" s="197">
        <v>0</v>
      </c>
      <c r="Y244" s="199">
        <f t="shared" si="126"/>
        <v>-7.4037631903557166E-2</v>
      </c>
    </row>
    <row r="245" spans="2:25">
      <c r="B245" s="189" t="s">
        <v>9</v>
      </c>
      <c r="C245" s="190" t="s">
        <v>63</v>
      </c>
      <c r="D245" s="190">
        <v>10</v>
      </c>
      <c r="E245" s="191">
        <v>12</v>
      </c>
      <c r="F245" s="192">
        <v>44255</v>
      </c>
      <c r="G245" s="24">
        <v>1244.8816412829847</v>
      </c>
      <c r="H245" s="24">
        <v>1098.576</v>
      </c>
      <c r="I245" s="193">
        <v>108.1</v>
      </c>
      <c r="J245" s="194">
        <v>105.23</v>
      </c>
      <c r="K245" s="193">
        <v>137.5</v>
      </c>
      <c r="L245" s="194">
        <v>139.1</v>
      </c>
      <c r="M245" s="195">
        <f t="shared" si="122"/>
        <v>0.76596316953267785</v>
      </c>
      <c r="N245" s="195">
        <f t="shared" si="123"/>
        <v>0.73283992903344886</v>
      </c>
      <c r="O245" s="195">
        <f t="shared" si="124"/>
        <v>0.18525024423853936</v>
      </c>
      <c r="P245" s="195">
        <f t="shared" si="125"/>
        <v>0.16347857142857142</v>
      </c>
      <c r="Q245" s="195">
        <v>0.98499999999999999</v>
      </c>
      <c r="R245" s="195">
        <v>0.89807500000000007</v>
      </c>
      <c r="S245" s="196">
        <v>0.99</v>
      </c>
      <c r="T245" s="197">
        <v>1</v>
      </c>
      <c r="U245" s="198">
        <v>1.4999999999999999E-2</v>
      </c>
      <c r="V245" s="197">
        <v>0</v>
      </c>
      <c r="W245" s="198">
        <v>0</v>
      </c>
      <c r="X245" s="197">
        <v>0</v>
      </c>
      <c r="Y245" s="199">
        <f t="shared" si="126"/>
        <v>-0.12916210779642767</v>
      </c>
    </row>
    <row r="246" spans="2:25">
      <c r="B246" s="189" t="s">
        <v>9</v>
      </c>
      <c r="C246" s="190" t="s">
        <v>63</v>
      </c>
      <c r="D246" s="190">
        <v>10</v>
      </c>
      <c r="E246" s="191">
        <v>12</v>
      </c>
      <c r="F246" s="192">
        <v>44286</v>
      </c>
      <c r="G246" s="24">
        <v>1665.2512452890755</v>
      </c>
      <c r="H246" s="24">
        <v>1502.634</v>
      </c>
      <c r="I246" s="193">
        <v>161.4</v>
      </c>
      <c r="J246" s="194">
        <v>152.74999999999997</v>
      </c>
      <c r="K246" s="193">
        <v>187.8</v>
      </c>
      <c r="L246" s="194">
        <v>177.18000000000004</v>
      </c>
      <c r="M246" s="195">
        <f t="shared" si="122"/>
        <v>0.75018210920691597</v>
      </c>
      <c r="N246" s="195">
        <f t="shared" si="123"/>
        <v>0.71096979806949223</v>
      </c>
      <c r="O246" s="195">
        <f t="shared" si="124"/>
        <v>0.22382409210874671</v>
      </c>
      <c r="P246" s="195">
        <f t="shared" si="125"/>
        <v>0.20196693548387096</v>
      </c>
      <c r="Q246" s="195">
        <v>0.98499999999999999</v>
      </c>
      <c r="R246" s="195">
        <v>0.9940451612903225</v>
      </c>
      <c r="S246" s="196">
        <v>0.99</v>
      </c>
      <c r="T246" s="197">
        <v>1</v>
      </c>
      <c r="U246" s="198">
        <v>1.4999999999999999E-2</v>
      </c>
      <c r="V246" s="197">
        <v>0</v>
      </c>
      <c r="W246" s="198">
        <v>0</v>
      </c>
      <c r="X246" s="197">
        <v>0</v>
      </c>
      <c r="Y246" s="199">
        <f t="shared" si="126"/>
        <v>-4.1103758730307582E-2</v>
      </c>
    </row>
    <row r="247" spans="2:25">
      <c r="B247" s="189" t="s">
        <v>9</v>
      </c>
      <c r="C247" s="190" t="s">
        <v>63</v>
      </c>
      <c r="D247" s="190">
        <v>10</v>
      </c>
      <c r="E247" s="191">
        <v>12</v>
      </c>
      <c r="F247" s="192">
        <v>44316</v>
      </c>
      <c r="G247" s="24">
        <v>1720.3965051694447</v>
      </c>
      <c r="H247" s="24">
        <v>1499.2380000000001</v>
      </c>
      <c r="I247" s="193">
        <v>190.2</v>
      </c>
      <c r="J247" s="194">
        <v>180.36999999999998</v>
      </c>
      <c r="K247" s="193">
        <v>194</v>
      </c>
      <c r="L247" s="194">
        <v>183.48999999999998</v>
      </c>
      <c r="M247" s="195">
        <f t="shared" si="122"/>
        <v>0.75025577178704839</v>
      </c>
      <c r="N247" s="195">
        <f t="shared" si="123"/>
        <v>0.69647249410248346</v>
      </c>
      <c r="O247" s="195">
        <f t="shared" si="124"/>
        <v>0.23894395905131177</v>
      </c>
      <c r="P247" s="195">
        <f t="shared" si="125"/>
        <v>0.20822750000000001</v>
      </c>
      <c r="Q247" s="195">
        <v>0.98499999999999999</v>
      </c>
      <c r="R247" s="195">
        <v>0.97762650000000006</v>
      </c>
      <c r="S247" s="196">
        <v>0.99</v>
      </c>
      <c r="T247" s="197">
        <v>0.98850000000000005</v>
      </c>
      <c r="U247" s="198">
        <v>1.4999999999999999E-2</v>
      </c>
      <c r="V247" s="197">
        <v>2.2750106564608009E-2</v>
      </c>
      <c r="W247" s="198">
        <v>0</v>
      </c>
      <c r="X247" s="197">
        <v>0</v>
      </c>
      <c r="Y247" s="199">
        <f t="shared" si="126"/>
        <v>-7.4375634172847871E-2</v>
      </c>
    </row>
    <row r="248" spans="2:25">
      <c r="B248" s="189" t="s">
        <v>9</v>
      </c>
      <c r="C248" s="190" t="s">
        <v>63</v>
      </c>
      <c r="D248" s="190">
        <v>10</v>
      </c>
      <c r="E248" s="191">
        <v>12</v>
      </c>
      <c r="F248" s="192">
        <v>44347</v>
      </c>
      <c r="G248" s="24">
        <v>1742.997021513858</v>
      </c>
      <c r="H248" s="24">
        <v>1454.748</v>
      </c>
      <c r="I248" s="193">
        <v>197</v>
      </c>
      <c r="J248" s="194">
        <v>177.45000000000007</v>
      </c>
      <c r="K248" s="193">
        <v>197.7</v>
      </c>
      <c r="L248" s="194">
        <v>177.23</v>
      </c>
      <c r="M248" s="195">
        <f t="shared" si="122"/>
        <v>0.74588607459295364</v>
      </c>
      <c r="N248" s="195">
        <f t="shared" si="123"/>
        <v>0.71790592357158933</v>
      </c>
      <c r="O248" s="195">
        <f t="shared" si="124"/>
        <v>0.23427379321422825</v>
      </c>
      <c r="P248" s="195">
        <f t="shared" si="125"/>
        <v>0.19553064516129032</v>
      </c>
      <c r="Q248" s="195">
        <v>0.98499999999999999</v>
      </c>
      <c r="R248" s="195">
        <v>0.95279999999999998</v>
      </c>
      <c r="S248" s="196">
        <v>0.99</v>
      </c>
      <c r="T248" s="197">
        <v>1</v>
      </c>
      <c r="U248" s="198">
        <v>1.4999999999999999E-2</v>
      </c>
      <c r="V248" s="197">
        <v>2.0032155770618513E-2</v>
      </c>
      <c r="W248" s="198">
        <v>0</v>
      </c>
      <c r="X248" s="197">
        <v>0</v>
      </c>
      <c r="Y248" s="199">
        <f t="shared" si="126"/>
        <v>-6.1834791827516167E-2</v>
      </c>
    </row>
    <row r="249" spans="2:25">
      <c r="B249" s="189" t="s">
        <v>9</v>
      </c>
      <c r="C249" s="190" t="s">
        <v>63</v>
      </c>
      <c r="D249" s="190">
        <v>10</v>
      </c>
      <c r="E249" s="191">
        <v>12</v>
      </c>
      <c r="F249" s="192">
        <v>44377</v>
      </c>
      <c r="G249" s="24">
        <v>1567.6170146812092</v>
      </c>
      <c r="H249" s="24">
        <v>1537.89</v>
      </c>
      <c r="I249" s="193">
        <v>178.9</v>
      </c>
      <c r="J249" s="194">
        <v>183.81</v>
      </c>
      <c r="K249" s="193">
        <v>177.2</v>
      </c>
      <c r="L249" s="194">
        <v>180.86</v>
      </c>
      <c r="M249" s="195">
        <f t="shared" si="122"/>
        <v>0.74844307515345376</v>
      </c>
      <c r="N249" s="195">
        <f t="shared" si="123"/>
        <v>0.71611983327984852</v>
      </c>
      <c r="O249" s="195">
        <f t="shared" si="124"/>
        <v>0.2177245853723902</v>
      </c>
      <c r="P249" s="195">
        <f t="shared" si="125"/>
        <v>0.21359583333333335</v>
      </c>
      <c r="Q249" s="195">
        <v>0.98499999999999999</v>
      </c>
      <c r="R249" s="195">
        <v>0.98950000000000005</v>
      </c>
      <c r="S249" s="196">
        <v>0.99</v>
      </c>
      <c r="T249" s="197">
        <v>1</v>
      </c>
      <c r="U249" s="198">
        <v>1.4999999999999999E-2</v>
      </c>
      <c r="V249" s="197">
        <v>1.7999999999999999E-2</v>
      </c>
      <c r="W249" s="198">
        <v>0</v>
      </c>
      <c r="X249" s="197">
        <v>0</v>
      </c>
      <c r="Y249" s="199">
        <f t="shared" si="126"/>
        <v>-3.961781459527447E-2</v>
      </c>
    </row>
    <row r="250" spans="2:25">
      <c r="B250" s="189" t="s">
        <v>9</v>
      </c>
      <c r="C250" s="190" t="s">
        <v>63</v>
      </c>
      <c r="D250" s="190">
        <v>10</v>
      </c>
      <c r="E250" s="191">
        <v>12</v>
      </c>
      <c r="F250" s="192">
        <v>44408</v>
      </c>
      <c r="G250" s="24">
        <v>1390.4289665410074</v>
      </c>
      <c r="H250" s="24">
        <v>1216.6859999999999</v>
      </c>
      <c r="I250" s="193">
        <v>155.5</v>
      </c>
      <c r="J250" s="194">
        <v>145.43</v>
      </c>
      <c r="K250" s="193">
        <v>154.6</v>
      </c>
      <c r="L250" s="194">
        <v>143.36000000000001</v>
      </c>
      <c r="M250" s="195">
        <f t="shared" si="122"/>
        <v>0.76088993732037447</v>
      </c>
      <c r="N250" s="195">
        <f t="shared" si="123"/>
        <v>0.72682369358420573</v>
      </c>
      <c r="O250" s="195">
        <f t="shared" si="124"/>
        <v>0.18688561378239346</v>
      </c>
      <c r="P250" s="195">
        <f t="shared" si="125"/>
        <v>0.16353306451612901</v>
      </c>
      <c r="Q250" s="195">
        <v>0.98499999999999999</v>
      </c>
      <c r="R250" s="195">
        <v>0.97306129032258082</v>
      </c>
      <c r="S250" s="196">
        <v>0.99</v>
      </c>
      <c r="T250" s="197">
        <v>1</v>
      </c>
      <c r="U250" s="198">
        <v>1.4999999999999999E-2</v>
      </c>
      <c r="V250" s="197">
        <v>7.6E-3</v>
      </c>
      <c r="W250" s="198">
        <v>0</v>
      </c>
      <c r="X250" s="197">
        <v>0</v>
      </c>
      <c r="Y250" s="199">
        <f t="shared" si="126"/>
        <v>-5.2252625675055953E-2</v>
      </c>
    </row>
    <row r="251" spans="2:25">
      <c r="B251" s="189" t="s">
        <v>9</v>
      </c>
      <c r="C251" s="190" t="s">
        <v>63</v>
      </c>
      <c r="D251" s="190">
        <v>10</v>
      </c>
      <c r="E251" s="191">
        <v>12</v>
      </c>
      <c r="F251" s="192">
        <v>44439</v>
      </c>
      <c r="G251" s="24">
        <v>1320.8193762002138</v>
      </c>
      <c r="H251" s="24">
        <v>1241.646</v>
      </c>
      <c r="I251" s="193">
        <v>145.4</v>
      </c>
      <c r="J251" s="194">
        <v>141.26999999999995</v>
      </c>
      <c r="K251" s="193">
        <v>146.30000000000001</v>
      </c>
      <c r="L251" s="194">
        <v>142.29999999999998</v>
      </c>
      <c r="M251" s="195">
        <f t="shared" si="122"/>
        <v>0.76380347280303529</v>
      </c>
      <c r="N251" s="195">
        <f t="shared" si="123"/>
        <v>0.74356447784211888</v>
      </c>
      <c r="O251" s="195">
        <f t="shared" si="124"/>
        <v>0.17752948604841584</v>
      </c>
      <c r="P251" s="195">
        <f t="shared" si="125"/>
        <v>0.16688790322580643</v>
      </c>
      <c r="Q251" s="195">
        <v>0.98499999999999999</v>
      </c>
      <c r="R251" s="195">
        <v>0.97789677419354848</v>
      </c>
      <c r="S251" s="196">
        <v>0.99</v>
      </c>
      <c r="T251" s="197">
        <v>1</v>
      </c>
      <c r="U251" s="198">
        <v>1.4999999999999999E-2</v>
      </c>
      <c r="V251" s="197">
        <v>3.3E-3</v>
      </c>
      <c r="W251" s="198">
        <v>0</v>
      </c>
      <c r="X251" s="197">
        <v>0</v>
      </c>
      <c r="Y251" s="199">
        <f t="shared" si="126"/>
        <v>-3.2601541726291927E-2</v>
      </c>
    </row>
    <row r="252" spans="2:25">
      <c r="B252" s="189" t="s">
        <v>9</v>
      </c>
      <c r="C252" s="190" t="s">
        <v>63</v>
      </c>
      <c r="D252" s="190">
        <v>10</v>
      </c>
      <c r="E252" s="191">
        <v>12</v>
      </c>
      <c r="F252" s="192">
        <v>44469</v>
      </c>
      <c r="G252" s="24">
        <v>1315.3952522775546</v>
      </c>
      <c r="H252" s="24">
        <v>1178.3219999999999</v>
      </c>
      <c r="I252" s="193">
        <v>141.6</v>
      </c>
      <c r="J252" s="194">
        <v>129.91</v>
      </c>
      <c r="K252" s="193">
        <v>145.5</v>
      </c>
      <c r="L252" s="194">
        <v>139.51</v>
      </c>
      <c r="M252" s="195">
        <f t="shared" si="122"/>
        <v>0.76484917070929626</v>
      </c>
      <c r="N252" s="195">
        <f t="shared" si="123"/>
        <v>0.7116807451621967</v>
      </c>
      <c r="O252" s="195">
        <f t="shared" si="124"/>
        <v>0.18269378503854924</v>
      </c>
      <c r="P252" s="195">
        <f t="shared" si="125"/>
        <v>0.16365583333333331</v>
      </c>
      <c r="Q252" s="195">
        <v>0.98499999999999999</v>
      </c>
      <c r="R252" s="195">
        <v>0.98899064960000005</v>
      </c>
      <c r="S252" s="196">
        <v>0.99</v>
      </c>
      <c r="T252" s="197">
        <v>0.99761</v>
      </c>
      <c r="U252" s="198">
        <v>1.4999999999999999E-2</v>
      </c>
      <c r="V252" s="197">
        <v>5.0000000000000001E-3</v>
      </c>
      <c r="W252" s="198">
        <v>0</v>
      </c>
      <c r="X252" s="197">
        <v>0</v>
      </c>
      <c r="Y252" s="199">
        <f t="shared" si="126"/>
        <v>-6.3038508098045454E-2</v>
      </c>
    </row>
    <row r="253" spans="2:25">
      <c r="B253" s="189" t="s">
        <v>9</v>
      </c>
      <c r="C253" s="190" t="s">
        <v>63</v>
      </c>
      <c r="D253" s="190">
        <v>10</v>
      </c>
      <c r="E253" s="191">
        <v>12</v>
      </c>
      <c r="F253" s="192">
        <v>44500</v>
      </c>
      <c r="G253" s="24">
        <v>1503.431548263075</v>
      </c>
      <c r="H253" s="24">
        <v>1357.086</v>
      </c>
      <c r="I253" s="193">
        <v>139.1</v>
      </c>
      <c r="J253" s="194">
        <v>127.04000000000002</v>
      </c>
      <c r="K253" s="193">
        <v>172.2</v>
      </c>
      <c r="L253" s="194">
        <v>159.08000000000004</v>
      </c>
      <c r="M253" s="195">
        <f t="shared" si="122"/>
        <v>0.73864036243570075</v>
      </c>
      <c r="N253" s="195">
        <f t="shared" si="123"/>
        <v>0.72333405349427393</v>
      </c>
      <c r="O253" s="195">
        <f t="shared" si="124"/>
        <v>0.20207413283105846</v>
      </c>
      <c r="P253" s="195">
        <f t="shared" si="125"/>
        <v>0.18240403225806451</v>
      </c>
      <c r="Q253" s="195">
        <v>0.98499999999999999</v>
      </c>
      <c r="R253" s="195">
        <v>0.98281467</v>
      </c>
      <c r="S253" s="196">
        <v>0.99</v>
      </c>
      <c r="T253" s="197">
        <v>0.99907096774193549</v>
      </c>
      <c r="U253" s="198">
        <v>1.4999999999999999E-2</v>
      </c>
      <c r="V253" s="197">
        <v>2.0500000000000001E-2</v>
      </c>
      <c r="W253" s="198">
        <v>0</v>
      </c>
      <c r="X253" s="197">
        <v>0</v>
      </c>
      <c r="Y253" s="199">
        <f t="shared" si="126"/>
        <v>-2.1150535731316644E-2</v>
      </c>
    </row>
    <row r="254" spans="2:25">
      <c r="B254" s="189" t="s">
        <v>9</v>
      </c>
      <c r="C254" s="190" t="s">
        <v>63</v>
      </c>
      <c r="D254" s="190">
        <v>10</v>
      </c>
      <c r="E254" s="191">
        <v>12</v>
      </c>
      <c r="F254" s="192">
        <v>44530</v>
      </c>
      <c r="G254" s="24">
        <v>1333.4756653530853</v>
      </c>
      <c r="H254" s="24">
        <v>1247.31</v>
      </c>
      <c r="I254" s="193">
        <v>108.1</v>
      </c>
      <c r="J254" s="194">
        <v>103.76999999999998</v>
      </c>
      <c r="K254" s="193">
        <v>152.1</v>
      </c>
      <c r="L254" s="194">
        <v>148.66</v>
      </c>
      <c r="M254" s="195">
        <f t="shared" si="122"/>
        <v>0.74171729200837766</v>
      </c>
      <c r="N254" s="195">
        <f t="shared" si="123"/>
        <v>0.6992987161055203</v>
      </c>
      <c r="O254" s="195">
        <f t="shared" si="124"/>
        <v>0.18520495352126184</v>
      </c>
      <c r="P254" s="195">
        <f t="shared" si="125"/>
        <v>0.17323749999999999</v>
      </c>
      <c r="Q254" s="195">
        <v>0.98499999999999999</v>
      </c>
      <c r="R254" s="195">
        <v>0.99985333333333337</v>
      </c>
      <c r="S254" s="196">
        <v>0.99</v>
      </c>
      <c r="T254" s="197">
        <v>1</v>
      </c>
      <c r="U254" s="198">
        <v>1.4999999999999999E-2</v>
      </c>
      <c r="V254" s="197">
        <v>2.2311641744843663E-2</v>
      </c>
      <c r="W254" s="198">
        <v>0</v>
      </c>
      <c r="X254" s="197">
        <v>0</v>
      </c>
      <c r="Y254" s="199">
        <f t="shared" si="126"/>
        <v>-4.2000651636459718E-2</v>
      </c>
    </row>
    <row r="255" spans="2:25">
      <c r="B255" s="189" t="s">
        <v>9</v>
      </c>
      <c r="C255" s="190" t="s">
        <v>63</v>
      </c>
      <c r="D255" s="190">
        <v>10</v>
      </c>
      <c r="E255" s="191">
        <v>12</v>
      </c>
      <c r="F255" s="192">
        <v>44561</v>
      </c>
      <c r="G255" s="24">
        <v>1121.9348323693748</v>
      </c>
      <c r="H255" s="24">
        <v>1041.654</v>
      </c>
      <c r="I255" s="193">
        <v>89.9</v>
      </c>
      <c r="J255" s="194">
        <v>84.149999999999977</v>
      </c>
      <c r="K255" s="193">
        <v>129.6</v>
      </c>
      <c r="L255" s="194">
        <v>121.52999999999999</v>
      </c>
      <c r="M255" s="195">
        <f t="shared" si="122"/>
        <v>0.73239463373530878</v>
      </c>
      <c r="N255" s="195">
        <f t="shared" si="123"/>
        <v>0.71983923875182576</v>
      </c>
      <c r="O255" s="195">
        <f t="shared" si="124"/>
        <v>0.15079769252276543</v>
      </c>
      <c r="P255" s="195">
        <f t="shared" si="125"/>
        <v>0.14000725806451614</v>
      </c>
      <c r="Q255" s="195">
        <v>0.98499999999999999</v>
      </c>
      <c r="R255" s="195">
        <v>0.99225483870967746</v>
      </c>
      <c r="S255" s="196">
        <v>0.99</v>
      </c>
      <c r="T255" s="197">
        <v>1</v>
      </c>
      <c r="U255" s="198">
        <v>1.4999999999999999E-2</v>
      </c>
      <c r="V255" s="197">
        <v>1.72E-2</v>
      </c>
      <c r="W255" s="198">
        <v>0</v>
      </c>
      <c r="X255" s="197">
        <v>0</v>
      </c>
      <c r="Y255" s="199">
        <f t="shared" si="126"/>
        <v>-9.2871815570665373E-3</v>
      </c>
    </row>
    <row r="256" spans="2:25">
      <c r="B256" s="189" t="s">
        <v>9</v>
      </c>
      <c r="C256" s="190" t="s">
        <v>63</v>
      </c>
      <c r="D256" s="190">
        <v>10</v>
      </c>
      <c r="E256" s="191">
        <v>12</v>
      </c>
      <c r="F256" s="192">
        <v>44592</v>
      </c>
      <c r="G256" s="24">
        <v>946.31955416158098</v>
      </c>
      <c r="H256" s="24">
        <v>655.71600000000001</v>
      </c>
      <c r="I256" s="193">
        <v>79.599999999999994</v>
      </c>
      <c r="J256" s="194">
        <v>58.210000000000022</v>
      </c>
      <c r="K256" s="193">
        <v>103.2</v>
      </c>
      <c r="L256" s="194">
        <v>72.67</v>
      </c>
      <c r="M256" s="195">
        <f t="shared" si="122"/>
        <v>0.77578368204067227</v>
      </c>
      <c r="N256" s="195">
        <f t="shared" si="123"/>
        <v>0.76649683746235586</v>
      </c>
      <c r="O256" s="195">
        <f t="shared" si="124"/>
        <v>0.12719348846257808</v>
      </c>
      <c r="P256" s="195">
        <f t="shared" si="125"/>
        <v>8.8133870967741931E-2</v>
      </c>
      <c r="Q256" s="195">
        <v>0.98499999999999999</v>
      </c>
      <c r="R256" s="195">
        <v>0.98099999999999998</v>
      </c>
      <c r="S256" s="196">
        <v>0.99</v>
      </c>
      <c r="T256" s="197">
        <v>1</v>
      </c>
      <c r="U256" s="198">
        <v>1.4999999999999999E-2</v>
      </c>
      <c r="V256" s="197">
        <v>0</v>
      </c>
      <c r="W256" s="198">
        <v>0</v>
      </c>
      <c r="X256" s="197">
        <v>0</v>
      </c>
      <c r="Y256" s="199">
        <f t="shared" si="126"/>
        <v>-1.1254851501914631E-2</v>
      </c>
    </row>
    <row r="257" spans="2:25">
      <c r="B257" s="189" t="s">
        <v>9</v>
      </c>
      <c r="C257" s="190" t="s">
        <v>63</v>
      </c>
      <c r="D257" s="190">
        <v>10</v>
      </c>
      <c r="E257" s="191">
        <v>12</v>
      </c>
      <c r="F257" s="192">
        <v>44620</v>
      </c>
      <c r="G257" s="24">
        <v>1238.6572330765698</v>
      </c>
      <c r="H257" s="24">
        <v>1238.586</v>
      </c>
      <c r="I257" s="193">
        <v>108.1</v>
      </c>
      <c r="J257" s="194">
        <v>108.97</v>
      </c>
      <c r="K257" s="193">
        <v>137.5</v>
      </c>
      <c r="L257" s="194">
        <v>141.71999999999997</v>
      </c>
      <c r="M257" s="195">
        <f t="shared" si="122"/>
        <v>0.76213335368501445</v>
      </c>
      <c r="N257" s="195">
        <f t="shared" si="123"/>
        <v>0.73565011095590072</v>
      </c>
      <c r="O257" s="195">
        <f t="shared" si="124"/>
        <v>0.1843239930173467</v>
      </c>
      <c r="P257" s="195">
        <f t="shared" si="125"/>
        <v>0.18431339285714288</v>
      </c>
      <c r="Q257" s="195">
        <v>0.98499999999999999</v>
      </c>
      <c r="R257" s="195">
        <v>0.99001658999999997</v>
      </c>
      <c r="S257" s="196">
        <v>0.99</v>
      </c>
      <c r="T257" s="197">
        <v>0.99790000000000001</v>
      </c>
      <c r="U257" s="198">
        <v>1.4999999999999999E-2</v>
      </c>
      <c r="V257" s="197">
        <v>1.12E-2</v>
      </c>
      <c r="W257" s="198">
        <v>0</v>
      </c>
      <c r="X257" s="197">
        <v>0</v>
      </c>
      <c r="Y257" s="199">
        <f t="shared" si="126"/>
        <v>-3.0748417394794392E-2</v>
      </c>
    </row>
    <row r="258" spans="2:25">
      <c r="B258" s="189" t="s">
        <v>9</v>
      </c>
      <c r="C258" s="190" t="s">
        <v>63</v>
      </c>
      <c r="D258" s="190">
        <v>10</v>
      </c>
      <c r="E258" s="191">
        <v>12</v>
      </c>
      <c r="F258" s="192">
        <v>44651</v>
      </c>
      <c r="G258" s="24">
        <v>1656.9249890626304</v>
      </c>
      <c r="H258" s="24">
        <f>[1]Database!$I$424/1000</f>
        <v>1540.152</v>
      </c>
      <c r="I258" s="193">
        <v>161.4</v>
      </c>
      <c r="J258" s="194">
        <v>162.41999999999999</v>
      </c>
      <c r="K258" s="193">
        <v>187.8</v>
      </c>
      <c r="L258" s="194">
        <v>188.44</v>
      </c>
      <c r="M258" s="195">
        <f t="shared" si="122"/>
        <v>0.7464311986608817</v>
      </c>
      <c r="N258" s="195">
        <f t="shared" si="123"/>
        <v>0.70397667342966075</v>
      </c>
      <c r="O258" s="195">
        <f t="shared" si="124"/>
        <v>0.22270497164820302</v>
      </c>
      <c r="P258" s="195">
        <f t="shared" si="125"/>
        <v>0.20700967741935483</v>
      </c>
      <c r="Q258" s="195">
        <v>0.98499999999999999</v>
      </c>
      <c r="R258" s="195">
        <f>'[2]UTT '!$II$7</f>
        <v>0.96750000000000003</v>
      </c>
      <c r="S258" s="196">
        <v>0.99</v>
      </c>
      <c r="T258" s="197">
        <v>1</v>
      </c>
      <c r="U258" s="198">
        <v>1.4999999999999999E-2</v>
      </c>
      <c r="V258" s="197">
        <v>1.6566912139116548E-2</v>
      </c>
      <c r="W258" s="198">
        <v>0</v>
      </c>
      <c r="X258" s="197">
        <v>0</v>
      </c>
      <c r="Y258" s="199">
        <f t="shared" si="126"/>
        <v>-7.3883605234004279E-2</v>
      </c>
    </row>
    <row r="259" spans="2:25">
      <c r="B259" s="189" t="s">
        <v>9</v>
      </c>
      <c r="C259" s="190" t="s">
        <v>63</v>
      </c>
      <c r="D259" s="190">
        <v>10</v>
      </c>
      <c r="E259" s="191">
        <v>12</v>
      </c>
      <c r="F259" s="192">
        <v>44681</v>
      </c>
      <c r="G259" s="24">
        <v>1711.7945226435975</v>
      </c>
      <c r="H259" s="24">
        <v>1480.566</v>
      </c>
      <c r="I259" s="193">
        <v>190.2</v>
      </c>
      <c r="J259" s="194">
        <v>174.14000000000001</v>
      </c>
      <c r="K259" s="193">
        <v>194</v>
      </c>
      <c r="L259" s="194">
        <v>182.27000000000004</v>
      </c>
      <c r="M259" s="195">
        <f t="shared" si="122"/>
        <v>0.74650449292811305</v>
      </c>
      <c r="N259" s="195">
        <f t="shared" si="123"/>
        <v>0.67881129872811574</v>
      </c>
      <c r="O259" s="195">
        <f t="shared" si="124"/>
        <v>0.23774923925605523</v>
      </c>
      <c r="P259" s="195">
        <f t="shared" si="125"/>
        <v>0.20563416666666665</v>
      </c>
      <c r="Q259" s="195">
        <v>0.98499999999999999</v>
      </c>
      <c r="R259" s="195">
        <v>0.99719999999999998</v>
      </c>
      <c r="S259" s="196">
        <v>0.99</v>
      </c>
      <c r="T259" s="197">
        <v>1</v>
      </c>
      <c r="U259" s="198">
        <v>1.4999999999999999E-2</v>
      </c>
      <c r="V259" s="197">
        <v>2.3300000000000001E-2</v>
      </c>
      <c r="W259" s="198">
        <v>0</v>
      </c>
      <c r="X259" s="197">
        <v>0</v>
      </c>
      <c r="Y259" s="199">
        <f t="shared" si="126"/>
        <v>-7.4615684368560364E-2</v>
      </c>
    </row>
    <row r="260" spans="2:25">
      <c r="B260" s="189" t="s">
        <v>9</v>
      </c>
      <c r="C260" s="190" t="s">
        <v>63</v>
      </c>
      <c r="D260" s="190">
        <v>10</v>
      </c>
      <c r="E260" s="191">
        <v>12</v>
      </c>
      <c r="F260" s="192">
        <v>44712</v>
      </c>
      <c r="G260" s="24">
        <v>1734.2820364062889</v>
      </c>
      <c r="H260" s="24">
        <v>1527.9359999999999</v>
      </c>
      <c r="I260" s="193">
        <v>197</v>
      </c>
      <c r="J260" s="194">
        <v>187.18</v>
      </c>
      <c r="K260" s="193">
        <v>197.7</v>
      </c>
      <c r="L260" s="194">
        <v>186.75000000000006</v>
      </c>
      <c r="M260" s="195">
        <f t="shared" si="122"/>
        <v>0.74215664421998873</v>
      </c>
      <c r="N260" s="195">
        <f t="shared" si="123"/>
        <v>0.70754870214368659</v>
      </c>
      <c r="O260" s="195">
        <f t="shared" si="124"/>
        <v>0.23310242424815711</v>
      </c>
      <c r="P260" s="195">
        <f t="shared" si="125"/>
        <v>0.20536774193548385</v>
      </c>
      <c r="Q260" s="195">
        <v>0.98499999999999999</v>
      </c>
      <c r="R260" s="195">
        <v>0.96362258064516115</v>
      </c>
      <c r="S260" s="196">
        <v>0.99</v>
      </c>
      <c r="T260" s="197">
        <v>1</v>
      </c>
      <c r="U260" s="198">
        <v>1.4999999999999999E-2</v>
      </c>
      <c r="V260" s="197">
        <v>8.3999999999999995E-3</v>
      </c>
      <c r="W260" s="198">
        <v>0</v>
      </c>
      <c r="X260" s="197">
        <v>0</v>
      </c>
      <c r="Y260" s="199">
        <f t="shared" si="126"/>
        <v>-6.3593718776029151E-2</v>
      </c>
    </row>
    <row r="261" spans="2:25">
      <c r="B261" s="189" t="s">
        <v>9</v>
      </c>
      <c r="C261" s="190" t="s">
        <v>63</v>
      </c>
      <c r="D261" s="190">
        <v>10</v>
      </c>
      <c r="E261" s="191">
        <v>12</v>
      </c>
      <c r="F261" s="192">
        <v>44742</v>
      </c>
      <c r="G261" s="24">
        <v>1559.7789296078031</v>
      </c>
      <c r="H261" s="24">
        <v>1386.5160000000001</v>
      </c>
      <c r="I261" s="193">
        <v>178.9</v>
      </c>
      <c r="J261" s="194">
        <v>171.11999999999995</v>
      </c>
      <c r="K261" s="193">
        <v>177.2</v>
      </c>
      <c r="L261" s="194">
        <v>170.06999999999996</v>
      </c>
      <c r="M261" s="195">
        <f t="shared" si="122"/>
        <v>0.7447008597776863</v>
      </c>
      <c r="N261" s="195">
        <f t="shared" si="123"/>
        <v>0.68380837510437131</v>
      </c>
      <c r="O261" s="195">
        <f t="shared" si="124"/>
        <v>0.21663596244552821</v>
      </c>
      <c r="P261" s="195">
        <f t="shared" si="125"/>
        <v>0.19257166666666667</v>
      </c>
      <c r="Q261" s="195">
        <v>0.98499999999999999</v>
      </c>
      <c r="R261" s="195">
        <v>0.99353120533333339</v>
      </c>
      <c r="S261" s="196">
        <v>0.99</v>
      </c>
      <c r="T261" s="197">
        <v>0.99919999999999998</v>
      </c>
      <c r="U261" s="198">
        <v>1.4999999999999999E-2</v>
      </c>
      <c r="V261" s="197">
        <v>1.23E-2</v>
      </c>
      <c r="W261" s="198">
        <v>0</v>
      </c>
      <c r="X261" s="197">
        <v>0</v>
      </c>
      <c r="Y261" s="199">
        <f t="shared" si="126"/>
        <v>-7.0844701791456854E-2</v>
      </c>
    </row>
    <row r="262" spans="2:25">
      <c r="B262" s="189" t="s">
        <v>9</v>
      </c>
      <c r="C262" s="190" t="s">
        <v>63</v>
      </c>
      <c r="D262" s="190">
        <v>10</v>
      </c>
      <c r="E262" s="191">
        <v>12</v>
      </c>
      <c r="F262" s="192">
        <v>44773</v>
      </c>
      <c r="G262" s="24">
        <v>1383.4768217083022</v>
      </c>
      <c r="H262" s="24">
        <v>1321.2360000000001</v>
      </c>
      <c r="I262" s="193">
        <v>155.5</v>
      </c>
      <c r="J262" s="194">
        <v>154.21999999999994</v>
      </c>
      <c r="K262" s="193">
        <v>154.6</v>
      </c>
      <c r="L262" s="194">
        <v>152.39999999999998</v>
      </c>
      <c r="M262" s="195">
        <f t="shared" si="122"/>
        <v>0.75708548763377248</v>
      </c>
      <c r="N262" s="195">
        <f t="shared" si="123"/>
        <v>0.73430183925820114</v>
      </c>
      <c r="O262" s="195">
        <f t="shared" si="124"/>
        <v>0.18595118571348146</v>
      </c>
      <c r="P262" s="195">
        <f t="shared" si="125"/>
        <v>0.17758548387096776</v>
      </c>
      <c r="Q262" s="195">
        <v>0.98499999999999999</v>
      </c>
      <c r="R262" s="195">
        <v>0.98387419354838712</v>
      </c>
      <c r="S262" s="196">
        <v>0.99</v>
      </c>
      <c r="T262" s="197">
        <v>1</v>
      </c>
      <c r="U262" s="198">
        <v>1.4999999999999999E-2</v>
      </c>
      <c r="V262" s="197">
        <v>6.1999999999999998E-3</v>
      </c>
      <c r="W262" s="198">
        <v>0</v>
      </c>
      <c r="X262" s="197">
        <v>0</v>
      </c>
      <c r="Y262" s="199">
        <f t="shared" si="126"/>
        <v>-3.0758426899648805E-2</v>
      </c>
    </row>
    <row r="263" spans="2:25">
      <c r="B263" s="189" t="s">
        <v>9</v>
      </c>
      <c r="C263" s="190" t="s">
        <v>63</v>
      </c>
      <c r="D263" s="190">
        <v>10</v>
      </c>
      <c r="E263" s="191">
        <v>12</v>
      </c>
      <c r="F263" s="192">
        <v>44804</v>
      </c>
      <c r="G263" s="24">
        <v>1314.2152793192129</v>
      </c>
      <c r="H263" s="24">
        <v>1371.03</v>
      </c>
      <c r="I263" s="193">
        <v>145.4</v>
      </c>
      <c r="J263" s="194">
        <v>161.01</v>
      </c>
      <c r="K263" s="193">
        <v>146.30000000000001</v>
      </c>
      <c r="L263" s="194">
        <v>161.92999999999995</v>
      </c>
      <c r="M263" s="195">
        <f t="shared" si="122"/>
        <v>0.75998445543902016</v>
      </c>
      <c r="N263" s="195">
        <f t="shared" si="123"/>
        <v>0.71864186596531177</v>
      </c>
      <c r="O263" s="195">
        <f t="shared" si="124"/>
        <v>0.17664183861817379</v>
      </c>
      <c r="P263" s="195">
        <f t="shared" si="125"/>
        <v>0.18427822580645162</v>
      </c>
      <c r="Q263" s="195">
        <v>0.98499999999999999</v>
      </c>
      <c r="R263" s="195">
        <v>0.98180645161290336</v>
      </c>
      <c r="S263" s="196">
        <v>0.99</v>
      </c>
      <c r="T263" s="197">
        <v>1</v>
      </c>
      <c r="U263" s="198">
        <v>1.4999999999999999E-2</v>
      </c>
      <c r="V263" s="197">
        <v>1.2800000000000001E-2</v>
      </c>
      <c r="W263" s="198">
        <v>0</v>
      </c>
      <c r="X263" s="197">
        <v>0</v>
      </c>
      <c r="Y263" s="199">
        <f t="shared" si="126"/>
        <v>-6.3604361347650684E-2</v>
      </c>
    </row>
    <row r="264" spans="2:25">
      <c r="B264" s="189" t="s">
        <v>9</v>
      </c>
      <c r="C264" s="190" t="s">
        <v>63</v>
      </c>
      <c r="D264" s="190">
        <v>10</v>
      </c>
      <c r="E264" s="191">
        <v>12</v>
      </c>
      <c r="F264" s="192">
        <v>44834</v>
      </c>
      <c r="G264" s="24">
        <v>1308.8182760161669</v>
      </c>
      <c r="H264" s="24">
        <v>1140.9960000000001</v>
      </c>
      <c r="I264" s="193">
        <v>141.6</v>
      </c>
      <c r="J264" s="194">
        <v>129.53000000000003</v>
      </c>
      <c r="K264" s="193">
        <v>145.5</v>
      </c>
      <c r="L264" s="194">
        <v>135.13000000000002</v>
      </c>
      <c r="M264" s="195">
        <f t="shared" si="122"/>
        <v>0.7610249248557498</v>
      </c>
      <c r="N264" s="195">
        <f t="shared" si="123"/>
        <v>0.71082500978791396</v>
      </c>
      <c r="O264" s="195">
        <f t="shared" si="124"/>
        <v>0.18178031611335652</v>
      </c>
      <c r="P264" s="195">
        <f t="shared" si="125"/>
        <v>0.15847166666666668</v>
      </c>
      <c r="Q264" s="195">
        <v>0.98499999999999999</v>
      </c>
      <c r="R264" s="195">
        <v>0.98989333333333329</v>
      </c>
      <c r="S264" s="196">
        <v>0.99</v>
      </c>
      <c r="T264" s="197">
        <v>1</v>
      </c>
      <c r="U264" s="198">
        <v>1.4999999999999999E-2</v>
      </c>
      <c r="V264" s="197">
        <v>0.01</v>
      </c>
      <c r="W264" s="198">
        <v>0</v>
      </c>
      <c r="X264" s="197">
        <v>0</v>
      </c>
      <c r="Y264" s="199">
        <f t="shared" si="126"/>
        <v>-5.6952798457814757E-2</v>
      </c>
    </row>
    <row r="265" spans="2:25">
      <c r="B265" s="189" t="s">
        <v>9</v>
      </c>
      <c r="C265" s="190" t="s">
        <v>63</v>
      </c>
      <c r="D265" s="190">
        <v>10</v>
      </c>
      <c r="E265" s="191">
        <v>12</v>
      </c>
      <c r="F265" s="192">
        <v>44865</v>
      </c>
      <c r="G265" s="24">
        <v>1495.9143905217597</v>
      </c>
      <c r="H265" s="24">
        <v>1349.136</v>
      </c>
      <c r="I265" s="193">
        <v>139.1</v>
      </c>
      <c r="J265" s="194">
        <v>131.32999999999998</v>
      </c>
      <c r="K265" s="193">
        <v>172.2</v>
      </c>
      <c r="L265" s="194">
        <v>160.63999999999996</v>
      </c>
      <c r="M265" s="195">
        <f t="shared" si="122"/>
        <v>0.73494716062352239</v>
      </c>
      <c r="N265" s="195">
        <f t="shared" si="123"/>
        <v>0.70354756238194893</v>
      </c>
      <c r="O265" s="195">
        <f t="shared" si="124"/>
        <v>0.20106376216690319</v>
      </c>
      <c r="P265" s="195">
        <f t="shared" si="125"/>
        <v>0.18133548387096773</v>
      </c>
      <c r="Q265" s="195">
        <v>0.98499999999999999</v>
      </c>
      <c r="R265" s="195">
        <v>0.99478064516129039</v>
      </c>
      <c r="S265" s="196">
        <v>0.99</v>
      </c>
      <c r="T265" s="197">
        <v>1</v>
      </c>
      <c r="U265" s="198">
        <v>1.4999999999999999E-2</v>
      </c>
      <c r="V265" s="197">
        <v>1.62942153754051E-2</v>
      </c>
      <c r="W265" s="198">
        <v>0</v>
      </c>
      <c r="X265" s="197">
        <v>0</v>
      </c>
      <c r="Y265" s="199">
        <f t="shared" si="126"/>
        <v>-3.098826961329082E-2</v>
      </c>
    </row>
    <row r="266" spans="2:25">
      <c r="B266" s="189" t="s">
        <v>9</v>
      </c>
      <c r="C266" s="190" t="s">
        <v>63</v>
      </c>
      <c r="D266" s="190">
        <v>10</v>
      </c>
      <c r="E266" s="191">
        <v>12</v>
      </c>
      <c r="F266" s="192">
        <v>44895</v>
      </c>
      <c r="G266" s="24">
        <v>1326.8082870263199</v>
      </c>
      <c r="H266" s="24">
        <v>1109.94</v>
      </c>
      <c r="I266" s="193">
        <v>108.1</v>
      </c>
      <c r="J266" s="194">
        <v>98.27</v>
      </c>
      <c r="K266" s="193">
        <v>152.1</v>
      </c>
      <c r="L266" s="194">
        <v>134.56</v>
      </c>
      <c r="M266" s="195">
        <f t="shared" si="122"/>
        <v>0.73800870554833575</v>
      </c>
      <c r="N266" s="195">
        <f t="shared" si="123"/>
        <v>0.68918039459073965</v>
      </c>
      <c r="O266" s="195">
        <f t="shared" si="124"/>
        <v>0.18427892875365554</v>
      </c>
      <c r="P266" s="195">
        <f t="shared" si="125"/>
        <v>0.15415833333333334</v>
      </c>
      <c r="Q266" s="195">
        <v>0.98499999999999999</v>
      </c>
      <c r="R266" s="195">
        <v>0.99740000000000006</v>
      </c>
      <c r="S266" s="196">
        <v>0.99</v>
      </c>
      <c r="T266" s="197">
        <v>1</v>
      </c>
      <c r="U266" s="198">
        <v>1.4999999999999999E-2</v>
      </c>
      <c r="V266" s="197">
        <v>2.4899999999999999E-2</v>
      </c>
      <c r="W266" s="198">
        <v>0</v>
      </c>
      <c r="X266" s="197">
        <v>0</v>
      </c>
      <c r="Y266" s="199">
        <f t="shared" si="126"/>
        <v>-4.8132240650074154E-2</v>
      </c>
    </row>
    <row r="267" spans="2:25">
      <c r="B267" s="189" t="s">
        <v>9</v>
      </c>
      <c r="C267" s="190" t="s">
        <v>63</v>
      </c>
      <c r="D267" s="190">
        <v>10</v>
      </c>
      <c r="E267" s="191">
        <v>12</v>
      </c>
      <c r="F267" s="192">
        <v>44926</v>
      </c>
      <c r="G267" s="24">
        <v>1116.3251582075279</v>
      </c>
      <c r="H267" s="24">
        <v>989.55</v>
      </c>
      <c r="I267" s="193">
        <v>89.9</v>
      </c>
      <c r="J267" s="194">
        <v>81.760000000000005</v>
      </c>
      <c r="K267" s="193">
        <v>129.6</v>
      </c>
      <c r="L267" s="194">
        <v>117.48</v>
      </c>
      <c r="M267" s="195">
        <f t="shared" si="122"/>
        <v>0.72873266056663222</v>
      </c>
      <c r="N267" s="195">
        <f t="shared" si="123"/>
        <v>0.70310284992408045</v>
      </c>
      <c r="O267" s="195">
        <f t="shared" si="124"/>
        <v>0.15004370406015161</v>
      </c>
      <c r="P267" s="195">
        <f t="shared" si="125"/>
        <v>0.13300403225806451</v>
      </c>
      <c r="Q267" s="195">
        <v>0.98499999999999999</v>
      </c>
      <c r="R267" s="195">
        <v>0.99832903225806446</v>
      </c>
      <c r="S267" s="196">
        <v>0.99</v>
      </c>
      <c r="T267" s="197">
        <v>1</v>
      </c>
      <c r="U267" s="198">
        <v>1.4999999999999999E-2</v>
      </c>
      <c r="V267" s="197">
        <v>1.9599999999999999E-2</v>
      </c>
      <c r="W267" s="198">
        <v>0</v>
      </c>
      <c r="X267" s="197">
        <v>0</v>
      </c>
      <c r="Y267" s="199">
        <f t="shared" si="126"/>
        <v>-2.0046205231942893E-2</v>
      </c>
    </row>
    <row r="268" spans="2:25">
      <c r="B268" s="189" t="s">
        <v>9</v>
      </c>
      <c r="C268" s="190" t="s">
        <v>63</v>
      </c>
      <c r="D268" s="190">
        <v>10</v>
      </c>
      <c r="E268" s="191">
        <v>12</v>
      </c>
      <c r="F268" s="192">
        <v>44957</v>
      </c>
      <c r="G268" s="24">
        <v>941.58795639077312</v>
      </c>
      <c r="H268" s="24">
        <v>758.68799999999999</v>
      </c>
      <c r="I268" s="193">
        <v>79.599999999999994</v>
      </c>
      <c r="J268" s="194">
        <v>68.47999999999999</v>
      </c>
      <c r="K268" s="193">
        <v>103.2</v>
      </c>
      <c r="L268" s="194">
        <v>87.960000000000022</v>
      </c>
      <c r="M268" s="195">
        <f t="shared" si="122"/>
        <v>0.77190476363046889</v>
      </c>
      <c r="N268" s="195">
        <f t="shared" si="123"/>
        <v>0.72643697256379813</v>
      </c>
      <c r="O268" s="195">
        <f t="shared" si="124"/>
        <v>0.12655752102026521</v>
      </c>
      <c r="P268" s="195">
        <f t="shared" si="125"/>
        <v>0.10197419354838708</v>
      </c>
      <c r="Q268" s="195">
        <v>0.98499999999999999</v>
      </c>
      <c r="R268" s="195">
        <v>0.98946129032258057</v>
      </c>
      <c r="S268" s="196">
        <v>0.99</v>
      </c>
      <c r="T268" s="197">
        <v>1</v>
      </c>
      <c r="U268" s="198">
        <v>1.4999999999999999E-2</v>
      </c>
      <c r="V268" s="197">
        <v>1.0999999999999999E-2</v>
      </c>
      <c r="W268" s="198">
        <v>0</v>
      </c>
      <c r="X268" s="197">
        <v>0</v>
      </c>
      <c r="Y268" s="199">
        <f t="shared" si="126"/>
        <v>-4.6571859875643051E-2</v>
      </c>
    </row>
    <row r="269" spans="2:25">
      <c r="B269" s="189" t="s">
        <v>9</v>
      </c>
      <c r="C269" s="190" t="s">
        <v>63</v>
      </c>
      <c r="D269" s="190">
        <v>10</v>
      </c>
      <c r="E269" s="191">
        <v>12</v>
      </c>
      <c r="F269" s="192">
        <f>EOMONTH(F268,1)</f>
        <v>44985</v>
      </c>
      <c r="G269" s="24">
        <v>1232.4639469111869</v>
      </c>
      <c r="H269" s="24">
        <v>1197.33</v>
      </c>
      <c r="I269" s="193">
        <v>108.1</v>
      </c>
      <c r="J269" s="194">
        <v>113.65</v>
      </c>
      <c r="K269" s="193">
        <v>137.5</v>
      </c>
      <c r="L269" s="194">
        <v>148.83999999999997</v>
      </c>
      <c r="M269" s="195">
        <f t="shared" si="122"/>
        <v>0.75832268691658933</v>
      </c>
      <c r="N269" s="195">
        <f t="shared" si="123"/>
        <v>0.69271000995199628</v>
      </c>
      <c r="O269" s="195">
        <f t="shared" si="124"/>
        <v>0.18340237305225995</v>
      </c>
      <c r="P269" s="195">
        <f t="shared" si="125"/>
        <v>0.17817410714285714</v>
      </c>
      <c r="Q269" s="195">
        <v>0.98499999999999999</v>
      </c>
      <c r="R269" s="195">
        <v>0.96774624172193879</v>
      </c>
      <c r="S269" s="196">
        <v>0.99</v>
      </c>
      <c r="T269" s="197">
        <v>0.99800357142857143</v>
      </c>
      <c r="U269" s="198">
        <v>1.4999999999999999E-2</v>
      </c>
      <c r="V269" s="197">
        <v>1.6899999999999998E-2</v>
      </c>
      <c r="W269" s="198">
        <v>0</v>
      </c>
      <c r="X269" s="197">
        <v>0</v>
      </c>
      <c r="Y269" s="199">
        <f t="shared" si="126"/>
        <v>-0.11097980612013669</v>
      </c>
    </row>
    <row r="270" spans="2:25">
      <c r="B270" s="189" t="s">
        <v>9</v>
      </c>
      <c r="C270" s="190" t="s">
        <v>63</v>
      </c>
      <c r="D270" s="190">
        <v>10</v>
      </c>
      <c r="E270" s="191">
        <v>12</v>
      </c>
      <c r="F270" s="192">
        <f>EOMONTH(F269,1)</f>
        <v>45016</v>
      </c>
      <c r="G270" s="24">
        <f>UTT!C592</f>
        <v>1648.6403641173172</v>
      </c>
      <c r="H270" s="24">
        <f>UTT!D592</f>
        <v>1406.19</v>
      </c>
      <c r="I270" s="24">
        <f>UTT!E592</f>
        <v>161.4</v>
      </c>
      <c r="J270" s="24">
        <f>UTT!F592</f>
        <v>149.16000000000003</v>
      </c>
      <c r="K270" s="24">
        <f>UTT!G592</f>
        <v>187.8</v>
      </c>
      <c r="L270" s="24">
        <f>UTT!H592</f>
        <v>170.12000000000003</v>
      </c>
      <c r="M270" s="195">
        <f>G270/E270/K270/Q270</f>
        <v>0.74269904266757725</v>
      </c>
      <c r="N270" s="195">
        <f>H270/E270/L270/R270</f>
        <v>0.69716837595396142</v>
      </c>
      <c r="O270" s="195">
        <f>G270/24/DAY(F270)/D270</f>
        <v>0.22159144678996201</v>
      </c>
      <c r="P270" s="195">
        <f>H270/24/DAY(F270)/D270</f>
        <v>0.18900403225806453</v>
      </c>
      <c r="Q270" s="195">
        <f>UTT!M592</f>
        <v>0.98499999999999999</v>
      </c>
      <c r="R270" s="195">
        <f>UTT!N592</f>
        <v>0.98802903225806449</v>
      </c>
      <c r="S270" s="195">
        <f>UTT!O592</f>
        <v>0.99</v>
      </c>
      <c r="T270" s="195">
        <f>UTT!P592</f>
        <v>1</v>
      </c>
      <c r="U270" s="198">
        <v>1.4999999999999999E-2</v>
      </c>
      <c r="V270" s="195">
        <f>UTT!V592</f>
        <v>-1.5100000000000001E-2</v>
      </c>
      <c r="W270" s="198">
        <v>0</v>
      </c>
      <c r="X270" s="197">
        <v>0</v>
      </c>
      <c r="Y270" s="199">
        <f>(H270/G270-1)-(L270/K270-1)</f>
        <v>-5.2918090905204385E-2</v>
      </c>
    </row>
    <row r="271" spans="2:25">
      <c r="B271" s="189" t="s">
        <v>9</v>
      </c>
      <c r="C271" s="190" t="s">
        <v>63</v>
      </c>
      <c r="D271" s="200">
        <v>10</v>
      </c>
      <c r="E271" s="201">
        <v>12</v>
      </c>
      <c r="F271" s="192">
        <f t="shared" ref="F271:F283" si="127">F174</f>
        <v>45046</v>
      </c>
      <c r="G271" s="24">
        <f>UTT!C593</f>
        <v>1703.2355500303795</v>
      </c>
      <c r="H271" s="24">
        <f>UTT!D593</f>
        <v>1519.1759999999999</v>
      </c>
      <c r="I271" s="24">
        <f>UTT!E593</f>
        <v>190.2</v>
      </c>
      <c r="J271" s="24">
        <f>UTT!F593</f>
        <v>182.11</v>
      </c>
      <c r="K271" s="24">
        <f>UTT!G593</f>
        <v>194</v>
      </c>
      <c r="L271" s="24">
        <f>UTT!H593</f>
        <v>188.19000000000003</v>
      </c>
      <c r="M271" s="195">
        <f>G271/E271/K271/Q271</f>
        <v>0.74277197046347254</v>
      </c>
      <c r="N271" s="195">
        <f>H271/E271/L271/R271</f>
        <v>0.68765417989380317</v>
      </c>
      <c r="O271" s="195">
        <f>G271/24/DAY(F271)/D271</f>
        <v>0.23656049305977495</v>
      </c>
      <c r="P271" s="195">
        <f>H271/24/DAY(F271)/D271</f>
        <v>0.21099666666666667</v>
      </c>
      <c r="Q271" s="195">
        <f>UTT!M593</f>
        <v>0.98499999999999999</v>
      </c>
      <c r="R271" s="195">
        <f>UTT!N593</f>
        <v>0.97827333333333333</v>
      </c>
      <c r="S271" s="195">
        <f>UTT!O593</f>
        <v>0.99</v>
      </c>
      <c r="T271" s="195">
        <f>UTT!P593</f>
        <v>1</v>
      </c>
      <c r="U271" s="198">
        <v>1.4999999999999999E-2</v>
      </c>
      <c r="V271" s="195">
        <f>UTT!V593</f>
        <v>-1.9633921667163993E-2</v>
      </c>
      <c r="W271" s="198">
        <v>0</v>
      </c>
      <c r="X271" s="197">
        <v>0</v>
      </c>
      <c r="Y271" s="199">
        <f>(H271/G271-1)-(L271/K271-1)</f>
        <v>-7.8116194306773412E-2</v>
      </c>
    </row>
    <row r="272" spans="2:25">
      <c r="B272" s="189" t="s">
        <v>9</v>
      </c>
      <c r="C272" s="190" t="s">
        <v>63</v>
      </c>
      <c r="D272" s="200">
        <v>10</v>
      </c>
      <c r="E272" s="201">
        <v>12</v>
      </c>
      <c r="F272" s="192">
        <f t="shared" si="127"/>
        <v>45077</v>
      </c>
      <c r="G272" s="24">
        <f>UTT!C594</f>
        <v>1725.6106262242574</v>
      </c>
      <c r="H272" s="24">
        <f>UTT!D594</f>
        <v>1482.63</v>
      </c>
      <c r="I272" s="24">
        <f>UTT!E594</f>
        <v>197</v>
      </c>
      <c r="J272" s="24">
        <f>UTT!F594</f>
        <v>190.73</v>
      </c>
      <c r="K272" s="24">
        <f>UTT!G594</f>
        <v>197.7</v>
      </c>
      <c r="L272" s="24">
        <f>UTT!H594</f>
        <v>190.65000000000003</v>
      </c>
      <c r="M272" s="195">
        <f t="shared" ref="M272:M281" si="128">G272/E272/K272/Q272</f>
        <v>0.73844586099888898</v>
      </c>
      <c r="N272" s="195">
        <f t="shared" ref="N272:N281" si="129">H272/E272/L272/R272</f>
        <v>0.69016730334762</v>
      </c>
      <c r="O272" s="195">
        <f t="shared" ref="O272:O281" si="130">G272/24/DAY(F272)/D272</f>
        <v>0.23193691212691631</v>
      </c>
      <c r="P272" s="195">
        <f t="shared" ref="P272:P281" si="131">H272/24/DAY(F272)/D272</f>
        <v>0.19927822580645163</v>
      </c>
      <c r="Q272" s="195">
        <f>UTT!M594</f>
        <v>0.98499999999999999</v>
      </c>
      <c r="R272" s="195">
        <f>UTT!N594</f>
        <v>0.93898865937565068</v>
      </c>
      <c r="S272" s="195">
        <f>UTT!O594</f>
        <v>0.99</v>
      </c>
      <c r="T272" s="195">
        <f>UTT!P594</f>
        <v>0.99396451612903225</v>
      </c>
      <c r="U272" s="198">
        <v>1.4999999999999999E-2</v>
      </c>
      <c r="V272" s="195">
        <f>UTT!V594</f>
        <v>-1.3599999999999999E-2</v>
      </c>
      <c r="W272" s="198">
        <v>0</v>
      </c>
      <c r="X272" s="197">
        <v>0</v>
      </c>
      <c r="Y272" s="199">
        <f t="shared" ref="Y272:Y281" si="132">(H272/G272-1)-(L272/K272-1)</f>
        <v>-0.10514839873139437</v>
      </c>
    </row>
    <row r="273" spans="2:25">
      <c r="B273" s="189" t="s">
        <v>9</v>
      </c>
      <c r="C273" s="190" t="s">
        <v>63</v>
      </c>
      <c r="D273" s="200">
        <v>10</v>
      </c>
      <c r="E273" s="201">
        <v>12</v>
      </c>
      <c r="F273" s="192">
        <f t="shared" si="127"/>
        <v>45107</v>
      </c>
      <c r="G273" s="24">
        <f>UTT!C595</f>
        <v>1551.980034959764</v>
      </c>
      <c r="H273" s="24">
        <f>UTT!D595</f>
        <v>1392.72</v>
      </c>
      <c r="I273" s="24">
        <f>UTT!E595</f>
        <v>178.9</v>
      </c>
      <c r="J273" s="24">
        <f>UTT!F595</f>
        <v>169.89000000000001</v>
      </c>
      <c r="K273" s="24">
        <f>UTT!G595</f>
        <v>177.2</v>
      </c>
      <c r="L273" s="24">
        <f>UTT!H595</f>
        <v>167.28999999999996</v>
      </c>
      <c r="M273" s="195">
        <f t="shared" si="128"/>
        <v>0.74097735547879795</v>
      </c>
      <c r="N273" s="195">
        <f t="shared" si="129"/>
        <v>0.70053717709029761</v>
      </c>
      <c r="O273" s="195">
        <f t="shared" si="130"/>
        <v>0.21555278263330058</v>
      </c>
      <c r="P273" s="195">
        <f t="shared" si="131"/>
        <v>0.19343333333333335</v>
      </c>
      <c r="Q273" s="195">
        <f>UTT!M595</f>
        <v>0.98499999999999999</v>
      </c>
      <c r="R273" s="195">
        <f>UTT!N595</f>
        <v>0.99033333333333351</v>
      </c>
      <c r="S273" s="195">
        <f>UTT!O595</f>
        <v>0.99</v>
      </c>
      <c r="T273" s="195">
        <f>UTT!P595</f>
        <v>1</v>
      </c>
      <c r="U273" s="198">
        <v>1.4999999999999999E-2</v>
      </c>
      <c r="V273" s="195">
        <f>UTT!V595</f>
        <v>-1.49E-2</v>
      </c>
      <c r="W273" s="198">
        <v>0</v>
      </c>
      <c r="X273" s="197">
        <v>0</v>
      </c>
      <c r="Y273" s="199">
        <f t="shared" si="132"/>
        <v>-4.669181408303813E-2</v>
      </c>
    </row>
    <row r="274" spans="2:25">
      <c r="B274" s="189" t="s">
        <v>9</v>
      </c>
      <c r="C274" s="190" t="s">
        <v>63</v>
      </c>
      <c r="D274" s="200">
        <v>10</v>
      </c>
      <c r="E274" s="201">
        <v>12</v>
      </c>
      <c r="F274" s="192">
        <f t="shared" si="127"/>
        <v>45137</v>
      </c>
      <c r="G274" s="24">
        <f>UTT!C596</f>
        <v>1376.5594375997607</v>
      </c>
      <c r="H274" s="24">
        <f>UTT!D596</f>
        <v>1056.1079999999986</v>
      </c>
      <c r="I274" s="24">
        <f>UTT!E596</f>
        <v>155.5</v>
      </c>
      <c r="J274" s="24">
        <f>UTT!F596</f>
        <v>138.42000000000002</v>
      </c>
      <c r="K274" s="24">
        <f>UTT!G596</f>
        <v>154.6</v>
      </c>
      <c r="L274" s="24">
        <f>UTT!H596</f>
        <v>136.71</v>
      </c>
      <c r="M274" s="195">
        <f t="shared" si="128"/>
        <v>0.75330006019560369</v>
      </c>
      <c r="N274" s="195">
        <f t="shared" si="129"/>
        <v>0.68792448612215085</v>
      </c>
      <c r="O274" s="195">
        <f t="shared" si="130"/>
        <v>0.19118881077774455</v>
      </c>
      <c r="P274" s="195">
        <f t="shared" si="131"/>
        <v>0.14668166666666649</v>
      </c>
      <c r="Q274" s="195">
        <f>UTT!M596</f>
        <v>0.98499999999999999</v>
      </c>
      <c r="R274" s="195">
        <f>UTT!N596</f>
        <v>0.93580645161290343</v>
      </c>
      <c r="S274" s="195">
        <f>UTT!O596</f>
        <v>0.99</v>
      </c>
      <c r="T274" s="195">
        <f>UTT!P596</f>
        <v>1</v>
      </c>
      <c r="U274" s="198">
        <v>1.4999999999999999E-2</v>
      </c>
      <c r="V274" s="195">
        <f>UTT!V596</f>
        <v>0</v>
      </c>
      <c r="W274" s="198">
        <v>0</v>
      </c>
      <c r="X274" s="197">
        <v>0</v>
      </c>
      <c r="Y274" s="199">
        <f t="shared" si="132"/>
        <v>-0.11707359168726972</v>
      </c>
    </row>
    <row r="275" spans="2:25">
      <c r="B275" s="189" t="s">
        <v>9</v>
      </c>
      <c r="C275" s="190" t="s">
        <v>63</v>
      </c>
      <c r="D275" s="200">
        <v>10</v>
      </c>
      <c r="E275" s="201">
        <v>12</v>
      </c>
      <c r="F275" s="192">
        <f t="shared" si="127"/>
        <v>45169</v>
      </c>
      <c r="G275" s="24">
        <f>UTT!C597</f>
        <v>1307.6442029226166</v>
      </c>
      <c r="H275" s="24">
        <f>UTT!D597</f>
        <v>1114.5540000000001</v>
      </c>
      <c r="I275" s="24">
        <f>UTT!E597</f>
        <v>145.4</v>
      </c>
      <c r="J275" s="24">
        <f>UTT!F597</f>
        <v>132.81</v>
      </c>
      <c r="K275" s="24">
        <f>UTT!G597</f>
        <v>146.30000000000001</v>
      </c>
      <c r="L275" s="24">
        <f>UTT!H597</f>
        <v>133.71</v>
      </c>
      <c r="M275" s="195">
        <f t="shared" si="128"/>
        <v>0.75618453316182499</v>
      </c>
      <c r="N275" s="195">
        <f t="shared" si="129"/>
        <v>0.70735024112188605</v>
      </c>
      <c r="O275" s="195">
        <f t="shared" si="130"/>
        <v>0.17575862942508286</v>
      </c>
      <c r="P275" s="195">
        <f t="shared" si="131"/>
        <v>0.14980564516129033</v>
      </c>
      <c r="Q275" s="195">
        <f>UTT!M597</f>
        <v>0.98499999999999999</v>
      </c>
      <c r="R275" s="195">
        <f>UTT!N597</f>
        <v>0.98202258064516135</v>
      </c>
      <c r="S275" s="195">
        <f>UTT!O597</f>
        <v>0.99</v>
      </c>
      <c r="T275" s="195">
        <f>UTT!P597</f>
        <v>1</v>
      </c>
      <c r="U275" s="198">
        <v>1.4999999999999999E-2</v>
      </c>
      <c r="V275" s="195">
        <f>UTT!V597</f>
        <v>-4.5999999999999999E-3</v>
      </c>
      <c r="W275" s="198">
        <v>0</v>
      </c>
      <c r="X275" s="197">
        <v>0</v>
      </c>
      <c r="Y275" s="199">
        <f t="shared" si="132"/>
        <v>-6.1606596703848715E-2</v>
      </c>
    </row>
    <row r="276" spans="2:25">
      <c r="B276" s="189" t="s">
        <v>9</v>
      </c>
      <c r="C276" s="190" t="s">
        <v>63</v>
      </c>
      <c r="D276" s="200">
        <v>10</v>
      </c>
      <c r="E276" s="201">
        <v>12</v>
      </c>
      <c r="F276" s="192">
        <f t="shared" si="127"/>
        <v>45199</v>
      </c>
      <c r="G276" s="24">
        <f>UTT!C598</f>
        <v>1302.2741846360859</v>
      </c>
      <c r="H276" s="24">
        <f>UTT!D598</f>
        <v>1211.1179999999999</v>
      </c>
      <c r="I276" s="24">
        <f>UTT!E598</f>
        <v>141.6</v>
      </c>
      <c r="J276" s="24">
        <f>UTT!F598</f>
        <v>141.79</v>
      </c>
      <c r="K276" s="24">
        <f>UTT!G598</f>
        <v>145.5</v>
      </c>
      <c r="L276" s="24">
        <f>UTT!H598</f>
        <v>147.78</v>
      </c>
      <c r="M276" s="195">
        <f t="shared" si="128"/>
        <v>0.75721980023147095</v>
      </c>
      <c r="N276" s="195">
        <f t="shared" si="129"/>
        <v>0.69863775463969136</v>
      </c>
      <c r="O276" s="195">
        <f t="shared" si="130"/>
        <v>0.18087141453278971</v>
      </c>
      <c r="P276" s="195">
        <f t="shared" si="131"/>
        <v>0.16821083333333331</v>
      </c>
      <c r="Q276" s="195">
        <f>UTT!M598</f>
        <v>0.98499999999999999</v>
      </c>
      <c r="R276" s="195">
        <f>UTT!N598</f>
        <v>0.97754666666666679</v>
      </c>
      <c r="S276" s="195">
        <f>UTT!O598</f>
        <v>0.99</v>
      </c>
      <c r="T276" s="195">
        <f>UTT!P598</f>
        <v>1</v>
      </c>
      <c r="U276" s="198">
        <v>1.4999999999999999E-2</v>
      </c>
      <c r="V276" s="195">
        <f>UTT!V598</f>
        <v>-1.66E-2</v>
      </c>
      <c r="W276" s="198">
        <v>0</v>
      </c>
      <c r="X276" s="197">
        <v>0</v>
      </c>
      <c r="Y276" s="199">
        <f t="shared" si="132"/>
        <v>-8.5667793065850928E-2</v>
      </c>
    </row>
    <row r="277" spans="2:25">
      <c r="B277" s="189" t="s">
        <v>9</v>
      </c>
      <c r="C277" s="190" t="s">
        <v>63</v>
      </c>
      <c r="D277" s="200">
        <v>10</v>
      </c>
      <c r="E277" s="201">
        <v>12</v>
      </c>
      <c r="F277" s="192">
        <f t="shared" si="127"/>
        <v>45230</v>
      </c>
      <c r="G277" s="24">
        <f>UTT!C599</f>
        <v>1488.4348185691508</v>
      </c>
      <c r="H277" s="24">
        <f>UTT!D599</f>
        <v>1344.96</v>
      </c>
      <c r="I277" s="24">
        <f>UTT!E599</f>
        <v>139.1</v>
      </c>
      <c r="J277" s="24">
        <f>UTT!F599</f>
        <v>139.17999999999998</v>
      </c>
      <c r="K277" s="24">
        <f>UTT!G599</f>
        <v>172.2</v>
      </c>
      <c r="L277" s="24">
        <f>UTT!H599</f>
        <v>170.64000000000004</v>
      </c>
      <c r="M277" s="195">
        <f t="shared" si="128"/>
        <v>0.73127242482040467</v>
      </c>
      <c r="N277" s="195">
        <f t="shared" si="129"/>
        <v>0.70223563653816257</v>
      </c>
      <c r="O277" s="195">
        <f t="shared" si="130"/>
        <v>0.20005844335606865</v>
      </c>
      <c r="P277" s="195">
        <f t="shared" si="131"/>
        <v>0.18077419354838709</v>
      </c>
      <c r="Q277" s="195">
        <f>UTT!M599</f>
        <v>0.98499999999999999</v>
      </c>
      <c r="R277" s="195">
        <f>UTT!N599</f>
        <v>0.93532903225806441</v>
      </c>
      <c r="S277" s="195">
        <f>UTT!O599</f>
        <v>0.99</v>
      </c>
      <c r="T277" s="195">
        <f>UTT!P599</f>
        <v>1</v>
      </c>
      <c r="U277" s="198">
        <v>1.4999999999999999E-2</v>
      </c>
      <c r="V277" s="195">
        <f>UTT!V599</f>
        <v>-0.02</v>
      </c>
      <c r="W277" s="198">
        <v>0</v>
      </c>
      <c r="X277" s="197">
        <v>0</v>
      </c>
      <c r="Y277" s="199">
        <f t="shared" si="132"/>
        <v>-8.7333847913047657E-2</v>
      </c>
    </row>
    <row r="278" spans="2:25">
      <c r="B278" s="189" t="s">
        <v>9</v>
      </c>
      <c r="C278" s="190" t="s">
        <v>63</v>
      </c>
      <c r="D278" s="200">
        <v>10</v>
      </c>
      <c r="E278" s="201">
        <v>12</v>
      </c>
      <c r="F278" s="192">
        <f t="shared" si="127"/>
        <v>45260</v>
      </c>
      <c r="G278" s="24">
        <f>UTT!C600</f>
        <v>1320.1742455911883</v>
      </c>
      <c r="H278" s="24">
        <f>UTT!D600</f>
        <v>1062.5040000000029</v>
      </c>
      <c r="I278" s="24">
        <f>UTT!E600</f>
        <v>108.1</v>
      </c>
      <c r="J278" s="24">
        <f>UTT!F600</f>
        <v>95.649999999999991</v>
      </c>
      <c r="K278" s="24">
        <f>UTT!G600</f>
        <v>152.1</v>
      </c>
      <c r="L278" s="24">
        <f>UTT!H600</f>
        <v>130.08000000000001</v>
      </c>
      <c r="M278" s="195">
        <f t="shared" si="128"/>
        <v>0.73431866202059415</v>
      </c>
      <c r="N278" s="195">
        <f t="shared" si="129"/>
        <v>0.68510376944338647</v>
      </c>
      <c r="O278" s="195">
        <f t="shared" si="130"/>
        <v>0.18335753410988725</v>
      </c>
      <c r="P278" s="195">
        <f t="shared" si="131"/>
        <v>0.1475700000000004</v>
      </c>
      <c r="Q278" s="195">
        <f>UTT!M600</f>
        <v>0.98499999999999999</v>
      </c>
      <c r="R278" s="195">
        <f>UTT!N600</f>
        <v>0.99353333333333327</v>
      </c>
      <c r="S278" s="195">
        <f>UTT!O600</f>
        <v>0.99</v>
      </c>
      <c r="T278" s="195">
        <f>UTT!P600</f>
        <v>1</v>
      </c>
      <c r="U278" s="198">
        <v>1.4999999999999999E-2</v>
      </c>
      <c r="V278" s="195">
        <f>UTT!V600</f>
        <v>-1.7100000000000001E-2</v>
      </c>
      <c r="W278" s="198">
        <v>0</v>
      </c>
      <c r="X278" s="197">
        <v>0</v>
      </c>
      <c r="Y278" s="199">
        <f t="shared" si="132"/>
        <v>-5.0405791515686915E-2</v>
      </c>
    </row>
    <row r="279" spans="2:25">
      <c r="B279" s="189" t="s">
        <v>9</v>
      </c>
      <c r="C279" s="190" t="s">
        <v>63</v>
      </c>
      <c r="D279" s="200">
        <v>10</v>
      </c>
      <c r="E279" s="201">
        <v>12</v>
      </c>
      <c r="F279" s="192">
        <f t="shared" si="127"/>
        <v>45291</v>
      </c>
      <c r="G279" s="24">
        <f>UTT!C601</f>
        <v>1110.7435324164901</v>
      </c>
      <c r="H279" s="24">
        <f>UTT!D601</f>
        <v>988.63199999999995</v>
      </c>
      <c r="I279" s="24">
        <f>UTT!E601</f>
        <v>89.9</v>
      </c>
      <c r="J279" s="24">
        <f>UTT!F601</f>
        <v>82.71</v>
      </c>
      <c r="K279" s="24">
        <f>UTT!G601</f>
        <v>129.6</v>
      </c>
      <c r="L279" s="24">
        <f>UTT!H601</f>
        <v>120.23</v>
      </c>
      <c r="M279" s="195">
        <f t="shared" si="128"/>
        <v>0.72508899726379894</v>
      </c>
      <c r="N279" s="195">
        <f t="shared" si="129"/>
        <v>0.69364540211923265</v>
      </c>
      <c r="O279" s="195">
        <f t="shared" si="130"/>
        <v>0.14929348553985083</v>
      </c>
      <c r="P279" s="195">
        <f t="shared" si="131"/>
        <v>0.13288064516129033</v>
      </c>
      <c r="Q279" s="195">
        <f>UTT!M601</f>
        <v>0.98499999999999999</v>
      </c>
      <c r="R279" s="195">
        <f>UTT!N601</f>
        <v>0.98787741935483875</v>
      </c>
      <c r="S279" s="195">
        <f>UTT!O601</f>
        <v>0.99</v>
      </c>
      <c r="T279" s="195">
        <f>UTT!P601</f>
        <v>1</v>
      </c>
      <c r="U279" s="198">
        <v>1.4999999999999999E-2</v>
      </c>
      <c r="V279" s="195">
        <f>UTT!V601</f>
        <v>-2.41E-2</v>
      </c>
      <c r="W279" s="198">
        <v>0</v>
      </c>
      <c r="X279" s="197">
        <v>0</v>
      </c>
      <c r="Y279" s="199">
        <f t="shared" si="132"/>
        <v>-3.7637365824659375E-2</v>
      </c>
    </row>
    <row r="280" spans="2:25">
      <c r="B280" s="189" t="s">
        <v>9</v>
      </c>
      <c r="C280" s="190" t="s">
        <v>63</v>
      </c>
      <c r="D280" s="200">
        <v>10</v>
      </c>
      <c r="E280" s="201">
        <v>12</v>
      </c>
      <c r="F280" s="192">
        <f t="shared" si="127"/>
        <v>45322</v>
      </c>
      <c r="G280" s="24">
        <f>UTT!C602</f>
        <v>936.88001660881923</v>
      </c>
      <c r="H280" s="24">
        <f>UTT!D602</f>
        <v>425.19600000000003</v>
      </c>
      <c r="I280" s="24">
        <f>UTT!E602</f>
        <v>79.599999999999994</v>
      </c>
      <c r="J280" s="24">
        <f>UTT!F602</f>
        <v>43.78</v>
      </c>
      <c r="K280" s="24">
        <f>UTT!G602</f>
        <v>103.2</v>
      </c>
      <c r="L280" s="24">
        <f>UTT!H602</f>
        <v>50.59</v>
      </c>
      <c r="M280" s="195">
        <f t="shared" si="128"/>
        <v>0.76804523981231654</v>
      </c>
      <c r="N280" s="195">
        <f t="shared" si="129"/>
        <v>0.70716818127290082</v>
      </c>
      <c r="O280" s="195">
        <f t="shared" si="130"/>
        <v>0.12592473341516389</v>
      </c>
      <c r="P280" s="195">
        <f t="shared" si="131"/>
        <v>5.7149999999999999E-2</v>
      </c>
      <c r="Q280" s="195">
        <f>UTT!M602</f>
        <v>0.98499999999999999</v>
      </c>
      <c r="R280" s="195">
        <f>UTT!N602</f>
        <v>0.99042258064516142</v>
      </c>
      <c r="S280" s="195">
        <f>UTT!O602</f>
        <v>0.99</v>
      </c>
      <c r="T280" s="195">
        <f>UTT!P602</f>
        <v>1</v>
      </c>
      <c r="U280" s="198">
        <v>1.4999999999999999E-2</v>
      </c>
      <c r="V280" s="195">
        <f>UTT!V602</f>
        <v>-1.61E-2</v>
      </c>
      <c r="W280" s="198">
        <v>0</v>
      </c>
      <c r="X280" s="197">
        <v>0</v>
      </c>
      <c r="Y280" s="199">
        <f t="shared" si="132"/>
        <v>-3.6370645139621627E-2</v>
      </c>
    </row>
    <row r="281" spans="2:25">
      <c r="B281" s="189" t="s">
        <v>9</v>
      </c>
      <c r="C281" s="190" t="s">
        <v>63</v>
      </c>
      <c r="D281" s="200">
        <v>10</v>
      </c>
      <c r="E281" s="201">
        <v>12</v>
      </c>
      <c r="F281" s="192">
        <f t="shared" si="127"/>
        <v>45351</v>
      </c>
      <c r="G281" s="24">
        <f>UTT!C603</f>
        <v>1226.301627176631</v>
      </c>
      <c r="H281" s="24">
        <f>UTT!D603</f>
        <v>1125.6059999999973</v>
      </c>
      <c r="I281" s="24">
        <f>UTT!E603</f>
        <v>108.1</v>
      </c>
      <c r="J281" s="24">
        <f>UTT!F603</f>
        <v>112.92999999999998</v>
      </c>
      <c r="K281" s="24">
        <f>UTT!G603</f>
        <v>137.5</v>
      </c>
      <c r="L281" s="24">
        <f>UTT!H603</f>
        <v>143.63999999999996</v>
      </c>
      <c r="M281" s="195">
        <f t="shared" si="128"/>
        <v>0.75453107348200643</v>
      </c>
      <c r="N281" s="195">
        <f t="shared" si="129"/>
        <v>0.68151213047344905</v>
      </c>
      <c r="O281" s="195">
        <f t="shared" si="130"/>
        <v>0.17619276252537802</v>
      </c>
      <c r="P281" s="195">
        <f t="shared" si="131"/>
        <v>0.16172499999999962</v>
      </c>
      <c r="Q281" s="195">
        <f>UTT!M603</f>
        <v>0.98499999999999999</v>
      </c>
      <c r="R281" s="195">
        <f>UTT!N603</f>
        <v>0.95820000000000005</v>
      </c>
      <c r="S281" s="195">
        <f>UTT!O603</f>
        <v>0.99</v>
      </c>
      <c r="T281" s="195">
        <f>UTT!P603</f>
        <v>0.99475172413793111</v>
      </c>
      <c r="U281" s="198">
        <v>1.4999999999999999E-2</v>
      </c>
      <c r="V281" s="195">
        <f>UTT!V603</f>
        <v>-1.41E-2</v>
      </c>
      <c r="W281" s="198">
        <v>0</v>
      </c>
      <c r="X281" s="197">
        <v>0</v>
      </c>
      <c r="Y281" s="199">
        <f t="shared" si="132"/>
        <v>-0.12676780775891772</v>
      </c>
    </row>
    <row r="282" spans="2:25">
      <c r="B282" s="189" t="s">
        <v>9</v>
      </c>
      <c r="C282" s="190" t="s">
        <v>63</v>
      </c>
      <c r="D282" s="200">
        <v>10</v>
      </c>
      <c r="E282" s="201">
        <v>12</v>
      </c>
      <c r="F282" s="192">
        <f t="shared" si="127"/>
        <v>45382</v>
      </c>
      <c r="G282" s="24">
        <f>UTT!C604</f>
        <v>1640.3971622967306</v>
      </c>
      <c r="H282" s="24">
        <f>UTT!D604</f>
        <v>1434.768</v>
      </c>
      <c r="I282" s="24">
        <f>UTT!E604</f>
        <v>161.4</v>
      </c>
      <c r="J282" s="24">
        <f>UTT!F604</f>
        <v>157.08999999999997</v>
      </c>
      <c r="K282" s="24">
        <f>UTT!G604</f>
        <v>187.8</v>
      </c>
      <c r="L282" s="24">
        <f>UTT!H604</f>
        <v>177.47000000000006</v>
      </c>
      <c r="M282" s="195">
        <f t="shared" ref="M282" si="133">G282/E282/K282/Q282</f>
        <v>0.73898554745423928</v>
      </c>
      <c r="N282" s="195">
        <f t="shared" ref="N282" si="134">H282/E282/L282/R282</f>
        <v>0.68374845582304145</v>
      </c>
      <c r="O282" s="195">
        <f t="shared" ref="O282" si="135">G282/24/DAY(F282)/D282</f>
        <v>0.22048348955601221</v>
      </c>
      <c r="P282" s="195">
        <f t="shared" ref="P282" si="136">H282/24/DAY(F282)/D282</f>
        <v>0.19284516129032259</v>
      </c>
      <c r="Q282" s="195">
        <f>UTT!M604</f>
        <v>0.98499999999999999</v>
      </c>
      <c r="R282" s="195">
        <f>UTT!N604</f>
        <v>0.98532415158658071</v>
      </c>
      <c r="S282" s="195">
        <f>UTT!O604</f>
        <v>0.99</v>
      </c>
      <c r="T282" s="195">
        <f>UTT!P604</f>
        <v>1</v>
      </c>
      <c r="U282" s="198">
        <v>1.4999999999999999E-2</v>
      </c>
      <c r="V282" s="195">
        <f>UTT!V604</f>
        <v>-1.9699999999999999E-2</v>
      </c>
      <c r="W282" s="198">
        <v>0</v>
      </c>
      <c r="X282" s="197">
        <v>0</v>
      </c>
      <c r="Y282" s="199">
        <f t="shared" ref="Y282" si="137">(H282/G282-1)-(L282/K282-1)</f>
        <v>-7.0347953662434737E-2</v>
      </c>
    </row>
    <row r="283" spans="2:25">
      <c r="B283" s="189" t="s">
        <v>9</v>
      </c>
      <c r="C283" s="190" t="s">
        <v>63</v>
      </c>
      <c r="D283" s="200">
        <v>10</v>
      </c>
      <c r="E283" s="201">
        <v>12</v>
      </c>
      <c r="F283" s="192">
        <f t="shared" si="127"/>
        <v>45412</v>
      </c>
      <c r="G283" s="24">
        <f>UTT!C605</f>
        <v>1694.7193722802276</v>
      </c>
      <c r="H283" s="24">
        <f>UTT!D605</f>
        <v>1520.49</v>
      </c>
      <c r="I283" s="24">
        <f>UTT!E605</f>
        <v>190.2</v>
      </c>
      <c r="J283" s="24">
        <f>UTT!F605</f>
        <v>183.76</v>
      </c>
      <c r="K283" s="24">
        <f>UTT!G605</f>
        <v>194</v>
      </c>
      <c r="L283" s="24">
        <f>UTT!H605</f>
        <v>189.48000000000005</v>
      </c>
      <c r="M283" s="195">
        <f t="shared" ref="M283" si="138">G283/E283/K283/Q283</f>
        <v>0.73905811061115512</v>
      </c>
      <c r="N283" s="195">
        <f t="shared" ref="N283" si="139">H283/E283/L283/R283</f>
        <v>0.67428641993958294</v>
      </c>
      <c r="O283" s="195">
        <f t="shared" ref="O283" si="140">G283/24/DAY(F283)/D283</f>
        <v>0.23537769059447608</v>
      </c>
      <c r="P283" s="195">
        <f t="shared" ref="P283" si="141">H283/24/DAY(F283)/D283</f>
        <v>0.21117916666666664</v>
      </c>
      <c r="Q283" s="195">
        <f>UTT!M605</f>
        <v>0.98499999999999999</v>
      </c>
      <c r="R283" s="195">
        <f>UTT!N605</f>
        <v>0.9917324709675287</v>
      </c>
      <c r="S283" s="195">
        <f>UTT!O605</f>
        <v>0.99</v>
      </c>
      <c r="T283" s="195">
        <f>UTT!P605</f>
        <v>0.99975333333333327</v>
      </c>
      <c r="U283" s="198">
        <v>1.4999999999999999E-2</v>
      </c>
      <c r="V283" s="195">
        <f>UTT!V605</f>
        <v>-2.2579999999999999E-2</v>
      </c>
      <c r="W283" s="198">
        <v>0</v>
      </c>
      <c r="X283" s="197">
        <v>0</v>
      </c>
      <c r="Y283" s="199">
        <f t="shared" ref="Y283" si="142">(H283/G283-1)-(L283/K283-1)</f>
        <v>-7.9508242039019961E-2</v>
      </c>
    </row>
    <row r="284" spans="2:25">
      <c r="B284" s="189" t="s">
        <v>9</v>
      </c>
      <c r="C284" s="190" t="s">
        <v>63</v>
      </c>
      <c r="D284" s="200">
        <v>10</v>
      </c>
      <c r="E284" s="201">
        <v>12</v>
      </c>
      <c r="F284" s="192">
        <f>EOMONTH(F283,1)</f>
        <v>45443</v>
      </c>
      <c r="G284" s="24">
        <f>UTT!C606</f>
        <v>1716.9825730931364</v>
      </c>
      <c r="H284" s="24">
        <f>UTT!D606</f>
        <v>1404.2339999999999</v>
      </c>
      <c r="I284" s="24">
        <f>UTT!E606</f>
        <v>197</v>
      </c>
      <c r="J284" s="24">
        <f>UTT!F606</f>
        <v>195.99999999999994</v>
      </c>
      <c r="K284" s="24">
        <f>UTT!G606</f>
        <v>197.7</v>
      </c>
      <c r="L284" s="24">
        <f>UTT!H606</f>
        <v>199.06</v>
      </c>
      <c r="M284" s="195">
        <f t="shared" ref="M284" si="143">G284/E284/K284/Q284</f>
        <v>0.7347536316938944</v>
      </c>
      <c r="N284" s="195">
        <f t="shared" ref="N284" si="144">H284/E284/L284/R284</f>
        <v>0.6082768593530985</v>
      </c>
      <c r="O284" s="195">
        <f t="shared" ref="O284" si="145">G284/24/DAY(F284)/D284</f>
        <v>0.23077722756628175</v>
      </c>
      <c r="P284" s="195">
        <f t="shared" ref="P284" si="146">H284/24/DAY(F284)/D284</f>
        <v>0.18874112903225806</v>
      </c>
      <c r="Q284" s="195">
        <f>UTT!M606</f>
        <v>0.98499999999999999</v>
      </c>
      <c r="R284" s="195">
        <f>UTT!N606</f>
        <v>0.96643565351540495</v>
      </c>
      <c r="S284" s="195">
        <f>UTT!O606</f>
        <v>0.99</v>
      </c>
      <c r="T284" s="195">
        <f>UTT!P606</f>
        <v>0.99889354838709676</v>
      </c>
      <c r="U284" s="198">
        <v>1.4999999999999999E-2</v>
      </c>
      <c r="V284" s="195">
        <f>UTT!V606</f>
        <v>-3.2199999999999999E-2</v>
      </c>
      <c r="W284" s="198">
        <v>0</v>
      </c>
      <c r="X284" s="197">
        <v>0</v>
      </c>
      <c r="Y284" s="199">
        <f t="shared" ref="Y284" si="147">(H284/G284-1)-(L284/K284-1)</f>
        <v>-0.18902922473385908</v>
      </c>
    </row>
    <row r="285" spans="2:25">
      <c r="B285" s="189" t="s">
        <v>9</v>
      </c>
      <c r="C285" s="190" t="s">
        <v>63</v>
      </c>
      <c r="D285" s="200">
        <v>10</v>
      </c>
      <c r="E285" s="201">
        <v>12</v>
      </c>
      <c r="F285" s="192">
        <f>EOMONTH(F284,1)</f>
        <v>45473</v>
      </c>
      <c r="G285" s="24">
        <f>UTT!C607</f>
        <v>1544.220134784965</v>
      </c>
      <c r="H285" s="24">
        <f>UTT!D607</f>
        <v>1453.848</v>
      </c>
      <c r="I285" s="24">
        <f>UTT!E607</f>
        <v>178.9</v>
      </c>
      <c r="J285" s="24">
        <f>UTT!F607</f>
        <v>188.72</v>
      </c>
      <c r="K285" s="24">
        <f>UTT!G607</f>
        <v>177.2</v>
      </c>
      <c r="L285" s="24">
        <f>UTT!H607</f>
        <v>184.46999999999997</v>
      </c>
      <c r="M285" s="195">
        <f t="shared" ref="M285" si="148">G285/E285/K285/Q285</f>
        <v>0.73727246870140384</v>
      </c>
      <c r="N285" s="195">
        <f t="shared" ref="N285" si="149">H285/E285/L285/R285</f>
        <v>0.66751503014878255</v>
      </c>
      <c r="O285" s="195">
        <f t="shared" ref="O285" si="150">G285/24/DAY(F285)/D285</f>
        <v>0.21447501872013403</v>
      </c>
      <c r="P285" s="195">
        <f t="shared" ref="P285" si="151">H285/24/DAY(F285)/D285</f>
        <v>0.20192333333333332</v>
      </c>
      <c r="Q285" s="195">
        <f>UTT!M607</f>
        <v>0.98499999999999999</v>
      </c>
      <c r="R285" s="195">
        <f>UTT!N607</f>
        <v>0.9839</v>
      </c>
      <c r="S285" s="195">
        <f>UTT!O607</f>
        <v>0.99</v>
      </c>
      <c r="T285" s="195">
        <f>UTT!P607</f>
        <v>1</v>
      </c>
      <c r="U285" s="198">
        <v>1.4999999999999999E-2</v>
      </c>
      <c r="V285" s="195">
        <f>UTT!V607</f>
        <v>-2.9899999999999999E-2</v>
      </c>
      <c r="W285" s="198">
        <v>0</v>
      </c>
      <c r="X285" s="197">
        <v>0</v>
      </c>
      <c r="Y285" s="199">
        <f t="shared" ref="Y285" si="152">(H285/G285-1)-(L285/K285-1)</f>
        <v>-9.9549919560749212E-2</v>
      </c>
    </row>
    <row r="286" spans="2:25">
      <c r="B286" s="189" t="s">
        <v>9</v>
      </c>
      <c r="C286" s="190" t="s">
        <v>63</v>
      </c>
      <c r="D286" s="200">
        <v>10</v>
      </c>
      <c r="E286" s="201">
        <v>12</v>
      </c>
      <c r="F286" s="192">
        <f>EOMONTH(F285,1)</f>
        <v>45504</v>
      </c>
      <c r="G286" s="24">
        <f>UTT!C608</f>
        <v>1369.6766404117618</v>
      </c>
      <c r="H286" s="24">
        <f>UTT!D608</f>
        <v>1149.954</v>
      </c>
      <c r="I286" s="24">
        <f>UTT!E608</f>
        <v>155.5</v>
      </c>
      <c r="J286" s="24">
        <f>UTT!F608</f>
        <v>141.75000000000003</v>
      </c>
      <c r="K286" s="24">
        <f>UTT!G608</f>
        <v>154.6</v>
      </c>
      <c r="L286" s="24">
        <f>UTT!H608</f>
        <v>140.17000000000004</v>
      </c>
      <c r="M286" s="195">
        <f t="shared" ref="M286" si="153">G286/E286/K286/Q286</f>
        <v>0.74953355989462567</v>
      </c>
      <c r="N286" s="195">
        <f t="shared" ref="N286" si="154">H286/E286/L286/R286</f>
        <v>0.72102123425944387</v>
      </c>
      <c r="O286" s="195">
        <f t="shared" ref="O286" si="155">G286/24/DAY(F286)/D286</f>
        <v>0.18409632263598949</v>
      </c>
      <c r="P286" s="195">
        <f t="shared" ref="P286" si="156">H286/24/DAY(F286)/D286</f>
        <v>0.15456370967741934</v>
      </c>
      <c r="Q286" s="195">
        <f>UTT!M608</f>
        <v>0.98499999999999999</v>
      </c>
      <c r="R286" s="195">
        <f>UTT!N608</f>
        <v>0.94819157870967741</v>
      </c>
      <c r="S286" s="195">
        <f>UTT!O608</f>
        <v>0.99</v>
      </c>
      <c r="T286" s="195">
        <f>UTT!P608</f>
        <v>1</v>
      </c>
      <c r="U286" s="198">
        <v>1.4999999999999999E-2</v>
      </c>
      <c r="V286" s="195">
        <f>UTT!V608</f>
        <v>-1.01E-2</v>
      </c>
      <c r="W286" s="198">
        <v>0</v>
      </c>
      <c r="X286" s="197">
        <v>0</v>
      </c>
      <c r="Y286" s="199">
        <f t="shared" ref="Y286" si="157">(H286/G286-1)-(L286/K286-1)</f>
        <v>-6.7081707417640857E-2</v>
      </c>
    </row>
    <row r="287" spans="2:25">
      <c r="B287" s="189" t="s">
        <v>9</v>
      </c>
      <c r="C287" s="190" t="s">
        <v>63</v>
      </c>
      <c r="D287" s="200">
        <v>10</v>
      </c>
      <c r="E287" s="201">
        <v>12</v>
      </c>
      <c r="F287" s="192">
        <f t="shared" ref="F287:F291" si="158">EOMONTH(F286,1)</f>
        <v>45535</v>
      </c>
      <c r="G287" s="24">
        <f>UTT!C609</f>
        <v>1301.1059819080035</v>
      </c>
      <c r="H287" s="24">
        <f>UTT!D609</f>
        <v>1263.78</v>
      </c>
      <c r="I287" s="24">
        <f>UTT!E609</f>
        <v>145.4</v>
      </c>
      <c r="J287" s="24">
        <f>UTT!F609</f>
        <v>161.11999999999995</v>
      </c>
      <c r="K287" s="24">
        <f>UTT!G609</f>
        <v>146.30000000000001</v>
      </c>
      <c r="L287" s="24">
        <f>UTT!H609</f>
        <v>163.04000000000002</v>
      </c>
      <c r="M287" s="195">
        <f t="shared" ref="M287:M288" si="159">G287/E287/K287/Q287</f>
        <v>0.7524036104960159</v>
      </c>
      <c r="N287" s="195">
        <f t="shared" ref="N287:N288" si="160">H287/E287/L287/R287</f>
        <v>0.68371483935880639</v>
      </c>
      <c r="O287" s="195">
        <f t="shared" ref="O287:O288" si="161">G287/24/DAY(F287)/D287</f>
        <v>0.17487983627795747</v>
      </c>
      <c r="P287" s="195">
        <f t="shared" ref="P287:P288" si="162">H287/24/DAY(F287)/D287</f>
        <v>0.16986290322580644</v>
      </c>
      <c r="Q287" s="195">
        <f>UTT!M609</f>
        <v>0.98499999999999999</v>
      </c>
      <c r="R287" s="195">
        <f>UTT!N609</f>
        <v>0.94475904718174197</v>
      </c>
      <c r="S287" s="195">
        <f>UTT!O609</f>
        <v>0.99</v>
      </c>
      <c r="T287" s="195">
        <f>UTT!P609</f>
        <v>1</v>
      </c>
      <c r="U287" s="198">
        <v>1.4999999999999999E-2</v>
      </c>
      <c r="V287" s="195">
        <f>UTT!V609</f>
        <v>-4.5999999999999999E-3</v>
      </c>
      <c r="W287" s="198">
        <v>0</v>
      </c>
      <c r="X287" s="197">
        <v>0</v>
      </c>
      <c r="Y287" s="199">
        <f t="shared" ref="Y287:Y288" si="163">(H287/G287-1)-(L287/K287-1)</f>
        <v>-0.14311030708831396</v>
      </c>
    </row>
    <row r="288" spans="2:25">
      <c r="B288" s="189" t="s">
        <v>9</v>
      </c>
      <c r="C288" s="190" t="s">
        <v>63</v>
      </c>
      <c r="D288" s="200">
        <v>10</v>
      </c>
      <c r="E288" s="201">
        <v>12</v>
      </c>
      <c r="F288" s="192">
        <f t="shared" si="158"/>
        <v>45565</v>
      </c>
      <c r="G288" s="24">
        <f>UTT!C610</f>
        <v>1295.7628137129057</v>
      </c>
      <c r="H288" s="24">
        <f>UTT!D610</f>
        <v>1057.08</v>
      </c>
      <c r="I288" s="24">
        <f>UTT!E610</f>
        <v>141.6</v>
      </c>
      <c r="J288" s="24">
        <f>UTT!F610</f>
        <v>120.02</v>
      </c>
      <c r="K288" s="24">
        <f>UTT!G610</f>
        <v>145.5</v>
      </c>
      <c r="L288" s="24">
        <f>UTT!H610</f>
        <v>126.65999999999998</v>
      </c>
      <c r="M288" s="195">
        <f t="shared" si="159"/>
        <v>0.75343370123031361</v>
      </c>
      <c r="N288" s="195">
        <f t="shared" si="160"/>
        <v>0.71621517267541557</v>
      </c>
      <c r="O288" s="195">
        <f t="shared" si="161"/>
        <v>0.17996705746012578</v>
      </c>
      <c r="P288" s="195">
        <f t="shared" si="162"/>
        <v>0.14681666666666665</v>
      </c>
      <c r="Q288" s="195">
        <f>UTT!M610</f>
        <v>0.98499999999999999</v>
      </c>
      <c r="R288" s="195">
        <f>UTT!N610</f>
        <v>0.97105450900000001</v>
      </c>
      <c r="S288" s="195">
        <f>UTT!O610</f>
        <v>0.99</v>
      </c>
      <c r="T288" s="195">
        <f>UTT!P610</f>
        <v>1</v>
      </c>
      <c r="U288" s="198">
        <v>1.4999999999999999E-2</v>
      </c>
      <c r="V288" s="195">
        <f>UTT!V610</f>
        <v>-1.1299999999999999E-2</v>
      </c>
      <c r="W288" s="198">
        <v>0</v>
      </c>
      <c r="X288" s="197">
        <v>0</v>
      </c>
      <c r="Y288" s="199">
        <f t="shared" si="163"/>
        <v>-5.4718013324680737E-2</v>
      </c>
    </row>
    <row r="289" spans="2:25">
      <c r="B289" s="189" t="s">
        <v>9</v>
      </c>
      <c r="C289" s="190" t="s">
        <v>63</v>
      </c>
      <c r="D289" s="200">
        <v>10</v>
      </c>
      <c r="E289" s="201">
        <v>12</v>
      </c>
      <c r="F289" s="192">
        <f t="shared" si="158"/>
        <v>45596</v>
      </c>
      <c r="G289" s="24">
        <f>UTT!C611</f>
        <v>1480.992644476305</v>
      </c>
      <c r="H289" s="24">
        <f>UTT!D611</f>
        <v>1271.25</v>
      </c>
      <c r="I289" s="24">
        <f>UTT!E611</f>
        <v>139.1</v>
      </c>
      <c r="J289" s="24">
        <f>UTT!F611</f>
        <v>126.35999999999997</v>
      </c>
      <c r="K289" s="24">
        <f>UTT!G611</f>
        <v>172.2</v>
      </c>
      <c r="L289" s="24">
        <f>UTT!H611</f>
        <v>151.13000000000002</v>
      </c>
      <c r="M289" s="195">
        <f t="shared" ref="M289" si="164">G289/E289/K289/Q289</f>
        <v>0.72761606269630263</v>
      </c>
      <c r="N289" s="195">
        <f t="shared" ref="N289" si="165">H289/E289/L289/R289</f>
        <v>0.71121634714599802</v>
      </c>
      <c r="O289" s="195">
        <f t="shared" ref="O289" si="166">G289/24/DAY(F289)/D289</f>
        <v>0.19905815113928832</v>
      </c>
      <c r="P289" s="195">
        <f t="shared" ref="P289" si="167">H289/24/DAY(F289)/D289</f>
        <v>0.17086693548387097</v>
      </c>
      <c r="Q289" s="195">
        <f>UTT!M611</f>
        <v>0.98499999999999999</v>
      </c>
      <c r="R289" s="195">
        <f>UTT!N611</f>
        <v>0.98559231229215205</v>
      </c>
      <c r="S289" s="195">
        <f>UTT!O611</f>
        <v>0.99</v>
      </c>
      <c r="T289" s="195">
        <f>UTT!P611</f>
        <v>0.99374838709677416</v>
      </c>
      <c r="U289" s="198">
        <v>1.4999999999999999E-2</v>
      </c>
      <c r="V289" s="195">
        <f>UTT!V611</f>
        <v>-1.9258064516128999E-2</v>
      </c>
      <c r="W289" s="198">
        <v>0</v>
      </c>
      <c r="X289" s="197">
        <v>0</v>
      </c>
      <c r="Y289" s="199">
        <f t="shared" ref="Y289" si="168">(H289/G289-1)-(L289/K289-1)</f>
        <v>-1.9265292079585716E-2</v>
      </c>
    </row>
    <row r="290" spans="2:25">
      <c r="B290" s="189" t="s">
        <v>9</v>
      </c>
      <c r="C290" s="190" t="s">
        <v>63</v>
      </c>
      <c r="D290" s="200">
        <v>10</v>
      </c>
      <c r="E290" s="201">
        <v>12</v>
      </c>
      <c r="F290" s="192">
        <f t="shared" si="158"/>
        <v>45626</v>
      </c>
      <c r="G290" s="24">
        <f>UTT!C612</f>
        <v>1313.5733743632325</v>
      </c>
      <c r="H290" s="24">
        <f>UTT!D612</f>
        <v>926.42399999999998</v>
      </c>
      <c r="I290" s="24">
        <f>UTT!E612</f>
        <v>108.1</v>
      </c>
      <c r="J290" s="24">
        <f>UTT!F612</f>
        <v>82.050000000000011</v>
      </c>
      <c r="K290" s="24">
        <f>UTT!G612</f>
        <v>152.1</v>
      </c>
      <c r="L290" s="24">
        <f>UTT!H612</f>
        <v>108.30000000000001</v>
      </c>
      <c r="M290" s="195">
        <f t="shared" ref="M290" si="169">G290/E290/K290/Q290</f>
        <v>0.73064706871049101</v>
      </c>
      <c r="N290" s="195">
        <f t="shared" ref="N290" si="170">H290/E290/L290/R290</f>
        <v>0.72598567731620334</v>
      </c>
      <c r="O290" s="195">
        <f t="shared" ref="O290" si="171">G290/24/DAY(F290)/D290</f>
        <v>0.18244074643933783</v>
      </c>
      <c r="P290" s="195">
        <f t="shared" ref="P290" si="172">H290/24/DAY(F290)/D290</f>
        <v>0.12867000000000001</v>
      </c>
      <c r="Q290" s="195">
        <f>UTT!M612</f>
        <v>0.98499999999999999</v>
      </c>
      <c r="R290" s="195">
        <f>UTT!N612</f>
        <v>0.9819108115614853</v>
      </c>
      <c r="S290" s="195">
        <f>UTT!O612</f>
        <v>0.99</v>
      </c>
      <c r="T290" s="195">
        <f>UTT!P612</f>
        <v>1</v>
      </c>
      <c r="U290" s="198">
        <v>1.4999999999999999E-2</v>
      </c>
      <c r="V290" s="195">
        <f>UTT!V612</f>
        <v>-2.35E-2</v>
      </c>
      <c r="W290" s="198">
        <v>0</v>
      </c>
      <c r="X290" s="197">
        <v>0</v>
      </c>
      <c r="Y290" s="199">
        <f t="shared" ref="Y290" si="173">(H290/G290-1)-(L290/K290-1)</f>
        <v>-6.7614772893958008E-3</v>
      </c>
    </row>
    <row r="291" spans="2:25">
      <c r="B291" s="189" t="s">
        <v>9</v>
      </c>
      <c r="C291" s="190" t="s">
        <v>63</v>
      </c>
      <c r="D291" s="200">
        <v>10</v>
      </c>
      <c r="E291" s="201">
        <v>12</v>
      </c>
      <c r="F291" s="192">
        <f t="shared" si="158"/>
        <v>45657</v>
      </c>
      <c r="G291" s="24">
        <f>UTT!C613</f>
        <v>1105.1898147544075</v>
      </c>
      <c r="H291" s="24">
        <f>UTT!D613</f>
        <v>991.26599999999996</v>
      </c>
      <c r="I291" s="24">
        <f>UTT!E613</f>
        <v>89.9</v>
      </c>
      <c r="J291" s="24">
        <f>UTT!F613</f>
        <v>79.329999999999984</v>
      </c>
      <c r="K291" s="24">
        <f>UTT!G613</f>
        <v>129.6</v>
      </c>
      <c r="L291" s="24">
        <f>UTT!H613</f>
        <v>115.30999999999997</v>
      </c>
      <c r="M291" s="195">
        <f t="shared" ref="M291" si="174">G291/E291/K291/Q291</f>
        <v>0.72146355227747982</v>
      </c>
      <c r="N291" s="195">
        <f t="shared" ref="N291" si="175">H291/E291/L291/R291</f>
        <v>0.720956297774488</v>
      </c>
      <c r="O291" s="195">
        <f t="shared" ref="O291" si="176">G291/24/DAY(F291)/D291</f>
        <v>0.14854701811215154</v>
      </c>
      <c r="P291" s="195">
        <f t="shared" ref="P291" si="177">H291/24/DAY(F291)/D291</f>
        <v>0.13323467741935482</v>
      </c>
      <c r="Q291" s="195">
        <f>UTT!M613</f>
        <v>0.98499999999999999</v>
      </c>
      <c r="R291" s="195">
        <f>UTT!N613</f>
        <v>0.99364912000000005</v>
      </c>
      <c r="S291" s="195">
        <f>UTT!O613</f>
        <v>0.99</v>
      </c>
      <c r="T291" s="195">
        <f>UTT!P613</f>
        <v>1</v>
      </c>
      <c r="U291" s="198">
        <v>1.4999999999999999E-2</v>
      </c>
      <c r="V291" s="195">
        <f>UTT!V613</f>
        <v>-1.9483870967741901E-2</v>
      </c>
      <c r="W291" s="198">
        <v>0</v>
      </c>
      <c r="X291" s="197">
        <v>0</v>
      </c>
      <c r="Y291" s="199">
        <f t="shared" ref="Y291" si="178">(H291/G291-1)-(L291/K291-1)</f>
        <v>7.1815778022985555E-3</v>
      </c>
    </row>
    <row r="292" spans="2:25">
      <c r="B292" s="189"/>
      <c r="C292" s="190"/>
      <c r="D292" s="200"/>
      <c r="E292" s="201"/>
      <c r="F292" s="192"/>
      <c r="G292" s="24"/>
      <c r="H292" s="24"/>
      <c r="I292" s="24"/>
      <c r="J292" s="24"/>
      <c r="K292" s="24"/>
      <c r="L292" s="24"/>
      <c r="M292" s="195"/>
      <c r="N292" s="195"/>
      <c r="O292" s="195"/>
      <c r="P292" s="195"/>
      <c r="Q292" s="195"/>
      <c r="R292" s="195"/>
      <c r="S292" s="195"/>
      <c r="T292" s="204"/>
      <c r="U292" s="198"/>
      <c r="V292" s="204"/>
      <c r="W292" s="198"/>
      <c r="X292" s="197"/>
      <c r="Y292" s="199"/>
    </row>
    <row r="293" spans="2:25">
      <c r="B293" s="189"/>
      <c r="C293" s="190"/>
      <c r="D293" s="200"/>
      <c r="E293" s="201"/>
      <c r="F293" s="192"/>
      <c r="G293" s="24"/>
      <c r="H293" s="24"/>
      <c r="I293" s="24"/>
      <c r="J293" s="24"/>
      <c r="K293" s="24"/>
      <c r="L293" s="24"/>
      <c r="M293" s="195"/>
      <c r="N293" s="195"/>
      <c r="O293" s="195"/>
      <c r="P293" s="195"/>
      <c r="Q293" s="195"/>
      <c r="R293" s="195"/>
      <c r="S293" s="195"/>
      <c r="T293" s="204"/>
      <c r="U293" s="198"/>
      <c r="V293" s="204"/>
      <c r="W293" s="198"/>
      <c r="X293" s="197"/>
      <c r="Y293" s="199"/>
    </row>
    <row r="294" spans="2:25">
      <c r="B294" s="189"/>
      <c r="C294" s="190"/>
      <c r="D294" s="200"/>
      <c r="E294" s="201"/>
      <c r="F294" s="192"/>
      <c r="G294" s="24"/>
      <c r="H294" s="24"/>
      <c r="I294" s="24"/>
      <c r="J294" s="24"/>
      <c r="K294" s="24"/>
      <c r="L294" s="24"/>
      <c r="M294" s="195"/>
      <c r="N294" s="195"/>
      <c r="O294" s="195"/>
      <c r="P294" s="195"/>
      <c r="Q294" s="195"/>
      <c r="R294" s="195"/>
      <c r="S294" s="195"/>
      <c r="T294" s="204"/>
      <c r="U294" s="198"/>
      <c r="V294" s="204"/>
      <c r="W294" s="198"/>
      <c r="X294" s="197"/>
      <c r="Y294" s="199"/>
    </row>
    <row r="295" spans="2:25">
      <c r="B295" s="189"/>
      <c r="C295" s="190"/>
      <c r="D295" s="200"/>
      <c r="E295" s="201"/>
      <c r="F295" s="192"/>
      <c r="G295" s="24"/>
      <c r="H295" s="24"/>
      <c r="I295" s="24"/>
      <c r="J295" s="24"/>
      <c r="K295" s="24"/>
      <c r="L295" s="24"/>
      <c r="M295" s="195"/>
      <c r="N295" s="195"/>
      <c r="O295" s="195"/>
      <c r="P295" s="195"/>
      <c r="Q295" s="195"/>
      <c r="R295" s="195"/>
      <c r="S295" s="195"/>
      <c r="T295" s="204"/>
      <c r="U295" s="198"/>
      <c r="V295" s="204"/>
      <c r="W295" s="198"/>
      <c r="X295" s="197"/>
      <c r="Y295" s="199"/>
    </row>
    <row r="296" spans="2:25">
      <c r="B296" s="189" t="s">
        <v>14</v>
      </c>
      <c r="C296" s="190" t="s">
        <v>64</v>
      </c>
      <c r="D296" s="190">
        <v>10</v>
      </c>
      <c r="E296" s="191">
        <v>12</v>
      </c>
      <c r="F296" s="192">
        <v>42766</v>
      </c>
      <c r="G296" s="24"/>
      <c r="H296" s="24">
        <v>0</v>
      </c>
      <c r="I296" s="193">
        <v>79.599999999999994</v>
      </c>
      <c r="J296" s="194"/>
      <c r="K296" s="193">
        <v>103.2</v>
      </c>
      <c r="L296" s="194"/>
      <c r="M296" s="195">
        <v>0.82763481424572438</v>
      </c>
      <c r="N296" s="195"/>
      <c r="O296" s="195"/>
      <c r="P296" s="195"/>
      <c r="Q296" s="195">
        <v>0.98499999999999999</v>
      </c>
      <c r="R296" s="195"/>
      <c r="S296" s="196">
        <v>0.99</v>
      </c>
      <c r="T296" s="197"/>
      <c r="U296" s="198">
        <v>1.4999999999999999E-2</v>
      </c>
      <c r="V296" s="197">
        <v>0</v>
      </c>
      <c r="W296" s="198">
        <v>0</v>
      </c>
      <c r="X296" s="197">
        <v>0</v>
      </c>
      <c r="Y296" s="199" t="e">
        <f t="shared" si="126"/>
        <v>#DIV/0!</v>
      </c>
    </row>
    <row r="297" spans="2:25">
      <c r="B297" s="189" t="s">
        <v>14</v>
      </c>
      <c r="C297" s="190" t="s">
        <v>64</v>
      </c>
      <c r="D297" s="190">
        <v>10</v>
      </c>
      <c r="E297" s="191">
        <v>12</v>
      </c>
      <c r="F297" s="192">
        <v>42794</v>
      </c>
      <c r="G297" s="24"/>
      <c r="H297" s="24">
        <v>0</v>
      </c>
      <c r="I297" s="193">
        <v>108.1</v>
      </c>
      <c r="J297" s="194"/>
      <c r="K297" s="193">
        <v>137.5</v>
      </c>
      <c r="L297" s="194"/>
      <c r="M297" s="195">
        <v>0.81555559393111998</v>
      </c>
      <c r="N297" s="195"/>
      <c r="O297" s="195"/>
      <c r="P297" s="195"/>
      <c r="Q297" s="195">
        <v>0.98499999999999999</v>
      </c>
      <c r="R297" s="195"/>
      <c r="S297" s="196">
        <v>0.99</v>
      </c>
      <c r="T297" s="197"/>
      <c r="U297" s="198">
        <v>1.4999999999999999E-2</v>
      </c>
      <c r="V297" s="197">
        <v>0</v>
      </c>
      <c r="W297" s="198">
        <v>0</v>
      </c>
      <c r="X297" s="197">
        <v>0</v>
      </c>
      <c r="Y297" s="199" t="e">
        <f t="shared" si="126"/>
        <v>#DIV/0!</v>
      </c>
    </row>
    <row r="298" spans="2:25">
      <c r="B298" s="189" t="s">
        <v>14</v>
      </c>
      <c r="C298" s="190" t="s">
        <v>64</v>
      </c>
      <c r="D298" s="190">
        <v>10</v>
      </c>
      <c r="E298" s="191">
        <v>12</v>
      </c>
      <c r="F298" s="192">
        <v>42825</v>
      </c>
      <c r="G298" s="24"/>
      <c r="H298" s="24">
        <v>7.08</v>
      </c>
      <c r="I298" s="193">
        <v>161.4</v>
      </c>
      <c r="J298" s="194"/>
      <c r="K298" s="193">
        <v>187.8</v>
      </c>
      <c r="L298" s="194"/>
      <c r="M298" s="195">
        <v>0.80080060538540998</v>
      </c>
      <c r="N298" s="195"/>
      <c r="O298" s="195"/>
      <c r="P298" s="195"/>
      <c r="Q298" s="195">
        <v>0.98499999999999999</v>
      </c>
      <c r="R298" s="195"/>
      <c r="S298" s="196">
        <v>0.99</v>
      </c>
      <c r="T298" s="197"/>
      <c r="U298" s="198">
        <v>1.4999999999999999E-2</v>
      </c>
      <c r="V298" s="197">
        <v>0</v>
      </c>
      <c r="W298" s="198">
        <v>0</v>
      </c>
      <c r="X298" s="197">
        <v>0</v>
      </c>
      <c r="Y298" s="199" t="e">
        <f t="shared" si="126"/>
        <v>#DIV/0!</v>
      </c>
    </row>
    <row r="299" spans="2:25">
      <c r="B299" s="189" t="s">
        <v>14</v>
      </c>
      <c r="C299" s="190" t="s">
        <v>64</v>
      </c>
      <c r="D299" s="190">
        <v>10</v>
      </c>
      <c r="E299" s="191">
        <v>12</v>
      </c>
      <c r="F299" s="192">
        <v>42855</v>
      </c>
      <c r="G299" s="24">
        <v>1866.4750635306268</v>
      </c>
      <c r="H299" s="24">
        <v>741.31200000000001</v>
      </c>
      <c r="I299" s="193">
        <v>190.2</v>
      </c>
      <c r="J299" s="194"/>
      <c r="K299" s="193">
        <v>194</v>
      </c>
      <c r="L299" s="194"/>
      <c r="M299" s="195">
        <v>0.80175045684305279</v>
      </c>
      <c r="N299" s="195"/>
      <c r="O299" s="195"/>
      <c r="P299" s="195"/>
      <c r="Q299" s="195">
        <v>0.98499999999999999</v>
      </c>
      <c r="R299" s="195"/>
      <c r="S299" s="196">
        <v>0.99</v>
      </c>
      <c r="T299" s="197"/>
      <c r="U299" s="198">
        <v>1.4999999999999999E-2</v>
      </c>
      <c r="V299" s="197">
        <v>0</v>
      </c>
      <c r="W299" s="198">
        <v>0</v>
      </c>
      <c r="X299" s="197">
        <v>0</v>
      </c>
      <c r="Y299" s="199">
        <f t="shared" si="126"/>
        <v>0.39717219612767463</v>
      </c>
    </row>
    <row r="300" spans="2:25">
      <c r="B300" s="189" t="s">
        <v>14</v>
      </c>
      <c r="C300" s="190" t="s">
        <v>64</v>
      </c>
      <c r="D300" s="190">
        <v>10</v>
      </c>
      <c r="E300" s="191">
        <v>12</v>
      </c>
      <c r="F300" s="192">
        <v>42886</v>
      </c>
      <c r="G300" s="24">
        <v>1890.995229893352</v>
      </c>
      <c r="H300" s="24">
        <v>1113.192</v>
      </c>
      <c r="I300" s="193">
        <v>197</v>
      </c>
      <c r="J300" s="194"/>
      <c r="K300" s="193">
        <v>197.7</v>
      </c>
      <c r="L300" s="194"/>
      <c r="M300" s="195">
        <v>0.79708111190918562</v>
      </c>
      <c r="N300" s="195"/>
      <c r="O300" s="195"/>
      <c r="P300" s="195"/>
      <c r="Q300" s="195">
        <v>0.98499999999999999</v>
      </c>
      <c r="R300" s="195"/>
      <c r="S300" s="196">
        <v>0.99</v>
      </c>
      <c r="T300" s="197"/>
      <c r="U300" s="198">
        <v>1.4999999999999999E-2</v>
      </c>
      <c r="V300" s="197">
        <v>0</v>
      </c>
      <c r="W300" s="198">
        <v>0</v>
      </c>
      <c r="X300" s="197">
        <v>0</v>
      </c>
      <c r="Y300" s="199">
        <f t="shared" si="126"/>
        <v>0.58868049078197915</v>
      </c>
    </row>
    <row r="301" spans="2:25">
      <c r="B301" s="189" t="s">
        <v>14</v>
      </c>
      <c r="C301" s="190" t="s">
        <v>64</v>
      </c>
      <c r="D301" s="190">
        <v>10</v>
      </c>
      <c r="E301" s="191">
        <v>12</v>
      </c>
      <c r="F301" s="192">
        <v>42916</v>
      </c>
      <c r="G301" s="24">
        <v>1697.7763189550788</v>
      </c>
      <c r="H301" s="24">
        <v>1325.7</v>
      </c>
      <c r="I301" s="193">
        <v>178.9</v>
      </c>
      <c r="J301" s="194">
        <v>155.33000000000001</v>
      </c>
      <c r="K301" s="193">
        <v>177.2</v>
      </c>
      <c r="L301" s="194">
        <v>148.03</v>
      </c>
      <c r="M301" s="195">
        <v>0.79842753901198216</v>
      </c>
      <c r="N301" s="195">
        <f>H301/12/L301</f>
        <v>0.74630142538674593</v>
      </c>
      <c r="O301" s="195">
        <f>G301/24/30/10</f>
        <v>0.23580226652153874</v>
      </c>
      <c r="P301" s="195">
        <f>H301/24/30/10</f>
        <v>0.18412500000000001</v>
      </c>
      <c r="Q301" s="195">
        <v>0.98499999999999999</v>
      </c>
      <c r="R301" s="195">
        <v>0.82015018000000006</v>
      </c>
      <c r="S301" s="196">
        <v>0.99</v>
      </c>
      <c r="T301" s="197">
        <v>0.99860000000000004</v>
      </c>
      <c r="U301" s="198">
        <v>1.4999999999999999E-2</v>
      </c>
      <c r="V301" s="197">
        <v>0</v>
      </c>
      <c r="W301" s="198">
        <v>0</v>
      </c>
      <c r="X301" s="197">
        <v>0</v>
      </c>
      <c r="Y301" s="199">
        <f t="shared" si="126"/>
        <v>-5.4538835396357399E-2</v>
      </c>
    </row>
    <row r="302" spans="2:25">
      <c r="B302" s="189" t="s">
        <v>14</v>
      </c>
      <c r="C302" s="190" t="s">
        <v>64</v>
      </c>
      <c r="D302" s="190">
        <v>10</v>
      </c>
      <c r="E302" s="191">
        <v>12</v>
      </c>
      <c r="F302" s="192">
        <v>42947</v>
      </c>
      <c r="G302" s="24">
        <v>1502.5957947077879</v>
      </c>
      <c r="H302" s="24">
        <v>725.21400000000006</v>
      </c>
      <c r="I302" s="193">
        <v>155.5</v>
      </c>
      <c r="J302" s="194">
        <v>154.75</v>
      </c>
      <c r="K302" s="193">
        <v>154.6</v>
      </c>
      <c r="L302" s="194">
        <v>153.06</v>
      </c>
      <c r="M302" s="195">
        <v>0.80993736239100256</v>
      </c>
      <c r="N302" s="195">
        <f t="shared" ref="N302:N310" si="179">H302/12/L302</f>
        <v>0.39484189206846992</v>
      </c>
      <c r="O302" s="195">
        <f>G302/24/31/10</f>
        <v>0.20196180036394998</v>
      </c>
      <c r="P302" s="195">
        <f>H302/24/31/10</f>
        <v>9.7475000000000006E-2</v>
      </c>
      <c r="Q302" s="195">
        <v>0.98499999999999999</v>
      </c>
      <c r="R302" s="195">
        <v>0.57236025000000001</v>
      </c>
      <c r="S302" s="196">
        <v>0.99</v>
      </c>
      <c r="T302" s="197">
        <v>0.99109999999999998</v>
      </c>
      <c r="U302" s="198">
        <v>1.4999999999999999E-2</v>
      </c>
      <c r="V302" s="197">
        <v>0</v>
      </c>
      <c r="W302" s="198">
        <v>0</v>
      </c>
      <c r="X302" s="197">
        <v>0</v>
      </c>
      <c r="Y302" s="199">
        <f t="shared" si="126"/>
        <v>-0.50739803407946449</v>
      </c>
    </row>
    <row r="303" spans="2:25">
      <c r="B303" s="189" t="s">
        <v>14</v>
      </c>
      <c r="C303" s="190" t="s">
        <v>64</v>
      </c>
      <c r="D303" s="190">
        <v>10</v>
      </c>
      <c r="E303" s="191">
        <v>12</v>
      </c>
      <c r="F303" s="192">
        <v>42978</v>
      </c>
      <c r="G303" s="24">
        <v>1427.0736823105949</v>
      </c>
      <c r="H303" s="24">
        <v>1092.096</v>
      </c>
      <c r="I303" s="193">
        <v>145.4</v>
      </c>
      <c r="J303" s="194">
        <v>126.11</v>
      </c>
      <c r="K303" s="193">
        <v>146.30000000000001</v>
      </c>
      <c r="L303" s="194">
        <v>126.87</v>
      </c>
      <c r="M303" s="195">
        <v>0.81286949322772539</v>
      </c>
      <c r="N303" s="195">
        <f t="shared" si="179"/>
        <v>0.71733270276661143</v>
      </c>
      <c r="O303" s="195">
        <f>G303/24/31/10</f>
        <v>0.19181097880518747</v>
      </c>
      <c r="P303" s="195">
        <f>H303/24/31/10</f>
        <v>0.14678709677419355</v>
      </c>
      <c r="Q303" s="195">
        <v>0.98499999999999999</v>
      </c>
      <c r="R303" s="195">
        <v>0.86335919999999999</v>
      </c>
      <c r="S303" s="196">
        <v>0.99</v>
      </c>
      <c r="T303" s="197">
        <v>0.99099999999999999</v>
      </c>
      <c r="U303" s="198">
        <v>1.4999999999999999E-2</v>
      </c>
      <c r="V303" s="197">
        <v>0</v>
      </c>
      <c r="W303" s="198">
        <v>0</v>
      </c>
      <c r="X303" s="197">
        <v>0</v>
      </c>
      <c r="Y303" s="199">
        <f t="shared" si="126"/>
        <v>-0.1019211783333569</v>
      </c>
    </row>
    <row r="304" spans="2:25">
      <c r="B304" s="189" t="s">
        <v>14</v>
      </c>
      <c r="C304" s="190" t="s">
        <v>64</v>
      </c>
      <c r="D304" s="190">
        <v>10</v>
      </c>
      <c r="E304" s="191">
        <v>12</v>
      </c>
      <c r="F304" s="192">
        <v>43008</v>
      </c>
      <c r="G304" s="24">
        <v>1422.16964903805</v>
      </c>
      <c r="H304" s="24">
        <v>1188.57</v>
      </c>
      <c r="I304" s="193">
        <v>141.6</v>
      </c>
      <c r="J304" s="194">
        <v>125.76</v>
      </c>
      <c r="K304" s="193">
        <v>145.5</v>
      </c>
      <c r="L304" s="194">
        <v>127.05</v>
      </c>
      <c r="M304" s="195">
        <v>0.81453015408823026</v>
      </c>
      <c r="N304" s="195">
        <f t="shared" si="179"/>
        <v>0.77959464777646592</v>
      </c>
      <c r="O304" s="195">
        <f>G304/24/30/10</f>
        <v>0.19752356236639584</v>
      </c>
      <c r="P304" s="195">
        <f>H304/24/30/10</f>
        <v>0.16507916666666667</v>
      </c>
      <c r="Q304" s="195">
        <v>0.98499999999999999</v>
      </c>
      <c r="R304" s="195">
        <v>0.96185839000000006</v>
      </c>
      <c r="S304" s="196">
        <v>0.99</v>
      </c>
      <c r="T304" s="197">
        <v>0.99129999999999996</v>
      </c>
      <c r="U304" s="198">
        <v>1.4999999999999999E-2</v>
      </c>
      <c r="V304" s="197">
        <v>0</v>
      </c>
      <c r="W304" s="198">
        <v>0</v>
      </c>
      <c r="X304" s="197">
        <v>0</v>
      </c>
      <c r="Y304" s="199">
        <f t="shared" si="126"/>
        <v>-3.7451701320543984E-2</v>
      </c>
    </row>
    <row r="305" spans="2:25">
      <c r="B305" s="189" t="s">
        <v>14</v>
      </c>
      <c r="C305" s="190" t="s">
        <v>64</v>
      </c>
      <c r="D305" s="190">
        <v>10</v>
      </c>
      <c r="E305" s="191">
        <v>12</v>
      </c>
      <c r="F305" s="192">
        <v>43039</v>
      </c>
      <c r="G305" s="24">
        <v>1630.1006597939579</v>
      </c>
      <c r="H305" s="24">
        <v>1407.702</v>
      </c>
      <c r="I305" s="193">
        <v>139.1</v>
      </c>
      <c r="J305" s="194">
        <v>125.88</v>
      </c>
      <c r="K305" s="193">
        <v>172.2</v>
      </c>
      <c r="L305" s="194">
        <v>153.46</v>
      </c>
      <c r="M305" s="195">
        <v>0.78886017218058357</v>
      </c>
      <c r="N305" s="195">
        <f t="shared" si="179"/>
        <v>0.76442395412485331</v>
      </c>
      <c r="O305" s="195">
        <f>G305/24/31/10</f>
        <v>0.21909955104757498</v>
      </c>
      <c r="P305" s="195">
        <f>H305/24/31/10</f>
        <v>0.18920725806451613</v>
      </c>
      <c r="Q305" s="195">
        <v>0.98499999999999999</v>
      </c>
      <c r="R305" s="195">
        <v>0.96874040000000006</v>
      </c>
      <c r="S305" s="196">
        <v>0.99</v>
      </c>
      <c r="T305" s="197">
        <v>0.97399999999999998</v>
      </c>
      <c r="U305" s="198">
        <v>1.4999999999999999E-2</v>
      </c>
      <c r="V305" s="197">
        <v>0</v>
      </c>
      <c r="W305" s="198">
        <v>0</v>
      </c>
      <c r="X305" s="197">
        <v>0</v>
      </c>
      <c r="Y305" s="199">
        <f t="shared" si="126"/>
        <v>-2.7605524851254448E-2</v>
      </c>
    </row>
    <row r="306" spans="2:25">
      <c r="B306" s="189" t="s">
        <v>14</v>
      </c>
      <c r="C306" s="190" t="s">
        <v>64</v>
      </c>
      <c r="D306" s="190">
        <v>10</v>
      </c>
      <c r="E306" s="191">
        <v>12</v>
      </c>
      <c r="F306" s="192">
        <v>43069</v>
      </c>
      <c r="G306" s="24">
        <v>1442.7665887827388</v>
      </c>
      <c r="H306" s="24">
        <v>1127.742</v>
      </c>
      <c r="I306" s="193">
        <v>108.1</v>
      </c>
      <c r="J306" s="194">
        <v>89.02</v>
      </c>
      <c r="K306" s="193">
        <v>152.1</v>
      </c>
      <c r="L306" s="194">
        <v>116.47</v>
      </c>
      <c r="M306" s="195">
        <v>0.79047040805541247</v>
      </c>
      <c r="N306" s="195">
        <f t="shared" si="179"/>
        <v>0.80689018631407228</v>
      </c>
      <c r="O306" s="195">
        <f>G306/24/30/10</f>
        <v>0.20038424844204705</v>
      </c>
      <c r="P306" s="195">
        <f>H306/24/30/10</f>
        <v>0.15663083333333333</v>
      </c>
      <c r="Q306" s="195">
        <v>0.98499999999999999</v>
      </c>
      <c r="R306" s="195">
        <v>0.97470800000000002</v>
      </c>
      <c r="S306" s="196">
        <v>0.99</v>
      </c>
      <c r="T306" s="197">
        <v>0.98</v>
      </c>
      <c r="U306" s="198">
        <v>1.4999999999999999E-2</v>
      </c>
      <c r="V306" s="197">
        <v>0</v>
      </c>
      <c r="W306" s="198">
        <v>0</v>
      </c>
      <c r="X306" s="197">
        <v>0</v>
      </c>
      <c r="Y306" s="199">
        <f t="shared" si="126"/>
        <v>1.5906203445420264E-2</v>
      </c>
    </row>
    <row r="307" spans="2:25">
      <c r="B307" s="189" t="s">
        <v>14</v>
      </c>
      <c r="C307" s="190" t="s">
        <v>64</v>
      </c>
      <c r="D307" s="190">
        <v>10</v>
      </c>
      <c r="E307" s="191">
        <v>12</v>
      </c>
      <c r="F307" s="192">
        <v>43100</v>
      </c>
      <c r="G307" s="24">
        <v>1212.2770249731238</v>
      </c>
      <c r="H307" s="24">
        <v>1098.876</v>
      </c>
      <c r="I307" s="193">
        <v>89.9</v>
      </c>
      <c r="J307" s="194">
        <v>76.150000000000006</v>
      </c>
      <c r="K307" s="193">
        <v>129.6</v>
      </c>
      <c r="L307" s="194">
        <v>105.62</v>
      </c>
      <c r="M307" s="195">
        <v>0.77949911585206011</v>
      </c>
      <c r="N307" s="195">
        <f t="shared" si="179"/>
        <v>0.8670043552357507</v>
      </c>
      <c r="O307" s="195">
        <f>G307/24/31/10</f>
        <v>0.16294046034584997</v>
      </c>
      <c r="P307" s="195">
        <f>H307/24/31/10</f>
        <v>0.14769838709677419</v>
      </c>
      <c r="Q307" s="195">
        <v>0.98499999999999999</v>
      </c>
      <c r="R307" s="195">
        <v>0.9919</v>
      </c>
      <c r="S307" s="196">
        <v>0.99</v>
      </c>
      <c r="T307" s="197">
        <v>0.9919</v>
      </c>
      <c r="U307" s="198">
        <v>1.4999999999999999E-2</v>
      </c>
      <c r="V307" s="197">
        <v>0</v>
      </c>
      <c r="W307" s="198">
        <v>0</v>
      </c>
      <c r="X307" s="197">
        <v>0</v>
      </c>
      <c r="Y307" s="199">
        <f t="shared" si="126"/>
        <v>9.1487043241559096E-2</v>
      </c>
    </row>
    <row r="308" spans="2:25">
      <c r="B308" s="189" t="s">
        <v>14</v>
      </c>
      <c r="C308" s="190" t="s">
        <v>64</v>
      </c>
      <c r="D308" s="190">
        <v>10</v>
      </c>
      <c r="E308" s="191">
        <v>12</v>
      </c>
      <c r="F308" s="192">
        <v>43131</v>
      </c>
      <c r="G308" s="24">
        <v>1019.8182391920955</v>
      </c>
      <c r="H308" s="24">
        <v>941.35199999999998</v>
      </c>
      <c r="I308" s="193">
        <v>79.599999999999994</v>
      </c>
      <c r="J308" s="194">
        <v>71.47</v>
      </c>
      <c r="K308" s="193">
        <v>103.2</v>
      </c>
      <c r="L308" s="194">
        <v>95.2</v>
      </c>
      <c r="M308" s="195">
        <v>0.82763481424572438</v>
      </c>
      <c r="N308" s="195">
        <f t="shared" si="179"/>
        <v>0.82401260504201679</v>
      </c>
      <c r="O308" s="195">
        <f>G308/24/31/10</f>
        <v>0.1370723439774322</v>
      </c>
      <c r="P308" s="195">
        <f>H308/24/31/10</f>
        <v>0.1265258064516129</v>
      </c>
      <c r="Q308" s="195">
        <v>0.98499999999999999</v>
      </c>
      <c r="R308" s="195">
        <v>0.98019999999999996</v>
      </c>
      <c r="S308" s="196">
        <v>0.99</v>
      </c>
      <c r="T308" s="197">
        <v>0.98570000000000002</v>
      </c>
      <c r="U308" s="198">
        <v>1.4999999999999999E-2</v>
      </c>
      <c r="V308" s="197">
        <v>0</v>
      </c>
      <c r="W308" s="198">
        <v>0</v>
      </c>
      <c r="X308" s="197">
        <v>0</v>
      </c>
      <c r="Y308" s="199">
        <f t="shared" si="126"/>
        <v>5.7798364650063494E-4</v>
      </c>
    </row>
    <row r="309" spans="2:25">
      <c r="B309" s="189" t="s">
        <v>14</v>
      </c>
      <c r="C309" s="190" t="s">
        <v>64</v>
      </c>
      <c r="D309" s="190">
        <v>10</v>
      </c>
      <c r="E309" s="191">
        <v>12</v>
      </c>
      <c r="F309" s="192">
        <v>43159</v>
      </c>
      <c r="G309" s="24">
        <v>1338.9383963364162</v>
      </c>
      <c r="H309" s="24">
        <f>1352974/1000</f>
        <v>1352.9739999999999</v>
      </c>
      <c r="I309" s="193">
        <v>108.1</v>
      </c>
      <c r="J309" s="194">
        <v>108.7</v>
      </c>
      <c r="K309" s="193">
        <v>137.5</v>
      </c>
      <c r="L309" s="194">
        <v>138.41</v>
      </c>
      <c r="M309" s="195">
        <v>0.81555559393111998</v>
      </c>
      <c r="N309" s="195">
        <f t="shared" si="179"/>
        <v>0.81459311706764925</v>
      </c>
      <c r="O309" s="195">
        <f>G309/24/28/10</f>
        <v>0.19924678516910957</v>
      </c>
      <c r="P309" s="195">
        <f>H309/24/28/10</f>
        <v>0.20133541666666668</v>
      </c>
      <c r="Q309" s="195">
        <v>0.98499999999999999</v>
      </c>
      <c r="R309" s="195">
        <v>0.93910000000000005</v>
      </c>
      <c r="S309" s="196">
        <v>0.99</v>
      </c>
      <c r="T309" s="197">
        <v>0.97389999999999999</v>
      </c>
      <c r="U309" s="198">
        <v>1.4999999999999999E-2</v>
      </c>
      <c r="V309" s="197">
        <v>0</v>
      </c>
      <c r="W309" s="198">
        <v>0</v>
      </c>
      <c r="X309" s="197">
        <v>0</v>
      </c>
      <c r="Y309" s="199">
        <f t="shared" si="126"/>
        <v>3.8644540536310057E-3</v>
      </c>
    </row>
    <row r="310" spans="2:25">
      <c r="B310" s="189" t="s">
        <v>14</v>
      </c>
      <c r="C310" s="190" t="s">
        <v>64</v>
      </c>
      <c r="D310" s="190">
        <v>10</v>
      </c>
      <c r="E310" s="191">
        <v>12</v>
      </c>
      <c r="F310" s="192">
        <v>43190</v>
      </c>
      <c r="G310" s="24">
        <v>1795</v>
      </c>
      <c r="H310" s="24">
        <v>1683.57</v>
      </c>
      <c r="I310" s="193">
        <v>161.4</v>
      </c>
      <c r="J310" s="194">
        <v>161.56</v>
      </c>
      <c r="K310" s="193">
        <v>187.8</v>
      </c>
      <c r="L310" s="194">
        <v>184.76</v>
      </c>
      <c r="M310" s="195">
        <v>0.80080060538540998</v>
      </c>
      <c r="N310" s="195">
        <f t="shared" si="179"/>
        <v>0.75934996752543837</v>
      </c>
      <c r="O310" s="195">
        <f>G310/24/31/10</f>
        <v>0.24126344086021506</v>
      </c>
      <c r="P310" s="195">
        <f>H310/24/31/10</f>
        <v>0.22628629032258063</v>
      </c>
      <c r="Q310" s="195">
        <v>0.98499999999999999</v>
      </c>
      <c r="R310" s="195">
        <v>0.92793580000000009</v>
      </c>
      <c r="S310" s="196">
        <v>0.99</v>
      </c>
      <c r="T310" s="197">
        <v>0.99950000000000006</v>
      </c>
      <c r="U310" s="198">
        <v>1.4999999999999999E-2</v>
      </c>
      <c r="V310" s="197">
        <v>0</v>
      </c>
      <c r="W310" s="198">
        <v>0</v>
      </c>
      <c r="X310" s="197">
        <v>0</v>
      </c>
      <c r="Y310" s="199">
        <f t="shared" si="126"/>
        <v>-4.5890560989139684E-2</v>
      </c>
    </row>
    <row r="311" spans="2:25">
      <c r="B311" s="189" t="s">
        <v>14</v>
      </c>
      <c r="C311" s="190" t="s">
        <v>64</v>
      </c>
      <c r="D311" s="190">
        <v>10</v>
      </c>
      <c r="E311" s="191">
        <v>12</v>
      </c>
      <c r="F311" s="192">
        <v>43220</v>
      </c>
      <c r="G311" s="24">
        <v>1746.1959679843237</v>
      </c>
      <c r="H311" s="24">
        <v>1446.8040000000001</v>
      </c>
      <c r="I311" s="193">
        <v>190.2</v>
      </c>
      <c r="J311" s="194">
        <v>153.19</v>
      </c>
      <c r="K311" s="193">
        <v>194</v>
      </c>
      <c r="L311" s="194">
        <v>158.58000000000001</v>
      </c>
      <c r="M311" s="195">
        <f>G311/E311/K311/Q311</f>
        <v>0.7615067803933242</v>
      </c>
      <c r="N311" s="195">
        <f>H311/E311/L311/R311</f>
        <v>0.79879709389985321</v>
      </c>
      <c r="O311" s="195">
        <f>G311/24/DAY(F311)/D311</f>
        <v>0.24252721777560052</v>
      </c>
      <c r="P311" s="195">
        <f>H311/24/DAY(F311)/D311</f>
        <v>0.20094500000000001</v>
      </c>
      <c r="Q311" s="195">
        <v>0.98499999999999999</v>
      </c>
      <c r="R311" s="195">
        <v>0.95179532</v>
      </c>
      <c r="S311" s="196">
        <v>0.99</v>
      </c>
      <c r="T311" s="197">
        <v>0.97540000000000004</v>
      </c>
      <c r="U311" s="198">
        <v>1.4999999999999999E-2</v>
      </c>
      <c r="V311" s="197">
        <v>0</v>
      </c>
      <c r="W311" s="198">
        <v>0</v>
      </c>
      <c r="X311" s="197">
        <v>0</v>
      </c>
      <c r="Y311" s="199">
        <f t="shared" si="126"/>
        <v>1.11235002720802E-2</v>
      </c>
    </row>
    <row r="312" spans="2:25">
      <c r="B312" s="189" t="s">
        <v>14</v>
      </c>
      <c r="C312" s="190" t="s">
        <v>64</v>
      </c>
      <c r="D312" s="190">
        <v>10</v>
      </c>
      <c r="E312" s="191">
        <v>12</v>
      </c>
      <c r="F312" s="192">
        <v>43251</v>
      </c>
      <c r="G312" s="24">
        <v>1769.4373987065187</v>
      </c>
      <c r="H312" s="24">
        <f>1630950/1000</f>
        <v>1630.95</v>
      </c>
      <c r="I312" s="193">
        <v>197</v>
      </c>
      <c r="J312" s="194">
        <v>169.9</v>
      </c>
      <c r="K312" s="193">
        <v>197.7</v>
      </c>
      <c r="L312" s="194">
        <v>171.73</v>
      </c>
      <c r="M312" s="195">
        <f t="shared" ref="M312:M369" si="180">G312/E312/K312/Q312</f>
        <v>0.75720078650098765</v>
      </c>
      <c r="N312" s="195">
        <f t="shared" ref="N312:N369" si="181">H312/E312/L312/R312</f>
        <v>0.79381275486624081</v>
      </c>
      <c r="O312" s="195">
        <f t="shared" ref="O312:O369" si="182">G312/24/DAY(F312)/D312</f>
        <v>0.23782760735302672</v>
      </c>
      <c r="P312" s="195">
        <f t="shared" ref="P312:P369" si="183">H312/24/DAY(F312)/D312</f>
        <v>0.21921370967741932</v>
      </c>
      <c r="Q312" s="195">
        <v>0.98499999999999999</v>
      </c>
      <c r="R312" s="195">
        <v>0.997</v>
      </c>
      <c r="S312" s="196">
        <v>0.99</v>
      </c>
      <c r="T312" s="197">
        <v>0.999</v>
      </c>
      <c r="U312" s="198">
        <v>1.4999999999999999E-2</v>
      </c>
      <c r="V312" s="197">
        <v>0</v>
      </c>
      <c r="W312" s="198">
        <v>0</v>
      </c>
      <c r="X312" s="197">
        <v>0</v>
      </c>
      <c r="Y312" s="199">
        <f t="shared" si="126"/>
        <v>5.309430199155285E-2</v>
      </c>
    </row>
    <row r="313" spans="2:25">
      <c r="B313" s="189" t="s">
        <v>14</v>
      </c>
      <c r="C313" s="190" t="s">
        <v>64</v>
      </c>
      <c r="D313" s="190">
        <v>10</v>
      </c>
      <c r="E313" s="191">
        <v>12</v>
      </c>
      <c r="F313" s="192">
        <v>43281</v>
      </c>
      <c r="G313" s="24">
        <v>1588.3988857125746</v>
      </c>
      <c r="H313" s="24">
        <f>1531740/1000</f>
        <v>1531.74</v>
      </c>
      <c r="I313" s="193">
        <v>178.9</v>
      </c>
      <c r="J313" s="194">
        <f>5.22*30</f>
        <v>156.6</v>
      </c>
      <c r="K313" s="193">
        <v>177.2</v>
      </c>
      <c r="L313" s="194">
        <f>5.25*30</f>
        <v>157.5</v>
      </c>
      <c r="M313" s="195">
        <f t="shared" si="180"/>
        <v>0.75836517176027107</v>
      </c>
      <c r="N313" s="195">
        <f t="shared" si="181"/>
        <v>0.81879616533081878</v>
      </c>
      <c r="O313" s="195">
        <f t="shared" si="182"/>
        <v>0.22061095634896871</v>
      </c>
      <c r="P313" s="195">
        <f t="shared" si="183"/>
        <v>0.21274166666666666</v>
      </c>
      <c r="Q313" s="195">
        <v>0.98499999999999999</v>
      </c>
      <c r="R313" s="195">
        <v>0.98980000000000001</v>
      </c>
      <c r="S313" s="196">
        <v>0.99</v>
      </c>
      <c r="T313" s="197">
        <v>0.99050000000000005</v>
      </c>
      <c r="U313" s="198">
        <v>1.4999999999999999E-2</v>
      </c>
      <c r="V313" s="197">
        <v>0</v>
      </c>
      <c r="W313" s="198">
        <v>0</v>
      </c>
      <c r="X313" s="197">
        <v>0</v>
      </c>
      <c r="Y313" s="199">
        <f t="shared" si="126"/>
        <v>7.5503375802665418E-2</v>
      </c>
    </row>
    <row r="314" spans="2:25">
      <c r="B314" s="189" t="s">
        <v>14</v>
      </c>
      <c r="C314" s="190" t="s">
        <v>64</v>
      </c>
      <c r="D314" s="190">
        <v>10</v>
      </c>
      <c r="E314" s="191">
        <v>12</v>
      </c>
      <c r="F314" s="192">
        <v>43312</v>
      </c>
      <c r="G314" s="24">
        <v>1406.1371395227259</v>
      </c>
      <c r="H314" s="24">
        <f>1265856/1000</f>
        <v>1265.856</v>
      </c>
      <c r="I314" s="193">
        <v>155.5</v>
      </c>
      <c r="J314" s="194">
        <v>130.11000000000001</v>
      </c>
      <c r="K314" s="193">
        <v>154.6</v>
      </c>
      <c r="L314" s="194">
        <v>128.13999999999999</v>
      </c>
      <c r="M314" s="195">
        <f t="shared" si="180"/>
        <v>0.76948598288839154</v>
      </c>
      <c r="N314" s="195">
        <f t="shared" si="181"/>
        <v>0.84122685274456654</v>
      </c>
      <c r="O314" s="195">
        <f t="shared" si="182"/>
        <v>0.18899692735520507</v>
      </c>
      <c r="P314" s="195">
        <f t="shared" si="183"/>
        <v>0.17014193548387097</v>
      </c>
      <c r="Q314" s="195">
        <v>0.98499999999999999</v>
      </c>
      <c r="R314" s="195">
        <v>0.97860000000000003</v>
      </c>
      <c r="S314" s="196">
        <v>0.99</v>
      </c>
      <c r="T314" s="197">
        <v>0.99009999999999998</v>
      </c>
      <c r="U314" s="198">
        <v>1.4999999999999999E-2</v>
      </c>
      <c r="V314" s="197">
        <v>0</v>
      </c>
      <c r="W314" s="198">
        <v>0</v>
      </c>
      <c r="X314" s="197">
        <v>0</v>
      </c>
      <c r="Y314" s="199">
        <f t="shared" si="126"/>
        <v>7.138787469817276E-2</v>
      </c>
    </row>
    <row r="315" spans="2:25">
      <c r="B315" s="189" t="s">
        <v>14</v>
      </c>
      <c r="C315" s="190" t="s">
        <v>64</v>
      </c>
      <c r="D315" s="190">
        <v>10</v>
      </c>
      <c r="E315" s="191">
        <v>12</v>
      </c>
      <c r="F315" s="192">
        <v>43343</v>
      </c>
      <c r="G315" s="24">
        <v>1334.577997562282</v>
      </c>
      <c r="H315" s="24">
        <f>1116492/1000</f>
        <v>1116.492</v>
      </c>
      <c r="I315" s="193">
        <v>145.4</v>
      </c>
      <c r="J315" s="194">
        <v>113.72</v>
      </c>
      <c r="K315" s="193">
        <v>146.30000000000001</v>
      </c>
      <c r="L315" s="194">
        <v>112.81</v>
      </c>
      <c r="M315" s="195">
        <f t="shared" si="180"/>
        <v>0.77175980882194062</v>
      </c>
      <c r="N315" s="195">
        <f t="shared" si="181"/>
        <v>0.84625327662672656</v>
      </c>
      <c r="O315" s="195">
        <f t="shared" si="182"/>
        <v>0.17937876311320994</v>
      </c>
      <c r="P315" s="195">
        <f t="shared" si="183"/>
        <v>0.15006612903225808</v>
      </c>
      <c r="Q315" s="195">
        <v>0.98499999999999999</v>
      </c>
      <c r="R315" s="195">
        <v>0.97460000000000002</v>
      </c>
      <c r="S315" s="196">
        <v>0.99</v>
      </c>
      <c r="T315" s="197">
        <v>0.99939999999999996</v>
      </c>
      <c r="U315" s="198">
        <v>1.4999999999999999E-2</v>
      </c>
      <c r="V315" s="197">
        <v>0</v>
      </c>
      <c r="W315" s="198">
        <v>0</v>
      </c>
      <c r="X315" s="197">
        <v>0</v>
      </c>
      <c r="Y315" s="199">
        <f t="shared" si="126"/>
        <v>6.5501238659121164E-2</v>
      </c>
    </row>
    <row r="316" spans="2:25">
      <c r="B316" s="189" t="s">
        <v>14</v>
      </c>
      <c r="C316" s="190" t="s">
        <v>64</v>
      </c>
      <c r="D316" s="190">
        <v>10</v>
      </c>
      <c r="E316" s="191">
        <v>12</v>
      </c>
      <c r="F316" s="192">
        <v>43373</v>
      </c>
      <c r="G316" s="24">
        <v>1330.2966813766141</v>
      </c>
      <c r="H316" s="24">
        <f>1189860/1000</f>
        <v>1189.8599999999999</v>
      </c>
      <c r="I316" s="193">
        <v>141.6</v>
      </c>
      <c r="J316" s="194">
        <v>120.92</v>
      </c>
      <c r="K316" s="193">
        <v>145.5</v>
      </c>
      <c r="L316" s="194">
        <v>124.22</v>
      </c>
      <c r="M316" s="195">
        <f t="shared" si="180"/>
        <v>0.77351374941221074</v>
      </c>
      <c r="N316" s="195">
        <f t="shared" si="181"/>
        <v>0.82426775960972087</v>
      </c>
      <c r="O316" s="195">
        <f t="shared" si="182"/>
        <v>0.18476342796897419</v>
      </c>
      <c r="P316" s="195">
        <f t="shared" si="183"/>
        <v>0.16525833333333331</v>
      </c>
      <c r="Q316" s="195">
        <v>0.98499999999999999</v>
      </c>
      <c r="R316" s="195">
        <v>0.96840000000000004</v>
      </c>
      <c r="S316" s="196">
        <v>0.99</v>
      </c>
      <c r="T316" s="197">
        <v>0.98180000000000001</v>
      </c>
      <c r="U316" s="198">
        <v>1.4999999999999999E-2</v>
      </c>
      <c r="V316" s="197">
        <v>0</v>
      </c>
      <c r="W316" s="198">
        <v>0</v>
      </c>
      <c r="X316" s="197">
        <v>0</v>
      </c>
      <c r="Y316" s="199">
        <f t="shared" si="126"/>
        <v>4.0686354679566605E-2</v>
      </c>
    </row>
    <row r="317" spans="2:25">
      <c r="B317" s="189" t="s">
        <v>14</v>
      </c>
      <c r="C317" s="190" t="s">
        <v>64</v>
      </c>
      <c r="D317" s="190">
        <v>10</v>
      </c>
      <c r="E317" s="191">
        <v>12</v>
      </c>
      <c r="F317" s="192">
        <v>43404</v>
      </c>
      <c r="G317" s="24">
        <v>1524.1791429275609</v>
      </c>
      <c r="H317" s="24">
        <f>1545108/1000</f>
        <v>1545.1079999999999</v>
      </c>
      <c r="I317" s="193">
        <v>139.1</v>
      </c>
      <c r="J317" s="194">
        <f>4.36*31</f>
        <v>135.16</v>
      </c>
      <c r="K317" s="193">
        <v>172.2</v>
      </c>
      <c r="L317" s="194">
        <f>5.35*31</f>
        <v>165.85</v>
      </c>
      <c r="M317" s="195">
        <f t="shared" si="180"/>
        <v>0.74883371700535173</v>
      </c>
      <c r="N317" s="195">
        <f t="shared" si="181"/>
        <v>0.79553043852782102</v>
      </c>
      <c r="O317" s="195">
        <f t="shared" si="182"/>
        <v>0.20486278802789798</v>
      </c>
      <c r="P317" s="195">
        <f t="shared" si="183"/>
        <v>0.20767580645161288</v>
      </c>
      <c r="Q317" s="195">
        <v>0.98499999999999999</v>
      </c>
      <c r="R317" s="195">
        <v>0.97589999999999999</v>
      </c>
      <c r="S317" s="196">
        <v>0.99</v>
      </c>
      <c r="T317" s="197">
        <v>0.97660000000000002</v>
      </c>
      <c r="U317" s="198">
        <v>1.4999999999999999E-2</v>
      </c>
      <c r="V317" s="197">
        <v>0</v>
      </c>
      <c r="W317" s="198">
        <v>0</v>
      </c>
      <c r="X317" s="197">
        <v>0</v>
      </c>
      <c r="Y317" s="199">
        <f t="shared" si="126"/>
        <v>5.060695767136314E-2</v>
      </c>
    </row>
    <row r="318" spans="2:25">
      <c r="B318" s="189" t="s">
        <v>14</v>
      </c>
      <c r="C318" s="190" t="s">
        <v>64</v>
      </c>
      <c r="D318" s="190">
        <v>10</v>
      </c>
      <c r="E318" s="191">
        <v>12</v>
      </c>
      <c r="F318" s="192">
        <v>43434</v>
      </c>
      <c r="G318" s="24">
        <v>1349.2567959131422</v>
      </c>
      <c r="H318" s="24">
        <f>1248954/1000</f>
        <v>1248.954</v>
      </c>
      <c r="I318" s="193">
        <v>108.1</v>
      </c>
      <c r="J318" s="194">
        <f>3.23*30</f>
        <v>96.9</v>
      </c>
      <c r="K318" s="193">
        <v>152.1</v>
      </c>
      <c r="L318" s="194">
        <f>4.54*30</f>
        <v>136.19999999999999</v>
      </c>
      <c r="M318" s="195">
        <f t="shared" si="180"/>
        <v>0.7504952080423658</v>
      </c>
      <c r="N318" s="195">
        <f t="shared" si="181"/>
        <v>0.77336976689268966</v>
      </c>
      <c r="O318" s="195">
        <f t="shared" si="182"/>
        <v>0.18739677721015863</v>
      </c>
      <c r="P318" s="195">
        <f t="shared" si="183"/>
        <v>0.17346583333333332</v>
      </c>
      <c r="Q318" s="195">
        <v>0.98499999999999999</v>
      </c>
      <c r="R318" s="195">
        <v>0.98809999999999998</v>
      </c>
      <c r="S318" s="196">
        <v>0.99</v>
      </c>
      <c r="T318" s="197">
        <v>0.99990000000000001</v>
      </c>
      <c r="U318" s="198">
        <v>1.4999999999999999E-2</v>
      </c>
      <c r="V318" s="197">
        <v>0</v>
      </c>
      <c r="W318" s="198">
        <v>0</v>
      </c>
      <c r="X318" s="197">
        <v>0</v>
      </c>
      <c r="Y318" s="199">
        <f t="shared" si="126"/>
        <v>3.0197196426459127E-2</v>
      </c>
    </row>
    <row r="319" spans="2:25">
      <c r="B319" s="189" t="s">
        <v>14</v>
      </c>
      <c r="C319" s="190" t="s">
        <v>64</v>
      </c>
      <c r="D319" s="190">
        <v>10</v>
      </c>
      <c r="E319" s="191">
        <v>12</v>
      </c>
      <c r="F319" s="192">
        <v>43465</v>
      </c>
      <c r="G319" s="24">
        <v>1132.7445202379524</v>
      </c>
      <c r="H319" s="24">
        <f>1132326/1000</f>
        <v>1132.326</v>
      </c>
      <c r="I319" s="193">
        <v>89.9</v>
      </c>
      <c r="J319" s="194">
        <v>84.63</v>
      </c>
      <c r="K319" s="193">
        <v>129.6</v>
      </c>
      <c r="L319" s="194">
        <v>126.48</v>
      </c>
      <c r="M319" s="195">
        <f t="shared" si="180"/>
        <v>0.73945115534323524</v>
      </c>
      <c r="N319" s="195">
        <f t="shared" si="181"/>
        <v>0.7860612780668873</v>
      </c>
      <c r="O319" s="195">
        <f t="shared" si="182"/>
        <v>0.15225060755886458</v>
      </c>
      <c r="P319" s="195">
        <f t="shared" si="183"/>
        <v>0.15219435483870969</v>
      </c>
      <c r="Q319" s="195">
        <v>0.98499999999999999</v>
      </c>
      <c r="R319" s="195">
        <v>0.94910000000000005</v>
      </c>
      <c r="S319" s="196">
        <v>0.99</v>
      </c>
      <c r="T319" s="197">
        <v>0.99829999999999997</v>
      </c>
      <c r="U319" s="198">
        <v>1.4999999999999999E-2</v>
      </c>
      <c r="V319" s="197">
        <v>0</v>
      </c>
      <c r="W319" s="198">
        <v>0</v>
      </c>
      <c r="X319" s="197">
        <v>0</v>
      </c>
      <c r="Y319" s="199">
        <f t="shared" si="126"/>
        <v>2.3704599554025596E-2</v>
      </c>
    </row>
    <row r="320" spans="2:25">
      <c r="B320" s="189" t="s">
        <v>14</v>
      </c>
      <c r="C320" s="190" t="s">
        <v>64</v>
      </c>
      <c r="D320" s="190">
        <v>10</v>
      </c>
      <c r="E320" s="191">
        <v>12</v>
      </c>
      <c r="F320" s="192">
        <v>43496</v>
      </c>
      <c r="G320" s="24">
        <v>953.64162087237878</v>
      </c>
      <c r="H320" s="24">
        <f>1116102/1000</f>
        <v>1116.1020000000001</v>
      </c>
      <c r="I320" s="193">
        <v>79.599999999999994</v>
      </c>
      <c r="J320" s="194">
        <v>87.73</v>
      </c>
      <c r="K320" s="193">
        <v>103.2</v>
      </c>
      <c r="L320" s="194">
        <v>120.28</v>
      </c>
      <c r="M320" s="195">
        <f t="shared" si="180"/>
        <v>0.78178624200899371</v>
      </c>
      <c r="N320" s="195">
        <f t="shared" si="181"/>
        <v>0.78816282206601351</v>
      </c>
      <c r="O320" s="195">
        <f t="shared" si="182"/>
        <v>0.12817763721402939</v>
      </c>
      <c r="P320" s="195">
        <f t="shared" si="183"/>
        <v>0.15001370967741939</v>
      </c>
      <c r="Q320" s="195">
        <v>0.98499999999999999</v>
      </c>
      <c r="R320" s="195">
        <v>0.98109999999999997</v>
      </c>
      <c r="S320" s="196">
        <v>0.99</v>
      </c>
      <c r="T320" s="197">
        <v>0.99409999999999998</v>
      </c>
      <c r="U320" s="198">
        <v>1.4999999999999999E-2</v>
      </c>
      <c r="V320" s="197">
        <v>0</v>
      </c>
      <c r="W320" s="198">
        <v>0</v>
      </c>
      <c r="X320" s="197">
        <v>0</v>
      </c>
      <c r="Y320" s="199">
        <f t="shared" si="126"/>
        <v>4.8540190429775532E-3</v>
      </c>
    </row>
    <row r="321" spans="2:25">
      <c r="B321" s="189" t="s">
        <v>14</v>
      </c>
      <c r="C321" s="190" t="s">
        <v>64</v>
      </c>
      <c r="D321" s="190">
        <v>10</v>
      </c>
      <c r="E321" s="191">
        <v>12</v>
      </c>
      <c r="F321" s="192">
        <v>43524</v>
      </c>
      <c r="G321" s="24">
        <v>1251.8352932041269</v>
      </c>
      <c r="H321" s="24">
        <v>1026.6300000000001</v>
      </c>
      <c r="I321" s="193">
        <v>108.1</v>
      </c>
      <c r="J321" s="194">
        <v>85.399999999999991</v>
      </c>
      <c r="K321" s="193">
        <v>137.5</v>
      </c>
      <c r="L321" s="194">
        <v>108.36</v>
      </c>
      <c r="M321" s="195">
        <f t="shared" si="180"/>
        <v>0.7702416817130453</v>
      </c>
      <c r="N321" s="195">
        <f t="shared" si="181"/>
        <v>0.84215577703949807</v>
      </c>
      <c r="O321" s="195">
        <f t="shared" si="182"/>
        <v>0.18628501386966173</v>
      </c>
      <c r="P321" s="195">
        <f t="shared" si="183"/>
        <v>0.15277232142857144</v>
      </c>
      <c r="Q321" s="195">
        <v>0.98499999999999999</v>
      </c>
      <c r="R321" s="195">
        <v>0.9375</v>
      </c>
      <c r="S321" s="196">
        <v>0.99</v>
      </c>
      <c r="T321" s="197">
        <v>0.96640000000000004</v>
      </c>
      <c r="U321" s="198">
        <v>1.4999999999999999E-2</v>
      </c>
      <c r="V321" s="197">
        <v>0</v>
      </c>
      <c r="W321" s="198">
        <v>0</v>
      </c>
      <c r="X321" s="197">
        <v>0</v>
      </c>
      <c r="Y321" s="199">
        <f t="shared" si="126"/>
        <v>3.2027173707293799E-2</v>
      </c>
    </row>
    <row r="322" spans="2:25">
      <c r="B322" s="189" t="s">
        <v>14</v>
      </c>
      <c r="C322" s="190" t="s">
        <v>64</v>
      </c>
      <c r="D322" s="190">
        <v>10</v>
      </c>
      <c r="E322" s="191">
        <v>12</v>
      </c>
      <c r="F322" s="192">
        <v>43555</v>
      </c>
      <c r="G322" s="24">
        <v>1679.0433707079778</v>
      </c>
      <c r="H322" s="24">
        <f>1710192/1000</f>
        <v>1710.192</v>
      </c>
      <c r="I322" s="193">
        <v>161.4</v>
      </c>
      <c r="J322" s="194">
        <v>152.38999999999999</v>
      </c>
      <c r="K322" s="193">
        <v>187.8</v>
      </c>
      <c r="L322" s="194">
        <v>182</v>
      </c>
      <c r="M322" s="195">
        <f t="shared" si="180"/>
        <v>0.75639534926091301</v>
      </c>
      <c r="N322" s="195">
        <f t="shared" si="181"/>
        <v>0.79522183919462275</v>
      </c>
      <c r="O322" s="195">
        <f t="shared" si="182"/>
        <v>0.22567787240698625</v>
      </c>
      <c r="P322" s="195">
        <f t="shared" si="183"/>
        <v>0.22986451612903225</v>
      </c>
      <c r="Q322" s="195">
        <v>0.98499999999999999</v>
      </c>
      <c r="R322" s="195">
        <v>0.98470000000000002</v>
      </c>
      <c r="S322" s="196">
        <v>0.99</v>
      </c>
      <c r="T322" s="197">
        <v>0.99419999999999997</v>
      </c>
      <c r="U322" s="198">
        <v>1.4999999999999999E-2</v>
      </c>
      <c r="V322" s="197">
        <v>0</v>
      </c>
      <c r="W322" s="198">
        <v>0</v>
      </c>
      <c r="X322" s="197">
        <v>0</v>
      </c>
      <c r="Y322" s="199">
        <f t="shared" si="126"/>
        <v>4.9435333419025507E-2</v>
      </c>
    </row>
    <row r="323" spans="2:25">
      <c r="B323" s="189" t="s">
        <v>14</v>
      </c>
      <c r="C323" s="190" t="s">
        <v>64</v>
      </c>
      <c r="D323" s="190">
        <v>10</v>
      </c>
      <c r="E323" s="191">
        <v>12</v>
      </c>
      <c r="F323" s="192">
        <v>43585</v>
      </c>
      <c r="G323" s="24">
        <v>1737.4649881444018</v>
      </c>
      <c r="H323" s="24">
        <f>1646268/1000</f>
        <v>1646.268</v>
      </c>
      <c r="I323" s="193">
        <v>190.2</v>
      </c>
      <c r="J323" s="194">
        <f>5.72*30</f>
        <v>171.6</v>
      </c>
      <c r="K323" s="193">
        <v>194</v>
      </c>
      <c r="L323" s="194">
        <f>6.07*30</f>
        <v>182.10000000000002</v>
      </c>
      <c r="M323" s="195">
        <f t="shared" si="180"/>
        <v>0.75769924649135745</v>
      </c>
      <c r="N323" s="195">
        <f t="shared" si="181"/>
        <v>0.76082788704371473</v>
      </c>
      <c r="O323" s="195">
        <f t="shared" si="182"/>
        <v>0.24131458168672251</v>
      </c>
      <c r="P323" s="195">
        <f t="shared" si="183"/>
        <v>0.22864833333333334</v>
      </c>
      <c r="Q323" s="195">
        <v>0.98499999999999999</v>
      </c>
      <c r="R323" s="195">
        <v>0.99019999999999997</v>
      </c>
      <c r="S323" s="196">
        <v>0.99</v>
      </c>
      <c r="T323" s="197">
        <v>0.99560000000000004</v>
      </c>
      <c r="U323" s="198">
        <v>1.4999999999999999E-2</v>
      </c>
      <c r="V323" s="197">
        <v>0</v>
      </c>
      <c r="W323" s="198">
        <v>0</v>
      </c>
      <c r="X323" s="197">
        <v>0</v>
      </c>
      <c r="Y323" s="199">
        <f t="shared" si="126"/>
        <v>8.8516733134315073E-3</v>
      </c>
    </row>
    <row r="324" spans="2:25">
      <c r="B324" s="189" t="s">
        <v>14</v>
      </c>
      <c r="C324" s="190" t="s">
        <v>64</v>
      </c>
      <c r="D324" s="190">
        <v>10</v>
      </c>
      <c r="E324" s="191">
        <v>12</v>
      </c>
      <c r="F324" s="192">
        <v>43616</v>
      </c>
      <c r="G324" s="24">
        <v>1760.5902117129863</v>
      </c>
      <c r="H324" s="24">
        <f>1664004/1000</f>
        <v>1664.0039999999999</v>
      </c>
      <c r="I324" s="193">
        <v>197</v>
      </c>
      <c r="J324" s="194">
        <v>193.26</v>
      </c>
      <c r="K324" s="193">
        <v>197.7</v>
      </c>
      <c r="L324" s="194">
        <v>196.83</v>
      </c>
      <c r="M324" s="195">
        <f t="shared" si="180"/>
        <v>0.7534147825684826</v>
      </c>
      <c r="N324" s="195">
        <f t="shared" si="181"/>
        <v>0.72681455312027299</v>
      </c>
      <c r="O324" s="195">
        <f t="shared" si="182"/>
        <v>0.23663846931626159</v>
      </c>
      <c r="P324" s="195">
        <f t="shared" si="183"/>
        <v>0.22365645161290323</v>
      </c>
      <c r="Q324" s="195">
        <v>0.98499999999999999</v>
      </c>
      <c r="R324" s="195">
        <v>0.96930000000000005</v>
      </c>
      <c r="S324" s="196">
        <v>0.99</v>
      </c>
      <c r="T324" s="197">
        <v>0.9859</v>
      </c>
      <c r="U324" s="198">
        <v>1.4999999999999999E-2</v>
      </c>
      <c r="V324" s="197">
        <v>0</v>
      </c>
      <c r="W324" s="198">
        <v>0</v>
      </c>
      <c r="X324" s="197">
        <v>0</v>
      </c>
      <c r="Y324" s="199">
        <f t="shared" si="126"/>
        <v>-5.0459525190410637E-2</v>
      </c>
    </row>
    <row r="325" spans="2:25">
      <c r="B325" s="189" t="s">
        <v>14</v>
      </c>
      <c r="C325" s="190" t="s">
        <v>64</v>
      </c>
      <c r="D325" s="190">
        <v>10</v>
      </c>
      <c r="E325" s="191">
        <v>12</v>
      </c>
      <c r="F325" s="192">
        <v>43646</v>
      </c>
      <c r="G325" s="24">
        <v>1580.456891284012</v>
      </c>
      <c r="H325" s="24">
        <f>1626438/1000</f>
        <v>1626.4380000000001</v>
      </c>
      <c r="I325" s="193">
        <v>178.9</v>
      </c>
      <c r="J325" s="194">
        <v>186.3</v>
      </c>
      <c r="K325" s="193">
        <v>177.2</v>
      </c>
      <c r="L325" s="194">
        <v>189.60000000000002</v>
      </c>
      <c r="M325" s="195">
        <f t="shared" si="180"/>
        <v>0.75457334590146985</v>
      </c>
      <c r="N325" s="195">
        <f t="shared" si="181"/>
        <v>0.71801422037555962</v>
      </c>
      <c r="O325" s="195">
        <f t="shared" si="182"/>
        <v>0.21950790156722394</v>
      </c>
      <c r="P325" s="195">
        <f t="shared" si="183"/>
        <v>0.22589416666666667</v>
      </c>
      <c r="Q325" s="195">
        <v>0.98499999999999999</v>
      </c>
      <c r="R325" s="195">
        <v>0.99560000000000004</v>
      </c>
      <c r="S325" s="196">
        <v>0.99</v>
      </c>
      <c r="T325" s="197">
        <v>0.99909999999999999</v>
      </c>
      <c r="U325" s="198">
        <v>1.4999999999999999E-2</v>
      </c>
      <c r="V325" s="197">
        <v>0</v>
      </c>
      <c r="W325" s="198">
        <v>0</v>
      </c>
      <c r="X325" s="197">
        <v>0</v>
      </c>
      <c r="Y325" s="199">
        <f t="shared" si="126"/>
        <v>-4.0883872127384313E-2</v>
      </c>
    </row>
    <row r="326" spans="2:25">
      <c r="B326" s="189" t="s">
        <v>14</v>
      </c>
      <c r="C326" s="190" t="s">
        <v>64</v>
      </c>
      <c r="D326" s="190">
        <v>10</v>
      </c>
      <c r="E326" s="191">
        <v>12</v>
      </c>
      <c r="F326" s="192">
        <v>43677</v>
      </c>
      <c r="G326" s="24">
        <v>1399.1064538251123</v>
      </c>
      <c r="H326" s="24">
        <v>1268.5740000000001</v>
      </c>
      <c r="I326" s="193">
        <v>155.5</v>
      </c>
      <c r="J326" s="194">
        <v>142.6</v>
      </c>
      <c r="K326" s="193">
        <v>154.6</v>
      </c>
      <c r="L326" s="194">
        <v>141.97999999999999</v>
      </c>
      <c r="M326" s="195">
        <f t="shared" si="180"/>
        <v>0.76563855297394967</v>
      </c>
      <c r="N326" s="195">
        <f t="shared" si="181"/>
        <v>0.79787095940959185</v>
      </c>
      <c r="O326" s="195">
        <f t="shared" si="182"/>
        <v>0.18805194271842907</v>
      </c>
      <c r="P326" s="195">
        <f t="shared" si="183"/>
        <v>0.17050725806451611</v>
      </c>
      <c r="Q326" s="195">
        <v>0.98499999999999999</v>
      </c>
      <c r="R326" s="195">
        <v>0.93320000000000003</v>
      </c>
      <c r="S326" s="196">
        <v>0.99</v>
      </c>
      <c r="T326" s="197">
        <v>0.98119999999999996</v>
      </c>
      <c r="U326" s="198">
        <v>1.4999999999999999E-2</v>
      </c>
      <c r="V326" s="197">
        <v>0</v>
      </c>
      <c r="W326" s="198">
        <v>0</v>
      </c>
      <c r="X326" s="197">
        <v>0</v>
      </c>
      <c r="Y326" s="199">
        <f t="shared" si="126"/>
        <v>-1.16670006453371E-2</v>
      </c>
    </row>
    <row r="327" spans="2:25">
      <c r="B327" s="189" t="s">
        <v>14</v>
      </c>
      <c r="C327" s="190" t="s">
        <v>64</v>
      </c>
      <c r="D327" s="190">
        <v>10</v>
      </c>
      <c r="E327" s="191">
        <v>12</v>
      </c>
      <c r="F327" s="192">
        <v>43708</v>
      </c>
      <c r="G327" s="24">
        <v>1327.9051075744708</v>
      </c>
      <c r="H327" s="24">
        <f>1281810/1000</f>
        <v>1281.81</v>
      </c>
      <c r="I327" s="193">
        <v>145.4</v>
      </c>
      <c r="J327" s="194">
        <v>142</v>
      </c>
      <c r="K327" s="193">
        <v>146.30000000000001</v>
      </c>
      <c r="L327" s="194">
        <v>142</v>
      </c>
      <c r="M327" s="195">
        <f t="shared" si="180"/>
        <v>0.76790100977783093</v>
      </c>
      <c r="N327" s="195">
        <f t="shared" si="181"/>
        <v>0.80608220691487109</v>
      </c>
      <c r="O327" s="195">
        <f t="shared" si="182"/>
        <v>0.17848186929764392</v>
      </c>
      <c r="P327" s="195">
        <f t="shared" si="183"/>
        <v>0.17228629032258064</v>
      </c>
      <c r="Q327" s="195">
        <v>0.98499999999999999</v>
      </c>
      <c r="R327" s="195">
        <v>0.93320000000000003</v>
      </c>
      <c r="S327" s="196">
        <v>0.99</v>
      </c>
      <c r="T327" s="197">
        <v>0.98119999999999996</v>
      </c>
      <c r="U327" s="198">
        <v>1.4999999999999999E-2</v>
      </c>
      <c r="V327" s="197">
        <v>0</v>
      </c>
      <c r="W327" s="198">
        <v>0</v>
      </c>
      <c r="X327" s="197">
        <v>0</v>
      </c>
      <c r="Y327" s="199">
        <f t="shared" si="126"/>
        <v>-5.3209907930913403E-3</v>
      </c>
    </row>
    <row r="328" spans="2:25">
      <c r="B328" s="189" t="s">
        <v>14</v>
      </c>
      <c r="C328" s="190" t="s">
        <v>64</v>
      </c>
      <c r="D328" s="190">
        <v>10</v>
      </c>
      <c r="E328" s="191">
        <v>12</v>
      </c>
      <c r="F328" s="192">
        <v>43738</v>
      </c>
      <c r="G328" s="24">
        <v>1323.645197969731</v>
      </c>
      <c r="H328" s="24">
        <f>1301310/1000</f>
        <v>1301.31</v>
      </c>
      <c r="I328" s="193">
        <v>141.6</v>
      </c>
      <c r="J328" s="194">
        <v>144</v>
      </c>
      <c r="K328" s="193">
        <v>145.5</v>
      </c>
      <c r="L328" s="194">
        <v>150</v>
      </c>
      <c r="M328" s="195">
        <f t="shared" si="180"/>
        <v>0.76964618066514967</v>
      </c>
      <c r="N328" s="195">
        <f t="shared" si="181"/>
        <v>0.75244587843463784</v>
      </c>
      <c r="O328" s="195">
        <f t="shared" si="182"/>
        <v>0.18383961082912931</v>
      </c>
      <c r="P328" s="195">
        <f t="shared" si="183"/>
        <v>0.1807375</v>
      </c>
      <c r="Q328" s="195">
        <v>0.98499999999999999</v>
      </c>
      <c r="R328" s="195">
        <v>0.96079999999999999</v>
      </c>
      <c r="S328" s="196">
        <v>0.99</v>
      </c>
      <c r="T328" s="197">
        <v>0.99760000000000004</v>
      </c>
      <c r="U328" s="198">
        <v>1.4999999999999999E-2</v>
      </c>
      <c r="V328" s="197">
        <v>0</v>
      </c>
      <c r="W328" s="198">
        <v>0</v>
      </c>
      <c r="X328" s="197">
        <v>0</v>
      </c>
      <c r="Y328" s="199">
        <f t="shared" si="126"/>
        <v>-4.780184177479041E-2</v>
      </c>
    </row>
    <row r="329" spans="2:25">
      <c r="B329" s="189" t="s">
        <v>14</v>
      </c>
      <c r="C329" s="190" t="s">
        <v>64</v>
      </c>
      <c r="D329" s="190">
        <v>10</v>
      </c>
      <c r="E329" s="191">
        <v>12</v>
      </c>
      <c r="F329" s="192">
        <v>43769</v>
      </c>
      <c r="G329" s="24">
        <v>1516.5582472129233</v>
      </c>
      <c r="H329" s="24">
        <f>1195944/1000</f>
        <v>1195.944</v>
      </c>
      <c r="I329" s="193">
        <v>139.1</v>
      </c>
      <c r="J329" s="194">
        <v>129.58000000000001</v>
      </c>
      <c r="K329" s="193">
        <v>172.2</v>
      </c>
      <c r="L329" s="194">
        <v>150.66</v>
      </c>
      <c r="M329" s="195">
        <f t="shared" si="180"/>
        <v>0.74508954842032515</v>
      </c>
      <c r="N329" s="195">
        <f t="shared" si="181"/>
        <v>0.73672204183021739</v>
      </c>
      <c r="O329" s="195">
        <f t="shared" si="182"/>
        <v>0.20383847408775851</v>
      </c>
      <c r="P329" s="195">
        <f t="shared" si="183"/>
        <v>0.16074516129032257</v>
      </c>
      <c r="Q329" s="195">
        <v>0.98499999999999999</v>
      </c>
      <c r="R329" s="195">
        <v>0.89790000000000003</v>
      </c>
      <c r="S329" s="196">
        <v>0.99</v>
      </c>
      <c r="T329" s="197">
        <v>0.98880000000000001</v>
      </c>
      <c r="U329" s="198">
        <v>1.4999999999999999E-2</v>
      </c>
      <c r="V329" s="197">
        <v>0</v>
      </c>
      <c r="W329" s="198">
        <v>0</v>
      </c>
      <c r="X329" s="197">
        <v>0</v>
      </c>
      <c r="Y329" s="199">
        <f t="shared" si="126"/>
        <v>-8.6322013793376562E-2</v>
      </c>
    </row>
    <row r="330" spans="2:25">
      <c r="B330" s="189" t="s">
        <v>14</v>
      </c>
      <c r="C330" s="190" t="s">
        <v>64</v>
      </c>
      <c r="D330" s="190">
        <v>10</v>
      </c>
      <c r="E330" s="191">
        <v>12</v>
      </c>
      <c r="F330" s="192">
        <v>43799</v>
      </c>
      <c r="G330" s="24">
        <v>1342.5105119335763</v>
      </c>
      <c r="H330" s="24">
        <f>1126668/1000</f>
        <v>1126.6679999999999</v>
      </c>
      <c r="I330" s="193">
        <v>108.1</v>
      </c>
      <c r="J330" s="194">
        <v>95.7</v>
      </c>
      <c r="K330" s="193">
        <v>152.1</v>
      </c>
      <c r="L330" s="194">
        <v>125.4</v>
      </c>
      <c r="M330" s="195">
        <f t="shared" si="180"/>
        <v>0.74674273200215391</v>
      </c>
      <c r="N330" s="195">
        <f t="shared" si="181"/>
        <v>0.75757979201957959</v>
      </c>
      <c r="O330" s="195">
        <f t="shared" si="182"/>
        <v>0.18645979332410784</v>
      </c>
      <c r="P330" s="195">
        <f t="shared" si="183"/>
        <v>0.15648166666666666</v>
      </c>
      <c r="Q330" s="195">
        <v>0.98499999999999999</v>
      </c>
      <c r="R330" s="195">
        <v>0.98829999999999996</v>
      </c>
      <c r="S330" s="196">
        <v>0.99</v>
      </c>
      <c r="T330" s="197">
        <v>1</v>
      </c>
      <c r="U330" s="198">
        <v>1.4999999999999999E-2</v>
      </c>
      <c r="V330" s="197">
        <v>0</v>
      </c>
      <c r="W330" s="198">
        <v>0</v>
      </c>
      <c r="X330" s="197">
        <v>0</v>
      </c>
      <c r="Y330" s="199">
        <f t="shared" si="126"/>
        <v>1.4767119999200551E-2</v>
      </c>
    </row>
    <row r="331" spans="2:25">
      <c r="B331" s="189" t="s">
        <v>14</v>
      </c>
      <c r="C331" s="190" t="s">
        <v>64</v>
      </c>
      <c r="D331" s="190">
        <v>10</v>
      </c>
      <c r="E331" s="191">
        <v>12</v>
      </c>
      <c r="F331" s="192">
        <v>43830</v>
      </c>
      <c r="G331" s="24">
        <v>1127.0807976367626</v>
      </c>
      <c r="H331" s="24">
        <f>815292/1000</f>
        <v>815.29200000000003</v>
      </c>
      <c r="I331" s="193">
        <v>89.9</v>
      </c>
      <c r="J331" s="194">
        <v>70.680000000000007</v>
      </c>
      <c r="K331" s="193">
        <v>129.6</v>
      </c>
      <c r="L331" s="194">
        <v>91.45</v>
      </c>
      <c r="M331" s="195">
        <f t="shared" si="180"/>
        <v>0.73575389956651904</v>
      </c>
      <c r="N331" s="195">
        <f t="shared" si="181"/>
        <v>0.78917629397627131</v>
      </c>
      <c r="O331" s="195">
        <f t="shared" si="182"/>
        <v>0.15148935452107024</v>
      </c>
      <c r="P331" s="195">
        <f t="shared" si="183"/>
        <v>0.10958225806451613</v>
      </c>
      <c r="Q331" s="195">
        <v>0.98499999999999999</v>
      </c>
      <c r="R331" s="195">
        <v>0.94140000000000001</v>
      </c>
      <c r="S331" s="196">
        <v>0.99</v>
      </c>
      <c r="T331" s="197">
        <v>0.99939999999999996</v>
      </c>
      <c r="U331" s="198">
        <v>1.4999999999999999E-2</v>
      </c>
      <c r="V331" s="197">
        <v>0</v>
      </c>
      <c r="W331" s="198">
        <v>0</v>
      </c>
      <c r="X331" s="197">
        <v>0</v>
      </c>
      <c r="Y331" s="199">
        <f t="shared" ref="Y331:Y420" si="184">(H331/G331-1)-(L331/K331-1)</f>
        <v>1.773334759883638E-2</v>
      </c>
    </row>
    <row r="332" spans="2:25">
      <c r="B332" s="189" t="s">
        <v>14</v>
      </c>
      <c r="C332" s="190" t="s">
        <v>64</v>
      </c>
      <c r="D332" s="190">
        <v>10</v>
      </c>
      <c r="E332" s="191">
        <v>12</v>
      </c>
      <c r="F332" s="192">
        <v>43861</v>
      </c>
      <c r="G332" s="24">
        <v>948.87341276801669</v>
      </c>
      <c r="H332" s="24">
        <f>857376/1000</f>
        <v>857.37599999999998</v>
      </c>
      <c r="I332" s="193">
        <v>79.599999999999994</v>
      </c>
      <c r="J332" s="194">
        <v>73.040000000000006</v>
      </c>
      <c r="K332" s="193">
        <v>103.2</v>
      </c>
      <c r="L332" s="194">
        <v>95.66</v>
      </c>
      <c r="M332" s="195">
        <f t="shared" si="180"/>
        <v>0.77787731079894862</v>
      </c>
      <c r="N332" s="195">
        <f t="shared" si="181"/>
        <v>0.83025261674596573</v>
      </c>
      <c r="O332" s="195">
        <f t="shared" si="182"/>
        <v>0.12753674902795925</v>
      </c>
      <c r="P332" s="195">
        <f t="shared" si="183"/>
        <v>0.11523870967741934</v>
      </c>
      <c r="Q332" s="195">
        <v>0.98499999999999999</v>
      </c>
      <c r="R332" s="195">
        <v>0.89959999999999996</v>
      </c>
      <c r="S332" s="196">
        <v>0.99</v>
      </c>
      <c r="T332" s="197">
        <v>0.998</v>
      </c>
      <c r="U332" s="198">
        <v>1.4999999999999999E-2</v>
      </c>
      <c r="V332" s="197">
        <v>0</v>
      </c>
      <c r="W332" s="198">
        <v>0</v>
      </c>
      <c r="X332" s="197">
        <v>0</v>
      </c>
      <c r="Y332" s="199">
        <f t="shared" si="184"/>
        <v>-2.3365402038685312E-2</v>
      </c>
    </row>
    <row r="333" spans="2:25">
      <c r="B333" s="189" t="s">
        <v>14</v>
      </c>
      <c r="C333" s="190" t="s">
        <v>64</v>
      </c>
      <c r="D333" s="190">
        <v>10</v>
      </c>
      <c r="E333" s="191">
        <v>12</v>
      </c>
      <c r="F333" s="192">
        <v>43890</v>
      </c>
      <c r="G333" s="24">
        <v>1245.5761167381061</v>
      </c>
      <c r="H333" s="24">
        <f>1293564/1000</f>
        <v>1293.5640000000001</v>
      </c>
      <c r="I333" s="193">
        <v>108.1</v>
      </c>
      <c r="J333" s="194">
        <v>113.97</v>
      </c>
      <c r="K333" s="193">
        <v>137.5</v>
      </c>
      <c r="L333" s="194">
        <v>144.41999999999999</v>
      </c>
      <c r="M333" s="195">
        <f t="shared" si="180"/>
        <v>0.76639047330447996</v>
      </c>
      <c r="N333" s="195">
        <f t="shared" si="181"/>
        <v>0.77791895691876067</v>
      </c>
      <c r="O333" s="195">
        <f t="shared" si="182"/>
        <v>0.17896208573823363</v>
      </c>
      <c r="P333" s="195">
        <f t="shared" si="183"/>
        <v>0.18585689655172416</v>
      </c>
      <c r="Q333" s="195">
        <v>0.98499999999999999</v>
      </c>
      <c r="R333" s="195">
        <v>0.95950000000000002</v>
      </c>
      <c r="S333" s="196">
        <v>0.99</v>
      </c>
      <c r="T333" s="197">
        <v>1</v>
      </c>
      <c r="U333" s="198">
        <v>1.4999999999999999E-2</v>
      </c>
      <c r="V333" s="197">
        <v>0</v>
      </c>
      <c r="W333" s="198">
        <v>0</v>
      </c>
      <c r="X333" s="197">
        <v>0</v>
      </c>
      <c r="Y333" s="199">
        <f t="shared" si="184"/>
        <v>-1.1800616172903178E-2</v>
      </c>
    </row>
    <row r="334" spans="2:25">
      <c r="B334" s="189" t="s">
        <v>14</v>
      </c>
      <c r="C334" s="190" t="s">
        <v>64</v>
      </c>
      <c r="D334" s="190">
        <v>10</v>
      </c>
      <c r="E334" s="191">
        <v>12</v>
      </c>
      <c r="F334" s="192">
        <v>43921</v>
      </c>
      <c r="G334" s="24">
        <v>1670.6481538544376</v>
      </c>
      <c r="H334" s="24">
        <f>1568502/1000</f>
        <v>1568.502</v>
      </c>
      <c r="I334" s="193">
        <v>161.4</v>
      </c>
      <c r="J334" s="194">
        <v>153.18</v>
      </c>
      <c r="K334" s="193">
        <v>187.8</v>
      </c>
      <c r="L334" s="194">
        <v>172</v>
      </c>
      <c r="M334" s="195">
        <f t="shared" si="180"/>
        <v>0.75261337251460836</v>
      </c>
      <c r="N334" s="195">
        <f t="shared" si="181"/>
        <v>0.7935809727807891</v>
      </c>
      <c r="O334" s="195">
        <f t="shared" si="182"/>
        <v>0.22454948304495131</v>
      </c>
      <c r="P334" s="195">
        <f t="shared" si="183"/>
        <v>0.21082016129032258</v>
      </c>
      <c r="Q334" s="195">
        <v>0.98499999999999999</v>
      </c>
      <c r="R334" s="195">
        <v>0.95760000000000001</v>
      </c>
      <c r="S334" s="196">
        <v>0.99</v>
      </c>
      <c r="T334" s="197">
        <v>0.99939999999999996</v>
      </c>
      <c r="U334" s="198">
        <v>1.4999999999999999E-2</v>
      </c>
      <c r="V334" s="197">
        <v>0</v>
      </c>
      <c r="W334" s="198">
        <v>0</v>
      </c>
      <c r="X334" s="197">
        <v>0</v>
      </c>
      <c r="Y334" s="199">
        <f t="shared" si="184"/>
        <v>2.2990423838966545E-2</v>
      </c>
    </row>
    <row r="335" spans="2:25">
      <c r="B335" s="189" t="s">
        <v>14</v>
      </c>
      <c r="C335" s="190" t="s">
        <v>64</v>
      </c>
      <c r="D335" s="190">
        <v>10</v>
      </c>
      <c r="E335" s="191">
        <v>12</v>
      </c>
      <c r="F335" s="192">
        <v>43951</v>
      </c>
      <c r="G335" s="24">
        <v>1728.77766320368</v>
      </c>
      <c r="H335" s="24">
        <f>1592076/1000</f>
        <v>1592.076</v>
      </c>
      <c r="I335" s="193">
        <v>190.2</v>
      </c>
      <c r="J335" s="194">
        <v>177.6</v>
      </c>
      <c r="K335" s="193">
        <v>194</v>
      </c>
      <c r="L335" s="194">
        <v>179.1</v>
      </c>
      <c r="M335" s="195">
        <f t="shared" si="180"/>
        <v>0.75391075025890075</v>
      </c>
      <c r="N335" s="195">
        <f t="shared" si="181"/>
        <v>0.75443130943670611</v>
      </c>
      <c r="O335" s="195">
        <f t="shared" si="182"/>
        <v>0.24010800877828889</v>
      </c>
      <c r="P335" s="195">
        <f t="shared" si="183"/>
        <v>0.22112166666666666</v>
      </c>
      <c r="Q335" s="195">
        <v>0.98499999999999999</v>
      </c>
      <c r="R335" s="195">
        <v>0.9819</v>
      </c>
      <c r="S335" s="196">
        <v>0.99</v>
      </c>
      <c r="T335" s="197">
        <v>0.99880000000000002</v>
      </c>
      <c r="U335" s="198">
        <v>1.4999999999999999E-2</v>
      </c>
      <c r="V335" s="197">
        <v>0</v>
      </c>
      <c r="W335" s="198">
        <v>0</v>
      </c>
      <c r="X335" s="197">
        <v>0</v>
      </c>
      <c r="Y335" s="199">
        <f t="shared" si="184"/>
        <v>-2.2700488172148203E-3</v>
      </c>
    </row>
    <row r="336" spans="2:25">
      <c r="B336" s="189" t="s">
        <v>14</v>
      </c>
      <c r="C336" s="190" t="s">
        <v>64</v>
      </c>
      <c r="D336" s="190">
        <v>10</v>
      </c>
      <c r="E336" s="191">
        <v>12</v>
      </c>
      <c r="F336" s="192">
        <v>43982</v>
      </c>
      <c r="G336" s="24">
        <v>1751.7872606544213</v>
      </c>
      <c r="H336" s="24">
        <f>1662258/1000</f>
        <v>1662.258</v>
      </c>
      <c r="I336" s="193">
        <v>197</v>
      </c>
      <c r="J336" s="194">
        <v>193.75</v>
      </c>
      <c r="K336" s="193">
        <v>197.7</v>
      </c>
      <c r="L336" s="194">
        <v>190.96</v>
      </c>
      <c r="M336" s="195">
        <f t="shared" si="180"/>
        <v>0.74964770865564034</v>
      </c>
      <c r="N336" s="195">
        <f t="shared" si="181"/>
        <v>0.74675249203034177</v>
      </c>
      <c r="O336" s="195">
        <f t="shared" si="182"/>
        <v>0.23545527696968033</v>
      </c>
      <c r="P336" s="195">
        <f t="shared" si="183"/>
        <v>0.22342177419354839</v>
      </c>
      <c r="Q336" s="195">
        <v>0.98499999999999999</v>
      </c>
      <c r="R336" s="195">
        <v>0.97140000000000004</v>
      </c>
      <c r="S336" s="196">
        <v>0.99</v>
      </c>
      <c r="T336" s="197">
        <v>0.99729999999999996</v>
      </c>
      <c r="U336" s="198">
        <v>1.4999999999999999E-2</v>
      </c>
      <c r="V336" s="197">
        <v>0</v>
      </c>
      <c r="W336" s="198">
        <v>0</v>
      </c>
      <c r="X336" s="197">
        <v>0</v>
      </c>
      <c r="Y336" s="199">
        <f t="shared" si="184"/>
        <v>-1.7015323291801443E-2</v>
      </c>
    </row>
    <row r="337" spans="2:25">
      <c r="B337" s="189" t="s">
        <v>14</v>
      </c>
      <c r="C337" s="190" t="s">
        <v>64</v>
      </c>
      <c r="D337" s="190">
        <v>10</v>
      </c>
      <c r="E337" s="191">
        <v>12</v>
      </c>
      <c r="F337" s="192">
        <v>44012</v>
      </c>
      <c r="G337" s="24">
        <v>1572.5546068275917</v>
      </c>
      <c r="H337" s="24">
        <f>1634364/1000</f>
        <v>1634.364</v>
      </c>
      <c r="I337" s="193">
        <v>178.9</v>
      </c>
      <c r="J337" s="194">
        <v>188.28</v>
      </c>
      <c r="K337" s="193">
        <v>177.2</v>
      </c>
      <c r="L337" s="194">
        <v>184.28</v>
      </c>
      <c r="M337" s="195">
        <f t="shared" si="180"/>
        <v>0.75080047917196235</v>
      </c>
      <c r="N337" s="195">
        <f t="shared" si="181"/>
        <v>0.76295695826358734</v>
      </c>
      <c r="O337" s="195">
        <f t="shared" si="182"/>
        <v>0.21841036205938774</v>
      </c>
      <c r="P337" s="195">
        <f t="shared" si="183"/>
        <v>0.226995</v>
      </c>
      <c r="Q337" s="195">
        <v>0.98499999999999999</v>
      </c>
      <c r="R337" s="195">
        <v>0.96870000000000001</v>
      </c>
      <c r="S337" s="196">
        <v>0.99</v>
      </c>
      <c r="T337" s="197">
        <v>0.99850000000000005</v>
      </c>
      <c r="U337" s="198">
        <v>1.4999999999999999E-2</v>
      </c>
      <c r="V337" s="197">
        <v>0</v>
      </c>
      <c r="W337" s="198">
        <v>0</v>
      </c>
      <c r="X337" s="197">
        <v>0</v>
      </c>
      <c r="Y337" s="199">
        <f t="shared" si="184"/>
        <v>-6.4976783823511575E-4</v>
      </c>
    </row>
    <row r="338" spans="2:25">
      <c r="B338" s="189" t="s">
        <v>14</v>
      </c>
      <c r="C338" s="190" t="s">
        <v>64</v>
      </c>
      <c r="D338" s="190">
        <v>10</v>
      </c>
      <c r="E338" s="191">
        <v>12</v>
      </c>
      <c r="F338" s="192">
        <v>44043</v>
      </c>
      <c r="G338" s="24">
        <v>1392.1109215559866</v>
      </c>
      <c r="H338" s="24">
        <f>1397856/1000</f>
        <v>1397.856</v>
      </c>
      <c r="I338" s="193">
        <v>155.5</v>
      </c>
      <c r="J338" s="194">
        <v>155.22</v>
      </c>
      <c r="K338" s="193">
        <v>154.6</v>
      </c>
      <c r="L338" s="194">
        <v>153.15</v>
      </c>
      <c r="M338" s="195">
        <f t="shared" si="180"/>
        <v>0.76181036020907988</v>
      </c>
      <c r="N338" s="195">
        <f t="shared" si="181"/>
        <v>0.79131687197510892</v>
      </c>
      <c r="O338" s="195">
        <f t="shared" si="182"/>
        <v>0.18711168300483691</v>
      </c>
      <c r="P338" s="195">
        <f t="shared" si="183"/>
        <v>0.18788387096774192</v>
      </c>
      <c r="Q338" s="195">
        <v>0.98499999999999999</v>
      </c>
      <c r="R338" s="195">
        <v>0.96120000000000005</v>
      </c>
      <c r="S338" s="196">
        <v>0.99</v>
      </c>
      <c r="T338" s="197">
        <v>0.98670000000000002</v>
      </c>
      <c r="U338" s="198">
        <v>1.4999999999999999E-2</v>
      </c>
      <c r="V338" s="197">
        <v>0</v>
      </c>
      <c r="W338" s="198">
        <v>0</v>
      </c>
      <c r="X338" s="197">
        <v>0</v>
      </c>
      <c r="Y338" s="199">
        <f t="shared" si="184"/>
        <v>1.350592536593398E-2</v>
      </c>
    </row>
    <row r="339" spans="2:25">
      <c r="B339" s="189" t="s">
        <v>14</v>
      </c>
      <c r="C339" s="190" t="s">
        <v>64</v>
      </c>
      <c r="D339" s="190">
        <v>10</v>
      </c>
      <c r="E339" s="191">
        <v>12</v>
      </c>
      <c r="F339" s="192">
        <v>44074</v>
      </c>
      <c r="G339" s="24">
        <v>1321.2655820365981</v>
      </c>
      <c r="H339" s="24">
        <v>1174.7460000000001</v>
      </c>
      <c r="I339" s="193">
        <v>145.4</v>
      </c>
      <c r="J339" s="194">
        <v>135.4</v>
      </c>
      <c r="K339" s="193">
        <v>146.30000000000001</v>
      </c>
      <c r="L339" s="194">
        <v>135.54</v>
      </c>
      <c r="M339" s="195">
        <f t="shared" si="180"/>
        <v>0.76406150472894163</v>
      </c>
      <c r="N339" s="195">
        <f t="shared" si="181"/>
        <v>0.79702361581246406</v>
      </c>
      <c r="O339" s="195">
        <f t="shared" si="182"/>
        <v>0.17758945995115566</v>
      </c>
      <c r="P339" s="195">
        <f t="shared" si="183"/>
        <v>0.15789596774193551</v>
      </c>
      <c r="Q339" s="195">
        <v>0.98499999999999999</v>
      </c>
      <c r="R339" s="195">
        <v>0.90620000000000001</v>
      </c>
      <c r="S339" s="196">
        <v>0.99</v>
      </c>
      <c r="T339" s="197">
        <v>0.99880000000000002</v>
      </c>
      <c r="U339" s="198">
        <v>1.4999999999999999E-2</v>
      </c>
      <c r="V339" s="197">
        <v>0</v>
      </c>
      <c r="W339" s="198">
        <v>0</v>
      </c>
      <c r="X339" s="197">
        <v>0</v>
      </c>
      <c r="Y339" s="199">
        <f t="shared" si="184"/>
        <v>-3.734585653271727E-2</v>
      </c>
    </row>
    <row r="340" spans="2:25">
      <c r="B340" s="189" t="s">
        <v>14</v>
      </c>
      <c r="C340" s="190" t="s">
        <v>64</v>
      </c>
      <c r="D340" s="190">
        <v>10</v>
      </c>
      <c r="E340" s="191">
        <v>12</v>
      </c>
      <c r="F340" s="192">
        <v>44104</v>
      </c>
      <c r="G340" s="24">
        <v>1317.0269719798825</v>
      </c>
      <c r="H340" s="24">
        <f>1359738/1000</f>
        <v>1359.7380000000001</v>
      </c>
      <c r="I340" s="193">
        <v>141.6</v>
      </c>
      <c r="J340" s="194">
        <v>145.79</v>
      </c>
      <c r="K340" s="193">
        <v>145.5</v>
      </c>
      <c r="L340" s="194">
        <v>154.88999999999999</v>
      </c>
      <c r="M340" s="195">
        <f t="shared" si="180"/>
        <v>0.76579794976182392</v>
      </c>
      <c r="N340" s="195">
        <f t="shared" si="181"/>
        <v>0.76435180010763126</v>
      </c>
      <c r="O340" s="195">
        <f t="shared" si="182"/>
        <v>0.18292041277498367</v>
      </c>
      <c r="P340" s="195">
        <f t="shared" si="183"/>
        <v>0.18885250000000003</v>
      </c>
      <c r="Q340" s="195">
        <v>0.98499999999999999</v>
      </c>
      <c r="R340" s="195">
        <v>0.95709999999999995</v>
      </c>
      <c r="S340" s="196">
        <v>0.99</v>
      </c>
      <c r="T340" s="197">
        <v>0.99739999999999995</v>
      </c>
      <c r="U340" s="198">
        <v>1.4999999999999999E-2</v>
      </c>
      <c r="V340" s="197">
        <v>0</v>
      </c>
      <c r="W340" s="198">
        <v>0</v>
      </c>
      <c r="X340" s="197">
        <v>0</v>
      </c>
      <c r="Y340" s="199">
        <f t="shared" si="184"/>
        <v>-3.2106201440043947E-2</v>
      </c>
    </row>
    <row r="341" spans="2:25">
      <c r="B341" s="189" t="s">
        <v>14</v>
      </c>
      <c r="C341" s="190" t="s">
        <v>64</v>
      </c>
      <c r="D341" s="190">
        <v>10</v>
      </c>
      <c r="E341" s="191">
        <v>12</v>
      </c>
      <c r="F341" s="192">
        <v>44135</v>
      </c>
      <c r="G341" s="24">
        <v>1508.9754559768585</v>
      </c>
      <c r="H341" s="24">
        <f>1479510/1000</f>
        <v>1479.51</v>
      </c>
      <c r="I341" s="193">
        <v>139.1</v>
      </c>
      <c r="J341" s="194">
        <v>139.43</v>
      </c>
      <c r="K341" s="193">
        <v>172.2</v>
      </c>
      <c r="L341" s="194">
        <v>173.46</v>
      </c>
      <c r="M341" s="195">
        <f t="shared" si="180"/>
        <v>0.74136410067822334</v>
      </c>
      <c r="N341" s="195">
        <f t="shared" si="181"/>
        <v>0.71500197759656414</v>
      </c>
      <c r="O341" s="195">
        <f t="shared" si="182"/>
        <v>0.20281928171731969</v>
      </c>
      <c r="P341" s="195">
        <f t="shared" si="183"/>
        <v>0.19885887096774196</v>
      </c>
      <c r="Q341" s="195">
        <v>0.98499999999999999</v>
      </c>
      <c r="R341" s="195">
        <v>0.99409999999999998</v>
      </c>
      <c r="S341" s="196">
        <v>0.99</v>
      </c>
      <c r="T341" s="197">
        <v>1</v>
      </c>
      <c r="U341" s="198">
        <v>1.4999999999999999E-2</v>
      </c>
      <c r="V341" s="197">
        <v>0</v>
      </c>
      <c r="W341" s="198">
        <v>0</v>
      </c>
      <c r="X341" s="197">
        <v>0</v>
      </c>
      <c r="Y341" s="199">
        <f t="shared" si="184"/>
        <v>-2.6843869223079464E-2</v>
      </c>
    </row>
    <row r="342" spans="2:25">
      <c r="B342" s="189" t="s">
        <v>14</v>
      </c>
      <c r="C342" s="190" t="s">
        <v>64</v>
      </c>
      <c r="D342" s="190">
        <v>10</v>
      </c>
      <c r="E342" s="191">
        <v>12</v>
      </c>
      <c r="F342" s="192">
        <v>44165</v>
      </c>
      <c r="G342" s="24">
        <v>1335.7979593739085</v>
      </c>
      <c r="H342" s="24">
        <f>1178604/1000</f>
        <v>1178.604</v>
      </c>
      <c r="I342" s="193">
        <v>108.1</v>
      </c>
      <c r="J342" s="194">
        <v>101.92</v>
      </c>
      <c r="K342" s="193">
        <v>152.1</v>
      </c>
      <c r="L342" s="194">
        <v>143.38999999999999</v>
      </c>
      <c r="M342" s="195">
        <f t="shared" si="180"/>
        <v>0.74300901834214328</v>
      </c>
      <c r="N342" s="195">
        <f t="shared" si="181"/>
        <v>0.70995448172346998</v>
      </c>
      <c r="O342" s="195">
        <f t="shared" si="182"/>
        <v>0.1855274943574873</v>
      </c>
      <c r="P342" s="195">
        <f t="shared" si="183"/>
        <v>0.16369499999999998</v>
      </c>
      <c r="Q342" s="195">
        <v>0.98499999999999999</v>
      </c>
      <c r="R342" s="195">
        <v>0.96479999999999999</v>
      </c>
      <c r="S342" s="196">
        <v>0.99</v>
      </c>
      <c r="T342" s="197">
        <v>0.99629999999999996</v>
      </c>
      <c r="U342" s="198">
        <v>1.4999999999999999E-2</v>
      </c>
      <c r="V342" s="197">
        <v>0</v>
      </c>
      <c r="W342" s="198">
        <v>0</v>
      </c>
      <c r="X342" s="197">
        <v>0</v>
      </c>
      <c r="Y342" s="199">
        <f t="shared" si="184"/>
        <v>-6.04129881689357E-2</v>
      </c>
    </row>
    <row r="343" spans="2:25">
      <c r="B343" s="189" t="s">
        <v>14</v>
      </c>
      <c r="C343" s="190" t="s">
        <v>64</v>
      </c>
      <c r="D343" s="190">
        <v>10</v>
      </c>
      <c r="E343" s="191">
        <v>12</v>
      </c>
      <c r="F343" s="192">
        <v>44196</v>
      </c>
      <c r="G343" s="24">
        <v>1121.4453936485791</v>
      </c>
      <c r="H343" s="24">
        <f>1043346/1000</f>
        <v>1043.346</v>
      </c>
      <c r="I343" s="193">
        <v>89.9</v>
      </c>
      <c r="J343" s="194">
        <v>82.04</v>
      </c>
      <c r="K343" s="193">
        <v>129.6</v>
      </c>
      <c r="L343" s="194">
        <v>121.14</v>
      </c>
      <c r="M343" s="195">
        <f t="shared" si="180"/>
        <v>0.73207513006868663</v>
      </c>
      <c r="N343" s="195">
        <f t="shared" si="181"/>
        <v>0.7238074050187332</v>
      </c>
      <c r="O343" s="195">
        <f t="shared" si="182"/>
        <v>0.15073190774846495</v>
      </c>
      <c r="P343" s="195">
        <f t="shared" si="183"/>
        <v>0.14023467741935483</v>
      </c>
      <c r="Q343" s="195">
        <v>0.98499999999999999</v>
      </c>
      <c r="R343" s="195">
        <v>0.99160000000000004</v>
      </c>
      <c r="S343" s="196">
        <v>0.99</v>
      </c>
      <c r="T343" s="197">
        <v>0.99790000000000001</v>
      </c>
      <c r="U343" s="198">
        <v>1.4999999999999999E-2</v>
      </c>
      <c r="V343" s="197">
        <v>0</v>
      </c>
      <c r="W343" s="198">
        <v>0</v>
      </c>
      <c r="X343" s="197">
        <v>0</v>
      </c>
      <c r="Y343" s="199">
        <f t="shared" si="184"/>
        <v>-4.3639489535486353E-3</v>
      </c>
    </row>
    <row r="344" spans="2:25">
      <c r="B344" s="189" t="s">
        <v>14</v>
      </c>
      <c r="C344" s="190" t="s">
        <v>64</v>
      </c>
      <c r="D344" s="190">
        <v>10</v>
      </c>
      <c r="E344" s="191">
        <v>12</v>
      </c>
      <c r="F344" s="192">
        <v>44227</v>
      </c>
      <c r="G344" s="24">
        <v>944.12904570417686</v>
      </c>
      <c r="H344" s="24">
        <v>827.86800000000005</v>
      </c>
      <c r="I344" s="193">
        <v>79.599999999999994</v>
      </c>
      <c r="J344" s="194">
        <v>69.38</v>
      </c>
      <c r="K344" s="193">
        <v>103.2</v>
      </c>
      <c r="L344" s="194">
        <v>93.970000000000013</v>
      </c>
      <c r="M344" s="195">
        <f t="shared" si="180"/>
        <v>0.773987924244954</v>
      </c>
      <c r="N344" s="195">
        <f t="shared" si="181"/>
        <v>0.74112642665682282</v>
      </c>
      <c r="O344" s="195">
        <f t="shared" si="182"/>
        <v>0.12689906528281947</v>
      </c>
      <c r="P344" s="195">
        <f t="shared" si="183"/>
        <v>0.1112725806451613</v>
      </c>
      <c r="Q344" s="195">
        <v>0.98499999999999999</v>
      </c>
      <c r="R344" s="195">
        <v>0.99060000000000004</v>
      </c>
      <c r="S344" s="196">
        <v>0.99</v>
      </c>
      <c r="T344" s="197">
        <v>1</v>
      </c>
      <c r="U344" s="198">
        <v>1.4999999999999999E-2</v>
      </c>
      <c r="V344" s="197">
        <v>0</v>
      </c>
      <c r="W344" s="198">
        <v>0</v>
      </c>
      <c r="X344" s="197">
        <v>0</v>
      </c>
      <c r="Y344" s="199">
        <f t="shared" si="184"/>
        <v>-3.3703069402354235E-2</v>
      </c>
    </row>
    <row r="345" spans="2:25">
      <c r="B345" s="189" t="s">
        <v>14</v>
      </c>
      <c r="C345" s="190" t="s">
        <v>64</v>
      </c>
      <c r="D345" s="190">
        <v>10</v>
      </c>
      <c r="E345" s="191">
        <v>12</v>
      </c>
      <c r="F345" s="192">
        <v>44255</v>
      </c>
      <c r="G345" s="24">
        <v>1239.3482361544156</v>
      </c>
      <c r="H345" s="24">
        <v>1140.3720000000001</v>
      </c>
      <c r="I345" s="193">
        <v>108.1</v>
      </c>
      <c r="J345" s="194">
        <v>108.91999999999997</v>
      </c>
      <c r="K345" s="193">
        <v>137.5</v>
      </c>
      <c r="L345" s="194">
        <v>144.48000000000002</v>
      </c>
      <c r="M345" s="195">
        <f t="shared" si="180"/>
        <v>0.76255852093795773</v>
      </c>
      <c r="N345" s="195">
        <f t="shared" si="181"/>
        <v>0.7541070565314959</v>
      </c>
      <c r="O345" s="195">
        <f t="shared" si="182"/>
        <v>0.18442682085631185</v>
      </c>
      <c r="P345" s="195">
        <f t="shared" si="183"/>
        <v>0.1696982142857143</v>
      </c>
      <c r="Q345" s="195">
        <v>0.98499999999999999</v>
      </c>
      <c r="R345" s="195">
        <v>0.87221702928571432</v>
      </c>
      <c r="S345" s="196">
        <v>0.99</v>
      </c>
      <c r="T345" s="197">
        <v>1</v>
      </c>
      <c r="U345" s="198">
        <v>1.4999999999999999E-2</v>
      </c>
      <c r="V345" s="197">
        <v>0</v>
      </c>
      <c r="W345" s="198">
        <v>0</v>
      </c>
      <c r="X345" s="197">
        <v>0</v>
      </c>
      <c r="Y345" s="199">
        <f t="shared" si="184"/>
        <v>-0.13062515814344711</v>
      </c>
    </row>
    <row r="346" spans="2:25">
      <c r="B346" s="189" t="s">
        <v>14</v>
      </c>
      <c r="C346" s="190" t="s">
        <v>64</v>
      </c>
      <c r="D346" s="190">
        <v>10</v>
      </c>
      <c r="E346" s="191">
        <v>12</v>
      </c>
      <c r="F346" s="192">
        <v>44286</v>
      </c>
      <c r="G346" s="24">
        <v>1662.2949130851657</v>
      </c>
      <c r="H346" s="24">
        <v>1543.4760000000001</v>
      </c>
      <c r="I346" s="193">
        <v>161.4</v>
      </c>
      <c r="J346" s="194">
        <v>161.71999999999997</v>
      </c>
      <c r="K346" s="193">
        <v>187.8</v>
      </c>
      <c r="L346" s="194">
        <v>185.17999999999998</v>
      </c>
      <c r="M346" s="195">
        <f t="shared" si="180"/>
        <v>0.74885030565203548</v>
      </c>
      <c r="N346" s="195">
        <f t="shared" si="181"/>
        <v>0.7121861326927732</v>
      </c>
      <c r="O346" s="195">
        <f t="shared" si="182"/>
        <v>0.22342673562972659</v>
      </c>
      <c r="P346" s="195">
        <f t="shared" si="183"/>
        <v>0.20745645161290324</v>
      </c>
      <c r="Q346" s="195">
        <v>0.98499999999999999</v>
      </c>
      <c r="R346" s="195">
        <v>0.97528387096774194</v>
      </c>
      <c r="S346" s="196">
        <v>0.99</v>
      </c>
      <c r="T346" s="197">
        <v>1</v>
      </c>
      <c r="U346" s="198">
        <v>1.4999999999999999E-2</v>
      </c>
      <c r="V346" s="197">
        <v>0</v>
      </c>
      <c r="W346" s="198">
        <v>0</v>
      </c>
      <c r="X346" s="197">
        <v>0</v>
      </c>
      <c r="Y346" s="199">
        <f t="shared" si="184"/>
        <v>-5.7527828862886876E-2</v>
      </c>
    </row>
    <row r="347" spans="2:25">
      <c r="B347" s="189" t="s">
        <v>14</v>
      </c>
      <c r="C347" s="190" t="s">
        <v>64</v>
      </c>
      <c r="D347" s="190">
        <v>10</v>
      </c>
      <c r="E347" s="191">
        <v>12</v>
      </c>
      <c r="F347" s="192">
        <v>44316</v>
      </c>
      <c r="G347" s="24">
        <v>1720.1337748876615</v>
      </c>
      <c r="H347" s="24">
        <v>1548.7619999999999</v>
      </c>
      <c r="I347" s="193">
        <v>190.2</v>
      </c>
      <c r="J347" s="194">
        <v>181.16</v>
      </c>
      <c r="K347" s="193">
        <v>194</v>
      </c>
      <c r="L347" s="194">
        <v>183.29</v>
      </c>
      <c r="M347" s="195">
        <f t="shared" si="180"/>
        <v>0.75014119650760613</v>
      </c>
      <c r="N347" s="195">
        <f t="shared" si="181"/>
        <v>0.73178024801567976</v>
      </c>
      <c r="O347" s="195">
        <f t="shared" si="182"/>
        <v>0.23890746873439742</v>
      </c>
      <c r="P347" s="195">
        <f t="shared" si="183"/>
        <v>0.21510583333333333</v>
      </c>
      <c r="Q347" s="195">
        <v>0.98499999999999999</v>
      </c>
      <c r="R347" s="195">
        <v>0.96224127999999998</v>
      </c>
      <c r="S347" s="196">
        <v>0.99</v>
      </c>
      <c r="T347" s="197">
        <v>0.98560000000000003</v>
      </c>
      <c r="U347" s="198">
        <v>1.4999999999999999E-2</v>
      </c>
      <c r="V347" s="197">
        <v>2.5237905310785239E-2</v>
      </c>
      <c r="W347" s="198">
        <v>0</v>
      </c>
      <c r="X347" s="197">
        <v>0</v>
      </c>
      <c r="Y347" s="199">
        <f t="shared" si="184"/>
        <v>-4.4420818675059981E-2</v>
      </c>
    </row>
    <row r="348" spans="2:25">
      <c r="B348" s="189" t="s">
        <v>14</v>
      </c>
      <c r="C348" s="190" t="s">
        <v>64</v>
      </c>
      <c r="D348" s="190">
        <v>10</v>
      </c>
      <c r="E348" s="191">
        <v>12</v>
      </c>
      <c r="F348" s="192">
        <v>44347</v>
      </c>
      <c r="G348" s="24">
        <v>1743.0283243511492</v>
      </c>
      <c r="H348" s="24">
        <v>1489.758</v>
      </c>
      <c r="I348" s="193">
        <v>197</v>
      </c>
      <c r="J348" s="194">
        <v>180.35999999999996</v>
      </c>
      <c r="K348" s="193">
        <v>197.7</v>
      </c>
      <c r="L348" s="194">
        <v>181.3</v>
      </c>
      <c r="M348" s="195">
        <f t="shared" si="180"/>
        <v>0.74589947011236213</v>
      </c>
      <c r="N348" s="195">
        <f t="shared" si="181"/>
        <v>0.71988783466015227</v>
      </c>
      <c r="O348" s="195">
        <f t="shared" si="182"/>
        <v>0.23427800058483189</v>
      </c>
      <c r="P348" s="195">
        <f t="shared" si="183"/>
        <v>0.20023629032258064</v>
      </c>
      <c r="Q348" s="195">
        <v>0.98499999999999999</v>
      </c>
      <c r="R348" s="195">
        <v>0.95120000000000005</v>
      </c>
      <c r="S348" s="196">
        <v>0.99</v>
      </c>
      <c r="T348" s="197">
        <v>1</v>
      </c>
      <c r="U348" s="198">
        <v>1.4999999999999999E-2</v>
      </c>
      <c r="V348" s="197">
        <v>1.5411252411288946E-2</v>
      </c>
      <c r="W348" s="198">
        <v>0</v>
      </c>
      <c r="X348" s="197">
        <v>0</v>
      </c>
      <c r="Y348" s="199">
        <f t="shared" si="184"/>
        <v>-6.235079622659867E-2</v>
      </c>
    </row>
    <row r="349" spans="2:25">
      <c r="B349" s="189" t="s">
        <v>14</v>
      </c>
      <c r="C349" s="190" t="s">
        <v>64</v>
      </c>
      <c r="D349" s="190">
        <v>10</v>
      </c>
      <c r="E349" s="191">
        <v>12</v>
      </c>
      <c r="F349" s="192">
        <v>44377</v>
      </c>
      <c r="G349" s="24">
        <v>1564.691833793454</v>
      </c>
      <c r="H349" s="24">
        <v>1608.894</v>
      </c>
      <c r="I349" s="193">
        <v>178.9</v>
      </c>
      <c r="J349" s="194">
        <v>182.75</v>
      </c>
      <c r="K349" s="193">
        <v>177.2</v>
      </c>
      <c r="L349" s="194">
        <v>182.90999999999994</v>
      </c>
      <c r="M349" s="195">
        <f t="shared" si="180"/>
        <v>0.7470464767761027</v>
      </c>
      <c r="N349" s="195">
        <f t="shared" si="181"/>
        <v>0.73884491154055065</v>
      </c>
      <c r="O349" s="195">
        <f t="shared" si="182"/>
        <v>0.21731831024909085</v>
      </c>
      <c r="P349" s="195">
        <f t="shared" si="183"/>
        <v>0.2234575</v>
      </c>
      <c r="Q349" s="195">
        <v>0.98499999999999999</v>
      </c>
      <c r="R349" s="195">
        <v>0.99209999999999998</v>
      </c>
      <c r="S349" s="196">
        <v>0.99</v>
      </c>
      <c r="T349" s="197">
        <v>1</v>
      </c>
      <c r="U349" s="198">
        <v>1.4999999999999999E-2</v>
      </c>
      <c r="V349" s="197">
        <v>1.6799999999999999E-2</v>
      </c>
      <c r="W349" s="198">
        <v>0</v>
      </c>
      <c r="X349" s="197">
        <v>0</v>
      </c>
      <c r="Y349" s="199">
        <f t="shared" si="184"/>
        <v>-3.9737179417926871E-3</v>
      </c>
    </row>
    <row r="350" spans="2:25">
      <c r="B350" s="189" t="s">
        <v>14</v>
      </c>
      <c r="C350" s="190" t="s">
        <v>64</v>
      </c>
      <c r="D350" s="190">
        <v>10</v>
      </c>
      <c r="E350" s="191">
        <v>12</v>
      </c>
      <c r="F350" s="192">
        <v>44408</v>
      </c>
      <c r="G350" s="24">
        <v>1385.1503669482067</v>
      </c>
      <c r="H350" s="24">
        <v>1285.662</v>
      </c>
      <c r="I350" s="193">
        <v>155.5</v>
      </c>
      <c r="J350" s="194">
        <v>144.62</v>
      </c>
      <c r="K350" s="193">
        <v>154.6</v>
      </c>
      <c r="L350" s="194">
        <v>146.04</v>
      </c>
      <c r="M350" s="195">
        <f t="shared" si="180"/>
        <v>0.75800130840803448</v>
      </c>
      <c r="N350" s="195">
        <f t="shared" si="181"/>
        <v>0.78574456044983798</v>
      </c>
      <c r="O350" s="195">
        <f t="shared" si="182"/>
        <v>0.18617612458981275</v>
      </c>
      <c r="P350" s="195">
        <f t="shared" si="183"/>
        <v>0.17280403225806454</v>
      </c>
      <c r="Q350" s="195">
        <v>0.98499999999999999</v>
      </c>
      <c r="R350" s="195">
        <v>0.93366774193548396</v>
      </c>
      <c r="S350" s="196">
        <v>0.99</v>
      </c>
      <c r="T350" s="197">
        <v>1</v>
      </c>
      <c r="U350" s="198">
        <v>1.4999999999999999E-2</v>
      </c>
      <c r="V350" s="197">
        <v>8.3000000000000001E-3</v>
      </c>
      <c r="W350" s="198">
        <v>0</v>
      </c>
      <c r="X350" s="197">
        <v>0</v>
      </c>
      <c r="Y350" s="199">
        <f t="shared" si="184"/>
        <v>-1.6456264611003579E-2</v>
      </c>
    </row>
    <row r="351" spans="2:25">
      <c r="B351" s="189" t="s">
        <v>14</v>
      </c>
      <c r="C351" s="190" t="s">
        <v>64</v>
      </c>
      <c r="D351" s="190">
        <v>10</v>
      </c>
      <c r="E351" s="191">
        <v>12</v>
      </c>
      <c r="F351" s="192">
        <v>44439</v>
      </c>
      <c r="G351" s="24">
        <v>1314.6592541264151</v>
      </c>
      <c r="H351" s="24">
        <v>1307.43</v>
      </c>
      <c r="I351" s="193">
        <v>145.4</v>
      </c>
      <c r="J351" s="194">
        <v>141.18000000000004</v>
      </c>
      <c r="K351" s="193">
        <v>146.30000000000001</v>
      </c>
      <c r="L351" s="194">
        <v>144.81</v>
      </c>
      <c r="M351" s="195">
        <f t="shared" si="180"/>
        <v>0.76024119720529693</v>
      </c>
      <c r="N351" s="195">
        <f t="shared" si="181"/>
        <v>0.76265424079461797</v>
      </c>
      <c r="O351" s="195">
        <f t="shared" si="182"/>
        <v>0.17670151265139988</v>
      </c>
      <c r="P351" s="195">
        <f t="shared" si="183"/>
        <v>0.17572983870967743</v>
      </c>
      <c r="Q351" s="195">
        <v>0.98499999999999999</v>
      </c>
      <c r="R351" s="195">
        <v>0.98653150000000001</v>
      </c>
      <c r="S351" s="196">
        <v>0.99</v>
      </c>
      <c r="T351" s="197">
        <v>0.997</v>
      </c>
      <c r="U351" s="198">
        <v>1.4999999999999999E-2</v>
      </c>
      <c r="V351" s="197">
        <v>7.1000000000000004E-3</v>
      </c>
      <c r="W351" s="198">
        <v>0</v>
      </c>
      <c r="X351" s="197">
        <v>0</v>
      </c>
      <c r="Y351" s="199">
        <f t="shared" si="184"/>
        <v>4.6855957322710085E-3</v>
      </c>
    </row>
    <row r="352" spans="2:25">
      <c r="B352" s="189" t="s">
        <v>14</v>
      </c>
      <c r="C352" s="190" t="s">
        <v>64</v>
      </c>
      <c r="D352" s="190">
        <v>10</v>
      </c>
      <c r="E352" s="191">
        <v>12</v>
      </c>
      <c r="F352" s="192">
        <v>44469</v>
      </c>
      <c r="G352" s="24">
        <v>1310.4418371199831</v>
      </c>
      <c r="H352" s="24">
        <v>1257.144</v>
      </c>
      <c r="I352" s="193">
        <v>141.6</v>
      </c>
      <c r="J352" s="194">
        <v>133.11999999999998</v>
      </c>
      <c r="K352" s="193">
        <v>145.5</v>
      </c>
      <c r="L352" s="194">
        <v>143.69</v>
      </c>
      <c r="M352" s="195">
        <f t="shared" si="180"/>
        <v>0.76196896001301495</v>
      </c>
      <c r="N352" s="195">
        <f t="shared" si="181"/>
        <v>0.73876781133290503</v>
      </c>
      <c r="O352" s="195">
        <f t="shared" si="182"/>
        <v>0.18200581071110877</v>
      </c>
      <c r="P352" s="195">
        <f t="shared" si="183"/>
        <v>0.17460333333333333</v>
      </c>
      <c r="Q352" s="195">
        <v>0.98499999999999999</v>
      </c>
      <c r="R352" s="195">
        <v>0.98689118873333337</v>
      </c>
      <c r="S352" s="196">
        <v>0.99</v>
      </c>
      <c r="T352" s="197">
        <v>0.99878</v>
      </c>
      <c r="U352" s="198">
        <v>1.4999999999999999E-2</v>
      </c>
      <c r="V352" s="197">
        <v>4.0000000000000001E-3</v>
      </c>
      <c r="W352" s="198">
        <v>0</v>
      </c>
      <c r="X352" s="197">
        <v>0</v>
      </c>
      <c r="Y352" s="199">
        <f t="shared" si="184"/>
        <v>-2.8231791558929964E-2</v>
      </c>
    </row>
    <row r="353" spans="2:25">
      <c r="B353" s="189" t="s">
        <v>14</v>
      </c>
      <c r="C353" s="190" t="s">
        <v>64</v>
      </c>
      <c r="D353" s="190">
        <v>10</v>
      </c>
      <c r="E353" s="191">
        <v>12</v>
      </c>
      <c r="F353" s="192">
        <v>44500</v>
      </c>
      <c r="G353" s="24">
        <v>1501.4305786969742</v>
      </c>
      <c r="H353" s="24">
        <v>1446.2339999999999</v>
      </c>
      <c r="I353" s="193">
        <v>139.1</v>
      </c>
      <c r="J353" s="194">
        <v>133.1</v>
      </c>
      <c r="K353" s="193">
        <v>172.2</v>
      </c>
      <c r="L353" s="194">
        <v>163.27999999999997</v>
      </c>
      <c r="M353" s="195">
        <f t="shared" si="180"/>
        <v>0.73765728017483223</v>
      </c>
      <c r="N353" s="195">
        <f t="shared" si="181"/>
        <v>0.75186282258588066</v>
      </c>
      <c r="O353" s="195">
        <f t="shared" si="182"/>
        <v>0.20180518530873309</v>
      </c>
      <c r="P353" s="195">
        <f t="shared" si="183"/>
        <v>0.19438629032258065</v>
      </c>
      <c r="Q353" s="195">
        <v>0.98499999999999999</v>
      </c>
      <c r="R353" s="195">
        <v>0.98171565999999999</v>
      </c>
      <c r="S353" s="196">
        <v>0.99</v>
      </c>
      <c r="T353" s="197">
        <v>0.99908064516129025</v>
      </c>
      <c r="U353" s="198">
        <v>1.4999999999999999E-2</v>
      </c>
      <c r="V353" s="197">
        <v>1.52E-2</v>
      </c>
      <c r="W353" s="198">
        <v>0</v>
      </c>
      <c r="X353" s="197">
        <v>0</v>
      </c>
      <c r="Y353" s="199">
        <f t="shared" si="184"/>
        <v>1.5037574406860377E-2</v>
      </c>
    </row>
    <row r="354" spans="2:25">
      <c r="B354" s="189" t="s">
        <v>14</v>
      </c>
      <c r="C354" s="190" t="s">
        <v>64</v>
      </c>
      <c r="D354" s="190">
        <v>10</v>
      </c>
      <c r="E354" s="191">
        <v>12</v>
      </c>
      <c r="F354" s="192">
        <v>44530</v>
      </c>
      <c r="G354" s="24">
        <v>1329.118969577039</v>
      </c>
      <c r="H354" s="24">
        <v>1328.4960000000001</v>
      </c>
      <c r="I354" s="193">
        <v>108.1</v>
      </c>
      <c r="J354" s="194">
        <v>110.03999999999999</v>
      </c>
      <c r="K354" s="193">
        <v>152.1</v>
      </c>
      <c r="L354" s="194">
        <v>152.82</v>
      </c>
      <c r="M354" s="195">
        <f t="shared" si="180"/>
        <v>0.73929397325043256</v>
      </c>
      <c r="N354" s="195">
        <f t="shared" si="181"/>
        <v>0.72705135950487076</v>
      </c>
      <c r="O354" s="195">
        <f t="shared" si="182"/>
        <v>0.18459985688569985</v>
      </c>
      <c r="P354" s="195">
        <f t="shared" si="183"/>
        <v>0.18451333333333336</v>
      </c>
      <c r="Q354" s="195">
        <v>0.98499999999999999</v>
      </c>
      <c r="R354" s="195">
        <v>0.99639999999999995</v>
      </c>
      <c r="S354" s="196">
        <v>0.99</v>
      </c>
      <c r="T354" s="197">
        <v>1</v>
      </c>
      <c r="U354" s="198">
        <v>1.4999999999999999E-2</v>
      </c>
      <c r="V354" s="197">
        <v>1.3599999999999999E-2</v>
      </c>
      <c r="W354" s="198">
        <v>0</v>
      </c>
      <c r="X354" s="197">
        <v>0</v>
      </c>
      <c r="Y354" s="199">
        <f t="shared" si="184"/>
        <v>-5.2024364750357099E-3</v>
      </c>
    </row>
    <row r="355" spans="2:25">
      <c r="B355" s="189" t="s">
        <v>14</v>
      </c>
      <c r="C355" s="190" t="s">
        <v>64</v>
      </c>
      <c r="D355" s="190">
        <v>10</v>
      </c>
      <c r="E355" s="191">
        <v>12</v>
      </c>
      <c r="F355" s="192">
        <v>44561</v>
      </c>
      <c r="G355" s="24">
        <v>1115.8381666803361</v>
      </c>
      <c r="H355" s="24">
        <v>1113.8040000000001</v>
      </c>
      <c r="I355" s="193">
        <v>89.9</v>
      </c>
      <c r="J355" s="194">
        <v>87.910000000000025</v>
      </c>
      <c r="K355" s="193">
        <v>129.6</v>
      </c>
      <c r="L355" s="194">
        <v>124.42</v>
      </c>
      <c r="M355" s="195">
        <f t="shared" si="180"/>
        <v>0.72841475441834314</v>
      </c>
      <c r="N355" s="195">
        <f t="shared" si="181"/>
        <v>0.74814048856249671</v>
      </c>
      <c r="O355" s="195">
        <f t="shared" si="182"/>
        <v>0.14997824820972258</v>
      </c>
      <c r="P355" s="195">
        <f t="shared" si="183"/>
        <v>0.14970483870967743</v>
      </c>
      <c r="Q355" s="195">
        <v>0.98499999999999999</v>
      </c>
      <c r="R355" s="195">
        <v>0.99713548387096773</v>
      </c>
      <c r="S355" s="196">
        <v>0.99</v>
      </c>
      <c r="T355" s="197">
        <v>1</v>
      </c>
      <c r="U355" s="198">
        <v>1.4999999999999999E-2</v>
      </c>
      <c r="V355" s="197">
        <v>1.8200000000000001E-2</v>
      </c>
      <c r="W355" s="198">
        <v>0</v>
      </c>
      <c r="X355" s="197">
        <v>0</v>
      </c>
      <c r="Y355" s="199">
        <f t="shared" si="184"/>
        <v>3.8146141446228521E-2</v>
      </c>
    </row>
    <row r="356" spans="2:25">
      <c r="B356" s="189" t="s">
        <v>14</v>
      </c>
      <c r="C356" s="190" t="s">
        <v>64</v>
      </c>
      <c r="D356" s="190">
        <v>10</v>
      </c>
      <c r="E356" s="191">
        <v>12</v>
      </c>
      <c r="F356" s="192">
        <v>44592</v>
      </c>
      <c r="G356" s="24">
        <v>939.40840047565598</v>
      </c>
      <c r="H356" s="24">
        <v>690.40800000000002</v>
      </c>
      <c r="I356" s="193">
        <v>79.599999999999994</v>
      </c>
      <c r="J356" s="194">
        <v>58.81</v>
      </c>
      <c r="K356" s="193">
        <v>103.2</v>
      </c>
      <c r="L356" s="194">
        <v>74.639999999999986</v>
      </c>
      <c r="M356" s="195">
        <f t="shared" si="180"/>
        <v>0.77011798462372927</v>
      </c>
      <c r="N356" s="195">
        <f t="shared" si="181"/>
        <v>0.77508289159509147</v>
      </c>
      <c r="O356" s="195">
        <f t="shared" si="182"/>
        <v>0.12626456995640539</v>
      </c>
      <c r="P356" s="195">
        <f t="shared" si="183"/>
        <v>9.2796774193548384E-2</v>
      </c>
      <c r="Q356" s="195">
        <v>0.98499999999999999</v>
      </c>
      <c r="R356" s="195">
        <v>0.99450000000000005</v>
      </c>
      <c r="S356" s="196">
        <v>0.99</v>
      </c>
      <c r="T356" s="197">
        <v>1</v>
      </c>
      <c r="U356" s="198">
        <v>1.4999999999999999E-2</v>
      </c>
      <c r="V356" s="197">
        <v>0</v>
      </c>
      <c r="W356" s="198">
        <v>0</v>
      </c>
      <c r="X356" s="197">
        <v>0</v>
      </c>
      <c r="Y356" s="199">
        <f t="shared" si="184"/>
        <v>1.1683323966102166E-2</v>
      </c>
    </row>
    <row r="357" spans="2:25">
      <c r="B357" s="189" t="s">
        <v>14</v>
      </c>
      <c r="C357" s="190" t="s">
        <v>64</v>
      </c>
      <c r="D357" s="190">
        <v>10</v>
      </c>
      <c r="E357" s="191">
        <v>12</v>
      </c>
      <c r="F357" s="192">
        <v>44620</v>
      </c>
      <c r="G357" s="24">
        <v>1233.1514949736434</v>
      </c>
      <c r="H357" s="24">
        <v>1282.5419999999999</v>
      </c>
      <c r="I357" s="193">
        <v>108.1</v>
      </c>
      <c r="J357" s="194">
        <v>113.94</v>
      </c>
      <c r="K357" s="193">
        <v>137.5</v>
      </c>
      <c r="L357" s="194">
        <v>144.71999999999997</v>
      </c>
      <c r="M357" s="195">
        <f t="shared" si="180"/>
        <v>0.7587457283332677</v>
      </c>
      <c r="N357" s="195">
        <f t="shared" si="181"/>
        <v>0.74959319717564643</v>
      </c>
      <c r="O357" s="195">
        <f t="shared" si="182"/>
        <v>0.18350468675203027</v>
      </c>
      <c r="P357" s="195">
        <f t="shared" si="183"/>
        <v>0.19085446428571426</v>
      </c>
      <c r="Q357" s="195">
        <v>0.98499999999999999</v>
      </c>
      <c r="R357" s="195">
        <v>0.98522666999999997</v>
      </c>
      <c r="S357" s="196">
        <v>0.99</v>
      </c>
      <c r="T357" s="197">
        <v>0.99790000000000001</v>
      </c>
      <c r="U357" s="198">
        <v>1.4999999999999999E-2</v>
      </c>
      <c r="V357" s="197">
        <v>1.18E-2</v>
      </c>
      <c r="W357" s="198">
        <v>0</v>
      </c>
      <c r="X357" s="197">
        <v>0</v>
      </c>
      <c r="Y357" s="199">
        <f t="shared" si="184"/>
        <v>-1.2456830316881495E-2</v>
      </c>
    </row>
    <row r="358" spans="2:25">
      <c r="B358" s="189" t="s">
        <v>14</v>
      </c>
      <c r="C358" s="190" t="s">
        <v>64</v>
      </c>
      <c r="D358" s="190">
        <v>10</v>
      </c>
      <c r="E358" s="191">
        <v>12</v>
      </c>
      <c r="F358" s="192">
        <v>44651</v>
      </c>
      <c r="G358" s="24">
        <v>1653.9834385197398</v>
      </c>
      <c r="H358" s="24">
        <f>[1]Database!$I$428/1000</f>
        <v>1557.162</v>
      </c>
      <c r="I358" s="193">
        <v>161.4</v>
      </c>
      <c r="J358" s="194">
        <v>169.10000000000002</v>
      </c>
      <c r="K358" s="193">
        <v>187.8</v>
      </c>
      <c r="L358" s="194">
        <v>191.58999999999992</v>
      </c>
      <c r="M358" s="195">
        <f t="shared" si="180"/>
        <v>0.74510605412377517</v>
      </c>
      <c r="N358" s="195">
        <f t="shared" si="181"/>
        <v>0.71846597610269247</v>
      </c>
      <c r="O358" s="195">
        <f t="shared" si="182"/>
        <v>0.22230960195157792</v>
      </c>
      <c r="P358" s="195">
        <f t="shared" si="183"/>
        <v>0.20929596774193548</v>
      </c>
      <c r="Q358" s="195">
        <v>0.98499999999999999</v>
      </c>
      <c r="R358" s="195">
        <v>0.94269999999999998</v>
      </c>
      <c r="S358" s="196">
        <v>0.99</v>
      </c>
      <c r="T358" s="197">
        <v>1</v>
      </c>
      <c r="U358" s="198">
        <v>1.4999999999999999E-2</v>
      </c>
      <c r="V358" s="197">
        <v>1.3403058434342661E-2</v>
      </c>
      <c r="W358" s="198">
        <v>0</v>
      </c>
      <c r="X358" s="197">
        <v>0</v>
      </c>
      <c r="Y358" s="199">
        <f t="shared" si="184"/>
        <v>-7.8719379818996349E-2</v>
      </c>
    </row>
    <row r="359" spans="2:25">
      <c r="B359" s="189" t="s">
        <v>14</v>
      </c>
      <c r="C359" s="190" t="s">
        <v>64</v>
      </c>
      <c r="D359" s="190">
        <v>10</v>
      </c>
      <c r="E359" s="191">
        <v>12</v>
      </c>
      <c r="F359" s="192">
        <v>44681</v>
      </c>
      <c r="G359" s="24">
        <v>1711.533106013223</v>
      </c>
      <c r="H359" s="24">
        <v>1496.94</v>
      </c>
      <c r="I359" s="193">
        <v>190.2</v>
      </c>
      <c r="J359" s="194">
        <v>180.85000000000002</v>
      </c>
      <c r="K359" s="193">
        <v>194</v>
      </c>
      <c r="L359" s="194">
        <v>185.76</v>
      </c>
      <c r="M359" s="195">
        <f t="shared" si="180"/>
        <v>0.7463904905250679</v>
      </c>
      <c r="N359" s="195">
        <f t="shared" si="181"/>
        <v>0.68503370841406908</v>
      </c>
      <c r="O359" s="195">
        <f t="shared" si="182"/>
        <v>0.23771293139072541</v>
      </c>
      <c r="P359" s="195">
        <f t="shared" si="183"/>
        <v>0.20790833333333336</v>
      </c>
      <c r="Q359" s="195">
        <v>0.98499999999999999</v>
      </c>
      <c r="R359" s="195">
        <v>0.98029999999999995</v>
      </c>
      <c r="S359" s="196">
        <v>0.99</v>
      </c>
      <c r="T359" s="197">
        <v>1</v>
      </c>
      <c r="U359" s="198">
        <v>1.4999999999999999E-2</v>
      </c>
      <c r="V359" s="197">
        <v>2.3199999999999998E-2</v>
      </c>
      <c r="W359" s="198">
        <v>0</v>
      </c>
      <c r="X359" s="197">
        <v>0</v>
      </c>
      <c r="Y359" s="199">
        <f t="shared" si="184"/>
        <v>-8.2906407236363888E-2</v>
      </c>
    </row>
    <row r="360" spans="2:25">
      <c r="B360" s="189" t="s">
        <v>14</v>
      </c>
      <c r="C360" s="190" t="s">
        <v>64</v>
      </c>
      <c r="D360" s="190">
        <v>10</v>
      </c>
      <c r="E360" s="191">
        <v>12</v>
      </c>
      <c r="F360" s="192">
        <v>44712</v>
      </c>
      <c r="G360" s="24">
        <v>1734.3131827293935</v>
      </c>
      <c r="H360" s="24">
        <v>1578.3</v>
      </c>
      <c r="I360" s="193">
        <v>197</v>
      </c>
      <c r="J360" s="194">
        <v>187.55</v>
      </c>
      <c r="K360" s="193">
        <v>197.7</v>
      </c>
      <c r="L360" s="194">
        <v>188.78000000000003</v>
      </c>
      <c r="M360" s="195">
        <f t="shared" si="180"/>
        <v>0.74216997276180041</v>
      </c>
      <c r="N360" s="195">
        <f t="shared" si="181"/>
        <v>0.71340175642041603</v>
      </c>
      <c r="O360" s="195">
        <f t="shared" si="182"/>
        <v>0.23310661058190774</v>
      </c>
      <c r="P360" s="195">
        <f t="shared" si="183"/>
        <v>0.21213709677419357</v>
      </c>
      <c r="Q360" s="195">
        <v>0.98499999999999999</v>
      </c>
      <c r="R360" s="195">
        <v>0.97660322580645187</v>
      </c>
      <c r="S360" s="196">
        <v>0.99</v>
      </c>
      <c r="T360" s="197">
        <v>1</v>
      </c>
      <c r="U360" s="198">
        <v>1.4999999999999999E-2</v>
      </c>
      <c r="V360" s="197">
        <v>7.9000000000000008E-3</v>
      </c>
      <c r="W360" s="198">
        <v>0</v>
      </c>
      <c r="X360" s="197">
        <v>0</v>
      </c>
      <c r="Y360" s="199">
        <f t="shared" si="184"/>
        <v>-4.4837886102472524E-2</v>
      </c>
    </row>
    <row r="361" spans="2:25">
      <c r="B361" s="189" t="s">
        <v>14</v>
      </c>
      <c r="C361" s="190" t="s">
        <v>64</v>
      </c>
      <c r="D361" s="190">
        <v>10</v>
      </c>
      <c r="E361" s="191">
        <v>12</v>
      </c>
      <c r="F361" s="192">
        <v>44742</v>
      </c>
      <c r="G361" s="24">
        <v>1556.8683746244865</v>
      </c>
      <c r="H361" s="24">
        <v>1423.62</v>
      </c>
      <c r="I361" s="193">
        <v>178.9</v>
      </c>
      <c r="J361" s="194">
        <v>169.21000000000006</v>
      </c>
      <c r="K361" s="193">
        <v>177.2</v>
      </c>
      <c r="L361" s="194">
        <v>169.51000000000002</v>
      </c>
      <c r="M361" s="195">
        <f t="shared" si="180"/>
        <v>0.74331124439222196</v>
      </c>
      <c r="N361" s="195">
        <f t="shared" si="181"/>
        <v>0.70244659003971577</v>
      </c>
      <c r="O361" s="195">
        <f t="shared" si="182"/>
        <v>0.21623171869784535</v>
      </c>
      <c r="P361" s="195">
        <f t="shared" si="183"/>
        <v>0.19772499999999998</v>
      </c>
      <c r="Q361" s="195">
        <v>0.98499999999999999</v>
      </c>
      <c r="R361" s="195">
        <v>0.99633228215555547</v>
      </c>
      <c r="S361" s="196">
        <v>0.99</v>
      </c>
      <c r="T361" s="197">
        <v>0.99920666666666658</v>
      </c>
      <c r="U361" s="198">
        <v>1.4999999999999999E-2</v>
      </c>
      <c r="V361" s="197">
        <v>1.32E-2</v>
      </c>
      <c r="W361" s="198">
        <v>0</v>
      </c>
      <c r="X361" s="197">
        <v>0</v>
      </c>
      <c r="Y361" s="199">
        <f t="shared" si="184"/>
        <v>-4.2190146249391991E-2</v>
      </c>
    </row>
    <row r="362" spans="2:25">
      <c r="B362" s="189" t="s">
        <v>14</v>
      </c>
      <c r="C362" s="190" t="s">
        <v>64</v>
      </c>
      <c r="D362" s="190">
        <v>10</v>
      </c>
      <c r="E362" s="191">
        <v>12</v>
      </c>
      <c r="F362" s="192">
        <v>44773</v>
      </c>
      <c r="G362" s="24">
        <v>1378.2246151134657</v>
      </c>
      <c r="H362" s="24">
        <v>1275.42</v>
      </c>
      <c r="I362" s="193">
        <v>155.5</v>
      </c>
      <c r="J362" s="194">
        <v>150.62999999999997</v>
      </c>
      <c r="K362" s="193">
        <v>154.6</v>
      </c>
      <c r="L362" s="194">
        <v>152.83999999999997</v>
      </c>
      <c r="M362" s="195">
        <f t="shared" si="180"/>
        <v>0.75421130186599428</v>
      </c>
      <c r="N362" s="195">
        <f t="shared" si="181"/>
        <v>0.75300532619225791</v>
      </c>
      <c r="O362" s="195">
        <f t="shared" si="182"/>
        <v>0.18524524396686368</v>
      </c>
      <c r="P362" s="195">
        <f t="shared" si="183"/>
        <v>0.17142741935483871</v>
      </c>
      <c r="Q362" s="195">
        <v>0.98499999999999999</v>
      </c>
      <c r="R362" s="195">
        <v>0.9235000000000001</v>
      </c>
      <c r="S362" s="196">
        <v>0.99</v>
      </c>
      <c r="T362" s="197">
        <v>1</v>
      </c>
      <c r="U362" s="198">
        <v>1.4999999999999999E-2</v>
      </c>
      <c r="V362" s="197">
        <v>6.3E-3</v>
      </c>
      <c r="W362" s="198">
        <v>0</v>
      </c>
      <c r="X362" s="197">
        <v>0</v>
      </c>
      <c r="Y362" s="199">
        <f t="shared" si="184"/>
        <v>-6.3207844064891328E-2</v>
      </c>
    </row>
    <row r="363" spans="2:25">
      <c r="B363" s="189" t="s">
        <v>14</v>
      </c>
      <c r="C363" s="190" t="s">
        <v>64</v>
      </c>
      <c r="D363" s="190">
        <v>10</v>
      </c>
      <c r="E363" s="191">
        <v>12</v>
      </c>
      <c r="F363" s="192">
        <v>44804</v>
      </c>
      <c r="G363" s="24">
        <v>1308.0859578557829</v>
      </c>
      <c r="H363" s="24">
        <v>1422.354</v>
      </c>
      <c r="I363" s="193">
        <v>145.4</v>
      </c>
      <c r="J363" s="194">
        <v>160.46</v>
      </c>
      <c r="K363" s="193">
        <v>146.30000000000001</v>
      </c>
      <c r="L363" s="194">
        <v>163.84</v>
      </c>
      <c r="M363" s="195">
        <f t="shared" si="180"/>
        <v>0.75643999121927052</v>
      </c>
      <c r="N363" s="195">
        <f t="shared" si="181"/>
        <v>0.74484534110532119</v>
      </c>
      <c r="O363" s="195">
        <f t="shared" si="182"/>
        <v>0.17581800508814288</v>
      </c>
      <c r="P363" s="195">
        <f t="shared" si="183"/>
        <v>0.1911766129032258</v>
      </c>
      <c r="Q363" s="195">
        <v>0.98499999999999999</v>
      </c>
      <c r="R363" s="195">
        <v>0.97127096774193566</v>
      </c>
      <c r="S363" s="196">
        <v>0.99</v>
      </c>
      <c r="T363" s="197">
        <v>1</v>
      </c>
      <c r="U363" s="198">
        <v>1.4999999999999999E-2</v>
      </c>
      <c r="V363" s="197">
        <v>1.2E-2</v>
      </c>
      <c r="W363" s="198">
        <v>0</v>
      </c>
      <c r="X363" s="197">
        <v>0</v>
      </c>
      <c r="Y363" s="199">
        <f t="shared" si="184"/>
        <v>-3.2535487910213767E-2</v>
      </c>
    </row>
    <row r="364" spans="2:25">
      <c r="B364" s="189" t="s">
        <v>14</v>
      </c>
      <c r="C364" s="190" t="s">
        <v>64</v>
      </c>
      <c r="D364" s="190">
        <v>10</v>
      </c>
      <c r="E364" s="191">
        <v>12</v>
      </c>
      <c r="F364" s="192">
        <v>44834</v>
      </c>
      <c r="G364" s="24">
        <v>1303.8896279343833</v>
      </c>
      <c r="H364" s="24">
        <v>1194.492</v>
      </c>
      <c r="I364" s="193">
        <v>141.6</v>
      </c>
      <c r="J364" s="194">
        <v>130.42000000000002</v>
      </c>
      <c r="K364" s="193">
        <v>145.5</v>
      </c>
      <c r="L364" s="194">
        <v>138.44000000000003</v>
      </c>
      <c r="M364" s="195">
        <f t="shared" si="180"/>
        <v>0.75815911521294987</v>
      </c>
      <c r="N364" s="195">
        <f t="shared" si="181"/>
        <v>0.73223344249189082</v>
      </c>
      <c r="O364" s="195">
        <f t="shared" si="182"/>
        <v>0.18109578165755322</v>
      </c>
      <c r="P364" s="195">
        <f t="shared" si="183"/>
        <v>0.16590166666666667</v>
      </c>
      <c r="Q364" s="195">
        <v>0.98499999999999999</v>
      </c>
      <c r="R364" s="195">
        <v>0.98195333333333334</v>
      </c>
      <c r="S364" s="196">
        <v>0.99</v>
      </c>
      <c r="T364" s="197">
        <v>1</v>
      </c>
      <c r="U364" s="198">
        <v>1.4999999999999999E-2</v>
      </c>
      <c r="V364" s="197">
        <v>9.1999999999999998E-3</v>
      </c>
      <c r="W364" s="198">
        <v>0</v>
      </c>
      <c r="X364" s="197">
        <v>0</v>
      </c>
      <c r="Y364" s="199">
        <f t="shared" si="184"/>
        <v>-3.5378651159480246E-2</v>
      </c>
    </row>
    <row r="365" spans="2:25">
      <c r="B365" s="189" t="s">
        <v>14</v>
      </c>
      <c r="C365" s="190" t="s">
        <v>64</v>
      </c>
      <c r="D365" s="190">
        <v>10</v>
      </c>
      <c r="E365" s="191">
        <v>12</v>
      </c>
      <c r="F365" s="192">
        <v>44865</v>
      </c>
      <c r="G365" s="24">
        <v>1493.9234258034892</v>
      </c>
      <c r="H365" s="24">
        <v>1396.3920000000001</v>
      </c>
      <c r="I365" s="193">
        <v>139.1</v>
      </c>
      <c r="J365" s="194">
        <v>131.51999999999998</v>
      </c>
      <c r="K365" s="193">
        <v>172.2</v>
      </c>
      <c r="L365" s="194">
        <v>161.66999999999999</v>
      </c>
      <c r="M365" s="195">
        <f t="shared" si="180"/>
        <v>0.73396899377395808</v>
      </c>
      <c r="N365" s="195">
        <f t="shared" si="181"/>
        <v>0.72460398494793932</v>
      </c>
      <c r="O365" s="195">
        <f t="shared" si="182"/>
        <v>0.20079615938218942</v>
      </c>
      <c r="P365" s="195">
        <f t="shared" si="183"/>
        <v>0.18768709677419354</v>
      </c>
      <c r="Q365" s="195">
        <v>0.98499999999999999</v>
      </c>
      <c r="R365" s="195">
        <v>0.99333548387096782</v>
      </c>
      <c r="S365" s="196">
        <v>0.99</v>
      </c>
      <c r="T365" s="197">
        <v>0.99724193548387097</v>
      </c>
      <c r="U365" s="198">
        <v>1.4999999999999999E-2</v>
      </c>
      <c r="V365" s="197">
        <v>1.59264847685519E-2</v>
      </c>
      <c r="W365" s="198">
        <v>0</v>
      </c>
      <c r="X365" s="197">
        <v>0</v>
      </c>
      <c r="Y365" s="199">
        <f t="shared" si="184"/>
        <v>-4.1355992377508644E-3</v>
      </c>
    </row>
    <row r="366" spans="2:25">
      <c r="B366" s="189" t="s">
        <v>14</v>
      </c>
      <c r="C366" s="190" t="s">
        <v>64</v>
      </c>
      <c r="D366" s="190">
        <v>10</v>
      </c>
      <c r="E366" s="191">
        <v>12</v>
      </c>
      <c r="F366" s="192">
        <v>44895</v>
      </c>
      <c r="G366" s="24">
        <v>1322.4733747291539</v>
      </c>
      <c r="H366" s="24">
        <v>1157.7180000000001</v>
      </c>
      <c r="I366" s="193">
        <v>108.1</v>
      </c>
      <c r="J366" s="194">
        <v>100.87</v>
      </c>
      <c r="K366" s="193">
        <v>152.1</v>
      </c>
      <c r="L366" s="194">
        <v>138.27000000000001</v>
      </c>
      <c r="M366" s="195">
        <f t="shared" si="180"/>
        <v>0.7355975033841804</v>
      </c>
      <c r="N366" s="195">
        <f t="shared" si="181"/>
        <v>0.70040379823680465</v>
      </c>
      <c r="O366" s="195">
        <f t="shared" si="182"/>
        <v>0.18367685760127136</v>
      </c>
      <c r="P366" s="195">
        <f t="shared" si="183"/>
        <v>0.16079416666666665</v>
      </c>
      <c r="Q366" s="195">
        <v>0.98499999999999999</v>
      </c>
      <c r="R366" s="195">
        <v>0.99619666666666662</v>
      </c>
      <c r="S366" s="196">
        <v>0.99</v>
      </c>
      <c r="T366" s="197">
        <v>1</v>
      </c>
      <c r="U366" s="198">
        <v>1.4999999999999999E-2</v>
      </c>
      <c r="V366" s="197">
        <v>2.4799999999999999E-2</v>
      </c>
      <c r="W366" s="198">
        <v>0</v>
      </c>
      <c r="X366" s="197">
        <v>0</v>
      </c>
      <c r="Y366" s="199">
        <f t="shared" si="184"/>
        <v>-3.3654219693878606E-2</v>
      </c>
    </row>
    <row r="367" spans="2:25">
      <c r="B367" s="189" t="s">
        <v>14</v>
      </c>
      <c r="C367" s="190" t="s">
        <v>64</v>
      </c>
      <c r="D367" s="190">
        <v>10</v>
      </c>
      <c r="E367" s="191">
        <v>12</v>
      </c>
      <c r="F367" s="192">
        <v>44926</v>
      </c>
      <c r="G367" s="24">
        <v>1110.2589758469346</v>
      </c>
      <c r="H367" s="24">
        <v>1017.876</v>
      </c>
      <c r="I367" s="193">
        <v>89.9</v>
      </c>
      <c r="J367" s="194">
        <v>84.870000000000033</v>
      </c>
      <c r="K367" s="193">
        <v>129.6</v>
      </c>
      <c r="L367" s="194">
        <v>120.86</v>
      </c>
      <c r="M367" s="195">
        <f t="shared" si="180"/>
        <v>0.72477268064625144</v>
      </c>
      <c r="N367" s="195">
        <f t="shared" si="181"/>
        <v>0.70595040141303855</v>
      </c>
      <c r="O367" s="195">
        <f t="shared" si="182"/>
        <v>0.14922835696867401</v>
      </c>
      <c r="P367" s="195">
        <f t="shared" si="183"/>
        <v>0.13681129032258063</v>
      </c>
      <c r="Q367" s="195">
        <v>0.98499999999999999</v>
      </c>
      <c r="R367" s="195">
        <v>0.9941612903225806</v>
      </c>
      <c r="S367" s="196">
        <v>0.99</v>
      </c>
      <c r="T367" s="197">
        <v>1</v>
      </c>
      <c r="U367" s="198">
        <v>1.4999999999999999E-2</v>
      </c>
      <c r="V367" s="197">
        <v>2.23E-2</v>
      </c>
      <c r="W367" s="198">
        <v>0</v>
      </c>
      <c r="X367" s="197">
        <v>0</v>
      </c>
      <c r="Y367" s="199">
        <f t="shared" si="184"/>
        <v>-1.5770221059093203E-2</v>
      </c>
    </row>
    <row r="368" spans="2:25">
      <c r="B368" s="189" t="s">
        <v>14</v>
      </c>
      <c r="C368" s="190" t="s">
        <v>64</v>
      </c>
      <c r="D368" s="190">
        <v>10</v>
      </c>
      <c r="E368" s="191">
        <v>12</v>
      </c>
      <c r="F368" s="192">
        <v>44957</v>
      </c>
      <c r="G368" s="24">
        <v>934.71135847327776</v>
      </c>
      <c r="H368" s="24">
        <v>769.66800000000001</v>
      </c>
      <c r="I368" s="193">
        <v>79.599999999999994</v>
      </c>
      <c r="J368" s="194">
        <v>66.399999999999991</v>
      </c>
      <c r="K368" s="193">
        <v>103.2</v>
      </c>
      <c r="L368" s="194">
        <v>87.009999999999962</v>
      </c>
      <c r="M368" s="195">
        <f t="shared" si="180"/>
        <v>0.76626739470061067</v>
      </c>
      <c r="N368" s="195">
        <f t="shared" si="181"/>
        <v>0.74466871187631267</v>
      </c>
      <c r="O368" s="195">
        <f t="shared" si="182"/>
        <v>0.12563324710662332</v>
      </c>
      <c r="P368" s="195">
        <f t="shared" si="183"/>
        <v>0.10345</v>
      </c>
      <c r="Q368" s="195">
        <v>0.98499999999999999</v>
      </c>
      <c r="R368" s="195">
        <v>0.98989677419354838</v>
      </c>
      <c r="S368" s="196">
        <v>0.99</v>
      </c>
      <c r="T368" s="197">
        <v>0.99762580645161292</v>
      </c>
      <c r="U368" s="198">
        <v>1.4999999999999999E-2</v>
      </c>
      <c r="V368" s="197">
        <v>1.0800000000000001E-2</v>
      </c>
      <c r="W368" s="198">
        <v>0</v>
      </c>
      <c r="X368" s="197">
        <v>0</v>
      </c>
      <c r="Y368" s="199">
        <f t="shared" si="184"/>
        <v>-1.9691624912468009E-2</v>
      </c>
    </row>
    <row r="369" spans="2:25">
      <c r="B369" s="189" t="s">
        <v>14</v>
      </c>
      <c r="C369" s="190" t="s">
        <v>64</v>
      </c>
      <c r="D369" s="190">
        <v>10</v>
      </c>
      <c r="E369" s="191">
        <v>12</v>
      </c>
      <c r="F369" s="192">
        <f>EOMONTH(F368,1)</f>
        <v>44985</v>
      </c>
      <c r="G369" s="24">
        <v>1226.9857374987751</v>
      </c>
      <c r="H369" s="24">
        <v>1270.92</v>
      </c>
      <c r="I369" s="193">
        <v>108.1</v>
      </c>
      <c r="J369" s="194">
        <v>117.49000000000004</v>
      </c>
      <c r="K369" s="193">
        <v>137.5</v>
      </c>
      <c r="L369" s="194">
        <v>150.66</v>
      </c>
      <c r="M369" s="195">
        <f t="shared" si="180"/>
        <v>0.75495199969160132</v>
      </c>
      <c r="N369" s="195">
        <f t="shared" si="181"/>
        <v>0.70675247896848492</v>
      </c>
      <c r="O369" s="195">
        <f t="shared" si="182"/>
        <v>0.1825871633182701</v>
      </c>
      <c r="P369" s="195">
        <f t="shared" si="183"/>
        <v>0.18912500000000002</v>
      </c>
      <c r="Q369" s="195">
        <v>0.98499999999999999</v>
      </c>
      <c r="R369" s="195">
        <v>0.99465315484693895</v>
      </c>
      <c r="S369" s="196">
        <v>0.99</v>
      </c>
      <c r="T369" s="197">
        <v>0.99800357142857143</v>
      </c>
      <c r="U369" s="198">
        <v>1.4999999999999999E-2</v>
      </c>
      <c r="V369" s="197">
        <v>1.6899999999999998E-2</v>
      </c>
      <c r="W369" s="198">
        <v>0</v>
      </c>
      <c r="X369" s="197">
        <v>0</v>
      </c>
      <c r="Y369" s="199">
        <f t="shared" si="184"/>
        <v>-5.9902429789471467E-2</v>
      </c>
    </row>
    <row r="370" spans="2:25">
      <c r="B370" s="189" t="s">
        <v>14</v>
      </c>
      <c r="C370" s="190" t="s">
        <v>64</v>
      </c>
      <c r="D370" s="190">
        <v>10</v>
      </c>
      <c r="E370" s="191">
        <v>12</v>
      </c>
      <c r="F370" s="192">
        <f>EOMONTH(F369,1)</f>
        <v>45016</v>
      </c>
      <c r="G370" s="24">
        <f>UTT!Y334</f>
        <v>1645.7135213271411</v>
      </c>
      <c r="H370" s="24">
        <f>UTT!Z334</f>
        <v>1471.86</v>
      </c>
      <c r="I370" s="24">
        <f>UTT!AA334</f>
        <v>150.26999999999998</v>
      </c>
      <c r="J370" s="24">
        <f>UTT!AB334</f>
        <v>171.93999999999997</v>
      </c>
      <c r="K370" s="24">
        <f>UTT!AC334</f>
        <v>187.8</v>
      </c>
      <c r="L370" s="24">
        <f>UTT!AD334</f>
        <v>171.93999999999997</v>
      </c>
      <c r="M370" s="195">
        <f>G370/E370/K370/Q370</f>
        <v>0.74138052385315634</v>
      </c>
      <c r="N370" s="195">
        <f>H370/E370/L370/R370</f>
        <v>0.71662806002276502</v>
      </c>
      <c r="O370" s="195">
        <f>G370/24/DAY(F370)/D370</f>
        <v>0.22119805394182004</v>
      </c>
      <c r="P370" s="195">
        <f>H370/24/DAY(F370)/D370</f>
        <v>0.19783064516129029</v>
      </c>
      <c r="Q370" s="195">
        <f>UTT!AI334</f>
        <v>0.98499999999999999</v>
      </c>
      <c r="R370" s="195">
        <f>UTT!AJ334</f>
        <v>0.99543870967741943</v>
      </c>
      <c r="S370" s="195">
        <f>UTT!AK334</f>
        <v>0.99</v>
      </c>
      <c r="T370" s="195">
        <f>UTT!AL334</f>
        <v>1</v>
      </c>
      <c r="U370" s="198">
        <v>1.4999999999999999E-2</v>
      </c>
      <c r="V370" s="195">
        <f>UTT!AR334</f>
        <v>-1.0200000000000001E-2</v>
      </c>
      <c r="W370" s="198">
        <v>0</v>
      </c>
      <c r="X370" s="197">
        <v>0</v>
      </c>
      <c r="Y370" s="199">
        <f>(H370/G370-1)-(L370/K370-1)</f>
        <v>-2.1188665399542783E-2</v>
      </c>
    </row>
    <row r="371" spans="2:25">
      <c r="B371" s="189" t="s">
        <v>14</v>
      </c>
      <c r="C371" s="190" t="s">
        <v>64</v>
      </c>
      <c r="D371" s="200">
        <v>10</v>
      </c>
      <c r="E371" s="201">
        <v>12</v>
      </c>
      <c r="F371" s="192">
        <f>EOMONTH(F370,1)</f>
        <v>45046</v>
      </c>
      <c r="G371" s="24">
        <f>UTT!Y335</f>
        <v>1702.9754404831567</v>
      </c>
      <c r="H371" s="24">
        <f>UTT!Z335</f>
        <v>1568.556</v>
      </c>
      <c r="I371" s="24">
        <f>UTT!AA335</f>
        <v>190.2</v>
      </c>
      <c r="J371" s="24">
        <f>UTT!AB335</f>
        <v>184.35000000000002</v>
      </c>
      <c r="K371" s="24">
        <f>UTT!AC335</f>
        <v>194</v>
      </c>
      <c r="L371" s="24">
        <f>UTT!AD335</f>
        <v>189.76</v>
      </c>
      <c r="M371" s="195">
        <f>G371/E371/K371/Q371</f>
        <v>0.74265853807244264</v>
      </c>
      <c r="N371" s="195">
        <f>H371/E371/L371/R371</f>
        <v>0.70417728613399988</v>
      </c>
      <c r="O371" s="195">
        <f>G371/24/DAY(F371)/D371</f>
        <v>0.23652436673377175</v>
      </c>
      <c r="P371" s="195">
        <f>H371/24/DAY(F371)/D371</f>
        <v>0.21785499999999999</v>
      </c>
      <c r="Q371" s="195">
        <f>UTT!AI335</f>
        <v>0.98499999999999999</v>
      </c>
      <c r="R371" s="195">
        <f>UTT!AJ335</f>
        <v>0.97820999999999991</v>
      </c>
      <c r="S371" s="195">
        <f>UTT!AK335</f>
        <v>0.99</v>
      </c>
      <c r="T371" s="195">
        <f>UTT!AL335</f>
        <v>1</v>
      </c>
      <c r="U371" s="198">
        <v>1.4999999999999999E-2</v>
      </c>
      <c r="V371" s="195">
        <f>UTT!AR335</f>
        <v>-2.5341325165222434E-2</v>
      </c>
      <c r="W371" s="198">
        <v>0</v>
      </c>
      <c r="X371" s="197">
        <v>0</v>
      </c>
      <c r="Y371" s="199">
        <f>(H371/G371-1)-(L371/K371-1)</f>
        <v>-5.7076437364657839E-2</v>
      </c>
    </row>
    <row r="372" spans="2:25">
      <c r="B372" s="189" t="s">
        <v>14</v>
      </c>
      <c r="C372" s="190" t="s">
        <v>64</v>
      </c>
      <c r="D372" s="200">
        <v>10</v>
      </c>
      <c r="E372" s="201">
        <v>12</v>
      </c>
      <c r="F372" s="192">
        <f t="shared" ref="F372:F391" si="185">EOMONTH(F371,1)</f>
        <v>45077</v>
      </c>
      <c r="G372" s="24">
        <f>UTT!Y336</f>
        <v>1725.6416168157466</v>
      </c>
      <c r="H372" s="24">
        <f>UTT!Z336</f>
        <v>1474.71</v>
      </c>
      <c r="I372" s="24">
        <f>UTT!AA336</f>
        <v>197</v>
      </c>
      <c r="J372" s="24">
        <f>UTT!AB336</f>
        <v>191.15000000000003</v>
      </c>
      <c r="K372" s="24">
        <f>UTT!AC336</f>
        <v>197.7</v>
      </c>
      <c r="L372" s="24">
        <f>UTT!AD336</f>
        <v>192.21999999999997</v>
      </c>
      <c r="M372" s="195">
        <f t="shared" ref="M372:M381" si="186">G372/E372/K372/Q372</f>
        <v>0.73845912289799132</v>
      </c>
      <c r="N372" s="195">
        <f t="shared" ref="N372:N381" si="187">H372/E372/L372/R372</f>
        <v>0.6954546914609907</v>
      </c>
      <c r="O372" s="195">
        <f t="shared" ref="O372:O381" si="188">G372/24/DAY(F372)/D372</f>
        <v>0.2319410775289982</v>
      </c>
      <c r="P372" s="195">
        <f t="shared" ref="P372:P381" si="189">H372/24/DAY(F372)/D372</f>
        <v>0.19821370967741936</v>
      </c>
      <c r="Q372" s="195">
        <f>UTT!AI336</f>
        <v>0.98499999999999999</v>
      </c>
      <c r="R372" s="195">
        <f>UTT!AJ336</f>
        <v>0.91930149222684709</v>
      </c>
      <c r="S372" s="195">
        <f>UTT!AK336</f>
        <v>0.99</v>
      </c>
      <c r="T372" s="195">
        <f>UTT!AL336</f>
        <v>0.99364193548387103</v>
      </c>
      <c r="U372" s="198">
        <v>1.4999999999999999E-2</v>
      </c>
      <c r="V372" s="195">
        <f>UTT!AR336</f>
        <v>-1.52E-2</v>
      </c>
      <c r="W372" s="198">
        <v>0</v>
      </c>
      <c r="X372" s="197">
        <v>0</v>
      </c>
      <c r="Y372" s="199">
        <f t="shared" ref="Y372:Y381" si="190">(H372/G372-1)-(L372/K372-1)</f>
        <v>-0.11769475132824569</v>
      </c>
    </row>
    <row r="373" spans="2:25">
      <c r="B373" s="189" t="s">
        <v>14</v>
      </c>
      <c r="C373" s="190" t="s">
        <v>64</v>
      </c>
      <c r="D373" s="200">
        <v>10</v>
      </c>
      <c r="E373" s="201">
        <v>12</v>
      </c>
      <c r="F373" s="192">
        <f t="shared" si="185"/>
        <v>45107</v>
      </c>
      <c r="G373" s="24">
        <f>UTT!Y337</f>
        <v>1549.0840327513642</v>
      </c>
      <c r="H373" s="24">
        <f>UTT!Z337</f>
        <v>1414.59</v>
      </c>
      <c r="I373" s="24">
        <f>UTT!AA337</f>
        <v>178.9</v>
      </c>
      <c r="J373" s="24">
        <f>UTT!AB337</f>
        <v>171.63000000000002</v>
      </c>
      <c r="K373" s="24">
        <f>UTT!AC337</f>
        <v>177.2</v>
      </c>
      <c r="L373" s="24">
        <f>UTT!AD337</f>
        <v>169.80999999999995</v>
      </c>
      <c r="M373" s="195">
        <f t="shared" si="186"/>
        <v>0.73959468817026108</v>
      </c>
      <c r="N373" s="195">
        <f t="shared" si="187"/>
        <v>0.70249411601200262</v>
      </c>
      <c r="O373" s="195">
        <f t="shared" si="188"/>
        <v>0.21515056010435613</v>
      </c>
      <c r="P373" s="195">
        <f t="shared" si="189"/>
        <v>0.19647083333333332</v>
      </c>
      <c r="Q373" s="195">
        <f>UTT!AI337</f>
        <v>0.98499999999999999</v>
      </c>
      <c r="R373" s="195">
        <f>UTT!AJ337</f>
        <v>0.98819666666666661</v>
      </c>
      <c r="S373" s="195">
        <f>UTT!AK337</f>
        <v>0.99</v>
      </c>
      <c r="T373" s="195">
        <f>UTT!AL337</f>
        <v>1</v>
      </c>
      <c r="U373" s="198">
        <v>1.4999999999999999E-2</v>
      </c>
      <c r="V373" s="195">
        <f>UTT!AR337</f>
        <v>-1.61E-2</v>
      </c>
      <c r="W373" s="198">
        <v>0</v>
      </c>
      <c r="X373" s="197">
        <v>0</v>
      </c>
      <c r="Y373" s="199">
        <f t="shared" si="190"/>
        <v>-4.5117361731819683E-2</v>
      </c>
    </row>
    <row r="374" spans="2:25">
      <c r="B374" s="189" t="s">
        <v>14</v>
      </c>
      <c r="C374" s="190" t="s">
        <v>64</v>
      </c>
      <c r="D374" s="200">
        <v>10</v>
      </c>
      <c r="E374" s="201">
        <v>12</v>
      </c>
      <c r="F374" s="192">
        <f t="shared" si="185"/>
        <v>45138</v>
      </c>
      <c r="G374" s="24">
        <f>UTT!Y338</f>
        <v>1371.3334920378982</v>
      </c>
      <c r="H374" s="24">
        <f>UTT!Z338</f>
        <v>1140.8520000000001</v>
      </c>
      <c r="I374" s="24">
        <f>UTT!AA338</f>
        <v>155.5</v>
      </c>
      <c r="J374" s="24">
        <f>UTT!AB338</f>
        <v>140.13</v>
      </c>
      <c r="K374" s="24">
        <f>UTT!AC338</f>
        <v>154.6</v>
      </c>
      <c r="L374" s="24">
        <f>UTT!AD338</f>
        <v>140.33000000000001</v>
      </c>
      <c r="M374" s="195">
        <f t="shared" si="186"/>
        <v>0.75044024535666431</v>
      </c>
      <c r="N374" s="195">
        <f t="shared" si="187"/>
        <v>0.71104528137064693</v>
      </c>
      <c r="O374" s="195">
        <f t="shared" si="188"/>
        <v>0.18431901774702933</v>
      </c>
      <c r="P374" s="195">
        <f t="shared" si="189"/>
        <v>0.15334032258064517</v>
      </c>
      <c r="Q374" s="195">
        <f>UTT!AI338</f>
        <v>0.98499999999999999</v>
      </c>
      <c r="R374" s="195">
        <f>UTT!AJ338</f>
        <v>0.95279677419354836</v>
      </c>
      <c r="S374" s="195">
        <f>UTT!AK338</f>
        <v>0.99</v>
      </c>
      <c r="T374" s="195">
        <f>UTT!AL338</f>
        <v>1</v>
      </c>
      <c r="U374" s="198">
        <v>1.4999999999999999E-2</v>
      </c>
      <c r="V374" s="195">
        <f>UTT!AR338</f>
        <v>0</v>
      </c>
      <c r="W374" s="198">
        <v>0</v>
      </c>
      <c r="X374" s="197">
        <v>0</v>
      </c>
      <c r="Y374" s="199">
        <f t="shared" si="190"/>
        <v>-7.5768356742194065E-2</v>
      </c>
    </row>
    <row r="375" spans="2:25">
      <c r="B375" s="189" t="s">
        <v>14</v>
      </c>
      <c r="C375" s="190" t="s">
        <v>64</v>
      </c>
      <c r="D375" s="200">
        <v>10</v>
      </c>
      <c r="E375" s="201">
        <v>12</v>
      </c>
      <c r="F375" s="192">
        <f t="shared" si="185"/>
        <v>45169</v>
      </c>
      <c r="G375" s="24">
        <f>UTT!Y339</f>
        <v>1301.5455280665039</v>
      </c>
      <c r="H375" s="24">
        <f>UTT!Z339</f>
        <v>1127.3579999999999</v>
      </c>
      <c r="I375" s="24">
        <f>UTT!AA339</f>
        <v>145.4</v>
      </c>
      <c r="J375" s="24">
        <f>UTT!AB339</f>
        <v>134.40999999999997</v>
      </c>
      <c r="K375" s="24">
        <f>UTT!AC339</f>
        <v>146.30000000000001</v>
      </c>
      <c r="L375" s="24">
        <f>UTT!AD339</f>
        <v>135.88999999999996</v>
      </c>
      <c r="M375" s="195">
        <f t="shared" si="186"/>
        <v>0.752657791263174</v>
      </c>
      <c r="N375" s="195">
        <f t="shared" si="187"/>
        <v>0.71441081788849892</v>
      </c>
      <c r="O375" s="195">
        <f t="shared" si="188"/>
        <v>0.17493891506270215</v>
      </c>
      <c r="P375" s="195">
        <f t="shared" si="189"/>
        <v>0.1515266129032258</v>
      </c>
      <c r="Q375" s="195">
        <f>UTT!AI339</f>
        <v>0.98499999999999999</v>
      </c>
      <c r="R375" s="195">
        <f>UTT!AJ339</f>
        <v>0.96770967741935487</v>
      </c>
      <c r="S375" s="195">
        <f>UTT!AK339</f>
        <v>0.99</v>
      </c>
      <c r="T375" s="195">
        <f>UTT!AL339</f>
        <v>1</v>
      </c>
      <c r="U375" s="198">
        <v>1.4999999999999999E-2</v>
      </c>
      <c r="V375" s="195">
        <f>UTT!AR339</f>
        <v>-6.1000000000000004E-3</v>
      </c>
      <c r="W375" s="198">
        <v>0</v>
      </c>
      <c r="X375" s="197">
        <v>0</v>
      </c>
      <c r="Y375" s="199">
        <f t="shared" si="190"/>
        <v>-6.2676137862315739E-2</v>
      </c>
    </row>
    <row r="376" spans="2:25">
      <c r="B376" s="189" t="s">
        <v>14</v>
      </c>
      <c r="C376" s="190" t="s">
        <v>64</v>
      </c>
      <c r="D376" s="200">
        <v>10</v>
      </c>
      <c r="E376" s="201">
        <v>12</v>
      </c>
      <c r="F376" s="192">
        <f t="shared" si="185"/>
        <v>45199</v>
      </c>
      <c r="G376" s="24">
        <f>UTT!Y340</f>
        <v>1297.3701797947112</v>
      </c>
      <c r="H376" s="24">
        <f>UTT!Z340</f>
        <v>1276.674</v>
      </c>
      <c r="I376" s="24">
        <f>UTT!AA340</f>
        <v>141.6</v>
      </c>
      <c r="J376" s="24">
        <f>UTT!AB340</f>
        <v>140.84999999999997</v>
      </c>
      <c r="K376" s="24">
        <f>UTT!AC340</f>
        <v>145.5</v>
      </c>
      <c r="L376" s="24">
        <f>UTT!AD340</f>
        <v>151.80000000000001</v>
      </c>
      <c r="M376" s="195">
        <f t="shared" si="186"/>
        <v>0.75436831963688511</v>
      </c>
      <c r="N376" s="195">
        <f t="shared" si="187"/>
        <v>0.71013455481055709</v>
      </c>
      <c r="O376" s="195">
        <f t="shared" si="188"/>
        <v>0.18019030274926545</v>
      </c>
      <c r="P376" s="195">
        <f t="shared" si="189"/>
        <v>0.17731583333333334</v>
      </c>
      <c r="Q376" s="195">
        <f>UTT!AI340</f>
        <v>0.98499999999999999</v>
      </c>
      <c r="R376" s="195">
        <f>UTT!AJ340</f>
        <v>0.98692999999999997</v>
      </c>
      <c r="S376" s="195">
        <f>UTT!AK340</f>
        <v>0.99</v>
      </c>
      <c r="T376" s="195">
        <f>UTT!AL340</f>
        <v>1</v>
      </c>
      <c r="U376" s="198">
        <v>1.4999999999999999E-2</v>
      </c>
      <c r="V376" s="195">
        <f>UTT!AR340</f>
        <v>-1.1900000000000001E-2</v>
      </c>
      <c r="W376" s="198">
        <v>0</v>
      </c>
      <c r="X376" s="197">
        <v>0</v>
      </c>
      <c r="Y376" s="199">
        <f t="shared" si="190"/>
        <v>-5.9251378120125486E-2</v>
      </c>
    </row>
    <row r="377" spans="2:25">
      <c r="B377" s="189" t="s">
        <v>14</v>
      </c>
      <c r="C377" s="190" t="s">
        <v>64</v>
      </c>
      <c r="D377" s="200">
        <v>10</v>
      </c>
      <c r="E377" s="201">
        <v>12</v>
      </c>
      <c r="F377" s="192">
        <f t="shared" si="185"/>
        <v>45230</v>
      </c>
      <c r="G377" s="24">
        <f>UTT!Y341</f>
        <v>1486.4538086744719</v>
      </c>
      <c r="H377" s="24">
        <f>UTT!Z341</f>
        <v>1359.402</v>
      </c>
      <c r="I377" s="24">
        <f>UTT!AA341</f>
        <v>139.1</v>
      </c>
      <c r="J377" s="24">
        <f>UTT!AB341</f>
        <v>136.37000000000003</v>
      </c>
      <c r="K377" s="24">
        <f>UTT!AC341</f>
        <v>172.2</v>
      </c>
      <c r="L377" s="24">
        <f>UTT!AD341</f>
        <v>176.63000000000002</v>
      </c>
      <c r="M377" s="195">
        <f t="shared" si="186"/>
        <v>0.73029914880508839</v>
      </c>
      <c r="N377" s="195">
        <f t="shared" si="187"/>
        <v>0.7213016329918025</v>
      </c>
      <c r="O377" s="195">
        <f t="shared" si="188"/>
        <v>0.19979217858527848</v>
      </c>
      <c r="P377" s="195">
        <f t="shared" si="189"/>
        <v>0.18271532258064516</v>
      </c>
      <c r="Q377" s="195">
        <f>UTT!AI341</f>
        <v>0.98499999999999999</v>
      </c>
      <c r="R377" s="195">
        <f>UTT!AJ341</f>
        <v>0.88917096774193549</v>
      </c>
      <c r="S377" s="195">
        <f>UTT!AK341</f>
        <v>0.99</v>
      </c>
      <c r="T377" s="195">
        <f>UTT!AL341</f>
        <v>1</v>
      </c>
      <c r="U377" s="198">
        <v>1.4999999999999999E-2</v>
      </c>
      <c r="V377" s="195">
        <f>UTT!AR341</f>
        <v>-1.9599999999999999E-2</v>
      </c>
      <c r="W377" s="198">
        <v>0</v>
      </c>
      <c r="X377" s="197">
        <v>0</v>
      </c>
      <c r="Y377" s="199">
        <f t="shared" si="190"/>
        <v>-0.11119899583767823</v>
      </c>
    </row>
    <row r="378" spans="2:25">
      <c r="B378" s="189" t="s">
        <v>14</v>
      </c>
      <c r="C378" s="190" t="s">
        <v>64</v>
      </c>
      <c r="D378" s="200">
        <v>10</v>
      </c>
      <c r="E378" s="201">
        <v>12</v>
      </c>
      <c r="F378" s="192">
        <f t="shared" si="185"/>
        <v>45260</v>
      </c>
      <c r="G378" s="24">
        <f>UTT!Y342</f>
        <v>1315.8610078555082</v>
      </c>
      <c r="H378" s="24">
        <f>UTT!Z342</f>
        <v>1120.9380000000001</v>
      </c>
      <c r="I378" s="24">
        <f>UTT!AA342</f>
        <v>108.1</v>
      </c>
      <c r="J378" s="24">
        <f>UTT!AB342</f>
        <v>92.499999999999986</v>
      </c>
      <c r="K378" s="24">
        <f>UTT!AC342</f>
        <v>152.1</v>
      </c>
      <c r="L378" s="24">
        <f>UTT!AD342</f>
        <v>132.76</v>
      </c>
      <c r="M378" s="195">
        <f t="shared" si="186"/>
        <v>0.73191951586725956</v>
      </c>
      <c r="N378" s="195">
        <f t="shared" si="187"/>
        <v>0.70685861790841709</v>
      </c>
      <c r="O378" s="195">
        <f t="shared" si="188"/>
        <v>0.18275847331326503</v>
      </c>
      <c r="P378" s="195">
        <f t="shared" si="189"/>
        <v>0.15568583333333336</v>
      </c>
      <c r="Q378" s="195">
        <f>UTT!AI342</f>
        <v>0.98499999999999999</v>
      </c>
      <c r="R378" s="195">
        <f>UTT!AJ342</f>
        <v>0.99540666666666666</v>
      </c>
      <c r="S378" s="195">
        <f>UTT!AK342</f>
        <v>0.99</v>
      </c>
      <c r="T378" s="195">
        <f>UTT!AL342</f>
        <v>1</v>
      </c>
      <c r="U378" s="198">
        <v>1.4999999999999999E-2</v>
      </c>
      <c r="V378" s="195">
        <f>UTT!AR342</f>
        <v>-1.72E-2</v>
      </c>
      <c r="W378" s="198">
        <v>0</v>
      </c>
      <c r="X378" s="197">
        <v>0</v>
      </c>
      <c r="Y378" s="199">
        <f t="shared" si="190"/>
        <v>-2.0980243860758141E-2</v>
      </c>
    </row>
    <row r="379" spans="2:25">
      <c r="B379" s="189" t="s">
        <v>14</v>
      </c>
      <c r="C379" s="190" t="s">
        <v>64</v>
      </c>
      <c r="D379" s="200">
        <v>10</v>
      </c>
      <c r="E379" s="201">
        <v>12</v>
      </c>
      <c r="F379" s="192">
        <f t="shared" si="185"/>
        <v>45291</v>
      </c>
      <c r="G379" s="24">
        <f>UTT!Y343</f>
        <v>1104.7076809677001</v>
      </c>
      <c r="H379" s="24">
        <f>UTT!Z343</f>
        <v>1017.504</v>
      </c>
      <c r="I379" s="24">
        <f>UTT!AA343</f>
        <v>89.9</v>
      </c>
      <c r="J379" s="24">
        <f>UTT!AB343</f>
        <v>80.960000000000008</v>
      </c>
      <c r="K379" s="24">
        <f>UTT!AC343</f>
        <v>129.6</v>
      </c>
      <c r="L379" s="24">
        <f>UTT!AD343</f>
        <v>124.72999999999999</v>
      </c>
      <c r="M379" s="195">
        <f t="shared" si="186"/>
        <v>0.72114881724302038</v>
      </c>
      <c r="N379" s="195">
        <f t="shared" si="187"/>
        <v>0.68142661242294267</v>
      </c>
      <c r="O379" s="195">
        <f t="shared" si="188"/>
        <v>0.14848221518383067</v>
      </c>
      <c r="P379" s="195">
        <f t="shared" si="189"/>
        <v>0.13676129032258064</v>
      </c>
      <c r="Q379" s="195">
        <f>UTT!AI343</f>
        <v>0.98499999999999999</v>
      </c>
      <c r="R379" s="195">
        <f>UTT!AJ343</f>
        <v>0.99761935483870967</v>
      </c>
      <c r="S379" s="195">
        <f>UTT!AK343</f>
        <v>0.99</v>
      </c>
      <c r="T379" s="195">
        <f>UTT!AL343</f>
        <v>1</v>
      </c>
      <c r="U379" s="198">
        <v>1.4999999999999999E-2</v>
      </c>
      <c r="V379" s="195">
        <f>UTT!AR343</f>
        <v>-2.4500000000000001E-2</v>
      </c>
      <c r="W379" s="198">
        <v>0</v>
      </c>
      <c r="X379" s="197">
        <v>0</v>
      </c>
      <c r="Y379" s="199">
        <f t="shared" si="190"/>
        <v>-4.1361080336825395E-2</v>
      </c>
    </row>
    <row r="380" spans="2:25">
      <c r="B380" s="189" t="s">
        <v>14</v>
      </c>
      <c r="C380" s="190" t="s">
        <v>64</v>
      </c>
      <c r="D380" s="200">
        <v>10</v>
      </c>
      <c r="E380" s="201">
        <v>12</v>
      </c>
      <c r="F380" s="192">
        <f t="shared" si="185"/>
        <v>45322</v>
      </c>
      <c r="G380" s="24">
        <f>UTT!Y344</f>
        <v>930.03780168091134</v>
      </c>
      <c r="H380" s="24">
        <f>UTT!Z344</f>
        <v>413.976</v>
      </c>
      <c r="I380" s="24">
        <f>UTT!AA344</f>
        <v>79.599999999999994</v>
      </c>
      <c r="J380" s="24">
        <f>UTT!AB344</f>
        <v>43.110000000000007</v>
      </c>
      <c r="K380" s="24">
        <f>UTT!AC344</f>
        <v>103.2</v>
      </c>
      <c r="L380" s="24">
        <f>UTT!AD344</f>
        <v>52.24</v>
      </c>
      <c r="M380" s="195">
        <f t="shared" si="186"/>
        <v>0.76243605772710765</v>
      </c>
      <c r="N380" s="195">
        <f t="shared" si="187"/>
        <v>0.66469571356235124</v>
      </c>
      <c r="O380" s="195">
        <f t="shared" si="188"/>
        <v>0.12500508087109025</v>
      </c>
      <c r="P380" s="195">
        <f t="shared" si="189"/>
        <v>5.5641935483870961E-2</v>
      </c>
      <c r="Q380" s="195">
        <f>UTT!AI344</f>
        <v>0.98499999999999999</v>
      </c>
      <c r="R380" s="195">
        <f>UTT!AJ344</f>
        <v>0.99350000000000005</v>
      </c>
      <c r="S380" s="195">
        <f>UTT!AK344</f>
        <v>0.99</v>
      </c>
      <c r="T380" s="195">
        <f>UTT!AL344</f>
        <v>1</v>
      </c>
      <c r="U380" s="198">
        <v>1.4999999999999999E-2</v>
      </c>
      <c r="V380" s="195">
        <f>UTT!AR344</f>
        <v>-1.55E-2</v>
      </c>
      <c r="W380" s="198">
        <v>0</v>
      </c>
      <c r="X380" s="197">
        <v>0</v>
      </c>
      <c r="Y380" s="199">
        <f t="shared" si="190"/>
        <v>-6.1084159189306764E-2</v>
      </c>
    </row>
    <row r="381" spans="2:25">
      <c r="B381" s="189" t="s">
        <v>14</v>
      </c>
      <c r="C381" s="190" t="s">
        <v>64</v>
      </c>
      <c r="D381" s="200">
        <v>10</v>
      </c>
      <c r="E381" s="201">
        <v>12</v>
      </c>
      <c r="F381" s="192">
        <f t="shared" si="185"/>
        <v>45351</v>
      </c>
      <c r="G381" s="24">
        <f>UTT!Y345</f>
        <v>1220.8508088112812</v>
      </c>
      <c r="H381" s="24">
        <f>UTT!Z345</f>
        <v>1173.288</v>
      </c>
      <c r="I381" s="24">
        <f>UTT!AA345</f>
        <v>108.1</v>
      </c>
      <c r="J381" s="24">
        <f>UTT!AB345</f>
        <v>109.59</v>
      </c>
      <c r="K381" s="24">
        <f>UTT!AC345</f>
        <v>137.5</v>
      </c>
      <c r="L381" s="24">
        <f>UTT!AD345</f>
        <v>144.81000000000003</v>
      </c>
      <c r="M381" s="195">
        <f t="shared" si="186"/>
        <v>0.75117723969314343</v>
      </c>
      <c r="N381" s="195">
        <f t="shared" si="187"/>
        <v>0.69571167193409911</v>
      </c>
      <c r="O381" s="195">
        <f t="shared" si="188"/>
        <v>0.17540959896713812</v>
      </c>
      <c r="P381" s="195">
        <f t="shared" si="189"/>
        <v>0.16857586206896552</v>
      </c>
      <c r="Q381" s="195">
        <f>UTT!AI345</f>
        <v>0.98499999999999999</v>
      </c>
      <c r="R381" s="195">
        <f>UTT!AJ345</f>
        <v>0.97050000000000003</v>
      </c>
      <c r="S381" s="195">
        <f>UTT!AK345</f>
        <v>0.99</v>
      </c>
      <c r="T381" s="195">
        <f>UTT!AL345</f>
        <v>0.99589310344827586</v>
      </c>
      <c r="U381" s="198">
        <v>1.4999999999999999E-2</v>
      </c>
      <c r="V381" s="195">
        <f>UTT!AR345</f>
        <v>-1.55E-2</v>
      </c>
      <c r="W381" s="198">
        <v>0</v>
      </c>
      <c r="X381" s="197">
        <v>0</v>
      </c>
      <c r="Y381" s="199">
        <f t="shared" si="190"/>
        <v>-9.2122376013071827E-2</v>
      </c>
    </row>
    <row r="382" spans="2:25">
      <c r="B382" s="189" t="s">
        <v>14</v>
      </c>
      <c r="C382" s="190" t="s">
        <v>64</v>
      </c>
      <c r="D382" s="200">
        <v>10</v>
      </c>
      <c r="E382" s="201">
        <v>12</v>
      </c>
      <c r="F382" s="192">
        <f t="shared" si="185"/>
        <v>45382</v>
      </c>
      <c r="G382" s="24">
        <f>UTT!Y346</f>
        <v>1637.4849537205052</v>
      </c>
      <c r="H382" s="24">
        <f>UTT!Z346</f>
        <v>1482.3420000000001</v>
      </c>
      <c r="I382" s="24">
        <f>UTT!AA346</f>
        <v>161.4</v>
      </c>
      <c r="J382" s="24">
        <f>UTT!AB346</f>
        <v>151.69</v>
      </c>
      <c r="K382" s="24">
        <f>UTT!AC346</f>
        <v>187.8</v>
      </c>
      <c r="L382" s="24">
        <f>UTT!AD346</f>
        <v>178.00000000000003</v>
      </c>
      <c r="M382" s="195">
        <f t="shared" ref="M382" si="191">G382/E382/K382/Q382</f>
        <v>0.73767362123389046</v>
      </c>
      <c r="N382" s="195">
        <f t="shared" ref="N382" si="192">H382/E382/L382/R382</f>
        <v>0.69537107923712571</v>
      </c>
      <c r="O382" s="195">
        <f t="shared" ref="O382" si="193">G382/24/DAY(F382)/D382</f>
        <v>0.22009206367211093</v>
      </c>
      <c r="P382" s="195">
        <f t="shared" ref="P382" si="194">H382/24/DAY(F382)/D382</f>
        <v>0.19923951612903229</v>
      </c>
      <c r="Q382" s="195">
        <f>UTT!AI346</f>
        <v>0.98499999999999999</v>
      </c>
      <c r="R382" s="195">
        <f>UTT!AJ346</f>
        <v>0.99800000000000011</v>
      </c>
      <c r="S382" s="195">
        <f>UTT!AK346</f>
        <v>0.99</v>
      </c>
      <c r="T382" s="195">
        <f>UTT!AL346</f>
        <v>1</v>
      </c>
      <c r="U382" s="198">
        <v>1.4999999999999999E-2</v>
      </c>
      <c r="V382" s="195">
        <f>UTT!AR346</f>
        <v>-1.7999999999999999E-2</v>
      </c>
      <c r="W382" s="198">
        <v>0</v>
      </c>
      <c r="X382" s="197">
        <v>0</v>
      </c>
      <c r="Y382" s="199">
        <f t="shared" ref="Y382" si="195">(H382/G382-1)-(L382/K382-1)</f>
        <v>-4.2561485510389629E-2</v>
      </c>
    </row>
    <row r="383" spans="2:25">
      <c r="B383" s="189" t="s">
        <v>14</v>
      </c>
      <c r="C383" s="190" t="s">
        <v>64</v>
      </c>
      <c r="D383" s="200">
        <v>10</v>
      </c>
      <c r="E383" s="201">
        <v>12</v>
      </c>
      <c r="F383" s="192">
        <f t="shared" si="185"/>
        <v>45412</v>
      </c>
      <c r="G383" s="24">
        <f>UTT!Y347</f>
        <v>1694.4605632807411</v>
      </c>
      <c r="H383" s="24">
        <f>UTT!Z347</f>
        <v>1517.088</v>
      </c>
      <c r="I383" s="24">
        <f>UTT!AA347</f>
        <v>190.20000000000002</v>
      </c>
      <c r="J383" s="24">
        <f>UTT!AB347</f>
        <v>181.57</v>
      </c>
      <c r="K383" s="24">
        <f>UTT!AC347</f>
        <v>194</v>
      </c>
      <c r="L383" s="24">
        <f>UTT!AD347</f>
        <v>191.08999999999997</v>
      </c>
      <c r="M383" s="195">
        <f t="shared" ref="M383" si="196">G383/E383/K383/Q383</f>
        <v>0.7389452453820804</v>
      </c>
      <c r="N383" s="195">
        <f t="shared" ref="N383" si="197">H383/E383/L383/R383</f>
        <v>0.67549824855319807</v>
      </c>
      <c r="O383" s="195">
        <f t="shared" ref="O383" si="198">G383/24/DAY(F383)/D383</f>
        <v>0.2353417449001029</v>
      </c>
      <c r="P383" s="195">
        <f t="shared" ref="P383" si="199">H383/24/DAY(F383)/D383</f>
        <v>0.21070666666666665</v>
      </c>
      <c r="Q383" s="195">
        <f>UTT!AI347</f>
        <v>0.98499999999999999</v>
      </c>
      <c r="R383" s="195">
        <f>UTT!AJ347</f>
        <v>0.97941632670282641</v>
      </c>
      <c r="S383" s="195">
        <f>UTT!AK347</f>
        <v>0.99</v>
      </c>
      <c r="T383" s="195">
        <f>UTT!AL347</f>
        <v>0.99956333333333325</v>
      </c>
      <c r="U383" s="198">
        <v>1.4999999999999999E-2</v>
      </c>
      <c r="V383" s="195">
        <f>UTT!AR347</f>
        <v>-2.21333333333333E-2</v>
      </c>
      <c r="W383" s="198">
        <v>0</v>
      </c>
      <c r="X383" s="197">
        <v>0</v>
      </c>
      <c r="Y383" s="199">
        <f t="shared" ref="Y383" si="200">(H383/G383-1)-(L383/K383-1)</f>
        <v>-8.9677894029778882E-2</v>
      </c>
    </row>
    <row r="384" spans="2:25">
      <c r="B384" s="189" t="s">
        <v>14</v>
      </c>
      <c r="C384" s="190" t="s">
        <v>64</v>
      </c>
      <c r="D384" s="200">
        <v>10</v>
      </c>
      <c r="E384" s="201">
        <v>12</v>
      </c>
      <c r="F384" s="192">
        <f t="shared" si="185"/>
        <v>45443</v>
      </c>
      <c r="G384" s="24">
        <f>UTT!Y348</f>
        <v>1717.0134087316678</v>
      </c>
      <c r="H384" s="24">
        <f>UTT!Z348</f>
        <v>1416.672</v>
      </c>
      <c r="I384" s="24">
        <f>UTT!AA348</f>
        <v>197</v>
      </c>
      <c r="J384" s="24">
        <f>UTT!AB348</f>
        <v>192.53</v>
      </c>
      <c r="K384" s="24">
        <f>UTT!AC348</f>
        <v>197.7</v>
      </c>
      <c r="L384" s="24">
        <f>UTT!AD348</f>
        <v>197.54</v>
      </c>
      <c r="M384" s="195">
        <f t="shared" ref="M384" si="201">G384/E384/K384/Q384</f>
        <v>0.7347668272835014</v>
      </c>
      <c r="N384" s="195">
        <f t="shared" ref="N384" si="202">H384/E384/L384/R384</f>
        <v>0.62313691597963272</v>
      </c>
      <c r="O384" s="195">
        <f t="shared" ref="O384" si="203">G384/24/DAY(F384)/D384</f>
        <v>0.23078137214135325</v>
      </c>
      <c r="P384" s="195">
        <f t="shared" ref="P384" si="204">H384/24/DAY(F384)/D384</f>
        <v>0.19041290322580645</v>
      </c>
      <c r="Q384" s="195">
        <f>UTT!AI348</f>
        <v>0.98499999999999999</v>
      </c>
      <c r="R384" s="195">
        <f>UTT!AJ348</f>
        <v>0.95906829502022051</v>
      </c>
      <c r="S384" s="195">
        <f>UTT!AK348</f>
        <v>0.99</v>
      </c>
      <c r="T384" s="195">
        <f>UTT!AL348</f>
        <v>0.99957419354838706</v>
      </c>
      <c r="U384" s="198">
        <v>1.4999999999999999E-2</v>
      </c>
      <c r="V384" s="195">
        <f>UTT!AR348</f>
        <v>-3.6299999999999999E-2</v>
      </c>
      <c r="W384" s="198">
        <v>0</v>
      </c>
      <c r="X384" s="197">
        <v>0</v>
      </c>
      <c r="Y384" s="199">
        <f t="shared" ref="Y384" si="205">(H384/G384-1)-(L384/K384-1)</f>
        <v>-0.17411152189471868</v>
      </c>
    </row>
    <row r="385" spans="2:25">
      <c r="B385" s="189" t="s">
        <v>14</v>
      </c>
      <c r="C385" s="190" t="s">
        <v>64</v>
      </c>
      <c r="D385" s="200">
        <v>10</v>
      </c>
      <c r="E385" s="201">
        <v>12</v>
      </c>
      <c r="F385" s="192">
        <f t="shared" si="185"/>
        <v>45473</v>
      </c>
      <c r="G385" s="24">
        <f>UTT!Y349</f>
        <v>1541.3386125876073</v>
      </c>
      <c r="H385" s="24">
        <f>UTT!Z349</f>
        <v>1453.326</v>
      </c>
      <c r="I385" s="24">
        <f>UTT!AA349</f>
        <v>178.90000000000003</v>
      </c>
      <c r="J385" s="24">
        <f>UTT!AB349</f>
        <v>187.66000000000003</v>
      </c>
      <c r="K385" s="24">
        <f>UTT!AC349</f>
        <v>177.20000000000002</v>
      </c>
      <c r="L385" s="24">
        <f>UTT!AD349</f>
        <v>188.35000000000005</v>
      </c>
      <c r="M385" s="195">
        <f t="shared" ref="M385" si="206">G385/E385/K385/Q385</f>
        <v>0.73589671472940954</v>
      </c>
      <c r="N385" s="195">
        <f t="shared" ref="N385" si="207">H385/E385/L385/R385</f>
        <v>0.6762807093329477</v>
      </c>
      <c r="O385" s="195">
        <f t="shared" ref="O385" si="208">G385/24/DAY(F385)/D385</f>
        <v>0.21407480730383438</v>
      </c>
      <c r="P385" s="195">
        <f t="shared" ref="P385" si="209">H385/24/DAY(F385)/D385</f>
        <v>0.20185083333333337</v>
      </c>
      <c r="Q385" s="195">
        <f>UTT!AI349</f>
        <v>0.98499999999999999</v>
      </c>
      <c r="R385" s="195">
        <f>UTT!AJ349</f>
        <v>0.95079999999999998</v>
      </c>
      <c r="S385" s="195">
        <f>UTT!AK349</f>
        <v>0.99</v>
      </c>
      <c r="T385" s="195">
        <f>UTT!AL349</f>
        <v>1</v>
      </c>
      <c r="U385" s="198">
        <v>1.4999999999999999E-2</v>
      </c>
      <c r="V385" s="195">
        <f>UTT!AR349</f>
        <v>-2.4500000000000001E-2</v>
      </c>
      <c r="W385" s="198">
        <v>0</v>
      </c>
      <c r="X385" s="197">
        <v>0</v>
      </c>
      <c r="Y385" s="199">
        <f t="shared" ref="Y385" si="210">(H385/G385-1)-(L385/K385-1)</f>
        <v>-0.12002466349776564</v>
      </c>
    </row>
    <row r="386" spans="2:25">
      <c r="B386" s="189" t="s">
        <v>14</v>
      </c>
      <c r="C386" s="190" t="s">
        <v>64</v>
      </c>
      <c r="D386" s="200">
        <v>10</v>
      </c>
      <c r="E386" s="201">
        <v>12</v>
      </c>
      <c r="F386" s="192">
        <f t="shared" si="185"/>
        <v>45504</v>
      </c>
      <c r="G386" s="24">
        <f>UTT!Y350</f>
        <v>1364.4768245777088</v>
      </c>
      <c r="H386" s="24">
        <f>UTT!Z350</f>
        <v>1195.6980000000001</v>
      </c>
      <c r="I386" s="24">
        <f>UTT!AA350</f>
        <v>155.5</v>
      </c>
      <c r="J386" s="24">
        <f>UTT!AB350</f>
        <v>143.95999999999998</v>
      </c>
      <c r="K386" s="24">
        <f>UTT!AC350</f>
        <v>154.6</v>
      </c>
      <c r="L386" s="24">
        <f>UTT!AD350</f>
        <v>144.26</v>
      </c>
      <c r="M386" s="195">
        <f t="shared" ref="M386" si="211">G386/E386/K386/Q386</f>
        <v>0.74668804412988099</v>
      </c>
      <c r="N386" s="195">
        <f t="shared" ref="N386" si="212">H386/E386/L386/R386</f>
        <v>0.74063856920999271</v>
      </c>
      <c r="O386" s="195">
        <f t="shared" ref="O386" si="213">G386/24/DAY(F386)/D386</f>
        <v>0.1833974226582942</v>
      </c>
      <c r="P386" s="195">
        <f t="shared" ref="P386" si="214">H386/24/DAY(F386)/D386</f>
        <v>0.16071209677419357</v>
      </c>
      <c r="Q386" s="195">
        <f>UTT!AI350</f>
        <v>0.98499999999999999</v>
      </c>
      <c r="R386" s="195">
        <f>UTT!AJ350</f>
        <v>0.93258409514477403</v>
      </c>
      <c r="S386" s="195">
        <f>UTT!AK350</f>
        <v>0.99</v>
      </c>
      <c r="T386" s="195">
        <f>UTT!AL350</f>
        <v>1</v>
      </c>
      <c r="U386" s="198">
        <v>1.4999999999999999E-2</v>
      </c>
      <c r="V386" s="195">
        <f>UTT!AR350</f>
        <v>-8.2000000000000007E-3</v>
      </c>
      <c r="W386" s="198">
        <v>0</v>
      </c>
      <c r="X386" s="197">
        <v>0</v>
      </c>
      <c r="Y386" s="199">
        <f t="shared" ref="Y386" si="215">(H386/G386-1)-(L386/K386-1)</f>
        <v>-5.6812623309889565E-2</v>
      </c>
    </row>
    <row r="387" spans="2:25">
      <c r="B387" s="189" t="s">
        <v>14</v>
      </c>
      <c r="C387" s="190" t="s">
        <v>64</v>
      </c>
      <c r="D387" s="200">
        <v>10</v>
      </c>
      <c r="E387" s="201">
        <v>12</v>
      </c>
      <c r="F387" s="192">
        <f t="shared" si="185"/>
        <v>45535</v>
      </c>
      <c r="G387" s="24">
        <f>UTT!Y351</f>
        <v>1295.0378004261715</v>
      </c>
      <c r="H387" s="24">
        <f>UTT!Z351</f>
        <v>1335.27</v>
      </c>
      <c r="I387" s="24">
        <f>UTT!AA351</f>
        <v>145.4</v>
      </c>
      <c r="J387" s="24">
        <f>UTT!AB351</f>
        <v>161.69</v>
      </c>
      <c r="K387" s="24">
        <f>UTT!AC351</f>
        <v>146.29999999999998</v>
      </c>
      <c r="L387" s="24">
        <f>UTT!AD351</f>
        <v>165.67999999999995</v>
      </c>
      <c r="M387" s="195">
        <f t="shared" ref="M387" si="216">G387/E387/K387/Q387</f>
        <v>0.74889450230685828</v>
      </c>
      <c r="N387" s="195">
        <f t="shared" ref="N387" si="217">H387/E387/L387/R387</f>
        <v>0.71614706144400986</v>
      </c>
      <c r="O387" s="195">
        <f t="shared" ref="O387" si="218">G387/24/DAY(F387)/D387</f>
        <v>0.17406422048738865</v>
      </c>
      <c r="P387" s="195">
        <f t="shared" ref="P387" si="219">H387/24/DAY(F387)/D387</f>
        <v>0.17947177419354837</v>
      </c>
      <c r="Q387" s="195">
        <f>UTT!AI351</f>
        <v>0.98499999999999999</v>
      </c>
      <c r="R387" s="195">
        <f>UTT!AJ351</f>
        <v>0.93781148161290329</v>
      </c>
      <c r="S387" s="195">
        <f>UTT!AK351</f>
        <v>0.99</v>
      </c>
      <c r="T387" s="195">
        <f>UTT!AL351</f>
        <v>1</v>
      </c>
      <c r="U387" s="198">
        <v>1.4999999999999999E-2</v>
      </c>
      <c r="V387" s="195">
        <f>UTT!AR351</f>
        <v>-1.1299999999999999E-2</v>
      </c>
      <c r="W387" s="198">
        <v>0</v>
      </c>
      <c r="X387" s="197">
        <v>0</v>
      </c>
      <c r="Y387" s="199">
        <f t="shared" ref="Y387" si="220">(H387/G387-1)-(L387/K387-1)</f>
        <v>-0.10140110370337663</v>
      </c>
    </row>
    <row r="388" spans="2:25">
      <c r="B388" s="189" t="s">
        <v>14</v>
      </c>
      <c r="C388" s="190" t="s">
        <v>64</v>
      </c>
      <c r="D388" s="200">
        <v>10</v>
      </c>
      <c r="E388" s="201">
        <v>12</v>
      </c>
      <c r="F388" s="192">
        <f t="shared" si="185"/>
        <v>45565</v>
      </c>
      <c r="G388" s="24">
        <f>UTT!Y352</f>
        <v>1290.8833288957376</v>
      </c>
      <c r="H388" s="24">
        <f>UTT!Z352</f>
        <v>1103.424</v>
      </c>
      <c r="I388" s="24">
        <f>UTT!AA352</f>
        <v>141.6</v>
      </c>
      <c r="J388" s="24">
        <f>UTT!AB352</f>
        <v>120.91000000000003</v>
      </c>
      <c r="K388" s="24">
        <f>UTT!AC352</f>
        <v>145.5</v>
      </c>
      <c r="L388" s="24">
        <f>UTT!AD352</f>
        <v>130.43</v>
      </c>
      <c r="M388" s="195">
        <f t="shared" ref="M388" si="221">G388/E388/K388/Q388</f>
        <v>0.75059647803870055</v>
      </c>
      <c r="N388" s="195">
        <f t="shared" ref="N388" si="222">H388/E388/L388/R388</f>
        <v>0.75317088369314356</v>
      </c>
      <c r="O388" s="195">
        <f t="shared" ref="O388" si="223">G388/24/DAY(F388)/D388</f>
        <v>0.17928935123551912</v>
      </c>
      <c r="P388" s="195">
        <f t="shared" ref="P388" si="224">H388/24/DAY(F388)/D388</f>
        <v>0.15325333333333332</v>
      </c>
      <c r="Q388" s="195">
        <f>UTT!AI352</f>
        <v>0.98499999999999999</v>
      </c>
      <c r="R388" s="195">
        <f>UTT!AJ352</f>
        <v>0.93603085073223657</v>
      </c>
      <c r="S388" s="195">
        <f>UTT!AK352</f>
        <v>0.99</v>
      </c>
      <c r="T388" s="195">
        <f>UTT!AL352</f>
        <v>1</v>
      </c>
      <c r="U388" s="198">
        <v>1.4999999999999999E-2</v>
      </c>
      <c r="V388" s="195">
        <f>UTT!AR352</f>
        <v>-8.5000000000000006E-3</v>
      </c>
      <c r="W388" s="198">
        <v>0</v>
      </c>
      <c r="X388" s="197">
        <v>0</v>
      </c>
      <c r="Y388" s="199">
        <f t="shared" ref="Y388" si="225">(H388/G388-1)-(L388/K388-1)</f>
        <v>-4.1643987965614859E-2</v>
      </c>
    </row>
    <row r="389" spans="2:25">
      <c r="B389" s="189" t="s">
        <v>14</v>
      </c>
      <c r="C389" s="190" t="s">
        <v>64</v>
      </c>
      <c r="D389" s="200">
        <v>10</v>
      </c>
      <c r="E389" s="201">
        <v>12</v>
      </c>
      <c r="F389" s="192">
        <f t="shared" si="185"/>
        <v>45596</v>
      </c>
      <c r="G389" s="24">
        <f>UTT!Y353</f>
        <v>1479.0215396310994</v>
      </c>
      <c r="H389" s="24">
        <f>UTT!Z353</f>
        <v>1283.7</v>
      </c>
      <c r="I389" s="24">
        <f>UTT!AA353</f>
        <v>139.1</v>
      </c>
      <c r="J389" s="24">
        <f>UTT!AB353</f>
        <v>123.08999999999997</v>
      </c>
      <c r="K389" s="24">
        <f>UTT!AC353</f>
        <v>172.20000000000002</v>
      </c>
      <c r="L389" s="24">
        <f>UTT!AD353</f>
        <v>154.30000000000001</v>
      </c>
      <c r="M389" s="195">
        <f t="shared" ref="M389" si="226">G389/E389/K389/Q389</f>
        <v>0.72664765306106271</v>
      </c>
      <c r="N389" s="195">
        <f t="shared" ref="N389" si="227">H389/E389/L389/R389</f>
        <v>0.71985499766262107</v>
      </c>
      <c r="O389" s="195">
        <f t="shared" ref="O389" si="228">G389/24/DAY(F389)/D389</f>
        <v>0.19879321769235209</v>
      </c>
      <c r="P389" s="195">
        <f t="shared" ref="P389" si="229">H389/24/DAY(F389)/D389</f>
        <v>0.17254032258064517</v>
      </c>
      <c r="Q389" s="195">
        <f>UTT!AI353</f>
        <v>0.98499999999999999</v>
      </c>
      <c r="R389" s="195">
        <f>UTT!AJ353</f>
        <v>0.96309991595844113</v>
      </c>
      <c r="S389" s="195">
        <f>UTT!AK353</f>
        <v>0.99</v>
      </c>
      <c r="T389" s="195">
        <f>UTT!AL353</f>
        <v>0.99528709677419358</v>
      </c>
      <c r="U389" s="198">
        <v>1.4999999999999999E-2</v>
      </c>
      <c r="V389" s="195">
        <f>UTT!AR353</f>
        <v>-1.9199999999999998E-2</v>
      </c>
      <c r="W389" s="198">
        <v>0</v>
      </c>
      <c r="X389" s="197">
        <v>0</v>
      </c>
      <c r="Y389" s="199">
        <f t="shared" ref="Y389" si="230">(H389/G389-1)-(L389/K389-1)</f>
        <v>-2.8112425260633067E-2</v>
      </c>
    </row>
    <row r="390" spans="2:25">
      <c r="B390" s="189" t="s">
        <v>14</v>
      </c>
      <c r="C390" s="190" t="s">
        <v>64</v>
      </c>
      <c r="D390" s="200">
        <v>10</v>
      </c>
      <c r="E390" s="201">
        <v>12</v>
      </c>
      <c r="F390" s="192">
        <f t="shared" si="185"/>
        <v>45626</v>
      </c>
      <c r="G390" s="24">
        <f>UTT!Y354</f>
        <v>1309.2817028162308</v>
      </c>
      <c r="H390" s="24">
        <f>UTT!Z354</f>
        <v>975.78</v>
      </c>
      <c r="I390" s="24">
        <f>UTT!AA354</f>
        <v>108.10000000000001</v>
      </c>
      <c r="J390" s="24">
        <f>UTT!AB354</f>
        <v>80.53</v>
      </c>
      <c r="K390" s="24">
        <f>UTT!AC354</f>
        <v>152.1</v>
      </c>
      <c r="L390" s="24">
        <f>UTT!AD354</f>
        <v>111.11000000000001</v>
      </c>
      <c r="M390" s="195">
        <f t="shared" ref="M390" si="231">G390/E390/K390/Q390</f>
        <v>0.72825991828792336</v>
      </c>
      <c r="N390" s="195">
        <f t="shared" ref="N390" si="232">H390/E390/L390/R390</f>
        <v>0.74463010134937069</v>
      </c>
      <c r="O390" s="195">
        <f t="shared" ref="O390" si="233">G390/24/DAY(F390)/D390</f>
        <v>0.18184468094669873</v>
      </c>
      <c r="P390" s="195">
        <f t="shared" ref="P390" si="234">H390/24/DAY(F390)/D390</f>
        <v>0.13552500000000001</v>
      </c>
      <c r="Q390" s="195">
        <f>UTT!AI354</f>
        <v>0.98499999999999999</v>
      </c>
      <c r="R390" s="195">
        <f>UTT!AJ354</f>
        <v>0.98282666400000029</v>
      </c>
      <c r="S390" s="195">
        <f>UTT!AK354</f>
        <v>0.99</v>
      </c>
      <c r="T390" s="195">
        <f>UTT!AL354</f>
        <v>1</v>
      </c>
      <c r="U390" s="198">
        <v>1.4999999999999999E-2</v>
      </c>
      <c r="V390" s="195">
        <f>UTT!AR354</f>
        <v>-1.9699999999999999E-2</v>
      </c>
      <c r="W390" s="198">
        <v>0</v>
      </c>
      <c r="X390" s="197">
        <v>0</v>
      </c>
      <c r="Y390" s="199">
        <f t="shared" ref="Y390" si="235">(H390/G390-1)-(L390/K390-1)</f>
        <v>1.4772633284737435E-2</v>
      </c>
    </row>
    <row r="391" spans="2:25">
      <c r="B391" s="189" t="s">
        <v>14</v>
      </c>
      <c r="C391" s="190" t="s">
        <v>64</v>
      </c>
      <c r="D391" s="200">
        <v>10</v>
      </c>
      <c r="E391" s="201">
        <v>12</v>
      </c>
      <c r="F391" s="192">
        <f t="shared" si="185"/>
        <v>45657</v>
      </c>
      <c r="G391" s="24">
        <f>UTT!Y355</f>
        <v>1099.1841425628616</v>
      </c>
      <c r="H391" s="24">
        <f>UTT!Z355</f>
        <v>1055.424</v>
      </c>
      <c r="I391" s="24">
        <f>UTT!AA355</f>
        <v>89.9</v>
      </c>
      <c r="J391" s="24">
        <f>UTT!AB355</f>
        <v>75.180000000000007</v>
      </c>
      <c r="K391" s="24">
        <f>UTT!AC355</f>
        <v>129.6</v>
      </c>
      <c r="L391" s="24">
        <f>UTT!AD355</f>
        <v>117.79</v>
      </c>
      <c r="M391" s="195">
        <f t="shared" ref="M391" si="236">G391/E391/K391/Q391</f>
        <v>0.71754307315680532</v>
      </c>
      <c r="N391" s="195">
        <f t="shared" ref="N391" si="237">H391/E391/L391/R391</f>
        <v>0.75136993309367195</v>
      </c>
      <c r="O391" s="195">
        <f t="shared" ref="O391" si="238">G391/24/DAY(F391)/D391</f>
        <v>0.14773980410791149</v>
      </c>
      <c r="P391" s="195">
        <f t="shared" ref="P391" si="239">H391/24/DAY(F391)/D391</f>
        <v>0.14185806451612903</v>
      </c>
      <c r="Q391" s="195">
        <f>UTT!AI355</f>
        <v>0.98499999999999999</v>
      </c>
      <c r="R391" s="195">
        <f>UTT!AJ355</f>
        <v>0.99376451612903238</v>
      </c>
      <c r="S391" s="195">
        <f>UTT!AK355</f>
        <v>0.99</v>
      </c>
      <c r="T391" s="195">
        <f>UTT!AL355</f>
        <v>1</v>
      </c>
      <c r="U391" s="198">
        <v>1.4999999999999999E-2</v>
      </c>
      <c r="V391" s="195">
        <f>UTT!AR355</f>
        <v>-1.33774193548387E-2</v>
      </c>
      <c r="W391" s="198">
        <v>0</v>
      </c>
      <c r="X391" s="197">
        <v>0</v>
      </c>
      <c r="Y391" s="199">
        <f t="shared" ref="Y391" si="240">(H391/G391-1)-(L391/K391-1)</f>
        <v>5.1315067708755935E-2</v>
      </c>
    </row>
    <row r="392" spans="2:25">
      <c r="B392" s="189"/>
      <c r="C392" s="190"/>
      <c r="D392" s="200"/>
      <c r="E392" s="201"/>
      <c r="F392" s="192"/>
      <c r="G392" s="24"/>
      <c r="H392" s="24"/>
      <c r="I392" s="24"/>
      <c r="J392" s="24"/>
      <c r="K392" s="24"/>
      <c r="L392" s="24"/>
      <c r="M392" s="195"/>
      <c r="N392" s="195"/>
      <c r="O392" s="195"/>
      <c r="P392" s="195"/>
      <c r="Q392" s="195"/>
      <c r="R392" s="195"/>
      <c r="S392" s="195"/>
      <c r="T392" s="204"/>
      <c r="U392" s="198"/>
      <c r="V392" s="204"/>
      <c r="W392" s="198"/>
      <c r="X392" s="197"/>
      <c r="Y392" s="199"/>
    </row>
    <row r="393" spans="2:25">
      <c r="B393" s="189"/>
      <c r="C393" s="190"/>
      <c r="D393" s="200"/>
      <c r="E393" s="201"/>
      <c r="F393" s="192"/>
      <c r="G393" s="24"/>
      <c r="H393" s="24"/>
      <c r="I393" s="24"/>
      <c r="J393" s="24"/>
      <c r="K393" s="24"/>
      <c r="L393" s="24"/>
      <c r="M393" s="195"/>
      <c r="N393" s="195"/>
      <c r="O393" s="195"/>
      <c r="P393" s="195"/>
      <c r="Q393" s="195"/>
      <c r="R393" s="195"/>
      <c r="S393" s="195"/>
      <c r="T393" s="204"/>
      <c r="U393" s="198"/>
      <c r="V393" s="204"/>
      <c r="W393" s="198"/>
      <c r="X393" s="197"/>
      <c r="Y393" s="199"/>
    </row>
    <row r="394" spans="2:25">
      <c r="B394" s="189"/>
      <c r="C394" s="190"/>
      <c r="D394" s="200"/>
      <c r="E394" s="201"/>
      <c r="F394" s="192"/>
      <c r="G394" s="24"/>
      <c r="H394" s="24"/>
      <c r="I394" s="24"/>
      <c r="J394" s="24"/>
      <c r="K394" s="24"/>
      <c r="L394" s="24"/>
      <c r="M394" s="195"/>
      <c r="N394" s="195"/>
      <c r="O394" s="195"/>
      <c r="P394" s="195"/>
      <c r="Q394" s="195"/>
      <c r="R394" s="195"/>
      <c r="S394" s="195"/>
      <c r="T394" s="204"/>
      <c r="U394" s="198"/>
      <c r="V394" s="204"/>
      <c r="W394" s="198"/>
      <c r="X394" s="197"/>
      <c r="Y394" s="199"/>
    </row>
    <row r="395" spans="2:25">
      <c r="B395" s="189"/>
      <c r="C395" s="190"/>
      <c r="D395" s="200"/>
      <c r="E395" s="201"/>
      <c r="F395" s="192"/>
      <c r="G395" s="24"/>
      <c r="H395" s="24"/>
      <c r="I395" s="24"/>
      <c r="J395" s="24"/>
      <c r="K395" s="24"/>
      <c r="L395" s="24"/>
      <c r="M395" s="195"/>
      <c r="N395" s="195"/>
      <c r="O395" s="195"/>
      <c r="P395" s="195"/>
      <c r="Q395" s="195"/>
      <c r="R395" s="195"/>
      <c r="S395" s="195"/>
      <c r="T395" s="204"/>
      <c r="U395" s="198"/>
      <c r="V395" s="204"/>
      <c r="W395" s="198"/>
      <c r="X395" s="197"/>
      <c r="Y395" s="199"/>
    </row>
    <row r="396" spans="2:25">
      <c r="B396" s="189" t="s">
        <v>14</v>
      </c>
      <c r="C396" s="190" t="s">
        <v>65</v>
      </c>
      <c r="D396" s="190">
        <v>10</v>
      </c>
      <c r="E396" s="191">
        <v>12</v>
      </c>
      <c r="F396" s="192">
        <v>42766</v>
      </c>
      <c r="G396" s="24"/>
      <c r="H396" s="24">
        <v>0</v>
      </c>
      <c r="I396" s="193">
        <v>79.599999999999994</v>
      </c>
      <c r="J396" s="194"/>
      <c r="K396" s="193">
        <v>103.2</v>
      </c>
      <c r="L396" s="194"/>
      <c r="M396" s="195">
        <v>0.82763481424572438</v>
      </c>
      <c r="N396" s="195"/>
      <c r="O396" s="195"/>
      <c r="P396" s="195"/>
      <c r="Q396" s="195">
        <v>0.98499999999999999</v>
      </c>
      <c r="R396" s="195"/>
      <c r="S396" s="196">
        <v>0.99</v>
      </c>
      <c r="T396" s="197"/>
      <c r="U396" s="198">
        <v>1.4999999999999999E-2</v>
      </c>
      <c r="V396" s="197">
        <v>0</v>
      </c>
      <c r="W396" s="198">
        <v>0</v>
      </c>
      <c r="X396" s="197">
        <v>0</v>
      </c>
      <c r="Y396" s="199" t="e">
        <f t="shared" si="184"/>
        <v>#DIV/0!</v>
      </c>
    </row>
    <row r="397" spans="2:25">
      <c r="B397" s="189" t="s">
        <v>14</v>
      </c>
      <c r="C397" s="190" t="s">
        <v>65</v>
      </c>
      <c r="D397" s="190">
        <v>10</v>
      </c>
      <c r="E397" s="191">
        <v>12</v>
      </c>
      <c r="F397" s="192">
        <v>42794</v>
      </c>
      <c r="G397" s="24"/>
      <c r="H397" s="24">
        <v>0</v>
      </c>
      <c r="I397" s="193">
        <v>108.1</v>
      </c>
      <c r="J397" s="194"/>
      <c r="K397" s="193">
        <v>137.5</v>
      </c>
      <c r="L397" s="194"/>
      <c r="M397" s="195">
        <v>0.81555559393111998</v>
      </c>
      <c r="N397" s="195"/>
      <c r="O397" s="195"/>
      <c r="P397" s="195"/>
      <c r="Q397" s="195">
        <v>0.98499999999999999</v>
      </c>
      <c r="R397" s="195"/>
      <c r="S397" s="196">
        <v>0.99</v>
      </c>
      <c r="T397" s="197"/>
      <c r="U397" s="198">
        <v>1.4999999999999999E-2</v>
      </c>
      <c r="V397" s="197">
        <v>0</v>
      </c>
      <c r="W397" s="198">
        <v>0</v>
      </c>
      <c r="X397" s="197">
        <v>0</v>
      </c>
      <c r="Y397" s="199" t="e">
        <f t="shared" si="184"/>
        <v>#DIV/0!</v>
      </c>
    </row>
    <row r="398" spans="2:25">
      <c r="B398" s="189" t="s">
        <v>14</v>
      </c>
      <c r="C398" s="190" t="s">
        <v>65</v>
      </c>
      <c r="D398" s="190">
        <v>10</v>
      </c>
      <c r="E398" s="191">
        <v>12</v>
      </c>
      <c r="F398" s="192">
        <v>42825</v>
      </c>
      <c r="G398" s="24"/>
      <c r="H398" s="24">
        <v>51.893999999999998</v>
      </c>
      <c r="I398" s="193">
        <v>161.4</v>
      </c>
      <c r="J398" s="194"/>
      <c r="K398" s="193">
        <v>187.8</v>
      </c>
      <c r="L398" s="194"/>
      <c r="M398" s="195">
        <v>0.80080060538540998</v>
      </c>
      <c r="N398" s="195"/>
      <c r="O398" s="195"/>
      <c r="P398" s="195"/>
      <c r="Q398" s="195">
        <v>0.98499999999999999</v>
      </c>
      <c r="R398" s="195"/>
      <c r="S398" s="196">
        <v>0.99</v>
      </c>
      <c r="T398" s="197"/>
      <c r="U398" s="198">
        <v>1.4999999999999999E-2</v>
      </c>
      <c r="V398" s="197">
        <v>0</v>
      </c>
      <c r="W398" s="198">
        <v>0</v>
      </c>
      <c r="X398" s="197">
        <v>0</v>
      </c>
      <c r="Y398" s="199" t="e">
        <f t="shared" si="184"/>
        <v>#DIV/0!</v>
      </c>
    </row>
    <row r="399" spans="2:25">
      <c r="B399" s="189" t="s">
        <v>14</v>
      </c>
      <c r="C399" s="190" t="s">
        <v>65</v>
      </c>
      <c r="D399" s="190">
        <v>10</v>
      </c>
      <c r="E399" s="191">
        <v>12</v>
      </c>
      <c r="F399" s="192">
        <v>42855</v>
      </c>
      <c r="G399" s="24">
        <v>1866.4750635306268</v>
      </c>
      <c r="H399" s="24">
        <v>716.32799999999997</v>
      </c>
      <c r="I399" s="193">
        <v>190.2</v>
      </c>
      <c r="J399" s="194"/>
      <c r="K399" s="193">
        <v>194</v>
      </c>
      <c r="L399" s="194"/>
      <c r="M399" s="195">
        <v>0.80175045684305279</v>
      </c>
      <c r="N399" s="195"/>
      <c r="O399" s="195"/>
      <c r="P399" s="195"/>
      <c r="Q399" s="195">
        <v>0.98499999999999999</v>
      </c>
      <c r="R399" s="195"/>
      <c r="S399" s="196">
        <v>0.99</v>
      </c>
      <c r="T399" s="197"/>
      <c r="U399" s="198">
        <v>1.4999999999999999E-2</v>
      </c>
      <c r="V399" s="197">
        <v>0</v>
      </c>
      <c r="W399" s="198">
        <v>0</v>
      </c>
      <c r="X399" s="197">
        <v>0</v>
      </c>
      <c r="Y399" s="199">
        <f t="shared" si="184"/>
        <v>0.38378653644854643</v>
      </c>
    </row>
    <row r="400" spans="2:25">
      <c r="B400" s="189" t="s">
        <v>14</v>
      </c>
      <c r="C400" s="190" t="s">
        <v>65</v>
      </c>
      <c r="D400" s="190">
        <v>10</v>
      </c>
      <c r="E400" s="191">
        <v>12</v>
      </c>
      <c r="F400" s="192">
        <v>42886</v>
      </c>
      <c r="G400" s="24">
        <v>1890.995229893352</v>
      </c>
      <c r="H400" s="24">
        <v>1126.944</v>
      </c>
      <c r="I400" s="193">
        <v>197</v>
      </c>
      <c r="J400" s="194"/>
      <c r="K400" s="193">
        <v>197.7</v>
      </c>
      <c r="L400" s="194"/>
      <c r="M400" s="195">
        <v>0.79708111190918562</v>
      </c>
      <c r="N400" s="195"/>
      <c r="O400" s="195"/>
      <c r="P400" s="195"/>
      <c r="Q400" s="195">
        <v>0.98499999999999999</v>
      </c>
      <c r="R400" s="195"/>
      <c r="S400" s="196">
        <v>0.99</v>
      </c>
      <c r="T400" s="197"/>
      <c r="U400" s="198">
        <v>1.4999999999999999E-2</v>
      </c>
      <c r="V400" s="197">
        <v>0</v>
      </c>
      <c r="W400" s="198">
        <v>0</v>
      </c>
      <c r="X400" s="197">
        <v>0</v>
      </c>
      <c r="Y400" s="199">
        <f t="shared" si="184"/>
        <v>0.59595285180257018</v>
      </c>
    </row>
    <row r="401" spans="2:25">
      <c r="B401" s="189" t="s">
        <v>14</v>
      </c>
      <c r="C401" s="190" t="s">
        <v>65</v>
      </c>
      <c r="D401" s="190">
        <v>10</v>
      </c>
      <c r="E401" s="191">
        <v>12</v>
      </c>
      <c r="F401" s="192">
        <v>42916</v>
      </c>
      <c r="G401" s="24">
        <v>1697.7763189550788</v>
      </c>
      <c r="H401" s="24">
        <v>1235.1780000000001</v>
      </c>
      <c r="I401" s="193">
        <v>178.9</v>
      </c>
      <c r="J401" s="194">
        <v>155.33000000000001</v>
      </c>
      <c r="K401" s="193">
        <v>177.2</v>
      </c>
      <c r="L401" s="194">
        <v>147.88999999999999</v>
      </c>
      <c r="M401" s="195">
        <v>0.79842753901198216</v>
      </c>
      <c r="N401" s="195">
        <f>H401/12/L401</f>
        <v>0.69600040570694455</v>
      </c>
      <c r="O401" s="195">
        <f>G401/24/30/10</f>
        <v>0.23580226652153874</v>
      </c>
      <c r="P401" s="195">
        <f>H401/24/30/10</f>
        <v>0.17155250000000002</v>
      </c>
      <c r="Q401" s="195">
        <v>0.98499999999999999</v>
      </c>
      <c r="R401" s="195">
        <v>0.78849455999999996</v>
      </c>
      <c r="S401" s="196">
        <v>0.99</v>
      </c>
      <c r="T401" s="197">
        <v>0.99860000000000004</v>
      </c>
      <c r="U401" s="198">
        <v>1.4999999999999999E-2</v>
      </c>
      <c r="V401" s="197">
        <v>0</v>
      </c>
      <c r="W401" s="198">
        <v>0</v>
      </c>
      <c r="X401" s="197">
        <v>0</v>
      </c>
      <c r="Y401" s="199">
        <f t="shared" si="184"/>
        <v>-0.10706674542713646</v>
      </c>
    </row>
    <row r="402" spans="2:25">
      <c r="B402" s="189" t="s">
        <v>14</v>
      </c>
      <c r="C402" s="190" t="s">
        <v>65</v>
      </c>
      <c r="D402" s="190">
        <v>10</v>
      </c>
      <c r="E402" s="191">
        <v>12</v>
      </c>
      <c r="F402" s="192">
        <v>42947</v>
      </c>
      <c r="G402" s="24">
        <v>1502.5957947077879</v>
      </c>
      <c r="H402" s="24">
        <v>830.04</v>
      </c>
      <c r="I402" s="193">
        <v>155.5</v>
      </c>
      <c r="J402" s="194">
        <v>154.75</v>
      </c>
      <c r="K402" s="193">
        <v>154.6</v>
      </c>
      <c r="L402" s="194">
        <v>153.06</v>
      </c>
      <c r="M402" s="195">
        <v>0.80993736239100256</v>
      </c>
      <c r="N402" s="195">
        <f t="shared" ref="N402:N410" si="241">H402/12/L402</f>
        <v>0.45191428198092254</v>
      </c>
      <c r="O402" s="195">
        <f>G402/24/31/10</f>
        <v>0.20196180036394998</v>
      </c>
      <c r="P402" s="195">
        <f>H402/24/31/10</f>
        <v>0.11156451612903226</v>
      </c>
      <c r="Q402" s="195">
        <v>0.98499999999999999</v>
      </c>
      <c r="R402" s="195">
        <v>0.64580075999999997</v>
      </c>
      <c r="S402" s="196">
        <v>0.99</v>
      </c>
      <c r="T402" s="197">
        <v>0.99109999999999998</v>
      </c>
      <c r="U402" s="198">
        <v>1.4999999999999999E-2</v>
      </c>
      <c r="V402" s="197">
        <v>0</v>
      </c>
      <c r="W402" s="198">
        <v>0</v>
      </c>
      <c r="X402" s="197">
        <v>0</v>
      </c>
      <c r="Y402" s="199">
        <f t="shared" si="184"/>
        <v>-0.43763476150196767</v>
      </c>
    </row>
    <row r="403" spans="2:25">
      <c r="B403" s="189" t="s">
        <v>14</v>
      </c>
      <c r="C403" s="190" t="s">
        <v>65</v>
      </c>
      <c r="D403" s="190">
        <v>10</v>
      </c>
      <c r="E403" s="191">
        <v>12</v>
      </c>
      <c r="F403" s="192">
        <v>42978</v>
      </c>
      <c r="G403" s="24">
        <v>1427.0736823105949</v>
      </c>
      <c r="H403" s="24">
        <v>1067.2380000000001</v>
      </c>
      <c r="I403" s="193">
        <v>145.4</v>
      </c>
      <c r="J403" s="194">
        <v>126.7</v>
      </c>
      <c r="K403" s="193">
        <v>146.30000000000001</v>
      </c>
      <c r="L403" s="194">
        <v>127.36</v>
      </c>
      <c r="M403" s="195">
        <v>0.81286949322772539</v>
      </c>
      <c r="N403" s="195">
        <f t="shared" si="241"/>
        <v>0.69830794597989954</v>
      </c>
      <c r="O403" s="195">
        <f>G403/24/31/10</f>
        <v>0.19181097880518747</v>
      </c>
      <c r="P403" s="195">
        <f>H403/24/31/10</f>
        <v>0.14344596774193549</v>
      </c>
      <c r="Q403" s="195">
        <v>0.98499999999999999</v>
      </c>
      <c r="R403" s="195">
        <v>0.86742229999999998</v>
      </c>
      <c r="S403" s="196">
        <v>0.99</v>
      </c>
      <c r="T403" s="197">
        <v>0.99099999999999999</v>
      </c>
      <c r="U403" s="198">
        <v>1.4999999999999999E-2</v>
      </c>
      <c r="V403" s="197">
        <v>0</v>
      </c>
      <c r="W403" s="198">
        <v>0</v>
      </c>
      <c r="X403" s="197">
        <v>0</v>
      </c>
      <c r="Y403" s="199">
        <f t="shared" si="184"/>
        <v>-0.12268932295514834</v>
      </c>
    </row>
    <row r="404" spans="2:25">
      <c r="B404" s="189" t="s">
        <v>14</v>
      </c>
      <c r="C404" s="190" t="s">
        <v>65</v>
      </c>
      <c r="D404" s="190">
        <v>10</v>
      </c>
      <c r="E404" s="191">
        <v>12</v>
      </c>
      <c r="F404" s="192">
        <v>43008</v>
      </c>
      <c r="G404" s="24">
        <v>1422.16964903805</v>
      </c>
      <c r="H404" s="24">
        <v>1167.6959999999999</v>
      </c>
      <c r="I404" s="193">
        <v>141.6</v>
      </c>
      <c r="J404" s="194">
        <v>124.77</v>
      </c>
      <c r="K404" s="193">
        <v>145.5</v>
      </c>
      <c r="L404" s="194">
        <v>126.34</v>
      </c>
      <c r="M404" s="195">
        <v>0.81453015408823026</v>
      </c>
      <c r="N404" s="195">
        <f t="shared" si="241"/>
        <v>0.77020737691942365</v>
      </c>
      <c r="O404" s="195">
        <f>G404/24/30/10</f>
        <v>0.19752356236639584</v>
      </c>
      <c r="P404" s="195">
        <f>H404/24/30/10</f>
        <v>0.16217999999999999</v>
      </c>
      <c r="Q404" s="195">
        <v>0.98499999999999999</v>
      </c>
      <c r="R404" s="195">
        <v>0.96691402000000004</v>
      </c>
      <c r="S404" s="196">
        <v>0.99</v>
      </c>
      <c r="T404" s="197">
        <v>0.99129999999999996</v>
      </c>
      <c r="U404" s="198">
        <v>1.4999999999999999E-2</v>
      </c>
      <c r="V404" s="197">
        <v>0</v>
      </c>
      <c r="W404" s="198">
        <v>0</v>
      </c>
      <c r="X404" s="197">
        <v>0</v>
      </c>
      <c r="Y404" s="199">
        <f t="shared" si="184"/>
        <v>-4.7249550048783506E-2</v>
      </c>
    </row>
    <row r="405" spans="2:25">
      <c r="B405" s="189" t="s">
        <v>14</v>
      </c>
      <c r="C405" s="190" t="s">
        <v>65</v>
      </c>
      <c r="D405" s="190">
        <v>10</v>
      </c>
      <c r="E405" s="191">
        <v>12</v>
      </c>
      <c r="F405" s="192">
        <v>43039</v>
      </c>
      <c r="G405" s="24">
        <v>1630.1006597939579</v>
      </c>
      <c r="H405" s="24">
        <v>1411.59</v>
      </c>
      <c r="I405" s="193">
        <v>139.1</v>
      </c>
      <c r="J405" s="194">
        <v>125.93</v>
      </c>
      <c r="K405" s="193">
        <v>172.2</v>
      </c>
      <c r="L405" s="194">
        <v>150.22999999999999</v>
      </c>
      <c r="M405" s="195">
        <v>0.78886017218058357</v>
      </c>
      <c r="N405" s="195">
        <f t="shared" si="241"/>
        <v>0.7830160420688278</v>
      </c>
      <c r="O405" s="195">
        <f>G405/24/31/10</f>
        <v>0.21909955104757498</v>
      </c>
      <c r="P405" s="195">
        <f>H405/24/31/10</f>
        <v>0.18972983870967741</v>
      </c>
      <c r="Q405" s="195">
        <v>0.98499999999999999</v>
      </c>
      <c r="R405" s="195">
        <v>0.971078</v>
      </c>
      <c r="S405" s="196">
        <v>0.99</v>
      </c>
      <c r="T405" s="197">
        <v>0.97399999999999998</v>
      </c>
      <c r="U405" s="198">
        <v>1.4999999999999999E-2</v>
      </c>
      <c r="V405" s="197">
        <v>0</v>
      </c>
      <c r="W405" s="198">
        <v>0</v>
      </c>
      <c r="X405" s="197">
        <v>0</v>
      </c>
      <c r="Y405" s="199">
        <f t="shared" si="184"/>
        <v>-6.4631370688486012E-3</v>
      </c>
    </row>
    <row r="406" spans="2:25">
      <c r="B406" s="189" t="s">
        <v>14</v>
      </c>
      <c r="C406" s="190" t="s">
        <v>65</v>
      </c>
      <c r="D406" s="190">
        <v>10</v>
      </c>
      <c r="E406" s="191">
        <v>12</v>
      </c>
      <c r="F406" s="192">
        <v>43069</v>
      </c>
      <c r="G406" s="24">
        <v>1442.7665887827388</v>
      </c>
      <c r="H406" s="24">
        <v>1105.3499999999999</v>
      </c>
      <c r="I406" s="193">
        <v>108.1</v>
      </c>
      <c r="J406" s="194">
        <v>86.1</v>
      </c>
      <c r="K406" s="193">
        <v>152.1</v>
      </c>
      <c r="L406" s="194">
        <v>114.52</v>
      </c>
      <c r="M406" s="195">
        <v>0.79047040805541247</v>
      </c>
      <c r="N406" s="195">
        <f t="shared" si="241"/>
        <v>0.80433548725113513</v>
      </c>
      <c r="O406" s="195">
        <f>G406/24/30/10</f>
        <v>0.20038424844204705</v>
      </c>
      <c r="P406" s="195">
        <f>H406/24/30/10</f>
        <v>0.15352083333333333</v>
      </c>
      <c r="Q406" s="195">
        <v>0.98499999999999999</v>
      </c>
      <c r="R406" s="195">
        <v>0.97705999999999993</v>
      </c>
      <c r="S406" s="196">
        <v>0.99</v>
      </c>
      <c r="T406" s="197">
        <v>0.98</v>
      </c>
      <c r="U406" s="198">
        <v>1.4999999999999999E-2</v>
      </c>
      <c r="V406" s="197">
        <v>0</v>
      </c>
      <c r="W406" s="198">
        <v>0</v>
      </c>
      <c r="X406" s="197">
        <v>0</v>
      </c>
      <c r="Y406" s="199">
        <f t="shared" si="184"/>
        <v>1.3206534294646799E-2</v>
      </c>
    </row>
    <row r="407" spans="2:25">
      <c r="B407" s="189" t="s">
        <v>14</v>
      </c>
      <c r="C407" s="190" t="s">
        <v>65</v>
      </c>
      <c r="D407" s="190">
        <v>10</v>
      </c>
      <c r="E407" s="191">
        <v>12</v>
      </c>
      <c r="F407" s="192">
        <v>43100</v>
      </c>
      <c r="G407" s="24">
        <v>1212.2770249731238</v>
      </c>
      <c r="H407" s="24">
        <v>1063.1220000000001</v>
      </c>
      <c r="I407" s="193">
        <v>89.9</v>
      </c>
      <c r="J407" s="194">
        <v>73.45</v>
      </c>
      <c r="K407" s="193">
        <v>129.6</v>
      </c>
      <c r="L407" s="194">
        <v>102.7</v>
      </c>
      <c r="M407" s="195">
        <v>0.77949911585206011</v>
      </c>
      <c r="N407" s="195">
        <f t="shared" si="241"/>
        <v>0.86264362220058421</v>
      </c>
      <c r="O407" s="195">
        <f>G407/24/31/10</f>
        <v>0.16294046034584997</v>
      </c>
      <c r="P407" s="195">
        <f>H407/24/31/10</f>
        <v>0.1428927419354839</v>
      </c>
      <c r="Q407" s="195">
        <v>0.98499999999999999</v>
      </c>
      <c r="R407" s="195">
        <v>0.99129999999999996</v>
      </c>
      <c r="S407" s="196">
        <v>0.99</v>
      </c>
      <c r="T407" s="197">
        <v>0.99129999999999996</v>
      </c>
      <c r="U407" s="198">
        <v>1.4999999999999999E-2</v>
      </c>
      <c r="V407" s="197">
        <v>0</v>
      </c>
      <c r="W407" s="198">
        <v>0</v>
      </c>
      <c r="X407" s="197">
        <v>0</v>
      </c>
      <c r="Y407" s="199">
        <f t="shared" si="184"/>
        <v>8.4524648667818281E-2</v>
      </c>
    </row>
    <row r="408" spans="2:25">
      <c r="B408" s="189" t="s">
        <v>14</v>
      </c>
      <c r="C408" s="190" t="s">
        <v>65</v>
      </c>
      <c r="D408" s="190">
        <v>10</v>
      </c>
      <c r="E408" s="191">
        <v>12</v>
      </c>
      <c r="F408" s="192">
        <v>43131</v>
      </c>
      <c r="G408" s="24">
        <v>1019.8182391920955</v>
      </c>
      <c r="H408" s="24">
        <v>936.97799999999995</v>
      </c>
      <c r="I408" s="193">
        <v>79.599999999999994</v>
      </c>
      <c r="J408" s="194">
        <v>68.25</v>
      </c>
      <c r="K408" s="193">
        <v>103.2</v>
      </c>
      <c r="L408" s="194">
        <v>93.83</v>
      </c>
      <c r="M408" s="195">
        <v>0.82763481424572438</v>
      </c>
      <c r="N408" s="195">
        <f t="shared" si="241"/>
        <v>0.83215922412874344</v>
      </c>
      <c r="O408" s="195">
        <f>G408/24/31/10</f>
        <v>0.1370723439774322</v>
      </c>
      <c r="P408" s="195">
        <f>H408/24/31/10</f>
        <v>0.12593790322580645</v>
      </c>
      <c r="Q408" s="195">
        <v>0.98499999999999999</v>
      </c>
      <c r="R408" s="195">
        <v>0.97989999999999999</v>
      </c>
      <c r="S408" s="196">
        <v>0.99</v>
      </c>
      <c r="T408" s="197">
        <v>0.98509999999999998</v>
      </c>
      <c r="U408" s="198">
        <v>1.4999999999999999E-2</v>
      </c>
      <c r="V408" s="197">
        <v>0</v>
      </c>
      <c r="W408" s="198">
        <v>0</v>
      </c>
      <c r="X408" s="197">
        <v>0</v>
      </c>
      <c r="Y408" s="199">
        <f t="shared" si="184"/>
        <v>9.5641778645298992E-3</v>
      </c>
    </row>
    <row r="409" spans="2:25">
      <c r="B409" s="189" t="s">
        <v>14</v>
      </c>
      <c r="C409" s="190" t="s">
        <v>65</v>
      </c>
      <c r="D409" s="190">
        <v>10</v>
      </c>
      <c r="E409" s="191">
        <v>12</v>
      </c>
      <c r="F409" s="192">
        <v>43159</v>
      </c>
      <c r="G409" s="24">
        <v>1338.9383963364162</v>
      </c>
      <c r="H409" s="24">
        <f>1360578/1000</f>
        <v>1360.578</v>
      </c>
      <c r="I409" s="193">
        <v>108.1</v>
      </c>
      <c r="J409" s="194">
        <v>107.74</v>
      </c>
      <c r="K409" s="193">
        <v>137.5</v>
      </c>
      <c r="L409" s="194">
        <v>136.29</v>
      </c>
      <c r="M409" s="195">
        <v>0.81555559393111998</v>
      </c>
      <c r="N409" s="195">
        <f t="shared" si="241"/>
        <v>0.83191356665932947</v>
      </c>
      <c r="O409" s="195">
        <f>G409/24/28/10</f>
        <v>0.19924678516910957</v>
      </c>
      <c r="P409" s="195">
        <f>H409/24/28/10</f>
        <v>0.20246696428571428</v>
      </c>
      <c r="Q409" s="195">
        <v>0.98499999999999999</v>
      </c>
      <c r="R409" s="195">
        <v>0.93530000000000002</v>
      </c>
      <c r="S409" s="196">
        <v>0.99</v>
      </c>
      <c r="T409" s="197">
        <v>0.97399999999999998</v>
      </c>
      <c r="U409" s="198">
        <v>1.4999999999999999E-2</v>
      </c>
      <c r="V409" s="197">
        <v>0</v>
      </c>
      <c r="W409" s="198">
        <v>0</v>
      </c>
      <c r="X409" s="197">
        <v>0</v>
      </c>
      <c r="Y409" s="199">
        <f t="shared" si="184"/>
        <v>2.4961761977095986E-2</v>
      </c>
    </row>
    <row r="410" spans="2:25">
      <c r="B410" s="189" t="s">
        <v>14</v>
      </c>
      <c r="C410" s="190" t="s">
        <v>65</v>
      </c>
      <c r="D410" s="190">
        <v>10</v>
      </c>
      <c r="E410" s="191">
        <v>12</v>
      </c>
      <c r="F410" s="192">
        <v>43190</v>
      </c>
      <c r="G410" s="24">
        <v>1796</v>
      </c>
      <c r="H410" s="24">
        <v>1700.17</v>
      </c>
      <c r="I410" s="193">
        <v>161.4</v>
      </c>
      <c r="J410" s="194">
        <v>160.63</v>
      </c>
      <c r="K410" s="193">
        <v>187.8</v>
      </c>
      <c r="L410" s="194">
        <v>186.57</v>
      </c>
      <c r="M410" s="195">
        <v>0.80080060538540998</v>
      </c>
      <c r="N410" s="195">
        <f t="shared" si="241"/>
        <v>0.75939772382126469</v>
      </c>
      <c r="O410" s="195">
        <f>G410/24/31/10</f>
        <v>0.24139784946236556</v>
      </c>
      <c r="P410" s="195">
        <f>H410/24/31/10</f>
        <v>0.22851747311827958</v>
      </c>
      <c r="Q410" s="195">
        <v>0.98499999999999999</v>
      </c>
      <c r="R410" s="195">
        <v>0.92643655000000003</v>
      </c>
      <c r="S410" s="196">
        <v>0.99</v>
      </c>
      <c r="T410" s="197">
        <v>0.99950000000000006</v>
      </c>
      <c r="U410" s="198">
        <v>1.4999999999999999E-2</v>
      </c>
      <c r="V410" s="197">
        <v>0</v>
      </c>
      <c r="W410" s="198">
        <v>0</v>
      </c>
      <c r="X410" s="197">
        <v>0</v>
      </c>
      <c r="Y410" s="199">
        <f t="shared" si="184"/>
        <v>-4.6807940257725611E-2</v>
      </c>
    </row>
    <row r="411" spans="2:25">
      <c r="B411" s="189" t="s">
        <v>14</v>
      </c>
      <c r="C411" s="190" t="s">
        <v>65</v>
      </c>
      <c r="D411" s="190">
        <v>10</v>
      </c>
      <c r="E411" s="191">
        <v>12</v>
      </c>
      <c r="F411" s="192">
        <v>43220</v>
      </c>
      <c r="G411" s="24">
        <v>1745.714126920195</v>
      </c>
      <c r="H411" s="24">
        <v>1423.5239999999999</v>
      </c>
      <c r="I411" s="193">
        <v>190.2</v>
      </c>
      <c r="J411" s="194">
        <v>152.47999999999999</v>
      </c>
      <c r="K411" s="193">
        <v>194</v>
      </c>
      <c r="L411" s="194">
        <v>157.5</v>
      </c>
      <c r="M411" s="195">
        <f>G411/E411/K411/Q411</f>
        <v>0.76129665206630159</v>
      </c>
      <c r="N411" s="195">
        <f>H411/E411/L411/R411</f>
        <v>0.78187829432232747</v>
      </c>
      <c r="O411" s="195">
        <f>G411/24/DAY(F411)/D411</f>
        <v>0.24246029540558264</v>
      </c>
      <c r="P411" s="195">
        <f>H411/24/DAY(F411)/D411</f>
        <v>0.19771166666666667</v>
      </c>
      <c r="Q411" s="195">
        <v>0.98499999999999999</v>
      </c>
      <c r="R411" s="195">
        <v>0.96330504000000006</v>
      </c>
      <c r="S411" s="196">
        <v>0.99</v>
      </c>
      <c r="T411" s="197">
        <v>0.97540000000000004</v>
      </c>
      <c r="U411" s="198">
        <v>1.4999999999999999E-2</v>
      </c>
      <c r="V411" s="197">
        <v>0</v>
      </c>
      <c r="W411" s="198">
        <v>0</v>
      </c>
      <c r="X411" s="197">
        <v>0</v>
      </c>
      <c r="Y411" s="199">
        <f t="shared" si="184"/>
        <v>3.5836839401686138E-3</v>
      </c>
    </row>
    <row r="412" spans="2:25">
      <c r="B412" s="189" t="s">
        <v>14</v>
      </c>
      <c r="C412" s="190" t="s">
        <v>65</v>
      </c>
      <c r="D412" s="190">
        <v>10</v>
      </c>
      <c r="E412" s="191">
        <v>12</v>
      </c>
      <c r="F412" s="192">
        <v>43251</v>
      </c>
      <c r="G412" s="24">
        <v>1768.647838519252</v>
      </c>
      <c r="H412" s="24">
        <f>1618200/1000</f>
        <v>1618.2</v>
      </c>
      <c r="I412" s="193">
        <v>197</v>
      </c>
      <c r="J412" s="194">
        <v>170.16</v>
      </c>
      <c r="K412" s="193">
        <v>197.7</v>
      </c>
      <c r="L412" s="194">
        <v>171.85</v>
      </c>
      <c r="M412" s="195">
        <f t="shared" ref="M412:M469" si="242">G412/E412/K412/Q412</f>
        <v>0.75686290758239727</v>
      </c>
      <c r="N412" s="195">
        <f t="shared" ref="N412:N469" si="243">H412/E412/L412/R412</f>
        <v>0.79014797681541193</v>
      </c>
      <c r="O412" s="195">
        <f t="shared" ref="O412:O469" si="244">G412/24/DAY(F412)/D412</f>
        <v>0.23772148367194243</v>
      </c>
      <c r="P412" s="195">
        <f t="shared" ref="P412:P469" si="245">H412/24/DAY(F412)/D412</f>
        <v>0.21749999999999997</v>
      </c>
      <c r="Q412" s="195">
        <v>0.98499999999999999</v>
      </c>
      <c r="R412" s="195">
        <v>0.99309999999999998</v>
      </c>
      <c r="S412" s="196">
        <v>0.99</v>
      </c>
      <c r="T412" s="197">
        <v>0.999</v>
      </c>
      <c r="U412" s="198">
        <v>1.4999999999999999E-2</v>
      </c>
      <c r="V412" s="197">
        <v>0</v>
      </c>
      <c r="W412" s="198">
        <v>0</v>
      </c>
      <c r="X412" s="197">
        <v>0</v>
      </c>
      <c r="Y412" s="199">
        <f t="shared" si="184"/>
        <v>4.5689905329871605E-2</v>
      </c>
    </row>
    <row r="413" spans="2:25">
      <c r="B413" s="189" t="s">
        <v>14</v>
      </c>
      <c r="C413" s="190" t="s">
        <v>65</v>
      </c>
      <c r="D413" s="190">
        <v>10</v>
      </c>
      <c r="E413" s="191">
        <v>12</v>
      </c>
      <c r="F413" s="192">
        <v>43281</v>
      </c>
      <c r="G413" s="24">
        <v>1587.9301911186853</v>
      </c>
      <c r="H413" s="24">
        <f>1566774/1000</f>
        <v>1566.7739999999999</v>
      </c>
      <c r="I413" s="193">
        <v>178.9</v>
      </c>
      <c r="J413" s="194">
        <f>5.27*30</f>
        <v>158.1</v>
      </c>
      <c r="K413" s="193">
        <v>177.2</v>
      </c>
      <c r="L413" s="194">
        <f>5.29*30</f>
        <v>158.69999999999999</v>
      </c>
      <c r="M413" s="195">
        <f t="shared" si="242"/>
        <v>0.75814139821107307</v>
      </c>
      <c r="N413" s="195">
        <f t="shared" si="243"/>
        <v>0.83110684453624328</v>
      </c>
      <c r="O413" s="195">
        <f t="shared" si="244"/>
        <v>0.2205458598775952</v>
      </c>
      <c r="P413" s="195">
        <f t="shared" si="245"/>
        <v>0.21760749999999995</v>
      </c>
      <c r="Q413" s="195">
        <v>0.98499999999999999</v>
      </c>
      <c r="R413" s="195">
        <v>0.9899</v>
      </c>
      <c r="S413" s="196">
        <v>0.99</v>
      </c>
      <c r="T413" s="197">
        <v>0.99050000000000005</v>
      </c>
      <c r="U413" s="198">
        <v>1.4999999999999999E-2</v>
      </c>
      <c r="V413" s="197">
        <v>0</v>
      </c>
      <c r="W413" s="198">
        <v>0</v>
      </c>
      <c r="X413" s="197">
        <v>0</v>
      </c>
      <c r="Y413" s="199">
        <f t="shared" si="184"/>
        <v>9.1078681693331665E-2</v>
      </c>
    </row>
    <row r="414" spans="2:25">
      <c r="B414" s="189" t="s">
        <v>14</v>
      </c>
      <c r="C414" s="190" t="s">
        <v>65</v>
      </c>
      <c r="D414" s="190">
        <v>10</v>
      </c>
      <c r="E414" s="191">
        <v>12</v>
      </c>
      <c r="F414" s="192">
        <v>43312</v>
      </c>
      <c r="G414" s="24">
        <v>1405.3778467901941</v>
      </c>
      <c r="H414" s="24">
        <f>1264512/1000</f>
        <v>1264.5119999999999</v>
      </c>
      <c r="I414" s="193">
        <v>155.5</v>
      </c>
      <c r="J414" s="194">
        <v>129.63</v>
      </c>
      <c r="K414" s="193">
        <v>154.6</v>
      </c>
      <c r="L414" s="194">
        <v>127.09</v>
      </c>
      <c r="M414" s="195">
        <f t="shared" si="242"/>
        <v>0.76907047212619772</v>
      </c>
      <c r="N414" s="195">
        <f t="shared" si="243"/>
        <v>0.84108815236951684</v>
      </c>
      <c r="O414" s="195">
        <f t="shared" si="244"/>
        <v>0.18889487188040244</v>
      </c>
      <c r="P414" s="195">
        <f t="shared" si="245"/>
        <v>0.16996129032258062</v>
      </c>
      <c r="Q414" s="195">
        <v>0.98499999999999999</v>
      </c>
      <c r="R414" s="195">
        <v>0.98580000000000001</v>
      </c>
      <c r="S414" s="196">
        <v>0.99</v>
      </c>
      <c r="T414" s="197">
        <v>0.99009999999999998</v>
      </c>
      <c r="U414" s="198">
        <v>1.4999999999999999E-2</v>
      </c>
      <c r="V414" s="197">
        <v>0</v>
      </c>
      <c r="W414" s="198">
        <v>0</v>
      </c>
      <c r="X414" s="197">
        <v>0</v>
      </c>
      <c r="Y414" s="199">
        <f t="shared" si="184"/>
        <v>7.770964552605153E-2</v>
      </c>
    </row>
    <row r="415" spans="2:25">
      <c r="B415" s="189" t="s">
        <v>14</v>
      </c>
      <c r="C415" s="190" t="s">
        <v>65</v>
      </c>
      <c r="D415" s="190">
        <v>10</v>
      </c>
      <c r="E415" s="191">
        <v>12</v>
      </c>
      <c r="F415" s="192">
        <v>43343</v>
      </c>
      <c r="G415" s="24">
        <v>1334.7420150650994</v>
      </c>
      <c r="H415" s="24">
        <f>1100610/1000</f>
        <v>1100.6099999999999</v>
      </c>
      <c r="I415" s="193">
        <v>145.4</v>
      </c>
      <c r="J415" s="194">
        <v>113.41</v>
      </c>
      <c r="K415" s="193">
        <v>146.30000000000001</v>
      </c>
      <c r="L415" s="194">
        <v>111.84</v>
      </c>
      <c r="M415" s="195">
        <f t="shared" si="242"/>
        <v>0.7718546568689254</v>
      </c>
      <c r="N415" s="195">
        <f t="shared" si="243"/>
        <v>0.84084670327034838</v>
      </c>
      <c r="O415" s="195">
        <f t="shared" si="244"/>
        <v>0.17940080847649184</v>
      </c>
      <c r="P415" s="195">
        <f t="shared" si="245"/>
        <v>0.14793145161290319</v>
      </c>
      <c r="Q415" s="195">
        <v>0.98499999999999999</v>
      </c>
      <c r="R415" s="195">
        <v>0.97529999999999994</v>
      </c>
      <c r="S415" s="196">
        <v>0.99</v>
      </c>
      <c r="T415" s="197">
        <v>0.99939999999999996</v>
      </c>
      <c r="U415" s="198">
        <v>1.4999999999999999E-2</v>
      </c>
      <c r="V415" s="197">
        <v>0</v>
      </c>
      <c r="W415" s="198">
        <v>0</v>
      </c>
      <c r="X415" s="197">
        <v>0</v>
      </c>
      <c r="Y415" s="199">
        <f t="shared" si="184"/>
        <v>6.0129719205548215E-2</v>
      </c>
    </row>
    <row r="416" spans="2:25">
      <c r="B416" s="189" t="s">
        <v>14</v>
      </c>
      <c r="C416" s="190" t="s">
        <v>65</v>
      </c>
      <c r="D416" s="190">
        <v>10</v>
      </c>
      <c r="E416" s="191">
        <v>12</v>
      </c>
      <c r="F416" s="192">
        <v>43373</v>
      </c>
      <c r="G416" s="24">
        <v>1330.1552727452881</v>
      </c>
      <c r="H416" s="24">
        <f>1165686/1000</f>
        <v>1165.6859999999999</v>
      </c>
      <c r="I416" s="193">
        <v>141.6</v>
      </c>
      <c r="J416" s="194">
        <v>118.87</v>
      </c>
      <c r="K416" s="193">
        <v>145.5</v>
      </c>
      <c r="L416" s="194">
        <v>121.68</v>
      </c>
      <c r="M416" s="195">
        <f t="shared" si="242"/>
        <v>0.77343152600885456</v>
      </c>
      <c r="N416" s="195">
        <f t="shared" si="243"/>
        <v>0.82591307732166241</v>
      </c>
      <c r="O416" s="195">
        <f t="shared" si="244"/>
        <v>0.18474378788129003</v>
      </c>
      <c r="P416" s="195">
        <f t="shared" si="245"/>
        <v>0.16190083333333333</v>
      </c>
      <c r="Q416" s="195">
        <v>0.98499999999999999</v>
      </c>
      <c r="R416" s="195">
        <v>0.96660000000000001</v>
      </c>
      <c r="S416" s="196">
        <v>0.99</v>
      </c>
      <c r="T416" s="197">
        <v>0.98180000000000001</v>
      </c>
      <c r="U416" s="198">
        <v>1.4999999999999999E-2</v>
      </c>
      <c r="V416" s="197">
        <v>0</v>
      </c>
      <c r="W416" s="198">
        <v>0</v>
      </c>
      <c r="X416" s="197">
        <v>0</v>
      </c>
      <c r="Y416" s="199">
        <f t="shared" si="184"/>
        <v>4.0064668185826213E-2</v>
      </c>
    </row>
    <row r="417" spans="2:25">
      <c r="B417" s="189" t="s">
        <v>14</v>
      </c>
      <c r="C417" s="190" t="s">
        <v>65</v>
      </c>
      <c r="D417" s="190">
        <v>10</v>
      </c>
      <c r="E417" s="191">
        <v>12</v>
      </c>
      <c r="F417" s="192">
        <v>43404</v>
      </c>
      <c r="G417" s="24">
        <v>1524.633147105289</v>
      </c>
      <c r="H417" s="24">
        <f>1567104/1000</f>
        <v>1567.104</v>
      </c>
      <c r="I417" s="193">
        <v>139.1</v>
      </c>
      <c r="J417" s="194">
        <f>4.43*31</f>
        <v>137.32999999999998</v>
      </c>
      <c r="K417" s="193">
        <v>172.2</v>
      </c>
      <c r="L417" s="194">
        <f>5.32*31</f>
        <v>164.92000000000002</v>
      </c>
      <c r="M417" s="195">
        <f t="shared" si="242"/>
        <v>0.74905677059949238</v>
      </c>
      <c r="N417" s="195">
        <f t="shared" si="243"/>
        <v>0.81082387285224677</v>
      </c>
      <c r="O417" s="195">
        <f t="shared" si="244"/>
        <v>0.2049238100947969</v>
      </c>
      <c r="P417" s="195">
        <f t="shared" si="245"/>
        <v>0.21063225806451613</v>
      </c>
      <c r="Q417" s="195">
        <v>0.98499999999999999</v>
      </c>
      <c r="R417" s="195">
        <v>0.97660000000000002</v>
      </c>
      <c r="S417" s="196">
        <v>0.99</v>
      </c>
      <c r="T417" s="197">
        <v>0.97660000000000002</v>
      </c>
      <c r="U417" s="198">
        <v>1.4999999999999999E-2</v>
      </c>
      <c r="V417" s="197">
        <v>0</v>
      </c>
      <c r="W417" s="198">
        <v>0</v>
      </c>
      <c r="X417" s="197">
        <v>0</v>
      </c>
      <c r="Y417" s="199">
        <f t="shared" si="184"/>
        <v>7.0132863492508579E-2</v>
      </c>
    </row>
    <row r="418" spans="2:25">
      <c r="B418" s="189" t="s">
        <v>14</v>
      </c>
      <c r="C418" s="190" t="s">
        <v>65</v>
      </c>
      <c r="D418" s="190">
        <v>10</v>
      </c>
      <c r="E418" s="191">
        <v>12</v>
      </c>
      <c r="F418" s="192">
        <v>43434</v>
      </c>
      <c r="G418" s="24">
        <v>1349.4195904884955</v>
      </c>
      <c r="H418" s="24">
        <f>1213506/1000</f>
        <v>1213.5060000000001</v>
      </c>
      <c r="I418" s="193">
        <v>108.1</v>
      </c>
      <c r="J418" s="194">
        <f>3.3*30</f>
        <v>99</v>
      </c>
      <c r="K418" s="193">
        <v>152.1</v>
      </c>
      <c r="L418" s="194">
        <f>4.47*30</f>
        <v>134.1</v>
      </c>
      <c r="M418" s="195">
        <f t="shared" si="242"/>
        <v>0.75058575903982472</v>
      </c>
      <c r="N418" s="195">
        <f t="shared" si="243"/>
        <v>0.75926816896281746</v>
      </c>
      <c r="O418" s="195">
        <f t="shared" si="244"/>
        <v>0.1874193875678466</v>
      </c>
      <c r="P418" s="195">
        <f t="shared" si="245"/>
        <v>0.16854249999999998</v>
      </c>
      <c r="Q418" s="195">
        <v>0.98499999999999999</v>
      </c>
      <c r="R418" s="195">
        <v>0.99319999999999997</v>
      </c>
      <c r="S418" s="196">
        <v>0.99</v>
      </c>
      <c r="T418" s="197">
        <v>0.99990000000000001</v>
      </c>
      <c r="U418" s="198">
        <v>1.4999999999999999E-2</v>
      </c>
      <c r="V418" s="197">
        <v>0</v>
      </c>
      <c r="W418" s="198">
        <v>0</v>
      </c>
      <c r="X418" s="197">
        <v>0</v>
      </c>
      <c r="Y418" s="199">
        <f t="shared" si="184"/>
        <v>1.7623158706484232E-2</v>
      </c>
    </row>
    <row r="419" spans="2:25">
      <c r="B419" s="189" t="s">
        <v>14</v>
      </c>
      <c r="C419" s="190" t="s">
        <v>65</v>
      </c>
      <c r="D419" s="190">
        <v>10</v>
      </c>
      <c r="E419" s="191">
        <v>12</v>
      </c>
      <c r="F419" s="192">
        <v>43465</v>
      </c>
      <c r="G419" s="24">
        <v>1133.8427014573629</v>
      </c>
      <c r="H419" s="24">
        <f>1111938/1000</f>
        <v>1111.9380000000001</v>
      </c>
      <c r="I419" s="193">
        <v>89.9</v>
      </c>
      <c r="J419" s="194">
        <v>86.8</v>
      </c>
      <c r="K419" s="193">
        <v>129.6</v>
      </c>
      <c r="L419" s="194">
        <v>125.55</v>
      </c>
      <c r="M419" s="195">
        <f t="shared" si="242"/>
        <v>0.74016804371211364</v>
      </c>
      <c r="N419" s="195">
        <f t="shared" si="243"/>
        <v>0.77648038268651076</v>
      </c>
      <c r="O419" s="195">
        <f t="shared" si="244"/>
        <v>0.15239821256147351</v>
      </c>
      <c r="P419" s="195">
        <f t="shared" si="245"/>
        <v>0.14945403225806453</v>
      </c>
      <c r="Q419" s="195">
        <v>0.98499999999999999</v>
      </c>
      <c r="R419" s="195">
        <v>0.95050000000000001</v>
      </c>
      <c r="S419" s="196">
        <v>0.99</v>
      </c>
      <c r="T419" s="197">
        <v>0.99829999999999997</v>
      </c>
      <c r="U419" s="198">
        <v>1.4999999999999999E-2</v>
      </c>
      <c r="V419" s="197">
        <v>0</v>
      </c>
      <c r="W419" s="198">
        <v>0</v>
      </c>
      <c r="X419" s="197">
        <v>0</v>
      </c>
      <c r="Y419" s="199">
        <f t="shared" si="184"/>
        <v>1.1931005020177854E-2</v>
      </c>
    </row>
    <row r="420" spans="2:25">
      <c r="B420" s="189" t="s">
        <v>14</v>
      </c>
      <c r="C420" s="190" t="s">
        <v>65</v>
      </c>
      <c r="D420" s="190">
        <v>10</v>
      </c>
      <c r="E420" s="191">
        <v>12</v>
      </c>
      <c r="F420" s="192">
        <v>43496</v>
      </c>
      <c r="G420" s="24">
        <v>953.83599911636691</v>
      </c>
      <c r="H420" s="24">
        <f>1119978/1000</f>
        <v>1119.9780000000001</v>
      </c>
      <c r="I420" s="193">
        <v>79.599999999999994</v>
      </c>
      <c r="J420" s="194">
        <v>84.01</v>
      </c>
      <c r="K420" s="193">
        <v>103.2</v>
      </c>
      <c r="L420" s="194">
        <v>119.97</v>
      </c>
      <c r="M420" s="195">
        <f t="shared" si="242"/>
        <v>0.78194559142660491</v>
      </c>
      <c r="N420" s="195">
        <f t="shared" si="243"/>
        <v>0.79205557854542041</v>
      </c>
      <c r="O420" s="195">
        <f t="shared" si="244"/>
        <v>0.12820376332209232</v>
      </c>
      <c r="P420" s="195">
        <f t="shared" si="245"/>
        <v>0.15053467741935483</v>
      </c>
      <c r="Q420" s="195">
        <v>0.98499999999999999</v>
      </c>
      <c r="R420" s="195">
        <v>0.98219999999999996</v>
      </c>
      <c r="S420" s="196">
        <v>0.99</v>
      </c>
      <c r="T420" s="197">
        <v>0.99409999999999998</v>
      </c>
      <c r="U420" s="198">
        <v>1.4999999999999999E-2</v>
      </c>
      <c r="V420" s="197">
        <v>0</v>
      </c>
      <c r="W420" s="198">
        <v>0</v>
      </c>
      <c r="X420" s="197">
        <v>0</v>
      </c>
      <c r="Y420" s="199">
        <f t="shared" si="184"/>
        <v>1.1682984325971368E-2</v>
      </c>
    </row>
    <row r="421" spans="2:25">
      <c r="B421" s="189" t="s">
        <v>14</v>
      </c>
      <c r="C421" s="190" t="s">
        <v>65</v>
      </c>
      <c r="D421" s="190">
        <v>10</v>
      </c>
      <c r="E421" s="191">
        <v>12</v>
      </c>
      <c r="F421" s="192">
        <v>43524</v>
      </c>
      <c r="G421" s="24">
        <v>1252.3090820934501</v>
      </c>
      <c r="H421" s="24">
        <v>1006.722</v>
      </c>
      <c r="I421" s="193">
        <v>108.1</v>
      </c>
      <c r="J421" s="194">
        <v>88.2</v>
      </c>
      <c r="K421" s="193">
        <v>137.5</v>
      </c>
      <c r="L421" s="194">
        <v>107.24000000000001</v>
      </c>
      <c r="M421" s="195">
        <f t="shared" si="242"/>
        <v>0.77053319925762209</v>
      </c>
      <c r="N421" s="195">
        <f t="shared" si="243"/>
        <v>0.83444983215218194</v>
      </c>
      <c r="O421" s="195">
        <f t="shared" si="244"/>
        <v>0.18635551816866819</v>
      </c>
      <c r="P421" s="195">
        <f t="shared" si="245"/>
        <v>0.14980982142857144</v>
      </c>
      <c r="Q421" s="195">
        <v>0.98499999999999999</v>
      </c>
      <c r="R421" s="195">
        <v>0.9375</v>
      </c>
      <c r="S421" s="196">
        <v>0.99</v>
      </c>
      <c r="T421" s="197">
        <v>0.96640000000000004</v>
      </c>
      <c r="U421" s="198">
        <v>1.4999999999999999E-2</v>
      </c>
      <c r="V421" s="197">
        <v>0</v>
      </c>
      <c r="W421" s="198">
        <v>0</v>
      </c>
      <c r="X421" s="197">
        <v>0</v>
      </c>
      <c r="Y421" s="199">
        <f t="shared" ref="Y421:Y511" si="246">(H421/G421-1)-(L421/K421-1)</f>
        <v>2.3965324072465322E-2</v>
      </c>
    </row>
    <row r="422" spans="2:25">
      <c r="B422" s="189" t="s">
        <v>14</v>
      </c>
      <c r="C422" s="190" t="s">
        <v>65</v>
      </c>
      <c r="D422" s="190">
        <v>10</v>
      </c>
      <c r="E422" s="191">
        <v>12</v>
      </c>
      <c r="F422" s="192">
        <v>43555</v>
      </c>
      <c r="G422" s="24">
        <v>1679.4815678221196</v>
      </c>
      <c r="H422" s="24">
        <f>1664346/1000</f>
        <v>1664.346</v>
      </c>
      <c r="I422" s="193">
        <v>161.4</v>
      </c>
      <c r="J422" s="194">
        <v>154.11000000000001</v>
      </c>
      <c r="K422" s="193">
        <v>187.8</v>
      </c>
      <c r="L422" s="194">
        <v>178.6</v>
      </c>
      <c r="M422" s="195">
        <f t="shared" si="242"/>
        <v>0.7565927534882122</v>
      </c>
      <c r="N422" s="195">
        <f t="shared" si="243"/>
        <v>0.78520783489606283</v>
      </c>
      <c r="O422" s="195">
        <f t="shared" si="244"/>
        <v>0.22573676986856445</v>
      </c>
      <c r="P422" s="195">
        <f t="shared" si="245"/>
        <v>0.22370241935483876</v>
      </c>
      <c r="Q422" s="195">
        <v>0.98499999999999999</v>
      </c>
      <c r="R422" s="195">
        <v>0.98899999999999999</v>
      </c>
      <c r="S422" s="196">
        <v>0.99</v>
      </c>
      <c r="T422" s="197">
        <v>0.99419999999999997</v>
      </c>
      <c r="U422" s="198">
        <v>1.4999999999999999E-2</v>
      </c>
      <c r="V422" s="197">
        <v>0</v>
      </c>
      <c r="W422" s="198">
        <v>0</v>
      </c>
      <c r="X422" s="197">
        <v>0</v>
      </c>
      <c r="Y422" s="199">
        <f t="shared" si="246"/>
        <v>3.9976237816212623E-2</v>
      </c>
    </row>
    <row r="423" spans="2:25">
      <c r="B423" s="189" t="s">
        <v>14</v>
      </c>
      <c r="C423" s="190" t="s">
        <v>65</v>
      </c>
      <c r="D423" s="190">
        <v>10</v>
      </c>
      <c r="E423" s="191">
        <v>12</v>
      </c>
      <c r="F423" s="192">
        <v>43585</v>
      </c>
      <c r="G423" s="24">
        <v>1736.9855562855939</v>
      </c>
      <c r="H423" s="24">
        <f>1634376/1000</f>
        <v>1634.376</v>
      </c>
      <c r="I423" s="193">
        <v>190.2</v>
      </c>
      <c r="J423" s="194">
        <f>5.75*30</f>
        <v>172.5</v>
      </c>
      <c r="K423" s="193">
        <v>194</v>
      </c>
      <c r="L423" s="194">
        <f>6.01*30</f>
        <v>180.29999999999998</v>
      </c>
      <c r="M423" s="195">
        <f t="shared" si="242"/>
        <v>0.75749016880597009</v>
      </c>
      <c r="N423" s="195">
        <f t="shared" si="243"/>
        <v>0.76087486028076601</v>
      </c>
      <c r="O423" s="195">
        <f t="shared" si="244"/>
        <v>0.2412479939285547</v>
      </c>
      <c r="P423" s="195">
        <f t="shared" si="245"/>
        <v>0.22699666666666668</v>
      </c>
      <c r="Q423" s="195">
        <v>0.98499999999999999</v>
      </c>
      <c r="R423" s="195">
        <v>0.99280000000000002</v>
      </c>
      <c r="S423" s="196">
        <v>0.99</v>
      </c>
      <c r="T423" s="197">
        <v>0.99560000000000004</v>
      </c>
      <c r="U423" s="198">
        <v>1.4999999999999999E-2</v>
      </c>
      <c r="V423" s="197">
        <v>0</v>
      </c>
      <c r="W423" s="198">
        <v>0</v>
      </c>
      <c r="X423" s="197">
        <v>0</v>
      </c>
      <c r="Y423" s="199">
        <f t="shared" si="246"/>
        <v>1.1545206370463856E-2</v>
      </c>
    </row>
    <row r="424" spans="2:25">
      <c r="B424" s="189" t="s">
        <v>14</v>
      </c>
      <c r="C424" s="190" t="s">
        <v>65</v>
      </c>
      <c r="D424" s="190">
        <v>10</v>
      </c>
      <c r="E424" s="191">
        <v>12</v>
      </c>
      <c r="F424" s="192">
        <v>43616</v>
      </c>
      <c r="G424" s="24">
        <v>1759.8045993266555</v>
      </c>
      <c r="H424" s="24">
        <f>1627170/1000</f>
        <v>1627.17</v>
      </c>
      <c r="I424" s="193">
        <v>197</v>
      </c>
      <c r="J424" s="194">
        <v>189.86</v>
      </c>
      <c r="K424" s="193">
        <v>197.7</v>
      </c>
      <c r="L424" s="194">
        <v>190.94</v>
      </c>
      <c r="M424" s="195">
        <f t="shared" si="242"/>
        <v>0.75307859304448521</v>
      </c>
      <c r="N424" s="195">
        <f t="shared" si="243"/>
        <v>0.73249885625973676</v>
      </c>
      <c r="O424" s="195">
        <f t="shared" si="244"/>
        <v>0.23653287625358271</v>
      </c>
      <c r="P424" s="195">
        <f t="shared" si="245"/>
        <v>0.21870564516129032</v>
      </c>
      <c r="Q424" s="195">
        <v>0.98499999999999999</v>
      </c>
      <c r="R424" s="195">
        <v>0.96950000000000003</v>
      </c>
      <c r="S424" s="196">
        <v>0.99</v>
      </c>
      <c r="T424" s="197">
        <v>0.9859</v>
      </c>
      <c r="U424" s="198">
        <v>1.4999999999999999E-2</v>
      </c>
      <c r="V424" s="197">
        <v>0</v>
      </c>
      <c r="W424" s="198">
        <v>0</v>
      </c>
      <c r="X424" s="197">
        <v>0</v>
      </c>
      <c r="Y424" s="199">
        <f t="shared" si="246"/>
        <v>-4.1175713439224437E-2</v>
      </c>
    </row>
    <row r="425" spans="2:25">
      <c r="B425" s="189" t="s">
        <v>14</v>
      </c>
      <c r="C425" s="190" t="s">
        <v>65</v>
      </c>
      <c r="D425" s="190">
        <v>10</v>
      </c>
      <c r="E425" s="191">
        <v>12</v>
      </c>
      <c r="F425" s="192">
        <v>43646</v>
      </c>
      <c r="G425" s="24">
        <v>1579.9905401630917</v>
      </c>
      <c r="H425" s="24">
        <f>1613106/1000</f>
        <v>1613.106</v>
      </c>
      <c r="I425" s="193">
        <v>178.9</v>
      </c>
      <c r="J425" s="194">
        <v>188.4</v>
      </c>
      <c r="K425" s="193">
        <v>177.2</v>
      </c>
      <c r="L425" s="194">
        <v>185.1</v>
      </c>
      <c r="M425" s="195">
        <f t="shared" si="242"/>
        <v>0.75435069122001763</v>
      </c>
      <c r="N425" s="195">
        <f t="shared" si="243"/>
        <v>0.72914836005285333</v>
      </c>
      <c r="O425" s="195">
        <f t="shared" si="244"/>
        <v>0.21944313057820719</v>
      </c>
      <c r="P425" s="195">
        <f t="shared" si="245"/>
        <v>0.22404250000000001</v>
      </c>
      <c r="Q425" s="195">
        <v>0.98499999999999999</v>
      </c>
      <c r="R425" s="195">
        <v>0.996</v>
      </c>
      <c r="S425" s="196">
        <v>0.99</v>
      </c>
      <c r="T425" s="197">
        <v>0.99909999999999999</v>
      </c>
      <c r="U425" s="198">
        <v>1.4999999999999999E-2</v>
      </c>
      <c r="V425" s="197">
        <v>0</v>
      </c>
      <c r="W425" s="198">
        <v>0</v>
      </c>
      <c r="X425" s="197">
        <v>0</v>
      </c>
      <c r="Y425" s="199">
        <f t="shared" si="246"/>
        <v>-2.3623115492819258E-2</v>
      </c>
    </row>
    <row r="426" spans="2:25">
      <c r="B426" s="189" t="s">
        <v>14</v>
      </c>
      <c r="C426" s="190" t="s">
        <v>65</v>
      </c>
      <c r="D426" s="190">
        <v>10</v>
      </c>
      <c r="E426" s="191">
        <v>12</v>
      </c>
      <c r="F426" s="192">
        <v>43677</v>
      </c>
      <c r="G426" s="24">
        <v>1398.3509575562432</v>
      </c>
      <c r="H426" s="24">
        <v>1209.5340000000001</v>
      </c>
      <c r="I426" s="193">
        <v>155.5</v>
      </c>
      <c r="J426" s="194">
        <v>141.97999999999999</v>
      </c>
      <c r="K426" s="193">
        <v>154.6</v>
      </c>
      <c r="L426" s="194">
        <v>139.81</v>
      </c>
      <c r="M426" s="195">
        <f t="shared" si="242"/>
        <v>0.76522511976556684</v>
      </c>
      <c r="N426" s="195">
        <f t="shared" si="243"/>
        <v>0.76386854384266467</v>
      </c>
      <c r="O426" s="195">
        <f t="shared" si="244"/>
        <v>0.18795039752100046</v>
      </c>
      <c r="P426" s="195">
        <f t="shared" si="245"/>
        <v>0.1625717741935484</v>
      </c>
      <c r="Q426" s="195">
        <v>0.98499999999999999</v>
      </c>
      <c r="R426" s="195">
        <v>0.94379999999999997</v>
      </c>
      <c r="S426" s="196">
        <v>0.99</v>
      </c>
      <c r="T426" s="197">
        <v>0.98119999999999996</v>
      </c>
      <c r="U426" s="198">
        <v>1.4999999999999999E-2</v>
      </c>
      <c r="V426" s="197">
        <v>0</v>
      </c>
      <c r="W426" s="198">
        <v>0</v>
      </c>
      <c r="X426" s="197">
        <v>0</v>
      </c>
      <c r="Y426" s="199">
        <f t="shared" si="246"/>
        <v>-3.9362068096468139E-2</v>
      </c>
    </row>
    <row r="427" spans="2:25">
      <c r="B427" s="189" t="s">
        <v>14</v>
      </c>
      <c r="C427" s="190" t="s">
        <v>65</v>
      </c>
      <c r="D427" s="190">
        <v>10</v>
      </c>
      <c r="E427" s="191">
        <v>12</v>
      </c>
      <c r="F427" s="192">
        <v>43708</v>
      </c>
      <c r="G427" s="24">
        <v>1328.0683049897737</v>
      </c>
      <c r="H427" s="24">
        <f>1145082/1000</f>
        <v>1145.0820000000001</v>
      </c>
      <c r="I427" s="193">
        <v>145.4</v>
      </c>
      <c r="J427" s="194">
        <v>132</v>
      </c>
      <c r="K427" s="193">
        <v>146.30000000000001</v>
      </c>
      <c r="L427" s="194">
        <v>140</v>
      </c>
      <c r="M427" s="195">
        <f t="shared" si="242"/>
        <v>0.76799538358458064</v>
      </c>
      <c r="N427" s="195">
        <f t="shared" si="243"/>
        <v>0.72218311991039263</v>
      </c>
      <c r="O427" s="195">
        <f t="shared" si="244"/>
        <v>0.17850380443410935</v>
      </c>
      <c r="P427" s="195">
        <f t="shared" si="245"/>
        <v>0.15390887096774195</v>
      </c>
      <c r="Q427" s="195">
        <v>0.98499999999999999</v>
      </c>
      <c r="R427" s="195">
        <v>0.94379999999999997</v>
      </c>
      <c r="S427" s="196">
        <v>0.99</v>
      </c>
      <c r="T427" s="197">
        <v>0.98119999999999996</v>
      </c>
      <c r="U427" s="198">
        <v>1.4999999999999999E-2</v>
      </c>
      <c r="V427" s="197">
        <v>0</v>
      </c>
      <c r="W427" s="198">
        <v>0</v>
      </c>
      <c r="X427" s="197">
        <v>0</v>
      </c>
      <c r="Y427" s="199">
        <f t="shared" si="246"/>
        <v>-9.4721604516217028E-2</v>
      </c>
    </row>
    <row r="428" spans="2:25">
      <c r="B428" s="189" t="s">
        <v>14</v>
      </c>
      <c r="C428" s="190" t="s">
        <v>65</v>
      </c>
      <c r="D428" s="190">
        <v>10</v>
      </c>
      <c r="E428" s="191">
        <v>12</v>
      </c>
      <c r="F428" s="192">
        <v>43738</v>
      </c>
      <c r="G428" s="24">
        <v>1323.5044963815615</v>
      </c>
      <c r="H428" s="24">
        <f>1224456/1000</f>
        <v>1224.4559999999999</v>
      </c>
      <c r="I428" s="193">
        <v>141.6</v>
      </c>
      <c r="J428" s="194">
        <v>143</v>
      </c>
      <c r="K428" s="193">
        <v>145.5</v>
      </c>
      <c r="L428" s="194">
        <v>151</v>
      </c>
      <c r="M428" s="195">
        <f t="shared" si="242"/>
        <v>0.76956436837881015</v>
      </c>
      <c r="N428" s="195">
        <f t="shared" si="243"/>
        <v>0.70273330321428962</v>
      </c>
      <c r="O428" s="195">
        <f t="shared" si="244"/>
        <v>0.18382006894188352</v>
      </c>
      <c r="P428" s="195">
        <f t="shared" si="245"/>
        <v>0.17006333333333332</v>
      </c>
      <c r="Q428" s="195">
        <v>0.98499999999999999</v>
      </c>
      <c r="R428" s="195">
        <v>0.96160000000000001</v>
      </c>
      <c r="S428" s="196">
        <v>0.99</v>
      </c>
      <c r="T428" s="197">
        <v>0.99760000000000004</v>
      </c>
      <c r="U428" s="198">
        <v>1.4999999999999999E-2</v>
      </c>
      <c r="V428" s="197">
        <v>0</v>
      </c>
      <c r="W428" s="198">
        <v>0</v>
      </c>
      <c r="X428" s="197">
        <v>0</v>
      </c>
      <c r="Y428" s="199">
        <f t="shared" si="246"/>
        <v>-0.11263873781875655</v>
      </c>
    </row>
    <row r="429" spans="2:25">
      <c r="B429" s="189" t="s">
        <v>14</v>
      </c>
      <c r="C429" s="190" t="s">
        <v>65</v>
      </c>
      <c r="D429" s="190">
        <v>10</v>
      </c>
      <c r="E429" s="191">
        <v>12</v>
      </c>
      <c r="F429" s="192">
        <v>43769</v>
      </c>
      <c r="G429" s="24">
        <v>1517.0099813697625</v>
      </c>
      <c r="H429" s="24">
        <f>1169736/1000</f>
        <v>1169.7360000000001</v>
      </c>
      <c r="I429" s="193">
        <v>139.1</v>
      </c>
      <c r="J429" s="194">
        <v>124.93</v>
      </c>
      <c r="K429" s="193">
        <v>172.2</v>
      </c>
      <c r="L429" s="194">
        <v>150.97</v>
      </c>
      <c r="M429" s="195">
        <f t="shared" si="242"/>
        <v>0.74531148674649483</v>
      </c>
      <c r="N429" s="195">
        <f t="shared" si="243"/>
        <v>0.71773893870769534</v>
      </c>
      <c r="O429" s="195">
        <f t="shared" si="244"/>
        <v>0.20389919104432291</v>
      </c>
      <c r="P429" s="195">
        <f t="shared" si="245"/>
        <v>0.15722258064516131</v>
      </c>
      <c r="Q429" s="195">
        <v>0.98499999999999999</v>
      </c>
      <c r="R429" s="195">
        <v>0.89959999999999996</v>
      </c>
      <c r="S429" s="196">
        <v>0.99</v>
      </c>
      <c r="T429" s="197">
        <v>0.98880000000000001</v>
      </c>
      <c r="U429" s="198">
        <v>1.4999999999999999E-2</v>
      </c>
      <c r="V429" s="197">
        <v>0</v>
      </c>
      <c r="W429" s="198">
        <v>0</v>
      </c>
      <c r="X429" s="197">
        <v>0</v>
      </c>
      <c r="Y429" s="199">
        <f t="shared" si="246"/>
        <v>-0.10563316147530299</v>
      </c>
    </row>
    <row r="430" spans="2:25">
      <c r="B430" s="189" t="s">
        <v>14</v>
      </c>
      <c r="C430" s="190" t="s">
        <v>65</v>
      </c>
      <c r="D430" s="190">
        <v>10</v>
      </c>
      <c r="E430" s="191">
        <v>12</v>
      </c>
      <c r="F430" s="192">
        <v>43799</v>
      </c>
      <c r="G430" s="24">
        <v>1342.6724925360531</v>
      </c>
      <c r="H430" s="24">
        <f>1116108/1000</f>
        <v>1116.1079999999999</v>
      </c>
      <c r="I430" s="193">
        <v>108.1</v>
      </c>
      <c r="J430" s="194">
        <v>93.6</v>
      </c>
      <c r="K430" s="193">
        <v>152.1</v>
      </c>
      <c r="L430" s="194">
        <v>126</v>
      </c>
      <c r="M430" s="195">
        <f t="shared" si="242"/>
        <v>0.74683283024462566</v>
      </c>
      <c r="N430" s="195">
        <f t="shared" si="243"/>
        <v>0.74607506232733645</v>
      </c>
      <c r="O430" s="195">
        <f t="shared" si="244"/>
        <v>0.18648229063000737</v>
      </c>
      <c r="P430" s="195">
        <f t="shared" si="245"/>
        <v>0.15501499999999999</v>
      </c>
      <c r="Q430" s="195">
        <v>0.98499999999999999</v>
      </c>
      <c r="R430" s="195">
        <v>0.98939999999999995</v>
      </c>
      <c r="S430" s="196">
        <v>0.99</v>
      </c>
      <c r="T430" s="197">
        <v>1</v>
      </c>
      <c r="U430" s="198">
        <v>1.4999999999999999E-2</v>
      </c>
      <c r="V430" s="197">
        <v>0</v>
      </c>
      <c r="W430" s="198">
        <v>0</v>
      </c>
      <c r="X430" s="197">
        <v>0</v>
      </c>
      <c r="Y430" s="199">
        <f t="shared" si="246"/>
        <v>2.8561911273171647E-3</v>
      </c>
    </row>
    <row r="431" spans="2:25">
      <c r="B431" s="189" t="s">
        <v>14</v>
      </c>
      <c r="C431" s="190" t="s">
        <v>65</v>
      </c>
      <c r="D431" s="190">
        <v>10</v>
      </c>
      <c r="E431" s="191">
        <v>12</v>
      </c>
      <c r="F431" s="192">
        <v>43830</v>
      </c>
      <c r="G431" s="24">
        <v>1128.1734879500757</v>
      </c>
      <c r="H431" s="24">
        <f>792996/1000</f>
        <v>792.99599999999998</v>
      </c>
      <c r="I431" s="193">
        <v>89.9</v>
      </c>
      <c r="J431" s="194">
        <v>66.650000000000006</v>
      </c>
      <c r="K431" s="193">
        <v>129.6</v>
      </c>
      <c r="L431" s="194">
        <v>91.76</v>
      </c>
      <c r="M431" s="195">
        <f t="shared" si="242"/>
        <v>0.73646720349355277</v>
      </c>
      <c r="N431" s="195">
        <f t="shared" si="243"/>
        <v>0.76362229701765405</v>
      </c>
      <c r="O431" s="195">
        <f t="shared" si="244"/>
        <v>0.1516362214986661</v>
      </c>
      <c r="P431" s="195">
        <f t="shared" si="245"/>
        <v>0.10658548387096774</v>
      </c>
      <c r="Q431" s="195">
        <v>0.98499999999999999</v>
      </c>
      <c r="R431" s="195">
        <v>0.94310000000000005</v>
      </c>
      <c r="S431" s="196">
        <v>0.99</v>
      </c>
      <c r="T431" s="197">
        <v>0.99939999999999996</v>
      </c>
      <c r="U431" s="198">
        <v>1.4999999999999999E-2</v>
      </c>
      <c r="V431" s="197">
        <v>0</v>
      </c>
      <c r="W431" s="198">
        <v>0</v>
      </c>
      <c r="X431" s="197">
        <v>0</v>
      </c>
      <c r="Y431" s="199">
        <f t="shared" si="246"/>
        <v>-5.1221604353234307E-3</v>
      </c>
    </row>
    <row r="432" spans="2:25">
      <c r="B432" s="189" t="s">
        <v>14</v>
      </c>
      <c r="C432" s="190" t="s">
        <v>65</v>
      </c>
      <c r="D432" s="190">
        <v>10</v>
      </c>
      <c r="E432" s="191">
        <v>12</v>
      </c>
      <c r="F432" s="192">
        <v>43861</v>
      </c>
      <c r="G432" s="24">
        <v>949.066819120785</v>
      </c>
      <c r="H432" s="24">
        <f>841440/1000</f>
        <v>841.44</v>
      </c>
      <c r="I432" s="193">
        <v>79.599999999999994</v>
      </c>
      <c r="J432" s="194">
        <v>72.989999999999995</v>
      </c>
      <c r="K432" s="193">
        <v>103.2</v>
      </c>
      <c r="L432" s="194">
        <v>95.66</v>
      </c>
      <c r="M432" s="195">
        <f t="shared" si="242"/>
        <v>0.77803586346947173</v>
      </c>
      <c r="N432" s="195">
        <f t="shared" si="243"/>
        <v>0.81319364710670761</v>
      </c>
      <c r="O432" s="195">
        <f t="shared" si="244"/>
        <v>0.12756274450548183</v>
      </c>
      <c r="P432" s="195">
        <f t="shared" si="245"/>
        <v>0.1130967741935484</v>
      </c>
      <c r="Q432" s="195">
        <v>0.98499999999999999</v>
      </c>
      <c r="R432" s="195">
        <v>0.90139999999999998</v>
      </c>
      <c r="S432" s="196">
        <v>0.99</v>
      </c>
      <c r="T432" s="197">
        <v>0.998</v>
      </c>
      <c r="U432" s="198">
        <v>1.4999999999999999E-2</v>
      </c>
      <c r="V432" s="197">
        <v>0</v>
      </c>
      <c r="W432" s="198">
        <v>0</v>
      </c>
      <c r="X432" s="197">
        <v>0</v>
      </c>
      <c r="Y432" s="199">
        <f t="shared" si="246"/>
        <v>-4.0340768106755687E-2</v>
      </c>
    </row>
    <row r="433" spans="2:25">
      <c r="B433" s="189" t="s">
        <v>14</v>
      </c>
      <c r="C433" s="190" t="s">
        <v>65</v>
      </c>
      <c r="D433" s="190">
        <v>10</v>
      </c>
      <c r="E433" s="191">
        <v>12</v>
      </c>
      <c r="F433" s="192">
        <v>43890</v>
      </c>
      <c r="G433" s="24">
        <v>1246.0475366829828</v>
      </c>
      <c r="H433" s="24">
        <f>1288116/1000</f>
        <v>1288.116</v>
      </c>
      <c r="I433" s="193">
        <v>108.1</v>
      </c>
      <c r="J433" s="194">
        <v>113.97</v>
      </c>
      <c r="K433" s="193">
        <v>137.5</v>
      </c>
      <c r="L433" s="194">
        <v>144.41999999999999</v>
      </c>
      <c r="M433" s="195">
        <f t="shared" si="242"/>
        <v>0.7666805332613339</v>
      </c>
      <c r="N433" s="195">
        <f t="shared" si="243"/>
        <v>0.77351402877002651</v>
      </c>
      <c r="O433" s="195">
        <f t="shared" si="244"/>
        <v>0.17902981848893432</v>
      </c>
      <c r="P433" s="195">
        <f t="shared" si="245"/>
        <v>0.1850741379310345</v>
      </c>
      <c r="Q433" s="195">
        <v>0.98499999999999999</v>
      </c>
      <c r="R433" s="195">
        <v>0.96089999999999998</v>
      </c>
      <c r="S433" s="196">
        <v>0.99</v>
      </c>
      <c r="T433" s="197">
        <v>1</v>
      </c>
      <c r="U433" s="198">
        <v>1.4999999999999999E-2</v>
      </c>
      <c r="V433" s="197">
        <v>0</v>
      </c>
      <c r="W433" s="198">
        <v>0</v>
      </c>
      <c r="X433" s="197">
        <v>0</v>
      </c>
      <c r="Y433" s="199">
        <f t="shared" si="246"/>
        <v>-1.6565749126812968E-2</v>
      </c>
    </row>
    <row r="434" spans="2:25">
      <c r="B434" s="189" t="s">
        <v>14</v>
      </c>
      <c r="C434" s="190" t="s">
        <v>65</v>
      </c>
      <c r="D434" s="190">
        <v>10</v>
      </c>
      <c r="E434" s="191">
        <v>12</v>
      </c>
      <c r="F434" s="192">
        <v>43921</v>
      </c>
      <c r="G434" s="24">
        <v>1671.0841599830092</v>
      </c>
      <c r="H434" s="24">
        <f>1557624/1000</f>
        <v>1557.624</v>
      </c>
      <c r="I434" s="193">
        <v>161.4</v>
      </c>
      <c r="J434" s="194">
        <v>153.18</v>
      </c>
      <c r="K434" s="193">
        <v>187.8</v>
      </c>
      <c r="L434" s="194">
        <v>172</v>
      </c>
      <c r="M434" s="195">
        <f t="shared" si="242"/>
        <v>0.75280978972077117</v>
      </c>
      <c r="N434" s="195">
        <f t="shared" si="243"/>
        <v>0.78774821575957665</v>
      </c>
      <c r="O434" s="195">
        <f t="shared" si="244"/>
        <v>0.22460808601922166</v>
      </c>
      <c r="P434" s="195">
        <f t="shared" si="245"/>
        <v>0.20935806451612904</v>
      </c>
      <c r="Q434" s="195">
        <v>0.98499999999999999</v>
      </c>
      <c r="R434" s="195">
        <v>0.95799999999999996</v>
      </c>
      <c r="S434" s="196">
        <v>0.99</v>
      </c>
      <c r="T434" s="197">
        <v>0.99939999999999996</v>
      </c>
      <c r="U434" s="198">
        <v>1.4999999999999999E-2</v>
      </c>
      <c r="V434" s="197">
        <v>0</v>
      </c>
      <c r="W434" s="198">
        <v>0</v>
      </c>
      <c r="X434" s="197">
        <v>0</v>
      </c>
      <c r="Y434" s="199">
        <f t="shared" si="246"/>
        <v>1.6235917828554602E-2</v>
      </c>
    </row>
    <row r="435" spans="2:25">
      <c r="B435" s="189" t="s">
        <v>14</v>
      </c>
      <c r="C435" s="190" t="s">
        <v>65</v>
      </c>
      <c r="D435" s="190">
        <v>10</v>
      </c>
      <c r="E435" s="191">
        <v>12</v>
      </c>
      <c r="F435" s="192">
        <v>43951</v>
      </c>
      <c r="G435" s="24">
        <v>1728.3006285041661</v>
      </c>
      <c r="H435" s="24">
        <f>1542498/1000</f>
        <v>1542.498</v>
      </c>
      <c r="I435" s="193">
        <v>190.2</v>
      </c>
      <c r="J435" s="194">
        <v>177.6</v>
      </c>
      <c r="K435" s="193">
        <v>194</v>
      </c>
      <c r="L435" s="194">
        <v>179.1</v>
      </c>
      <c r="M435" s="195">
        <f t="shared" si="242"/>
        <v>0.75370271796194033</v>
      </c>
      <c r="N435" s="195">
        <f t="shared" si="243"/>
        <v>0.73168313219112646</v>
      </c>
      <c r="O435" s="195">
        <f t="shared" si="244"/>
        <v>0.24004175395891197</v>
      </c>
      <c r="P435" s="195">
        <f t="shared" si="245"/>
        <v>0.21423583333333335</v>
      </c>
      <c r="Q435" s="195">
        <v>0.98499999999999999</v>
      </c>
      <c r="R435" s="195">
        <v>0.98089999999999999</v>
      </c>
      <c r="S435" s="196">
        <v>0.99</v>
      </c>
      <c r="T435" s="197">
        <v>0.99880000000000002</v>
      </c>
      <c r="U435" s="198">
        <v>1.4999999999999999E-2</v>
      </c>
      <c r="V435" s="197">
        <v>0</v>
      </c>
      <c r="W435" s="198">
        <v>0</v>
      </c>
      <c r="X435" s="197">
        <v>0</v>
      </c>
      <c r="Y435" s="199">
        <f t="shared" si="246"/>
        <v>-3.0701842229884369E-2</v>
      </c>
    </row>
    <row r="436" spans="2:25">
      <c r="B436" s="189" t="s">
        <v>14</v>
      </c>
      <c r="C436" s="190" t="s">
        <v>65</v>
      </c>
      <c r="D436" s="190">
        <v>10</v>
      </c>
      <c r="E436" s="191">
        <v>12</v>
      </c>
      <c r="F436" s="192">
        <v>43982</v>
      </c>
      <c r="G436" s="24">
        <v>1751.0055763300224</v>
      </c>
      <c r="H436" s="24">
        <f>1565664/1000</f>
        <v>1565.664</v>
      </c>
      <c r="I436" s="193">
        <v>197</v>
      </c>
      <c r="J436" s="194">
        <v>193.75</v>
      </c>
      <c r="K436" s="193">
        <v>197.7</v>
      </c>
      <c r="L436" s="194">
        <v>190.65</v>
      </c>
      <c r="M436" s="195">
        <f t="shared" si="242"/>
        <v>0.74931320007926294</v>
      </c>
      <c r="N436" s="195">
        <f t="shared" si="243"/>
        <v>0.70602860559810354</v>
      </c>
      <c r="O436" s="195">
        <f t="shared" si="244"/>
        <v>0.23535021187231484</v>
      </c>
      <c r="P436" s="195">
        <f t="shared" si="245"/>
        <v>0.21043870967741934</v>
      </c>
      <c r="Q436" s="195">
        <v>0.98499999999999999</v>
      </c>
      <c r="R436" s="195">
        <v>0.96930000000000005</v>
      </c>
      <c r="S436" s="196">
        <v>0.99</v>
      </c>
      <c r="T436" s="197">
        <v>0.99729999999999996</v>
      </c>
      <c r="U436" s="198">
        <v>1.4999999999999999E-2</v>
      </c>
      <c r="V436" s="197">
        <v>0</v>
      </c>
      <c r="W436" s="198">
        <v>0</v>
      </c>
      <c r="X436" s="197">
        <v>0</v>
      </c>
      <c r="Y436" s="199">
        <f t="shared" si="246"/>
        <v>-7.0188558914705435E-2</v>
      </c>
    </row>
    <row r="437" spans="2:25">
      <c r="B437" s="189" t="s">
        <v>14</v>
      </c>
      <c r="C437" s="190" t="s">
        <v>65</v>
      </c>
      <c r="D437" s="190">
        <v>10</v>
      </c>
      <c r="E437" s="191">
        <v>12</v>
      </c>
      <c r="F437" s="192">
        <v>44012</v>
      </c>
      <c r="G437" s="24">
        <v>1572.0905874622765</v>
      </c>
      <c r="H437" s="24">
        <f>1639872/1000</f>
        <v>1639.8720000000001</v>
      </c>
      <c r="I437" s="193">
        <v>178.9</v>
      </c>
      <c r="J437" s="194">
        <v>188.28</v>
      </c>
      <c r="K437" s="193">
        <v>177.2</v>
      </c>
      <c r="L437" s="194">
        <v>184.28</v>
      </c>
      <c r="M437" s="195">
        <f t="shared" si="242"/>
        <v>0.75057893776391771</v>
      </c>
      <c r="N437" s="195">
        <f t="shared" si="243"/>
        <v>0.75933563421839667</v>
      </c>
      <c r="O437" s="195">
        <f t="shared" si="244"/>
        <v>0.21834591492531619</v>
      </c>
      <c r="P437" s="195">
        <f t="shared" si="245"/>
        <v>0.22776000000000002</v>
      </c>
      <c r="Q437" s="195">
        <v>0.98499999999999999</v>
      </c>
      <c r="R437" s="195">
        <v>0.97660000000000002</v>
      </c>
      <c r="S437" s="196">
        <v>0.99</v>
      </c>
      <c r="T437" s="197">
        <v>0.99850000000000005</v>
      </c>
      <c r="U437" s="198">
        <v>1.4999999999999999E-2</v>
      </c>
      <c r="V437" s="197">
        <v>0</v>
      </c>
      <c r="W437" s="198">
        <v>0</v>
      </c>
      <c r="X437" s="197">
        <v>0</v>
      </c>
      <c r="Y437" s="199">
        <f t="shared" si="246"/>
        <v>3.1606090789004782E-3</v>
      </c>
    </row>
    <row r="438" spans="2:25">
      <c r="B438" s="189" t="s">
        <v>14</v>
      </c>
      <c r="C438" s="190" t="s">
        <v>65</v>
      </c>
      <c r="D438" s="190">
        <v>10</v>
      </c>
      <c r="E438" s="191">
        <v>12</v>
      </c>
      <c r="F438" s="192">
        <v>44043</v>
      </c>
      <c r="G438" s="24">
        <v>1391.3592027684617</v>
      </c>
      <c r="H438" s="24">
        <f>1408782/1000</f>
        <v>1408.7819999999999</v>
      </c>
      <c r="I438" s="193">
        <v>155.5</v>
      </c>
      <c r="J438" s="194">
        <v>155.22</v>
      </c>
      <c r="K438" s="193">
        <v>154.6</v>
      </c>
      <c r="L438" s="194">
        <v>153.15</v>
      </c>
      <c r="M438" s="195">
        <f t="shared" si="242"/>
        <v>0.76139899416673884</v>
      </c>
      <c r="N438" s="195">
        <f t="shared" si="243"/>
        <v>0.79741904624406912</v>
      </c>
      <c r="O438" s="195">
        <f t="shared" si="244"/>
        <v>0.18701064553339539</v>
      </c>
      <c r="P438" s="195">
        <f t="shared" si="245"/>
        <v>0.18935241935483871</v>
      </c>
      <c r="Q438" s="195">
        <v>0.98499999999999999</v>
      </c>
      <c r="R438" s="195">
        <v>0.96130000000000004</v>
      </c>
      <c r="S438" s="196">
        <v>0.99</v>
      </c>
      <c r="T438" s="197">
        <v>0.98670000000000002</v>
      </c>
      <c r="U438" s="198">
        <v>1.4999999999999999E-2</v>
      </c>
      <c r="V438" s="197">
        <v>0</v>
      </c>
      <c r="W438" s="198">
        <v>0</v>
      </c>
      <c r="X438" s="197">
        <v>0</v>
      </c>
      <c r="Y438" s="199">
        <f t="shared" si="246"/>
        <v>2.1901184490625614E-2</v>
      </c>
    </row>
    <row r="439" spans="2:25">
      <c r="B439" s="189" t="s">
        <v>14</v>
      </c>
      <c r="C439" s="190" t="s">
        <v>65</v>
      </c>
      <c r="D439" s="190">
        <v>10</v>
      </c>
      <c r="E439" s="191">
        <v>12</v>
      </c>
      <c r="F439" s="192">
        <v>44074</v>
      </c>
      <c r="G439" s="24">
        <v>1321.4279634648249</v>
      </c>
      <c r="H439" s="24">
        <v>1109.106</v>
      </c>
      <c r="I439" s="193">
        <v>145.4</v>
      </c>
      <c r="J439" s="194">
        <v>135.4</v>
      </c>
      <c r="K439" s="193">
        <v>146.30000000000001</v>
      </c>
      <c r="L439" s="194">
        <v>135.54</v>
      </c>
      <c r="M439" s="195">
        <f t="shared" si="242"/>
        <v>0.76415540666665782</v>
      </c>
      <c r="N439" s="195">
        <f t="shared" si="243"/>
        <v>0.79717759000627531</v>
      </c>
      <c r="O439" s="195">
        <f t="shared" si="244"/>
        <v>0.17761128541193882</v>
      </c>
      <c r="P439" s="195">
        <f t="shared" si="245"/>
        <v>0.1490733870967742</v>
      </c>
      <c r="Q439" s="195">
        <v>0.98499999999999999</v>
      </c>
      <c r="R439" s="195">
        <v>0.85540000000000005</v>
      </c>
      <c r="S439" s="196">
        <v>0.99</v>
      </c>
      <c r="T439" s="197">
        <v>0.99880000000000002</v>
      </c>
      <c r="U439" s="198">
        <v>1.4999999999999999E-2</v>
      </c>
      <c r="V439" s="197">
        <v>0</v>
      </c>
      <c r="W439" s="198">
        <v>0</v>
      </c>
      <c r="X439" s="197">
        <v>0</v>
      </c>
      <c r="Y439" s="199">
        <f t="shared" si="246"/>
        <v>-8.7128649257408153E-2</v>
      </c>
    </row>
    <row r="440" spans="2:25">
      <c r="B440" s="189" t="s">
        <v>14</v>
      </c>
      <c r="C440" s="190" t="s">
        <v>65</v>
      </c>
      <c r="D440" s="190">
        <v>10</v>
      </c>
      <c r="E440" s="191">
        <v>12</v>
      </c>
      <c r="F440" s="192">
        <v>44104</v>
      </c>
      <c r="G440" s="24">
        <v>1316.8869738996539</v>
      </c>
      <c r="H440" s="24">
        <f>1352820/1000</f>
        <v>1352.82</v>
      </c>
      <c r="I440" s="193">
        <v>141.6</v>
      </c>
      <c r="J440" s="194">
        <v>145.79</v>
      </c>
      <c r="K440" s="193">
        <v>145.5</v>
      </c>
      <c r="L440" s="194">
        <v>154.88999999999999</v>
      </c>
      <c r="M440" s="195">
        <f t="shared" si="242"/>
        <v>0.76571654653691623</v>
      </c>
      <c r="N440" s="195">
        <f t="shared" si="243"/>
        <v>0.76038352656457031</v>
      </c>
      <c r="O440" s="195">
        <f t="shared" si="244"/>
        <v>0.18290096859717414</v>
      </c>
      <c r="P440" s="195">
        <f t="shared" si="245"/>
        <v>0.18789166666666665</v>
      </c>
      <c r="Q440" s="195">
        <v>0.98499999999999999</v>
      </c>
      <c r="R440" s="195">
        <v>0.95720000000000005</v>
      </c>
      <c r="S440" s="196">
        <v>0.99</v>
      </c>
      <c r="T440" s="197">
        <v>0.99739999999999995</v>
      </c>
      <c r="U440" s="198">
        <v>1.4999999999999999E-2</v>
      </c>
      <c r="V440" s="197">
        <v>0</v>
      </c>
      <c r="W440" s="198">
        <v>0</v>
      </c>
      <c r="X440" s="197">
        <v>0</v>
      </c>
      <c r="Y440" s="199">
        <f t="shared" si="246"/>
        <v>-3.7249742178871781E-2</v>
      </c>
    </row>
    <row r="441" spans="2:25">
      <c r="B441" s="189" t="s">
        <v>14</v>
      </c>
      <c r="C441" s="190" t="s">
        <v>65</v>
      </c>
      <c r="D441" s="190">
        <v>10</v>
      </c>
      <c r="E441" s="191">
        <v>12</v>
      </c>
      <c r="F441" s="192">
        <v>44135</v>
      </c>
      <c r="G441" s="24">
        <v>1509.4249314629135</v>
      </c>
      <c r="H441" s="24">
        <f>1466598/1000</f>
        <v>1466.598</v>
      </c>
      <c r="I441" s="193">
        <v>139.1</v>
      </c>
      <c r="J441" s="194">
        <v>139.43</v>
      </c>
      <c r="K441" s="193">
        <v>172.2</v>
      </c>
      <c r="L441" s="194">
        <v>173.46</v>
      </c>
      <c r="M441" s="195">
        <f t="shared" si="242"/>
        <v>0.74158492931276232</v>
      </c>
      <c r="N441" s="195">
        <f t="shared" si="243"/>
        <v>0.70733892852017932</v>
      </c>
      <c r="O441" s="195">
        <f t="shared" si="244"/>
        <v>0.20287969508910128</v>
      </c>
      <c r="P441" s="195">
        <f t="shared" si="245"/>
        <v>0.19712338709677418</v>
      </c>
      <c r="Q441" s="195">
        <v>0.98499999999999999</v>
      </c>
      <c r="R441" s="195">
        <v>0.99609999999999999</v>
      </c>
      <c r="S441" s="196">
        <v>0.99</v>
      </c>
      <c r="T441" s="197">
        <v>1</v>
      </c>
      <c r="U441" s="198">
        <v>1.4999999999999999E-2</v>
      </c>
      <c r="V441" s="197">
        <v>0</v>
      </c>
      <c r="W441" s="198">
        <v>0</v>
      </c>
      <c r="X441" s="197">
        <v>0</v>
      </c>
      <c r="Y441" s="199">
        <f t="shared" si="246"/>
        <v>-3.5690085017969664E-2</v>
      </c>
    </row>
    <row r="442" spans="2:25">
      <c r="B442" s="189" t="s">
        <v>14</v>
      </c>
      <c r="C442" s="190" t="s">
        <v>65</v>
      </c>
      <c r="D442" s="190">
        <v>10</v>
      </c>
      <c r="E442" s="191">
        <v>12</v>
      </c>
      <c r="F442" s="192">
        <v>44165</v>
      </c>
      <c r="G442" s="24">
        <v>1335.9591300733728</v>
      </c>
      <c r="H442" s="24">
        <f>1147902/1000</f>
        <v>1147.902</v>
      </c>
      <c r="I442" s="193">
        <v>108.1</v>
      </c>
      <c r="J442" s="194">
        <v>101.92</v>
      </c>
      <c r="K442" s="193">
        <v>152.1</v>
      </c>
      <c r="L442" s="194">
        <v>143.38999999999999</v>
      </c>
      <c r="M442" s="195">
        <f t="shared" si="242"/>
        <v>0.74309866609340236</v>
      </c>
      <c r="N442" s="195">
        <f t="shared" si="243"/>
        <v>0.6901729134643938</v>
      </c>
      <c r="O442" s="195">
        <f t="shared" si="244"/>
        <v>0.18554987917685734</v>
      </c>
      <c r="P442" s="195">
        <f t="shared" si="245"/>
        <v>0.15943083333333335</v>
      </c>
      <c r="Q442" s="195">
        <v>0.98499999999999999</v>
      </c>
      <c r="R442" s="195">
        <v>0.96660000000000001</v>
      </c>
      <c r="S442" s="196">
        <v>0.99</v>
      </c>
      <c r="T442" s="197">
        <v>0.99629999999999996</v>
      </c>
      <c r="U442" s="198">
        <v>1.4999999999999999E-2</v>
      </c>
      <c r="V442" s="197">
        <v>0</v>
      </c>
      <c r="W442" s="198">
        <v>0</v>
      </c>
      <c r="X442" s="197">
        <v>0</v>
      </c>
      <c r="Y442" s="199">
        <f t="shared" si="246"/>
        <v>-8.3500673838626249E-2</v>
      </c>
    </row>
    <row r="443" spans="2:25">
      <c r="B443" s="189" t="s">
        <v>14</v>
      </c>
      <c r="C443" s="190" t="s">
        <v>65</v>
      </c>
      <c r="D443" s="190">
        <v>10</v>
      </c>
      <c r="E443" s="191">
        <v>12</v>
      </c>
      <c r="F443" s="192">
        <v>44196</v>
      </c>
      <c r="G443" s="24">
        <v>1122.5326205103258</v>
      </c>
      <c r="H443" s="24">
        <f>992136/1000</f>
        <v>992.13599999999997</v>
      </c>
      <c r="I443" s="193">
        <v>89.9</v>
      </c>
      <c r="J443" s="194">
        <v>82.35</v>
      </c>
      <c r="K443" s="193">
        <v>129.6</v>
      </c>
      <c r="L443" s="194">
        <v>118.73</v>
      </c>
      <c r="M443" s="195">
        <f t="shared" si="242"/>
        <v>0.7327848674760854</v>
      </c>
      <c r="N443" s="195">
        <f t="shared" si="243"/>
        <v>0.70232281390896134</v>
      </c>
      <c r="O443" s="195">
        <f t="shared" si="244"/>
        <v>0.15087804039117284</v>
      </c>
      <c r="P443" s="195">
        <f t="shared" si="245"/>
        <v>0.13335161290322578</v>
      </c>
      <c r="Q443" s="195">
        <v>0.98499999999999999</v>
      </c>
      <c r="R443" s="195">
        <v>0.99150000000000005</v>
      </c>
      <c r="S443" s="196">
        <v>0.99</v>
      </c>
      <c r="T443" s="197">
        <v>0.99790000000000001</v>
      </c>
      <c r="U443" s="198">
        <v>1.4999999999999999E-2</v>
      </c>
      <c r="V443" s="197">
        <v>0</v>
      </c>
      <c r="W443" s="198">
        <v>0</v>
      </c>
      <c r="X443" s="197">
        <v>0</v>
      </c>
      <c r="Y443" s="199">
        <f t="shared" si="246"/>
        <v>-3.2289421800473783E-2</v>
      </c>
    </row>
    <row r="444" spans="2:25">
      <c r="B444" s="189" t="s">
        <v>14</v>
      </c>
      <c r="C444" s="190" t="s">
        <v>65</v>
      </c>
      <c r="D444" s="190">
        <v>10</v>
      </c>
      <c r="E444" s="191">
        <v>12</v>
      </c>
      <c r="F444" s="192">
        <v>44227</v>
      </c>
      <c r="G444" s="24">
        <v>944.32148502518123</v>
      </c>
      <c r="H444" s="24">
        <v>786.84</v>
      </c>
      <c r="I444" s="193">
        <v>79.599999999999994</v>
      </c>
      <c r="J444" s="194">
        <v>70.179999999999993</v>
      </c>
      <c r="K444" s="193">
        <v>103.2</v>
      </c>
      <c r="L444" s="194">
        <v>90.98</v>
      </c>
      <c r="M444" s="195">
        <f t="shared" si="242"/>
        <v>0.7741456841521247</v>
      </c>
      <c r="N444" s="195">
        <f t="shared" si="243"/>
        <v>0.72717974763258475</v>
      </c>
      <c r="O444" s="195">
        <f t="shared" si="244"/>
        <v>0.12692493078295447</v>
      </c>
      <c r="P444" s="195">
        <f t="shared" si="245"/>
        <v>0.10575806451612904</v>
      </c>
      <c r="Q444" s="195">
        <v>0.98499999999999999</v>
      </c>
      <c r="R444" s="195">
        <v>0.99109999999999998</v>
      </c>
      <c r="S444" s="196">
        <v>0.99</v>
      </c>
      <c r="T444" s="197">
        <v>1</v>
      </c>
      <c r="U444" s="198">
        <v>1.4999999999999999E-2</v>
      </c>
      <c r="V444" s="197">
        <v>0</v>
      </c>
      <c r="W444" s="198">
        <v>0</v>
      </c>
      <c r="X444" s="197">
        <v>0</v>
      </c>
      <c r="Y444" s="199">
        <f t="shared" si="246"/>
        <v>-4.8355960837592304E-2</v>
      </c>
    </row>
    <row r="445" spans="2:25">
      <c r="B445" s="189" t="s">
        <v>14</v>
      </c>
      <c r="C445" s="190" t="s">
        <v>65</v>
      </c>
      <c r="D445" s="190">
        <v>10</v>
      </c>
      <c r="E445" s="191">
        <v>12</v>
      </c>
      <c r="F445" s="192">
        <v>44255</v>
      </c>
      <c r="G445" s="24">
        <v>1239.8172989995678</v>
      </c>
      <c r="H445" s="24">
        <v>1097.67</v>
      </c>
      <c r="I445" s="193">
        <v>108.1</v>
      </c>
      <c r="J445" s="194">
        <v>105.23</v>
      </c>
      <c r="K445" s="193">
        <v>137.5</v>
      </c>
      <c r="L445" s="194">
        <v>139.1</v>
      </c>
      <c r="M445" s="195">
        <f t="shared" si="242"/>
        <v>0.76284713059502718</v>
      </c>
      <c r="N445" s="195">
        <f t="shared" si="243"/>
        <v>0.75241476644333027</v>
      </c>
      <c r="O445" s="195">
        <f t="shared" si="244"/>
        <v>0.18449662187493571</v>
      </c>
      <c r="P445" s="195">
        <f t="shared" si="245"/>
        <v>0.16334375000000001</v>
      </c>
      <c r="Q445" s="195">
        <v>0.98499999999999999</v>
      </c>
      <c r="R445" s="195">
        <v>0.8739892857142858</v>
      </c>
      <c r="S445" s="196">
        <v>0.99</v>
      </c>
      <c r="T445" s="197">
        <v>1</v>
      </c>
      <c r="U445" s="198">
        <v>1.4999999999999999E-2</v>
      </c>
      <c r="V445" s="197">
        <v>0</v>
      </c>
      <c r="W445" s="198">
        <v>0</v>
      </c>
      <c r="X445" s="197">
        <v>0</v>
      </c>
      <c r="Y445" s="199">
        <f t="shared" si="246"/>
        <v>-0.12628817492684097</v>
      </c>
    </row>
    <row r="446" spans="2:25">
      <c r="B446" s="189" t="s">
        <v>14</v>
      </c>
      <c r="C446" s="190" t="s">
        <v>65</v>
      </c>
      <c r="D446" s="190">
        <v>10</v>
      </c>
      <c r="E446" s="191">
        <v>12</v>
      </c>
      <c r="F446" s="192">
        <v>44286</v>
      </c>
      <c r="G446" s="24">
        <v>1662.7287391830941</v>
      </c>
      <c r="H446" s="24">
        <v>1511.85</v>
      </c>
      <c r="I446" s="193">
        <v>161.4</v>
      </c>
      <c r="J446" s="194">
        <v>152.74999999999997</v>
      </c>
      <c r="K446" s="193">
        <v>187.8</v>
      </c>
      <c r="L446" s="194">
        <v>177.18000000000004</v>
      </c>
      <c r="M446" s="195">
        <f t="shared" si="242"/>
        <v>0.74904574077216735</v>
      </c>
      <c r="N446" s="195">
        <f t="shared" si="243"/>
        <v>0.72919226654315883</v>
      </c>
      <c r="O446" s="195">
        <f t="shared" si="244"/>
        <v>0.22348504558912557</v>
      </c>
      <c r="P446" s="195">
        <f t="shared" si="245"/>
        <v>0.20320564516129033</v>
      </c>
      <c r="Q446" s="195">
        <v>0.98499999999999999</v>
      </c>
      <c r="R446" s="195">
        <v>0.97514838709677432</v>
      </c>
      <c r="S446" s="196">
        <v>0.99</v>
      </c>
      <c r="T446" s="197">
        <v>1</v>
      </c>
      <c r="U446" s="198">
        <v>1.4999999999999999E-2</v>
      </c>
      <c r="V446" s="197">
        <v>0</v>
      </c>
      <c r="W446" s="198">
        <v>0</v>
      </c>
      <c r="X446" s="197">
        <v>0</v>
      </c>
      <c r="Y446" s="199">
        <f t="shared" si="246"/>
        <v>-3.4192123151176923E-2</v>
      </c>
    </row>
    <row r="447" spans="2:25">
      <c r="B447" s="189" t="s">
        <v>14</v>
      </c>
      <c r="C447" s="190" t="s">
        <v>65</v>
      </c>
      <c r="D447" s="190">
        <v>10</v>
      </c>
      <c r="E447" s="191">
        <v>12</v>
      </c>
      <c r="F447" s="192">
        <v>44316</v>
      </c>
      <c r="G447" s="24">
        <v>1719.6591253616455</v>
      </c>
      <c r="H447" s="24">
        <v>1544.34</v>
      </c>
      <c r="I447" s="193">
        <v>190.2</v>
      </c>
      <c r="J447" s="194">
        <v>180.36999999999998</v>
      </c>
      <c r="K447" s="193">
        <v>194</v>
      </c>
      <c r="L447" s="194">
        <v>183.48999999999998</v>
      </c>
      <c r="M447" s="195">
        <f t="shared" si="242"/>
        <v>0.74993420437213076</v>
      </c>
      <c r="N447" s="195">
        <f t="shared" si="243"/>
        <v>0.7228979175852277</v>
      </c>
      <c r="O447" s="195">
        <f t="shared" si="244"/>
        <v>0.23884154518911743</v>
      </c>
      <c r="P447" s="195">
        <f t="shared" si="245"/>
        <v>0.21449166666666666</v>
      </c>
      <c r="Q447" s="195">
        <v>0.98499999999999999</v>
      </c>
      <c r="R447" s="195">
        <v>0.97022464000000008</v>
      </c>
      <c r="S447" s="196">
        <v>0.99</v>
      </c>
      <c r="T447" s="197">
        <v>0.98560000000000003</v>
      </c>
      <c r="U447" s="198">
        <v>1.4999999999999999E-2</v>
      </c>
      <c r="V447" s="197">
        <v>2.4238969287494694E-2</v>
      </c>
      <c r="W447" s="198">
        <v>0</v>
      </c>
      <c r="X447" s="197">
        <v>0</v>
      </c>
      <c r="Y447" s="199">
        <f t="shared" si="246"/>
        <v>-4.7774671051035167E-2</v>
      </c>
    </row>
    <row r="448" spans="2:25">
      <c r="B448" s="189" t="s">
        <v>14</v>
      </c>
      <c r="C448" s="190" t="s">
        <v>65</v>
      </c>
      <c r="D448" s="190">
        <v>10</v>
      </c>
      <c r="E448" s="191">
        <v>12</v>
      </c>
      <c r="F448" s="192">
        <v>44347</v>
      </c>
      <c r="G448" s="24">
        <v>1742.2505484483725</v>
      </c>
      <c r="H448" s="24">
        <v>1471.3920000000001</v>
      </c>
      <c r="I448" s="193">
        <v>197</v>
      </c>
      <c r="J448" s="194">
        <v>177.45000000000007</v>
      </c>
      <c r="K448" s="193">
        <v>197.7</v>
      </c>
      <c r="L448" s="194">
        <v>177.23</v>
      </c>
      <c r="M448" s="195">
        <f t="shared" si="242"/>
        <v>0.74556663407886659</v>
      </c>
      <c r="N448" s="195">
        <f t="shared" si="243"/>
        <v>0.72818308894546557</v>
      </c>
      <c r="O448" s="195">
        <f t="shared" si="244"/>
        <v>0.23417346081295326</v>
      </c>
      <c r="P448" s="195">
        <f t="shared" si="245"/>
        <v>0.19776774193548388</v>
      </c>
      <c r="Q448" s="195">
        <v>0.98499999999999999</v>
      </c>
      <c r="R448" s="195">
        <v>0.95009999999999994</v>
      </c>
      <c r="S448" s="196">
        <v>0.99</v>
      </c>
      <c r="T448" s="197">
        <v>1</v>
      </c>
      <c r="U448" s="198">
        <v>1.4999999999999999E-2</v>
      </c>
      <c r="V448" s="197">
        <v>1.6306045439805256E-2</v>
      </c>
      <c r="W448" s="198">
        <v>0</v>
      </c>
      <c r="X448" s="197">
        <v>0</v>
      </c>
      <c r="Y448" s="199">
        <f t="shared" si="246"/>
        <v>-5.1924033172917272E-2</v>
      </c>
    </row>
    <row r="449" spans="1:25">
      <c r="A449" s="110">
        <f>G512/G500-1</f>
        <v>-6.4208013279096865E-2</v>
      </c>
      <c r="B449" s="189" t="s">
        <v>14</v>
      </c>
      <c r="C449" s="190" t="s">
        <v>65</v>
      </c>
      <c r="D449" s="190">
        <v>10</v>
      </c>
      <c r="E449" s="191">
        <v>12</v>
      </c>
      <c r="F449" s="192">
        <v>44377</v>
      </c>
      <c r="G449" s="24">
        <v>1564.230134524965</v>
      </c>
      <c r="H449" s="24">
        <v>1603.41</v>
      </c>
      <c r="I449" s="193">
        <v>178.9</v>
      </c>
      <c r="J449" s="194">
        <v>183.81</v>
      </c>
      <c r="K449" s="193">
        <v>177.2</v>
      </c>
      <c r="L449" s="194">
        <v>180.86</v>
      </c>
      <c r="M449" s="195">
        <f t="shared" si="242"/>
        <v>0.74682604307509803</v>
      </c>
      <c r="N449" s="195">
        <f t="shared" si="243"/>
        <v>0.74354838120890654</v>
      </c>
      <c r="O449" s="195">
        <f t="shared" si="244"/>
        <v>0.21725418535068958</v>
      </c>
      <c r="P449" s="195">
        <f t="shared" si="245"/>
        <v>0.22269583333333337</v>
      </c>
      <c r="Q449" s="195">
        <v>0.98499999999999999</v>
      </c>
      <c r="R449" s="195">
        <v>0.99360000000000004</v>
      </c>
      <c r="S449" s="196">
        <v>0.99</v>
      </c>
      <c r="T449" s="197">
        <v>1</v>
      </c>
      <c r="U449" s="198">
        <v>1.4999999999999999E-2</v>
      </c>
      <c r="V449" s="197">
        <v>1.95E-2</v>
      </c>
      <c r="W449" s="198">
        <v>0</v>
      </c>
      <c r="X449" s="197">
        <v>0</v>
      </c>
      <c r="Y449" s="199">
        <f t="shared" si="246"/>
        <v>4.3927517496913371E-3</v>
      </c>
    </row>
    <row r="450" spans="1:25">
      <c r="B450" s="189" t="s">
        <v>14</v>
      </c>
      <c r="C450" s="190" t="s">
        <v>65</v>
      </c>
      <c r="D450" s="190">
        <v>10</v>
      </c>
      <c r="E450" s="191">
        <v>12</v>
      </c>
      <c r="F450" s="192">
        <v>44408</v>
      </c>
      <c r="G450" s="24">
        <v>1384.4024067546195</v>
      </c>
      <c r="H450" s="24">
        <v>1266.384</v>
      </c>
      <c r="I450" s="193">
        <v>155.5</v>
      </c>
      <c r="J450" s="194">
        <v>145.43</v>
      </c>
      <c r="K450" s="193">
        <v>154.6</v>
      </c>
      <c r="L450" s="194">
        <v>143.36000000000001</v>
      </c>
      <c r="M450" s="195">
        <f t="shared" si="242"/>
        <v>0.75759199919590525</v>
      </c>
      <c r="N450" s="195">
        <f t="shared" si="243"/>
        <v>0.79180706611312146</v>
      </c>
      <c r="O450" s="195">
        <f t="shared" si="244"/>
        <v>0.18607559230572843</v>
      </c>
      <c r="P450" s="195">
        <f t="shared" si="245"/>
        <v>0.17021290322580646</v>
      </c>
      <c r="Q450" s="195">
        <v>0.98499999999999999</v>
      </c>
      <c r="R450" s="195">
        <v>0.9296870967741937</v>
      </c>
      <c r="S450" s="196">
        <v>0.99</v>
      </c>
      <c r="T450" s="197">
        <v>1</v>
      </c>
      <c r="U450" s="198">
        <v>1.4999999999999999E-2</v>
      </c>
      <c r="V450" s="197">
        <v>8.3000000000000001E-3</v>
      </c>
      <c r="W450" s="198">
        <v>0</v>
      </c>
      <c r="X450" s="197">
        <v>0</v>
      </c>
      <c r="Y450" s="199">
        <f t="shared" si="246"/>
        <v>-1.2544877090008844E-2</v>
      </c>
    </row>
    <row r="451" spans="1:25">
      <c r="B451" s="189" t="s">
        <v>14</v>
      </c>
      <c r="C451" s="190" t="s">
        <v>65</v>
      </c>
      <c r="D451" s="190">
        <v>10</v>
      </c>
      <c r="E451" s="191">
        <v>12</v>
      </c>
      <c r="F451" s="192">
        <v>44439</v>
      </c>
      <c r="G451" s="24">
        <v>1314.8208236475007</v>
      </c>
      <c r="H451" s="24">
        <v>1290.018</v>
      </c>
      <c r="I451" s="193">
        <v>145.4</v>
      </c>
      <c r="J451" s="194">
        <v>140.93999999999997</v>
      </c>
      <c r="K451" s="193">
        <v>146.30000000000001</v>
      </c>
      <c r="L451" s="194">
        <v>141.97200000000001</v>
      </c>
      <c r="M451" s="195">
        <f t="shared" si="242"/>
        <v>0.76033462963332454</v>
      </c>
      <c r="N451" s="195">
        <f t="shared" si="243"/>
        <v>0.76831620238819676</v>
      </c>
      <c r="O451" s="195">
        <f t="shared" si="244"/>
        <v>0.17672322898487913</v>
      </c>
      <c r="P451" s="195">
        <f t="shared" si="245"/>
        <v>0.17338951612903225</v>
      </c>
      <c r="Q451" s="195">
        <v>0.98499999999999999</v>
      </c>
      <c r="R451" s="195">
        <v>0.98553450000000009</v>
      </c>
      <c r="S451" s="196">
        <v>0.99</v>
      </c>
      <c r="T451" s="197">
        <v>0.997</v>
      </c>
      <c r="U451" s="198">
        <v>1.4999999999999999E-2</v>
      </c>
      <c r="V451" s="197">
        <v>8.0999999999999996E-3</v>
      </c>
      <c r="W451" s="198">
        <v>0</v>
      </c>
      <c r="X451" s="197">
        <v>0</v>
      </c>
      <c r="Y451" s="199">
        <f t="shared" si="246"/>
        <v>1.0719015347025351E-2</v>
      </c>
    </row>
    <row r="452" spans="1:25">
      <c r="B452" s="189" t="s">
        <v>14</v>
      </c>
      <c r="C452" s="190" t="s">
        <v>65</v>
      </c>
      <c r="D452" s="190">
        <v>10</v>
      </c>
      <c r="E452" s="191">
        <v>12</v>
      </c>
      <c r="F452" s="192">
        <v>44469</v>
      </c>
      <c r="G452" s="24">
        <v>1310.3025390301557</v>
      </c>
      <c r="H452" s="24">
        <v>1217.454</v>
      </c>
      <c r="I452" s="193">
        <v>141.6</v>
      </c>
      <c r="J452" s="194">
        <v>129.89999999999998</v>
      </c>
      <c r="K452" s="193">
        <v>145.5</v>
      </c>
      <c r="L452" s="194">
        <v>139.48999999999998</v>
      </c>
      <c r="M452" s="195">
        <f t="shared" si="242"/>
        <v>0.76188796380423174</v>
      </c>
      <c r="N452" s="195">
        <f t="shared" si="243"/>
        <v>0.73665088076062246</v>
      </c>
      <c r="O452" s="195">
        <f t="shared" si="244"/>
        <v>0.18198646375418831</v>
      </c>
      <c r="P452" s="195">
        <f t="shared" si="245"/>
        <v>0.16909083333333333</v>
      </c>
      <c r="Q452" s="195">
        <v>0.98499999999999999</v>
      </c>
      <c r="R452" s="195">
        <v>0.98733953679999997</v>
      </c>
      <c r="S452" s="196">
        <v>0.99</v>
      </c>
      <c r="T452" s="197">
        <v>0.9988866666666667</v>
      </c>
      <c r="U452" s="198">
        <v>1.4999999999999999E-2</v>
      </c>
      <c r="V452" s="197">
        <v>4.1999999999999997E-3</v>
      </c>
      <c r="W452" s="198">
        <v>0</v>
      </c>
      <c r="X452" s="197">
        <v>0</v>
      </c>
      <c r="Y452" s="199">
        <f t="shared" si="246"/>
        <v>-2.9554540517414463E-2</v>
      </c>
    </row>
    <row r="453" spans="1:25">
      <c r="B453" s="189" t="s">
        <v>14</v>
      </c>
      <c r="C453" s="190" t="s">
        <v>65</v>
      </c>
      <c r="D453" s="190">
        <v>10</v>
      </c>
      <c r="E453" s="191">
        <v>12</v>
      </c>
      <c r="F453" s="192">
        <v>44500</v>
      </c>
      <c r="G453" s="24">
        <v>1501.877806805599</v>
      </c>
      <c r="H453" s="24">
        <v>1394.232</v>
      </c>
      <c r="I453" s="193">
        <v>139.1</v>
      </c>
      <c r="J453" s="194">
        <v>127.04000000000002</v>
      </c>
      <c r="K453" s="193">
        <v>172.2</v>
      </c>
      <c r="L453" s="194">
        <v>159.08000000000004</v>
      </c>
      <c r="M453" s="195">
        <f t="shared" si="242"/>
        <v>0.73787700466619854</v>
      </c>
      <c r="N453" s="195">
        <f t="shared" si="243"/>
        <v>0.74510243601193471</v>
      </c>
      <c r="O453" s="195">
        <f t="shared" si="244"/>
        <v>0.20186529661365576</v>
      </c>
      <c r="P453" s="195">
        <f t="shared" si="245"/>
        <v>0.18739677419354836</v>
      </c>
      <c r="Q453" s="195">
        <v>0.98499999999999999</v>
      </c>
      <c r="R453" s="195">
        <v>0.98021700999999994</v>
      </c>
      <c r="S453" s="196">
        <v>0.99</v>
      </c>
      <c r="T453" s="197">
        <v>0.99913548387096773</v>
      </c>
      <c r="U453" s="198">
        <v>1.4999999999999999E-2</v>
      </c>
      <c r="V453" s="197">
        <v>2.1399999999999999E-2</v>
      </c>
      <c r="W453" s="198">
        <v>0</v>
      </c>
      <c r="X453" s="197">
        <v>0</v>
      </c>
      <c r="Y453" s="199">
        <f t="shared" si="246"/>
        <v>4.5163317841776518E-3</v>
      </c>
    </row>
    <row r="454" spans="1:25">
      <c r="B454" s="189" t="s">
        <v>14</v>
      </c>
      <c r="C454" s="190" t="s">
        <v>65</v>
      </c>
      <c r="D454" s="190">
        <v>10</v>
      </c>
      <c r="E454" s="191">
        <v>12</v>
      </c>
      <c r="F454" s="192">
        <v>44530</v>
      </c>
      <c r="G454" s="24">
        <v>1329.2793344230058</v>
      </c>
      <c r="H454" s="24">
        <v>1263.5820000000001</v>
      </c>
      <c r="I454" s="193">
        <v>108.1</v>
      </c>
      <c r="J454" s="194">
        <v>103.76999999999998</v>
      </c>
      <c r="K454" s="193">
        <v>152.1</v>
      </c>
      <c r="L454" s="194">
        <v>148.66</v>
      </c>
      <c r="M454" s="195">
        <f t="shared" si="242"/>
        <v>0.7393831727629353</v>
      </c>
      <c r="N454" s="195">
        <f t="shared" si="243"/>
        <v>0.71016406412895783</v>
      </c>
      <c r="O454" s="195">
        <f t="shared" si="244"/>
        <v>0.18462212978097303</v>
      </c>
      <c r="P454" s="195">
        <f t="shared" si="245"/>
        <v>0.17549750000000003</v>
      </c>
      <c r="Q454" s="195">
        <v>0.98499999999999999</v>
      </c>
      <c r="R454" s="195">
        <v>0.99739999999999995</v>
      </c>
      <c r="S454" s="196">
        <v>0.99</v>
      </c>
      <c r="T454" s="197">
        <v>1</v>
      </c>
      <c r="U454" s="198">
        <v>1.4999999999999999E-2</v>
      </c>
      <c r="V454" s="197">
        <v>1.7000000000000001E-2</v>
      </c>
      <c r="W454" s="198">
        <v>0</v>
      </c>
      <c r="X454" s="197">
        <v>0</v>
      </c>
      <c r="Y454" s="199">
        <f t="shared" si="246"/>
        <v>-2.6806572696320363E-2</v>
      </c>
    </row>
    <row r="455" spans="1:25">
      <c r="B455" s="189" t="s">
        <v>14</v>
      </c>
      <c r="C455" s="190" t="s">
        <v>65</v>
      </c>
      <c r="D455" s="190">
        <v>10</v>
      </c>
      <c r="E455" s="191">
        <v>12</v>
      </c>
      <c r="F455" s="192">
        <v>44561</v>
      </c>
      <c r="G455" s="24">
        <v>1116.9199574077741</v>
      </c>
      <c r="H455" s="24">
        <v>1040.568</v>
      </c>
      <c r="I455" s="193">
        <v>89.9</v>
      </c>
      <c r="J455" s="194">
        <v>84.149999999999977</v>
      </c>
      <c r="K455" s="193">
        <v>129.6</v>
      </c>
      <c r="L455" s="194">
        <v>121.52999999999999</v>
      </c>
      <c r="M455" s="195">
        <f t="shared" si="242"/>
        <v>0.7291209431387049</v>
      </c>
      <c r="N455" s="195">
        <f t="shared" si="243"/>
        <v>0.71489835764029075</v>
      </c>
      <c r="O455" s="195">
        <f t="shared" si="244"/>
        <v>0.15012365018921697</v>
      </c>
      <c r="P455" s="195">
        <f t="shared" si="245"/>
        <v>0.13986129032258063</v>
      </c>
      <c r="Q455" s="195">
        <v>0.98499999999999999</v>
      </c>
      <c r="R455" s="195">
        <v>0.99807096774193549</v>
      </c>
      <c r="S455" s="196">
        <v>0.99</v>
      </c>
      <c r="T455" s="197">
        <v>1</v>
      </c>
      <c r="U455" s="198">
        <v>1.4999999999999999E-2</v>
      </c>
      <c r="V455" s="197">
        <v>1.3100000000000001E-2</v>
      </c>
      <c r="W455" s="198">
        <v>0</v>
      </c>
      <c r="X455" s="197">
        <v>0</v>
      </c>
      <c r="Y455" s="199">
        <f t="shared" si="246"/>
        <v>-6.0908629227236499E-3</v>
      </c>
    </row>
    <row r="456" spans="1:25">
      <c r="B456" s="189" t="s">
        <v>14</v>
      </c>
      <c r="C456" s="190" t="s">
        <v>65</v>
      </c>
      <c r="D456" s="190">
        <v>10</v>
      </c>
      <c r="E456" s="191">
        <v>12</v>
      </c>
      <c r="F456" s="192">
        <v>44592</v>
      </c>
      <c r="G456" s="24">
        <v>939.59987760005527</v>
      </c>
      <c r="H456" s="24">
        <v>663.92399999999998</v>
      </c>
      <c r="I456" s="193">
        <v>79.599999999999994</v>
      </c>
      <c r="J456" s="194">
        <v>58.210000000000022</v>
      </c>
      <c r="K456" s="193">
        <v>103.2</v>
      </c>
      <c r="L456" s="194">
        <v>72.67</v>
      </c>
      <c r="M456" s="195">
        <f t="shared" si="242"/>
        <v>0.77027495573136395</v>
      </c>
      <c r="N456" s="195">
        <f t="shared" si="243"/>
        <v>0.76501789572471601</v>
      </c>
      <c r="O456" s="195">
        <f t="shared" si="244"/>
        <v>0.12629030612903969</v>
      </c>
      <c r="P456" s="195">
        <f t="shared" si="245"/>
        <v>8.9237096774193544E-2</v>
      </c>
      <c r="Q456" s="195">
        <v>0.98499999999999999</v>
      </c>
      <c r="R456" s="195">
        <v>0.99519999999999997</v>
      </c>
      <c r="S456" s="196">
        <v>0.99</v>
      </c>
      <c r="T456" s="197">
        <v>1</v>
      </c>
      <c r="U456" s="198">
        <v>1.4999999999999999E-2</v>
      </c>
      <c r="V456" s="197">
        <v>0</v>
      </c>
      <c r="W456" s="198">
        <v>0</v>
      </c>
      <c r="X456" s="197">
        <v>0</v>
      </c>
      <c r="Y456" s="199">
        <f t="shared" si="246"/>
        <v>2.4362350874372884E-3</v>
      </c>
    </row>
    <row r="457" spans="1:25">
      <c r="B457" s="189" t="s">
        <v>14</v>
      </c>
      <c r="C457" s="190" t="s">
        <v>65</v>
      </c>
      <c r="D457" s="190">
        <v>10</v>
      </c>
      <c r="E457" s="191">
        <v>12</v>
      </c>
      <c r="F457" s="192">
        <v>44620</v>
      </c>
      <c r="G457" s="24">
        <v>1233.61821250457</v>
      </c>
      <c r="H457" s="24">
        <v>1252.896</v>
      </c>
      <c r="I457" s="193">
        <v>108.1</v>
      </c>
      <c r="J457" s="194">
        <v>108.97</v>
      </c>
      <c r="K457" s="193">
        <v>137.5</v>
      </c>
      <c r="L457" s="194">
        <v>141.71999999999997</v>
      </c>
      <c r="M457" s="195">
        <f t="shared" si="242"/>
        <v>0.75903289494205206</v>
      </c>
      <c r="N457" s="195">
        <f t="shared" si="243"/>
        <v>0.74867727606388501</v>
      </c>
      <c r="O457" s="195">
        <f t="shared" si="244"/>
        <v>0.183574138765561</v>
      </c>
      <c r="P457" s="195">
        <f t="shared" si="245"/>
        <v>0.18644285714285716</v>
      </c>
      <c r="Q457" s="195">
        <v>0.98499999999999999</v>
      </c>
      <c r="R457" s="195">
        <v>0.98402919</v>
      </c>
      <c r="S457" s="196">
        <v>0.99</v>
      </c>
      <c r="T457" s="197">
        <v>0.99790000000000001</v>
      </c>
      <c r="U457" s="198">
        <v>1.4999999999999999E-2</v>
      </c>
      <c r="V457" s="197">
        <v>1.34E-2</v>
      </c>
      <c r="W457" s="198">
        <v>0</v>
      </c>
      <c r="X457" s="197">
        <v>0</v>
      </c>
      <c r="Y457" s="199">
        <f t="shared" si="246"/>
        <v>-1.5063880160871568E-2</v>
      </c>
    </row>
    <row r="458" spans="1:25">
      <c r="B458" s="189" t="s">
        <v>14</v>
      </c>
      <c r="C458" s="190" t="s">
        <v>65</v>
      </c>
      <c r="D458" s="190">
        <v>10</v>
      </c>
      <c r="E458" s="191">
        <v>12</v>
      </c>
      <c r="F458" s="192">
        <v>44651</v>
      </c>
      <c r="G458" s="24">
        <v>1654.4150954871786</v>
      </c>
      <c r="H458" s="24">
        <f>[1]Database!$I$429/1000</f>
        <v>1553.7360000000001</v>
      </c>
      <c r="I458" s="193">
        <v>161.4</v>
      </c>
      <c r="J458" s="194">
        <v>162.41999999999999</v>
      </c>
      <c r="K458" s="193">
        <v>187.8</v>
      </c>
      <c r="L458" s="194">
        <v>188.44</v>
      </c>
      <c r="M458" s="195">
        <f t="shared" si="242"/>
        <v>0.7453005120683065</v>
      </c>
      <c r="N458" s="195">
        <f t="shared" si="243"/>
        <v>0.72801933534069152</v>
      </c>
      <c r="O458" s="195">
        <f t="shared" si="244"/>
        <v>0.22236762036117991</v>
      </c>
      <c r="P458" s="195">
        <f t="shared" si="245"/>
        <v>0.20883548387096776</v>
      </c>
      <c r="Q458" s="195">
        <v>0.98499999999999999</v>
      </c>
      <c r="R458" s="195">
        <v>0.94379999999999997</v>
      </c>
      <c r="S458" s="196">
        <v>0.99</v>
      </c>
      <c r="T458" s="197">
        <v>1</v>
      </c>
      <c r="U458" s="198">
        <v>1.4999999999999999E-2</v>
      </c>
      <c r="V458" s="197">
        <v>1.3817073295916311E-2</v>
      </c>
      <c r="W458" s="198">
        <v>0</v>
      </c>
      <c r="X458" s="197">
        <v>0</v>
      </c>
      <c r="Y458" s="199">
        <f t="shared" si="246"/>
        <v>-6.4262678145816543E-2</v>
      </c>
    </row>
    <row r="459" spans="1:25">
      <c r="B459" s="189" t="s">
        <v>14</v>
      </c>
      <c r="C459" s="190" t="s">
        <v>65</v>
      </c>
      <c r="D459" s="190">
        <v>10</v>
      </c>
      <c r="E459" s="191">
        <v>12</v>
      </c>
      <c r="F459" s="192">
        <v>44681</v>
      </c>
      <c r="G459" s="24">
        <v>1711.0608297348372</v>
      </c>
      <c r="H459" s="24">
        <v>1503.876</v>
      </c>
      <c r="I459" s="193">
        <v>190.2</v>
      </c>
      <c r="J459" s="194">
        <v>174.14000000000001</v>
      </c>
      <c r="K459" s="193">
        <v>194</v>
      </c>
      <c r="L459" s="194">
        <v>182.27000000000004</v>
      </c>
      <c r="M459" s="195">
        <f t="shared" si="242"/>
        <v>0.74618453335026991</v>
      </c>
      <c r="N459" s="195">
        <f t="shared" si="243"/>
        <v>0.6952855635392321</v>
      </c>
      <c r="O459" s="195">
        <f t="shared" si="244"/>
        <v>0.23764733746317179</v>
      </c>
      <c r="P459" s="195">
        <f t="shared" si="245"/>
        <v>0.20887166666666665</v>
      </c>
      <c r="Q459" s="195">
        <v>0.98499999999999999</v>
      </c>
      <c r="R459" s="195">
        <v>0.9889</v>
      </c>
      <c r="S459" s="196">
        <v>0.99</v>
      </c>
      <c r="T459" s="197">
        <v>1</v>
      </c>
      <c r="U459" s="198">
        <v>1.4999999999999999E-2</v>
      </c>
      <c r="V459" s="197">
        <v>2.0899999999999998E-2</v>
      </c>
      <c r="W459" s="198">
        <v>0</v>
      </c>
      <c r="X459" s="197">
        <v>0</v>
      </c>
      <c r="Y459" s="199">
        <f t="shared" si="246"/>
        <v>-6.0621683952781447E-2</v>
      </c>
    </row>
    <row r="460" spans="1:25">
      <c r="B460" s="189" t="s">
        <v>14</v>
      </c>
      <c r="C460" s="190" t="s">
        <v>65</v>
      </c>
      <c r="D460" s="190">
        <v>10</v>
      </c>
      <c r="E460" s="191">
        <v>12</v>
      </c>
      <c r="F460" s="192">
        <v>44712</v>
      </c>
      <c r="G460" s="24">
        <v>1733.5392957061306</v>
      </c>
      <c r="H460" s="24">
        <v>1577.232</v>
      </c>
      <c r="I460" s="193">
        <v>197</v>
      </c>
      <c r="J460" s="194">
        <v>187.18</v>
      </c>
      <c r="K460" s="193">
        <v>197.7</v>
      </c>
      <c r="L460" s="194">
        <v>186.75000000000006</v>
      </c>
      <c r="M460" s="195">
        <f t="shared" si="242"/>
        <v>0.74183880090847221</v>
      </c>
      <c r="N460" s="195">
        <f t="shared" si="243"/>
        <v>0.72059714233199812</v>
      </c>
      <c r="O460" s="195">
        <f t="shared" si="244"/>
        <v>0.23300259350888849</v>
      </c>
      <c r="P460" s="195">
        <f t="shared" si="245"/>
        <v>0.21199354838709678</v>
      </c>
      <c r="Q460" s="195">
        <v>0.98499999999999999</v>
      </c>
      <c r="R460" s="195">
        <v>0.9766999999999999</v>
      </c>
      <c r="S460" s="196">
        <v>0.99</v>
      </c>
      <c r="T460" s="197">
        <v>1</v>
      </c>
      <c r="U460" s="198">
        <v>1.4999999999999999E-2</v>
      </c>
      <c r="V460" s="197">
        <v>7.1000000000000004E-3</v>
      </c>
      <c r="W460" s="198">
        <v>0</v>
      </c>
      <c r="X460" s="197">
        <v>0</v>
      </c>
      <c r="Y460" s="199">
        <f t="shared" si="246"/>
        <v>-3.4779622067228511E-2</v>
      </c>
    </row>
    <row r="461" spans="1:25">
      <c r="B461" s="189" t="s">
        <v>14</v>
      </c>
      <c r="C461" s="190" t="s">
        <v>65</v>
      </c>
      <c r="D461" s="190">
        <v>10</v>
      </c>
      <c r="E461" s="191">
        <v>12</v>
      </c>
      <c r="F461" s="192">
        <v>44742</v>
      </c>
      <c r="G461" s="24">
        <v>1556.40898385234</v>
      </c>
      <c r="H461" s="24">
        <v>1401.9960000000001</v>
      </c>
      <c r="I461" s="193">
        <v>178.9</v>
      </c>
      <c r="J461" s="194">
        <v>171.11999999999995</v>
      </c>
      <c r="K461" s="193">
        <v>177.2</v>
      </c>
      <c r="L461" s="194">
        <v>170.06999999999996</v>
      </c>
      <c r="M461" s="195">
        <f t="shared" si="242"/>
        <v>0.74309191285972243</v>
      </c>
      <c r="N461" s="195">
        <f t="shared" si="243"/>
        <v>0.68846558261460411</v>
      </c>
      <c r="O461" s="195">
        <f t="shared" si="244"/>
        <v>0.21616791442393607</v>
      </c>
      <c r="P461" s="195">
        <f t="shared" si="245"/>
        <v>0.19472166666666668</v>
      </c>
      <c r="Q461" s="195">
        <v>0.98499999999999999</v>
      </c>
      <c r="R461" s="195">
        <v>0.99782776146666674</v>
      </c>
      <c r="S461" s="196">
        <v>0.99</v>
      </c>
      <c r="T461" s="197">
        <v>0.99920666666666658</v>
      </c>
      <c r="U461" s="198">
        <v>1.4999999999999999E-2</v>
      </c>
      <c r="V461" s="197">
        <v>1.5100000000000001E-2</v>
      </c>
      <c r="W461" s="198">
        <v>0</v>
      </c>
      <c r="X461" s="197">
        <v>0</v>
      </c>
      <c r="Y461" s="199">
        <f t="shared" si="246"/>
        <v>-5.8974038894223035E-2</v>
      </c>
    </row>
    <row r="462" spans="1:25">
      <c r="B462" s="189" t="s">
        <v>14</v>
      </c>
      <c r="C462" s="190" t="s">
        <v>65</v>
      </c>
      <c r="D462" s="190">
        <v>10</v>
      </c>
      <c r="E462" s="191">
        <v>12</v>
      </c>
      <c r="F462" s="192">
        <v>44773</v>
      </c>
      <c r="G462" s="24">
        <v>1377.4803947208463</v>
      </c>
      <c r="H462" s="24">
        <v>1336.806</v>
      </c>
      <c r="I462" s="193">
        <v>155.5</v>
      </c>
      <c r="J462" s="194">
        <v>154.21999999999994</v>
      </c>
      <c r="K462" s="193">
        <v>154.6</v>
      </c>
      <c r="L462" s="194">
        <v>152.39999999999998</v>
      </c>
      <c r="M462" s="195">
        <f t="shared" si="242"/>
        <v>0.75380403919992556</v>
      </c>
      <c r="N462" s="195">
        <f t="shared" si="243"/>
        <v>0.75211864822056829</v>
      </c>
      <c r="O462" s="195">
        <f t="shared" si="244"/>
        <v>0.18514521434419978</v>
      </c>
      <c r="P462" s="195">
        <f t="shared" si="245"/>
        <v>0.17967822580645162</v>
      </c>
      <c r="Q462" s="195">
        <v>0.98499999999999999</v>
      </c>
      <c r="R462" s="195">
        <v>0.97188709677419349</v>
      </c>
      <c r="S462" s="196">
        <v>0.99</v>
      </c>
      <c r="T462" s="197">
        <v>1</v>
      </c>
      <c r="U462" s="198">
        <v>1.4999999999999999E-2</v>
      </c>
      <c r="V462" s="197">
        <v>6.1999999999999998E-3</v>
      </c>
      <c r="W462" s="198">
        <v>0</v>
      </c>
      <c r="X462" s="197">
        <v>0</v>
      </c>
      <c r="Y462" s="199">
        <f t="shared" si="246"/>
        <v>-1.5297839857649542E-2</v>
      </c>
    </row>
    <row r="463" spans="1:25">
      <c r="B463" s="189" t="s">
        <v>14</v>
      </c>
      <c r="C463" s="190" t="s">
        <v>65</v>
      </c>
      <c r="D463" s="190">
        <v>10</v>
      </c>
      <c r="E463" s="191">
        <v>12</v>
      </c>
      <c r="F463" s="192">
        <v>44804</v>
      </c>
      <c r="G463" s="24">
        <v>1308.2467195292631</v>
      </c>
      <c r="H463" s="24">
        <v>1403.85</v>
      </c>
      <c r="I463" s="193">
        <v>145.4</v>
      </c>
      <c r="J463" s="194">
        <v>161.01</v>
      </c>
      <c r="K463" s="193">
        <v>146.30000000000001</v>
      </c>
      <c r="L463" s="194">
        <v>161.92999999999995</v>
      </c>
      <c r="M463" s="195">
        <f t="shared" si="242"/>
        <v>0.75653295648515795</v>
      </c>
      <c r="N463" s="195">
        <f t="shared" si="243"/>
        <v>0.74208170498651249</v>
      </c>
      <c r="O463" s="195">
        <f t="shared" si="244"/>
        <v>0.17583961283995472</v>
      </c>
      <c r="P463" s="195">
        <f t="shared" si="245"/>
        <v>0.18868951612903226</v>
      </c>
      <c r="Q463" s="195">
        <v>0.98499999999999999</v>
      </c>
      <c r="R463" s="195">
        <v>0.97355483870967752</v>
      </c>
      <c r="S463" s="196">
        <v>0.99</v>
      </c>
      <c r="T463" s="197">
        <v>1</v>
      </c>
      <c r="U463" s="198">
        <v>1.4999999999999999E-2</v>
      </c>
      <c r="V463" s="197">
        <v>1.2200000000000001E-2</v>
      </c>
      <c r="W463" s="198">
        <v>0</v>
      </c>
      <c r="X463" s="197">
        <v>0</v>
      </c>
      <c r="Y463" s="199">
        <f t="shared" si="246"/>
        <v>-3.3757861088873575E-2</v>
      </c>
    </row>
    <row r="464" spans="1:25">
      <c r="B464" s="189" t="s">
        <v>14</v>
      </c>
      <c r="C464" s="190" t="s">
        <v>65</v>
      </c>
      <c r="D464" s="190">
        <v>10</v>
      </c>
      <c r="E464" s="191">
        <v>12</v>
      </c>
      <c r="F464" s="192">
        <v>44834</v>
      </c>
      <c r="G464" s="24">
        <v>1303.751026335005</v>
      </c>
      <c r="H464" s="24">
        <v>1181.106</v>
      </c>
      <c r="I464" s="193">
        <v>141.6</v>
      </c>
      <c r="J464" s="194">
        <v>129.53000000000003</v>
      </c>
      <c r="K464" s="193">
        <v>145.5</v>
      </c>
      <c r="L464" s="194">
        <v>135.13000000000002</v>
      </c>
      <c r="M464" s="195">
        <f t="shared" si="242"/>
        <v>0.75807852398521058</v>
      </c>
      <c r="N464" s="195">
        <f t="shared" si="243"/>
        <v>0.73843634274503867</v>
      </c>
      <c r="O464" s="195">
        <f t="shared" si="244"/>
        <v>0.18107653143541738</v>
      </c>
      <c r="P464" s="195">
        <f t="shared" si="245"/>
        <v>0.16404250000000001</v>
      </c>
      <c r="Q464" s="195">
        <v>0.98499999999999999</v>
      </c>
      <c r="R464" s="195">
        <v>0.98637666666666657</v>
      </c>
      <c r="S464" s="196">
        <v>0.99</v>
      </c>
      <c r="T464" s="197">
        <v>1</v>
      </c>
      <c r="U464" s="198">
        <v>1.4999999999999999E-2</v>
      </c>
      <c r="V464" s="197">
        <v>9.1000000000000004E-3</v>
      </c>
      <c r="W464" s="198">
        <v>0</v>
      </c>
      <c r="X464" s="197">
        <v>0</v>
      </c>
      <c r="Y464" s="199">
        <f t="shared" si="246"/>
        <v>-2.279941766697291E-2</v>
      </c>
    </row>
    <row r="465" spans="2:25">
      <c r="B465" s="189" t="s">
        <v>14</v>
      </c>
      <c r="C465" s="190" t="s">
        <v>65</v>
      </c>
      <c r="D465" s="190">
        <v>10</v>
      </c>
      <c r="E465" s="191">
        <v>12</v>
      </c>
      <c r="F465" s="192">
        <v>44865</v>
      </c>
      <c r="G465" s="24">
        <v>1494.3684177715711</v>
      </c>
      <c r="H465" s="24">
        <v>1378.3679999999999</v>
      </c>
      <c r="I465" s="193">
        <v>139.1</v>
      </c>
      <c r="J465" s="194">
        <v>130.94999999999999</v>
      </c>
      <c r="K465" s="193">
        <v>172.2</v>
      </c>
      <c r="L465" s="194">
        <v>160.17999999999998</v>
      </c>
      <c r="M465" s="195">
        <f t="shared" si="242"/>
        <v>0.73418761964286761</v>
      </c>
      <c r="N465" s="195">
        <f t="shared" si="243"/>
        <v>0.72056593298691984</v>
      </c>
      <c r="O465" s="195">
        <f t="shared" si="244"/>
        <v>0.20085597013058751</v>
      </c>
      <c r="P465" s="195">
        <f t="shared" si="245"/>
        <v>0.18526451612903225</v>
      </c>
      <c r="Q465" s="195">
        <v>0.98499999999999999</v>
      </c>
      <c r="R465" s="195">
        <v>0.99518064516129034</v>
      </c>
      <c r="S465" s="196">
        <v>0.99</v>
      </c>
      <c r="T465" s="197">
        <v>0.99724193548387097</v>
      </c>
      <c r="U465" s="198">
        <v>1.4999999999999999E-2</v>
      </c>
      <c r="V465" s="197">
        <v>1.5878271959664399E-2</v>
      </c>
      <c r="W465" s="198">
        <v>0</v>
      </c>
      <c r="X465" s="197">
        <v>0</v>
      </c>
      <c r="Y465" s="199">
        <f t="shared" si="246"/>
        <v>-7.8224912338383801E-3</v>
      </c>
    </row>
    <row r="466" spans="2:25">
      <c r="B466" s="189" t="s">
        <v>14</v>
      </c>
      <c r="C466" s="190" t="s">
        <v>65</v>
      </c>
      <c r="D466" s="190">
        <v>10</v>
      </c>
      <c r="E466" s="191">
        <v>12</v>
      </c>
      <c r="F466" s="192">
        <v>44895</v>
      </c>
      <c r="G466" s="24">
        <v>1322.632937750891</v>
      </c>
      <c r="H466" s="24">
        <v>1135.152</v>
      </c>
      <c r="I466" s="193">
        <v>108.1</v>
      </c>
      <c r="J466" s="194">
        <v>98.27</v>
      </c>
      <c r="K466" s="193">
        <v>152.1</v>
      </c>
      <c r="L466" s="194">
        <v>134.56</v>
      </c>
      <c r="M466" s="195">
        <f t="shared" si="242"/>
        <v>0.73568625689912071</v>
      </c>
      <c r="N466" s="195">
        <f t="shared" si="243"/>
        <v>0.70304456079493183</v>
      </c>
      <c r="O466" s="195">
        <f t="shared" si="244"/>
        <v>0.18369901913206818</v>
      </c>
      <c r="P466" s="195">
        <f t="shared" si="245"/>
        <v>0.15765999999999999</v>
      </c>
      <c r="Q466" s="195">
        <v>0.98499999999999999</v>
      </c>
      <c r="R466" s="195">
        <v>0.99994000000000005</v>
      </c>
      <c r="S466" s="196">
        <v>0.99</v>
      </c>
      <c r="T466" s="197">
        <v>1</v>
      </c>
      <c r="U466" s="198">
        <v>1.4999999999999999E-2</v>
      </c>
      <c r="V466" s="197">
        <v>2.53E-2</v>
      </c>
      <c r="W466" s="198">
        <v>0</v>
      </c>
      <c r="X466" s="197">
        <v>0</v>
      </c>
      <c r="Y466" s="199">
        <f t="shared" si="246"/>
        <v>-2.642940611209077E-2</v>
      </c>
    </row>
    <row r="467" spans="2:25">
      <c r="B467" s="189" t="s">
        <v>14</v>
      </c>
      <c r="C467" s="190" t="s">
        <v>65</v>
      </c>
      <c r="D467" s="190">
        <v>10</v>
      </c>
      <c r="E467" s="191">
        <v>12</v>
      </c>
      <c r="F467" s="192">
        <v>44926</v>
      </c>
      <c r="G467" s="24">
        <v>1111.3353576207353</v>
      </c>
      <c r="H467" s="24">
        <v>967.27800000000002</v>
      </c>
      <c r="I467" s="193">
        <v>89.9</v>
      </c>
      <c r="J467" s="194">
        <v>81.760000000000005</v>
      </c>
      <c r="K467" s="193">
        <v>129.6</v>
      </c>
      <c r="L467" s="194">
        <v>117.48</v>
      </c>
      <c r="M467" s="195">
        <f t="shared" si="242"/>
        <v>0.72547533842301148</v>
      </c>
      <c r="N467" s="195">
        <f t="shared" si="243"/>
        <v>0.70546170500491467</v>
      </c>
      <c r="O467" s="195">
        <f t="shared" si="244"/>
        <v>0.14937303193827087</v>
      </c>
      <c r="P467" s="195">
        <f t="shared" si="245"/>
        <v>0.13001048387096775</v>
      </c>
      <c r="Q467" s="195">
        <v>0.98499999999999999</v>
      </c>
      <c r="R467" s="195">
        <v>0.97259645576630216</v>
      </c>
      <c r="S467" s="196">
        <v>0.99</v>
      </c>
      <c r="T467" s="197">
        <v>1</v>
      </c>
      <c r="U467" s="198">
        <v>1.4999999999999999E-2</v>
      </c>
      <c r="V467" s="197">
        <v>1.95E-2</v>
      </c>
      <c r="W467" s="198">
        <v>0</v>
      </c>
      <c r="X467" s="197">
        <v>0</v>
      </c>
      <c r="Y467" s="199">
        <f t="shared" si="246"/>
        <v>-3.6106942088753646E-2</v>
      </c>
    </row>
    <row r="468" spans="2:25">
      <c r="B468" s="189" t="s">
        <v>14</v>
      </c>
      <c r="C468" s="190" t="s">
        <v>65</v>
      </c>
      <c r="D468" s="190">
        <v>10</v>
      </c>
      <c r="E468" s="191">
        <v>12</v>
      </c>
      <c r="F468" s="192">
        <v>44957</v>
      </c>
      <c r="G468" s="24">
        <v>934.90187821205507</v>
      </c>
      <c r="H468" s="24">
        <v>754.59</v>
      </c>
      <c r="I468" s="193">
        <v>79.599999999999994</v>
      </c>
      <c r="J468" s="194">
        <v>68.47</v>
      </c>
      <c r="K468" s="193">
        <v>103.2</v>
      </c>
      <c r="L468" s="194">
        <v>87.930000000000021</v>
      </c>
      <c r="M468" s="195">
        <f t="shared" si="242"/>
        <v>0.76642358095270713</v>
      </c>
      <c r="N468" s="195">
        <f t="shared" si="243"/>
        <v>0.72349323946222888</v>
      </c>
      <c r="O468" s="195">
        <f t="shared" si="244"/>
        <v>0.12565885459839449</v>
      </c>
      <c r="P468" s="195">
        <f t="shared" si="245"/>
        <v>0.10142338709677419</v>
      </c>
      <c r="Q468" s="195">
        <v>0.98499999999999999</v>
      </c>
      <c r="R468" s="195">
        <v>0.98845806451612916</v>
      </c>
      <c r="S468" s="196">
        <v>0.99</v>
      </c>
      <c r="T468" s="197">
        <v>0.99762580645161292</v>
      </c>
      <c r="U468" s="198">
        <v>1.4999999999999999E-2</v>
      </c>
      <c r="V468" s="197">
        <v>1.09E-2</v>
      </c>
      <c r="W468" s="198">
        <v>0</v>
      </c>
      <c r="X468" s="197">
        <v>0</v>
      </c>
      <c r="Y468" s="199">
        <f t="shared" si="246"/>
        <v>-4.49020523663618E-2</v>
      </c>
    </row>
    <row r="469" spans="2:25">
      <c r="B469" s="189" t="s">
        <v>14</v>
      </c>
      <c r="C469" s="190" t="s">
        <v>65</v>
      </c>
      <c r="D469" s="190">
        <v>10</v>
      </c>
      <c r="E469" s="191">
        <v>12</v>
      </c>
      <c r="F469" s="192">
        <f>EOMONTH(F468,1)</f>
        <v>44985</v>
      </c>
      <c r="G469" s="24">
        <v>1227.450121442047</v>
      </c>
      <c r="H469" s="24">
        <v>1257.0540000000001</v>
      </c>
      <c r="I469" s="193">
        <v>108.1</v>
      </c>
      <c r="J469" s="194">
        <v>113.5</v>
      </c>
      <c r="K469" s="193">
        <v>137.5</v>
      </c>
      <c r="L469" s="194">
        <v>148.63999999999999</v>
      </c>
      <c r="M469" s="195">
        <f t="shared" si="242"/>
        <v>0.75523773046734166</v>
      </c>
      <c r="N469" s="195">
        <f t="shared" si="243"/>
        <v>0.70777307896512098</v>
      </c>
      <c r="O469" s="195">
        <f t="shared" si="244"/>
        <v>0.18265626807173319</v>
      </c>
      <c r="P469" s="195">
        <f t="shared" si="245"/>
        <v>0.18706160714285716</v>
      </c>
      <c r="Q469" s="195">
        <v>0.98499999999999999</v>
      </c>
      <c r="R469" s="195">
        <v>0.99573311795918362</v>
      </c>
      <c r="S469" s="196">
        <v>0.99</v>
      </c>
      <c r="T469" s="197">
        <v>0.99800357142857143</v>
      </c>
      <c r="U469" s="198">
        <v>1.4999999999999999E-2</v>
      </c>
      <c r="V469" s="197">
        <v>1.6899999999999998E-2</v>
      </c>
      <c r="W469" s="198">
        <v>0</v>
      </c>
      <c r="X469" s="197">
        <v>0</v>
      </c>
      <c r="Y469" s="199">
        <f t="shared" si="246"/>
        <v>-5.6899989118690542E-2</v>
      </c>
    </row>
    <row r="470" spans="2:25">
      <c r="B470" s="189" t="s">
        <v>14</v>
      </c>
      <c r="C470" s="190" t="s">
        <v>65</v>
      </c>
      <c r="D470" s="190">
        <v>10</v>
      </c>
      <c r="E470" s="191">
        <v>12</v>
      </c>
      <c r="F470" s="192">
        <f t="shared" ref="F470:F471" si="247">EOMONTH(F469,1)</f>
        <v>45016</v>
      </c>
      <c r="G470" s="24">
        <f>UTT!Y463</f>
        <v>1646.1430200097425</v>
      </c>
      <c r="H470" s="24">
        <f>UTT!Z463</f>
        <v>1438.752</v>
      </c>
      <c r="I470" s="24">
        <f>UTT!AA463</f>
        <v>161.4</v>
      </c>
      <c r="J470" s="24">
        <f>UTT!AB463</f>
        <v>149.16000000000003</v>
      </c>
      <c r="K470" s="24">
        <f>UTT!AC463</f>
        <v>187.8</v>
      </c>
      <c r="L470" s="24">
        <f>UTT!AD463</f>
        <v>170.12000000000003</v>
      </c>
      <c r="M470" s="195">
        <f>G470/E470/K470/Q470</f>
        <v>0.74157400950796493</v>
      </c>
      <c r="N470" s="195">
        <f>H470/E470/L470/R470</f>
        <v>0.71080577877232709</v>
      </c>
      <c r="O470" s="195">
        <f>G470/24/DAY(F470)/D470</f>
        <v>0.22125578225937398</v>
      </c>
      <c r="P470" s="195">
        <f>H470/24/DAY(F470)/D470</f>
        <v>0.19338064516129033</v>
      </c>
      <c r="Q470" s="195">
        <f>UTT!AI463</f>
        <v>0.98499999999999999</v>
      </c>
      <c r="R470" s="195">
        <f>UTT!AJ463</f>
        <v>0.99151290322580643</v>
      </c>
      <c r="S470" s="195">
        <f>UTT!AK463</f>
        <v>0.99</v>
      </c>
      <c r="T470" s="195">
        <f>UTT!AL463</f>
        <v>1</v>
      </c>
      <c r="U470" s="198">
        <v>1.4999999999999999E-2</v>
      </c>
      <c r="V470" s="195">
        <f>UTT!AR463</f>
        <v>-1.49E-2</v>
      </c>
      <c r="W470" s="198">
        <v>0</v>
      </c>
      <c r="X470" s="197">
        <v>0</v>
      </c>
      <c r="Y470" s="199">
        <f>(H470/G470-1)-(L470/K470-1)</f>
        <v>-3.184332262945222E-2</v>
      </c>
    </row>
    <row r="471" spans="2:25">
      <c r="B471" s="189" t="s">
        <v>14</v>
      </c>
      <c r="C471" s="190" t="s">
        <v>65</v>
      </c>
      <c r="D471" s="190">
        <v>10</v>
      </c>
      <c r="E471" s="191">
        <v>12</v>
      </c>
      <c r="F471" s="192">
        <f t="shared" si="247"/>
        <v>45046</v>
      </c>
      <c r="G471" s="24">
        <f>UTT!Y464</f>
        <v>1702.505525586163</v>
      </c>
      <c r="H471" s="24">
        <f>UTT!Z464</f>
        <v>1546.9380000000001</v>
      </c>
      <c r="I471" s="24">
        <f>UTT!AA464</f>
        <v>190.2</v>
      </c>
      <c r="J471" s="24">
        <f>UTT!AB464</f>
        <v>182.11</v>
      </c>
      <c r="K471" s="24">
        <f>UTT!AC464</f>
        <v>194</v>
      </c>
      <c r="L471" s="24">
        <f>UTT!AD464</f>
        <v>188.19000000000003</v>
      </c>
      <c r="M471" s="195">
        <f>G471/E471/K471/Q471</f>
        <v>0.74245361068351867</v>
      </c>
      <c r="N471" s="195">
        <f>H471/E471/L471/R471</f>
        <v>0.69822456460920002</v>
      </c>
      <c r="O471" s="195">
        <f>G471/24/DAY(F471)/D471</f>
        <v>0.236459100775856</v>
      </c>
      <c r="P471" s="195">
        <f>H471/24/DAY(F471)/D471</f>
        <v>0.21485250000000003</v>
      </c>
      <c r="Q471" s="195">
        <f>UTT!AI464</f>
        <v>0.98499999999999999</v>
      </c>
      <c r="R471" s="195">
        <f>UTT!AJ464</f>
        <v>0.98107</v>
      </c>
      <c r="S471" s="195">
        <f>UTT!AK464</f>
        <v>0.99</v>
      </c>
      <c r="T471" s="195">
        <f>UTT!AL464</f>
        <v>1</v>
      </c>
      <c r="U471" s="198">
        <v>1.4999999999999999E-2</v>
      </c>
      <c r="V471" s="195">
        <f>UTT!AR464</f>
        <v>-2.4201971237785461E-2</v>
      </c>
      <c r="W471" s="198">
        <v>0</v>
      </c>
      <c r="X471" s="197">
        <v>0</v>
      </c>
      <c r="Y471" s="199">
        <f>(H471/G471-1)-(L471/K471-1)</f>
        <v>-6.1427182622126764E-2</v>
      </c>
    </row>
    <row r="472" spans="2:25">
      <c r="B472" s="189" t="s">
        <v>14</v>
      </c>
      <c r="C472" s="190" t="s">
        <v>65</v>
      </c>
      <c r="D472" s="190">
        <v>10</v>
      </c>
      <c r="E472" s="191">
        <v>12</v>
      </c>
      <c r="F472" s="192">
        <f t="shared" ref="F472:F491" si="248">EOMONTH(F471,1)</f>
        <v>45077</v>
      </c>
      <c r="G472" s="24">
        <f>UTT!Y465</f>
        <v>1724.8715992275997</v>
      </c>
      <c r="H472" s="24">
        <f>UTT!Z465</f>
        <v>1469.502</v>
      </c>
      <c r="I472" s="24">
        <f>UTT!AA465</f>
        <v>197</v>
      </c>
      <c r="J472" s="24">
        <f>UTT!AB465</f>
        <v>190.73</v>
      </c>
      <c r="K472" s="24">
        <f>UTT!AC465</f>
        <v>197.7</v>
      </c>
      <c r="L472" s="24">
        <f>UTT!AD465</f>
        <v>190.65000000000003</v>
      </c>
      <c r="M472" s="195">
        <f t="shared" ref="M472:M481" si="249">G472/E472/K472/Q472</f>
        <v>0.73812960690392981</v>
      </c>
      <c r="N472" s="195">
        <f t="shared" ref="N472:N481" si="250">H472/E472/L472/R472</f>
        <v>0.69687103236642844</v>
      </c>
      <c r="O472" s="195">
        <f t="shared" ref="O472:O481" si="251">G472/24/DAY(F472)/D472</f>
        <v>0.23183758054134404</v>
      </c>
      <c r="P472" s="195">
        <f t="shared" ref="P472:P481" si="252">H472/24/DAY(F472)/D472</f>
        <v>0.19751370967741935</v>
      </c>
      <c r="Q472" s="195">
        <f>UTT!AI465</f>
        <v>0.98499999999999999</v>
      </c>
      <c r="R472" s="195">
        <f>UTT!AJ465</f>
        <v>0.9217214911342354</v>
      </c>
      <c r="S472" s="195">
        <f>UTT!AK465</f>
        <v>0.99</v>
      </c>
      <c r="T472" s="195">
        <f>UTT!AL465</f>
        <v>0.99364193548387103</v>
      </c>
      <c r="U472" s="198">
        <v>1.4999999999999999E-2</v>
      </c>
      <c r="V472" s="195">
        <f>UTT!AR465</f>
        <v>-1.46E-2</v>
      </c>
      <c r="W472" s="198">
        <v>0</v>
      </c>
      <c r="X472" s="197">
        <v>0</v>
      </c>
      <c r="Y472" s="199">
        <f t="shared" ref="Y472:Y481" si="253">(H472/G472-1)-(L472/K472-1)</f>
        <v>-0.11239127656893411</v>
      </c>
    </row>
    <row r="473" spans="2:25">
      <c r="B473" s="189" t="s">
        <v>14</v>
      </c>
      <c r="C473" s="190" t="s">
        <v>65</v>
      </c>
      <c r="D473" s="190">
        <v>10</v>
      </c>
      <c r="E473" s="191">
        <v>12</v>
      </c>
      <c r="F473" s="192">
        <f t="shared" si="248"/>
        <v>45107</v>
      </c>
      <c r="G473" s="24">
        <f>UTT!Y466</f>
        <v>1548.6269389330785</v>
      </c>
      <c r="H473" s="24">
        <f>UTT!Z466</f>
        <v>1402.212</v>
      </c>
      <c r="I473" s="24">
        <f>UTT!AA466</f>
        <v>178.9</v>
      </c>
      <c r="J473" s="24">
        <f>UTT!AB466</f>
        <v>169.89000000000001</v>
      </c>
      <c r="K473" s="24">
        <f>UTT!AC466</f>
        <v>177.2</v>
      </c>
      <c r="L473" s="24">
        <f>UTT!AD466</f>
        <v>167.28999999999996</v>
      </c>
      <c r="M473" s="195">
        <f t="shared" si="249"/>
        <v>0.7393764532954239</v>
      </c>
      <c r="N473" s="195">
        <f t="shared" si="250"/>
        <v>0.70667695292441712</v>
      </c>
      <c r="O473" s="195">
        <f t="shared" si="251"/>
        <v>0.21508707485181647</v>
      </c>
      <c r="P473" s="195">
        <f t="shared" si="252"/>
        <v>0.19475166666666666</v>
      </c>
      <c r="Q473" s="195">
        <f>UTT!AI466</f>
        <v>0.98499999999999999</v>
      </c>
      <c r="R473" s="195">
        <f>UTT!AJ466</f>
        <v>0.98842000000000008</v>
      </c>
      <c r="S473" s="195">
        <f>UTT!AK466</f>
        <v>0.99</v>
      </c>
      <c r="T473" s="195">
        <f>UTT!AL466</f>
        <v>1</v>
      </c>
      <c r="U473" s="198">
        <v>1.4999999999999999E-2</v>
      </c>
      <c r="V473" s="195">
        <f>UTT!AR466</f>
        <v>-1.52E-2</v>
      </c>
      <c r="W473" s="198">
        <v>0</v>
      </c>
      <c r="X473" s="197">
        <v>0</v>
      </c>
      <c r="Y473" s="199">
        <f t="shared" si="253"/>
        <v>-3.8619495322597786E-2</v>
      </c>
    </row>
    <row r="474" spans="2:25">
      <c r="B474" s="189" t="s">
        <v>14</v>
      </c>
      <c r="C474" s="190" t="s">
        <v>65</v>
      </c>
      <c r="D474" s="190">
        <v>10</v>
      </c>
      <c r="E474" s="191">
        <v>12</v>
      </c>
      <c r="F474" s="192">
        <f t="shared" si="248"/>
        <v>45138</v>
      </c>
      <c r="G474" s="24">
        <f>UTT!Y467</f>
        <v>1370.5929927472421</v>
      </c>
      <c r="H474" s="24">
        <f>UTT!Z467</f>
        <v>1109.682</v>
      </c>
      <c r="I474" s="24">
        <f>UTT!AA467</f>
        <v>155.5</v>
      </c>
      <c r="J474" s="24">
        <f>UTT!AB467</f>
        <v>138.42000000000002</v>
      </c>
      <c r="K474" s="24">
        <f>UTT!AC467</f>
        <v>154.6</v>
      </c>
      <c r="L474" s="24">
        <f>UTT!AD467</f>
        <v>136.71</v>
      </c>
      <c r="M474" s="195">
        <f t="shared" si="249"/>
        <v>0.75003501900392588</v>
      </c>
      <c r="N474" s="195">
        <f t="shared" si="250"/>
        <v>0.71690522263867362</v>
      </c>
      <c r="O474" s="195">
        <f t="shared" si="251"/>
        <v>0.18421948827247878</v>
      </c>
      <c r="P474" s="195">
        <f t="shared" si="252"/>
        <v>0.14915080645161291</v>
      </c>
      <c r="Q474" s="195">
        <f>UTT!AI467</f>
        <v>0.98499999999999999</v>
      </c>
      <c r="R474" s="195">
        <f>UTT!AJ467</f>
        <v>0.94352903225806439</v>
      </c>
      <c r="S474" s="195">
        <f>UTT!AK467</f>
        <v>0.99</v>
      </c>
      <c r="T474" s="195">
        <f>UTT!AL467</f>
        <v>1</v>
      </c>
      <c r="U474" s="198">
        <v>1.4999999999999999E-2</v>
      </c>
      <c r="V474" s="195">
        <f>UTT!AR467</f>
        <v>0</v>
      </c>
      <c r="W474" s="198">
        <v>0</v>
      </c>
      <c r="X474" s="197">
        <v>0</v>
      </c>
      <c r="Y474" s="199">
        <f t="shared" si="253"/>
        <v>-7.4645600974951987E-2</v>
      </c>
    </row>
    <row r="475" spans="2:25">
      <c r="B475" s="189" t="s">
        <v>14</v>
      </c>
      <c r="C475" s="190" t="s">
        <v>65</v>
      </c>
      <c r="D475" s="190">
        <v>10</v>
      </c>
      <c r="E475" s="191">
        <v>12</v>
      </c>
      <c r="F475" s="192">
        <f t="shared" si="248"/>
        <v>45169</v>
      </c>
      <c r="G475" s="24">
        <f>UTT!Y468</f>
        <v>1301.705485931617</v>
      </c>
      <c r="H475" s="24">
        <f>UTT!Z468</f>
        <v>1135.3140000000001</v>
      </c>
      <c r="I475" s="24">
        <f>UTT!AA468</f>
        <v>145.4</v>
      </c>
      <c r="J475" s="24">
        <f>UTT!AB468</f>
        <v>132.81</v>
      </c>
      <c r="K475" s="24">
        <f>UTT!AC468</f>
        <v>146.30000000000001</v>
      </c>
      <c r="L475" s="24">
        <f>UTT!AD468</f>
        <v>133.71</v>
      </c>
      <c r="M475" s="195">
        <f t="shared" si="249"/>
        <v>0.75275029170273222</v>
      </c>
      <c r="N475" s="195">
        <f t="shared" si="250"/>
        <v>0.72811941831889626</v>
      </c>
      <c r="O475" s="195">
        <f t="shared" si="251"/>
        <v>0.17496041477575497</v>
      </c>
      <c r="P475" s="195">
        <f t="shared" si="252"/>
        <v>0.15259596774193551</v>
      </c>
      <c r="Q475" s="195">
        <f>UTT!AI468</f>
        <v>0.98499999999999999</v>
      </c>
      <c r="R475" s="195">
        <f>UTT!AJ468</f>
        <v>0.97178064516129026</v>
      </c>
      <c r="S475" s="195">
        <f>UTT!AK468</f>
        <v>0.99</v>
      </c>
      <c r="T475" s="195">
        <f>UTT!AL468</f>
        <v>1</v>
      </c>
      <c r="U475" s="198">
        <v>1.4999999999999999E-2</v>
      </c>
      <c r="V475" s="195">
        <f>UTT!AR468</f>
        <v>-5.3E-3</v>
      </c>
      <c r="W475" s="198">
        <v>0</v>
      </c>
      <c r="X475" s="197">
        <v>0</v>
      </c>
      <c r="Y475" s="199">
        <f t="shared" si="253"/>
        <v>-4.1769705328783768E-2</v>
      </c>
    </row>
    <row r="476" spans="2:25">
      <c r="B476" s="189" t="s">
        <v>14</v>
      </c>
      <c r="C476" s="190" t="s">
        <v>65</v>
      </c>
      <c r="D476" s="190">
        <v>10</v>
      </c>
      <c r="E476" s="191">
        <v>12</v>
      </c>
      <c r="F476" s="192">
        <f t="shared" si="248"/>
        <v>45199</v>
      </c>
      <c r="G476" s="24">
        <f>UTT!Y469</f>
        <v>1297.2322712033301</v>
      </c>
      <c r="H476" s="24">
        <f>UTT!Z469</f>
        <v>1281.336</v>
      </c>
      <c r="I476" s="24">
        <f>UTT!AA469</f>
        <v>141.6</v>
      </c>
      <c r="J476" s="24">
        <f>UTT!AB469</f>
        <v>141.79</v>
      </c>
      <c r="K476" s="24">
        <f>UTT!AC469</f>
        <v>145.5</v>
      </c>
      <c r="L476" s="24">
        <f>UTT!AD469</f>
        <v>147.78</v>
      </c>
      <c r="M476" s="195">
        <f t="shared" si="249"/>
        <v>0.75428813136528472</v>
      </c>
      <c r="N476" s="195">
        <f t="shared" si="250"/>
        <v>0.73273943490754323</v>
      </c>
      <c r="O476" s="195">
        <f t="shared" si="251"/>
        <v>0.18017114877824031</v>
      </c>
      <c r="P476" s="195">
        <f t="shared" si="252"/>
        <v>0.17796333333333333</v>
      </c>
      <c r="Q476" s="195">
        <f>UTT!AI469</f>
        <v>0.98499999999999999</v>
      </c>
      <c r="R476" s="195">
        <f>UTT!AJ469</f>
        <v>0.98609000000000013</v>
      </c>
      <c r="S476" s="195">
        <f>UTT!AK469</f>
        <v>0.99</v>
      </c>
      <c r="T476" s="195">
        <f>UTT!AL469</f>
        <v>1</v>
      </c>
      <c r="U476" s="198">
        <v>1.4999999999999999E-2</v>
      </c>
      <c r="V476" s="195">
        <f>UTT!AR469</f>
        <v>-1.0999999999999999E-2</v>
      </c>
      <c r="W476" s="198">
        <v>0</v>
      </c>
      <c r="X476" s="197">
        <v>0</v>
      </c>
      <c r="Y476" s="199">
        <f t="shared" si="253"/>
        <v>-2.7924093034449426E-2</v>
      </c>
    </row>
    <row r="477" spans="2:25">
      <c r="B477" s="189" t="s">
        <v>14</v>
      </c>
      <c r="C477" s="190" t="s">
        <v>65</v>
      </c>
      <c r="D477" s="190">
        <v>10</v>
      </c>
      <c r="E477" s="191">
        <v>12</v>
      </c>
      <c r="F477" s="192">
        <f t="shared" si="248"/>
        <v>45230</v>
      </c>
      <c r="G477" s="24">
        <f>UTT!Y470</f>
        <v>1486.8965756827131</v>
      </c>
      <c r="H477" s="24">
        <f>UTT!Z470</f>
        <v>1353.306</v>
      </c>
      <c r="I477" s="24">
        <f>UTT!AA470</f>
        <v>139.1</v>
      </c>
      <c r="J477" s="24">
        <f>UTT!AB470</f>
        <v>139.17999999999998</v>
      </c>
      <c r="K477" s="24">
        <f>UTT!AC470</f>
        <v>172.2</v>
      </c>
      <c r="L477" s="24">
        <f>UTT!AD470</f>
        <v>170.64000000000004</v>
      </c>
      <c r="M477" s="195">
        <f t="shared" si="249"/>
        <v>0.7305166815446531</v>
      </c>
      <c r="N477" s="195">
        <f t="shared" si="250"/>
        <v>0.73340230910535653</v>
      </c>
      <c r="O477" s="195">
        <f t="shared" si="251"/>
        <v>0.19985169027993455</v>
      </c>
      <c r="P477" s="195">
        <f t="shared" si="252"/>
        <v>0.1818959677419355</v>
      </c>
      <c r="Q477" s="195">
        <f>UTT!AI470</f>
        <v>0.98499999999999999</v>
      </c>
      <c r="R477" s="195">
        <f>UTT!AJ470</f>
        <v>0.90113870967741927</v>
      </c>
      <c r="S477" s="195">
        <f>UTT!AK470</f>
        <v>0.99</v>
      </c>
      <c r="T477" s="195">
        <f>UTT!AL470</f>
        <v>1</v>
      </c>
      <c r="U477" s="198">
        <v>1.4999999999999999E-2</v>
      </c>
      <c r="V477" s="195">
        <f>UTT!AR470</f>
        <v>-2.12E-2</v>
      </c>
      <c r="W477" s="198">
        <v>0</v>
      </c>
      <c r="X477" s="197">
        <v>0</v>
      </c>
      <c r="Y477" s="199">
        <f t="shared" si="253"/>
        <v>-8.0786003850484178E-2</v>
      </c>
    </row>
    <row r="478" spans="2:25">
      <c r="B478" s="189" t="s">
        <v>14</v>
      </c>
      <c r="C478" s="190" t="s">
        <v>65</v>
      </c>
      <c r="D478" s="190">
        <v>10</v>
      </c>
      <c r="E478" s="191">
        <v>12</v>
      </c>
      <c r="F478" s="192">
        <f t="shared" si="248"/>
        <v>45260</v>
      </c>
      <c r="G478" s="24">
        <f>UTT!Y471</f>
        <v>1316.0197730621364</v>
      </c>
      <c r="H478" s="24">
        <f>UTT!Z471</f>
        <v>1100.1540000000041</v>
      </c>
      <c r="I478" s="24">
        <f>UTT!AA471</f>
        <v>108.1</v>
      </c>
      <c r="J478" s="24">
        <f>UTT!AB471</f>
        <v>95.649999999999991</v>
      </c>
      <c r="K478" s="24">
        <f>UTT!AC471</f>
        <v>152.1</v>
      </c>
      <c r="L478" s="24">
        <f>UTT!AD471</f>
        <v>130.08000000000001</v>
      </c>
      <c r="M478" s="195">
        <f t="shared" si="249"/>
        <v>0.73200782561462496</v>
      </c>
      <c r="N478" s="195">
        <f t="shared" si="250"/>
        <v>0.70675090418664133</v>
      </c>
      <c r="O478" s="195">
        <f t="shared" si="251"/>
        <v>0.18278052403640782</v>
      </c>
      <c r="P478" s="195">
        <f t="shared" si="252"/>
        <v>0.15279916666666724</v>
      </c>
      <c r="Q478" s="195">
        <f>UTT!AI471</f>
        <v>0.98499999999999999</v>
      </c>
      <c r="R478" s="195">
        <f>UTT!AJ471</f>
        <v>0.99723000000000006</v>
      </c>
      <c r="S478" s="195">
        <f>UTT!AK471</f>
        <v>0.99</v>
      </c>
      <c r="T478" s="195">
        <f>UTT!AL471</f>
        <v>1</v>
      </c>
      <c r="U478" s="198">
        <v>1.4999999999999999E-2</v>
      </c>
      <c r="V478" s="195">
        <f>UTT!AR471</f>
        <v>-1.8200000000000001E-2</v>
      </c>
      <c r="W478" s="198">
        <v>0</v>
      </c>
      <c r="X478" s="197">
        <v>0</v>
      </c>
      <c r="Y478" s="199">
        <f t="shared" si="253"/>
        <v>-1.9256102345913351E-2</v>
      </c>
    </row>
    <row r="479" spans="2:25">
      <c r="B479" s="189" t="s">
        <v>14</v>
      </c>
      <c r="C479" s="190" t="s">
        <v>65</v>
      </c>
      <c r="D479" s="190">
        <v>10</v>
      </c>
      <c r="E479" s="191">
        <v>12</v>
      </c>
      <c r="F479" s="192">
        <f t="shared" si="248"/>
        <v>45291</v>
      </c>
      <c r="G479" s="24">
        <f>UTT!Y472</f>
        <v>1105.7786808326314</v>
      </c>
      <c r="H479" s="24">
        <f>UTT!Z472</f>
        <v>993.31799999999998</v>
      </c>
      <c r="I479" s="24">
        <f>UTT!AA472</f>
        <v>89.9</v>
      </c>
      <c r="J479" s="24">
        <f>UTT!AB472</f>
        <v>82.71</v>
      </c>
      <c r="K479" s="24">
        <f>UTT!AC472</f>
        <v>129.6</v>
      </c>
      <c r="L479" s="24">
        <f>UTT!AD472</f>
        <v>120.23</v>
      </c>
      <c r="M479" s="195">
        <f t="shared" si="249"/>
        <v>0.72184796173089627</v>
      </c>
      <c r="N479" s="195">
        <f t="shared" si="250"/>
        <v>0.69010743679143038</v>
      </c>
      <c r="O479" s="195">
        <f t="shared" si="251"/>
        <v>0.14862616677857948</v>
      </c>
      <c r="P479" s="195">
        <f t="shared" si="252"/>
        <v>0.13351048387096773</v>
      </c>
      <c r="Q479" s="195">
        <f>UTT!AI472</f>
        <v>0.98499999999999999</v>
      </c>
      <c r="R479" s="195">
        <f>UTT!AJ472</f>
        <v>0.99764838709677428</v>
      </c>
      <c r="S479" s="195">
        <f>UTT!AK472</f>
        <v>0.99</v>
      </c>
      <c r="T479" s="195">
        <f>UTT!AL472</f>
        <v>1</v>
      </c>
      <c r="U479" s="198">
        <v>1.4999999999999999E-2</v>
      </c>
      <c r="V479" s="195">
        <f>UTT!AR472</f>
        <v>-2.1499999999999998E-2</v>
      </c>
      <c r="W479" s="198">
        <v>0</v>
      </c>
      <c r="X479" s="197">
        <v>0</v>
      </c>
      <c r="Y479" s="199">
        <f t="shared" si="253"/>
        <v>-2.940332034922466E-2</v>
      </c>
    </row>
    <row r="480" spans="2:25">
      <c r="B480" s="189" t="s">
        <v>14</v>
      </c>
      <c r="C480" s="190" t="s">
        <v>65</v>
      </c>
      <c r="D480" s="190">
        <v>10</v>
      </c>
      <c r="E480" s="191">
        <v>12</v>
      </c>
      <c r="F480" s="192">
        <f t="shared" si="248"/>
        <v>45322</v>
      </c>
      <c r="G480" s="24">
        <f>UTT!Y473</f>
        <v>930.2273688209948</v>
      </c>
      <c r="H480" s="24">
        <f>UTT!Z473</f>
        <v>414.74400000000003</v>
      </c>
      <c r="I480" s="24">
        <f>UTT!AA473</f>
        <v>79.599999999999994</v>
      </c>
      <c r="J480" s="24">
        <f>UTT!AB473</f>
        <v>43.78</v>
      </c>
      <c r="K480" s="24">
        <f>UTT!AC473</f>
        <v>103.2</v>
      </c>
      <c r="L480" s="24">
        <f>UTT!AD473</f>
        <v>50.59</v>
      </c>
      <c r="M480" s="195">
        <f t="shared" si="249"/>
        <v>0.76259146304794367</v>
      </c>
      <c r="N480" s="195">
        <f t="shared" si="250"/>
        <v>0.68868799775551726</v>
      </c>
      <c r="O480" s="195">
        <f t="shared" si="251"/>
        <v>0.12503056032540255</v>
      </c>
      <c r="P480" s="195">
        <f t="shared" si="252"/>
        <v>5.5745161290322587E-2</v>
      </c>
      <c r="Q480" s="195">
        <f>UTT!AI473</f>
        <v>0.98499999999999999</v>
      </c>
      <c r="R480" s="195">
        <f>UTT!AJ473</f>
        <v>0.99199999999999999</v>
      </c>
      <c r="S480" s="195">
        <f>UTT!AK473</f>
        <v>0.99</v>
      </c>
      <c r="T480" s="195">
        <f>UTT!AL473</f>
        <v>1</v>
      </c>
      <c r="U480" s="198">
        <v>1.4999999999999999E-2</v>
      </c>
      <c r="V480" s="195">
        <f>UTT!AR473</f>
        <v>-1.5699999999999999E-2</v>
      </c>
      <c r="W480" s="198">
        <v>0</v>
      </c>
      <c r="X480" s="197">
        <v>0</v>
      </c>
      <c r="Y480" s="199">
        <f t="shared" si="253"/>
        <v>-4.4360891099818001E-2</v>
      </c>
    </row>
    <row r="481" spans="2:25">
      <c r="B481" s="189" t="s">
        <v>14</v>
      </c>
      <c r="C481" s="190" t="s">
        <v>65</v>
      </c>
      <c r="D481" s="190">
        <v>10</v>
      </c>
      <c r="E481" s="191">
        <v>12</v>
      </c>
      <c r="F481" s="192">
        <f t="shared" si="248"/>
        <v>45351</v>
      </c>
      <c r="G481" s="24">
        <f>UTT!Y474</f>
        <v>1221.3128708348368</v>
      </c>
      <c r="H481" s="24">
        <f>UTT!Z474</f>
        <v>1160.9939999999986</v>
      </c>
      <c r="I481" s="24">
        <f>UTT!AA474</f>
        <v>108.1</v>
      </c>
      <c r="J481" s="24">
        <f>UTT!AB474</f>
        <v>113.08999999999997</v>
      </c>
      <c r="K481" s="24">
        <f>UTT!AC474</f>
        <v>137.5</v>
      </c>
      <c r="L481" s="24">
        <f>UTT!AD474</f>
        <v>143.82999999999996</v>
      </c>
      <c r="M481" s="195">
        <f t="shared" si="249"/>
        <v>0.75146154181500502</v>
      </c>
      <c r="N481" s="195">
        <f t="shared" si="250"/>
        <v>0.69168704055970043</v>
      </c>
      <c r="O481" s="195">
        <f t="shared" si="251"/>
        <v>0.17547598718891333</v>
      </c>
      <c r="P481" s="195">
        <f t="shared" si="252"/>
        <v>0.16680948275862048</v>
      </c>
      <c r="Q481" s="195">
        <f>UTT!AI474</f>
        <v>0.98499999999999999</v>
      </c>
      <c r="R481" s="195">
        <f>UTT!AJ474</f>
        <v>0.97250000000000003</v>
      </c>
      <c r="S481" s="195">
        <f>UTT!AK474</f>
        <v>0.99</v>
      </c>
      <c r="T481" s="195">
        <f>UTT!AL474</f>
        <v>0.99589310344827586</v>
      </c>
      <c r="U481" s="198">
        <v>1.4999999999999999E-2</v>
      </c>
      <c r="V481" s="195">
        <f>UTT!AR474</f>
        <v>-1.5299999999999999E-2</v>
      </c>
      <c r="W481" s="198">
        <v>0</v>
      </c>
      <c r="X481" s="197">
        <v>0</v>
      </c>
      <c r="Y481" s="199">
        <f t="shared" si="253"/>
        <v>-9.5424912856848287E-2</v>
      </c>
    </row>
    <row r="482" spans="2:25">
      <c r="B482" s="189" t="s">
        <v>14</v>
      </c>
      <c r="C482" s="190" t="s">
        <v>65</v>
      </c>
      <c r="D482" s="190">
        <v>10</v>
      </c>
      <c r="E482" s="191">
        <v>12</v>
      </c>
      <c r="F482" s="192">
        <f t="shared" si="248"/>
        <v>45382</v>
      </c>
      <c r="G482" s="24">
        <f>UTT!Y475</f>
        <v>1637.9123049096938</v>
      </c>
      <c r="H482" s="24">
        <f>UTT!Z475</f>
        <v>1479.4739999999999</v>
      </c>
      <c r="I482" s="24">
        <f>UTT!AA475</f>
        <v>161.4</v>
      </c>
      <c r="J482" s="24">
        <f>UTT!AB475</f>
        <v>157.08999999999997</v>
      </c>
      <c r="K482" s="24">
        <f>UTT!AC475</f>
        <v>187.8</v>
      </c>
      <c r="L482" s="24">
        <f>UTT!AD475</f>
        <v>177.47000000000006</v>
      </c>
      <c r="M482" s="195">
        <f t="shared" ref="M482" si="254">G482/E482/K482/Q482</f>
        <v>0.73786613946042501</v>
      </c>
      <c r="N482" s="195">
        <f t="shared" ref="N482" si="255">H482/E482/L482/R482</f>
        <v>0.69743417704993438</v>
      </c>
      <c r="O482" s="195">
        <f t="shared" ref="O482" si="256">G482/24/DAY(F482)/D482</f>
        <v>0.22014950334807709</v>
      </c>
      <c r="P482" s="195">
        <f t="shared" ref="P482" si="257">H482/24/DAY(F482)/D482</f>
        <v>0.1988540322580645</v>
      </c>
      <c r="Q482" s="195">
        <f>UTT!AI475</f>
        <v>0.98499999999999999</v>
      </c>
      <c r="R482" s="195">
        <f>UTT!AJ475</f>
        <v>0.99608847741935502</v>
      </c>
      <c r="S482" s="195">
        <f>UTT!AK475</f>
        <v>0.99</v>
      </c>
      <c r="T482" s="195">
        <f>UTT!AL475</f>
        <v>1</v>
      </c>
      <c r="U482" s="198">
        <v>1.4999999999999999E-2</v>
      </c>
      <c r="V482" s="195">
        <f>UTT!AR475</f>
        <v>-2.1299999999999999E-2</v>
      </c>
      <c r="W482" s="198">
        <v>0</v>
      </c>
      <c r="X482" s="197">
        <v>0</v>
      </c>
      <c r="Y482" s="199">
        <f t="shared" ref="Y482" si="258">(H482/G482-1)-(L482/K482-1)</f>
        <v>-4.1726535881700277E-2</v>
      </c>
    </row>
    <row r="483" spans="2:25">
      <c r="B483" s="189" t="s">
        <v>14</v>
      </c>
      <c r="C483" s="190" t="s">
        <v>65</v>
      </c>
      <c r="D483" s="190">
        <v>10</v>
      </c>
      <c r="E483" s="191">
        <v>12</v>
      </c>
      <c r="F483" s="192">
        <f t="shared" si="248"/>
        <v>45412</v>
      </c>
      <c r="G483" s="24">
        <f>UTT!Y476</f>
        <v>1693.9929979582321</v>
      </c>
      <c r="H483" s="24">
        <f>UTT!Z476</f>
        <v>1519.626</v>
      </c>
      <c r="I483" s="24">
        <f>UTT!AA476</f>
        <v>190.2</v>
      </c>
      <c r="J483" s="24">
        <f>UTT!AB476</f>
        <v>183.76</v>
      </c>
      <c r="K483" s="24">
        <f>UTT!AC476</f>
        <v>194</v>
      </c>
      <c r="L483" s="24">
        <f>UTT!AD476</f>
        <v>189.48000000000005</v>
      </c>
      <c r="M483" s="195">
        <f t="shared" ref="M483" si="259">G483/E483/K483/Q483</f>
        <v>0.73874134263010105</v>
      </c>
      <c r="N483" s="195">
        <f t="shared" ref="N483" si="260">H483/E483/L483/R483</f>
        <v>0.68051611226338948</v>
      </c>
      <c r="O483" s="195">
        <f t="shared" ref="O483" si="261">G483/24/DAY(F483)/D483</f>
        <v>0.2352768052719767</v>
      </c>
      <c r="P483" s="195">
        <f t="shared" ref="P483" si="262">H483/24/DAY(F483)/D483</f>
        <v>0.21105916666666666</v>
      </c>
      <c r="Q483" s="195">
        <f>UTT!AI476</f>
        <v>0.98499999999999999</v>
      </c>
      <c r="R483" s="195">
        <f>UTT!AJ476</f>
        <v>0.98209540965887099</v>
      </c>
      <c r="S483" s="195">
        <f>UTT!AK476</f>
        <v>0.99</v>
      </c>
      <c r="T483" s="195">
        <f>UTT!AL476</f>
        <v>0.99956333333333325</v>
      </c>
      <c r="U483" s="198">
        <v>1.4999999999999999E-2</v>
      </c>
      <c r="V483" s="195">
        <f>UTT!AR476</f>
        <v>-2.1846666666666702E-2</v>
      </c>
      <c r="W483" s="198">
        <v>0</v>
      </c>
      <c r="X483" s="197">
        <v>0</v>
      </c>
      <c r="Y483" s="199">
        <f t="shared" ref="Y483" si="263">(H483/G483-1)-(L483/K483-1)</f>
        <v>-7.9633568528874044E-2</v>
      </c>
    </row>
    <row r="484" spans="2:25">
      <c r="B484" s="189" t="s">
        <v>14</v>
      </c>
      <c r="C484" s="190" t="s">
        <v>65</v>
      </c>
      <c r="D484" s="190">
        <v>10</v>
      </c>
      <c r="E484" s="191">
        <v>12</v>
      </c>
      <c r="F484" s="192">
        <f t="shared" si="248"/>
        <v>45443</v>
      </c>
      <c r="G484" s="24">
        <f>UTT!Y477</f>
        <v>1716.2472412314617</v>
      </c>
      <c r="H484" s="24">
        <f>UTT!Z477</f>
        <v>1411.374</v>
      </c>
      <c r="I484" s="24">
        <f>UTT!AA477</f>
        <v>197</v>
      </c>
      <c r="J484" s="24">
        <f>UTT!AB477</f>
        <v>195.99999999999994</v>
      </c>
      <c r="K484" s="24">
        <f>UTT!AC477</f>
        <v>197.7</v>
      </c>
      <c r="L484" s="24">
        <f>UTT!AD477</f>
        <v>199.06</v>
      </c>
      <c r="M484" s="195">
        <f t="shared" ref="M484" si="264">G484/E484/K484/Q484</f>
        <v>0.73443895886941013</v>
      </c>
      <c r="N484" s="195">
        <f t="shared" ref="N484" si="265">H484/E484/L484/R484</f>
        <v>0.61515433622124582</v>
      </c>
      <c r="O484" s="195">
        <f t="shared" ref="O484" si="266">G484/24/DAY(F484)/D484</f>
        <v>0.23067839263863732</v>
      </c>
      <c r="P484" s="195">
        <f t="shared" ref="P484" si="267">H484/24/DAY(F484)/D484</f>
        <v>0.18970080645161291</v>
      </c>
      <c r="Q484" s="195">
        <f>UTT!AI477</f>
        <v>0.98499999999999999</v>
      </c>
      <c r="R484" s="195">
        <f>UTT!AJ477</f>
        <v>0.96048984429622475</v>
      </c>
      <c r="S484" s="195">
        <f>UTT!AK477</f>
        <v>0.99</v>
      </c>
      <c r="T484" s="195">
        <f>UTT!AL477</f>
        <v>0.99957419354838706</v>
      </c>
      <c r="U484" s="198">
        <v>1.4999999999999999E-2</v>
      </c>
      <c r="V484" s="195">
        <f>UTT!AR477</f>
        <v>-3.7100000000000001E-2</v>
      </c>
      <c r="W484" s="198">
        <v>0</v>
      </c>
      <c r="X484" s="197">
        <v>0</v>
      </c>
      <c r="Y484" s="199">
        <f t="shared" ref="Y484" si="268">(H484/G484-1)-(L484/K484-1)</f>
        <v>-0.18451857446590947</v>
      </c>
    </row>
    <row r="485" spans="2:25">
      <c r="B485" s="189" t="s">
        <v>14</v>
      </c>
      <c r="C485" s="190" t="s">
        <v>65</v>
      </c>
      <c r="D485" s="190">
        <v>10</v>
      </c>
      <c r="E485" s="191">
        <v>12</v>
      </c>
      <c r="F485" s="192">
        <f t="shared" si="248"/>
        <v>45473</v>
      </c>
      <c r="G485" s="24">
        <f>UTT!Y478</f>
        <v>1540.8838042384129</v>
      </c>
      <c r="H485" s="24">
        <f>UTT!Z478</f>
        <v>1440.366</v>
      </c>
      <c r="I485" s="24">
        <f>UTT!AA478</f>
        <v>178.9</v>
      </c>
      <c r="J485" s="24">
        <f>UTT!AB478</f>
        <v>188.72</v>
      </c>
      <c r="K485" s="24">
        <f>UTT!AC478</f>
        <v>177.2</v>
      </c>
      <c r="L485" s="24">
        <f>UTT!AD478</f>
        <v>184.46999999999997</v>
      </c>
      <c r="M485" s="195">
        <f t="shared" ref="M485" si="269">G485/E485/K485/Q485</f>
        <v>0.73567957102894677</v>
      </c>
      <c r="N485" s="195">
        <f t="shared" ref="N485" si="270">H485/E485/L485/R485</f>
        <v>0.67998496912601825</v>
      </c>
      <c r="O485" s="195">
        <f t="shared" ref="O485" si="271">G485/24/DAY(F485)/D485</f>
        <v>0.21401163947755736</v>
      </c>
      <c r="P485" s="195">
        <f t="shared" ref="P485" si="272">H485/24/DAY(F485)/D485</f>
        <v>0.20005083333333334</v>
      </c>
      <c r="Q485" s="195">
        <f>UTT!AI478</f>
        <v>0.98499999999999999</v>
      </c>
      <c r="R485" s="195">
        <f>UTT!AJ478</f>
        <v>0.95689999999999997</v>
      </c>
      <c r="S485" s="195">
        <f>UTT!AK478</f>
        <v>0.99</v>
      </c>
      <c r="T485" s="195">
        <f>UTT!AL478</f>
        <v>1</v>
      </c>
      <c r="U485" s="198">
        <v>1.4999999999999999E-2</v>
      </c>
      <c r="V485" s="195">
        <f>UTT!AR478</f>
        <v>-1.8499999999999999E-2</v>
      </c>
      <c r="W485" s="198">
        <v>0</v>
      </c>
      <c r="X485" s="197">
        <v>0</v>
      </c>
      <c r="Y485" s="199">
        <f t="shared" ref="Y485" si="273">(H485/G485-1)-(L485/K485-1)</f>
        <v>-0.10626095184980966</v>
      </c>
    </row>
    <row r="486" spans="2:25">
      <c r="B486" s="189" t="s">
        <v>14</v>
      </c>
      <c r="C486" s="190" t="s">
        <v>65</v>
      </c>
      <c r="D486" s="190">
        <v>10</v>
      </c>
      <c r="E486" s="191">
        <v>12</v>
      </c>
      <c r="F486" s="192">
        <f t="shared" si="248"/>
        <v>45504</v>
      </c>
      <c r="G486" s="24">
        <f>UTT!Y479</f>
        <v>1363.7400277835059</v>
      </c>
      <c r="H486" s="24">
        <f>UTT!Z479</f>
        <v>1184.046</v>
      </c>
      <c r="I486" s="24">
        <f>UTT!AA479</f>
        <v>155.5</v>
      </c>
      <c r="J486" s="24">
        <f>UTT!AB479</f>
        <v>141.75000000000003</v>
      </c>
      <c r="K486" s="24">
        <f>UTT!AC479</f>
        <v>154.6</v>
      </c>
      <c r="L486" s="24">
        <f>UTT!AD479</f>
        <v>140.17000000000004</v>
      </c>
      <c r="M486" s="195">
        <f t="shared" ref="M486:M487" si="274">G486/E486/K486/Q486</f>
        <v>0.74628484390890637</v>
      </c>
      <c r="N486" s="195">
        <f t="shared" ref="N486:N487" si="275">H486/E486/L486/R486</f>
        <v>0.74902901990092519</v>
      </c>
      <c r="O486" s="195">
        <f t="shared" ref="O486:O487" si="276">G486/24/DAY(F486)/D486</f>
        <v>0.18329839083111638</v>
      </c>
      <c r="P486" s="195">
        <f t="shared" ref="P486:P487" si="277">H486/24/DAY(F486)/D486</f>
        <v>0.15914596774193551</v>
      </c>
      <c r="Q486" s="195">
        <f>UTT!AI479</f>
        <v>0.98499999999999999</v>
      </c>
      <c r="R486" s="195">
        <f>UTT!AJ479</f>
        <v>0.93979604180145149</v>
      </c>
      <c r="S486" s="195">
        <f>UTT!AK479</f>
        <v>0.99</v>
      </c>
      <c r="T486" s="195">
        <f>UTT!AL479</f>
        <v>1</v>
      </c>
      <c r="U486" s="198">
        <v>1.4999999999999999E-2</v>
      </c>
      <c r="V486" s="195">
        <f>UTT!AR479</f>
        <v>-3.8999999999999998E-3</v>
      </c>
      <c r="W486" s="198">
        <v>0</v>
      </c>
      <c r="X486" s="197">
        <v>0</v>
      </c>
      <c r="Y486" s="199">
        <f t="shared" ref="Y486:Y487" si="278">(H486/G486-1)-(L486/K486-1)</f>
        <v>-3.8427957967167914E-2</v>
      </c>
    </row>
    <row r="487" spans="2:25">
      <c r="B487" s="189" t="s">
        <v>14</v>
      </c>
      <c r="C487" s="190" t="s">
        <v>65</v>
      </c>
      <c r="D487" s="190">
        <v>10</v>
      </c>
      <c r="E487" s="191">
        <v>12</v>
      </c>
      <c r="F487" s="192">
        <f t="shared" si="248"/>
        <v>45535</v>
      </c>
      <c r="G487" s="24">
        <f>UTT!Y480</f>
        <v>1295.196958501959</v>
      </c>
      <c r="H487" s="24">
        <f>UTT!Z480</f>
        <v>1348.566</v>
      </c>
      <c r="I487" s="24">
        <f>UTT!AA480</f>
        <v>145.4</v>
      </c>
      <c r="J487" s="24">
        <f>UTT!AB480</f>
        <v>161.11999999999995</v>
      </c>
      <c r="K487" s="24">
        <f>UTT!AC480</f>
        <v>146.30000000000001</v>
      </c>
      <c r="L487" s="24">
        <f>UTT!AD480</f>
        <v>163.04000000000002</v>
      </c>
      <c r="M487" s="195">
        <f t="shared" si="274"/>
        <v>0.74898654024421851</v>
      </c>
      <c r="N487" s="195">
        <f t="shared" si="275"/>
        <v>0.72688342389765048</v>
      </c>
      <c r="O487" s="195">
        <f t="shared" si="276"/>
        <v>0.1740856127018762</v>
      </c>
      <c r="P487" s="195">
        <f t="shared" si="277"/>
        <v>0.18125887096774193</v>
      </c>
      <c r="Q487" s="195">
        <f>UTT!AI480</f>
        <v>0.98499999999999999</v>
      </c>
      <c r="R487" s="195">
        <f>UTT!AJ480</f>
        <v>0.94827003709677415</v>
      </c>
      <c r="S487" s="195">
        <f>UTT!AK480</f>
        <v>0.99</v>
      </c>
      <c r="T487" s="195">
        <f>UTT!AL480</f>
        <v>1</v>
      </c>
      <c r="U487" s="198">
        <v>1.4999999999999999E-2</v>
      </c>
      <c r="V487" s="195">
        <f>UTT!AR480</f>
        <v>-6.0000000000000001E-3</v>
      </c>
      <c r="W487" s="198">
        <v>0</v>
      </c>
      <c r="X487" s="197">
        <v>0</v>
      </c>
      <c r="Y487" s="199">
        <f t="shared" si="278"/>
        <v>-7.3217071612672768E-2</v>
      </c>
    </row>
    <row r="488" spans="2:25">
      <c r="B488" s="189" t="s">
        <v>14</v>
      </c>
      <c r="C488" s="190" t="s">
        <v>65</v>
      </c>
      <c r="D488" s="190">
        <v>10</v>
      </c>
      <c r="E488" s="191">
        <v>12</v>
      </c>
      <c r="F488" s="192">
        <f t="shared" si="248"/>
        <v>45565</v>
      </c>
      <c r="G488" s="24">
        <f>UTT!Y481</f>
        <v>1290.7461098473132</v>
      </c>
      <c r="H488" s="24">
        <f>UTT!Z481</f>
        <v>1065.3119999999999</v>
      </c>
      <c r="I488" s="24">
        <f>UTT!AA481</f>
        <v>141.6</v>
      </c>
      <c r="J488" s="24">
        <f>UTT!AB481</f>
        <v>120.02</v>
      </c>
      <c r="K488" s="24">
        <f>UTT!AC481</f>
        <v>145.5</v>
      </c>
      <c r="L488" s="24">
        <f>UTT!AD481</f>
        <v>126.65999999999998</v>
      </c>
      <c r="M488" s="195">
        <f t="shared" ref="M488" si="279">G488/E488/K488/Q488</f>
        <v>0.75051669070845806</v>
      </c>
      <c r="N488" s="195">
        <f t="shared" ref="N488" si="280">H488/E488/L488/R488</f>
        <v>0.74614980776553252</v>
      </c>
      <c r="O488" s="195">
        <f t="shared" ref="O488" si="281">G488/24/DAY(F488)/D488</f>
        <v>0.17927029303434905</v>
      </c>
      <c r="P488" s="195">
        <f t="shared" ref="P488" si="282">H488/24/DAY(F488)/D488</f>
        <v>0.14796000000000001</v>
      </c>
      <c r="Q488" s="195">
        <f>UTT!AI481</f>
        <v>0.98499999999999999</v>
      </c>
      <c r="R488" s="195">
        <f>UTT!AJ481</f>
        <v>0.93935566300000006</v>
      </c>
      <c r="S488" s="195">
        <f>UTT!AK481</f>
        <v>0.99</v>
      </c>
      <c r="T488" s="195">
        <f>UTT!AL481</f>
        <v>1</v>
      </c>
      <c r="U488" s="198">
        <v>1.4999999999999999E-2</v>
      </c>
      <c r="V488" s="195">
        <f>UTT!AR481</f>
        <v>-9.4999999999999998E-3</v>
      </c>
      <c r="W488" s="198">
        <v>0</v>
      </c>
      <c r="X488" s="197">
        <v>0</v>
      </c>
      <c r="Y488" s="199">
        <f t="shared" ref="Y488" si="283">(H488/G488-1)-(L488/K488-1)</f>
        <v>-4.5169571435216049E-2</v>
      </c>
    </row>
    <row r="489" spans="2:25">
      <c r="B489" s="189" t="s">
        <v>14</v>
      </c>
      <c r="C489" s="190" t="s">
        <v>65</v>
      </c>
      <c r="D489" s="190">
        <v>10</v>
      </c>
      <c r="E489" s="191">
        <v>12</v>
      </c>
      <c r="F489" s="192">
        <f t="shared" si="248"/>
        <v>45596</v>
      </c>
      <c r="G489" s="24">
        <f>UTT!Y482</f>
        <v>1479.4620928042996</v>
      </c>
      <c r="H489" s="24">
        <f>UTT!Z482</f>
        <v>1252.9380000000001</v>
      </c>
      <c r="I489" s="24">
        <f>UTT!AA482</f>
        <v>139.1</v>
      </c>
      <c r="J489" s="24">
        <f>UTT!AB482</f>
        <v>126.35999999999997</v>
      </c>
      <c r="K489" s="24">
        <f>UTT!AC482</f>
        <v>172.2</v>
      </c>
      <c r="L489" s="24">
        <f>UTT!AD482</f>
        <v>151.13000000000002</v>
      </c>
      <c r="M489" s="195">
        <f t="shared" ref="M489" si="284">G489/E489/K489/Q489</f>
        <v>0.72686409813692987</v>
      </c>
      <c r="N489" s="195">
        <f t="shared" ref="N489" si="285">H489/E489/L489/R489</f>
        <v>0.71178275761454457</v>
      </c>
      <c r="O489" s="195">
        <f t="shared" ref="O489" si="286">G489/24/DAY(F489)/D489</f>
        <v>0.1988524318285349</v>
      </c>
      <c r="P489" s="195">
        <f t="shared" ref="P489" si="287">H489/24/DAY(F489)/D489</f>
        <v>0.16840564516129033</v>
      </c>
      <c r="Q489" s="195">
        <f>UTT!AI482</f>
        <v>0.98499999999999999</v>
      </c>
      <c r="R489" s="195">
        <f>UTT!AJ482</f>
        <v>0.97062213081083881</v>
      </c>
      <c r="S489" s="195">
        <f>UTT!AK482</f>
        <v>0.99</v>
      </c>
      <c r="T489" s="195">
        <f>UTT!AL482</f>
        <v>0.99528709677419358</v>
      </c>
      <c r="U489" s="198">
        <v>1.4999999999999999E-2</v>
      </c>
      <c r="V489" s="195">
        <f>UTT!AR482</f>
        <v>-2.3300000000000001E-2</v>
      </c>
      <c r="W489" s="198">
        <v>0</v>
      </c>
      <c r="X489" s="197">
        <v>0</v>
      </c>
      <c r="Y489" s="199">
        <f t="shared" ref="Y489" si="288">(H489/G489-1)-(L489/K489-1)</f>
        <v>-3.07547447354376E-2</v>
      </c>
    </row>
    <row r="490" spans="2:25">
      <c r="B490" s="189" t="s">
        <v>14</v>
      </c>
      <c r="C490" s="190" t="s">
        <v>65</v>
      </c>
      <c r="D490" s="190">
        <v>10</v>
      </c>
      <c r="E490" s="191">
        <v>12</v>
      </c>
      <c r="F490" s="192">
        <f t="shared" si="248"/>
        <v>45626</v>
      </c>
      <c r="G490" s="24">
        <f>UTT!Y483</f>
        <v>1309.4396741968258</v>
      </c>
      <c r="H490" s="24">
        <f>UTT!Z483</f>
        <v>929.72400000000005</v>
      </c>
      <c r="I490" s="24">
        <f>UTT!AA483</f>
        <v>108.1</v>
      </c>
      <c r="J490" s="24">
        <f>UTT!AB483</f>
        <v>82.050000000000011</v>
      </c>
      <c r="K490" s="24">
        <f>UTT!AC483</f>
        <v>152.1</v>
      </c>
      <c r="L490" s="24">
        <f>UTT!AD483</f>
        <v>108.30000000000001</v>
      </c>
      <c r="M490" s="195">
        <f t="shared" ref="M490" si="289">G490/E490/K490/Q490</f>
        <v>0.72834778648655196</v>
      </c>
      <c r="N490" s="195">
        <f t="shared" ref="N490" si="290">H490/E490/L490/R490</f>
        <v>0.72972369166699913</v>
      </c>
      <c r="O490" s="195">
        <f t="shared" ref="O490" si="291">G490/24/DAY(F490)/D490</f>
        <v>0.18186662141622578</v>
      </c>
      <c r="P490" s="195">
        <f t="shared" ref="P490" si="292">H490/24/DAY(F490)/D490</f>
        <v>0.12912833333333334</v>
      </c>
      <c r="Q490" s="195">
        <f>UTT!AI483</f>
        <v>0.98499999999999999</v>
      </c>
      <c r="R490" s="195">
        <f>UTT!AJ483</f>
        <v>0.98036069900000011</v>
      </c>
      <c r="S490" s="195">
        <f>UTT!AK483</f>
        <v>0.99</v>
      </c>
      <c r="T490" s="195">
        <f>UTT!AL483</f>
        <v>1</v>
      </c>
      <c r="U490" s="198">
        <v>1.4999999999999999E-2</v>
      </c>
      <c r="V490" s="195">
        <f>UTT!AR483</f>
        <v>-2.5700000000000001E-2</v>
      </c>
      <c r="W490" s="198">
        <v>0</v>
      </c>
      <c r="X490" s="197">
        <v>0</v>
      </c>
      <c r="Y490" s="199">
        <f t="shared" ref="Y490" si="293">(H490/G490-1)-(L490/K490-1)</f>
        <v>-2.0148859242197226E-3</v>
      </c>
    </row>
    <row r="491" spans="2:25">
      <c r="B491" s="189" t="s">
        <v>14</v>
      </c>
      <c r="C491" s="190" t="s">
        <v>65</v>
      </c>
      <c r="D491" s="190">
        <v>10</v>
      </c>
      <c r="E491" s="191">
        <v>12</v>
      </c>
      <c r="F491" s="192">
        <f t="shared" si="248"/>
        <v>45657</v>
      </c>
      <c r="G491" s="24">
        <f>UTT!Y484</f>
        <v>1100.2497874284682</v>
      </c>
      <c r="H491" s="24">
        <f>UTT!Z484</f>
        <v>988.63800000000003</v>
      </c>
      <c r="I491" s="24">
        <f>UTT!AA484</f>
        <v>89.9</v>
      </c>
      <c r="J491" s="24">
        <f>UTT!AB484</f>
        <v>79.329999999999984</v>
      </c>
      <c r="K491" s="24">
        <f>UTT!AC484</f>
        <v>129.6</v>
      </c>
      <c r="L491" s="24">
        <f>UTT!AD484</f>
        <v>115.30999999999997</v>
      </c>
      <c r="M491" s="195">
        <f t="shared" ref="M491" si="294">G491/E491/K491/Q491</f>
        <v>0.7182387219222417</v>
      </c>
      <c r="N491" s="195">
        <f t="shared" ref="N491" si="295">H491/E491/L491/R491</f>
        <v>0.72035740862231823</v>
      </c>
      <c r="O491" s="195">
        <f t="shared" ref="O491" si="296">G491/24/DAY(F491)/D491</f>
        <v>0.1478830359446866</v>
      </c>
      <c r="P491" s="195">
        <f t="shared" ref="P491" si="297">H491/24/DAY(F491)/D491</f>
        <v>0.13288145161290321</v>
      </c>
      <c r="Q491" s="195">
        <f>UTT!AI484</f>
        <v>0.98499999999999999</v>
      </c>
      <c r="R491" s="195">
        <f>UTT!AJ484</f>
        <v>0.99183870967741938</v>
      </c>
      <c r="S491" s="195">
        <f>UTT!AK484</f>
        <v>0.99</v>
      </c>
      <c r="T491" s="195">
        <f>UTT!AL484</f>
        <v>1</v>
      </c>
      <c r="U491" s="198">
        <v>1.4999999999999999E-2</v>
      </c>
      <c r="V491" s="195">
        <f>UTT!AR484</f>
        <v>-1.4390322580645201E-2</v>
      </c>
      <c r="W491" s="198">
        <v>0</v>
      </c>
      <c r="X491" s="197">
        <v>0</v>
      </c>
      <c r="Y491" s="199">
        <f t="shared" ref="Y491" si="298">(H491/G491-1)-(L491/K491-1)</f>
        <v>8.8201198283445192E-3</v>
      </c>
    </row>
    <row r="492" spans="2:25">
      <c r="B492" s="189"/>
      <c r="C492" s="190"/>
      <c r="D492" s="190"/>
      <c r="E492" s="191"/>
      <c r="F492" s="192"/>
      <c r="G492" s="24"/>
      <c r="H492" s="24"/>
      <c r="I492" s="24"/>
      <c r="J492" s="24"/>
      <c r="K492" s="24"/>
      <c r="L492" s="24"/>
      <c r="M492" s="195"/>
      <c r="N492" s="195"/>
      <c r="O492" s="195"/>
      <c r="P492" s="195"/>
      <c r="Q492" s="195"/>
      <c r="R492" s="195"/>
      <c r="S492" s="195"/>
      <c r="T492" s="204"/>
      <c r="U492" s="198"/>
      <c r="V492" s="204"/>
      <c r="W492" s="198"/>
      <c r="X492" s="197"/>
      <c r="Y492" s="199"/>
    </row>
    <row r="493" spans="2:25">
      <c r="B493" s="189"/>
      <c r="C493" s="190"/>
      <c r="D493" s="190"/>
      <c r="E493" s="191"/>
      <c r="F493" s="192"/>
      <c r="G493" s="24"/>
      <c r="H493" s="24"/>
      <c r="I493" s="24"/>
      <c r="J493" s="24"/>
      <c r="K493" s="24"/>
      <c r="L493" s="24"/>
      <c r="M493" s="195"/>
      <c r="N493" s="195"/>
      <c r="O493" s="195"/>
      <c r="P493" s="195"/>
      <c r="Q493" s="195"/>
      <c r="R493" s="195"/>
      <c r="S493" s="195"/>
      <c r="T493" s="204"/>
      <c r="U493" s="198"/>
      <c r="V493" s="204"/>
      <c r="W493" s="198"/>
      <c r="X493" s="197"/>
      <c r="Y493" s="199"/>
    </row>
    <row r="494" spans="2:25">
      <c r="B494" s="189"/>
      <c r="C494" s="190"/>
      <c r="D494" s="190"/>
      <c r="E494" s="191"/>
      <c r="F494" s="192"/>
      <c r="G494" s="24"/>
      <c r="H494" s="24"/>
      <c r="I494" s="24"/>
      <c r="J494" s="24"/>
      <c r="K494" s="24"/>
      <c r="L494" s="24"/>
      <c r="M494" s="195"/>
      <c r="N494" s="195"/>
      <c r="O494" s="195"/>
      <c r="P494" s="195"/>
      <c r="Q494" s="195"/>
      <c r="R494" s="195"/>
      <c r="S494" s="195"/>
      <c r="T494" s="204"/>
      <c r="U494" s="198"/>
      <c r="V494" s="204"/>
      <c r="W494" s="198"/>
      <c r="X494" s="197"/>
      <c r="Y494" s="199"/>
    </row>
    <row r="495" spans="2:25">
      <c r="B495" s="189"/>
      <c r="C495" s="190"/>
      <c r="D495" s="190"/>
      <c r="E495" s="191"/>
      <c r="F495" s="192"/>
      <c r="G495" s="24"/>
      <c r="H495" s="24"/>
      <c r="I495" s="24"/>
      <c r="J495" s="24"/>
      <c r="K495" s="24"/>
      <c r="L495" s="24"/>
      <c r="M495" s="195"/>
      <c r="N495" s="195"/>
      <c r="O495" s="195"/>
      <c r="P495" s="195"/>
      <c r="Q495" s="195"/>
      <c r="R495" s="195"/>
      <c r="S495" s="195"/>
      <c r="T495" s="204"/>
      <c r="U495" s="198"/>
      <c r="V495" s="204"/>
      <c r="W495" s="198"/>
      <c r="X495" s="197"/>
      <c r="Y495" s="199"/>
    </row>
    <row r="496" spans="2:25">
      <c r="B496" s="189"/>
      <c r="C496" s="190"/>
      <c r="D496" s="190"/>
      <c r="E496" s="191"/>
      <c r="F496" s="192"/>
      <c r="G496" s="24"/>
      <c r="H496" s="24"/>
      <c r="I496" s="24"/>
      <c r="J496" s="24"/>
      <c r="K496" s="24"/>
      <c r="L496" s="24"/>
      <c r="M496" s="195"/>
      <c r="N496" s="195"/>
      <c r="O496" s="195"/>
      <c r="P496" s="195"/>
      <c r="Q496" s="195"/>
      <c r="R496" s="195"/>
      <c r="S496" s="195"/>
      <c r="T496" s="204"/>
      <c r="U496" s="198"/>
      <c r="V496" s="204"/>
      <c r="W496" s="198"/>
      <c r="X496" s="197"/>
      <c r="Y496" s="199"/>
    </row>
    <row r="497" spans="2:25">
      <c r="B497" s="189" t="s">
        <v>14</v>
      </c>
      <c r="C497" s="190" t="s">
        <v>66</v>
      </c>
      <c r="D497" s="190">
        <v>5</v>
      </c>
      <c r="E497" s="191">
        <v>6</v>
      </c>
      <c r="F497" s="192">
        <v>42766</v>
      </c>
      <c r="G497" s="24"/>
      <c r="H497" s="24">
        <v>0</v>
      </c>
      <c r="I497" s="193">
        <v>79.599999999999994</v>
      </c>
      <c r="J497" s="194"/>
      <c r="K497" s="193">
        <v>103.2</v>
      </c>
      <c r="L497" s="194"/>
      <c r="M497" s="195">
        <v>0.82763481424572438</v>
      </c>
      <c r="N497" s="195"/>
      <c r="O497" s="195"/>
      <c r="P497" s="195"/>
      <c r="Q497" s="195">
        <v>0.98499999999999999</v>
      </c>
      <c r="R497" s="195"/>
      <c r="S497" s="196">
        <v>0.99</v>
      </c>
      <c r="T497" s="197"/>
      <c r="U497" s="198">
        <v>1.4999999999999999E-2</v>
      </c>
      <c r="V497" s="197">
        <v>0</v>
      </c>
      <c r="W497" s="198">
        <v>0</v>
      </c>
      <c r="X497" s="197">
        <v>0</v>
      </c>
      <c r="Y497" s="199" t="e">
        <f t="shared" si="246"/>
        <v>#DIV/0!</v>
      </c>
    </row>
    <row r="498" spans="2:25">
      <c r="B498" s="189" t="s">
        <v>14</v>
      </c>
      <c r="C498" s="190" t="s">
        <v>66</v>
      </c>
      <c r="D498" s="190">
        <v>5</v>
      </c>
      <c r="E498" s="191">
        <v>6</v>
      </c>
      <c r="F498" s="192">
        <v>42794</v>
      </c>
      <c r="G498" s="24"/>
      <c r="H498" s="24">
        <v>0</v>
      </c>
      <c r="I498" s="193">
        <v>108.1</v>
      </c>
      <c r="J498" s="194"/>
      <c r="K498" s="193">
        <v>137.5</v>
      </c>
      <c r="L498" s="194"/>
      <c r="M498" s="195">
        <v>0.81555559393111998</v>
      </c>
      <c r="N498" s="195"/>
      <c r="O498" s="195"/>
      <c r="P498" s="195"/>
      <c r="Q498" s="195">
        <v>0.98499999999999999</v>
      </c>
      <c r="R498" s="195"/>
      <c r="S498" s="196">
        <v>0.99</v>
      </c>
      <c r="T498" s="197"/>
      <c r="U498" s="198">
        <v>1.4999999999999999E-2</v>
      </c>
      <c r="V498" s="197">
        <v>0</v>
      </c>
      <c r="W498" s="198">
        <v>0</v>
      </c>
      <c r="X498" s="197">
        <v>0</v>
      </c>
      <c r="Y498" s="199" t="e">
        <f t="shared" si="246"/>
        <v>#DIV/0!</v>
      </c>
    </row>
    <row r="499" spans="2:25">
      <c r="B499" s="189" t="s">
        <v>14</v>
      </c>
      <c r="C499" s="190" t="s">
        <v>66</v>
      </c>
      <c r="D499" s="190">
        <v>5</v>
      </c>
      <c r="E499" s="191">
        <v>6</v>
      </c>
      <c r="F499" s="192">
        <v>42825</v>
      </c>
      <c r="G499" s="24"/>
      <c r="H499" s="24">
        <v>3.0630000000000002</v>
      </c>
      <c r="I499" s="193">
        <v>161.4</v>
      </c>
      <c r="J499" s="194"/>
      <c r="K499" s="193">
        <v>187.8</v>
      </c>
      <c r="L499" s="194"/>
      <c r="M499" s="195">
        <v>0.80080060538540998</v>
      </c>
      <c r="N499" s="195"/>
      <c r="O499" s="195"/>
      <c r="P499" s="195"/>
      <c r="Q499" s="195">
        <v>0.98499999999999999</v>
      </c>
      <c r="R499" s="195"/>
      <c r="S499" s="196">
        <v>0.99</v>
      </c>
      <c r="T499" s="197"/>
      <c r="U499" s="198">
        <v>1.4999999999999999E-2</v>
      </c>
      <c r="V499" s="197">
        <v>0</v>
      </c>
      <c r="W499" s="198">
        <v>0</v>
      </c>
      <c r="X499" s="197">
        <v>0</v>
      </c>
      <c r="Y499" s="199" t="e">
        <f t="shared" si="246"/>
        <v>#DIV/0!</v>
      </c>
    </row>
    <row r="500" spans="2:25">
      <c r="B500" s="189" t="s">
        <v>14</v>
      </c>
      <c r="C500" s="190" t="s">
        <v>66</v>
      </c>
      <c r="D500" s="190">
        <v>5</v>
      </c>
      <c r="E500" s="191">
        <v>6</v>
      </c>
      <c r="F500" s="192">
        <v>42855</v>
      </c>
      <c r="G500" s="24">
        <v>933.23753176531341</v>
      </c>
      <c r="H500" s="24">
        <v>206.358</v>
      </c>
      <c r="I500" s="193">
        <v>190.2</v>
      </c>
      <c r="J500" s="194"/>
      <c r="K500" s="193">
        <v>194</v>
      </c>
      <c r="L500" s="194"/>
      <c r="M500" s="195">
        <v>0.80175045684305279</v>
      </c>
      <c r="N500" s="195"/>
      <c r="O500" s="195"/>
      <c r="P500" s="195"/>
      <c r="Q500" s="195">
        <v>0.98499999999999999</v>
      </c>
      <c r="R500" s="195"/>
      <c r="S500" s="196">
        <v>0.99</v>
      </c>
      <c r="T500" s="197"/>
      <c r="U500" s="198">
        <v>1.4999999999999999E-2</v>
      </c>
      <c r="V500" s="197">
        <v>0</v>
      </c>
      <c r="W500" s="198">
        <v>0</v>
      </c>
      <c r="X500" s="197">
        <v>0</v>
      </c>
      <c r="Y500" s="199">
        <f t="shared" si="246"/>
        <v>0.22112055395977581</v>
      </c>
    </row>
    <row r="501" spans="2:25">
      <c r="B501" s="189" t="s">
        <v>14</v>
      </c>
      <c r="C501" s="190" t="s">
        <v>66</v>
      </c>
      <c r="D501" s="190">
        <v>5</v>
      </c>
      <c r="E501" s="191">
        <v>6</v>
      </c>
      <c r="F501" s="192">
        <v>42886</v>
      </c>
      <c r="G501" s="24">
        <v>945.49761494667598</v>
      </c>
      <c r="H501" s="24">
        <v>522.51599999999996</v>
      </c>
      <c r="I501" s="193">
        <v>197</v>
      </c>
      <c r="J501" s="194"/>
      <c r="K501" s="193">
        <v>197.7</v>
      </c>
      <c r="L501" s="194"/>
      <c r="M501" s="195">
        <v>0.79708111190918562</v>
      </c>
      <c r="N501" s="195"/>
      <c r="O501" s="195"/>
      <c r="P501" s="195"/>
      <c r="Q501" s="195">
        <v>0.98499999999999999</v>
      </c>
      <c r="R501" s="195"/>
      <c r="S501" s="196">
        <v>0.99</v>
      </c>
      <c r="T501" s="197"/>
      <c r="U501" s="198">
        <v>1.4999999999999999E-2</v>
      </c>
      <c r="V501" s="197">
        <v>0</v>
      </c>
      <c r="W501" s="198">
        <v>0</v>
      </c>
      <c r="X501" s="197">
        <v>0</v>
      </c>
      <c r="Y501" s="199">
        <f t="shared" si="246"/>
        <v>0.55263597891726968</v>
      </c>
    </row>
    <row r="502" spans="2:25">
      <c r="B502" s="189" t="s">
        <v>14</v>
      </c>
      <c r="C502" s="190" t="s">
        <v>66</v>
      </c>
      <c r="D502" s="190">
        <v>5</v>
      </c>
      <c r="E502" s="191">
        <v>6</v>
      </c>
      <c r="F502" s="192">
        <v>42916</v>
      </c>
      <c r="G502" s="24">
        <v>848.88815947753938</v>
      </c>
      <c r="H502" s="24">
        <v>602.82899999999995</v>
      </c>
      <c r="I502" s="193">
        <v>178.9</v>
      </c>
      <c r="J502" s="194">
        <v>155.33000000000001</v>
      </c>
      <c r="K502" s="193">
        <v>177.2</v>
      </c>
      <c r="L502" s="194">
        <v>148.03</v>
      </c>
      <c r="M502" s="195">
        <v>0.79842753901198216</v>
      </c>
      <c r="N502" s="195">
        <f>H502/6/L502</f>
        <v>0.67872390731608456</v>
      </c>
      <c r="O502" s="195">
        <f>G502/24/30/5</f>
        <v>0.23580226652153874</v>
      </c>
      <c r="P502" s="195">
        <f>H502/24/30/5</f>
        <v>0.16745249999999998</v>
      </c>
      <c r="Q502" s="195">
        <v>0.98499999999999999</v>
      </c>
      <c r="R502" s="195">
        <v>0.80541645999999989</v>
      </c>
      <c r="S502" s="196">
        <v>0.99</v>
      </c>
      <c r="T502" s="197">
        <v>0.99939999999999996</v>
      </c>
      <c r="U502" s="198">
        <v>1.4999999999999999E-2</v>
      </c>
      <c r="V502" s="197">
        <v>0</v>
      </c>
      <c r="W502" s="198">
        <v>0</v>
      </c>
      <c r="X502" s="197">
        <v>0</v>
      </c>
      <c r="Y502" s="199">
        <f t="shared" si="246"/>
        <v>-0.12524426264243993</v>
      </c>
    </row>
    <row r="503" spans="2:25">
      <c r="B503" s="189" t="s">
        <v>14</v>
      </c>
      <c r="C503" s="190" t="s">
        <v>66</v>
      </c>
      <c r="D503" s="190">
        <v>5</v>
      </c>
      <c r="E503" s="191">
        <v>6</v>
      </c>
      <c r="F503" s="192">
        <v>42947</v>
      </c>
      <c r="G503" s="24">
        <v>751.29789735389397</v>
      </c>
      <c r="H503" s="24">
        <v>290.50799999999998</v>
      </c>
      <c r="I503" s="193">
        <v>155.5</v>
      </c>
      <c r="J503" s="194">
        <v>155.74</v>
      </c>
      <c r="K503" s="193">
        <v>154.6</v>
      </c>
      <c r="L503" s="194">
        <v>153.06</v>
      </c>
      <c r="M503" s="195">
        <v>0.80993736239100256</v>
      </c>
      <c r="N503" s="195">
        <f t="shared" ref="N503:N511" si="299">H503/6/L503</f>
        <v>0.31633346400104534</v>
      </c>
      <c r="O503" s="195">
        <f>G503/24/31/5</f>
        <v>0.20196180036394998</v>
      </c>
      <c r="P503" s="195">
        <f>H503/24/31/5</f>
        <v>7.8093548387096784E-2</v>
      </c>
      <c r="Q503" s="195">
        <v>0.98499999999999999</v>
      </c>
      <c r="R503" s="195">
        <v>0.53697797999999997</v>
      </c>
      <c r="S503" s="196">
        <v>0.99</v>
      </c>
      <c r="T503" s="197">
        <v>0.99109999999999998</v>
      </c>
      <c r="U503" s="198">
        <v>1.4999999999999999E-2</v>
      </c>
      <c r="V503" s="197">
        <v>0</v>
      </c>
      <c r="W503" s="198">
        <v>0</v>
      </c>
      <c r="X503" s="197">
        <v>0</v>
      </c>
      <c r="Y503" s="199">
        <f t="shared" si="246"/>
        <v>-0.60336396218060273</v>
      </c>
    </row>
    <row r="504" spans="2:25">
      <c r="B504" s="189" t="s">
        <v>14</v>
      </c>
      <c r="C504" s="190" t="s">
        <v>66</v>
      </c>
      <c r="D504" s="190">
        <v>5</v>
      </c>
      <c r="E504" s="191">
        <v>6</v>
      </c>
      <c r="F504" s="192">
        <v>42978</v>
      </c>
      <c r="G504" s="24">
        <v>713.53684115529745</v>
      </c>
      <c r="H504" s="24">
        <v>498.834</v>
      </c>
      <c r="I504" s="193">
        <v>145.4</v>
      </c>
      <c r="J504" s="194">
        <v>126.11</v>
      </c>
      <c r="K504" s="193">
        <v>146.30000000000001</v>
      </c>
      <c r="L504" s="194">
        <v>126.87</v>
      </c>
      <c r="M504" s="195">
        <v>0.81286949322772539</v>
      </c>
      <c r="N504" s="195">
        <f t="shared" si="299"/>
        <v>0.65530858358950106</v>
      </c>
      <c r="O504" s="195">
        <f>G504/24/31/5</f>
        <v>0.19181097880518747</v>
      </c>
      <c r="P504" s="195">
        <f>H504/24/31/5</f>
        <v>0.13409516129032256</v>
      </c>
      <c r="Q504" s="195">
        <v>0.98499999999999999</v>
      </c>
      <c r="R504" s="195">
        <v>0.86266550000000009</v>
      </c>
      <c r="S504" s="196">
        <v>0.99</v>
      </c>
      <c r="T504" s="197">
        <v>0.99099999999999999</v>
      </c>
      <c r="U504" s="198">
        <v>1.4999999999999999E-2</v>
      </c>
      <c r="V504" s="197">
        <v>0</v>
      </c>
      <c r="W504" s="198">
        <v>0</v>
      </c>
      <c r="X504" s="197">
        <v>0</v>
      </c>
      <c r="Y504" s="199">
        <f t="shared" si="246"/>
        <v>-0.16809015136571659</v>
      </c>
    </row>
    <row r="505" spans="2:25">
      <c r="B505" s="189" t="s">
        <v>14</v>
      </c>
      <c r="C505" s="190" t="s">
        <v>66</v>
      </c>
      <c r="D505" s="190">
        <v>5</v>
      </c>
      <c r="E505" s="191">
        <v>6</v>
      </c>
      <c r="F505" s="192">
        <v>43008</v>
      </c>
      <c r="G505" s="24">
        <v>711.08482451902501</v>
      </c>
      <c r="H505" s="24">
        <v>575.24099999999999</v>
      </c>
      <c r="I505" s="193">
        <v>141.6</v>
      </c>
      <c r="J505" s="194">
        <v>125.7</v>
      </c>
      <c r="K505" s="193">
        <v>145.5</v>
      </c>
      <c r="L505" s="194">
        <v>126.99</v>
      </c>
      <c r="M505" s="195">
        <v>0.81453015408823026</v>
      </c>
      <c r="N505" s="195">
        <f t="shared" si="299"/>
        <v>0.75496889518859756</v>
      </c>
      <c r="O505" s="195">
        <f>G505/24/30/5</f>
        <v>0.19752356236639584</v>
      </c>
      <c r="P505" s="195">
        <f>H505/24/30/5</f>
        <v>0.15978916666666665</v>
      </c>
      <c r="Q505" s="195">
        <v>0.98499999999999999</v>
      </c>
      <c r="R505" s="195">
        <v>0.91903422999999995</v>
      </c>
      <c r="S505" s="196">
        <v>0.99</v>
      </c>
      <c r="T505" s="197">
        <v>0.99129999999999996</v>
      </c>
      <c r="U505" s="198">
        <v>1.4999999999999999E-2</v>
      </c>
      <c r="V505" s="197">
        <v>0</v>
      </c>
      <c r="W505" s="198">
        <v>0</v>
      </c>
      <c r="X505" s="197">
        <v>0</v>
      </c>
      <c r="Y505" s="199">
        <f t="shared" si="246"/>
        <v>-6.3820945182851307E-2</v>
      </c>
    </row>
    <row r="506" spans="2:25">
      <c r="B506" s="189" t="s">
        <v>14</v>
      </c>
      <c r="C506" s="190" t="s">
        <v>66</v>
      </c>
      <c r="D506" s="190">
        <v>5</v>
      </c>
      <c r="E506" s="191">
        <v>6</v>
      </c>
      <c r="F506" s="192">
        <v>43039</v>
      </c>
      <c r="G506" s="24">
        <v>815.05032989697895</v>
      </c>
      <c r="H506" s="24">
        <v>663.75300000000004</v>
      </c>
      <c r="I506" s="193">
        <v>139.1</v>
      </c>
      <c r="J506" s="194">
        <v>110.21</v>
      </c>
      <c r="K506" s="193">
        <v>172.2</v>
      </c>
      <c r="L506" s="194">
        <v>152.38999999999999</v>
      </c>
      <c r="M506" s="195">
        <v>0.78886017218058357</v>
      </c>
      <c r="N506" s="195">
        <f t="shared" si="299"/>
        <v>0.72593674125598806</v>
      </c>
      <c r="O506" s="195">
        <f>G506/24/31/5</f>
        <v>0.21909955104757498</v>
      </c>
      <c r="P506" s="195">
        <f>H506/24/31/5</f>
        <v>0.17842822580645162</v>
      </c>
      <c r="Q506" s="195">
        <v>0.98499999999999999</v>
      </c>
      <c r="R506" s="195">
        <v>0.96455219999999997</v>
      </c>
      <c r="S506" s="196">
        <v>0.99</v>
      </c>
      <c r="T506" s="197">
        <v>0.97399999999999998</v>
      </c>
      <c r="U506" s="198">
        <v>1.4999999999999999E-2</v>
      </c>
      <c r="V506" s="197">
        <v>0</v>
      </c>
      <c r="W506" s="198">
        <v>0</v>
      </c>
      <c r="X506" s="197">
        <v>0</v>
      </c>
      <c r="Y506" s="199">
        <f t="shared" si="246"/>
        <v>-7.0588781724518546E-2</v>
      </c>
    </row>
    <row r="507" spans="2:25">
      <c r="B507" s="189" t="s">
        <v>14</v>
      </c>
      <c r="C507" s="190" t="s">
        <v>66</v>
      </c>
      <c r="D507" s="190">
        <v>5</v>
      </c>
      <c r="E507" s="191">
        <v>6</v>
      </c>
      <c r="F507" s="192">
        <v>43069</v>
      </c>
      <c r="G507" s="24">
        <v>721.38329439136942</v>
      </c>
      <c r="H507" s="24">
        <v>548.15099999999995</v>
      </c>
      <c r="I507" s="193">
        <v>108.1</v>
      </c>
      <c r="J507" s="194"/>
      <c r="K507" s="193">
        <v>152.1</v>
      </c>
      <c r="L507" s="194">
        <v>114</v>
      </c>
      <c r="M507" s="195">
        <v>0.79047040805541247</v>
      </c>
      <c r="N507" s="195">
        <f t="shared" si="299"/>
        <v>0.8013903508771929</v>
      </c>
      <c r="O507" s="195">
        <f>G507/24/30/5</f>
        <v>0.20038424844204705</v>
      </c>
      <c r="P507" s="195">
        <f>H507/24/30/5</f>
        <v>0.15226416666666664</v>
      </c>
      <c r="Q507" s="195">
        <v>0.98499999999999999</v>
      </c>
      <c r="R507" s="195">
        <v>0.97049399999999997</v>
      </c>
      <c r="S507" s="196">
        <v>0.99</v>
      </c>
      <c r="T507" s="197">
        <v>0.98</v>
      </c>
      <c r="U507" s="198">
        <v>1.4999999999999999E-2</v>
      </c>
      <c r="V507" s="197">
        <v>0</v>
      </c>
      <c r="W507" s="198">
        <v>0</v>
      </c>
      <c r="X507" s="197">
        <v>0</v>
      </c>
      <c r="Y507" s="199">
        <f t="shared" si="246"/>
        <v>1.0354053036949806E-2</v>
      </c>
    </row>
    <row r="508" spans="2:25">
      <c r="B508" s="189" t="s">
        <v>14</v>
      </c>
      <c r="C508" s="190" t="s">
        <v>66</v>
      </c>
      <c r="D508" s="190">
        <v>5</v>
      </c>
      <c r="E508" s="191">
        <v>6</v>
      </c>
      <c r="F508" s="192">
        <v>43100</v>
      </c>
      <c r="G508" s="24">
        <v>606.13851248656192</v>
      </c>
      <c r="H508" s="24">
        <v>544.52700000000004</v>
      </c>
      <c r="I508" s="193">
        <v>89.9</v>
      </c>
      <c r="J508" s="194">
        <v>80.599999999999994</v>
      </c>
      <c r="K508" s="193">
        <v>129.6</v>
      </c>
      <c r="L508" s="194">
        <v>105.39</v>
      </c>
      <c r="M508" s="195">
        <v>0.77949911585206011</v>
      </c>
      <c r="N508" s="195">
        <f t="shared" si="299"/>
        <v>0.86113008824366644</v>
      </c>
      <c r="O508" s="195">
        <f>G508/24/31/5</f>
        <v>0.16294046034584997</v>
      </c>
      <c r="P508" s="195">
        <f>H508/24/31/5</f>
        <v>0.14637822580645163</v>
      </c>
      <c r="Q508" s="195">
        <v>0.98499999999999999</v>
      </c>
      <c r="R508" s="195">
        <v>0.99180000000000001</v>
      </c>
      <c r="S508" s="196">
        <v>0.99</v>
      </c>
      <c r="T508" s="197">
        <v>0.99180000000000001</v>
      </c>
      <c r="U508" s="198">
        <v>1.4999999999999999E-2</v>
      </c>
      <c r="V508" s="197">
        <v>0</v>
      </c>
      <c r="W508" s="198">
        <v>0</v>
      </c>
      <c r="X508" s="197">
        <v>0</v>
      </c>
      <c r="Y508" s="199">
        <f t="shared" si="246"/>
        <v>8.5159626090006491E-2</v>
      </c>
    </row>
    <row r="509" spans="2:25">
      <c r="B509" s="189" t="s">
        <v>14</v>
      </c>
      <c r="C509" s="190" t="s">
        <v>66</v>
      </c>
      <c r="D509" s="190">
        <v>5</v>
      </c>
      <c r="E509" s="191">
        <v>6</v>
      </c>
      <c r="F509" s="192">
        <v>43131</v>
      </c>
      <c r="G509" s="24">
        <v>509.90911959604773</v>
      </c>
      <c r="H509" s="24">
        <v>468.75599999999997</v>
      </c>
      <c r="I509" s="193">
        <v>79.599999999999994</v>
      </c>
      <c r="J509" s="194">
        <v>75.45</v>
      </c>
      <c r="K509" s="193">
        <v>103.2</v>
      </c>
      <c r="L509" s="194">
        <v>94.85</v>
      </c>
      <c r="M509" s="195">
        <v>0.82763481424572438</v>
      </c>
      <c r="N509" s="195">
        <f t="shared" si="299"/>
        <v>0.82367949393779649</v>
      </c>
      <c r="O509" s="195">
        <f>G509/24/31/5</f>
        <v>0.1370723439774322</v>
      </c>
      <c r="P509" s="195">
        <f>H509/24/31/5</f>
        <v>0.12600967741935482</v>
      </c>
      <c r="Q509" s="195">
        <v>0.98499999999999999</v>
      </c>
      <c r="R509" s="195">
        <v>0.98180000000000001</v>
      </c>
      <c r="S509" s="196">
        <v>0.99</v>
      </c>
      <c r="T509" s="197">
        <v>0.98570000000000002</v>
      </c>
      <c r="U509" s="198">
        <v>1.4999999999999999E-2</v>
      </c>
      <c r="V509" s="197">
        <v>0</v>
      </c>
      <c r="W509" s="198">
        <v>0</v>
      </c>
      <c r="X509" s="197">
        <v>0</v>
      </c>
      <c r="Y509" s="199">
        <f t="shared" si="246"/>
        <v>2.0407965399193984E-4</v>
      </c>
    </row>
    <row r="510" spans="2:25">
      <c r="B510" s="189" t="s">
        <v>14</v>
      </c>
      <c r="C510" s="190" t="s">
        <v>66</v>
      </c>
      <c r="D510" s="190">
        <v>5</v>
      </c>
      <c r="E510" s="191">
        <v>6</v>
      </c>
      <c r="F510" s="192">
        <v>43159</v>
      </c>
      <c r="G510" s="24">
        <v>669.4691981682081</v>
      </c>
      <c r="H510" s="24">
        <f>654729/1000</f>
        <v>654.72900000000004</v>
      </c>
      <c r="I510" s="193">
        <v>108.1</v>
      </c>
      <c r="J510" s="194">
        <v>115.56</v>
      </c>
      <c r="K510" s="193">
        <v>137.5</v>
      </c>
      <c r="L510" s="194">
        <v>138.28</v>
      </c>
      <c r="M510" s="195">
        <v>0.81555559393111998</v>
      </c>
      <c r="N510" s="195">
        <f t="shared" si="299"/>
        <v>0.78913436505640733</v>
      </c>
      <c r="O510" s="195">
        <f>G510/24/28/5</f>
        <v>0.19924678516910957</v>
      </c>
      <c r="P510" s="195">
        <f>H510/24/28/5</f>
        <v>0.19485982142857144</v>
      </c>
      <c r="Q510" s="195">
        <v>0.98499999999999999</v>
      </c>
      <c r="R510" s="195">
        <v>0.92310000000000003</v>
      </c>
      <c r="S510" s="196">
        <v>0.99</v>
      </c>
      <c r="T510" s="197">
        <v>0.97399999999999998</v>
      </c>
      <c r="U510" s="198">
        <v>1.4999999999999999E-2</v>
      </c>
      <c r="V510" s="197">
        <v>0</v>
      </c>
      <c r="W510" s="198">
        <v>0</v>
      </c>
      <c r="X510" s="197">
        <v>0</v>
      </c>
      <c r="Y510" s="199">
        <f t="shared" si="246"/>
        <v>-2.7690466413736292E-2</v>
      </c>
    </row>
    <row r="511" spans="2:25">
      <c r="B511" s="189" t="s">
        <v>14</v>
      </c>
      <c r="C511" s="190" t="s">
        <v>66</v>
      </c>
      <c r="D511" s="190">
        <v>5</v>
      </c>
      <c r="E511" s="191">
        <v>6</v>
      </c>
      <c r="F511" s="192">
        <v>43190</v>
      </c>
      <c r="G511" s="24">
        <v>898</v>
      </c>
      <c r="H511" s="24">
        <v>832.76</v>
      </c>
      <c r="I511" s="193">
        <v>161.4</v>
      </c>
      <c r="J511" s="194">
        <v>165.96</v>
      </c>
      <c r="K511" s="193">
        <v>187.8</v>
      </c>
      <c r="L511" s="194">
        <v>185.63</v>
      </c>
      <c r="M511" s="195">
        <v>0.80080060538540998</v>
      </c>
      <c r="N511" s="195">
        <f t="shared" si="299"/>
        <v>0.74768805329598298</v>
      </c>
      <c r="O511" s="195">
        <f>G511/24/31/5</f>
        <v>0.24139784946236556</v>
      </c>
      <c r="P511" s="195">
        <f>H511/24/31/5</f>
        <v>0.22386021505376341</v>
      </c>
      <c r="Q511" s="195">
        <v>0.98499999999999999</v>
      </c>
      <c r="R511" s="195">
        <v>0.92623664999999999</v>
      </c>
      <c r="S511" s="196">
        <v>0.99</v>
      </c>
      <c r="T511" s="197">
        <v>0.99950000000000006</v>
      </c>
      <c r="U511" s="198">
        <v>1.4999999999999999E-2</v>
      </c>
      <c r="V511" s="197">
        <v>0</v>
      </c>
      <c r="W511" s="198">
        <v>0</v>
      </c>
      <c r="X511" s="197">
        <v>0</v>
      </c>
      <c r="Y511" s="199">
        <f t="shared" si="246"/>
        <v>-6.1095488495319095E-2</v>
      </c>
    </row>
    <row r="512" spans="2:25">
      <c r="B512" s="189" t="s">
        <v>14</v>
      </c>
      <c r="C512" s="190" t="s">
        <v>66</v>
      </c>
      <c r="D512" s="190">
        <v>5</v>
      </c>
      <c r="E512" s="191">
        <v>6</v>
      </c>
      <c r="F512" s="192">
        <v>43220</v>
      </c>
      <c r="G512" s="24">
        <v>873.31620393317462</v>
      </c>
      <c r="H512" s="24">
        <v>728.03700000000003</v>
      </c>
      <c r="I512" s="193">
        <v>190.2</v>
      </c>
      <c r="J512" s="194">
        <v>154.46</v>
      </c>
      <c r="K512" s="193">
        <v>194</v>
      </c>
      <c r="L512" s="194">
        <v>158.1</v>
      </c>
      <c r="M512" s="195">
        <f>G512/E512/K512/Q512</f>
        <v>0.76169710950614422</v>
      </c>
      <c r="N512" s="195">
        <f>H512/E512/L512/R512</f>
        <v>0.79712499621262412</v>
      </c>
      <c r="O512" s="195">
        <f>G512/24/DAY(F512)/D512</f>
        <v>0.24258783442588183</v>
      </c>
      <c r="P512" s="195">
        <f>H512/24/DAY(F512)/D512</f>
        <v>0.20223249999999998</v>
      </c>
      <c r="Q512" s="195">
        <v>0.98499999999999999</v>
      </c>
      <c r="R512" s="195">
        <v>0.96281734000000008</v>
      </c>
      <c r="S512" s="196">
        <v>0.99</v>
      </c>
      <c r="T512" s="197">
        <v>0.97540000000000004</v>
      </c>
      <c r="U512" s="198">
        <v>1.4999999999999999E-2</v>
      </c>
      <c r="V512" s="197">
        <v>0</v>
      </c>
      <c r="W512" s="198">
        <v>0</v>
      </c>
      <c r="X512" s="197">
        <v>0</v>
      </c>
      <c r="Y512" s="199">
        <f t="shared" ref="Y512:Y602" si="300">(H512/G512-1)-(L512/K512-1)</f>
        <v>1.8698050053453596E-2</v>
      </c>
    </row>
    <row r="513" spans="2:25">
      <c r="B513" s="189" t="s">
        <v>14</v>
      </c>
      <c r="C513" s="190" t="s">
        <v>66</v>
      </c>
      <c r="D513" s="190">
        <v>5</v>
      </c>
      <c r="E513" s="191">
        <v>6</v>
      </c>
      <c r="F513" s="192">
        <v>43251</v>
      </c>
      <c r="G513" s="24">
        <v>884.93982374699954</v>
      </c>
      <c r="H513" s="24">
        <f>825462/1000</f>
        <v>825.46199999999999</v>
      </c>
      <c r="I513" s="193">
        <v>197</v>
      </c>
      <c r="J513" s="194">
        <v>170.15</v>
      </c>
      <c r="K513" s="193">
        <v>197.7</v>
      </c>
      <c r="L513" s="194">
        <v>171.98</v>
      </c>
      <c r="M513" s="195">
        <f t="shared" ref="M513:M570" si="301">G513/E513/K513/Q513</f>
        <v>0.75739003938439231</v>
      </c>
      <c r="N513" s="195">
        <f t="shared" ref="N513:N570" si="302">H513/E513/L513/R513</f>
        <v>0.80236639678309274</v>
      </c>
      <c r="O513" s="195">
        <f t="shared" ref="O513:O570" si="303">G513/24/DAY(F513)/D513</f>
        <v>0.23788704939435473</v>
      </c>
      <c r="P513" s="195">
        <f t="shared" ref="P513:P570" si="304">H513/24/DAY(F513)/D513</f>
        <v>0.2218983870967742</v>
      </c>
      <c r="Q513" s="195">
        <v>0.98499999999999999</v>
      </c>
      <c r="R513" s="195">
        <v>0.997</v>
      </c>
      <c r="S513" s="196">
        <v>0.99</v>
      </c>
      <c r="T513" s="197">
        <v>0.999</v>
      </c>
      <c r="U513" s="198">
        <v>1.4999999999999999E-2</v>
      </c>
      <c r="V513" s="197">
        <v>0</v>
      </c>
      <c r="W513" s="198">
        <v>0</v>
      </c>
      <c r="X513" s="197">
        <v>0</v>
      </c>
      <c r="Y513" s="199">
        <f t="shared" si="300"/>
        <v>6.288495463115551E-2</v>
      </c>
    </row>
    <row r="514" spans="2:25">
      <c r="B514" s="189" t="s">
        <v>14</v>
      </c>
      <c r="C514" s="190" t="s">
        <v>66</v>
      </c>
      <c r="D514" s="190">
        <v>5</v>
      </c>
      <c r="E514" s="191">
        <v>6</v>
      </c>
      <c r="F514" s="192">
        <v>43281</v>
      </c>
      <c r="G514" s="24">
        <v>794.39794309194258</v>
      </c>
      <c r="H514" s="24">
        <f>771639/1000</f>
        <v>771.63900000000001</v>
      </c>
      <c r="I514" s="193">
        <v>178.9</v>
      </c>
      <c r="J514" s="194">
        <f>5.24*30</f>
        <v>157.20000000000002</v>
      </c>
      <c r="K514" s="193">
        <v>177.2</v>
      </c>
      <c r="L514" s="194">
        <f>5.25*30</f>
        <v>157.5</v>
      </c>
      <c r="M514" s="195">
        <f t="shared" si="301"/>
        <v>0.75855471566723442</v>
      </c>
      <c r="N514" s="195">
        <f t="shared" si="302"/>
        <v>0.82671783572866908</v>
      </c>
      <c r="O514" s="195">
        <f t="shared" si="303"/>
        <v>0.22066609530331735</v>
      </c>
      <c r="P514" s="195">
        <f t="shared" si="304"/>
        <v>0.2143441666666667</v>
      </c>
      <c r="Q514" s="195">
        <v>0.98499999999999999</v>
      </c>
      <c r="R514" s="195">
        <v>0.98770000000000002</v>
      </c>
      <c r="S514" s="196">
        <v>0.99</v>
      </c>
      <c r="T514" s="197">
        <v>0.99060000000000004</v>
      </c>
      <c r="U514" s="198">
        <v>1.4999999999999999E-2</v>
      </c>
      <c r="V514" s="197">
        <v>0</v>
      </c>
      <c r="W514" s="198">
        <v>0</v>
      </c>
      <c r="X514" s="197">
        <v>0</v>
      </c>
      <c r="Y514" s="199">
        <f t="shared" si="300"/>
        <v>8.2524517289011889E-2</v>
      </c>
    </row>
    <row r="515" spans="2:25">
      <c r="B515" s="189" t="s">
        <v>14</v>
      </c>
      <c r="C515" s="190" t="s">
        <v>66</v>
      </c>
      <c r="D515" s="190">
        <v>5</v>
      </c>
      <c r="E515" s="191">
        <v>6</v>
      </c>
      <c r="F515" s="192">
        <v>43312</v>
      </c>
      <c r="G515" s="24">
        <v>703.24429297300048</v>
      </c>
      <c r="H515" s="24">
        <f>637464/1000</f>
        <v>637.46400000000006</v>
      </c>
      <c r="I515" s="193">
        <v>155.5</v>
      </c>
      <c r="J515" s="194">
        <v>130.1</v>
      </c>
      <c r="K515" s="193">
        <v>154.6</v>
      </c>
      <c r="L515" s="194">
        <v>127.81</v>
      </c>
      <c r="M515" s="195">
        <f t="shared" si="301"/>
        <v>0.76967830630326017</v>
      </c>
      <c r="N515" s="195">
        <f t="shared" si="302"/>
        <v>0.85022518075147624</v>
      </c>
      <c r="O515" s="195">
        <f t="shared" si="303"/>
        <v>0.18904416477768832</v>
      </c>
      <c r="P515" s="195">
        <f t="shared" si="304"/>
        <v>0.17136129032258068</v>
      </c>
      <c r="Q515" s="195">
        <v>0.98499999999999999</v>
      </c>
      <c r="R515" s="195">
        <v>0.97770000000000001</v>
      </c>
      <c r="S515" s="196">
        <v>0.99</v>
      </c>
      <c r="T515" s="197">
        <v>0.99009999999999998</v>
      </c>
      <c r="U515" s="198">
        <v>1.4999999999999999E-2</v>
      </c>
      <c r="V515" s="197">
        <v>0</v>
      </c>
      <c r="W515" s="198">
        <v>0</v>
      </c>
      <c r="X515" s="197">
        <v>0</v>
      </c>
      <c r="Y515" s="199">
        <f t="shared" si="300"/>
        <v>7.97475744606021E-2</v>
      </c>
    </row>
    <row r="516" spans="2:25">
      <c r="B516" s="189" t="s">
        <v>14</v>
      </c>
      <c r="C516" s="190" t="s">
        <v>66</v>
      </c>
      <c r="D516" s="190">
        <v>5</v>
      </c>
      <c r="E516" s="191">
        <v>6</v>
      </c>
      <c r="F516" s="192">
        <v>43343</v>
      </c>
      <c r="G516" s="24">
        <v>667.45577933569768</v>
      </c>
      <c r="H516" s="24">
        <f>560079/1000</f>
        <v>560.07899999999995</v>
      </c>
      <c r="I516" s="193">
        <v>145.4</v>
      </c>
      <c r="J516" s="194">
        <v>114.19</v>
      </c>
      <c r="K516" s="193">
        <v>146.30000000000001</v>
      </c>
      <c r="L516" s="194">
        <v>112.03</v>
      </c>
      <c r="M516" s="195">
        <f t="shared" si="301"/>
        <v>0.77195270055121379</v>
      </c>
      <c r="N516" s="195">
        <f t="shared" si="302"/>
        <v>0.854242061579078</v>
      </c>
      <c r="O516" s="195">
        <f t="shared" si="303"/>
        <v>0.17942359659561766</v>
      </c>
      <c r="P516" s="195">
        <f t="shared" si="304"/>
        <v>0.15055887096774193</v>
      </c>
      <c r="Q516" s="195">
        <v>0.98499999999999999</v>
      </c>
      <c r="R516" s="195">
        <v>0.97540000000000004</v>
      </c>
      <c r="S516" s="196">
        <v>0.99</v>
      </c>
      <c r="T516" s="197">
        <v>0.99939999999999996</v>
      </c>
      <c r="U516" s="198">
        <v>1.4999999999999999E-2</v>
      </c>
      <c r="V516" s="197">
        <v>0</v>
      </c>
      <c r="W516" s="198">
        <v>0</v>
      </c>
      <c r="X516" s="197">
        <v>0</v>
      </c>
      <c r="Y516" s="199">
        <f t="shared" si="300"/>
        <v>7.3369956113156443E-2</v>
      </c>
    </row>
    <row r="517" spans="2:25">
      <c r="B517" s="189" t="s">
        <v>14</v>
      </c>
      <c r="C517" s="190" t="s">
        <v>66</v>
      </c>
      <c r="D517" s="190">
        <v>5</v>
      </c>
      <c r="E517" s="191">
        <v>6</v>
      </c>
      <c r="F517" s="192">
        <v>43373</v>
      </c>
      <c r="G517" s="24">
        <v>665.31458621209811</v>
      </c>
      <c r="H517" s="24">
        <f>601002/1000</f>
        <v>601.00199999999995</v>
      </c>
      <c r="I517" s="193">
        <v>141.6</v>
      </c>
      <c r="J517" s="194">
        <v>121.65</v>
      </c>
      <c r="K517" s="193">
        <v>145.5</v>
      </c>
      <c r="L517" s="194">
        <v>122.9</v>
      </c>
      <c r="M517" s="195">
        <f t="shared" si="301"/>
        <v>0.77370707951703743</v>
      </c>
      <c r="N517" s="195">
        <f t="shared" si="302"/>
        <v>0.84162379020833755</v>
      </c>
      <c r="O517" s="195">
        <f t="shared" si="303"/>
        <v>0.18480960728113835</v>
      </c>
      <c r="P517" s="195">
        <f t="shared" si="304"/>
        <v>0.16694499999999998</v>
      </c>
      <c r="Q517" s="195">
        <v>0.98499999999999999</v>
      </c>
      <c r="R517" s="195">
        <v>0.96840000000000004</v>
      </c>
      <c r="S517" s="196">
        <v>0.99</v>
      </c>
      <c r="T517" s="197">
        <v>0.98180000000000001</v>
      </c>
      <c r="U517" s="198">
        <v>1.4999999999999999E-2</v>
      </c>
      <c r="V517" s="197">
        <v>0</v>
      </c>
      <c r="W517" s="198">
        <v>0</v>
      </c>
      <c r="X517" s="197">
        <v>0</v>
      </c>
      <c r="Y517" s="199">
        <f t="shared" si="300"/>
        <v>5.8661533024367607E-2</v>
      </c>
    </row>
    <row r="518" spans="2:25">
      <c r="B518" s="189" t="s">
        <v>14</v>
      </c>
      <c r="C518" s="190" t="s">
        <v>66</v>
      </c>
      <c r="D518" s="190">
        <v>5</v>
      </c>
      <c r="E518" s="191">
        <v>6</v>
      </c>
      <c r="F518" s="192">
        <v>43404</v>
      </c>
      <c r="G518" s="24">
        <v>762.280046237953</v>
      </c>
      <c r="H518" s="24">
        <f>766167/1000</f>
        <v>766.16700000000003</v>
      </c>
      <c r="I518" s="193">
        <v>139.1</v>
      </c>
      <c r="J518" s="194">
        <f>4.45*31</f>
        <v>137.95000000000002</v>
      </c>
      <c r="K518" s="193">
        <v>172.2</v>
      </c>
      <c r="L518" s="194">
        <f>5.12*31</f>
        <v>158.72</v>
      </c>
      <c r="M518" s="195">
        <f t="shared" si="301"/>
        <v>0.74902087864419353</v>
      </c>
      <c r="N518" s="195">
        <f t="shared" si="302"/>
        <v>0.82464825719325741</v>
      </c>
      <c r="O518" s="195">
        <f t="shared" si="303"/>
        <v>0.20491399092418092</v>
      </c>
      <c r="P518" s="195">
        <f t="shared" si="304"/>
        <v>0.20595887096774193</v>
      </c>
      <c r="Q518" s="195">
        <v>0.98499999999999999</v>
      </c>
      <c r="R518" s="195">
        <v>0.97560000000000002</v>
      </c>
      <c r="S518" s="196">
        <v>0.99</v>
      </c>
      <c r="T518" s="197">
        <v>0.97660000000000002</v>
      </c>
      <c r="U518" s="198">
        <v>1.4999999999999999E-2</v>
      </c>
      <c r="V518" s="197">
        <v>0</v>
      </c>
      <c r="W518" s="198">
        <v>0</v>
      </c>
      <c r="X518" s="197">
        <v>0</v>
      </c>
      <c r="Y518" s="199">
        <f t="shared" si="300"/>
        <v>8.3380183713975486E-2</v>
      </c>
    </row>
    <row r="519" spans="2:25">
      <c r="B519" s="189" t="s">
        <v>14</v>
      </c>
      <c r="C519" s="190" t="s">
        <v>66</v>
      </c>
      <c r="D519" s="190">
        <v>5</v>
      </c>
      <c r="E519" s="191">
        <v>6</v>
      </c>
      <c r="F519" s="192">
        <v>43434</v>
      </c>
      <c r="G519" s="24">
        <v>674.7970129023239</v>
      </c>
      <c r="H519" s="24">
        <f>626118/1000</f>
        <v>626.11800000000005</v>
      </c>
      <c r="I519" s="193">
        <v>108.1</v>
      </c>
      <c r="J519" s="194">
        <f>3.31*30</f>
        <v>99.3</v>
      </c>
      <c r="K519" s="193">
        <v>152.1</v>
      </c>
      <c r="L519" s="194">
        <f>4.41*30</f>
        <v>132.30000000000001</v>
      </c>
      <c r="M519" s="195">
        <f t="shared" si="301"/>
        <v>0.75068278495014962</v>
      </c>
      <c r="N519" s="195">
        <f t="shared" si="302"/>
        <v>0.79352152217918248</v>
      </c>
      <c r="O519" s="195">
        <f t="shared" si="303"/>
        <v>0.18744361469508997</v>
      </c>
      <c r="P519" s="195">
        <f t="shared" si="304"/>
        <v>0.1739216666666667</v>
      </c>
      <c r="Q519" s="195">
        <v>0.98499999999999999</v>
      </c>
      <c r="R519" s="195">
        <v>0.99399999999999999</v>
      </c>
      <c r="S519" s="196">
        <v>0.99</v>
      </c>
      <c r="T519" s="197">
        <v>0.99990000000000001</v>
      </c>
      <c r="U519" s="198">
        <v>1.4999999999999999E-2</v>
      </c>
      <c r="V519" s="197">
        <v>0</v>
      </c>
      <c r="W519" s="198">
        <v>0</v>
      </c>
      <c r="X519" s="197">
        <v>0</v>
      </c>
      <c r="Y519" s="199">
        <f t="shared" si="300"/>
        <v>5.8038764959147282E-2</v>
      </c>
    </row>
    <row r="520" spans="2:25">
      <c r="B520" s="189" t="s">
        <v>14</v>
      </c>
      <c r="C520" s="190" t="s">
        <v>66</v>
      </c>
      <c r="D520" s="190">
        <v>5</v>
      </c>
      <c r="E520" s="191">
        <v>6</v>
      </c>
      <c r="F520" s="192">
        <v>43465</v>
      </c>
      <c r="G520" s="24">
        <v>566.51381779458711</v>
      </c>
      <c r="H520" s="24">
        <f>567960/1000</f>
        <v>567.96</v>
      </c>
      <c r="I520" s="193">
        <v>89.9</v>
      </c>
      <c r="J520" s="194">
        <v>87.42</v>
      </c>
      <c r="K520" s="193">
        <v>129.6</v>
      </c>
      <c r="L520" s="194">
        <v>124</v>
      </c>
      <c r="M520" s="195">
        <f t="shared" si="301"/>
        <v>0.73963597192792507</v>
      </c>
      <c r="N520" s="195">
        <f t="shared" si="302"/>
        <v>0.80449688773758421</v>
      </c>
      <c r="O520" s="195">
        <f t="shared" si="303"/>
        <v>0.15228866069746966</v>
      </c>
      <c r="P520" s="195">
        <f t="shared" si="304"/>
        <v>0.15267741935483872</v>
      </c>
      <c r="Q520" s="195">
        <v>0.98499999999999999</v>
      </c>
      <c r="R520" s="195">
        <v>0.94889999999999997</v>
      </c>
      <c r="S520" s="196">
        <v>0.99</v>
      </c>
      <c r="T520" s="197">
        <v>0.99829999999999997</v>
      </c>
      <c r="U520" s="198">
        <v>1.4999999999999999E-2</v>
      </c>
      <c r="V520" s="197">
        <v>0</v>
      </c>
      <c r="W520" s="198">
        <v>0</v>
      </c>
      <c r="X520" s="197">
        <v>0</v>
      </c>
      <c r="Y520" s="199">
        <f t="shared" si="300"/>
        <v>4.5762651356439976E-2</v>
      </c>
    </row>
    <row r="521" spans="2:25">
      <c r="B521" s="189" t="s">
        <v>14</v>
      </c>
      <c r="C521" s="190" t="s">
        <v>66</v>
      </c>
      <c r="D521" s="190">
        <v>5</v>
      </c>
      <c r="E521" s="191">
        <v>6</v>
      </c>
      <c r="F521" s="192">
        <v>43496</v>
      </c>
      <c r="G521" s="24">
        <v>476.93998584494619</v>
      </c>
      <c r="H521" s="24">
        <f>569886/1000</f>
        <v>569.88599999999997</v>
      </c>
      <c r="I521" s="193">
        <v>79.599999999999994</v>
      </c>
      <c r="J521" s="194">
        <v>87.42</v>
      </c>
      <c r="K521" s="193">
        <v>103.2</v>
      </c>
      <c r="L521" s="194">
        <v>117.49</v>
      </c>
      <c r="M521" s="195">
        <f t="shared" si="301"/>
        <v>0.78198163972006818</v>
      </c>
      <c r="N521" s="195">
        <f t="shared" si="302"/>
        <v>0.82290079161217677</v>
      </c>
      <c r="O521" s="195">
        <f t="shared" si="303"/>
        <v>0.12820967361423286</v>
      </c>
      <c r="P521" s="195">
        <f t="shared" si="304"/>
        <v>0.15319516129032257</v>
      </c>
      <c r="Q521" s="195">
        <v>0.98499999999999999</v>
      </c>
      <c r="R521" s="195">
        <v>0.98240000000000005</v>
      </c>
      <c r="S521" s="196">
        <v>0.99</v>
      </c>
      <c r="T521" s="197">
        <v>0.99409999999999998</v>
      </c>
      <c r="U521" s="198">
        <v>1.4999999999999999E-2</v>
      </c>
      <c r="V521" s="197">
        <v>0</v>
      </c>
      <c r="W521" s="198">
        <v>0</v>
      </c>
      <c r="X521" s="197">
        <v>0</v>
      </c>
      <c r="Y521" s="199">
        <f t="shared" si="300"/>
        <v>5.6410902316430755E-2</v>
      </c>
    </row>
    <row r="522" spans="2:25">
      <c r="B522" s="189" t="s">
        <v>14</v>
      </c>
      <c r="C522" s="190" t="s">
        <v>66</v>
      </c>
      <c r="D522" s="190">
        <v>5</v>
      </c>
      <c r="E522" s="191">
        <v>6</v>
      </c>
      <c r="F522" s="192">
        <v>43524</v>
      </c>
      <c r="G522" s="24">
        <v>626.07408690363854</v>
      </c>
      <c r="H522" s="24">
        <v>504.74400000000003</v>
      </c>
      <c r="I522" s="193">
        <v>108.1</v>
      </c>
      <c r="J522" s="194">
        <v>88.48</v>
      </c>
      <c r="K522" s="193">
        <v>137.5</v>
      </c>
      <c r="L522" s="194">
        <v>105.56</v>
      </c>
      <c r="M522" s="195">
        <f t="shared" si="301"/>
        <v>0.77043419400540047</v>
      </c>
      <c r="N522" s="195">
        <f t="shared" si="302"/>
        <v>0.85978061878449163</v>
      </c>
      <c r="O522" s="195">
        <f t="shared" si="303"/>
        <v>0.18633157348322577</v>
      </c>
      <c r="P522" s="195">
        <f t="shared" si="304"/>
        <v>0.15022142857142859</v>
      </c>
      <c r="Q522" s="195">
        <v>0.98499999999999999</v>
      </c>
      <c r="R522" s="195">
        <v>0.92689999999999995</v>
      </c>
      <c r="S522" s="196">
        <v>0.99</v>
      </c>
      <c r="T522" s="197">
        <v>0.96640000000000004</v>
      </c>
      <c r="U522" s="198">
        <v>1.4999999999999999E-2</v>
      </c>
      <c r="V522" s="197">
        <v>0</v>
      </c>
      <c r="W522" s="198">
        <v>0</v>
      </c>
      <c r="X522" s="197">
        <v>0</v>
      </c>
      <c r="Y522" s="199">
        <f t="shared" si="300"/>
        <v>3.8495814482061519E-2</v>
      </c>
    </row>
    <row r="523" spans="2:25">
      <c r="B523" s="189" t="s">
        <v>14</v>
      </c>
      <c r="C523" s="190" t="s">
        <v>66</v>
      </c>
      <c r="D523" s="190">
        <v>5</v>
      </c>
      <c r="E523" s="191">
        <v>6</v>
      </c>
      <c r="F523" s="192">
        <v>43555</v>
      </c>
      <c r="G523" s="24">
        <v>839.73151331833628</v>
      </c>
      <c r="H523" s="24">
        <f>856032/1000</f>
        <v>856.03200000000004</v>
      </c>
      <c r="I523" s="193">
        <v>161.4</v>
      </c>
      <c r="J523" s="194">
        <v>158.09</v>
      </c>
      <c r="K523" s="193">
        <v>187.8</v>
      </c>
      <c r="L523" s="194">
        <v>178.31</v>
      </c>
      <c r="M523" s="195">
        <f t="shared" si="301"/>
        <v>0.75658440083533463</v>
      </c>
      <c r="N523" s="195">
        <f t="shared" si="302"/>
        <v>0.81042702020670654</v>
      </c>
      <c r="O523" s="195">
        <f t="shared" si="303"/>
        <v>0.22573427777374633</v>
      </c>
      <c r="P523" s="195">
        <f t="shared" si="304"/>
        <v>0.23011612903225806</v>
      </c>
      <c r="Q523" s="195">
        <v>0.98499999999999999</v>
      </c>
      <c r="R523" s="195">
        <v>0.98729999999999996</v>
      </c>
      <c r="S523" s="196">
        <v>0.99</v>
      </c>
      <c r="T523" s="197">
        <v>0.99419999999999997</v>
      </c>
      <c r="U523" s="198">
        <v>1.4999999999999999E-2</v>
      </c>
      <c r="V523" s="197">
        <v>0</v>
      </c>
      <c r="W523" s="198">
        <v>0</v>
      </c>
      <c r="X523" s="197">
        <v>0</v>
      </c>
      <c r="Y523" s="199">
        <f t="shared" si="300"/>
        <v>6.9944027105016571E-2</v>
      </c>
    </row>
    <row r="524" spans="2:25">
      <c r="B524" s="189" t="s">
        <v>14</v>
      </c>
      <c r="C524" s="190" t="s">
        <v>66</v>
      </c>
      <c r="D524" s="190">
        <v>5</v>
      </c>
      <c r="E524" s="191">
        <v>6</v>
      </c>
      <c r="F524" s="192">
        <v>43585</v>
      </c>
      <c r="G524" s="24">
        <v>868.94962291350873</v>
      </c>
      <c r="H524" s="24">
        <f>823044/1000</f>
        <v>823.04399999999998</v>
      </c>
      <c r="I524" s="193">
        <v>190.2</v>
      </c>
      <c r="J524" s="194">
        <f>5.84*30</f>
        <v>175.2</v>
      </c>
      <c r="K524" s="193">
        <v>194</v>
      </c>
      <c r="L524" s="194">
        <f>6.02*30</f>
        <v>180.6</v>
      </c>
      <c r="M524" s="195">
        <f t="shared" si="301"/>
        <v>0.75788862395861356</v>
      </c>
      <c r="N524" s="195">
        <f t="shared" si="302"/>
        <v>0.76543984472241366</v>
      </c>
      <c r="O524" s="195">
        <f t="shared" si="303"/>
        <v>0.24137489525375244</v>
      </c>
      <c r="P524" s="195">
        <f t="shared" si="304"/>
        <v>0.22862333333333335</v>
      </c>
      <c r="Q524" s="195">
        <v>0.98499999999999999</v>
      </c>
      <c r="R524" s="195">
        <v>0.99229999999999996</v>
      </c>
      <c r="S524" s="196">
        <v>0.99</v>
      </c>
      <c r="T524" s="197">
        <v>0.99560000000000004</v>
      </c>
      <c r="U524" s="198">
        <v>1.4999999999999999E-2</v>
      </c>
      <c r="V524" s="197">
        <v>0</v>
      </c>
      <c r="W524" s="198">
        <v>0</v>
      </c>
      <c r="X524" s="197">
        <v>0</v>
      </c>
      <c r="Y524" s="199">
        <f t="shared" si="300"/>
        <v>1.624329926623902E-2</v>
      </c>
    </row>
    <row r="525" spans="2:25">
      <c r="B525" s="189" t="s">
        <v>14</v>
      </c>
      <c r="C525" s="190" t="s">
        <v>66</v>
      </c>
      <c r="D525" s="190">
        <v>5</v>
      </c>
      <c r="E525" s="191">
        <v>6</v>
      </c>
      <c r="F525" s="192">
        <v>43616</v>
      </c>
      <c r="G525" s="24">
        <v>880.5151246282644</v>
      </c>
      <c r="H525" s="24">
        <f>846183/1000</f>
        <v>846.18299999999999</v>
      </c>
      <c r="I525" s="193">
        <v>197</v>
      </c>
      <c r="J525" s="194">
        <v>193.82</v>
      </c>
      <c r="K525" s="193">
        <v>197.7</v>
      </c>
      <c r="L525" s="194">
        <v>196.34</v>
      </c>
      <c r="M525" s="195">
        <f t="shared" si="301"/>
        <v>0.7536030891874701</v>
      </c>
      <c r="N525" s="195">
        <f t="shared" si="302"/>
        <v>0.7408182150852346</v>
      </c>
      <c r="O525" s="195">
        <f t="shared" si="303"/>
        <v>0.23669761414738288</v>
      </c>
      <c r="P525" s="195">
        <f t="shared" si="304"/>
        <v>0.22746854838709676</v>
      </c>
      <c r="Q525" s="195">
        <v>0.98499999999999999</v>
      </c>
      <c r="R525" s="195">
        <v>0.96960000000000002</v>
      </c>
      <c r="S525" s="196">
        <v>0.99</v>
      </c>
      <c r="T525" s="197">
        <v>0.9859</v>
      </c>
      <c r="U525" s="198">
        <v>1.4999999999999999E-2</v>
      </c>
      <c r="V525" s="197">
        <v>0</v>
      </c>
      <c r="W525" s="198">
        <v>0</v>
      </c>
      <c r="X525" s="197">
        <v>0</v>
      </c>
      <c r="Y525" s="199">
        <f t="shared" si="300"/>
        <v>-3.2111844132772127E-2</v>
      </c>
    </row>
    <row r="526" spans="2:25">
      <c r="B526" s="189" t="s">
        <v>14</v>
      </c>
      <c r="C526" s="190" t="s">
        <v>66</v>
      </c>
      <c r="D526" s="190">
        <v>5</v>
      </c>
      <c r="E526" s="191">
        <v>6</v>
      </c>
      <c r="F526" s="192">
        <v>43646</v>
      </c>
      <c r="G526" s="24">
        <v>790.42595337648277</v>
      </c>
      <c r="H526" s="24">
        <f>815484/1000</f>
        <v>815.48400000000004</v>
      </c>
      <c r="I526" s="193">
        <v>178.9</v>
      </c>
      <c r="J526" s="194">
        <v>188.7</v>
      </c>
      <c r="K526" s="193">
        <v>177.2</v>
      </c>
      <c r="L526" s="194">
        <v>187.20000000000002</v>
      </c>
      <c r="M526" s="195">
        <f t="shared" si="301"/>
        <v>0.75476194208889824</v>
      </c>
      <c r="N526" s="195">
        <f t="shared" si="302"/>
        <v>0.72734554677051177</v>
      </c>
      <c r="O526" s="195">
        <f t="shared" si="303"/>
        <v>0.21956276482680076</v>
      </c>
      <c r="P526" s="195">
        <f t="shared" si="304"/>
        <v>0.22652333333333335</v>
      </c>
      <c r="Q526" s="195">
        <v>0.98499999999999999</v>
      </c>
      <c r="R526" s="195">
        <v>0.99819999999999998</v>
      </c>
      <c r="S526" s="196">
        <v>0.99</v>
      </c>
      <c r="T526" s="197">
        <v>0.99909999999999999</v>
      </c>
      <c r="U526" s="198">
        <v>1.4999999999999999E-2</v>
      </c>
      <c r="V526" s="197">
        <v>0</v>
      </c>
      <c r="W526" s="198">
        <v>0</v>
      </c>
      <c r="X526" s="197">
        <v>0</v>
      </c>
      <c r="Y526" s="199">
        <f t="shared" si="300"/>
        <v>-2.4731455325361695E-2</v>
      </c>
    </row>
    <row r="527" spans="2:25">
      <c r="B527" s="189" t="s">
        <v>14</v>
      </c>
      <c r="C527" s="190" t="s">
        <v>66</v>
      </c>
      <c r="D527" s="190">
        <v>5</v>
      </c>
      <c r="E527" s="191">
        <v>6</v>
      </c>
      <c r="F527" s="192">
        <v>43677</v>
      </c>
      <c r="G527" s="24">
        <v>699.72807150813537</v>
      </c>
      <c r="H527" s="24">
        <v>628.55399999999997</v>
      </c>
      <c r="I527" s="193">
        <v>155.5</v>
      </c>
      <c r="J527" s="194">
        <v>143.22</v>
      </c>
      <c r="K527" s="193">
        <v>154.6</v>
      </c>
      <c r="L527" s="194">
        <v>140.74</v>
      </c>
      <c r="M527" s="195">
        <f t="shared" si="301"/>
        <v>0.76582991477174367</v>
      </c>
      <c r="N527" s="195">
        <f t="shared" si="302"/>
        <v>0.7913503941727047</v>
      </c>
      <c r="O527" s="195">
        <f t="shared" si="303"/>
        <v>0.18809894395379984</v>
      </c>
      <c r="P527" s="195">
        <f t="shared" si="304"/>
        <v>0.16896612903225808</v>
      </c>
      <c r="Q527" s="195">
        <v>0.98499999999999999</v>
      </c>
      <c r="R527" s="195">
        <v>0.94059999999999999</v>
      </c>
      <c r="S527" s="196">
        <v>0.99</v>
      </c>
      <c r="T527" s="197">
        <v>0.98119999999999996</v>
      </c>
      <c r="U527" s="198">
        <v>1.4999999999999999E-2</v>
      </c>
      <c r="V527" s="197">
        <v>0</v>
      </c>
      <c r="W527" s="198">
        <v>0</v>
      </c>
      <c r="X527" s="197">
        <v>0</v>
      </c>
      <c r="Y527" s="199">
        <f t="shared" si="300"/>
        <v>-1.206604733351091E-2</v>
      </c>
    </row>
    <row r="528" spans="2:25">
      <c r="B528" s="189" t="s">
        <v>14</v>
      </c>
      <c r="C528" s="190" t="s">
        <v>66</v>
      </c>
      <c r="D528" s="190">
        <v>5</v>
      </c>
      <c r="E528" s="191">
        <v>6</v>
      </c>
      <c r="F528" s="192">
        <v>43708</v>
      </c>
      <c r="G528" s="24">
        <v>664.11850043901916</v>
      </c>
      <c r="H528" s="24">
        <f>640962/1000</f>
        <v>640.96199999999999</v>
      </c>
      <c r="I528" s="193">
        <v>145.4</v>
      </c>
      <c r="J528" s="194">
        <v>142</v>
      </c>
      <c r="K528" s="193">
        <v>146.30000000000001</v>
      </c>
      <c r="L528" s="194">
        <v>142</v>
      </c>
      <c r="M528" s="195">
        <f t="shared" si="301"/>
        <v>0.76809293704845771</v>
      </c>
      <c r="N528" s="195">
        <f t="shared" si="302"/>
        <v>0.79981162757963897</v>
      </c>
      <c r="O528" s="195">
        <f t="shared" si="303"/>
        <v>0.17852647861263957</v>
      </c>
      <c r="P528" s="195">
        <f t="shared" si="304"/>
        <v>0.17230161290322582</v>
      </c>
      <c r="Q528" s="195">
        <v>0.98499999999999999</v>
      </c>
      <c r="R528" s="195">
        <v>0.94059999999999999</v>
      </c>
      <c r="S528" s="196">
        <v>0.99</v>
      </c>
      <c r="T528" s="197">
        <v>0.98119999999999996</v>
      </c>
      <c r="U528" s="198">
        <v>1.4999999999999999E-2</v>
      </c>
      <c r="V528" s="197">
        <v>0</v>
      </c>
      <c r="W528" s="198">
        <v>0</v>
      </c>
      <c r="X528" s="197">
        <v>0</v>
      </c>
      <c r="Y528" s="199">
        <f t="shared" si="300"/>
        <v>-5.4763639733006464E-3</v>
      </c>
    </row>
    <row r="529" spans="2:25">
      <c r="B529" s="189" t="s">
        <v>14</v>
      </c>
      <c r="C529" s="190" t="s">
        <v>66</v>
      </c>
      <c r="D529" s="190">
        <v>5</v>
      </c>
      <c r="E529" s="191">
        <v>6</v>
      </c>
      <c r="F529" s="192">
        <v>43738</v>
      </c>
      <c r="G529" s="24">
        <v>661.98801328103764</v>
      </c>
      <c r="H529" s="24">
        <f>642987/1000</f>
        <v>642.98699999999997</v>
      </c>
      <c r="I529" s="193">
        <v>141.6</v>
      </c>
      <c r="J529" s="194">
        <v>144</v>
      </c>
      <c r="K529" s="193">
        <v>145.5</v>
      </c>
      <c r="L529" s="194">
        <v>150</v>
      </c>
      <c r="M529" s="195">
        <f t="shared" si="301"/>
        <v>0.76983854411945229</v>
      </c>
      <c r="N529" s="195">
        <f t="shared" si="302"/>
        <v>0.74512932832707546</v>
      </c>
      <c r="O529" s="195">
        <f t="shared" si="303"/>
        <v>0.18388555924473268</v>
      </c>
      <c r="P529" s="195">
        <f t="shared" si="304"/>
        <v>0.17860749999999997</v>
      </c>
      <c r="Q529" s="195">
        <v>0.98499999999999999</v>
      </c>
      <c r="R529" s="195">
        <v>0.95879999999999999</v>
      </c>
      <c r="S529" s="196">
        <v>0.99</v>
      </c>
      <c r="T529" s="197">
        <v>0.99760000000000004</v>
      </c>
      <c r="U529" s="198">
        <v>1.4999999999999999E-2</v>
      </c>
      <c r="V529" s="197">
        <v>0</v>
      </c>
      <c r="W529" s="198">
        <v>0</v>
      </c>
      <c r="X529" s="197">
        <v>0</v>
      </c>
      <c r="Y529" s="199">
        <f t="shared" si="300"/>
        <v>-5.9630791751414947E-2</v>
      </c>
    </row>
    <row r="530" spans="2:25">
      <c r="B530" s="189" t="s">
        <v>14</v>
      </c>
      <c r="C530" s="190" t="s">
        <v>66</v>
      </c>
      <c r="D530" s="190">
        <v>5</v>
      </c>
      <c r="E530" s="191">
        <v>6</v>
      </c>
      <c r="F530" s="192">
        <v>43769</v>
      </c>
      <c r="G530" s="24">
        <v>758.46864600676315</v>
      </c>
      <c r="H530" s="24">
        <f>588549/1000</f>
        <v>588.54899999999998</v>
      </c>
      <c r="I530" s="193">
        <v>139.1</v>
      </c>
      <c r="J530" s="194">
        <v>127.72</v>
      </c>
      <c r="K530" s="193">
        <v>172.2</v>
      </c>
      <c r="L530" s="194">
        <v>147.56</v>
      </c>
      <c r="M530" s="195">
        <f t="shared" si="301"/>
        <v>0.74527577425097247</v>
      </c>
      <c r="N530" s="195">
        <f t="shared" si="302"/>
        <v>0.74532650424404856</v>
      </c>
      <c r="O530" s="195">
        <f t="shared" si="303"/>
        <v>0.20388942096956</v>
      </c>
      <c r="P530" s="195">
        <f t="shared" si="304"/>
        <v>0.15821209677419354</v>
      </c>
      <c r="Q530" s="195">
        <v>0.98499999999999999</v>
      </c>
      <c r="R530" s="195">
        <v>0.89190000000000003</v>
      </c>
      <c r="S530" s="196">
        <v>0.99</v>
      </c>
      <c r="T530" s="197">
        <v>0.98880000000000001</v>
      </c>
      <c r="U530" s="198">
        <v>1.4999999999999999E-2</v>
      </c>
      <c r="V530" s="197">
        <v>0</v>
      </c>
      <c r="W530" s="198">
        <v>0</v>
      </c>
      <c r="X530" s="197">
        <v>0</v>
      </c>
      <c r="Y530" s="199">
        <f t="shared" si="300"/>
        <v>-8.0940457356665663E-2</v>
      </c>
    </row>
    <row r="531" spans="2:25">
      <c r="B531" s="189" t="s">
        <v>14</v>
      </c>
      <c r="C531" s="190" t="s">
        <v>66</v>
      </c>
      <c r="D531" s="190">
        <v>5</v>
      </c>
      <c r="E531" s="191">
        <v>6</v>
      </c>
      <c r="F531" s="192">
        <v>43799</v>
      </c>
      <c r="G531" s="24">
        <v>671.42302783781213</v>
      </c>
      <c r="H531" s="24">
        <f>590718/1000</f>
        <v>590.71799999999996</v>
      </c>
      <c r="I531" s="193">
        <v>108.1</v>
      </c>
      <c r="J531" s="194">
        <v>95.7</v>
      </c>
      <c r="K531" s="193">
        <v>152.1</v>
      </c>
      <c r="L531" s="194">
        <v>125.4</v>
      </c>
      <c r="M531" s="195">
        <f t="shared" si="301"/>
        <v>0.74692937102539869</v>
      </c>
      <c r="N531" s="195">
        <f t="shared" si="302"/>
        <v>0.79424546559759379</v>
      </c>
      <c r="O531" s="195">
        <f t="shared" si="303"/>
        <v>0.18650639662161447</v>
      </c>
      <c r="P531" s="195">
        <f t="shared" si="304"/>
        <v>0.16408833333333334</v>
      </c>
      <c r="Q531" s="195">
        <v>0.98499999999999999</v>
      </c>
      <c r="R531" s="195">
        <v>0.98850000000000005</v>
      </c>
      <c r="S531" s="196">
        <v>0.99</v>
      </c>
      <c r="T531" s="197">
        <v>1</v>
      </c>
      <c r="U531" s="198">
        <v>1.4999999999999999E-2</v>
      </c>
      <c r="V531" s="197">
        <v>0</v>
      </c>
      <c r="W531" s="198">
        <v>0</v>
      </c>
      <c r="X531" s="197">
        <v>0</v>
      </c>
      <c r="Y531" s="199">
        <f t="shared" si="300"/>
        <v>5.534243626040547E-2</v>
      </c>
    </row>
    <row r="532" spans="2:25">
      <c r="B532" s="189" t="s">
        <v>14</v>
      </c>
      <c r="C532" s="190" t="s">
        <v>66</v>
      </c>
      <c r="D532" s="190">
        <v>5</v>
      </c>
      <c r="E532" s="191">
        <v>6</v>
      </c>
      <c r="F532" s="192">
        <v>43830</v>
      </c>
      <c r="G532" s="24">
        <v>563.68124870561405</v>
      </c>
      <c r="H532" s="24">
        <f>409797/1000</f>
        <v>409.79700000000003</v>
      </c>
      <c r="I532" s="193">
        <v>89.9</v>
      </c>
      <c r="J532" s="194">
        <v>70.06</v>
      </c>
      <c r="K532" s="193">
        <v>129.6</v>
      </c>
      <c r="L532" s="194">
        <v>91.45</v>
      </c>
      <c r="M532" s="195">
        <f t="shared" si="301"/>
        <v>0.73593779206828525</v>
      </c>
      <c r="N532" s="195">
        <f t="shared" si="302"/>
        <v>0.79174254013384493</v>
      </c>
      <c r="O532" s="195">
        <f t="shared" si="303"/>
        <v>0.15152721739398228</v>
      </c>
      <c r="P532" s="195">
        <f t="shared" si="304"/>
        <v>0.11016048387096775</v>
      </c>
      <c r="Q532" s="195">
        <v>0.98499999999999999</v>
      </c>
      <c r="R532" s="195">
        <v>0.94330000000000003</v>
      </c>
      <c r="S532" s="196">
        <v>0.99</v>
      </c>
      <c r="T532" s="197">
        <v>0.99939999999999996</v>
      </c>
      <c r="U532" s="198">
        <v>1.4999999999999999E-2</v>
      </c>
      <c r="V532" s="197">
        <v>0</v>
      </c>
      <c r="W532" s="198">
        <v>0</v>
      </c>
      <c r="X532" s="197">
        <v>0</v>
      </c>
      <c r="Y532" s="199">
        <f t="shared" si="300"/>
        <v>2.1368582895757382E-2</v>
      </c>
    </row>
    <row r="533" spans="2:25">
      <c r="B533" s="189" t="s">
        <v>14</v>
      </c>
      <c r="C533" s="190" t="s">
        <v>66</v>
      </c>
      <c r="D533" s="190">
        <v>5</v>
      </c>
      <c r="E533" s="191">
        <v>6</v>
      </c>
      <c r="F533" s="192">
        <v>43861</v>
      </c>
      <c r="G533" s="24">
        <v>474.55528591572136</v>
      </c>
      <c r="H533" s="24">
        <f>431172/1000</f>
        <v>431.17200000000003</v>
      </c>
      <c r="I533" s="193">
        <v>79.599999999999994</v>
      </c>
      <c r="J533" s="194">
        <v>73.040000000000006</v>
      </c>
      <c r="K533" s="193">
        <v>103.2</v>
      </c>
      <c r="L533" s="194">
        <v>95.77</v>
      </c>
      <c r="M533" s="195">
        <f t="shared" si="301"/>
        <v>0.77807173152146758</v>
      </c>
      <c r="N533" s="195">
        <f t="shared" si="302"/>
        <v>0.83243869322207353</v>
      </c>
      <c r="O533" s="195">
        <f t="shared" si="303"/>
        <v>0.12756862524616167</v>
      </c>
      <c r="P533" s="195">
        <f t="shared" si="304"/>
        <v>0.11590645161290325</v>
      </c>
      <c r="Q533" s="195">
        <v>0.98499999999999999</v>
      </c>
      <c r="R533" s="195">
        <v>0.90139999999999998</v>
      </c>
      <c r="S533" s="196">
        <v>0.99</v>
      </c>
      <c r="T533" s="197">
        <v>0.998</v>
      </c>
      <c r="U533" s="198">
        <v>1.4999999999999999E-2</v>
      </c>
      <c r="V533" s="197">
        <v>0</v>
      </c>
      <c r="W533" s="198">
        <v>0</v>
      </c>
      <c r="X533" s="197">
        <v>0</v>
      </c>
      <c r="Y533" s="199">
        <f t="shared" si="300"/>
        <v>-1.942269945129127E-2</v>
      </c>
    </row>
    <row r="534" spans="2:25">
      <c r="B534" s="189" t="s">
        <v>14</v>
      </c>
      <c r="C534" s="190" t="s">
        <v>66</v>
      </c>
      <c r="D534" s="190">
        <v>5</v>
      </c>
      <c r="E534" s="191">
        <v>6</v>
      </c>
      <c r="F534" s="192">
        <v>43890</v>
      </c>
      <c r="G534" s="24">
        <v>622.94371646912032</v>
      </c>
      <c r="H534" s="24">
        <f>650781/1000</f>
        <v>650.78099999999995</v>
      </c>
      <c r="I534" s="193">
        <v>108.1</v>
      </c>
      <c r="J534" s="194">
        <v>113.97</v>
      </c>
      <c r="K534" s="193">
        <v>137.5</v>
      </c>
      <c r="L534" s="194">
        <v>144.41999999999999</v>
      </c>
      <c r="M534" s="195">
        <f t="shared" si="301"/>
        <v>0.76658202303537337</v>
      </c>
      <c r="N534" s="195">
        <f t="shared" si="302"/>
        <v>0.78158835564030982</v>
      </c>
      <c r="O534" s="195">
        <f t="shared" si="303"/>
        <v>0.17900681507733343</v>
      </c>
      <c r="P534" s="195">
        <f t="shared" si="304"/>
        <v>0.1870060344827586</v>
      </c>
      <c r="Q534" s="195">
        <v>0.98499999999999999</v>
      </c>
      <c r="R534" s="195">
        <v>0.96089999999999998</v>
      </c>
      <c r="S534" s="196">
        <v>0.99</v>
      </c>
      <c r="T534" s="197">
        <v>1</v>
      </c>
      <c r="U534" s="198">
        <v>1.4999999999999999E-2</v>
      </c>
      <c r="V534" s="197">
        <v>0</v>
      </c>
      <c r="W534" s="198">
        <v>0</v>
      </c>
      <c r="X534" s="197">
        <v>0</v>
      </c>
      <c r="Y534" s="199">
        <f t="shared" si="300"/>
        <v>-5.6405975190163549E-3</v>
      </c>
    </row>
    <row r="535" spans="2:25">
      <c r="B535" s="189" t="s">
        <v>14</v>
      </c>
      <c r="C535" s="190" t="s">
        <v>66</v>
      </c>
      <c r="D535" s="190">
        <v>5</v>
      </c>
      <c r="E535" s="191">
        <v>6</v>
      </c>
      <c r="F535" s="192">
        <v>43921</v>
      </c>
      <c r="G535" s="24">
        <v>835.53285575174448</v>
      </c>
      <c r="H535" s="24">
        <f>786693/1000</f>
        <v>786.69299999999998</v>
      </c>
      <c r="I535" s="193">
        <v>161.4</v>
      </c>
      <c r="J535" s="194">
        <v>153.18</v>
      </c>
      <c r="K535" s="193">
        <v>187.8</v>
      </c>
      <c r="L535" s="194">
        <v>172</v>
      </c>
      <c r="M535" s="195">
        <f t="shared" si="301"/>
        <v>0.75280147883115789</v>
      </c>
      <c r="N535" s="195">
        <f t="shared" si="302"/>
        <v>0.79472416451694228</v>
      </c>
      <c r="O535" s="195">
        <f t="shared" si="303"/>
        <v>0.22460560638487753</v>
      </c>
      <c r="P535" s="195">
        <f t="shared" si="304"/>
        <v>0.21147661290322581</v>
      </c>
      <c r="Q535" s="195">
        <v>0.98499999999999999</v>
      </c>
      <c r="R535" s="195">
        <v>0.95920000000000005</v>
      </c>
      <c r="S535" s="196">
        <v>0.99</v>
      </c>
      <c r="T535" s="197">
        <v>0.99939999999999996</v>
      </c>
      <c r="U535" s="198">
        <v>1.4999999999999999E-2</v>
      </c>
      <c r="V535" s="197">
        <v>0</v>
      </c>
      <c r="W535" s="198">
        <v>0</v>
      </c>
      <c r="X535" s="197">
        <v>0</v>
      </c>
      <c r="Y535" s="199">
        <f t="shared" si="300"/>
        <v>2.567851233001206E-2</v>
      </c>
    </row>
    <row r="536" spans="2:25">
      <c r="B536" s="189" t="s">
        <v>14</v>
      </c>
      <c r="C536" s="190" t="s">
        <v>66</v>
      </c>
      <c r="D536" s="190">
        <v>5</v>
      </c>
      <c r="E536" s="191">
        <v>6</v>
      </c>
      <c r="F536" s="192">
        <v>43951</v>
      </c>
      <c r="G536" s="24">
        <v>864.60487479894107</v>
      </c>
      <c r="H536" s="24">
        <f>785445/1000</f>
        <v>785.44500000000005</v>
      </c>
      <c r="I536" s="193">
        <v>190.2</v>
      </c>
      <c r="J536" s="194">
        <v>177.6</v>
      </c>
      <c r="K536" s="193">
        <v>194</v>
      </c>
      <c r="L536" s="194">
        <v>179.1</v>
      </c>
      <c r="M536" s="195">
        <f t="shared" si="301"/>
        <v>0.75409918083882022</v>
      </c>
      <c r="N536" s="195">
        <f t="shared" si="302"/>
        <v>0.74401311206775822</v>
      </c>
      <c r="O536" s="195">
        <f t="shared" si="303"/>
        <v>0.24016802077748362</v>
      </c>
      <c r="P536" s="195">
        <f t="shared" si="304"/>
        <v>0.21817916666666667</v>
      </c>
      <c r="Q536" s="195">
        <v>0.98499999999999999</v>
      </c>
      <c r="R536" s="195">
        <v>0.98240000000000005</v>
      </c>
      <c r="S536" s="196">
        <v>0.99</v>
      </c>
      <c r="T536" s="197">
        <v>0.99880000000000002</v>
      </c>
      <c r="U536" s="198">
        <v>1.4999999999999999E-2</v>
      </c>
      <c r="V536" s="197">
        <v>0</v>
      </c>
      <c r="W536" s="198">
        <v>0</v>
      </c>
      <c r="X536" s="197">
        <v>0</v>
      </c>
      <c r="Y536" s="199">
        <f t="shared" si="300"/>
        <v>-1.4752004534350216E-2</v>
      </c>
    </row>
    <row r="537" spans="2:25">
      <c r="B537" s="189" t="s">
        <v>14</v>
      </c>
      <c r="C537" s="190" t="s">
        <v>66</v>
      </c>
      <c r="D537" s="190">
        <v>5</v>
      </c>
      <c r="E537" s="191">
        <v>6</v>
      </c>
      <c r="F537" s="192">
        <v>43982</v>
      </c>
      <c r="G537" s="24">
        <v>876.11254900512313</v>
      </c>
      <c r="H537" s="24">
        <f>831420/1000</f>
        <v>831.42</v>
      </c>
      <c r="I537" s="193">
        <v>197</v>
      </c>
      <c r="J537" s="194">
        <v>193.75</v>
      </c>
      <c r="K537" s="193">
        <v>197.7</v>
      </c>
      <c r="L537" s="194">
        <v>190.96</v>
      </c>
      <c r="M537" s="195">
        <f t="shared" si="301"/>
        <v>0.74983507374153291</v>
      </c>
      <c r="N537" s="195">
        <f t="shared" si="302"/>
        <v>0.74662964363550832</v>
      </c>
      <c r="O537" s="195">
        <f t="shared" si="303"/>
        <v>0.23551412607664601</v>
      </c>
      <c r="P537" s="195">
        <f t="shared" si="304"/>
        <v>0.22349999999999998</v>
      </c>
      <c r="Q537" s="195">
        <v>0.98499999999999999</v>
      </c>
      <c r="R537" s="195">
        <v>0.97189999999999999</v>
      </c>
      <c r="S537" s="196">
        <v>0.99</v>
      </c>
      <c r="T537" s="197">
        <v>0.99729999999999996</v>
      </c>
      <c r="U537" s="198">
        <v>1.4999999999999999E-2</v>
      </c>
      <c r="V537" s="197">
        <v>0</v>
      </c>
      <c r="W537" s="198">
        <v>0</v>
      </c>
      <c r="X537" s="197">
        <v>0</v>
      </c>
      <c r="Y537" s="199">
        <f t="shared" si="300"/>
        <v>-1.6920278787903364E-2</v>
      </c>
    </row>
    <row r="538" spans="2:25">
      <c r="B538" s="189" t="s">
        <v>14</v>
      </c>
      <c r="C538" s="190" t="s">
        <v>66</v>
      </c>
      <c r="D538" s="190">
        <v>5</v>
      </c>
      <c r="E538" s="191">
        <v>6</v>
      </c>
      <c r="F538" s="192">
        <v>44012</v>
      </c>
      <c r="G538" s="24">
        <v>786.47382360960046</v>
      </c>
      <c r="H538" s="24">
        <f>817701/1000</f>
        <v>817.70100000000002</v>
      </c>
      <c r="I538" s="193">
        <v>178.9</v>
      </c>
      <c r="J538" s="194">
        <v>188.28</v>
      </c>
      <c r="K538" s="193">
        <v>177.2</v>
      </c>
      <c r="L538" s="194">
        <v>184.28</v>
      </c>
      <c r="M538" s="195">
        <f t="shared" si="301"/>
        <v>0.75098813237845385</v>
      </c>
      <c r="N538" s="195">
        <f t="shared" si="302"/>
        <v>0.76296894652817848</v>
      </c>
      <c r="O538" s="195">
        <f t="shared" si="303"/>
        <v>0.21846495100266677</v>
      </c>
      <c r="P538" s="195">
        <f t="shared" si="304"/>
        <v>0.22713916666666667</v>
      </c>
      <c r="Q538" s="195">
        <v>0.98499999999999999</v>
      </c>
      <c r="R538" s="195">
        <v>0.96930000000000005</v>
      </c>
      <c r="S538" s="196">
        <v>0.99</v>
      </c>
      <c r="T538" s="197">
        <v>0.99850000000000005</v>
      </c>
      <c r="U538" s="198">
        <v>1.4999999999999999E-2</v>
      </c>
      <c r="V538" s="197">
        <v>0</v>
      </c>
      <c r="W538" s="198">
        <v>0</v>
      </c>
      <c r="X538" s="197">
        <v>0</v>
      </c>
      <c r="Y538" s="199">
        <f t="shared" si="300"/>
        <v>-2.4955672928173023E-4</v>
      </c>
    </row>
    <row r="539" spans="2:25">
      <c r="B539" s="189" t="s">
        <v>14</v>
      </c>
      <c r="C539" s="190" t="s">
        <v>66</v>
      </c>
      <c r="D539" s="190">
        <v>5</v>
      </c>
      <c r="E539" s="191">
        <v>6</v>
      </c>
      <c r="F539" s="192">
        <v>44043</v>
      </c>
      <c r="G539" s="24">
        <v>696.22943115059468</v>
      </c>
      <c r="H539" s="24">
        <f>711324/1000</f>
        <v>711.32399999999996</v>
      </c>
      <c r="I539" s="193">
        <v>155.5</v>
      </c>
      <c r="J539" s="194">
        <v>155.22000000000003</v>
      </c>
      <c r="K539" s="193">
        <v>154.6</v>
      </c>
      <c r="L539" s="194">
        <v>153.15</v>
      </c>
      <c r="M539" s="195">
        <f t="shared" si="301"/>
        <v>0.76200076519788495</v>
      </c>
      <c r="N539" s="195">
        <f t="shared" si="302"/>
        <v>0.80068661541634767</v>
      </c>
      <c r="O539" s="195">
        <f t="shared" si="303"/>
        <v>0.18715844923403085</v>
      </c>
      <c r="P539" s="195">
        <f t="shared" si="304"/>
        <v>0.19121612903225804</v>
      </c>
      <c r="Q539" s="195">
        <v>0.98499999999999999</v>
      </c>
      <c r="R539" s="195">
        <v>0.96679999999999999</v>
      </c>
      <c r="S539" s="196">
        <v>0.99</v>
      </c>
      <c r="T539" s="197">
        <v>0.98670000000000002</v>
      </c>
      <c r="U539" s="198">
        <v>1.4999999999999999E-2</v>
      </c>
      <c r="V539" s="197">
        <v>0</v>
      </c>
      <c r="W539" s="198">
        <v>0</v>
      </c>
      <c r="X539" s="197">
        <v>0</v>
      </c>
      <c r="Y539" s="199">
        <f t="shared" si="300"/>
        <v>3.1059494814850819E-2</v>
      </c>
    </row>
    <row r="540" spans="2:25">
      <c r="B540" s="189" t="s">
        <v>14</v>
      </c>
      <c r="C540" s="190" t="s">
        <v>66</v>
      </c>
      <c r="D540" s="190">
        <v>5</v>
      </c>
      <c r="E540" s="191">
        <v>6</v>
      </c>
      <c r="F540" s="192">
        <v>44074</v>
      </c>
      <c r="G540" s="24">
        <v>660.797907936824</v>
      </c>
      <c r="H540" s="24">
        <v>587.81399999999996</v>
      </c>
      <c r="I540" s="193">
        <v>145.4</v>
      </c>
      <c r="J540" s="194">
        <v>135.4</v>
      </c>
      <c r="K540" s="193">
        <v>146.30000000000001</v>
      </c>
      <c r="L540" s="194">
        <v>135.54</v>
      </c>
      <c r="M540" s="195">
        <f t="shared" si="301"/>
        <v>0.76425247236321536</v>
      </c>
      <c r="N540" s="195">
        <f t="shared" si="302"/>
        <v>0.79832679036042309</v>
      </c>
      <c r="O540" s="195">
        <f t="shared" si="303"/>
        <v>0.17763384621957637</v>
      </c>
      <c r="P540" s="195">
        <f t="shared" si="304"/>
        <v>0.15801451612903225</v>
      </c>
      <c r="Q540" s="195">
        <v>0.98499999999999999</v>
      </c>
      <c r="R540" s="195">
        <v>0.90539999999999998</v>
      </c>
      <c r="S540" s="196">
        <v>0.99</v>
      </c>
      <c r="T540" s="197">
        <v>0.99880000000000002</v>
      </c>
      <c r="U540" s="198">
        <v>1.4999999999999999E-2</v>
      </c>
      <c r="V540" s="197">
        <v>0</v>
      </c>
      <c r="W540" s="198">
        <v>0</v>
      </c>
      <c r="X540" s="197">
        <v>0</v>
      </c>
      <c r="Y540" s="199">
        <f t="shared" si="300"/>
        <v>-3.6900647115278962E-2</v>
      </c>
    </row>
    <row r="541" spans="2:25">
      <c r="B541" s="189" t="s">
        <v>14</v>
      </c>
      <c r="C541" s="190" t="s">
        <v>66</v>
      </c>
      <c r="D541" s="190">
        <v>5</v>
      </c>
      <c r="E541" s="191">
        <v>6</v>
      </c>
      <c r="F541" s="192">
        <v>44104</v>
      </c>
      <c r="G541" s="24">
        <v>658.67807321463249</v>
      </c>
      <c r="H541" s="24">
        <f>683826/1000</f>
        <v>683.82600000000002</v>
      </c>
      <c r="I541" s="193">
        <v>141.6</v>
      </c>
      <c r="J541" s="194">
        <v>145.79</v>
      </c>
      <c r="K541" s="193">
        <v>145.5</v>
      </c>
      <c r="L541" s="194">
        <v>154.88999999999999</v>
      </c>
      <c r="M541" s="195">
        <f t="shared" si="301"/>
        <v>0.76598935139885516</v>
      </c>
      <c r="N541" s="195">
        <f t="shared" si="302"/>
        <v>0.77024910321373807</v>
      </c>
      <c r="O541" s="195">
        <f t="shared" si="303"/>
        <v>0.18296613144850901</v>
      </c>
      <c r="P541" s="195">
        <f t="shared" si="304"/>
        <v>0.18995166666666669</v>
      </c>
      <c r="Q541" s="195">
        <v>0.98499999999999999</v>
      </c>
      <c r="R541" s="195">
        <v>0.95530000000000004</v>
      </c>
      <c r="S541" s="196">
        <v>0.99</v>
      </c>
      <c r="T541" s="197">
        <v>0.99739999999999995</v>
      </c>
      <c r="U541" s="198">
        <v>1.4999999999999999E-2</v>
      </c>
      <c r="V541" s="197">
        <v>0</v>
      </c>
      <c r="W541" s="198">
        <v>0</v>
      </c>
      <c r="X541" s="197">
        <v>0</v>
      </c>
      <c r="Y541" s="199">
        <f t="shared" si="300"/>
        <v>-2.6356692863403808E-2</v>
      </c>
    </row>
    <row r="542" spans="2:25">
      <c r="B542" s="189" t="s">
        <v>14</v>
      </c>
      <c r="C542" s="190" t="s">
        <v>66</v>
      </c>
      <c r="D542" s="190">
        <v>5</v>
      </c>
      <c r="E542" s="191">
        <v>6</v>
      </c>
      <c r="F542" s="192">
        <v>44135</v>
      </c>
      <c r="G542" s="24">
        <v>754.67630277672936</v>
      </c>
      <c r="H542" s="24">
        <f>758979/1000</f>
        <v>758.97900000000004</v>
      </c>
      <c r="I542" s="193">
        <v>139.1</v>
      </c>
      <c r="J542" s="194">
        <v>139.43</v>
      </c>
      <c r="K542" s="193">
        <v>172.2</v>
      </c>
      <c r="L542" s="194">
        <v>173.46</v>
      </c>
      <c r="M542" s="195">
        <f t="shared" si="301"/>
        <v>0.74154939537971765</v>
      </c>
      <c r="N542" s="195">
        <f t="shared" si="302"/>
        <v>0.73483936234301483</v>
      </c>
      <c r="O542" s="195">
        <f t="shared" si="303"/>
        <v>0.20286997386471223</v>
      </c>
      <c r="P542" s="195">
        <f t="shared" si="304"/>
        <v>0.20402661290322582</v>
      </c>
      <c r="Q542" s="195">
        <v>0.98499999999999999</v>
      </c>
      <c r="R542" s="195">
        <v>0.99239999999999995</v>
      </c>
      <c r="S542" s="196">
        <v>0.99</v>
      </c>
      <c r="T542" s="197">
        <v>1</v>
      </c>
      <c r="U542" s="198">
        <v>1.4999999999999999E-2</v>
      </c>
      <c r="V542" s="197">
        <v>0</v>
      </c>
      <c r="W542" s="198">
        <v>0</v>
      </c>
      <c r="X542" s="197">
        <v>0</v>
      </c>
      <c r="Y542" s="199">
        <f t="shared" si="300"/>
        <v>-1.6156920521785967E-3</v>
      </c>
    </row>
    <row r="543" spans="2:25">
      <c r="B543" s="189" t="s">
        <v>14</v>
      </c>
      <c r="C543" s="190" t="s">
        <v>66</v>
      </c>
      <c r="D543" s="190">
        <v>5</v>
      </c>
      <c r="E543" s="191">
        <v>6</v>
      </c>
      <c r="F543" s="192">
        <v>44165</v>
      </c>
      <c r="G543" s="24">
        <v>668.06591269862315</v>
      </c>
      <c r="H543" s="24">
        <f>594657/1000</f>
        <v>594.65700000000004</v>
      </c>
      <c r="I543" s="193">
        <v>108.1</v>
      </c>
      <c r="J543" s="194">
        <v>101.92</v>
      </c>
      <c r="K543" s="193">
        <v>152.1</v>
      </c>
      <c r="L543" s="194">
        <v>143.38999999999999</v>
      </c>
      <c r="M543" s="195">
        <f t="shared" si="301"/>
        <v>0.74319472417027177</v>
      </c>
      <c r="N543" s="195">
        <f t="shared" si="302"/>
        <v>0.71819240169330512</v>
      </c>
      <c r="O543" s="195">
        <f t="shared" si="303"/>
        <v>0.18557386463850642</v>
      </c>
      <c r="P543" s="195">
        <f t="shared" si="304"/>
        <v>0.16518250000000001</v>
      </c>
      <c r="Q543" s="195">
        <v>0.98499999999999999</v>
      </c>
      <c r="R543" s="195">
        <v>0.96240000000000003</v>
      </c>
      <c r="S543" s="196">
        <v>0.99</v>
      </c>
      <c r="T543" s="197">
        <v>0.99629999999999996</v>
      </c>
      <c r="U543" s="198">
        <v>1.4999999999999999E-2</v>
      </c>
      <c r="V543" s="197">
        <v>0</v>
      </c>
      <c r="W543" s="198">
        <v>0</v>
      </c>
      <c r="X543" s="197">
        <v>0</v>
      </c>
      <c r="Y543" s="199">
        <f t="shared" si="300"/>
        <v>-5.2617782301997984E-2</v>
      </c>
    </row>
    <row r="544" spans="2:25">
      <c r="B544" s="189" t="s">
        <v>14</v>
      </c>
      <c r="C544" s="190" t="s">
        <v>66</v>
      </c>
      <c r="D544" s="190">
        <v>5</v>
      </c>
      <c r="E544" s="191">
        <v>6</v>
      </c>
      <c r="F544" s="192">
        <v>44196</v>
      </c>
      <c r="G544" s="24">
        <v>560.86284246208595</v>
      </c>
      <c r="H544" s="24">
        <f>517617/1000</f>
        <v>517.61699999999996</v>
      </c>
      <c r="I544" s="193">
        <v>89.9</v>
      </c>
      <c r="J544" s="194">
        <v>82.04</v>
      </c>
      <c r="K544" s="193">
        <v>129.6</v>
      </c>
      <c r="L544" s="194">
        <v>121.14</v>
      </c>
      <c r="M544" s="195">
        <f t="shared" si="301"/>
        <v>0.7322581031079437</v>
      </c>
      <c r="N544" s="195">
        <f t="shared" si="302"/>
        <v>0.71817981295482336</v>
      </c>
      <c r="O544" s="195">
        <f t="shared" si="303"/>
        <v>0.15076958130701235</v>
      </c>
      <c r="P544" s="195">
        <f t="shared" si="304"/>
        <v>0.13914435483870966</v>
      </c>
      <c r="Q544" s="195">
        <v>0.98499999999999999</v>
      </c>
      <c r="R544" s="195">
        <v>0.99160000000000004</v>
      </c>
      <c r="S544" s="196">
        <v>0.99</v>
      </c>
      <c r="T544" s="197">
        <v>0.99790000000000001</v>
      </c>
      <c r="U544" s="198">
        <v>1.4999999999999999E-2</v>
      </c>
      <c r="V544" s="197">
        <v>0</v>
      </c>
      <c r="W544" s="198">
        <v>0</v>
      </c>
      <c r="X544" s="197">
        <v>0</v>
      </c>
      <c r="Y544" s="199">
        <f t="shared" si="300"/>
        <v>-1.1828136873734185E-2</v>
      </c>
    </row>
    <row r="545" spans="2:25">
      <c r="B545" s="189" t="s">
        <v>14</v>
      </c>
      <c r="C545" s="190" t="s">
        <v>66</v>
      </c>
      <c r="D545" s="190">
        <v>5</v>
      </c>
      <c r="E545" s="191">
        <v>6</v>
      </c>
      <c r="F545" s="192">
        <v>44227</v>
      </c>
      <c r="G545" s="24">
        <v>472.18250948614286</v>
      </c>
      <c r="H545" s="24">
        <v>412.62299999999999</v>
      </c>
      <c r="I545" s="193">
        <v>79.599999999999994</v>
      </c>
      <c r="J545" s="194">
        <v>69.38</v>
      </c>
      <c r="K545" s="193">
        <v>103.2</v>
      </c>
      <c r="L545" s="194">
        <v>93.970000000000013</v>
      </c>
      <c r="M545" s="195">
        <f t="shared" si="301"/>
        <v>0.77418137286386046</v>
      </c>
      <c r="N545" s="195">
        <f t="shared" si="302"/>
        <v>0.73751348188329047</v>
      </c>
      <c r="O545" s="195">
        <f t="shared" si="303"/>
        <v>0.12693078211993086</v>
      </c>
      <c r="P545" s="195">
        <f t="shared" si="304"/>
        <v>0.11092016129032259</v>
      </c>
      <c r="Q545" s="195">
        <v>0.98499999999999999</v>
      </c>
      <c r="R545" s="195">
        <v>0.99229999999999996</v>
      </c>
      <c r="S545" s="196">
        <v>0.99</v>
      </c>
      <c r="T545" s="197">
        <v>1</v>
      </c>
      <c r="U545" s="198">
        <v>1.4999999999999999E-2</v>
      </c>
      <c r="V545" s="197">
        <v>0</v>
      </c>
      <c r="W545" s="198">
        <v>0</v>
      </c>
      <c r="X545" s="197">
        <v>0</v>
      </c>
      <c r="Y545" s="199">
        <f t="shared" si="300"/>
        <v>-3.669864337465234E-2</v>
      </c>
    </row>
    <row r="546" spans="2:25">
      <c r="B546" s="189" t="s">
        <v>14</v>
      </c>
      <c r="C546" s="190" t="s">
        <v>66</v>
      </c>
      <c r="D546" s="190">
        <v>5</v>
      </c>
      <c r="E546" s="191">
        <v>6</v>
      </c>
      <c r="F546" s="192">
        <v>44255</v>
      </c>
      <c r="G546" s="24">
        <v>619.82899788677469</v>
      </c>
      <c r="H546" s="24">
        <v>576.55799999999999</v>
      </c>
      <c r="I546" s="193">
        <v>108.1</v>
      </c>
      <c r="J546" s="194">
        <v>108.91999999999997</v>
      </c>
      <c r="K546" s="193">
        <v>137.5</v>
      </c>
      <c r="L546" s="194">
        <v>144.48000000000002</v>
      </c>
      <c r="M546" s="195">
        <f t="shared" si="301"/>
        <v>0.76274911292019643</v>
      </c>
      <c r="N546" s="195">
        <f t="shared" si="302"/>
        <v>0.76036364900107989</v>
      </c>
      <c r="O546" s="195">
        <f t="shared" si="303"/>
        <v>0.18447291603773056</v>
      </c>
      <c r="P546" s="195">
        <f t="shared" si="304"/>
        <v>0.17159464285714285</v>
      </c>
      <c r="Q546" s="195">
        <v>0.98499999999999999</v>
      </c>
      <c r="R546" s="195">
        <v>0.87470714285714291</v>
      </c>
      <c r="S546" s="196">
        <v>0.99</v>
      </c>
      <c r="T546" s="197">
        <v>1</v>
      </c>
      <c r="U546" s="198">
        <v>1.4999999999999999E-2</v>
      </c>
      <c r="V546" s="197">
        <v>0</v>
      </c>
      <c r="W546" s="198">
        <v>0</v>
      </c>
      <c r="X546" s="197">
        <v>0</v>
      </c>
      <c r="Y546" s="199">
        <f t="shared" si="300"/>
        <v>-0.12057482305270961</v>
      </c>
    </row>
    <row r="547" spans="2:25">
      <c r="B547" s="189" t="s">
        <v>14</v>
      </c>
      <c r="C547" s="190" t="s">
        <v>66</v>
      </c>
      <c r="D547" s="190">
        <v>5</v>
      </c>
      <c r="E547" s="191">
        <v>6</v>
      </c>
      <c r="F547" s="192">
        <v>44286</v>
      </c>
      <c r="G547" s="24">
        <v>831.35519147298601</v>
      </c>
      <c r="H547" s="24">
        <v>781.10699999999997</v>
      </c>
      <c r="I547" s="193">
        <v>161.4</v>
      </c>
      <c r="J547" s="194">
        <v>161.71999999999997</v>
      </c>
      <c r="K547" s="193">
        <v>187.8</v>
      </c>
      <c r="L547" s="194">
        <v>185.17999999999998</v>
      </c>
      <c r="M547" s="195">
        <f t="shared" si="301"/>
        <v>0.74903747143700228</v>
      </c>
      <c r="N547" s="195">
        <f t="shared" si="302"/>
        <v>0.7208798522706058</v>
      </c>
      <c r="O547" s="195">
        <f t="shared" si="303"/>
        <v>0.22348257835295321</v>
      </c>
      <c r="P547" s="195">
        <f t="shared" si="304"/>
        <v>0.20997499999999997</v>
      </c>
      <c r="Q547" s="195">
        <v>0.98499999999999999</v>
      </c>
      <c r="R547" s="195">
        <v>0.9752193548387097</v>
      </c>
      <c r="S547" s="196">
        <v>0.99</v>
      </c>
      <c r="T547" s="197">
        <v>1</v>
      </c>
      <c r="U547" s="198">
        <v>1.4999999999999999E-2</v>
      </c>
      <c r="V547" s="197">
        <v>0</v>
      </c>
      <c r="W547" s="198">
        <v>0</v>
      </c>
      <c r="X547" s="197">
        <v>0</v>
      </c>
      <c r="Y547" s="199">
        <f t="shared" si="300"/>
        <v>-4.6490291820132312E-2</v>
      </c>
    </row>
    <row r="548" spans="2:25">
      <c r="B548" s="189" t="s">
        <v>14</v>
      </c>
      <c r="C548" s="190" t="s">
        <v>66</v>
      </c>
      <c r="D548" s="190">
        <v>5</v>
      </c>
      <c r="E548" s="191">
        <v>6</v>
      </c>
      <c r="F548" s="192">
        <v>44316</v>
      </c>
      <c r="G548" s="24">
        <v>860.28185042494636</v>
      </c>
      <c r="H548" s="24">
        <v>776.28300000000002</v>
      </c>
      <c r="I548" s="193">
        <v>190.2</v>
      </c>
      <c r="J548" s="194">
        <v>181.16</v>
      </c>
      <c r="K548" s="193">
        <v>194</v>
      </c>
      <c r="L548" s="194">
        <v>183.29</v>
      </c>
      <c r="M548" s="195">
        <f t="shared" si="301"/>
        <v>0.75032868493462612</v>
      </c>
      <c r="N548" s="195">
        <f t="shared" si="302"/>
        <v>0.73380309887508643</v>
      </c>
      <c r="O548" s="195">
        <f t="shared" si="303"/>
        <v>0.23896718067359618</v>
      </c>
      <c r="P548" s="195">
        <f t="shared" si="304"/>
        <v>0.21563416666666671</v>
      </c>
      <c r="Q548" s="195">
        <v>0.98499999999999999</v>
      </c>
      <c r="R548" s="195">
        <v>0.96194559999999996</v>
      </c>
      <c r="S548" s="196">
        <v>0.99</v>
      </c>
      <c r="T548" s="197">
        <v>0.98560000000000003</v>
      </c>
      <c r="U548" s="198">
        <v>1.4999999999999999E-2</v>
      </c>
      <c r="V548" s="197">
        <v>2.6750028682413086E-2</v>
      </c>
      <c r="W548" s="198">
        <v>0</v>
      </c>
      <c r="X548" s="197">
        <v>0</v>
      </c>
      <c r="Y548" s="199">
        <f t="shared" si="300"/>
        <v>-4.2434896112736875E-2</v>
      </c>
    </row>
    <row r="549" spans="2:25">
      <c r="B549" s="189" t="s">
        <v>14</v>
      </c>
      <c r="C549" s="190" t="s">
        <v>66</v>
      </c>
      <c r="D549" s="190">
        <v>5</v>
      </c>
      <c r="E549" s="191">
        <v>6</v>
      </c>
      <c r="F549" s="192">
        <v>44347</v>
      </c>
      <c r="G549" s="24">
        <v>871.73198626009753</v>
      </c>
      <c r="H549" s="24">
        <v>748.18200000000002</v>
      </c>
      <c r="I549" s="193">
        <v>197</v>
      </c>
      <c r="J549" s="194">
        <v>180.35999999999996</v>
      </c>
      <c r="K549" s="193">
        <v>197.7</v>
      </c>
      <c r="L549" s="194">
        <v>181.3</v>
      </c>
      <c r="M549" s="195">
        <f t="shared" si="301"/>
        <v>0.74608589837282524</v>
      </c>
      <c r="N549" s="195">
        <f t="shared" si="302"/>
        <v>0.72422208284661083</v>
      </c>
      <c r="O549" s="195">
        <f t="shared" si="303"/>
        <v>0.23433655544626278</v>
      </c>
      <c r="P549" s="195">
        <f t="shared" si="304"/>
        <v>0.20112419354838709</v>
      </c>
      <c r="Q549" s="195">
        <v>0.98499999999999999</v>
      </c>
      <c r="R549" s="195">
        <v>0.94969999999999999</v>
      </c>
      <c r="S549" s="196">
        <v>0.99</v>
      </c>
      <c r="T549" s="197">
        <v>1</v>
      </c>
      <c r="U549" s="198">
        <v>1.4999999999999999E-2</v>
      </c>
      <c r="V549" s="197">
        <v>1.549292953974871E-2</v>
      </c>
      <c r="W549" s="198">
        <v>0</v>
      </c>
      <c r="X549" s="197">
        <v>0</v>
      </c>
      <c r="Y549" s="199">
        <f t="shared" si="300"/>
        <v>-5.8775354643144428E-2</v>
      </c>
    </row>
    <row r="550" spans="2:25">
      <c r="B550" s="189" t="s">
        <v>14</v>
      </c>
      <c r="C550" s="190" t="s">
        <v>66</v>
      </c>
      <c r="D550" s="190">
        <v>5</v>
      </c>
      <c r="E550" s="191">
        <v>6</v>
      </c>
      <c r="F550" s="192">
        <v>44377</v>
      </c>
      <c r="G550" s="24">
        <v>782.54145449155249</v>
      </c>
      <c r="H550" s="24">
        <v>803.298</v>
      </c>
      <c r="I550" s="193">
        <v>178.9</v>
      </c>
      <c r="J550" s="194">
        <v>182.75</v>
      </c>
      <c r="K550" s="193">
        <v>177.2</v>
      </c>
      <c r="L550" s="194">
        <v>182.90999999999994</v>
      </c>
      <c r="M550" s="195">
        <f t="shared" si="301"/>
        <v>0.74723319171656144</v>
      </c>
      <c r="N550" s="195">
        <f t="shared" si="302"/>
        <v>0.73637934985122622</v>
      </c>
      <c r="O550" s="195">
        <f t="shared" si="303"/>
        <v>0.21737262624765347</v>
      </c>
      <c r="P550" s="195">
        <f t="shared" si="304"/>
        <v>0.22313833333333336</v>
      </c>
      <c r="Q550" s="195">
        <v>0.98499999999999999</v>
      </c>
      <c r="R550" s="195">
        <v>0.99399999999999999</v>
      </c>
      <c r="S550" s="196">
        <v>0.99</v>
      </c>
      <c r="T550" s="197">
        <v>1</v>
      </c>
      <c r="U550" s="198">
        <v>1.4999999999999999E-2</v>
      </c>
      <c r="V550" s="197">
        <v>1.6799999999999999E-2</v>
      </c>
      <c r="W550" s="198">
        <v>0</v>
      </c>
      <c r="X550" s="197">
        <v>0</v>
      </c>
      <c r="Y550" s="199">
        <f t="shared" si="300"/>
        <v>-5.6989447356958767E-3</v>
      </c>
    </row>
    <row r="551" spans="2:25">
      <c r="B551" s="189" t="s">
        <v>14</v>
      </c>
      <c r="C551" s="190" t="s">
        <v>66</v>
      </c>
      <c r="D551" s="190">
        <v>5</v>
      </c>
      <c r="E551" s="191">
        <v>6</v>
      </c>
      <c r="F551" s="192">
        <v>44408</v>
      </c>
      <c r="G551" s="24">
        <v>692.7482839948417</v>
      </c>
      <c r="H551" s="24">
        <v>641.42700000000002</v>
      </c>
      <c r="I551" s="193">
        <v>155.5</v>
      </c>
      <c r="J551" s="194">
        <v>144.62</v>
      </c>
      <c r="K551" s="193">
        <v>154.6</v>
      </c>
      <c r="L551" s="194">
        <v>146.04</v>
      </c>
      <c r="M551" s="195">
        <f t="shared" si="301"/>
        <v>0.75819076137189556</v>
      </c>
      <c r="N551" s="195">
        <f t="shared" si="302"/>
        <v>0.78591285369227115</v>
      </c>
      <c r="O551" s="195">
        <f t="shared" si="303"/>
        <v>0.18622265698786067</v>
      </c>
      <c r="P551" s="195">
        <f t="shared" si="304"/>
        <v>0.17242661290322581</v>
      </c>
      <c r="Q551" s="195">
        <v>0.98499999999999999</v>
      </c>
      <c r="R551" s="195">
        <v>0.93142903225806462</v>
      </c>
      <c r="S551" s="196">
        <v>0.99</v>
      </c>
      <c r="T551" s="197">
        <v>1</v>
      </c>
      <c r="U551" s="198">
        <v>1.4999999999999999E-2</v>
      </c>
      <c r="V551" s="197">
        <v>8.3000000000000001E-3</v>
      </c>
      <c r="W551" s="198">
        <v>0</v>
      </c>
      <c r="X551" s="197">
        <v>0</v>
      </c>
      <c r="Y551" s="199">
        <f t="shared" si="300"/>
        <v>-1.8714902588540472E-2</v>
      </c>
    </row>
    <row r="552" spans="2:25">
      <c r="B552" s="189" t="s">
        <v>14</v>
      </c>
      <c r="C552" s="190" t="s">
        <v>66</v>
      </c>
      <c r="D552" s="190">
        <v>5</v>
      </c>
      <c r="E552" s="191">
        <v>6</v>
      </c>
      <c r="F552" s="192">
        <v>44439</v>
      </c>
      <c r="G552" s="24">
        <v>657.49391839713985</v>
      </c>
      <c r="H552" s="24">
        <v>654.69600000000003</v>
      </c>
      <c r="I552" s="193">
        <v>145.4</v>
      </c>
      <c r="J552" s="194">
        <v>141.18000000000004</v>
      </c>
      <c r="K552" s="193">
        <v>146.30000000000001</v>
      </c>
      <c r="L552" s="194">
        <v>144.81</v>
      </c>
      <c r="M552" s="195">
        <f t="shared" si="301"/>
        <v>0.76043121000139924</v>
      </c>
      <c r="N552" s="195">
        <f t="shared" si="302"/>
        <v>0.76433943601104271</v>
      </c>
      <c r="O552" s="195">
        <f t="shared" si="303"/>
        <v>0.17674567698847848</v>
      </c>
      <c r="P552" s="195">
        <f t="shared" si="304"/>
        <v>0.17599354838709677</v>
      </c>
      <c r="Q552" s="195">
        <v>0.98499999999999999</v>
      </c>
      <c r="R552" s="195">
        <v>0.98583359999999998</v>
      </c>
      <c r="S552" s="196">
        <v>0.99</v>
      </c>
      <c r="T552" s="197">
        <v>0.997</v>
      </c>
      <c r="U552" s="198">
        <v>1.4999999999999999E-2</v>
      </c>
      <c r="V552" s="197">
        <v>8.3000000000000001E-3</v>
      </c>
      <c r="W552" s="198">
        <v>0</v>
      </c>
      <c r="X552" s="197">
        <v>0</v>
      </c>
      <c r="Y552" s="199">
        <f t="shared" si="300"/>
        <v>5.9291237316918544E-3</v>
      </c>
    </row>
    <row r="553" spans="2:25">
      <c r="B553" s="189" t="s">
        <v>14</v>
      </c>
      <c r="C553" s="190" t="s">
        <v>66</v>
      </c>
      <c r="D553" s="190">
        <v>5</v>
      </c>
      <c r="E553" s="191">
        <v>6</v>
      </c>
      <c r="F553" s="192">
        <v>44469</v>
      </c>
      <c r="G553" s="24">
        <v>655.38468284855935</v>
      </c>
      <c r="H553" s="24">
        <v>626.16899999999998</v>
      </c>
      <c r="I553" s="193">
        <v>141.6</v>
      </c>
      <c r="J553" s="194">
        <v>133.11999999999998</v>
      </c>
      <c r="K553" s="193">
        <v>145.5</v>
      </c>
      <c r="L553" s="194">
        <v>143.69</v>
      </c>
      <c r="M553" s="195">
        <f t="shared" si="301"/>
        <v>0.76215940464186083</v>
      </c>
      <c r="N553" s="195">
        <f t="shared" si="302"/>
        <v>0.73374117019348528</v>
      </c>
      <c r="O553" s="195">
        <f t="shared" si="303"/>
        <v>0.1820513007912665</v>
      </c>
      <c r="P553" s="195">
        <f t="shared" si="304"/>
        <v>0.17393583333333332</v>
      </c>
      <c r="Q553" s="195">
        <v>0.98499999999999999</v>
      </c>
      <c r="R553" s="195">
        <v>0.98985340157777801</v>
      </c>
      <c r="S553" s="196">
        <v>0.99</v>
      </c>
      <c r="T553" s="197">
        <v>0.9988866666666667</v>
      </c>
      <c r="U553" s="198">
        <v>1.4999999999999999E-2</v>
      </c>
      <c r="V553" s="197">
        <v>4.3E-3</v>
      </c>
      <c r="W553" s="198">
        <v>0</v>
      </c>
      <c r="X553" s="197">
        <v>0</v>
      </c>
      <c r="Y553" s="199">
        <f t="shared" si="300"/>
        <v>-3.2138052707636922E-2</v>
      </c>
    </row>
    <row r="554" spans="2:25">
      <c r="B554" s="189" t="s">
        <v>14</v>
      </c>
      <c r="C554" s="190" t="s">
        <v>66</v>
      </c>
      <c r="D554" s="190">
        <v>5</v>
      </c>
      <c r="E554" s="191">
        <v>6</v>
      </c>
      <c r="F554" s="192">
        <v>44500</v>
      </c>
      <c r="G554" s="24">
        <v>750.90292126284578</v>
      </c>
      <c r="H554" s="24">
        <v>719.39700000000005</v>
      </c>
      <c r="I554" s="193">
        <v>139.1</v>
      </c>
      <c r="J554" s="194">
        <v>133.1</v>
      </c>
      <c r="K554" s="193">
        <v>172.2</v>
      </c>
      <c r="L554" s="194">
        <v>163.27999999999997</v>
      </c>
      <c r="M554" s="195">
        <f t="shared" si="301"/>
        <v>0.73784164840281907</v>
      </c>
      <c r="N554" s="195">
        <f t="shared" si="302"/>
        <v>0.74769057039290987</v>
      </c>
      <c r="O554" s="195">
        <f t="shared" si="303"/>
        <v>0.20185562399538864</v>
      </c>
      <c r="P554" s="195">
        <f t="shared" si="304"/>
        <v>0.19338629032258065</v>
      </c>
      <c r="Q554" s="195">
        <v>0.98499999999999999</v>
      </c>
      <c r="R554" s="195">
        <v>0.98211530000000002</v>
      </c>
      <c r="S554" s="196">
        <v>0.99</v>
      </c>
      <c r="T554" s="197">
        <v>0.99908064516129025</v>
      </c>
      <c r="U554" s="198">
        <v>1.4999999999999999E-2</v>
      </c>
      <c r="V554" s="197">
        <v>1.5299999999999999E-2</v>
      </c>
      <c r="W554" s="198">
        <v>0</v>
      </c>
      <c r="X554" s="197">
        <v>0</v>
      </c>
      <c r="Y554" s="199">
        <f t="shared" si="300"/>
        <v>9.8428495549136574E-3</v>
      </c>
    </row>
    <row r="555" spans="2:25">
      <c r="B555" s="189" t="s">
        <v>14</v>
      </c>
      <c r="C555" s="190" t="s">
        <v>66</v>
      </c>
      <c r="D555" s="190">
        <v>5</v>
      </c>
      <c r="E555" s="191">
        <v>6</v>
      </c>
      <c r="F555" s="192">
        <v>44530</v>
      </c>
      <c r="G555" s="24">
        <v>664.72558313513002</v>
      </c>
      <c r="H555" s="24">
        <v>665.34900000000005</v>
      </c>
      <c r="I555" s="193">
        <v>108.1</v>
      </c>
      <c r="J555" s="194">
        <v>110.03999999999999</v>
      </c>
      <c r="K555" s="193">
        <v>152.1</v>
      </c>
      <c r="L555" s="194">
        <v>152.82</v>
      </c>
      <c r="M555" s="195">
        <f t="shared" si="301"/>
        <v>0.73947875054942036</v>
      </c>
      <c r="N555" s="195">
        <f t="shared" si="302"/>
        <v>0.7278181882383179</v>
      </c>
      <c r="O555" s="195">
        <f t="shared" si="303"/>
        <v>0.18464599531531389</v>
      </c>
      <c r="P555" s="195">
        <f t="shared" si="304"/>
        <v>0.1848191666666667</v>
      </c>
      <c r="Q555" s="195">
        <v>0.98499999999999999</v>
      </c>
      <c r="R555" s="195">
        <v>0.997</v>
      </c>
      <c r="S555" s="196">
        <v>0.99</v>
      </c>
      <c r="T555" s="197">
        <v>1</v>
      </c>
      <c r="U555" s="198">
        <v>1.4999999999999999E-2</v>
      </c>
      <c r="V555" s="197">
        <v>1.4E-2</v>
      </c>
      <c r="W555" s="198">
        <v>0</v>
      </c>
      <c r="X555" s="197">
        <v>0</v>
      </c>
      <c r="Y555" s="199">
        <f t="shared" si="300"/>
        <v>-3.7958718281421167E-3</v>
      </c>
    </row>
    <row r="556" spans="2:25">
      <c r="B556" s="189" t="s">
        <v>14</v>
      </c>
      <c r="C556" s="190" t="s">
        <v>66</v>
      </c>
      <c r="D556" s="190">
        <v>5</v>
      </c>
      <c r="E556" s="191">
        <v>6</v>
      </c>
      <c r="F556" s="192">
        <v>44561</v>
      </c>
      <c r="G556" s="24">
        <v>558.05852824977558</v>
      </c>
      <c r="H556" s="24">
        <v>550.42200000000003</v>
      </c>
      <c r="I556" s="193">
        <v>89.9</v>
      </c>
      <c r="J556" s="194">
        <v>87.910000000000025</v>
      </c>
      <c r="K556" s="193">
        <v>129.6</v>
      </c>
      <c r="L556" s="194">
        <v>124.42</v>
      </c>
      <c r="M556" s="195">
        <f t="shared" si="301"/>
        <v>0.72859681259240416</v>
      </c>
      <c r="N556" s="195">
        <f t="shared" si="302"/>
        <v>0.7387589230299052</v>
      </c>
      <c r="O556" s="195">
        <f t="shared" si="303"/>
        <v>0.1500157334004773</v>
      </c>
      <c r="P556" s="195">
        <f t="shared" si="304"/>
        <v>0.14796290322580646</v>
      </c>
      <c r="Q556" s="195">
        <v>0.98499999999999999</v>
      </c>
      <c r="R556" s="195">
        <v>0.99804838709677413</v>
      </c>
      <c r="S556" s="196">
        <v>0.99</v>
      </c>
      <c r="T556" s="197">
        <v>1</v>
      </c>
      <c r="U556" s="198">
        <v>1.4999999999999999E-2</v>
      </c>
      <c r="V556" s="197">
        <v>1.83E-2</v>
      </c>
      <c r="W556" s="198">
        <v>0</v>
      </c>
      <c r="X556" s="197">
        <v>0</v>
      </c>
      <c r="Y556" s="199">
        <f t="shared" si="300"/>
        <v>2.6285036620747437E-2</v>
      </c>
    </row>
    <row r="557" spans="2:25">
      <c r="B557" s="189" t="s">
        <v>14</v>
      </c>
      <c r="C557" s="190" t="s">
        <v>66</v>
      </c>
      <c r="D557" s="190">
        <v>5</v>
      </c>
      <c r="E557" s="191">
        <v>6</v>
      </c>
      <c r="F557" s="192">
        <v>44592</v>
      </c>
      <c r="G557" s="24">
        <v>469.8215969387121</v>
      </c>
      <c r="H557" s="24">
        <v>341.62799999999999</v>
      </c>
      <c r="I557" s="193">
        <v>79.599999999999994</v>
      </c>
      <c r="J557" s="194">
        <v>58.81</v>
      </c>
      <c r="K557" s="193">
        <v>103.2</v>
      </c>
      <c r="L557" s="194">
        <v>74.639999999999986</v>
      </c>
      <c r="M557" s="195">
        <f t="shared" si="301"/>
        <v>0.77031046599954112</v>
      </c>
      <c r="N557" s="195">
        <f t="shared" si="302"/>
        <v>0.76720802680315314</v>
      </c>
      <c r="O557" s="195">
        <f t="shared" si="303"/>
        <v>0.12629612820933123</v>
      </c>
      <c r="P557" s="195">
        <f t="shared" si="304"/>
        <v>9.1835483870967738E-2</v>
      </c>
      <c r="Q557" s="195">
        <v>0.98499999999999999</v>
      </c>
      <c r="R557" s="195">
        <v>0.99429999999999996</v>
      </c>
      <c r="S557" s="196">
        <v>0.99</v>
      </c>
      <c r="T557" s="197">
        <v>1</v>
      </c>
      <c r="U557" s="198">
        <v>1.4999999999999999E-2</v>
      </c>
      <c r="V557" s="197">
        <v>0</v>
      </c>
      <c r="W557" s="198">
        <v>0</v>
      </c>
      <c r="X557" s="197">
        <v>0</v>
      </c>
      <c r="Y557" s="199">
        <f t="shared" si="300"/>
        <v>3.8882812222069685E-3</v>
      </c>
    </row>
    <row r="558" spans="2:25">
      <c r="B558" s="189" t="s">
        <v>14</v>
      </c>
      <c r="C558" s="190" t="s">
        <v>66</v>
      </c>
      <c r="D558" s="190">
        <v>5</v>
      </c>
      <c r="E558" s="191">
        <v>6</v>
      </c>
      <c r="F558" s="192">
        <v>44620</v>
      </c>
      <c r="G558" s="24">
        <v>616.72985289734083</v>
      </c>
      <c r="H558" s="24">
        <v>637.90499999999997</v>
      </c>
      <c r="I558" s="193">
        <v>108.1</v>
      </c>
      <c r="J558" s="194">
        <v>113.94</v>
      </c>
      <c r="K558" s="193">
        <v>137.5</v>
      </c>
      <c r="L558" s="194">
        <v>144.71999999999997</v>
      </c>
      <c r="M558" s="195">
        <f t="shared" si="301"/>
        <v>0.75893536735559564</v>
      </c>
      <c r="N558" s="195">
        <f t="shared" si="302"/>
        <v>0.74603643576731238</v>
      </c>
      <c r="O558" s="195">
        <f t="shared" si="303"/>
        <v>0.18355055145754193</v>
      </c>
      <c r="P558" s="195">
        <f t="shared" si="304"/>
        <v>0.18985267857142857</v>
      </c>
      <c r="Q558" s="195">
        <v>0.98499999999999999</v>
      </c>
      <c r="R558" s="195">
        <v>0.98472771999999997</v>
      </c>
      <c r="S558" s="196">
        <v>0.99</v>
      </c>
      <c r="T558" s="197">
        <v>0.99790000000000001</v>
      </c>
      <c r="U558" s="198">
        <v>1.4999999999999999E-2</v>
      </c>
      <c r="V558" s="197">
        <v>1.17E-2</v>
      </c>
      <c r="W558" s="198">
        <v>0</v>
      </c>
      <c r="X558" s="197">
        <v>0</v>
      </c>
      <c r="Y558" s="199">
        <f t="shared" si="300"/>
        <v>-1.8174532588003611E-2</v>
      </c>
    </row>
    <row r="559" spans="2:25">
      <c r="B559" s="189" t="s">
        <v>14</v>
      </c>
      <c r="C559" s="190" t="s">
        <v>66</v>
      </c>
      <c r="D559" s="190">
        <v>5</v>
      </c>
      <c r="E559" s="191">
        <v>6</v>
      </c>
      <c r="F559" s="192">
        <v>44651</v>
      </c>
      <c r="G559" s="24">
        <v>827.19841551562104</v>
      </c>
      <c r="H559" s="24">
        <f>[1]Database!$I$426/1000</f>
        <v>777.89400000000001</v>
      </c>
      <c r="I559" s="193">
        <v>161.4</v>
      </c>
      <c r="J559" s="194">
        <v>169.10000000000002</v>
      </c>
      <c r="K559" s="193">
        <v>187.8</v>
      </c>
      <c r="L559" s="194">
        <v>191.58999999999992</v>
      </c>
      <c r="M559" s="195">
        <f t="shared" si="301"/>
        <v>0.74529228407981718</v>
      </c>
      <c r="N559" s="195">
        <f t="shared" si="302"/>
        <v>0.7177558817517159</v>
      </c>
      <c r="O559" s="195">
        <f t="shared" si="303"/>
        <v>0.22236516546118845</v>
      </c>
      <c r="P559" s="195">
        <f t="shared" si="304"/>
        <v>0.20911129032258063</v>
      </c>
      <c r="Q559" s="195">
        <v>0.98499999999999999</v>
      </c>
      <c r="R559" s="195">
        <v>0.94279999999999997</v>
      </c>
      <c r="S559" s="196">
        <v>0.99</v>
      </c>
      <c r="T559" s="197">
        <v>1</v>
      </c>
      <c r="U559" s="198">
        <v>1.4999999999999999E-2</v>
      </c>
      <c r="V559" s="197">
        <v>1.2835015978325461E-2</v>
      </c>
      <c r="W559" s="198">
        <v>0</v>
      </c>
      <c r="X559" s="197">
        <v>0</v>
      </c>
      <c r="Y559" s="199">
        <f t="shared" si="300"/>
        <v>-7.978514177442797E-2</v>
      </c>
    </row>
    <row r="560" spans="2:25">
      <c r="B560" s="189" t="s">
        <v>14</v>
      </c>
      <c r="C560" s="190" t="s">
        <v>66</v>
      </c>
      <c r="D560" s="190">
        <v>5</v>
      </c>
      <c r="E560" s="191">
        <v>6</v>
      </c>
      <c r="F560" s="192">
        <v>44681</v>
      </c>
      <c r="G560" s="24">
        <v>855.98044117282166</v>
      </c>
      <c r="H560" s="24">
        <v>758.02800000000002</v>
      </c>
      <c r="I560" s="193">
        <v>190.2</v>
      </c>
      <c r="J560" s="194">
        <v>180.85000000000002</v>
      </c>
      <c r="K560" s="193">
        <v>194</v>
      </c>
      <c r="L560" s="194">
        <v>185.76</v>
      </c>
      <c r="M560" s="195">
        <f t="shared" si="301"/>
        <v>0.74657704150995319</v>
      </c>
      <c r="N560" s="195">
        <f t="shared" si="302"/>
        <v>0.68879291650158059</v>
      </c>
      <c r="O560" s="195">
        <f t="shared" si="303"/>
        <v>0.23777234477022824</v>
      </c>
      <c r="P560" s="195">
        <f t="shared" si="304"/>
        <v>0.21056333333333335</v>
      </c>
      <c r="Q560" s="195">
        <v>0.98499999999999999</v>
      </c>
      <c r="R560" s="195">
        <v>0.98740000000000006</v>
      </c>
      <c r="S560" s="196">
        <v>0.99</v>
      </c>
      <c r="T560" s="197">
        <v>1</v>
      </c>
      <c r="U560" s="198">
        <v>1.4999999999999999E-2</v>
      </c>
      <c r="V560" s="197">
        <v>2.3199999999999998E-2</v>
      </c>
      <c r="W560" s="198">
        <v>0</v>
      </c>
      <c r="X560" s="197">
        <v>0</v>
      </c>
      <c r="Y560" s="199">
        <f t="shared" si="300"/>
        <v>-7.1958809818316039E-2</v>
      </c>
    </row>
    <row r="561" spans="2:25">
      <c r="B561" s="189" t="s">
        <v>14</v>
      </c>
      <c r="C561" s="190" t="s">
        <v>66</v>
      </c>
      <c r="D561" s="190">
        <v>5</v>
      </c>
      <c r="E561" s="191">
        <v>6</v>
      </c>
      <c r="F561" s="192">
        <v>44712</v>
      </c>
      <c r="G561" s="24">
        <v>867.37332632879702</v>
      </c>
      <c r="H561" s="24">
        <v>786.24900000000002</v>
      </c>
      <c r="I561" s="193">
        <v>197</v>
      </c>
      <c r="J561" s="194">
        <v>187.55</v>
      </c>
      <c r="K561" s="193">
        <v>197.7</v>
      </c>
      <c r="L561" s="194">
        <v>188.78000000000003</v>
      </c>
      <c r="M561" s="195">
        <f t="shared" si="301"/>
        <v>0.74235546888096093</v>
      </c>
      <c r="N561" s="195">
        <f t="shared" si="302"/>
        <v>0.71004512317407242</v>
      </c>
      <c r="O561" s="195">
        <f t="shared" si="303"/>
        <v>0.23316487266903146</v>
      </c>
      <c r="P561" s="195">
        <f t="shared" si="304"/>
        <v>0.21135725806451613</v>
      </c>
      <c r="Q561" s="195">
        <v>0.98499999999999999</v>
      </c>
      <c r="R561" s="195">
        <v>0.97761290322580663</v>
      </c>
      <c r="S561" s="196">
        <v>0.99</v>
      </c>
      <c r="T561" s="197">
        <v>1</v>
      </c>
      <c r="U561" s="198">
        <v>1.4999999999999999E-2</v>
      </c>
      <c r="V561" s="197">
        <v>7.9000000000000008E-3</v>
      </c>
      <c r="W561" s="198">
        <v>0</v>
      </c>
      <c r="X561" s="197">
        <v>0</v>
      </c>
      <c r="Y561" s="199">
        <f t="shared" si="300"/>
        <v>-4.8409863815421006E-2</v>
      </c>
    </row>
    <row r="562" spans="2:25">
      <c r="B562" s="189" t="s">
        <v>14</v>
      </c>
      <c r="C562" s="190" t="s">
        <v>66</v>
      </c>
      <c r="D562" s="190">
        <v>5</v>
      </c>
      <c r="E562" s="191">
        <v>6</v>
      </c>
      <c r="F562" s="192">
        <v>44742</v>
      </c>
      <c r="G562" s="24">
        <v>778.62874721909463</v>
      </c>
      <c r="H562" s="24">
        <v>719.577</v>
      </c>
      <c r="I562" s="193">
        <v>178.9</v>
      </c>
      <c r="J562" s="194">
        <v>169.21000000000006</v>
      </c>
      <c r="K562" s="193">
        <v>177.2</v>
      </c>
      <c r="L562" s="194">
        <v>169.51000000000002</v>
      </c>
      <c r="M562" s="195">
        <f t="shared" si="301"/>
        <v>0.74349702575797871</v>
      </c>
      <c r="N562" s="195">
        <f t="shared" si="302"/>
        <v>0.70875143009730124</v>
      </c>
      <c r="O562" s="195">
        <f t="shared" si="303"/>
        <v>0.21628576311641518</v>
      </c>
      <c r="P562" s="195">
        <f t="shared" si="304"/>
        <v>0.19988250000000002</v>
      </c>
      <c r="Q562" s="195">
        <v>0.98499999999999999</v>
      </c>
      <c r="R562" s="195">
        <v>0.99824409757777766</v>
      </c>
      <c r="S562" s="196">
        <v>0.99</v>
      </c>
      <c r="T562" s="197">
        <v>0.99920666666666658</v>
      </c>
      <c r="U562" s="198">
        <v>1.4999999999999999E-2</v>
      </c>
      <c r="V562" s="197">
        <v>1.3899999999999999E-2</v>
      </c>
      <c r="W562" s="198">
        <v>0</v>
      </c>
      <c r="X562" s="197">
        <v>0</v>
      </c>
      <c r="Y562" s="199">
        <f t="shared" si="300"/>
        <v>-3.2443406221990601E-2</v>
      </c>
    </row>
    <row r="563" spans="2:25">
      <c r="B563" s="189" t="s">
        <v>14</v>
      </c>
      <c r="C563" s="190" t="s">
        <v>66</v>
      </c>
      <c r="D563" s="190">
        <v>5</v>
      </c>
      <c r="E563" s="191">
        <v>6</v>
      </c>
      <c r="F563" s="192">
        <v>44773</v>
      </c>
      <c r="G563" s="24">
        <v>689.28454257486749</v>
      </c>
      <c r="H563" s="24">
        <v>670.21500000000003</v>
      </c>
      <c r="I563" s="193">
        <v>155.5</v>
      </c>
      <c r="J563" s="194">
        <v>150.62999999999997</v>
      </c>
      <c r="K563" s="193">
        <v>154.6</v>
      </c>
      <c r="L563" s="194">
        <v>152.83999999999997</v>
      </c>
      <c r="M563" s="195">
        <f t="shared" si="301"/>
        <v>0.754399807565036</v>
      </c>
      <c r="N563" s="195">
        <f t="shared" si="302"/>
        <v>0.75429733003968824</v>
      </c>
      <c r="O563" s="195">
        <f t="shared" si="303"/>
        <v>0.18529154370292136</v>
      </c>
      <c r="P563" s="195">
        <f t="shared" si="304"/>
        <v>0.18016532258064516</v>
      </c>
      <c r="Q563" s="195">
        <v>0.98499999999999999</v>
      </c>
      <c r="R563" s="195">
        <v>0.96890967741935474</v>
      </c>
      <c r="S563" s="196">
        <v>0.99</v>
      </c>
      <c r="T563" s="197">
        <v>1</v>
      </c>
      <c r="U563" s="198">
        <v>1.4999999999999999E-2</v>
      </c>
      <c r="V563" s="197">
        <v>6.1999999999999998E-3</v>
      </c>
      <c r="W563" s="198">
        <v>0</v>
      </c>
      <c r="X563" s="197">
        <v>0</v>
      </c>
      <c r="Y563" s="199">
        <f t="shared" si="300"/>
        <v>-1.6281487315203957E-2</v>
      </c>
    </row>
    <row r="564" spans="2:25">
      <c r="B564" s="189" t="s">
        <v>14</v>
      </c>
      <c r="C564" s="190" t="s">
        <v>66</v>
      </c>
      <c r="D564" s="190">
        <v>5</v>
      </c>
      <c r="E564" s="191">
        <v>6</v>
      </c>
      <c r="F564" s="192">
        <v>44804</v>
      </c>
      <c r="G564" s="24">
        <v>654.2064488051542</v>
      </c>
      <c r="H564" s="24">
        <v>713.78099999999995</v>
      </c>
      <c r="I564" s="193">
        <v>145.4</v>
      </c>
      <c r="J564" s="194">
        <v>160.46</v>
      </c>
      <c r="K564" s="193">
        <v>146.30000000000001</v>
      </c>
      <c r="L564" s="194">
        <v>163.84</v>
      </c>
      <c r="M564" s="195">
        <f t="shared" si="301"/>
        <v>0.75662905395139224</v>
      </c>
      <c r="N564" s="195">
        <f t="shared" si="302"/>
        <v>0.74603641238707208</v>
      </c>
      <c r="O564" s="195">
        <f t="shared" si="303"/>
        <v>0.17586194860353604</v>
      </c>
      <c r="P564" s="195">
        <f t="shared" si="304"/>
        <v>0.1918766129032258</v>
      </c>
      <c r="Q564" s="195">
        <v>0.98499999999999999</v>
      </c>
      <c r="R564" s="195">
        <v>0.97327096774193556</v>
      </c>
      <c r="S564" s="196">
        <v>0.99</v>
      </c>
      <c r="T564" s="197">
        <v>1</v>
      </c>
      <c r="U564" s="198">
        <v>1.4999999999999999E-2</v>
      </c>
      <c r="V564" s="197">
        <v>1.2E-2</v>
      </c>
      <c r="W564" s="198">
        <v>0</v>
      </c>
      <c r="X564" s="197">
        <v>0</v>
      </c>
      <c r="Y564" s="199">
        <f t="shared" si="300"/>
        <v>-2.8826795964598917E-2</v>
      </c>
    </row>
    <row r="565" spans="2:25">
      <c r="B565" s="189" t="s">
        <v>14</v>
      </c>
      <c r="C565" s="190" t="s">
        <v>66</v>
      </c>
      <c r="D565" s="190">
        <v>5</v>
      </c>
      <c r="E565" s="191">
        <v>6</v>
      </c>
      <c r="F565" s="192">
        <v>44834</v>
      </c>
      <c r="G565" s="24">
        <v>652.10775943431656</v>
      </c>
      <c r="H565" s="24">
        <v>597.06299999999999</v>
      </c>
      <c r="I565" s="193">
        <v>141.6</v>
      </c>
      <c r="J565" s="194">
        <v>130.42000000000002</v>
      </c>
      <c r="K565" s="193">
        <v>145.5</v>
      </c>
      <c r="L565" s="194">
        <v>138.44000000000003</v>
      </c>
      <c r="M565" s="195">
        <f t="shared" si="301"/>
        <v>0.75834860761865153</v>
      </c>
      <c r="N565" s="195">
        <f t="shared" si="302"/>
        <v>0.72696989925210653</v>
      </c>
      <c r="O565" s="195">
        <f t="shared" si="303"/>
        <v>0.18114104428731015</v>
      </c>
      <c r="P565" s="195">
        <f t="shared" si="304"/>
        <v>0.16585083333333334</v>
      </c>
      <c r="Q565" s="195">
        <v>0.98499999999999999</v>
      </c>
      <c r="R565" s="195">
        <v>0.98876000000000019</v>
      </c>
      <c r="S565" s="196">
        <v>0.99</v>
      </c>
      <c r="T565" s="197">
        <v>1</v>
      </c>
      <c r="U565" s="198">
        <v>1.4999999999999999E-2</v>
      </c>
      <c r="V565" s="197">
        <v>9.2999999999999992E-3</v>
      </c>
      <c r="W565" s="198">
        <v>0</v>
      </c>
      <c r="X565" s="197">
        <v>0</v>
      </c>
      <c r="Y565" s="199">
        <f t="shared" si="300"/>
        <v>-3.5888189923047209E-2</v>
      </c>
    </row>
    <row r="566" spans="2:25">
      <c r="B566" s="189" t="s">
        <v>14</v>
      </c>
      <c r="C566" s="190" t="s">
        <v>66</v>
      </c>
      <c r="D566" s="190">
        <v>5</v>
      </c>
      <c r="E566" s="191">
        <v>6</v>
      </c>
      <c r="F566" s="192">
        <v>44865</v>
      </c>
      <c r="G566" s="24">
        <v>747.14840665653151</v>
      </c>
      <c r="H566" s="24">
        <v>691.43100000000004</v>
      </c>
      <c r="I566" s="193">
        <v>139.1</v>
      </c>
      <c r="J566" s="194">
        <v>131.51999999999998</v>
      </c>
      <c r="K566" s="193">
        <v>172.2</v>
      </c>
      <c r="L566" s="194">
        <v>161.66999999999999</v>
      </c>
      <c r="M566" s="195">
        <f t="shared" si="301"/>
        <v>0.73415244016080494</v>
      </c>
      <c r="N566" s="195">
        <f t="shared" si="302"/>
        <v>0.7171941596044592</v>
      </c>
      <c r="O566" s="195">
        <f t="shared" si="303"/>
        <v>0.20084634587541167</v>
      </c>
      <c r="P566" s="195">
        <f t="shared" si="304"/>
        <v>0.18586854838709679</v>
      </c>
      <c r="Q566" s="195">
        <v>0.98499999999999999</v>
      </c>
      <c r="R566" s="195">
        <v>0.99387419354838702</v>
      </c>
      <c r="S566" s="196">
        <v>0.99</v>
      </c>
      <c r="T566" s="197">
        <v>0.99724193548387097</v>
      </c>
      <c r="U566" s="198">
        <v>1.4999999999999999E-2</v>
      </c>
      <c r="V566" s="197">
        <v>1.6071568214886801E-2</v>
      </c>
      <c r="W566" s="198">
        <v>0</v>
      </c>
      <c r="X566" s="197">
        <v>0</v>
      </c>
      <c r="Y566" s="199">
        <f t="shared" si="300"/>
        <v>-1.3423587155319772E-2</v>
      </c>
    </row>
    <row r="567" spans="2:25">
      <c r="B567" s="189" t="s">
        <v>14</v>
      </c>
      <c r="C567" s="190" t="s">
        <v>66</v>
      </c>
      <c r="D567" s="190">
        <v>5</v>
      </c>
      <c r="E567" s="191">
        <v>6</v>
      </c>
      <c r="F567" s="192">
        <v>44895</v>
      </c>
      <c r="G567" s="24">
        <v>661.40195521945441</v>
      </c>
      <c r="H567" s="24">
        <v>590.12099999999998</v>
      </c>
      <c r="I567" s="193">
        <v>108.1</v>
      </c>
      <c r="J567" s="194">
        <v>100.87</v>
      </c>
      <c r="K567" s="193">
        <v>152.1</v>
      </c>
      <c r="L567" s="194">
        <v>138.27000000000001</v>
      </c>
      <c r="M567" s="195">
        <f t="shared" si="301"/>
        <v>0.73578135679667334</v>
      </c>
      <c r="N567" s="195">
        <f t="shared" si="302"/>
        <v>0.71203634899970492</v>
      </c>
      <c r="O567" s="195">
        <f t="shared" si="303"/>
        <v>0.18372276533873733</v>
      </c>
      <c r="P567" s="195">
        <f t="shared" si="304"/>
        <v>0.1639225</v>
      </c>
      <c r="Q567" s="195">
        <v>0.98499999999999999</v>
      </c>
      <c r="R567" s="195">
        <v>0.99898666666666669</v>
      </c>
      <c r="S567" s="196">
        <v>0.99</v>
      </c>
      <c r="T567" s="197">
        <v>1</v>
      </c>
      <c r="U567" s="198">
        <v>1.4999999999999999E-2</v>
      </c>
      <c r="V567" s="197">
        <v>2.47E-2</v>
      </c>
      <c r="W567" s="198">
        <v>0</v>
      </c>
      <c r="X567" s="197">
        <v>0</v>
      </c>
      <c r="Y567" s="199">
        <f t="shared" si="300"/>
        <v>-1.6845497959821709E-2</v>
      </c>
    </row>
    <row r="568" spans="2:25">
      <c r="B568" s="189" t="s">
        <v>14</v>
      </c>
      <c r="C568" s="190" t="s">
        <v>66</v>
      </c>
      <c r="D568" s="190">
        <v>5</v>
      </c>
      <c r="E568" s="191">
        <v>6</v>
      </c>
      <c r="F568" s="192">
        <v>44926</v>
      </c>
      <c r="G568" s="24">
        <v>555.26823560852665</v>
      </c>
      <c r="H568" s="24">
        <v>515.71199999999999</v>
      </c>
      <c r="I568" s="193">
        <v>89.9</v>
      </c>
      <c r="J568" s="194">
        <v>84.870000000000033</v>
      </c>
      <c r="K568" s="193">
        <v>129.6</v>
      </c>
      <c r="L568" s="194">
        <v>120.86</v>
      </c>
      <c r="M568" s="195">
        <f t="shared" si="301"/>
        <v>0.72495382852944201</v>
      </c>
      <c r="N568" s="195">
        <f t="shared" si="302"/>
        <v>0.71908451765007964</v>
      </c>
      <c r="O568" s="195">
        <f t="shared" si="303"/>
        <v>0.14926565473347492</v>
      </c>
      <c r="P568" s="195">
        <f t="shared" si="304"/>
        <v>0.13863225806451612</v>
      </c>
      <c r="Q568" s="195">
        <v>0.98499999999999999</v>
      </c>
      <c r="R568" s="195">
        <v>0.98899354838709685</v>
      </c>
      <c r="S568" s="196">
        <v>0.99</v>
      </c>
      <c r="T568" s="197">
        <v>1</v>
      </c>
      <c r="U568" s="198">
        <v>1.4999999999999999E-2</v>
      </c>
      <c r="V568" s="197">
        <v>1.84E-2</v>
      </c>
      <c r="W568" s="198">
        <v>0</v>
      </c>
      <c r="X568" s="197">
        <v>0</v>
      </c>
      <c r="Y568" s="199">
        <f t="shared" si="300"/>
        <v>-3.7997951020045662E-3</v>
      </c>
    </row>
    <row r="569" spans="2:25">
      <c r="B569" s="189" t="s">
        <v>14</v>
      </c>
      <c r="C569" s="190" t="s">
        <v>66</v>
      </c>
      <c r="D569" s="190">
        <v>5</v>
      </c>
      <c r="E569" s="191">
        <v>6</v>
      </c>
      <c r="F569" s="192">
        <v>44957</v>
      </c>
      <c r="G569" s="24">
        <v>467.47248895401856</v>
      </c>
      <c r="H569" s="24">
        <v>383.50799999999998</v>
      </c>
      <c r="I569" s="193">
        <v>79.599999999999994</v>
      </c>
      <c r="J569" s="194">
        <v>66.399999999999991</v>
      </c>
      <c r="K569" s="193">
        <v>103.2</v>
      </c>
      <c r="L569" s="194">
        <v>87.009999999999962</v>
      </c>
      <c r="M569" s="195">
        <f t="shared" si="301"/>
        <v>0.76645891366954344</v>
      </c>
      <c r="N569" s="195">
        <f t="shared" si="302"/>
        <v>0.74531857118853018</v>
      </c>
      <c r="O569" s="195">
        <f t="shared" si="303"/>
        <v>0.12566464756828455</v>
      </c>
      <c r="P569" s="195">
        <f t="shared" si="304"/>
        <v>0.10309354838709676</v>
      </c>
      <c r="Q569" s="195">
        <v>0.98499999999999999</v>
      </c>
      <c r="R569" s="195">
        <v>0.9856258064516128</v>
      </c>
      <c r="S569" s="196">
        <v>0.99</v>
      </c>
      <c r="T569" s="197">
        <v>0.99762580645161292</v>
      </c>
      <c r="U569" s="198">
        <v>1.4999999999999999E-2</v>
      </c>
      <c r="V569" s="197">
        <v>1.11E-2</v>
      </c>
      <c r="W569" s="198">
        <v>0</v>
      </c>
      <c r="X569" s="197">
        <v>0</v>
      </c>
      <c r="Y569" s="199">
        <f t="shared" si="300"/>
        <v>-2.2733909725994983E-2</v>
      </c>
    </row>
    <row r="570" spans="2:25">
      <c r="B570" s="189" t="s">
        <v>14</v>
      </c>
      <c r="C570" s="190" t="s">
        <v>66</v>
      </c>
      <c r="D570" s="190">
        <v>5</v>
      </c>
      <c r="E570" s="191">
        <v>6</v>
      </c>
      <c r="F570" s="192">
        <f>EOMONTH(F569,1)</f>
        <v>44985</v>
      </c>
      <c r="G570" s="24">
        <v>613.64620363285405</v>
      </c>
      <c r="H570" s="24">
        <v>636.99300000000005</v>
      </c>
      <c r="I570" s="193">
        <v>108.1</v>
      </c>
      <c r="J570" s="194">
        <v>117.49000000000004</v>
      </c>
      <c r="K570" s="193">
        <v>137.5</v>
      </c>
      <c r="L570" s="194">
        <v>150.66</v>
      </c>
      <c r="M570" s="195">
        <f t="shared" si="301"/>
        <v>0.75514069051881749</v>
      </c>
      <c r="N570" s="195">
        <f t="shared" si="302"/>
        <v>0.70787151611554744</v>
      </c>
      <c r="O570" s="195">
        <f t="shared" si="303"/>
        <v>0.18263279870025417</v>
      </c>
      <c r="P570" s="195">
        <f t="shared" si="304"/>
        <v>0.18958125000000001</v>
      </c>
      <c r="Q570" s="195">
        <v>0.98499999999999999</v>
      </c>
      <c r="R570" s="195">
        <v>0.99547649306122443</v>
      </c>
      <c r="S570" s="196">
        <v>0.99</v>
      </c>
      <c r="T570" s="197">
        <v>0.99800357142857143</v>
      </c>
      <c r="U570" s="198">
        <v>1.4999999999999999E-2</v>
      </c>
      <c r="V570" s="197">
        <v>1.72E-2</v>
      </c>
      <c r="W570" s="198">
        <v>0</v>
      </c>
      <c r="X570" s="197">
        <v>0</v>
      </c>
      <c r="Y570" s="199">
        <f t="shared" si="300"/>
        <v>-5.7663069881126683E-2</v>
      </c>
    </row>
    <row r="571" spans="2:25">
      <c r="B571" s="189" t="s">
        <v>14</v>
      </c>
      <c r="C571" s="190" t="s">
        <v>66</v>
      </c>
      <c r="D571" s="190">
        <v>5</v>
      </c>
      <c r="E571" s="191">
        <v>6</v>
      </c>
      <c r="F571" s="192">
        <f>EOMONTH(F570,1)</f>
        <v>45016</v>
      </c>
      <c r="G571" s="24">
        <f>UTT!Y592</f>
        <v>823.06242343804297</v>
      </c>
      <c r="H571" s="24">
        <f>UTT!Z592</f>
        <v>743.43</v>
      </c>
      <c r="I571" s="24">
        <f>UTT!AA592</f>
        <v>161.4</v>
      </c>
      <c r="J571" s="24">
        <f>UTT!AB592</f>
        <v>150.26999999999998</v>
      </c>
      <c r="K571" s="24">
        <f>UTT!AC592</f>
        <v>187.8</v>
      </c>
      <c r="L571" s="24">
        <f>UTT!AD592</f>
        <v>171.93999999999997</v>
      </c>
      <c r="M571" s="195">
        <f>G571/E571/K571/Q571</f>
        <v>0.74156582265941828</v>
      </c>
      <c r="N571" s="195">
        <f>H571/E571/L571/R571</f>
        <v>0.72325165982128037</v>
      </c>
      <c r="O571" s="195">
        <f>G571/24/DAY(F571)/D571</f>
        <v>0.22125333963388255</v>
      </c>
      <c r="P571" s="195">
        <f>H571/24/DAY(F571)/D571</f>
        <v>0.19984677419354838</v>
      </c>
      <c r="Q571" s="195">
        <f>UTT!AI592</f>
        <v>0.98499999999999999</v>
      </c>
      <c r="R571" s="195">
        <f>UTT!AJ592</f>
        <v>0.99637419354838708</v>
      </c>
      <c r="S571" s="195">
        <f>UTT!AK592</f>
        <v>0.99</v>
      </c>
      <c r="T571" s="195">
        <f>UTT!AL592</f>
        <v>1</v>
      </c>
      <c r="U571" s="198">
        <v>1.4999999999999999E-2</v>
      </c>
      <c r="V571" s="195">
        <f>UTT!AR592</f>
        <v>-1.2800000000000001E-2</v>
      </c>
      <c r="W571" s="198">
        <v>0</v>
      </c>
      <c r="X571" s="197">
        <v>0</v>
      </c>
      <c r="Y571" s="199">
        <f>(H571/G571-1)-(L571/K571-1)</f>
        <v>-1.2299833549379247E-2</v>
      </c>
    </row>
    <row r="572" spans="2:25">
      <c r="B572" s="189" t="s">
        <v>14</v>
      </c>
      <c r="C572" s="190" t="s">
        <v>66</v>
      </c>
      <c r="D572" s="190">
        <v>5</v>
      </c>
      <c r="E572" s="191">
        <v>6</v>
      </c>
      <c r="F572" s="192">
        <f t="shared" ref="F572:F584" si="305">F471</f>
        <v>45046</v>
      </c>
      <c r="G572" s="24">
        <f>UTT!Y593</f>
        <v>851.70053896695765</v>
      </c>
      <c r="H572" s="24">
        <f>UTT!Z593</f>
        <v>790.79100000000005</v>
      </c>
      <c r="I572" s="24">
        <f>UTT!AA593</f>
        <v>190.2</v>
      </c>
      <c r="J572" s="24">
        <f>UTT!AB593</f>
        <v>184.35000000000002</v>
      </c>
      <c r="K572" s="24">
        <f>UTT!AC593</f>
        <v>194</v>
      </c>
      <c r="L572" s="24">
        <f>UTT!AD593</f>
        <v>189.76</v>
      </c>
      <c r="M572" s="195">
        <f>G572/E572/K572/Q572</f>
        <v>0.74284415630240352</v>
      </c>
      <c r="N572" s="195">
        <f>H572/E572/L572/R572</f>
        <v>0.70973729320425227</v>
      </c>
      <c r="O572" s="195">
        <f>G572/24/DAY(F572)/D572</f>
        <v>0.23658348304637711</v>
      </c>
      <c r="P572" s="195">
        <f>H572/24/DAY(F572)/D572</f>
        <v>0.21966416666666669</v>
      </c>
      <c r="Q572" s="195">
        <f>UTT!AI593</f>
        <v>0.98499999999999999</v>
      </c>
      <c r="R572" s="195">
        <f>UTT!AJ593</f>
        <v>0.97860666666666662</v>
      </c>
      <c r="S572" s="195">
        <f>UTT!AK593</f>
        <v>0.99</v>
      </c>
      <c r="T572" s="195">
        <f>UTT!AL593</f>
        <v>1</v>
      </c>
      <c r="U572" s="198">
        <v>1.4999999999999999E-2</v>
      </c>
      <c r="V572" s="195">
        <f>UTT!AR593</f>
        <v>-2.5223318291769575E-2</v>
      </c>
      <c r="W572" s="198">
        <v>0</v>
      </c>
      <c r="X572" s="197">
        <v>0</v>
      </c>
      <c r="Y572" s="199">
        <f>(H572/G572-1)-(L572/K572-1)</f>
        <v>-4.9659535277469469E-2</v>
      </c>
    </row>
    <row r="573" spans="2:25">
      <c r="B573" s="189" t="s">
        <v>14</v>
      </c>
      <c r="C573" s="190" t="s">
        <v>66</v>
      </c>
      <c r="D573" s="190">
        <v>5</v>
      </c>
      <c r="E573" s="191">
        <v>6</v>
      </c>
      <c r="F573" s="192">
        <f t="shared" si="305"/>
        <v>45077</v>
      </c>
      <c r="G573" s="24">
        <f>UTT!Y594</f>
        <v>863.03645969715308</v>
      </c>
      <c r="H573" s="24">
        <f>UTT!Z594</f>
        <v>741.34799999999996</v>
      </c>
      <c r="I573" s="24">
        <f>UTT!AA594</f>
        <v>197</v>
      </c>
      <c r="J573" s="24">
        <f>UTT!AB594</f>
        <v>191.15000000000003</v>
      </c>
      <c r="K573" s="24">
        <f>UTT!AC594</f>
        <v>197.7</v>
      </c>
      <c r="L573" s="24">
        <f>UTT!AD594</f>
        <v>192.21999999999997</v>
      </c>
      <c r="M573" s="195">
        <f t="shared" ref="M573:M582" si="306">G573/E573/K573/Q573</f>
        <v>0.73864369153655629</v>
      </c>
      <c r="N573" s="195">
        <f t="shared" ref="N573:N582" si="307">H573/E573/L573/R573</f>
        <v>0.69935490154045776</v>
      </c>
      <c r="O573" s="195">
        <f t="shared" ref="O573:O582" si="308">G573/24/DAY(F573)/D573</f>
        <v>0.23199904830568632</v>
      </c>
      <c r="P573" s="195">
        <f t="shared" ref="P573:P582" si="309">H573/24/DAY(F573)/D573</f>
        <v>0.19928709677419354</v>
      </c>
      <c r="Q573" s="195">
        <f>UTT!AI594</f>
        <v>0.98499999999999999</v>
      </c>
      <c r="R573" s="195">
        <f>UTT!AJ594</f>
        <v>0.9191252009157127</v>
      </c>
      <c r="S573" s="195">
        <f>UTT!AK594</f>
        <v>0.99</v>
      </c>
      <c r="T573" s="195">
        <f>UTT!AL594</f>
        <v>0.99364193548387103</v>
      </c>
      <c r="U573" s="198">
        <v>1.4999999999999999E-2</v>
      </c>
      <c r="V573" s="195">
        <f>UTT!AR594</f>
        <v>-1.52E-2</v>
      </c>
      <c r="W573" s="198">
        <v>0</v>
      </c>
      <c r="X573" s="197">
        <v>0</v>
      </c>
      <c r="Y573" s="199">
        <f t="shared" ref="Y573:Y582" si="310">(H573/G573-1)-(L573/K573-1)</f>
        <v>-0.11328160367918161</v>
      </c>
    </row>
    <row r="574" spans="2:25">
      <c r="B574" s="189" t="s">
        <v>14</v>
      </c>
      <c r="C574" s="190" t="s">
        <v>66</v>
      </c>
      <c r="D574" s="190">
        <v>5</v>
      </c>
      <c r="E574" s="191">
        <v>6</v>
      </c>
      <c r="F574" s="192">
        <f t="shared" si="305"/>
        <v>45107</v>
      </c>
      <c r="G574" s="24">
        <f>UTT!Y595</f>
        <v>774.73560348299918</v>
      </c>
      <c r="H574" s="24">
        <f>UTT!Z595</f>
        <v>717.77099999999996</v>
      </c>
      <c r="I574" s="24">
        <f>UTT!AA595</f>
        <v>178.9</v>
      </c>
      <c r="J574" s="24">
        <f>UTT!AB595</f>
        <v>171.63000000000002</v>
      </c>
      <c r="K574" s="24">
        <f>UTT!AC595</f>
        <v>177.2</v>
      </c>
      <c r="L574" s="24">
        <f>UTT!AD595</f>
        <v>169.80999999999995</v>
      </c>
      <c r="M574" s="195">
        <f t="shared" si="306"/>
        <v>0.73977954062918883</v>
      </c>
      <c r="N574" s="195">
        <f t="shared" si="307"/>
        <v>0.71147825501453332</v>
      </c>
      <c r="O574" s="195">
        <f t="shared" si="308"/>
        <v>0.21520433430083311</v>
      </c>
      <c r="P574" s="195">
        <f t="shared" si="309"/>
        <v>0.19938083333333331</v>
      </c>
      <c r="Q574" s="195">
        <f>UTT!AI595</f>
        <v>0.98499999999999999</v>
      </c>
      <c r="R574" s="195">
        <f>UTT!AJ595</f>
        <v>0.99017000000000011</v>
      </c>
      <c r="S574" s="195">
        <f>UTT!AK595</f>
        <v>0.99</v>
      </c>
      <c r="T574" s="195">
        <f>UTT!AL595</f>
        <v>1</v>
      </c>
      <c r="U574" s="198">
        <v>1.4999999999999999E-2</v>
      </c>
      <c r="V574" s="195">
        <f>UTT!AR595</f>
        <v>-1.5599999999999999E-2</v>
      </c>
      <c r="W574" s="198">
        <v>0</v>
      </c>
      <c r="X574" s="197">
        <v>0</v>
      </c>
      <c r="Y574" s="199">
        <f t="shared" si="310"/>
        <v>-3.1823509740783851E-2</v>
      </c>
    </row>
    <row r="575" spans="2:25">
      <c r="B575" s="189" t="s">
        <v>14</v>
      </c>
      <c r="C575" s="190" t="s">
        <v>66</v>
      </c>
      <c r="D575" s="190">
        <v>5</v>
      </c>
      <c r="E575" s="191">
        <v>6</v>
      </c>
      <c r="F575" s="192">
        <f t="shared" si="305"/>
        <v>45138</v>
      </c>
      <c r="G575" s="24">
        <f>UTT!Y596</f>
        <v>685.83811986199316</v>
      </c>
      <c r="H575" s="24">
        <f>UTT!Z596</f>
        <v>565.95599999999865</v>
      </c>
      <c r="I575" s="24">
        <f>UTT!AA596</f>
        <v>155.5</v>
      </c>
      <c r="J575" s="24">
        <f>UTT!AB596</f>
        <v>140.13</v>
      </c>
      <c r="K575" s="24">
        <f>UTT!AC596</f>
        <v>154.6</v>
      </c>
      <c r="L575" s="24">
        <f>UTT!AD596</f>
        <v>140.33000000000001</v>
      </c>
      <c r="M575" s="195">
        <f t="shared" si="306"/>
        <v>0.75062780852721089</v>
      </c>
      <c r="N575" s="195">
        <f t="shared" si="307"/>
        <v>0.70656896895406451</v>
      </c>
      <c r="O575" s="195">
        <f t="shared" si="308"/>
        <v>0.18436508598440676</v>
      </c>
      <c r="P575" s="195">
        <f t="shared" si="309"/>
        <v>0.15213870967741899</v>
      </c>
      <c r="Q575" s="195">
        <f>UTT!AI596</f>
        <v>0.98499999999999999</v>
      </c>
      <c r="R575" s="195">
        <f>UTT!AJ596</f>
        <v>0.95131935483870966</v>
      </c>
      <c r="S575" s="195">
        <f>UTT!AK596</f>
        <v>0.99</v>
      </c>
      <c r="T575" s="195">
        <f>UTT!AL596</f>
        <v>1</v>
      </c>
      <c r="U575" s="198">
        <v>1.4999999999999999E-2</v>
      </c>
      <c r="V575" s="195">
        <f>UTT!AR596</f>
        <v>0</v>
      </c>
      <c r="W575" s="198">
        <v>0</v>
      </c>
      <c r="X575" s="197">
        <v>0</v>
      </c>
      <c r="Y575" s="199">
        <f t="shared" si="310"/>
        <v>-8.2493808016636638E-2</v>
      </c>
    </row>
    <row r="576" spans="2:25">
      <c r="B576" s="189" t="s">
        <v>14</v>
      </c>
      <c r="C576" s="190" t="s">
        <v>66</v>
      </c>
      <c r="D576" s="190">
        <v>5</v>
      </c>
      <c r="E576" s="191">
        <v>6</v>
      </c>
      <c r="F576" s="192">
        <f t="shared" si="305"/>
        <v>45169</v>
      </c>
      <c r="G576" s="24">
        <f>UTT!Y597</f>
        <v>650.93541656112848</v>
      </c>
      <c r="H576" s="24">
        <f>UTT!Z597</f>
        <v>558.75599999999997</v>
      </c>
      <c r="I576" s="24">
        <f>UTT!AA597</f>
        <v>145.4</v>
      </c>
      <c r="J576" s="24">
        <f>UTT!AB597</f>
        <v>134.40999999999997</v>
      </c>
      <c r="K576" s="24">
        <f>UTT!AC597</f>
        <v>146.30000000000001</v>
      </c>
      <c r="L576" s="24">
        <f>UTT!AD597</f>
        <v>135.88999999999996</v>
      </c>
      <c r="M576" s="195">
        <f t="shared" si="306"/>
        <v>0.75284590868163537</v>
      </c>
      <c r="N576" s="195">
        <f t="shared" si="307"/>
        <v>0.72159590899997006</v>
      </c>
      <c r="O576" s="195">
        <f t="shared" si="308"/>
        <v>0.1749826388605184</v>
      </c>
      <c r="P576" s="195">
        <f t="shared" si="309"/>
        <v>0.1502032258064516</v>
      </c>
      <c r="Q576" s="195">
        <f>UTT!AI597</f>
        <v>0.98499999999999999</v>
      </c>
      <c r="R576" s="195">
        <f>UTT!AJ597</f>
        <v>0.94970645161290301</v>
      </c>
      <c r="S576" s="195">
        <f>UTT!AK597</f>
        <v>0.99</v>
      </c>
      <c r="T576" s="195">
        <f>UTT!AL597</f>
        <v>1</v>
      </c>
      <c r="U576" s="198">
        <v>1.4999999999999999E-2</v>
      </c>
      <c r="V576" s="195">
        <f>UTT!AR597</f>
        <v>-6.0000000000000001E-3</v>
      </c>
      <c r="W576" s="198">
        <v>0</v>
      </c>
      <c r="X576" s="197">
        <v>0</v>
      </c>
      <c r="Y576" s="199">
        <f t="shared" si="310"/>
        <v>-7.0455534097383588E-2</v>
      </c>
    </row>
    <row r="577" spans="2:25">
      <c r="B577" s="189" t="s">
        <v>14</v>
      </c>
      <c r="C577" s="190" t="s">
        <v>66</v>
      </c>
      <c r="D577" s="190">
        <v>5</v>
      </c>
      <c r="E577" s="191">
        <v>6</v>
      </c>
      <c r="F577" s="192">
        <f t="shared" si="305"/>
        <v>45199</v>
      </c>
      <c r="G577" s="24">
        <f>UTT!Y598</f>
        <v>648.84722063714503</v>
      </c>
      <c r="H577" s="24">
        <f>UTT!Z598</f>
        <v>646.21500000000003</v>
      </c>
      <c r="I577" s="24">
        <f>UTT!AA598</f>
        <v>141.6</v>
      </c>
      <c r="J577" s="24">
        <f>UTT!AB598</f>
        <v>140.84999999999997</v>
      </c>
      <c r="K577" s="24">
        <f>UTT!AC598</f>
        <v>145.5</v>
      </c>
      <c r="L577" s="24">
        <f>UTT!AD598</f>
        <v>151.80000000000001</v>
      </c>
      <c r="M577" s="195">
        <f t="shared" si="306"/>
        <v>0.75455686458055848</v>
      </c>
      <c r="N577" s="195">
        <f t="shared" si="307"/>
        <v>0.71981762156311246</v>
      </c>
      <c r="O577" s="195">
        <f t="shared" si="308"/>
        <v>0.18023533906587363</v>
      </c>
      <c r="P577" s="195">
        <f t="shared" si="309"/>
        <v>0.17950416666666666</v>
      </c>
      <c r="Q577" s="195">
        <f>UTT!AI598</f>
        <v>0.98499999999999999</v>
      </c>
      <c r="R577" s="195">
        <f>UTT!AJ598</f>
        <v>0.98567000000000016</v>
      </c>
      <c r="S577" s="195">
        <f>UTT!AK598</f>
        <v>0.99</v>
      </c>
      <c r="T577" s="195">
        <f>UTT!AL598</f>
        <v>1</v>
      </c>
      <c r="U577" s="198">
        <v>1.4999999999999999E-2</v>
      </c>
      <c r="V577" s="195">
        <f>UTT!AR598</f>
        <v>-1.1900000000000001E-2</v>
      </c>
      <c r="W577" s="198">
        <v>0</v>
      </c>
      <c r="X577" s="197">
        <v>0</v>
      </c>
      <c r="Y577" s="199">
        <f t="shared" si="310"/>
        <v>-4.7355733982956005E-2</v>
      </c>
    </row>
    <row r="578" spans="2:25">
      <c r="B578" s="189" t="s">
        <v>14</v>
      </c>
      <c r="C578" s="190" t="s">
        <v>66</v>
      </c>
      <c r="D578" s="190">
        <v>5</v>
      </c>
      <c r="E578" s="191">
        <v>6</v>
      </c>
      <c r="F578" s="192">
        <f t="shared" si="305"/>
        <v>45230</v>
      </c>
      <c r="G578" s="24">
        <f>UTT!Y599</f>
        <v>743.41266462324882</v>
      </c>
      <c r="H578" s="24">
        <f>UTT!Z599</f>
        <v>700.74300000000005</v>
      </c>
      <c r="I578" s="24">
        <f>UTT!AA599</f>
        <v>139.1</v>
      </c>
      <c r="J578" s="24">
        <f>UTT!AB599</f>
        <v>136.37000000000003</v>
      </c>
      <c r="K578" s="24">
        <f>UTT!AC599</f>
        <v>172.2</v>
      </c>
      <c r="L578" s="24">
        <f>UTT!AD599</f>
        <v>176.63000000000002</v>
      </c>
      <c r="M578" s="195">
        <f t="shared" si="306"/>
        <v>0.73048167796000096</v>
      </c>
      <c r="N578" s="195">
        <f t="shared" si="307"/>
        <v>0.73436807087608036</v>
      </c>
      <c r="O578" s="195">
        <f t="shared" si="308"/>
        <v>0.19984211414603464</v>
      </c>
      <c r="P578" s="195">
        <f t="shared" si="309"/>
        <v>0.18837177419354839</v>
      </c>
      <c r="Q578" s="195">
        <f>UTT!AI599</f>
        <v>0.98499999999999999</v>
      </c>
      <c r="R578" s="195">
        <f>UTT!AJ599</f>
        <v>0.90038709677419348</v>
      </c>
      <c r="S578" s="195">
        <f>UTT!AK599</f>
        <v>0.99</v>
      </c>
      <c r="T578" s="195">
        <f>UTT!AL599</f>
        <v>1</v>
      </c>
      <c r="U578" s="198">
        <v>1.4999999999999999E-2</v>
      </c>
      <c r="V578" s="195">
        <f>UTT!AR599</f>
        <v>-1.37E-2</v>
      </c>
      <c r="W578" s="198">
        <v>0</v>
      </c>
      <c r="X578" s="197">
        <v>0</v>
      </c>
      <c r="Y578" s="199">
        <f t="shared" si="310"/>
        <v>-8.3122910758777313E-2</v>
      </c>
    </row>
    <row r="579" spans="2:25">
      <c r="B579" s="189" t="s">
        <v>14</v>
      </c>
      <c r="C579" s="190" t="s">
        <v>66</v>
      </c>
      <c r="D579" s="190">
        <v>5</v>
      </c>
      <c r="E579" s="191">
        <v>6</v>
      </c>
      <c r="F579" s="192">
        <f t="shared" si="305"/>
        <v>45260</v>
      </c>
      <c r="G579" s="24">
        <f>UTT!Y600</f>
        <v>658.09494544335712</v>
      </c>
      <c r="H579" s="24">
        <f>UTT!Z600</f>
        <v>569.68200000000002</v>
      </c>
      <c r="I579" s="24">
        <f>UTT!AA600</f>
        <v>108.1</v>
      </c>
      <c r="J579" s="24">
        <f>UTT!AB600</f>
        <v>92.499999999999986</v>
      </c>
      <c r="K579" s="24">
        <f>UTT!AC600</f>
        <v>152.1</v>
      </c>
      <c r="L579" s="24">
        <f>UTT!AD600</f>
        <v>132.76</v>
      </c>
      <c r="M579" s="195">
        <f t="shared" si="306"/>
        <v>0.73210245001268992</v>
      </c>
      <c r="N579" s="195">
        <f t="shared" si="307"/>
        <v>0.71719067956083093</v>
      </c>
      <c r="O579" s="195">
        <f t="shared" si="308"/>
        <v>0.18280415151204363</v>
      </c>
      <c r="P579" s="195">
        <f t="shared" si="309"/>
        <v>0.15824500000000002</v>
      </c>
      <c r="Q579" s="195">
        <f>UTT!AI600</f>
        <v>0.98499999999999999</v>
      </c>
      <c r="R579" s="195">
        <f>UTT!AJ600</f>
        <v>0.99719333333333338</v>
      </c>
      <c r="S579" s="195">
        <f>UTT!AK600</f>
        <v>0.99</v>
      </c>
      <c r="T579" s="195">
        <f>UTT!AL600</f>
        <v>1</v>
      </c>
      <c r="U579" s="198">
        <v>1.4999999999999999E-2</v>
      </c>
      <c r="V579" s="195">
        <f>UTT!AR600</f>
        <v>-1.9099999999999999E-2</v>
      </c>
      <c r="W579" s="198">
        <v>0</v>
      </c>
      <c r="X579" s="197">
        <v>0</v>
      </c>
      <c r="Y579" s="199">
        <f t="shared" si="310"/>
        <v>-7.1936043593030519E-3</v>
      </c>
    </row>
    <row r="580" spans="2:25">
      <c r="B580" s="189" t="s">
        <v>14</v>
      </c>
      <c r="C580" s="190" t="s">
        <v>66</v>
      </c>
      <c r="D580" s="190">
        <v>5</v>
      </c>
      <c r="E580" s="191">
        <v>6</v>
      </c>
      <c r="F580" s="192">
        <f t="shared" si="305"/>
        <v>45291</v>
      </c>
      <c r="G580" s="24">
        <f>UTT!Y601</f>
        <v>552.49189443048408</v>
      </c>
      <c r="H580" s="24">
        <f>UTT!Z601</f>
        <v>516.48299999999995</v>
      </c>
      <c r="I580" s="24">
        <f>UTT!AA601</f>
        <v>89.9</v>
      </c>
      <c r="J580" s="24">
        <f>UTT!AB601</f>
        <v>80.960000000000008</v>
      </c>
      <c r="K580" s="24">
        <f>UTT!AC601</f>
        <v>129.6</v>
      </c>
      <c r="L580" s="24">
        <f>UTT!AD601</f>
        <v>124.72999999999999</v>
      </c>
      <c r="M580" s="195">
        <f t="shared" si="306"/>
        <v>0.72132905938679481</v>
      </c>
      <c r="N580" s="195">
        <f t="shared" si="307"/>
        <v>0.69180170989141032</v>
      </c>
      <c r="O580" s="195">
        <f t="shared" si="308"/>
        <v>0.14851932645980753</v>
      </c>
      <c r="P580" s="195">
        <f t="shared" si="309"/>
        <v>0.13883951612903223</v>
      </c>
      <c r="Q580" s="195">
        <f>UTT!AI601</f>
        <v>0.98499999999999999</v>
      </c>
      <c r="R580" s="195">
        <f>UTT!AJ601</f>
        <v>0.99759032258064517</v>
      </c>
      <c r="S580" s="195">
        <f>UTT!AK601</f>
        <v>0.99</v>
      </c>
      <c r="T580" s="195">
        <f>UTT!AL601</f>
        <v>1</v>
      </c>
      <c r="U580" s="198">
        <v>1.4999999999999999E-2</v>
      </c>
      <c r="V580" s="195">
        <f>UTT!AR601</f>
        <v>-2.4500000000000001E-2</v>
      </c>
      <c r="W580" s="198">
        <v>0</v>
      </c>
      <c r="X580" s="197">
        <v>0</v>
      </c>
      <c r="Y580" s="199">
        <f t="shared" si="310"/>
        <v>-2.7598265233644503E-2</v>
      </c>
    </row>
    <row r="581" spans="2:25">
      <c r="B581" s="189" t="s">
        <v>14</v>
      </c>
      <c r="C581" s="190" t="s">
        <v>66</v>
      </c>
      <c r="D581" s="190">
        <v>5</v>
      </c>
      <c r="E581" s="191">
        <v>6</v>
      </c>
      <c r="F581" s="192">
        <f t="shared" si="305"/>
        <v>45322</v>
      </c>
      <c r="G581" s="24">
        <f>UTT!Y602</f>
        <v>465.13512650924844</v>
      </c>
      <c r="H581" s="24">
        <f>UTT!Z602</f>
        <v>211.542</v>
      </c>
      <c r="I581" s="24">
        <f>UTT!AA602</f>
        <v>79.599999999999994</v>
      </c>
      <c r="J581" s="24">
        <f>UTT!AB602</f>
        <v>43.110000000000007</v>
      </c>
      <c r="K581" s="24">
        <f>UTT!AC602</f>
        <v>103.2</v>
      </c>
      <c r="L581" s="24">
        <f>UTT!AD602</f>
        <v>52.24</v>
      </c>
      <c r="M581" s="195">
        <f t="shared" si="306"/>
        <v>0.76262661910119567</v>
      </c>
      <c r="N581" s="195">
        <f t="shared" si="307"/>
        <v>0.67925149748590052</v>
      </c>
      <c r="O581" s="195">
        <f t="shared" si="308"/>
        <v>0.12503632433044315</v>
      </c>
      <c r="P581" s="195">
        <f t="shared" si="309"/>
        <v>5.6866129032258059E-2</v>
      </c>
      <c r="Q581" s="195">
        <f>UTT!AI602</f>
        <v>0.98499999999999999</v>
      </c>
      <c r="R581" s="195">
        <f>UTT!AJ602</f>
        <v>0.99360000000000004</v>
      </c>
      <c r="S581" s="195">
        <f>UTT!AK602</f>
        <v>0.99</v>
      </c>
      <c r="T581" s="195">
        <f>UTT!AL602</f>
        <v>1</v>
      </c>
      <c r="U581" s="198">
        <v>1.4999999999999999E-2</v>
      </c>
      <c r="V581" s="195">
        <f>UTT!AR602</f>
        <v>-1.6199999999999999E-2</v>
      </c>
      <c r="W581" s="198">
        <v>0</v>
      </c>
      <c r="X581" s="197">
        <v>0</v>
      </c>
      <c r="Y581" s="199">
        <f t="shared" si="310"/>
        <v>-5.14046796640657E-2</v>
      </c>
    </row>
    <row r="582" spans="2:25">
      <c r="B582" s="189" t="s">
        <v>14</v>
      </c>
      <c r="C582" s="190" t="s">
        <v>66</v>
      </c>
      <c r="D582" s="190">
        <v>5</v>
      </c>
      <c r="E582" s="191">
        <v>6</v>
      </c>
      <c r="F582" s="192">
        <f t="shared" si="305"/>
        <v>45351</v>
      </c>
      <c r="G582" s="24">
        <f>UTT!Y603</f>
        <v>610.57797261468977</v>
      </c>
      <c r="H582" s="24">
        <f>UTT!Z603</f>
        <v>593.976</v>
      </c>
      <c r="I582" s="24">
        <f>UTT!AA603</f>
        <v>108.1</v>
      </c>
      <c r="J582" s="24">
        <f>UTT!AB603</f>
        <v>109.59</v>
      </c>
      <c r="K582" s="24">
        <f>UTT!AC603</f>
        <v>137.5</v>
      </c>
      <c r="L582" s="24">
        <f>UTT!AD603</f>
        <v>144.81000000000003</v>
      </c>
      <c r="M582" s="195">
        <f t="shared" si="306"/>
        <v>0.75136498706622346</v>
      </c>
      <c r="N582" s="195">
        <f t="shared" si="307"/>
        <v>0.70266915546522402</v>
      </c>
      <c r="O582" s="195">
        <f t="shared" si="308"/>
        <v>0.17545344040652006</v>
      </c>
      <c r="P582" s="195">
        <f t="shared" si="309"/>
        <v>0.17068275862068966</v>
      </c>
      <c r="Q582" s="195">
        <f>UTT!AI603</f>
        <v>0.98499999999999999</v>
      </c>
      <c r="R582" s="195">
        <f>UTT!AJ603</f>
        <v>0.97289999999999999</v>
      </c>
      <c r="S582" s="195">
        <f>UTT!AK603</f>
        <v>0.99</v>
      </c>
      <c r="T582" s="195">
        <f>UTT!AL603</f>
        <v>0.99589310344827586</v>
      </c>
      <c r="U582" s="198">
        <v>1.4999999999999999E-2</v>
      </c>
      <c r="V582" s="195">
        <f>UTT!AR603</f>
        <v>-1.49E-2</v>
      </c>
      <c r="W582" s="198">
        <v>0</v>
      </c>
      <c r="X582" s="197">
        <v>0</v>
      </c>
      <c r="Y582" s="199">
        <f t="shared" si="310"/>
        <v>-8.0354221938800374E-2</v>
      </c>
    </row>
    <row r="583" spans="2:25">
      <c r="B583" s="189" t="s">
        <v>14</v>
      </c>
      <c r="C583" s="190" t="s">
        <v>66</v>
      </c>
      <c r="D583" s="190">
        <v>5</v>
      </c>
      <c r="E583" s="191">
        <v>6</v>
      </c>
      <c r="F583" s="192">
        <f t="shared" si="305"/>
        <v>45382</v>
      </c>
      <c r="G583" s="24">
        <f>UTT!Y604</f>
        <v>818.94711132085274</v>
      </c>
      <c r="H583" s="24">
        <f>UTT!Z604</f>
        <v>750.471</v>
      </c>
      <c r="I583" s="24">
        <f>UTT!AA604</f>
        <v>161.4</v>
      </c>
      <c r="J583" s="24">
        <f>UTT!AB604</f>
        <v>151.69</v>
      </c>
      <c r="K583" s="24">
        <f>UTT!AC604</f>
        <v>187.8</v>
      </c>
      <c r="L583" s="24">
        <f>UTT!AD604</f>
        <v>178.00000000000003</v>
      </c>
      <c r="M583" s="195">
        <f t="shared" ref="M583" si="311">G583/E583/K583/Q583</f>
        <v>0.73785799354612103</v>
      </c>
      <c r="N583" s="195">
        <f t="shared" ref="N583" si="312">H583/E583/L583/R583</f>
        <v>0.70384595164163377</v>
      </c>
      <c r="O583" s="195">
        <f t="shared" ref="O583" si="313">G583/24/DAY(F583)/D583</f>
        <v>0.22014707293571306</v>
      </c>
      <c r="P583" s="195">
        <f t="shared" ref="P583" si="314">H583/24/DAY(F583)/D583</f>
        <v>0.20173951612903224</v>
      </c>
      <c r="Q583" s="195">
        <f>UTT!AI604</f>
        <v>0.98499999999999999</v>
      </c>
      <c r="R583" s="195">
        <f>UTT!AJ604</f>
        <v>0.99835510967741947</v>
      </c>
      <c r="S583" s="195">
        <f>UTT!AK604</f>
        <v>0.99</v>
      </c>
      <c r="T583" s="195">
        <f>UTT!AL604</f>
        <v>1</v>
      </c>
      <c r="U583" s="198">
        <v>1.4999999999999999E-2</v>
      </c>
      <c r="V583" s="195">
        <f>UTT!AR604</f>
        <v>-1.7399999999999999E-2</v>
      </c>
      <c r="W583" s="198">
        <v>0</v>
      </c>
      <c r="X583" s="197">
        <v>0</v>
      </c>
      <c r="Y583" s="199">
        <f t="shared" ref="Y583" si="315">(H583/G583-1)-(L583/K583-1)</f>
        <v>-3.1431641549027445E-2</v>
      </c>
    </row>
    <row r="584" spans="2:25">
      <c r="B584" s="189" t="s">
        <v>14</v>
      </c>
      <c r="C584" s="190" t="s">
        <v>66</v>
      </c>
      <c r="D584" s="190">
        <v>5</v>
      </c>
      <c r="E584" s="191">
        <v>6</v>
      </c>
      <c r="F584" s="192">
        <f t="shared" si="305"/>
        <v>45412</v>
      </c>
      <c r="G584" s="24">
        <f>UTT!Y605</f>
        <v>847.44203627212278</v>
      </c>
      <c r="H584" s="24">
        <f>UTT!Z605</f>
        <v>774.38699999999994</v>
      </c>
      <c r="I584" s="24">
        <f>UTT!AA605</f>
        <v>190.2</v>
      </c>
      <c r="J584" s="24">
        <f>UTT!AB605</f>
        <v>181.57</v>
      </c>
      <c r="K584" s="24">
        <f>UTT!AC605</f>
        <v>194</v>
      </c>
      <c r="L584" s="24">
        <f>UTT!AD605</f>
        <v>191.08999999999997</v>
      </c>
      <c r="M584" s="195">
        <f t="shared" ref="M584" si="316">G584/E584/K584/Q584</f>
        <v>0.73912993552089146</v>
      </c>
      <c r="N584" s="195">
        <f t="shared" ref="N584" si="317">H584/E584/L584/R584</f>
        <v>0.68925329299229809</v>
      </c>
      <c r="O584" s="195">
        <f t="shared" ref="O584" si="318">G584/24/DAY(F584)/D584</f>
        <v>0.23540056563114523</v>
      </c>
      <c r="P584" s="195">
        <f t="shared" ref="P584" si="319">H584/24/DAY(F584)/D584</f>
        <v>0.21510749999999995</v>
      </c>
      <c r="Q584" s="195">
        <f>UTT!AI605</f>
        <v>0.98499999999999999</v>
      </c>
      <c r="R584" s="195">
        <f>UTT!AJ605</f>
        <v>0.97991858195555537</v>
      </c>
      <c r="S584" s="195">
        <f>UTT!AK605</f>
        <v>0.99</v>
      </c>
      <c r="T584" s="195">
        <f>UTT!AL605</f>
        <v>0.99956333333333325</v>
      </c>
      <c r="U584" s="198">
        <v>1.4999999999999999E-2</v>
      </c>
      <c r="V584" s="195">
        <f>UTT!AR605</f>
        <v>-2.2523333333333301E-2</v>
      </c>
      <c r="W584" s="198">
        <v>0</v>
      </c>
      <c r="X584" s="197">
        <v>0</v>
      </c>
      <c r="Y584" s="199">
        <f t="shared" ref="Y584" si="320">(H584/G584-1)-(L584/K584-1)</f>
        <v>-7.1206528759760523E-2</v>
      </c>
    </row>
    <row r="585" spans="2:25">
      <c r="B585" s="189" t="s">
        <v>14</v>
      </c>
      <c r="C585" s="190" t="s">
        <v>66</v>
      </c>
      <c r="D585" s="190">
        <v>5</v>
      </c>
      <c r="E585" s="191">
        <v>6</v>
      </c>
      <c r="F585" s="192">
        <f t="shared" ref="F585:F592" si="321">EOMONTH(F584,1)</f>
        <v>45443</v>
      </c>
      <c r="G585" s="24">
        <f>UTT!Y606</f>
        <v>858.72127739866733</v>
      </c>
      <c r="H585" s="24">
        <f>UTT!Z606</f>
        <v>736.476</v>
      </c>
      <c r="I585" s="24">
        <f>UTT!AA606</f>
        <v>197</v>
      </c>
      <c r="J585" s="24">
        <f>UTT!AB606</f>
        <v>192.53</v>
      </c>
      <c r="K585" s="24">
        <f>UTT!AC606</f>
        <v>197.7</v>
      </c>
      <c r="L585" s="24">
        <f>UTT!AD606</f>
        <v>197.54</v>
      </c>
      <c r="M585" s="195">
        <f t="shared" ref="M585" si="322">G585/E585/K585/Q585</f>
        <v>0.73495047307887362</v>
      </c>
      <c r="N585" s="195">
        <f t="shared" ref="N585" si="323">H585/E585/L585/R585</f>
        <v>0.64676208209910169</v>
      </c>
      <c r="O585" s="195">
        <f t="shared" ref="O585" si="324">G585/24/DAY(F585)/D585</f>
        <v>0.23083905306415789</v>
      </c>
      <c r="P585" s="195">
        <f t="shared" ref="P585" si="325">H585/24/DAY(F585)/D585</f>
        <v>0.1979774193548387</v>
      </c>
      <c r="Q585" s="195">
        <f>UTT!AI606</f>
        <v>0.98499999999999999</v>
      </c>
      <c r="R585" s="195">
        <f>UTT!AJ606</f>
        <v>0.96074414951368148</v>
      </c>
      <c r="S585" s="195">
        <f>UTT!AK606</f>
        <v>0.99</v>
      </c>
      <c r="T585" s="195">
        <f>UTT!AL606</f>
        <v>0.99957419354838706</v>
      </c>
      <c r="U585" s="198">
        <v>1.4999999999999999E-2</v>
      </c>
      <c r="V585" s="195">
        <f>UTT!AR606</f>
        <v>-3.6600000000000001E-2</v>
      </c>
      <c r="W585" s="198">
        <v>0</v>
      </c>
      <c r="X585" s="197">
        <v>0</v>
      </c>
      <c r="Y585" s="199">
        <f t="shared" ref="Y585" si="326">(H585/G585-1)-(L585/K585-1)</f>
        <v>-0.14154803360589541</v>
      </c>
    </row>
    <row r="586" spans="2:25">
      <c r="B586" s="189" t="s">
        <v>14</v>
      </c>
      <c r="C586" s="190" t="s">
        <v>66</v>
      </c>
      <c r="D586" s="190">
        <v>5</v>
      </c>
      <c r="E586" s="191">
        <v>6</v>
      </c>
      <c r="F586" s="192">
        <f t="shared" si="321"/>
        <v>45473</v>
      </c>
      <c r="G586" s="24">
        <f>UTT!Y607</f>
        <v>770.86192546558414</v>
      </c>
      <c r="H586" s="24">
        <f>UTT!Z607</f>
        <v>731.89200000000005</v>
      </c>
      <c r="I586" s="24">
        <f>UTT!AA607</f>
        <v>178.9</v>
      </c>
      <c r="J586" s="24">
        <f>UTT!AB607</f>
        <v>187.66000000000003</v>
      </c>
      <c r="K586" s="24">
        <f>UTT!AC607</f>
        <v>177.2</v>
      </c>
      <c r="L586" s="24">
        <f>UTT!AD607</f>
        <v>188.35000000000005</v>
      </c>
      <c r="M586" s="195">
        <f t="shared" ref="M586" si="327">G586/E586/K586/Q586</f>
        <v>0.73608064292604281</v>
      </c>
      <c r="N586" s="195">
        <f t="shared" ref="N586" si="328">H586/E586/L586/R586</f>
        <v>0.68007426503299484</v>
      </c>
      <c r="O586" s="195">
        <f t="shared" ref="O586" si="329">G586/24/DAY(F586)/D586</f>
        <v>0.21412831262932891</v>
      </c>
      <c r="P586" s="195">
        <f t="shared" ref="P586" si="330">H586/24/DAY(F586)/D586</f>
        <v>0.20330333333333334</v>
      </c>
      <c r="Q586" s="195">
        <f>UTT!AI607</f>
        <v>0.98499999999999999</v>
      </c>
      <c r="R586" s="195">
        <f>UTT!AJ607</f>
        <v>0.95230000000000004</v>
      </c>
      <c r="S586" s="195">
        <f>UTT!AK607</f>
        <v>0.99</v>
      </c>
      <c r="T586" s="195">
        <f>UTT!AL607</f>
        <v>1</v>
      </c>
      <c r="U586" s="198">
        <v>1.4999999999999999E-2</v>
      </c>
      <c r="V586" s="195">
        <f>UTT!AR607</f>
        <v>-2.41E-2</v>
      </c>
      <c r="W586" s="198">
        <v>0</v>
      </c>
      <c r="X586" s="197">
        <v>0</v>
      </c>
      <c r="Y586" s="199">
        <f t="shared" ref="Y586" si="331">(H586/G586-1)-(L586/K586-1)</f>
        <v>-0.11347695438366256</v>
      </c>
    </row>
    <row r="587" spans="2:25">
      <c r="B587" s="189" t="s">
        <v>14</v>
      </c>
      <c r="C587" s="190" t="s">
        <v>66</v>
      </c>
      <c r="D587" s="190">
        <v>5</v>
      </c>
      <c r="E587" s="191">
        <v>6</v>
      </c>
      <c r="F587" s="192">
        <f t="shared" si="321"/>
        <v>45504</v>
      </c>
      <c r="G587" s="24">
        <f>UTT!Y608</f>
        <v>682.40892926268316</v>
      </c>
      <c r="H587" s="24">
        <f>UTT!Z608</f>
        <v>601.55999999999995</v>
      </c>
      <c r="I587" s="24">
        <f>UTT!AA608</f>
        <v>155.5</v>
      </c>
      <c r="J587" s="24">
        <f>UTT!AB608</f>
        <v>143.95999999999998</v>
      </c>
      <c r="K587" s="24">
        <f>UTT!AC608</f>
        <v>154.6</v>
      </c>
      <c r="L587" s="24">
        <f>UTT!AD608</f>
        <v>144.26</v>
      </c>
      <c r="M587" s="195">
        <f t="shared" ref="M587" si="332">G587/E587/K587/Q587</f>
        <v>0.74687466948457482</v>
      </c>
      <c r="N587" s="195">
        <f t="shared" ref="N587" si="333">H587/E587/L587/R587</f>
        <v>0.74803051087081707</v>
      </c>
      <c r="O587" s="195">
        <f t="shared" ref="O587" si="334">G587/24/DAY(F587)/D587</f>
        <v>0.18344326055448473</v>
      </c>
      <c r="P587" s="195">
        <f t="shared" ref="P587" si="335">H587/24/DAY(F587)/D587</f>
        <v>0.16170967741935482</v>
      </c>
      <c r="Q587" s="195">
        <f>UTT!AI608</f>
        <v>0.98499999999999999</v>
      </c>
      <c r="R587" s="195">
        <f>UTT!AJ608</f>
        <v>0.92910000000000004</v>
      </c>
      <c r="S587" s="195">
        <f>UTT!AK608</f>
        <v>0.99</v>
      </c>
      <c r="T587" s="195">
        <f>UTT!AL608</f>
        <v>1</v>
      </c>
      <c r="U587" s="198">
        <v>1.4999999999999999E-2</v>
      </c>
      <c r="V587" s="195">
        <f>UTT!AR608</f>
        <v>-1.04E-2</v>
      </c>
      <c r="W587" s="198">
        <v>0</v>
      </c>
      <c r="X587" s="197">
        <v>0</v>
      </c>
      <c r="Y587" s="199">
        <f t="shared" ref="Y587" si="336">(H587/G587-1)-(L587/K587-1)</f>
        <v>-5.1593501822028154E-2</v>
      </c>
    </row>
    <row r="588" spans="2:25">
      <c r="B588" s="189" t="s">
        <v>14</v>
      </c>
      <c r="C588" s="190" t="s">
        <v>66</v>
      </c>
      <c r="D588" s="190">
        <v>5</v>
      </c>
      <c r="E588" s="191">
        <v>6</v>
      </c>
      <c r="F588" s="192">
        <f t="shared" si="321"/>
        <v>45535</v>
      </c>
      <c r="G588" s="24">
        <f>UTT!Y609</f>
        <v>647.68073947832283</v>
      </c>
      <c r="H588" s="24">
        <f>UTT!Z609</f>
        <v>672.01499999999999</v>
      </c>
      <c r="I588" s="24">
        <f>UTT!AA609</f>
        <v>145.4</v>
      </c>
      <c r="J588" s="24">
        <f>UTT!AB609</f>
        <v>161.69</v>
      </c>
      <c r="K588" s="24">
        <f>UTT!AC609</f>
        <v>146.30000000000001</v>
      </c>
      <c r="L588" s="24">
        <f>UTT!AD609</f>
        <v>165.67999999999995</v>
      </c>
      <c r="M588" s="195">
        <f t="shared" ref="M588" si="337">G588/E588/K588/Q588</f>
        <v>0.74908167913822721</v>
      </c>
      <c r="N588" s="195">
        <f t="shared" ref="N588" si="338">H588/E588/L588/R588</f>
        <v>0.71987852248105266</v>
      </c>
      <c r="O588" s="195">
        <f t="shared" ref="O588" si="339">G588/24/DAY(F588)/D588</f>
        <v>0.17410772566621582</v>
      </c>
      <c r="P588" s="195">
        <f t="shared" ref="P588" si="340">H588/24/DAY(F588)/D588</f>
        <v>0.1806491935483871</v>
      </c>
      <c r="Q588" s="195">
        <f>UTT!AI609</f>
        <v>0.98499999999999999</v>
      </c>
      <c r="R588" s="195">
        <f>UTT!AJ609</f>
        <v>0.93907096774193533</v>
      </c>
      <c r="S588" s="195">
        <f>UTT!AK609</f>
        <v>0.99</v>
      </c>
      <c r="T588" s="195">
        <f>UTT!AL609</f>
        <v>1</v>
      </c>
      <c r="U588" s="198">
        <v>1.4999999999999999E-2</v>
      </c>
      <c r="V588" s="195">
        <f>UTT!AR609</f>
        <v>-9.9000000000000008E-3</v>
      </c>
      <c r="W588" s="198">
        <v>0</v>
      </c>
      <c r="X588" s="197">
        <v>0</v>
      </c>
      <c r="Y588" s="199">
        <f t="shared" ref="Y588" si="341">(H588/G588-1)-(L588/K588-1)</f>
        <v>-9.4896150398524837E-2</v>
      </c>
    </row>
    <row r="589" spans="2:25">
      <c r="B589" s="189" t="s">
        <v>14</v>
      </c>
      <c r="C589" s="190" t="s">
        <v>66</v>
      </c>
      <c r="D589" s="190">
        <v>5</v>
      </c>
      <c r="E589" s="191">
        <v>6</v>
      </c>
      <c r="F589" s="192">
        <f t="shared" si="321"/>
        <v>45565</v>
      </c>
      <c r="G589" s="24">
        <f>UTT!Y610</f>
        <v>645.60298453395933</v>
      </c>
      <c r="H589" s="24">
        <f>UTT!Z610</f>
        <v>552.36</v>
      </c>
      <c r="I589" s="24">
        <f>UTT!AA610</f>
        <v>141.6</v>
      </c>
      <c r="J589" s="24">
        <f>UTT!AB610</f>
        <v>120.91000000000003</v>
      </c>
      <c r="K589" s="24">
        <f>UTT!AC610</f>
        <v>145.5</v>
      </c>
      <c r="L589" s="24">
        <f>UTT!AD610</f>
        <v>130.43</v>
      </c>
      <c r="M589" s="195">
        <f t="shared" ref="M589" si="342">G589/E589/K589/Q589</f>
        <v>0.75078408025765553</v>
      </c>
      <c r="N589" s="195">
        <f t="shared" ref="N589" si="343">H589/E589/L589/R589</f>
        <v>0.74659361220324538</v>
      </c>
      <c r="O589" s="195">
        <f t="shared" ref="O589" si="344">G589/24/DAY(F589)/D589</f>
        <v>0.17933416237054425</v>
      </c>
      <c r="P589" s="195">
        <f t="shared" ref="P589" si="345">H589/24/DAY(F589)/D589</f>
        <v>0.15343333333333334</v>
      </c>
      <c r="Q589" s="195">
        <f>UTT!AI610</f>
        <v>0.98499999999999999</v>
      </c>
      <c r="R589" s="195">
        <f>UTT!AJ610</f>
        <v>0.94538608666666657</v>
      </c>
      <c r="S589" s="195">
        <f>UTT!AK610</f>
        <v>0.99</v>
      </c>
      <c r="T589" s="195">
        <f>UTT!AL610</f>
        <v>1</v>
      </c>
      <c r="U589" s="198">
        <v>1.4999999999999999E-2</v>
      </c>
      <c r="V589" s="195">
        <f>UTT!AR610</f>
        <v>-8.3999999999999995E-3</v>
      </c>
      <c r="W589" s="198">
        <v>0</v>
      </c>
      <c r="X589" s="197">
        <v>0</v>
      </c>
      <c r="Y589" s="199">
        <f t="shared" ref="Y589" si="346">(H589/G589-1)-(L589/K589-1)</f>
        <v>-4.0853863871393337E-2</v>
      </c>
    </row>
    <row r="590" spans="2:25">
      <c r="B590" s="189" t="s">
        <v>14</v>
      </c>
      <c r="C590" s="190" t="s">
        <v>66</v>
      </c>
      <c r="D590" s="190">
        <v>5</v>
      </c>
      <c r="E590" s="191">
        <v>6</v>
      </c>
      <c r="F590" s="192">
        <f t="shared" si="321"/>
        <v>45596</v>
      </c>
      <c r="G590" s="24">
        <f>UTT!Y611</f>
        <v>739.69560130013258</v>
      </c>
      <c r="H590" s="24">
        <f>UTT!Z611</f>
        <v>651.28200000000004</v>
      </c>
      <c r="I590" s="24">
        <f>UTT!AA611</f>
        <v>139.1</v>
      </c>
      <c r="J590" s="24">
        <f>UTT!AB611</f>
        <v>123.08999999999997</v>
      </c>
      <c r="K590" s="24">
        <f>UTT!AC611</f>
        <v>172.2</v>
      </c>
      <c r="L590" s="24">
        <f>UTT!AD611</f>
        <v>154.30000000000001</v>
      </c>
      <c r="M590" s="195">
        <f t="shared" ref="M590" si="347">G590/E590/K590/Q590</f>
        <v>0.726829269570201</v>
      </c>
      <c r="N590" s="195">
        <f t="shared" ref="N590" si="348">H590/E590/L590/R590</f>
        <v>0.72757887364079743</v>
      </c>
      <c r="O590" s="195">
        <f t="shared" ref="O590" si="349">G590/24/DAY(F590)/D590</f>
        <v>0.19884290357530446</v>
      </c>
      <c r="P590" s="195">
        <f t="shared" ref="P590" si="350">H590/24/DAY(F590)/D590</f>
        <v>0.17507580645161291</v>
      </c>
      <c r="Q590" s="195">
        <f>UTT!AI611</f>
        <v>0.98499999999999999</v>
      </c>
      <c r="R590" s="195">
        <f>UTT!AJ611</f>
        <v>0.96687831216363163</v>
      </c>
      <c r="S590" s="195">
        <f>UTT!AK611</f>
        <v>0.99</v>
      </c>
      <c r="T590" s="195">
        <f>UTT!AL611</f>
        <v>0.99528709677419358</v>
      </c>
      <c r="U590" s="198">
        <v>1.4999999999999999E-2</v>
      </c>
      <c r="V590" s="195">
        <f>UTT!AR611</f>
        <v>-2.0799999999999999E-2</v>
      </c>
      <c r="W590" s="198">
        <v>0</v>
      </c>
      <c r="X590" s="197">
        <v>0</v>
      </c>
      <c r="Y590" s="199">
        <f t="shared" ref="Y590" si="351">(H590/G590-1)-(L590/K590-1)</f>
        <v>-1.5578110348793528E-2</v>
      </c>
    </row>
    <row r="591" spans="2:25">
      <c r="B591" s="189" t="s">
        <v>14</v>
      </c>
      <c r="C591" s="190" t="s">
        <v>66</v>
      </c>
      <c r="D591" s="190">
        <v>5</v>
      </c>
      <c r="E591" s="191">
        <v>6</v>
      </c>
      <c r="F591" s="192">
        <f t="shared" si="321"/>
        <v>45626</v>
      </c>
      <c r="G591" s="24">
        <f>UTT!Y612</f>
        <v>654.80447071614037</v>
      </c>
      <c r="H591" s="24">
        <f>UTT!Z612</f>
        <v>489.07799999999997</v>
      </c>
      <c r="I591" s="24">
        <f>UTT!AA612</f>
        <v>108.1</v>
      </c>
      <c r="J591" s="24">
        <f>UTT!AB612</f>
        <v>80.53</v>
      </c>
      <c r="K591" s="24">
        <f>UTT!AC612</f>
        <v>152.1</v>
      </c>
      <c r="L591" s="24">
        <f>UTT!AD612</f>
        <v>111.11000000000001</v>
      </c>
      <c r="M591" s="195">
        <f t="shared" ref="M591" si="352">G591/E591/K591/Q591</f>
        <v>0.72844193776262656</v>
      </c>
      <c r="N591" s="195">
        <f t="shared" ref="N591" si="353">H591/E591/L591/R591</f>
        <v>0.74593221783768393</v>
      </c>
      <c r="O591" s="195">
        <f t="shared" ref="O591" si="354">G591/24/DAY(F591)/D591</f>
        <v>0.18189013075448343</v>
      </c>
      <c r="P591" s="195">
        <f t="shared" ref="P591" si="355">H591/24/DAY(F591)/D591</f>
        <v>0.135855</v>
      </c>
      <c r="Q591" s="195">
        <f>UTT!AI612</f>
        <v>0.98499999999999999</v>
      </c>
      <c r="R591" s="195">
        <f>UTT!AJ612</f>
        <v>0.98350000000000004</v>
      </c>
      <c r="S591" s="195">
        <f>UTT!AK612</f>
        <v>0.99</v>
      </c>
      <c r="T591" s="195">
        <f>UTT!AL612</f>
        <v>1</v>
      </c>
      <c r="U591" s="198">
        <v>1.4999999999999999E-2</v>
      </c>
      <c r="V591" s="195">
        <f>UTT!AR612</f>
        <v>-2.3300000000000001E-2</v>
      </c>
      <c r="W591" s="198">
        <v>0</v>
      </c>
      <c r="X591" s="197">
        <v>0</v>
      </c>
      <c r="Y591" s="199">
        <f t="shared" ref="Y591" si="356">(H591/G591-1)-(L591/K591-1)</f>
        <v>1.6400688732095214E-2</v>
      </c>
    </row>
    <row r="592" spans="2:25">
      <c r="B592" s="189" t="s">
        <v>14</v>
      </c>
      <c r="C592" s="190" t="s">
        <v>66</v>
      </c>
      <c r="D592" s="190">
        <v>5</v>
      </c>
      <c r="E592" s="191">
        <v>6</v>
      </c>
      <c r="F592" s="192">
        <f t="shared" si="321"/>
        <v>45657</v>
      </c>
      <c r="G592" s="24">
        <f>UTT!Y613</f>
        <v>549.72943495833158</v>
      </c>
      <c r="H592" s="24">
        <f>UTT!Z613</f>
        <v>519.71100000000001</v>
      </c>
      <c r="I592" s="24">
        <f>UTT!AA613</f>
        <v>89.9</v>
      </c>
      <c r="J592" s="24">
        <f>UTT!AB613</f>
        <v>75.180000000000007</v>
      </c>
      <c r="K592" s="24">
        <f>UTT!AC613</f>
        <v>129.6</v>
      </c>
      <c r="L592" s="24">
        <f>UTT!AD613</f>
        <v>117.79</v>
      </c>
      <c r="M592" s="195">
        <f t="shared" ref="M592" si="357">G592/E592/K592/Q592</f>
        <v>0.71772241408986082</v>
      </c>
      <c r="N592" s="195">
        <f t="shared" ref="N592" si="358">H592/E592/L592/R592</f>
        <v>0.74021283274342276</v>
      </c>
      <c r="O592" s="195">
        <f t="shared" ref="O592" si="359">G592/24/DAY(F592)/D592</f>
        <v>0.1477767298275085</v>
      </c>
      <c r="P592" s="195">
        <f t="shared" ref="P592" si="360">H592/24/DAY(F592)/D592</f>
        <v>0.13970725806451612</v>
      </c>
      <c r="Q592" s="195">
        <f>UTT!AI613</f>
        <v>0.98499999999999999</v>
      </c>
      <c r="R592" s="195">
        <f>UTT!AJ613</f>
        <v>0.99344911419354831</v>
      </c>
      <c r="S592" s="195">
        <f>UTT!AK613</f>
        <v>0.99</v>
      </c>
      <c r="T592" s="195">
        <f>UTT!AL613</f>
        <v>1</v>
      </c>
      <c r="U592" s="198">
        <v>1.4999999999999999E-2</v>
      </c>
      <c r="V592" s="195">
        <f>UTT!AR613</f>
        <v>-1.22709677419355E-2</v>
      </c>
      <c r="W592" s="198">
        <v>0</v>
      </c>
      <c r="X592" s="197">
        <v>0</v>
      </c>
      <c r="Y592" s="199">
        <f t="shared" ref="Y592" si="361">(H592/G592-1)-(L592/K592-1)</f>
        <v>3.6520707958200505E-2</v>
      </c>
    </row>
    <row r="593" spans="2:25">
      <c r="B593" s="189"/>
      <c r="C593" s="190"/>
      <c r="D593" s="190"/>
      <c r="E593" s="191"/>
      <c r="F593" s="192"/>
      <c r="G593" s="24"/>
      <c r="H593" s="24"/>
      <c r="I593" s="24"/>
      <c r="J593" s="24"/>
      <c r="K593" s="24"/>
      <c r="L593" s="24"/>
      <c r="M593" s="195"/>
      <c r="N593" s="195"/>
      <c r="O593" s="195"/>
      <c r="P593" s="195"/>
      <c r="Q593" s="195"/>
      <c r="R593" s="195"/>
      <c r="S593" s="195"/>
      <c r="T593" s="204"/>
      <c r="U593" s="198"/>
      <c r="V593" s="204"/>
      <c r="W593" s="198"/>
      <c r="X593" s="197"/>
      <c r="Y593" s="199"/>
    </row>
    <row r="594" spans="2:25">
      <c r="B594" s="189"/>
      <c r="C594" s="190"/>
      <c r="D594" s="190"/>
      <c r="E594" s="191"/>
      <c r="F594" s="192"/>
      <c r="G594" s="24"/>
      <c r="H594" s="24"/>
      <c r="I594" s="24"/>
      <c r="J594" s="24"/>
      <c r="K594" s="24"/>
      <c r="L594" s="24"/>
      <c r="M594" s="195"/>
      <c r="N594" s="195"/>
      <c r="O594" s="195"/>
      <c r="P594" s="195"/>
      <c r="Q594" s="195"/>
      <c r="R594" s="195"/>
      <c r="S594" s="195"/>
      <c r="T594" s="204"/>
      <c r="U594" s="198"/>
      <c r="V594" s="204"/>
      <c r="W594" s="198"/>
      <c r="X594" s="197"/>
      <c r="Y594" s="199"/>
    </row>
    <row r="595" spans="2:25">
      <c r="B595" s="189"/>
      <c r="C595" s="190"/>
      <c r="D595" s="190"/>
      <c r="E595" s="191"/>
      <c r="F595" s="192"/>
      <c r="G595" s="24"/>
      <c r="H595" s="24"/>
      <c r="I595" s="24"/>
      <c r="J595" s="24"/>
      <c r="K595" s="24"/>
      <c r="L595" s="24"/>
      <c r="M595" s="195"/>
      <c r="N595" s="195"/>
      <c r="O595" s="195"/>
      <c r="P595" s="195"/>
      <c r="Q595" s="195"/>
      <c r="R595" s="195"/>
      <c r="S595" s="195"/>
      <c r="T595" s="204"/>
      <c r="U595" s="198"/>
      <c r="V595" s="204"/>
      <c r="W595" s="198"/>
      <c r="X595" s="197"/>
      <c r="Y595" s="199"/>
    </row>
    <row r="596" spans="2:25">
      <c r="B596" s="189"/>
      <c r="C596" s="190"/>
      <c r="D596" s="190"/>
      <c r="E596" s="191"/>
      <c r="F596" s="192"/>
      <c r="G596" s="24"/>
      <c r="H596" s="24"/>
      <c r="I596" s="24"/>
      <c r="J596" s="24"/>
      <c r="K596" s="24"/>
      <c r="L596" s="24"/>
      <c r="M596" s="195"/>
      <c r="N596" s="195"/>
      <c r="O596" s="195"/>
      <c r="P596" s="195"/>
      <c r="Q596" s="195"/>
      <c r="R596" s="195"/>
      <c r="S596" s="195"/>
      <c r="T596" s="204"/>
      <c r="U596" s="198"/>
      <c r="V596" s="204"/>
      <c r="W596" s="198"/>
      <c r="X596" s="197"/>
      <c r="Y596" s="199"/>
    </row>
    <row r="597" spans="2:25">
      <c r="B597" s="189"/>
      <c r="C597" s="190"/>
      <c r="D597" s="190"/>
      <c r="E597" s="191"/>
      <c r="F597" s="192"/>
      <c r="G597" s="24"/>
      <c r="H597" s="24"/>
      <c r="I597" s="24"/>
      <c r="J597" s="24"/>
      <c r="K597" s="24"/>
      <c r="L597" s="24"/>
      <c r="M597" s="195"/>
      <c r="N597" s="195"/>
      <c r="O597" s="195"/>
      <c r="P597" s="195"/>
      <c r="Q597" s="195"/>
      <c r="R597" s="195"/>
      <c r="S597" s="195"/>
      <c r="T597" s="204"/>
      <c r="U597" s="198"/>
      <c r="V597" s="204"/>
      <c r="W597" s="198"/>
      <c r="X597" s="197"/>
      <c r="Y597" s="199"/>
    </row>
    <row r="598" spans="2:25">
      <c r="B598" s="189" t="s">
        <v>14</v>
      </c>
      <c r="C598" s="190" t="s">
        <v>67</v>
      </c>
      <c r="D598" s="190">
        <v>5</v>
      </c>
      <c r="E598" s="191">
        <v>6</v>
      </c>
      <c r="F598" s="192">
        <v>42766</v>
      </c>
      <c r="G598" s="24"/>
      <c r="H598" s="24">
        <v>0</v>
      </c>
      <c r="I598" s="193">
        <v>79.599999999999994</v>
      </c>
      <c r="J598" s="194"/>
      <c r="K598" s="193">
        <v>103.2</v>
      </c>
      <c r="L598" s="194"/>
      <c r="M598" s="195">
        <v>0.82763481424572438</v>
      </c>
      <c r="N598" s="195"/>
      <c r="O598" s="195"/>
      <c r="P598" s="195"/>
      <c r="Q598" s="195">
        <v>0.98499999999999999</v>
      </c>
      <c r="R598" s="195"/>
      <c r="S598" s="196">
        <v>0.99</v>
      </c>
      <c r="T598" s="197"/>
      <c r="U598" s="198">
        <v>1.4999999999999999E-2</v>
      </c>
      <c r="V598" s="197">
        <v>0</v>
      </c>
      <c r="W598" s="198">
        <v>0</v>
      </c>
      <c r="X598" s="197">
        <v>0</v>
      </c>
      <c r="Y598" s="199" t="e">
        <f t="shared" si="300"/>
        <v>#DIV/0!</v>
      </c>
    </row>
    <row r="599" spans="2:25">
      <c r="B599" s="189" t="s">
        <v>14</v>
      </c>
      <c r="C599" s="190" t="s">
        <v>67</v>
      </c>
      <c r="D599" s="190">
        <v>5</v>
      </c>
      <c r="E599" s="191">
        <v>6</v>
      </c>
      <c r="F599" s="192">
        <v>42794</v>
      </c>
      <c r="G599" s="24"/>
      <c r="H599" s="24">
        <v>0</v>
      </c>
      <c r="I599" s="193">
        <v>108.1</v>
      </c>
      <c r="J599" s="194"/>
      <c r="K599" s="193">
        <v>137.5</v>
      </c>
      <c r="L599" s="194"/>
      <c r="M599" s="195">
        <v>0.81555559393111998</v>
      </c>
      <c r="N599" s="195"/>
      <c r="O599" s="195"/>
      <c r="P599" s="195"/>
      <c r="Q599" s="195">
        <v>0.98499999999999999</v>
      </c>
      <c r="R599" s="195"/>
      <c r="S599" s="196">
        <v>0.99</v>
      </c>
      <c r="T599" s="197"/>
      <c r="U599" s="198">
        <v>1.4999999999999999E-2</v>
      </c>
      <c r="V599" s="197">
        <v>0</v>
      </c>
      <c r="W599" s="198">
        <v>0</v>
      </c>
      <c r="X599" s="197">
        <v>0</v>
      </c>
      <c r="Y599" s="199" t="e">
        <f t="shared" si="300"/>
        <v>#DIV/0!</v>
      </c>
    </row>
    <row r="600" spans="2:25">
      <c r="B600" s="189" t="s">
        <v>14</v>
      </c>
      <c r="C600" s="190" t="s">
        <v>67</v>
      </c>
      <c r="D600" s="190">
        <v>5</v>
      </c>
      <c r="E600" s="191">
        <v>6</v>
      </c>
      <c r="F600" s="192">
        <v>42825</v>
      </c>
      <c r="G600" s="24"/>
      <c r="H600" s="24">
        <v>44.795999999999999</v>
      </c>
      <c r="I600" s="193">
        <v>161.4</v>
      </c>
      <c r="J600" s="194"/>
      <c r="K600" s="193">
        <v>187.8</v>
      </c>
      <c r="L600" s="194"/>
      <c r="M600" s="195">
        <v>0.80080060538540998</v>
      </c>
      <c r="N600" s="195"/>
      <c r="O600" s="195"/>
      <c r="P600" s="195"/>
      <c r="Q600" s="195">
        <v>0.98499999999999999</v>
      </c>
      <c r="R600" s="195"/>
      <c r="S600" s="196">
        <v>0.99</v>
      </c>
      <c r="T600" s="197"/>
      <c r="U600" s="198">
        <v>1.4999999999999999E-2</v>
      </c>
      <c r="V600" s="197">
        <v>0</v>
      </c>
      <c r="W600" s="198">
        <v>0</v>
      </c>
      <c r="X600" s="197">
        <v>0</v>
      </c>
      <c r="Y600" s="199" t="e">
        <f t="shared" si="300"/>
        <v>#DIV/0!</v>
      </c>
    </row>
    <row r="601" spans="2:25">
      <c r="B601" s="189" t="s">
        <v>14</v>
      </c>
      <c r="C601" s="190" t="s">
        <v>67</v>
      </c>
      <c r="D601" s="190">
        <v>5</v>
      </c>
      <c r="E601" s="191">
        <v>6</v>
      </c>
      <c r="F601" s="192">
        <v>42855</v>
      </c>
      <c r="G601" s="24">
        <v>933.23753176531341</v>
      </c>
      <c r="H601" s="24">
        <v>393.66899999999998</v>
      </c>
      <c r="I601" s="193">
        <v>190.2</v>
      </c>
      <c r="J601" s="194"/>
      <c r="K601" s="193">
        <v>194</v>
      </c>
      <c r="L601" s="194"/>
      <c r="M601" s="195">
        <v>0.80175045684305279</v>
      </c>
      <c r="N601" s="195"/>
      <c r="O601" s="195"/>
      <c r="P601" s="195"/>
      <c r="Q601" s="195">
        <v>0.98499999999999999</v>
      </c>
      <c r="R601" s="195"/>
      <c r="S601" s="196">
        <v>0.99</v>
      </c>
      <c r="T601" s="197"/>
      <c r="U601" s="198">
        <v>1.4999999999999999E-2</v>
      </c>
      <c r="V601" s="197">
        <v>0</v>
      </c>
      <c r="W601" s="198">
        <v>0</v>
      </c>
      <c r="X601" s="197">
        <v>0</v>
      </c>
      <c r="Y601" s="199">
        <f t="shared" si="300"/>
        <v>0.42183151298612598</v>
      </c>
    </row>
    <row r="602" spans="2:25">
      <c r="B602" s="189" t="s">
        <v>14</v>
      </c>
      <c r="C602" s="190" t="s">
        <v>67</v>
      </c>
      <c r="D602" s="190">
        <v>5</v>
      </c>
      <c r="E602" s="191">
        <v>6</v>
      </c>
      <c r="F602" s="192">
        <v>42886</v>
      </c>
      <c r="G602" s="24">
        <v>945.49761494667598</v>
      </c>
      <c r="H602" s="24">
        <v>624.29399999999998</v>
      </c>
      <c r="I602" s="193">
        <v>197</v>
      </c>
      <c r="J602" s="194"/>
      <c r="K602" s="193">
        <v>197.7</v>
      </c>
      <c r="L602" s="194"/>
      <c r="M602" s="195">
        <v>0.79708111190918562</v>
      </c>
      <c r="N602" s="195"/>
      <c r="O602" s="195"/>
      <c r="P602" s="195"/>
      <c r="Q602" s="195">
        <v>0.98499999999999999</v>
      </c>
      <c r="R602" s="195"/>
      <c r="S602" s="196">
        <v>0.99</v>
      </c>
      <c r="T602" s="197"/>
      <c r="U602" s="198">
        <v>1.4999999999999999E-2</v>
      </c>
      <c r="V602" s="197">
        <v>0</v>
      </c>
      <c r="W602" s="198">
        <v>0</v>
      </c>
      <c r="X602" s="197">
        <v>0</v>
      </c>
      <c r="Y602" s="199">
        <f t="shared" si="300"/>
        <v>0.66028088292449982</v>
      </c>
    </row>
    <row r="603" spans="2:25">
      <c r="B603" s="189" t="s">
        <v>14</v>
      </c>
      <c r="C603" s="190" t="s">
        <v>67</v>
      </c>
      <c r="D603" s="190">
        <v>5</v>
      </c>
      <c r="E603" s="191">
        <v>6</v>
      </c>
      <c r="F603" s="192">
        <v>42916</v>
      </c>
      <c r="G603" s="24">
        <v>848.88815947753938</v>
      </c>
      <c r="H603" s="24">
        <v>654.59100000000001</v>
      </c>
      <c r="I603" s="193">
        <v>178.9</v>
      </c>
      <c r="J603" s="194">
        <v>155.32</v>
      </c>
      <c r="K603" s="193">
        <v>177.2</v>
      </c>
      <c r="L603" s="194">
        <v>148.03</v>
      </c>
      <c r="M603" s="195">
        <v>0.79842753901198216</v>
      </c>
      <c r="N603" s="195">
        <f>H603/6/L603</f>
        <v>0.73700263460109439</v>
      </c>
      <c r="O603" s="195">
        <f>G603/24/30/5</f>
        <v>0.23580226652153874</v>
      </c>
      <c r="P603" s="195">
        <f>H603/24/30/5</f>
        <v>0.18183083333333333</v>
      </c>
      <c r="Q603" s="195">
        <v>0.98499999999999999</v>
      </c>
      <c r="R603" s="195">
        <v>0.82414458000000002</v>
      </c>
      <c r="S603" s="196">
        <v>0.99</v>
      </c>
      <c r="T603" s="197">
        <v>0.99860000000000004</v>
      </c>
      <c r="U603" s="198">
        <v>1.4999999999999999E-2</v>
      </c>
      <c r="V603" s="197">
        <v>0</v>
      </c>
      <c r="W603" s="198">
        <v>0</v>
      </c>
      <c r="X603" s="197">
        <v>0</v>
      </c>
      <c r="Y603" s="199">
        <f t="shared" ref="Y603:Y666" si="362">(H603/G603-1)-(L603/K603-1)</f>
        <v>-6.426803223788613E-2</v>
      </c>
    </row>
    <row r="604" spans="2:25">
      <c r="B604" s="189" t="s">
        <v>14</v>
      </c>
      <c r="C604" s="190" t="s">
        <v>67</v>
      </c>
      <c r="D604" s="190">
        <v>5</v>
      </c>
      <c r="E604" s="191">
        <v>6</v>
      </c>
      <c r="F604" s="192">
        <v>42947</v>
      </c>
      <c r="G604" s="24">
        <v>751.29789735389397</v>
      </c>
      <c r="H604" s="24">
        <v>501.654</v>
      </c>
      <c r="I604" s="193">
        <v>155.5</v>
      </c>
      <c r="J604" s="194">
        <v>155.74</v>
      </c>
      <c r="K604" s="193">
        <v>154.6</v>
      </c>
      <c r="L604" s="194">
        <v>153.06</v>
      </c>
      <c r="M604" s="195">
        <v>0.80993736239100256</v>
      </c>
      <c r="N604" s="195">
        <f t="shared" ref="N604:N612" si="363">H604/6/L604</f>
        <v>0.54624983666535998</v>
      </c>
      <c r="O604" s="195">
        <f>G604/24/31/5</f>
        <v>0.20196180036394998</v>
      </c>
      <c r="P604" s="195">
        <f>H604/24/31/5</f>
        <v>0.13485322580645159</v>
      </c>
      <c r="Q604" s="195">
        <v>0.98499999999999999</v>
      </c>
      <c r="R604" s="195">
        <v>0.75889202999999994</v>
      </c>
      <c r="S604" s="196">
        <v>0.99</v>
      </c>
      <c r="T604" s="197">
        <v>0.98929999999999996</v>
      </c>
      <c r="U604" s="198">
        <v>1.4999999999999999E-2</v>
      </c>
      <c r="V604" s="197">
        <v>0</v>
      </c>
      <c r="W604" s="198">
        <v>0</v>
      </c>
      <c r="X604" s="197">
        <v>0</v>
      </c>
      <c r="Y604" s="199">
        <f t="shared" si="362"/>
        <v>-0.32232231313078363</v>
      </c>
    </row>
    <row r="605" spans="2:25">
      <c r="B605" s="189" t="s">
        <v>14</v>
      </c>
      <c r="C605" s="190" t="s">
        <v>67</v>
      </c>
      <c r="D605" s="190">
        <v>5</v>
      </c>
      <c r="E605" s="191">
        <v>6</v>
      </c>
      <c r="F605" s="192">
        <v>42978</v>
      </c>
      <c r="G605" s="24">
        <v>713.53684115529745</v>
      </c>
      <c r="H605" s="24">
        <v>518.77800000000002</v>
      </c>
      <c r="I605" s="193">
        <v>145.4</v>
      </c>
      <c r="J605" s="194">
        <v>126.64</v>
      </c>
      <c r="K605" s="193">
        <v>146.30000000000001</v>
      </c>
      <c r="L605" s="194">
        <v>127.41</v>
      </c>
      <c r="M605" s="195">
        <v>0.81286949322772539</v>
      </c>
      <c r="N605" s="195">
        <f t="shared" si="363"/>
        <v>0.67862020249587951</v>
      </c>
      <c r="O605" s="195">
        <f>G605/24/31/5</f>
        <v>0.19181097880518747</v>
      </c>
      <c r="P605" s="195">
        <f>H605/24/31/5</f>
        <v>0.13945645161290324</v>
      </c>
      <c r="Q605" s="195">
        <v>0.98499999999999999</v>
      </c>
      <c r="R605" s="195">
        <v>0.83907969999999998</v>
      </c>
      <c r="S605" s="196">
        <v>0.99</v>
      </c>
      <c r="T605" s="197">
        <v>0.99099999999999999</v>
      </c>
      <c r="U605" s="198">
        <v>1.4999999999999999E-2</v>
      </c>
      <c r="V605" s="197">
        <v>0</v>
      </c>
      <c r="W605" s="198">
        <v>0</v>
      </c>
      <c r="X605" s="197">
        <v>0</v>
      </c>
      <c r="Y605" s="199">
        <f t="shared" si="362"/>
        <v>-0.14383029280828752</v>
      </c>
    </row>
    <row r="606" spans="2:25">
      <c r="B606" s="189" t="s">
        <v>14</v>
      </c>
      <c r="C606" s="190" t="s">
        <v>67</v>
      </c>
      <c r="D606" s="190">
        <v>5</v>
      </c>
      <c r="E606" s="191">
        <v>6</v>
      </c>
      <c r="F606" s="192">
        <v>43008</v>
      </c>
      <c r="G606" s="24">
        <v>711.08482451902501</v>
      </c>
      <c r="H606" s="24">
        <v>603.79499999999996</v>
      </c>
      <c r="I606" s="193">
        <v>141.6</v>
      </c>
      <c r="J606" s="194">
        <v>124.99</v>
      </c>
      <c r="K606" s="193">
        <v>145.5</v>
      </c>
      <c r="L606" s="194">
        <v>127.09</v>
      </c>
      <c r="M606" s="195">
        <v>0.81453015408823026</v>
      </c>
      <c r="N606" s="195">
        <f t="shared" si="363"/>
        <v>0.79182075694389797</v>
      </c>
      <c r="O606" s="195">
        <f>G606/24/30/5</f>
        <v>0.19752356236639584</v>
      </c>
      <c r="P606" s="195">
        <f>H606/24/30/5</f>
        <v>0.16772083333333332</v>
      </c>
      <c r="Q606" s="195">
        <v>0.98499999999999999</v>
      </c>
      <c r="R606" s="195">
        <v>0.96731053999999994</v>
      </c>
      <c r="S606" s="196">
        <v>0.99</v>
      </c>
      <c r="T606" s="197">
        <v>0.99129999999999996</v>
      </c>
      <c r="U606" s="198">
        <v>1.4999999999999999E-2</v>
      </c>
      <c r="V606" s="197">
        <v>0</v>
      </c>
      <c r="W606" s="198">
        <v>0</v>
      </c>
      <c r="X606" s="197">
        <v>0</v>
      </c>
      <c r="Y606" s="199">
        <f t="shared" si="362"/>
        <v>-2.4352683535543318E-2</v>
      </c>
    </row>
    <row r="607" spans="2:25">
      <c r="B607" s="189" t="s">
        <v>14</v>
      </c>
      <c r="C607" s="190" t="s">
        <v>67</v>
      </c>
      <c r="D607" s="190">
        <v>5</v>
      </c>
      <c r="E607" s="191">
        <v>6</v>
      </c>
      <c r="F607" s="192">
        <v>43039</v>
      </c>
      <c r="G607" s="24">
        <v>815.05032989697895</v>
      </c>
      <c r="H607" s="24">
        <v>706.67100000000005</v>
      </c>
      <c r="I607" s="193">
        <v>139.1</v>
      </c>
      <c r="J607" s="194">
        <v>128.03</v>
      </c>
      <c r="K607" s="193">
        <v>172.2</v>
      </c>
      <c r="L607" s="194">
        <v>150.87</v>
      </c>
      <c r="M607" s="195">
        <v>0.78886017218058357</v>
      </c>
      <c r="N607" s="195">
        <f t="shared" si="363"/>
        <v>0.7806621594750448</v>
      </c>
      <c r="O607" s="195">
        <f>G607/24/31/5</f>
        <v>0.21909955104757498</v>
      </c>
      <c r="P607" s="195">
        <f>H607/24/31/5</f>
        <v>0.18996532258064519</v>
      </c>
      <c r="Q607" s="195">
        <v>0.98499999999999999</v>
      </c>
      <c r="R607" s="195">
        <v>0.9719546</v>
      </c>
      <c r="S607" s="196">
        <v>0.99</v>
      </c>
      <c r="T607" s="197">
        <v>0.97399999999999998</v>
      </c>
      <c r="U607" s="198">
        <v>1.4999999999999999E-2</v>
      </c>
      <c r="V607" s="197">
        <v>0</v>
      </c>
      <c r="W607" s="198">
        <v>0</v>
      </c>
      <c r="X607" s="197">
        <v>0</v>
      </c>
      <c r="Y607" s="199">
        <f t="shared" si="362"/>
        <v>-9.1049654102292044E-3</v>
      </c>
    </row>
    <row r="608" spans="2:25">
      <c r="B608" s="189" t="s">
        <v>14</v>
      </c>
      <c r="C608" s="190" t="s">
        <v>67</v>
      </c>
      <c r="D608" s="190">
        <v>5</v>
      </c>
      <c r="E608" s="191">
        <v>6</v>
      </c>
      <c r="F608" s="192">
        <v>43069</v>
      </c>
      <c r="G608" s="24">
        <v>721.38329439136942</v>
      </c>
      <c r="H608" s="24">
        <v>566.02499999999998</v>
      </c>
      <c r="I608" s="193">
        <v>108.1</v>
      </c>
      <c r="J608" s="194">
        <v>87.17</v>
      </c>
      <c r="K608" s="193">
        <v>152.1</v>
      </c>
      <c r="L608" s="194">
        <v>114.62</v>
      </c>
      <c r="M608" s="195">
        <v>0.79047040805541247</v>
      </c>
      <c r="N608" s="195">
        <f t="shared" si="363"/>
        <v>0.82304571627988121</v>
      </c>
      <c r="O608" s="195">
        <f>G608/24/30/5</f>
        <v>0.20038424844204705</v>
      </c>
      <c r="P608" s="195">
        <f>H608/24/30/5</f>
        <v>0.15722916666666664</v>
      </c>
      <c r="Q608" s="195">
        <v>0.98499999999999999</v>
      </c>
      <c r="R608" s="195">
        <v>0.97794199999999998</v>
      </c>
      <c r="S608" s="196">
        <v>0.99</v>
      </c>
      <c r="T608" s="197">
        <v>0.98</v>
      </c>
      <c r="U608" s="198">
        <v>1.4999999999999999E-2</v>
      </c>
      <c r="V608" s="197">
        <v>0</v>
      </c>
      <c r="W608" s="198">
        <v>0</v>
      </c>
      <c r="X608" s="197">
        <v>0</v>
      </c>
      <c r="Y608" s="199">
        <f t="shared" si="362"/>
        <v>3.1055184041977046E-2</v>
      </c>
    </row>
    <row r="609" spans="2:25">
      <c r="B609" s="189" t="s">
        <v>14</v>
      </c>
      <c r="C609" s="190" t="s">
        <v>67</v>
      </c>
      <c r="D609" s="190">
        <v>5</v>
      </c>
      <c r="E609" s="191">
        <v>6</v>
      </c>
      <c r="F609" s="192">
        <v>43100</v>
      </c>
      <c r="G609" s="24">
        <v>606.13851248656192</v>
      </c>
      <c r="H609" s="24">
        <v>547.58100000000002</v>
      </c>
      <c r="I609" s="193">
        <v>89.9</v>
      </c>
      <c r="J609" s="194">
        <v>78.14</v>
      </c>
      <c r="K609" s="193">
        <v>129.6</v>
      </c>
      <c r="L609" s="194">
        <v>107.15</v>
      </c>
      <c r="M609" s="195">
        <v>0.77949911585206011</v>
      </c>
      <c r="N609" s="195">
        <f t="shared" si="363"/>
        <v>0.85173588427438174</v>
      </c>
      <c r="O609" s="195">
        <f>G609/24/31/5</f>
        <v>0.16294046034584997</v>
      </c>
      <c r="P609" s="195">
        <f>H609/24/31/5</f>
        <v>0.14719919354838712</v>
      </c>
      <c r="Q609" s="195">
        <v>0.98499999999999999</v>
      </c>
      <c r="R609" s="195">
        <v>0.99160000000000004</v>
      </c>
      <c r="S609" s="196">
        <v>0.99</v>
      </c>
      <c r="T609" s="197">
        <v>0.99160000000000004</v>
      </c>
      <c r="U609" s="198">
        <v>1.4999999999999999E-2</v>
      </c>
      <c r="V609" s="197">
        <v>0</v>
      </c>
      <c r="W609" s="198">
        <v>0</v>
      </c>
      <c r="X609" s="197">
        <v>0</v>
      </c>
      <c r="Y609" s="199">
        <f t="shared" si="362"/>
        <v>7.6617831505534251E-2</v>
      </c>
    </row>
    <row r="610" spans="2:25">
      <c r="B610" s="189" t="s">
        <v>14</v>
      </c>
      <c r="C610" s="190" t="s">
        <v>67</v>
      </c>
      <c r="D610" s="190">
        <v>5</v>
      </c>
      <c r="E610" s="191">
        <v>6</v>
      </c>
      <c r="F610" s="192">
        <v>43131</v>
      </c>
      <c r="G610" s="24">
        <v>509.90911959604773</v>
      </c>
      <c r="H610" s="24">
        <v>484.30799999999999</v>
      </c>
      <c r="I610" s="193">
        <v>79.599999999999994</v>
      </c>
      <c r="J610" s="194">
        <v>71.33</v>
      </c>
      <c r="K610" s="193">
        <v>103.2</v>
      </c>
      <c r="L610" s="194">
        <v>96.31</v>
      </c>
      <c r="M610" s="195">
        <v>0.82763481424572438</v>
      </c>
      <c r="N610" s="195">
        <f t="shared" si="363"/>
        <v>0.83810611566815496</v>
      </c>
      <c r="O610" s="195">
        <f>G610/24/31/5</f>
        <v>0.1370723439774322</v>
      </c>
      <c r="P610" s="195">
        <f>H610/24/31/5</f>
        <v>0.13019032258064517</v>
      </c>
      <c r="Q610" s="195">
        <v>0.98499999999999999</v>
      </c>
      <c r="R610" s="195">
        <v>0.98080000000000001</v>
      </c>
      <c r="S610" s="196">
        <v>0.99</v>
      </c>
      <c r="T610" s="197">
        <v>0.9849</v>
      </c>
      <c r="U610" s="198">
        <v>1.4999999999999999E-2</v>
      </c>
      <c r="V610" s="197">
        <v>0</v>
      </c>
      <c r="W610" s="198">
        <v>0</v>
      </c>
      <c r="X610" s="197">
        <v>0</v>
      </c>
      <c r="Y610" s="199">
        <f t="shared" si="362"/>
        <v>1.6556345404165174E-2</v>
      </c>
    </row>
    <row r="611" spans="2:25">
      <c r="B611" s="189" t="s">
        <v>14</v>
      </c>
      <c r="C611" s="190" t="s">
        <v>67</v>
      </c>
      <c r="D611" s="190">
        <v>5</v>
      </c>
      <c r="E611" s="191">
        <v>6</v>
      </c>
      <c r="F611" s="192">
        <v>43159</v>
      </c>
      <c r="G611" s="24">
        <v>669.4691981682081</v>
      </c>
      <c r="H611" s="24">
        <f>686193/1000</f>
        <v>686.19299999999998</v>
      </c>
      <c r="I611" s="193">
        <v>108.1</v>
      </c>
      <c r="J611" s="194">
        <v>108.25</v>
      </c>
      <c r="K611" s="193">
        <v>137.5</v>
      </c>
      <c r="L611" s="194">
        <v>138.13</v>
      </c>
      <c r="M611" s="195">
        <v>0.81555559393111998</v>
      </c>
      <c r="N611" s="195">
        <f t="shared" si="363"/>
        <v>0.82795554912039382</v>
      </c>
      <c r="O611" s="195">
        <f>G611/24/28/5</f>
        <v>0.19924678516910957</v>
      </c>
      <c r="P611" s="195">
        <f>H611/24/28/5</f>
        <v>0.20422410714285713</v>
      </c>
      <c r="Q611" s="195">
        <v>0.98499999999999999</v>
      </c>
      <c r="R611" s="195">
        <v>0.9385</v>
      </c>
      <c r="S611" s="196">
        <v>0.99</v>
      </c>
      <c r="T611" s="197">
        <v>0.97330000000000005</v>
      </c>
      <c r="U611" s="198">
        <v>1.4999999999999999E-2</v>
      </c>
      <c r="V611" s="197">
        <v>0</v>
      </c>
      <c r="W611" s="198">
        <v>0</v>
      </c>
      <c r="X611" s="197">
        <v>0</v>
      </c>
      <c r="Y611" s="199">
        <f t="shared" si="362"/>
        <v>2.0398870814107628E-2</v>
      </c>
    </row>
    <row r="612" spans="2:25">
      <c r="B612" s="189" t="s">
        <v>14</v>
      </c>
      <c r="C612" s="190" t="s">
        <v>67</v>
      </c>
      <c r="D612" s="190">
        <v>5</v>
      </c>
      <c r="E612" s="191">
        <v>6</v>
      </c>
      <c r="F612" s="192">
        <v>43190</v>
      </c>
      <c r="G612" s="24">
        <v>898</v>
      </c>
      <c r="H612" s="24">
        <v>849.06</v>
      </c>
      <c r="I612" s="193">
        <v>161.4</v>
      </c>
      <c r="J612" s="194">
        <v>162.26</v>
      </c>
      <c r="K612" s="193">
        <v>187.8</v>
      </c>
      <c r="L612" s="194">
        <v>186.97</v>
      </c>
      <c r="M612" s="195">
        <v>0.80080060538540998</v>
      </c>
      <c r="N612" s="195">
        <f t="shared" si="363"/>
        <v>0.75685938920682461</v>
      </c>
      <c r="O612" s="195">
        <f>G612/24/31/5</f>
        <v>0.24139784946236556</v>
      </c>
      <c r="P612" s="195">
        <f>H612/24/31/5</f>
        <v>0.22824193548387095</v>
      </c>
      <c r="Q612" s="195">
        <v>0.98499999999999999</v>
      </c>
      <c r="R612" s="195">
        <v>0.92633659999999995</v>
      </c>
      <c r="S612" s="196">
        <v>0.99</v>
      </c>
      <c r="T612" s="197">
        <v>0.99950000000000006</v>
      </c>
      <c r="U612" s="198">
        <v>1.4999999999999999E-2</v>
      </c>
      <c r="V612" s="197">
        <v>0</v>
      </c>
      <c r="W612" s="198">
        <v>0</v>
      </c>
      <c r="X612" s="197">
        <v>0</v>
      </c>
      <c r="Y612" s="199">
        <f t="shared" si="362"/>
        <v>-5.0079291100089907E-2</v>
      </c>
    </row>
    <row r="613" spans="2:25">
      <c r="B613" s="189" t="s">
        <v>14</v>
      </c>
      <c r="C613" s="190" t="s">
        <v>67</v>
      </c>
      <c r="D613" s="190">
        <v>5</v>
      </c>
      <c r="E613" s="191">
        <v>6</v>
      </c>
      <c r="F613" s="192">
        <v>43220</v>
      </c>
      <c r="G613" s="24">
        <v>873.50033665575188</v>
      </c>
      <c r="H613" s="24">
        <v>727.28899999999999</v>
      </c>
      <c r="I613" s="193">
        <v>190.2</v>
      </c>
      <c r="J613" s="194">
        <v>153.721</v>
      </c>
      <c r="K613" s="193">
        <v>194</v>
      </c>
      <c r="L613" s="194">
        <v>157.76</v>
      </c>
      <c r="M613" s="195">
        <f>G613/E613/K613/Q613</f>
        <v>0.76185770810940034</v>
      </c>
      <c r="N613" s="195">
        <f>H613/E613/L613/R613</f>
        <v>0.79737292469892351</v>
      </c>
      <c r="O613" s="195">
        <f>G613/24/DAY(F613)/D613</f>
        <v>0.24263898240437548</v>
      </c>
      <c r="P613" s="195">
        <f>H613/24/DAY(F613)/D613</f>
        <v>0.20202472222222223</v>
      </c>
      <c r="Q613" s="195">
        <v>0.98499999999999999</v>
      </c>
      <c r="R613" s="195">
        <v>0.96360132000000009</v>
      </c>
      <c r="S613" s="196">
        <v>0.99</v>
      </c>
      <c r="T613" s="197">
        <v>0.97570000000000001</v>
      </c>
      <c r="U613" s="198">
        <v>1.4999999999999999E-2</v>
      </c>
      <c r="V613" s="197">
        <v>0</v>
      </c>
      <c r="W613" s="198">
        <v>0</v>
      </c>
      <c r="X613" s="197">
        <v>0</v>
      </c>
      <c r="Y613" s="199">
        <f t="shared" si="362"/>
        <v>1.941857098730726E-2</v>
      </c>
    </row>
    <row r="614" spans="2:25">
      <c r="B614" s="189" t="s">
        <v>14</v>
      </c>
      <c r="C614" s="190" t="s">
        <v>67</v>
      </c>
      <c r="D614" s="190">
        <v>5</v>
      </c>
      <c r="E614" s="191">
        <v>6</v>
      </c>
      <c r="F614" s="192">
        <v>43251</v>
      </c>
      <c r="G614" s="24">
        <v>884.87786204916699</v>
      </c>
      <c r="H614" s="24">
        <f>819111/1000</f>
        <v>819.11099999999999</v>
      </c>
      <c r="I614" s="193">
        <v>197</v>
      </c>
      <c r="J614" s="194">
        <v>170.5</v>
      </c>
      <c r="K614" s="193">
        <v>197.7</v>
      </c>
      <c r="L614" s="194">
        <v>172.13</v>
      </c>
      <c r="M614" s="195">
        <f t="shared" ref="M614:M670" si="364">G614/E614/K614/Q614</f>
        <v>0.75733700846465923</v>
      </c>
      <c r="N614" s="195">
        <f t="shared" ref="N614:N670" si="365">H614/E614/L614/R614</f>
        <v>0.79549926139307936</v>
      </c>
      <c r="O614" s="195">
        <f t="shared" ref="O614:O670" si="366">G614/24/DAY(F614)/D614</f>
        <v>0.23787039302396962</v>
      </c>
      <c r="P614" s="195">
        <f t="shared" ref="P614:P670" si="367">H614/24/DAY(F614)/D614</f>
        <v>0.22019112903225807</v>
      </c>
      <c r="Q614" s="195">
        <v>0.98499999999999999</v>
      </c>
      <c r="R614" s="195">
        <v>0.997</v>
      </c>
      <c r="S614" s="196">
        <v>0.99</v>
      </c>
      <c r="T614" s="197">
        <v>0.999</v>
      </c>
      <c r="U614" s="198">
        <v>1.4999999999999999E-2</v>
      </c>
      <c r="V614" s="197">
        <v>0</v>
      </c>
      <c r="W614" s="198">
        <v>0</v>
      </c>
      <c r="X614" s="197">
        <v>0</v>
      </c>
      <c r="Y614" s="199">
        <f t="shared" si="362"/>
        <v>5.501428413992393E-2</v>
      </c>
    </row>
    <row r="615" spans="2:25">
      <c r="B615" s="189" t="s">
        <v>14</v>
      </c>
      <c r="C615" s="190" t="s">
        <v>67</v>
      </c>
      <c r="D615" s="190">
        <v>5</v>
      </c>
      <c r="E615" s="191">
        <v>6</v>
      </c>
      <c r="F615" s="192">
        <v>43281</v>
      </c>
      <c r="G615" s="24">
        <v>794.59169279819457</v>
      </c>
      <c r="H615" s="24">
        <f>783786/1000</f>
        <v>783.78599999999994</v>
      </c>
      <c r="I615" s="193">
        <v>178.9</v>
      </c>
      <c r="J615" s="194">
        <f>5.29*30</f>
        <v>158.69999999999999</v>
      </c>
      <c r="K615" s="193">
        <v>177.2</v>
      </c>
      <c r="L615" s="194">
        <f>5.31*30</f>
        <v>159.29999999999998</v>
      </c>
      <c r="M615" s="195">
        <f t="shared" si="364"/>
        <v>0.75873972338863482</v>
      </c>
      <c r="N615" s="195">
        <f t="shared" si="365"/>
        <v>0.82789640314944268</v>
      </c>
      <c r="O615" s="195">
        <f t="shared" si="366"/>
        <v>0.22071991466616514</v>
      </c>
      <c r="P615" s="195">
        <f t="shared" si="367"/>
        <v>0.21771833333333332</v>
      </c>
      <c r="Q615" s="195">
        <v>0.98499999999999999</v>
      </c>
      <c r="R615" s="195">
        <v>0.99050000000000005</v>
      </c>
      <c r="S615" s="196">
        <v>0.99</v>
      </c>
      <c r="T615" s="197">
        <v>0.99109999999999998</v>
      </c>
      <c r="U615" s="198">
        <v>1.4999999999999999E-2</v>
      </c>
      <c r="V615" s="197">
        <v>0</v>
      </c>
      <c r="W615" s="198">
        <v>0</v>
      </c>
      <c r="X615" s="197">
        <v>0</v>
      </c>
      <c r="Y615" s="199">
        <f t="shared" si="362"/>
        <v>8.7416750551162381E-2</v>
      </c>
    </row>
    <row r="616" spans="2:25">
      <c r="B616" s="189" t="s">
        <v>14</v>
      </c>
      <c r="C616" s="190" t="s">
        <v>67</v>
      </c>
      <c r="D616" s="190">
        <v>5</v>
      </c>
      <c r="E616" s="191">
        <v>6</v>
      </c>
      <c r="F616" s="192">
        <v>43312</v>
      </c>
      <c r="G616" s="24">
        <v>703.20447270269779</v>
      </c>
      <c r="H616" s="24">
        <f>639015/1000</f>
        <v>639.01499999999999</v>
      </c>
      <c r="I616" s="193">
        <v>155.5</v>
      </c>
      <c r="J616" s="194">
        <v>129.88999999999999</v>
      </c>
      <c r="K616" s="193">
        <v>154.6</v>
      </c>
      <c r="L616" s="194">
        <v>127.76</v>
      </c>
      <c r="M616" s="195">
        <f t="shared" si="364"/>
        <v>0.76963472429554336</v>
      </c>
      <c r="N616" s="195">
        <f t="shared" si="365"/>
        <v>0.84536437190790426</v>
      </c>
      <c r="O616" s="195">
        <f t="shared" si="366"/>
        <v>0.18903346040395103</v>
      </c>
      <c r="P616" s="195">
        <f t="shared" si="367"/>
        <v>0.17177822580645161</v>
      </c>
      <c r="Q616" s="195">
        <v>0.98499999999999999</v>
      </c>
      <c r="R616" s="195">
        <v>0.98609999999999998</v>
      </c>
      <c r="S616" s="196">
        <v>0.99</v>
      </c>
      <c r="T616" s="197">
        <v>0.99009999999999998</v>
      </c>
      <c r="U616" s="198">
        <v>1.4999999999999999E-2</v>
      </c>
      <c r="V616" s="197">
        <v>0</v>
      </c>
      <c r="W616" s="198">
        <v>0</v>
      </c>
      <c r="X616" s="197">
        <v>0</v>
      </c>
      <c r="Y616" s="199">
        <f t="shared" si="362"/>
        <v>8.232793718637843E-2</v>
      </c>
    </row>
    <row r="617" spans="2:25">
      <c r="B617" s="189" t="s">
        <v>14</v>
      </c>
      <c r="C617" s="190" t="s">
        <v>67</v>
      </c>
      <c r="D617" s="190">
        <v>5</v>
      </c>
      <c r="E617" s="191">
        <v>6</v>
      </c>
      <c r="F617" s="192">
        <v>43343</v>
      </c>
      <c r="G617" s="24">
        <v>667.69558296679691</v>
      </c>
      <c r="H617" s="24">
        <f>555228/1000</f>
        <v>555.22799999999995</v>
      </c>
      <c r="I617" s="193">
        <v>145.4</v>
      </c>
      <c r="J617" s="194">
        <v>112.6</v>
      </c>
      <c r="K617" s="193">
        <v>146.30000000000001</v>
      </c>
      <c r="L617" s="194">
        <v>111.44</v>
      </c>
      <c r="M617" s="195">
        <f t="shared" si="364"/>
        <v>0.77223004785475091</v>
      </c>
      <c r="N617" s="195">
        <f t="shared" si="365"/>
        <v>0.8513266999928315</v>
      </c>
      <c r="O617" s="195">
        <f t="shared" si="366"/>
        <v>0.17948805993731098</v>
      </c>
      <c r="P617" s="195">
        <f t="shared" si="367"/>
        <v>0.14925483870967743</v>
      </c>
      <c r="Q617" s="195">
        <v>0.98499999999999999</v>
      </c>
      <c r="R617" s="195">
        <v>0.97540000000000004</v>
      </c>
      <c r="S617" s="196">
        <v>0.99</v>
      </c>
      <c r="T617" s="197">
        <v>0.99939999999999996</v>
      </c>
      <c r="U617" s="198">
        <v>1.4999999999999999E-2</v>
      </c>
      <c r="V617" s="197">
        <v>0</v>
      </c>
      <c r="W617" s="198">
        <v>0</v>
      </c>
      <c r="X617" s="197">
        <v>0</v>
      </c>
      <c r="Y617" s="199">
        <f t="shared" si="362"/>
        <v>6.9836105674346061E-2</v>
      </c>
    </row>
    <row r="618" spans="2:25">
      <c r="B618" s="189" t="s">
        <v>14</v>
      </c>
      <c r="C618" s="190" t="s">
        <v>67</v>
      </c>
      <c r="D618" s="190">
        <v>5</v>
      </c>
      <c r="E618" s="191">
        <v>6</v>
      </c>
      <c r="F618" s="192">
        <v>43373</v>
      </c>
      <c r="G618" s="24">
        <v>665.30997280366148</v>
      </c>
      <c r="H618" s="24">
        <f>596019/1000</f>
        <v>596.01900000000001</v>
      </c>
      <c r="I618" s="193">
        <v>141.6</v>
      </c>
      <c r="J618" s="194">
        <v>118.77</v>
      </c>
      <c r="K618" s="193">
        <v>145.5</v>
      </c>
      <c r="L618" s="194">
        <v>121.43</v>
      </c>
      <c r="M618" s="195">
        <f t="shared" si="364"/>
        <v>0.77370171449597513</v>
      </c>
      <c r="N618" s="195">
        <f t="shared" si="365"/>
        <v>0.84474976242595501</v>
      </c>
      <c r="O618" s="195">
        <f t="shared" si="366"/>
        <v>0.18480832577879486</v>
      </c>
      <c r="P618" s="195">
        <f t="shared" si="367"/>
        <v>0.16556083333333332</v>
      </c>
      <c r="Q618" s="195">
        <v>0.98499999999999999</v>
      </c>
      <c r="R618" s="195">
        <v>0.96840000000000004</v>
      </c>
      <c r="S618" s="196">
        <v>0.99</v>
      </c>
      <c r="T618" s="197">
        <v>0.98180000000000001</v>
      </c>
      <c r="U618" s="198">
        <v>1.4999999999999999E-2</v>
      </c>
      <c r="V618" s="197">
        <v>0</v>
      </c>
      <c r="W618" s="198">
        <v>0</v>
      </c>
      <c r="X618" s="197">
        <v>0</v>
      </c>
      <c r="Y618" s="199">
        <f t="shared" si="362"/>
        <v>6.1281147805319902E-2</v>
      </c>
    </row>
    <row r="619" spans="2:25">
      <c r="B619" s="189" t="s">
        <v>14</v>
      </c>
      <c r="C619" s="190" t="s">
        <v>67</v>
      </c>
      <c r="D619" s="190">
        <v>5</v>
      </c>
      <c r="E619" s="191">
        <v>6</v>
      </c>
      <c r="F619" s="192">
        <v>43404</v>
      </c>
      <c r="G619" s="24">
        <v>762.84472678108409</v>
      </c>
      <c r="H619" s="24">
        <f>801405/1000</f>
        <v>801.40499999999997</v>
      </c>
      <c r="I619" s="193">
        <v>139.1</v>
      </c>
      <c r="J619" s="194">
        <f>4.44*31</f>
        <v>137.64000000000001</v>
      </c>
      <c r="K619" s="193">
        <v>172.2</v>
      </c>
      <c r="L619" s="194">
        <f>5.5*31</f>
        <v>170.5</v>
      </c>
      <c r="M619" s="195">
        <f t="shared" si="364"/>
        <v>0.74957573708323666</v>
      </c>
      <c r="N619" s="195">
        <f t="shared" si="365"/>
        <v>0.80215758424553907</v>
      </c>
      <c r="O619" s="195">
        <f t="shared" si="366"/>
        <v>0.20506578676910864</v>
      </c>
      <c r="P619" s="195">
        <f t="shared" si="367"/>
        <v>0.21543145161290322</v>
      </c>
      <c r="Q619" s="195">
        <v>0.98499999999999999</v>
      </c>
      <c r="R619" s="195">
        <v>0.97660000000000002</v>
      </c>
      <c r="S619" s="196">
        <v>0.99</v>
      </c>
      <c r="T619" s="197">
        <v>0.97660000000000002</v>
      </c>
      <c r="U619" s="198">
        <v>1.4999999999999999E-2</v>
      </c>
      <c r="V619" s="197">
        <v>0</v>
      </c>
      <c r="W619" s="198">
        <v>0</v>
      </c>
      <c r="X619" s="197">
        <v>0</v>
      </c>
      <c r="Y619" s="199">
        <f t="shared" si="362"/>
        <v>6.0420238917923474E-2</v>
      </c>
    </row>
    <row r="620" spans="2:25">
      <c r="B620" s="189" t="s">
        <v>14</v>
      </c>
      <c r="C620" s="190" t="s">
        <v>67</v>
      </c>
      <c r="D620" s="190">
        <v>5</v>
      </c>
      <c r="E620" s="191">
        <v>6</v>
      </c>
      <c r="F620" s="192">
        <v>43434</v>
      </c>
      <c r="G620" s="24">
        <v>675.03592193029067</v>
      </c>
      <c r="H620" s="24">
        <f>621432/1000</f>
        <v>621.43200000000002</v>
      </c>
      <c r="I620" s="193">
        <v>108.1</v>
      </c>
      <c r="J620" s="194">
        <f>3.29*30</f>
        <v>98.7</v>
      </c>
      <c r="K620" s="193">
        <v>152.1</v>
      </c>
      <c r="L620" s="194">
        <f>4.5*30</f>
        <v>135</v>
      </c>
      <c r="M620" s="195">
        <f t="shared" si="364"/>
        <v>0.75094856101470631</v>
      </c>
      <c r="N620" s="195">
        <f t="shared" si="365"/>
        <v>0.77237491190979568</v>
      </c>
      <c r="O620" s="195">
        <f t="shared" si="366"/>
        <v>0.18750997831396962</v>
      </c>
      <c r="P620" s="195">
        <f t="shared" si="367"/>
        <v>0.17262</v>
      </c>
      <c r="Q620" s="195">
        <v>0.98499999999999999</v>
      </c>
      <c r="R620" s="195">
        <v>0.99329999999999996</v>
      </c>
      <c r="S620" s="196">
        <v>0.99</v>
      </c>
      <c r="T620" s="197">
        <v>0.99990000000000001</v>
      </c>
      <c r="U620" s="198">
        <v>1.4999999999999999E-2</v>
      </c>
      <c r="V620" s="197">
        <v>0</v>
      </c>
      <c r="W620" s="198">
        <v>0</v>
      </c>
      <c r="X620" s="197">
        <v>0</v>
      </c>
      <c r="Y620" s="199">
        <f t="shared" si="362"/>
        <v>3.301704379032766E-2</v>
      </c>
    </row>
    <row r="621" spans="2:25">
      <c r="B621" s="189" t="s">
        <v>14</v>
      </c>
      <c r="C621" s="190" t="s">
        <v>67</v>
      </c>
      <c r="D621" s="190">
        <v>5</v>
      </c>
      <c r="E621" s="191">
        <v>6</v>
      </c>
      <c r="F621" s="192">
        <v>43465</v>
      </c>
      <c r="G621" s="24">
        <v>567.27057052249859</v>
      </c>
      <c r="H621" s="24">
        <f>570207/1000</f>
        <v>570.20699999999999</v>
      </c>
      <c r="I621" s="193">
        <v>89.9</v>
      </c>
      <c r="J621" s="194">
        <v>88.04</v>
      </c>
      <c r="K621" s="193">
        <v>129.6</v>
      </c>
      <c r="L621" s="194">
        <v>126.17</v>
      </c>
      <c r="M621" s="195">
        <f t="shared" si="364"/>
        <v>0.74062398232032267</v>
      </c>
      <c r="N621" s="195">
        <f t="shared" si="365"/>
        <v>0.79286926994906615</v>
      </c>
      <c r="O621" s="195">
        <f t="shared" si="366"/>
        <v>0.15249208885013404</v>
      </c>
      <c r="P621" s="195">
        <f t="shared" si="367"/>
        <v>0.15328145161290321</v>
      </c>
      <c r="Q621" s="195">
        <v>0.98499999999999999</v>
      </c>
      <c r="R621" s="195">
        <v>0.95</v>
      </c>
      <c r="S621" s="196">
        <v>0.99</v>
      </c>
      <c r="T621" s="197">
        <v>0.99829999999999997</v>
      </c>
      <c r="U621" s="198">
        <v>1.4999999999999999E-2</v>
      </c>
      <c r="V621" s="197">
        <v>0</v>
      </c>
      <c r="W621" s="198">
        <v>0</v>
      </c>
      <c r="X621" s="197">
        <v>0</v>
      </c>
      <c r="Y621" s="199">
        <f t="shared" si="362"/>
        <v>3.1642467180658107E-2</v>
      </c>
    </row>
    <row r="622" spans="2:25">
      <c r="B622" s="189" t="s">
        <v>14</v>
      </c>
      <c r="C622" s="190" t="s">
        <v>67</v>
      </c>
      <c r="D622" s="190">
        <v>5</v>
      </c>
      <c r="E622" s="191">
        <v>6</v>
      </c>
      <c r="F622" s="192">
        <v>43496</v>
      </c>
      <c r="G622" s="24">
        <v>477.20140004213414</v>
      </c>
      <c r="H622" s="24">
        <f>565827/1000</f>
        <v>565.827</v>
      </c>
      <c r="I622" s="193">
        <v>79.599999999999994</v>
      </c>
      <c r="J622" s="194">
        <v>87.11</v>
      </c>
      <c r="K622" s="193">
        <v>103.2</v>
      </c>
      <c r="L622" s="194">
        <v>121.52</v>
      </c>
      <c r="M622" s="195">
        <f t="shared" si="364"/>
        <v>0.78241024941652915</v>
      </c>
      <c r="N622" s="195">
        <f t="shared" si="365"/>
        <v>0.7899439952244427</v>
      </c>
      <c r="O622" s="195">
        <f t="shared" si="366"/>
        <v>0.12827994624788552</v>
      </c>
      <c r="P622" s="195">
        <f t="shared" si="367"/>
        <v>0.15210403225806451</v>
      </c>
      <c r="Q622" s="195">
        <v>0.98499999999999999</v>
      </c>
      <c r="R622" s="195">
        <v>0.98240000000000005</v>
      </c>
      <c r="S622" s="196">
        <v>0.99</v>
      </c>
      <c r="T622" s="197">
        <v>0.99409999999999998</v>
      </c>
      <c r="U622" s="198">
        <v>1.4999999999999999E-2</v>
      </c>
      <c r="V622" s="197">
        <v>0</v>
      </c>
      <c r="W622" s="198">
        <v>0</v>
      </c>
      <c r="X622" s="197">
        <v>0</v>
      </c>
      <c r="Y622" s="199">
        <f t="shared" si="362"/>
        <v>8.2001087190721744E-3</v>
      </c>
    </row>
    <row r="623" spans="2:25">
      <c r="B623" s="189" t="s">
        <v>14</v>
      </c>
      <c r="C623" s="190" t="s">
        <v>67</v>
      </c>
      <c r="D623" s="190">
        <v>5</v>
      </c>
      <c r="E623" s="191">
        <v>6</v>
      </c>
      <c r="F623" s="192">
        <v>43524</v>
      </c>
      <c r="G623" s="24">
        <v>626.65207765242167</v>
      </c>
      <c r="H623" s="24">
        <v>514.51199999999994</v>
      </c>
      <c r="I623" s="193">
        <v>108.1</v>
      </c>
      <c r="J623" s="194">
        <v>88.759999999999991</v>
      </c>
      <c r="K623" s="193">
        <v>137.5</v>
      </c>
      <c r="L623" s="194">
        <v>108.64</v>
      </c>
      <c r="M623" s="195">
        <f t="shared" si="364"/>
        <v>0.77114545780947141</v>
      </c>
      <c r="N623" s="195">
        <f t="shared" si="365"/>
        <v>0.84212368839962237</v>
      </c>
      <c r="O623" s="195">
        <f t="shared" si="366"/>
        <v>0.1865035945394112</v>
      </c>
      <c r="P623" s="195">
        <f t="shared" si="367"/>
        <v>0.15312857142857142</v>
      </c>
      <c r="Q623" s="195">
        <v>0.98499999999999999</v>
      </c>
      <c r="R623" s="195">
        <v>0.93730000000000002</v>
      </c>
      <c r="S623" s="196">
        <v>0.99</v>
      </c>
      <c r="T623" s="197">
        <v>0.96640000000000004</v>
      </c>
      <c r="U623" s="198">
        <v>1.4999999999999999E-2</v>
      </c>
      <c r="V623" s="197">
        <v>0</v>
      </c>
      <c r="W623" s="198">
        <v>0</v>
      </c>
      <c r="X623" s="197">
        <v>0</v>
      </c>
      <c r="Y623" s="199">
        <f t="shared" si="362"/>
        <v>3.0939810624079689E-2</v>
      </c>
    </row>
    <row r="624" spans="2:25">
      <c r="B624" s="189" t="s">
        <v>14</v>
      </c>
      <c r="C624" s="190" t="s">
        <v>67</v>
      </c>
      <c r="D624" s="190">
        <v>5</v>
      </c>
      <c r="E624" s="191">
        <v>6</v>
      </c>
      <c r="F624" s="192">
        <v>43555</v>
      </c>
      <c r="G624" s="24">
        <v>840.28346776120202</v>
      </c>
      <c r="H624" s="24">
        <f>850725/1000</f>
        <v>850.72500000000002</v>
      </c>
      <c r="I624" s="193">
        <v>161.4</v>
      </c>
      <c r="J624" s="194">
        <v>155.55000000000001</v>
      </c>
      <c r="K624" s="193">
        <v>187.8</v>
      </c>
      <c r="L624" s="194">
        <v>178.62</v>
      </c>
      <c r="M624" s="195">
        <f t="shared" si="364"/>
        <v>0.75708170278818598</v>
      </c>
      <c r="N624" s="195">
        <f t="shared" si="365"/>
        <v>0.80367934393850538</v>
      </c>
      <c r="O624" s="195">
        <f t="shared" si="366"/>
        <v>0.22588265262397905</v>
      </c>
      <c r="P624" s="195">
        <f t="shared" si="367"/>
        <v>0.22868951612903224</v>
      </c>
      <c r="Q624" s="195">
        <v>0.98499999999999999</v>
      </c>
      <c r="R624" s="195">
        <v>0.98770000000000002</v>
      </c>
      <c r="S624" s="196">
        <v>0.99</v>
      </c>
      <c r="T624" s="197">
        <v>0.99419999999999997</v>
      </c>
      <c r="U624" s="198">
        <v>1.4999999999999999E-2</v>
      </c>
      <c r="V624" s="197">
        <v>0</v>
      </c>
      <c r="W624" s="198">
        <v>0</v>
      </c>
      <c r="X624" s="197">
        <v>0</v>
      </c>
      <c r="Y624" s="199">
        <f t="shared" si="362"/>
        <v>6.1307991293442776E-2</v>
      </c>
    </row>
    <row r="625" spans="2:25">
      <c r="B625" s="189" t="s">
        <v>14</v>
      </c>
      <c r="C625" s="190" t="s">
        <v>67</v>
      </c>
      <c r="D625" s="190">
        <v>5</v>
      </c>
      <c r="E625" s="191">
        <v>6</v>
      </c>
      <c r="F625" s="192">
        <v>43585</v>
      </c>
      <c r="G625" s="24">
        <v>869.13283497247312</v>
      </c>
      <c r="H625" s="24">
        <f>827004/1000</f>
        <v>827.00400000000002</v>
      </c>
      <c r="I625" s="193">
        <v>190.2</v>
      </c>
      <c r="J625" s="194">
        <f>5.8*30</f>
        <v>174</v>
      </c>
      <c r="K625" s="193">
        <v>194</v>
      </c>
      <c r="L625" s="194">
        <f>6*30</f>
        <v>180</v>
      </c>
      <c r="M625" s="195">
        <f t="shared" si="364"/>
        <v>0.75804841956885338</v>
      </c>
      <c r="N625" s="195">
        <f t="shared" si="365"/>
        <v>0.77122010720560419</v>
      </c>
      <c r="O625" s="195">
        <f t="shared" si="366"/>
        <v>0.24142578749235363</v>
      </c>
      <c r="P625" s="195">
        <f t="shared" si="367"/>
        <v>0.22972333333333333</v>
      </c>
      <c r="Q625" s="195">
        <v>0.98499999999999999</v>
      </c>
      <c r="R625" s="195">
        <v>0.9929</v>
      </c>
      <c r="S625" s="196">
        <v>0.99</v>
      </c>
      <c r="T625" s="197">
        <v>0.99560000000000004</v>
      </c>
      <c r="U625" s="198">
        <v>1.4999999999999999E-2</v>
      </c>
      <c r="V625" s="197">
        <v>0</v>
      </c>
      <c r="W625" s="198">
        <v>0</v>
      </c>
      <c r="X625" s="197">
        <v>0</v>
      </c>
      <c r="Y625" s="199">
        <f t="shared" si="362"/>
        <v>2.3692685898014654E-2</v>
      </c>
    </row>
    <row r="626" spans="2:25">
      <c r="B626" s="189" t="s">
        <v>14</v>
      </c>
      <c r="C626" s="190" t="s">
        <v>67</v>
      </c>
      <c r="D626" s="190">
        <v>5</v>
      </c>
      <c r="E626" s="191">
        <v>6</v>
      </c>
      <c r="F626" s="192">
        <v>43616</v>
      </c>
      <c r="G626" s="24">
        <v>880.45347273892116</v>
      </c>
      <c r="H626" s="24">
        <f>844821/1000</f>
        <v>844.82100000000003</v>
      </c>
      <c r="I626" s="193">
        <v>197</v>
      </c>
      <c r="J626" s="194">
        <v>192.85</v>
      </c>
      <c r="K626" s="193">
        <v>197.7</v>
      </c>
      <c r="L626" s="194">
        <v>194.47</v>
      </c>
      <c r="M626" s="195">
        <f t="shared" si="364"/>
        <v>0.75355032342233597</v>
      </c>
      <c r="N626" s="195">
        <f t="shared" si="365"/>
        <v>0.74673796054979591</v>
      </c>
      <c r="O626" s="195">
        <f t="shared" si="366"/>
        <v>0.23668104105884979</v>
      </c>
      <c r="P626" s="195">
        <f t="shared" si="367"/>
        <v>0.22710241935483871</v>
      </c>
      <c r="Q626" s="195">
        <v>0.98499999999999999</v>
      </c>
      <c r="R626" s="195">
        <v>0.96960000000000002</v>
      </c>
      <c r="S626" s="196">
        <v>0.99</v>
      </c>
      <c r="T626" s="197">
        <v>0.9859</v>
      </c>
      <c r="U626" s="198">
        <v>1.4999999999999999E-2</v>
      </c>
      <c r="V626" s="197">
        <v>0</v>
      </c>
      <c r="W626" s="198">
        <v>0</v>
      </c>
      <c r="X626" s="197">
        <v>0</v>
      </c>
      <c r="Y626" s="199">
        <f t="shared" si="362"/>
        <v>-2.4132705711203073E-2</v>
      </c>
    </row>
    <row r="627" spans="2:25">
      <c r="B627" s="189" t="s">
        <v>14</v>
      </c>
      <c r="C627" s="190" t="s">
        <v>67</v>
      </c>
      <c r="D627" s="190">
        <v>5</v>
      </c>
      <c r="E627" s="191">
        <v>6</v>
      </c>
      <c r="F627" s="192">
        <v>43646</v>
      </c>
      <c r="G627" s="24">
        <v>790.61873433420351</v>
      </c>
      <c r="H627" s="24">
        <f>827802/1000</f>
        <v>827.80200000000002</v>
      </c>
      <c r="I627" s="193">
        <v>178.9</v>
      </c>
      <c r="J627" s="194">
        <v>190.2</v>
      </c>
      <c r="K627" s="193">
        <v>177.2</v>
      </c>
      <c r="L627" s="194">
        <v>187.5</v>
      </c>
      <c r="M627" s="195">
        <f t="shared" si="364"/>
        <v>0.75494602477169159</v>
      </c>
      <c r="N627" s="195">
        <f t="shared" si="365"/>
        <v>0.73707703095261956</v>
      </c>
      <c r="O627" s="195">
        <f t="shared" si="366"/>
        <v>0.2196163150928343</v>
      </c>
      <c r="P627" s="195">
        <f t="shared" si="367"/>
        <v>0.22994500000000001</v>
      </c>
      <c r="Q627" s="195">
        <v>0.98499999999999999</v>
      </c>
      <c r="R627" s="195">
        <v>0.99829999999999997</v>
      </c>
      <c r="S627" s="196">
        <v>0.99</v>
      </c>
      <c r="T627" s="197">
        <v>0.99909999999999999</v>
      </c>
      <c r="U627" s="198">
        <v>1.4999999999999999E-2</v>
      </c>
      <c r="V627" s="197">
        <v>0</v>
      </c>
      <c r="W627" s="198">
        <v>0</v>
      </c>
      <c r="X627" s="197">
        <v>0</v>
      </c>
      <c r="Y627" s="199">
        <f t="shared" si="362"/>
        <v>-1.1095820677103241E-2</v>
      </c>
    </row>
    <row r="628" spans="2:25">
      <c r="B628" s="189" t="s">
        <v>14</v>
      </c>
      <c r="C628" s="190" t="s">
        <v>67</v>
      </c>
      <c r="D628" s="190">
        <v>5</v>
      </c>
      <c r="E628" s="191">
        <v>6</v>
      </c>
      <c r="F628" s="192">
        <v>43677</v>
      </c>
      <c r="G628" s="24">
        <v>699.68845033918421</v>
      </c>
      <c r="H628" s="24">
        <v>636.17999999999995</v>
      </c>
      <c r="I628" s="193">
        <v>155.5</v>
      </c>
      <c r="J628" s="194">
        <v>142.29</v>
      </c>
      <c r="K628" s="193">
        <v>154.6</v>
      </c>
      <c r="L628" s="194">
        <v>141.04999999999998</v>
      </c>
      <c r="M628" s="195">
        <f t="shared" si="364"/>
        <v>0.76578655067406554</v>
      </c>
      <c r="N628" s="195">
        <f t="shared" si="365"/>
        <v>0.79412555302497578</v>
      </c>
      <c r="O628" s="195">
        <f t="shared" si="366"/>
        <v>0.18808829310193126</v>
      </c>
      <c r="P628" s="195">
        <f t="shared" si="367"/>
        <v>0.17101612903225805</v>
      </c>
      <c r="Q628" s="195">
        <v>0.98499999999999999</v>
      </c>
      <c r="R628" s="195">
        <v>0.9466</v>
      </c>
      <c r="S628" s="196">
        <v>0.99</v>
      </c>
      <c r="T628" s="197">
        <v>0.98119999999999996</v>
      </c>
      <c r="U628" s="198">
        <v>1.4999999999999999E-2</v>
      </c>
      <c r="V628" s="197">
        <v>0</v>
      </c>
      <c r="W628" s="198">
        <v>0</v>
      </c>
      <c r="X628" s="197">
        <v>0</v>
      </c>
      <c r="Y628" s="199">
        <f t="shared" si="362"/>
        <v>-3.1212184035209756E-3</v>
      </c>
    </row>
    <row r="629" spans="2:25">
      <c r="B629" s="189" t="s">
        <v>14</v>
      </c>
      <c r="C629" s="190" t="s">
        <v>67</v>
      </c>
      <c r="D629" s="190">
        <v>5</v>
      </c>
      <c r="E629" s="191">
        <v>6</v>
      </c>
      <c r="F629" s="192">
        <v>43708</v>
      </c>
      <c r="G629" s="24">
        <v>664.35710505196289</v>
      </c>
      <c r="H629" s="24">
        <f>626253/1000</f>
        <v>626.25300000000004</v>
      </c>
      <c r="I629" s="193">
        <v>145.4</v>
      </c>
      <c r="J629" s="194">
        <v>139</v>
      </c>
      <c r="K629" s="193">
        <v>146.30000000000001</v>
      </c>
      <c r="L629" s="194">
        <v>140</v>
      </c>
      <c r="M629" s="195">
        <f t="shared" si="364"/>
        <v>0.76836889761547711</v>
      </c>
      <c r="N629" s="195">
        <f t="shared" si="365"/>
        <v>0.79262097141642118</v>
      </c>
      <c r="O629" s="195">
        <f t="shared" si="366"/>
        <v>0.17859061963762443</v>
      </c>
      <c r="P629" s="195">
        <f t="shared" si="367"/>
        <v>0.16834758064516128</v>
      </c>
      <c r="Q629" s="195">
        <v>0.98499999999999999</v>
      </c>
      <c r="R629" s="195">
        <v>0.94059999999999999</v>
      </c>
      <c r="S629" s="196">
        <v>0.99</v>
      </c>
      <c r="T629" s="197">
        <v>0.98119999999999996</v>
      </c>
      <c r="U629" s="198">
        <v>1.4999999999999999E-2</v>
      </c>
      <c r="V629" s="197">
        <v>0</v>
      </c>
      <c r="W629" s="198">
        <v>0</v>
      </c>
      <c r="X629" s="197">
        <v>0</v>
      </c>
      <c r="Y629" s="199">
        <f t="shared" si="362"/>
        <v>-1.4292653476330353E-2</v>
      </c>
    </row>
    <row r="630" spans="2:25">
      <c r="B630" s="189" t="s">
        <v>14</v>
      </c>
      <c r="C630" s="190" t="s">
        <v>67</v>
      </c>
      <c r="D630" s="190">
        <v>5</v>
      </c>
      <c r="E630" s="191">
        <v>6</v>
      </c>
      <c r="F630" s="192">
        <v>43738</v>
      </c>
      <c r="G630" s="24">
        <v>661.98342293964322</v>
      </c>
      <c r="H630" s="24">
        <f>634866/1000</f>
        <v>634.86599999999999</v>
      </c>
      <c r="I630" s="193">
        <v>141.6</v>
      </c>
      <c r="J630" s="194">
        <v>143</v>
      </c>
      <c r="K630" s="193">
        <v>145.5</v>
      </c>
      <c r="L630" s="194">
        <v>153</v>
      </c>
      <c r="M630" s="195">
        <f t="shared" si="364"/>
        <v>0.76983320592349536</v>
      </c>
      <c r="N630" s="195">
        <f t="shared" si="365"/>
        <v>0.71994083218685478</v>
      </c>
      <c r="O630" s="195">
        <f t="shared" si="366"/>
        <v>0.18388428414990091</v>
      </c>
      <c r="P630" s="195">
        <f t="shared" si="367"/>
        <v>0.17635166666666666</v>
      </c>
      <c r="Q630" s="195">
        <v>0.98499999999999999</v>
      </c>
      <c r="R630" s="195">
        <v>0.96060000000000001</v>
      </c>
      <c r="S630" s="196">
        <v>0.99</v>
      </c>
      <c r="T630" s="197">
        <v>0.99760000000000004</v>
      </c>
      <c r="U630" s="198">
        <v>1.4999999999999999E-2</v>
      </c>
      <c r="V630" s="197">
        <v>0</v>
      </c>
      <c r="W630" s="198">
        <v>0</v>
      </c>
      <c r="X630" s="197">
        <v>0</v>
      </c>
      <c r="Y630" s="199">
        <f t="shared" si="362"/>
        <v>-9.2510292055736021E-2</v>
      </c>
    </row>
    <row r="631" spans="2:25">
      <c r="B631" s="189" t="s">
        <v>14</v>
      </c>
      <c r="C631" s="190" t="s">
        <v>67</v>
      </c>
      <c r="D631" s="190">
        <v>5</v>
      </c>
      <c r="E631" s="191">
        <v>6</v>
      </c>
      <c r="F631" s="192">
        <v>43769</v>
      </c>
      <c r="G631" s="24">
        <v>759.03050314717859</v>
      </c>
      <c r="H631" s="24">
        <f>579075/1000</f>
        <v>579.07500000000005</v>
      </c>
      <c r="I631" s="193">
        <v>139.1</v>
      </c>
      <c r="J631" s="194">
        <v>124.62</v>
      </c>
      <c r="K631" s="193">
        <v>172.2</v>
      </c>
      <c r="L631" s="194">
        <v>150.97</v>
      </c>
      <c r="M631" s="195">
        <f t="shared" si="364"/>
        <v>0.7458278583978204</v>
      </c>
      <c r="N631" s="195">
        <f t="shared" si="365"/>
        <v>0.71062987876265882</v>
      </c>
      <c r="O631" s="195">
        <f t="shared" si="366"/>
        <v>0.20404045783526309</v>
      </c>
      <c r="P631" s="195">
        <f t="shared" si="367"/>
        <v>0.15566532258064517</v>
      </c>
      <c r="Q631" s="195">
        <v>0.98499999999999999</v>
      </c>
      <c r="R631" s="195">
        <v>0.89959999999999996</v>
      </c>
      <c r="S631" s="196">
        <v>0.99</v>
      </c>
      <c r="T631" s="197">
        <v>0.98880000000000001</v>
      </c>
      <c r="U631" s="198">
        <v>1.4999999999999999E-2</v>
      </c>
      <c r="V631" s="197">
        <v>0</v>
      </c>
      <c r="W631" s="198">
        <v>0</v>
      </c>
      <c r="X631" s="197">
        <v>0</v>
      </c>
      <c r="Y631" s="199">
        <f t="shared" si="362"/>
        <v>-0.11379912068798137</v>
      </c>
    </row>
    <row r="632" spans="2:25">
      <c r="B632" s="189" t="s">
        <v>14</v>
      </c>
      <c r="C632" s="190" t="s">
        <v>67</v>
      </c>
      <c r="D632" s="190">
        <v>5</v>
      </c>
      <c r="E632" s="191">
        <v>6</v>
      </c>
      <c r="F632" s="192">
        <v>43799</v>
      </c>
      <c r="G632" s="24">
        <v>671.66074232063897</v>
      </c>
      <c r="H632" s="24">
        <f>568200/1000</f>
        <v>568.20000000000005</v>
      </c>
      <c r="I632" s="193">
        <v>108.1</v>
      </c>
      <c r="J632" s="194">
        <v>94.2</v>
      </c>
      <c r="K632" s="193">
        <v>152.1</v>
      </c>
      <c r="L632" s="194">
        <v>126.6</v>
      </c>
      <c r="M632" s="195">
        <f t="shared" si="364"/>
        <v>0.74719381820963249</v>
      </c>
      <c r="N632" s="195">
        <f t="shared" si="365"/>
        <v>0.75634507225611269</v>
      </c>
      <c r="O632" s="195">
        <f t="shared" si="366"/>
        <v>0.18657242842239971</v>
      </c>
      <c r="P632" s="195">
        <f t="shared" si="367"/>
        <v>0.15783333333333333</v>
      </c>
      <c r="Q632" s="195">
        <v>0.98499999999999999</v>
      </c>
      <c r="R632" s="195">
        <v>0.98899999999999999</v>
      </c>
      <c r="S632" s="196">
        <v>0.99</v>
      </c>
      <c r="T632" s="197">
        <v>1</v>
      </c>
      <c r="U632" s="198">
        <v>1.4999999999999999E-2</v>
      </c>
      <c r="V632" s="197">
        <v>0</v>
      </c>
      <c r="W632" s="198">
        <v>0</v>
      </c>
      <c r="X632" s="197">
        <v>0</v>
      </c>
      <c r="Y632" s="199">
        <f t="shared" si="362"/>
        <v>1.3615656649883512E-2</v>
      </c>
    </row>
    <row r="633" spans="2:25">
      <c r="B633" s="189" t="s">
        <v>14</v>
      </c>
      <c r="C633" s="190" t="s">
        <v>67</v>
      </c>
      <c r="D633" s="190">
        <v>5</v>
      </c>
      <c r="E633" s="191">
        <v>6</v>
      </c>
      <c r="F633" s="192">
        <v>43830</v>
      </c>
      <c r="G633" s="24">
        <v>564.43421766988615</v>
      </c>
      <c r="H633" s="24">
        <f>399000/1000</f>
        <v>399</v>
      </c>
      <c r="I633" s="193">
        <v>89.9</v>
      </c>
      <c r="J633" s="194">
        <v>67.27</v>
      </c>
      <c r="K633" s="193">
        <v>129.6</v>
      </c>
      <c r="L633" s="194">
        <v>93.31</v>
      </c>
      <c r="M633" s="195">
        <f t="shared" si="364"/>
        <v>0.73692086240872101</v>
      </c>
      <c r="N633" s="195">
        <f t="shared" si="365"/>
        <v>0.75567614202352407</v>
      </c>
      <c r="O633" s="195">
        <f t="shared" si="366"/>
        <v>0.15172962840588339</v>
      </c>
      <c r="P633" s="195">
        <f t="shared" si="367"/>
        <v>0.10725806451612903</v>
      </c>
      <c r="Q633" s="195">
        <v>0.98499999999999999</v>
      </c>
      <c r="R633" s="195">
        <v>0.94310000000000005</v>
      </c>
      <c r="S633" s="196">
        <v>0.99</v>
      </c>
      <c r="T633" s="197">
        <v>0.99939999999999996</v>
      </c>
      <c r="U633" s="198">
        <v>1.4999999999999999E-2</v>
      </c>
      <c r="V633" s="197">
        <v>0</v>
      </c>
      <c r="W633" s="198">
        <v>0</v>
      </c>
      <c r="X633" s="197">
        <v>0</v>
      </c>
      <c r="Y633" s="199">
        <f t="shared" si="362"/>
        <v>-1.3081996247865657E-2</v>
      </c>
    </row>
    <row r="634" spans="2:25">
      <c r="B634" s="189" t="s">
        <v>14</v>
      </c>
      <c r="C634" s="190" t="s">
        <v>67</v>
      </c>
      <c r="D634" s="190">
        <v>5</v>
      </c>
      <c r="E634" s="191">
        <v>6</v>
      </c>
      <c r="F634" s="192">
        <v>43861</v>
      </c>
      <c r="G634" s="24">
        <v>474.81539304192353</v>
      </c>
      <c r="H634" s="24">
        <f>421485/1000</f>
        <v>421.48500000000001</v>
      </c>
      <c r="I634" s="193">
        <v>79.599999999999994</v>
      </c>
      <c r="J634" s="194">
        <v>72.260000000000005</v>
      </c>
      <c r="K634" s="193">
        <v>103.2</v>
      </c>
      <c r="L634" s="194">
        <v>96.53</v>
      </c>
      <c r="M634" s="195">
        <f t="shared" si="364"/>
        <v>0.77849819816944665</v>
      </c>
      <c r="N634" s="195">
        <f t="shared" si="365"/>
        <v>0.80706125259146255</v>
      </c>
      <c r="O634" s="195">
        <f t="shared" si="366"/>
        <v>0.12763854651664613</v>
      </c>
      <c r="P634" s="195">
        <f t="shared" si="367"/>
        <v>0.11330241935483872</v>
      </c>
      <c r="Q634" s="195">
        <v>0.98499999999999999</v>
      </c>
      <c r="R634" s="195">
        <v>0.90169999999999995</v>
      </c>
      <c r="S634" s="196">
        <v>0.99</v>
      </c>
      <c r="T634" s="197">
        <v>0.998</v>
      </c>
      <c r="U634" s="198">
        <v>1.4999999999999999E-2</v>
      </c>
      <c r="V634" s="197">
        <v>0</v>
      </c>
      <c r="W634" s="198">
        <v>0</v>
      </c>
      <c r="X634" s="197">
        <v>0</v>
      </c>
      <c r="Y634" s="199">
        <f t="shared" si="362"/>
        <v>-4.7686380752075097E-2</v>
      </c>
    </row>
    <row r="635" spans="2:25">
      <c r="B635" s="189" t="s">
        <v>14</v>
      </c>
      <c r="C635" s="190" t="s">
        <v>67</v>
      </c>
      <c r="D635" s="190">
        <v>5</v>
      </c>
      <c r="E635" s="191">
        <v>6</v>
      </c>
      <c r="F635" s="192">
        <v>43890</v>
      </c>
      <c r="G635" s="24">
        <v>623.51881726415968</v>
      </c>
      <c r="H635" s="24">
        <f>645537/1000</f>
        <v>645.53700000000003</v>
      </c>
      <c r="I635" s="193">
        <v>108.1</v>
      </c>
      <c r="J635" s="194">
        <v>110.78</v>
      </c>
      <c r="K635" s="193">
        <v>137.5</v>
      </c>
      <c r="L635" s="194">
        <v>144.13</v>
      </c>
      <c r="M635" s="195">
        <f t="shared" si="364"/>
        <v>0.76728973052042415</v>
      </c>
      <c r="N635" s="195">
        <f t="shared" si="365"/>
        <v>0.78034225815286651</v>
      </c>
      <c r="O635" s="195">
        <f t="shared" si="366"/>
        <v>0.17917207392648266</v>
      </c>
      <c r="P635" s="195">
        <f t="shared" si="367"/>
        <v>0.18549913793103448</v>
      </c>
      <c r="Q635" s="195">
        <v>0.98499999999999999</v>
      </c>
      <c r="R635" s="195">
        <v>0.95660000000000001</v>
      </c>
      <c r="S635" s="196">
        <v>0.99</v>
      </c>
      <c r="T635" s="197">
        <v>1</v>
      </c>
      <c r="U635" s="198">
        <v>1.4999999999999999E-2</v>
      </c>
      <c r="V635" s="197">
        <v>0</v>
      </c>
      <c r="W635" s="198">
        <v>0</v>
      </c>
      <c r="X635" s="197">
        <v>0</v>
      </c>
      <c r="Y635" s="199">
        <f t="shared" si="362"/>
        <v>-1.290540195301193E-2</v>
      </c>
    </row>
    <row r="636" spans="2:25">
      <c r="B636" s="189" t="s">
        <v>14</v>
      </c>
      <c r="C636" s="190" t="s">
        <v>67</v>
      </c>
      <c r="D636" s="190">
        <v>5</v>
      </c>
      <c r="E636" s="191">
        <v>6</v>
      </c>
      <c r="F636" s="192">
        <v>43921</v>
      </c>
      <c r="G636" s="24">
        <v>836.08205042239581</v>
      </c>
      <c r="H636" s="24">
        <f>781503/1000</f>
        <v>781.50300000000004</v>
      </c>
      <c r="I636" s="193">
        <v>161.4</v>
      </c>
      <c r="J636" s="194">
        <v>149.93</v>
      </c>
      <c r="K636" s="193">
        <v>187.8</v>
      </c>
      <c r="L636" s="194">
        <v>171.35</v>
      </c>
      <c r="M636" s="195">
        <f t="shared" si="364"/>
        <v>0.75329629427424483</v>
      </c>
      <c r="N636" s="195">
        <f t="shared" si="365"/>
        <v>0.7945468612942147</v>
      </c>
      <c r="O636" s="195">
        <f t="shared" si="366"/>
        <v>0.22475323936085911</v>
      </c>
      <c r="P636" s="195">
        <f t="shared" si="367"/>
        <v>0.21008145161290326</v>
      </c>
      <c r="Q636" s="195">
        <v>0.98499999999999999</v>
      </c>
      <c r="R636" s="195">
        <v>0.95669999999999999</v>
      </c>
      <c r="S636" s="196">
        <v>0.99</v>
      </c>
      <c r="T636" s="197">
        <v>0.99939999999999996</v>
      </c>
      <c r="U636" s="198">
        <v>1.4999999999999999E-2</v>
      </c>
      <c r="V636" s="197">
        <v>0</v>
      </c>
      <c r="W636" s="198">
        <v>0</v>
      </c>
      <c r="X636" s="197">
        <v>0</v>
      </c>
      <c r="Y636" s="199">
        <f t="shared" si="362"/>
        <v>2.2313645711415586E-2</v>
      </c>
    </row>
    <row r="637" spans="2:25">
      <c r="B637" s="189" t="s">
        <v>14</v>
      </c>
      <c r="C637" s="190" t="s">
        <v>67</v>
      </c>
      <c r="D637" s="190">
        <v>5</v>
      </c>
      <c r="E637" s="191">
        <v>6</v>
      </c>
      <c r="F637" s="192">
        <v>43951</v>
      </c>
      <c r="G637" s="24">
        <v>864.78717079761088</v>
      </c>
      <c r="H637" s="24">
        <f>782745/1000</f>
        <v>782.745</v>
      </c>
      <c r="I637" s="193">
        <v>190.2</v>
      </c>
      <c r="J637" s="194">
        <v>173.7</v>
      </c>
      <c r="K637" s="193">
        <v>194</v>
      </c>
      <c r="L637" s="194">
        <v>176.1</v>
      </c>
      <c r="M637" s="195">
        <f t="shared" si="364"/>
        <v>0.75425817747100921</v>
      </c>
      <c r="N637" s="195">
        <f t="shared" si="365"/>
        <v>0.75439396935873559</v>
      </c>
      <c r="O637" s="195">
        <f t="shared" si="366"/>
        <v>0.24021865855489191</v>
      </c>
      <c r="P637" s="195">
        <f t="shared" si="367"/>
        <v>0.2174291666666667</v>
      </c>
      <c r="Q637" s="195">
        <v>0.98499999999999999</v>
      </c>
      <c r="R637" s="195">
        <v>0.98199999999999998</v>
      </c>
      <c r="S637" s="196">
        <v>0.99</v>
      </c>
      <c r="T637" s="197">
        <v>0.99880000000000002</v>
      </c>
      <c r="U637" s="198">
        <v>1.4999999999999999E-2</v>
      </c>
      <c r="V637" s="197">
        <v>0</v>
      </c>
      <c r="W637" s="198">
        <v>0</v>
      </c>
      <c r="X637" s="197">
        <v>0</v>
      </c>
      <c r="Y637" s="199">
        <f t="shared" si="362"/>
        <v>-2.601741257395318E-3</v>
      </c>
    </row>
    <row r="638" spans="2:25">
      <c r="B638" s="189" t="s">
        <v>14</v>
      </c>
      <c r="C638" s="190" t="s">
        <v>67</v>
      </c>
      <c r="D638" s="190">
        <v>5</v>
      </c>
      <c r="E638" s="191">
        <v>6</v>
      </c>
      <c r="F638" s="192">
        <v>43982</v>
      </c>
      <c r="G638" s="24">
        <v>876.05120537522657</v>
      </c>
      <c r="H638" s="24">
        <f>800832/1000</f>
        <v>800.83199999999999</v>
      </c>
      <c r="I638" s="193">
        <v>197</v>
      </c>
      <c r="J638" s="194">
        <v>190.03</v>
      </c>
      <c r="K638" s="193">
        <v>197.7</v>
      </c>
      <c r="L638" s="194">
        <v>188.79</v>
      </c>
      <c r="M638" s="195">
        <f t="shared" si="364"/>
        <v>0.74978257180522423</v>
      </c>
      <c r="N638" s="195">
        <f t="shared" si="365"/>
        <v>0.72930327921030058</v>
      </c>
      <c r="O638" s="195">
        <f t="shared" si="366"/>
        <v>0.23549763585355551</v>
      </c>
      <c r="P638" s="195">
        <f t="shared" si="367"/>
        <v>0.21527741935483871</v>
      </c>
      <c r="Q638" s="195">
        <v>0.98499999999999999</v>
      </c>
      <c r="R638" s="195">
        <v>0.96940000000000004</v>
      </c>
      <c r="S638" s="196">
        <v>0.99</v>
      </c>
      <c r="T638" s="197">
        <v>0.99729999999999996</v>
      </c>
      <c r="U638" s="198">
        <v>1.4999999999999999E-2</v>
      </c>
      <c r="V638" s="197">
        <v>0</v>
      </c>
      <c r="W638" s="198">
        <v>0</v>
      </c>
      <c r="X638" s="197">
        <v>0</v>
      </c>
      <c r="Y638" s="199">
        <f t="shared" si="362"/>
        <v>-4.0793368597150881E-2</v>
      </c>
    </row>
    <row r="639" spans="2:25">
      <c r="B639" s="189" t="s">
        <v>14</v>
      </c>
      <c r="C639" s="190" t="s">
        <v>67</v>
      </c>
      <c r="D639" s="190">
        <v>5</v>
      </c>
      <c r="E639" s="191">
        <v>6</v>
      </c>
      <c r="F639" s="192">
        <v>44012</v>
      </c>
      <c r="G639" s="24">
        <v>786.66564066253261</v>
      </c>
      <c r="H639" s="24">
        <f>815898/1000</f>
        <v>815.89800000000002</v>
      </c>
      <c r="I639" s="193">
        <v>178.9</v>
      </c>
      <c r="J639" s="194">
        <v>185.88</v>
      </c>
      <c r="K639" s="193">
        <v>177.2</v>
      </c>
      <c r="L639" s="194">
        <v>184.46</v>
      </c>
      <c r="M639" s="195">
        <f t="shared" si="364"/>
        <v>0.75117129464783317</v>
      </c>
      <c r="N639" s="195">
        <f t="shared" si="365"/>
        <v>0.75362406035438989</v>
      </c>
      <c r="O639" s="195">
        <f t="shared" si="366"/>
        <v>0.21851823351737015</v>
      </c>
      <c r="P639" s="195">
        <f t="shared" si="367"/>
        <v>0.22663833333333333</v>
      </c>
      <c r="Q639" s="195">
        <v>0.98499999999999999</v>
      </c>
      <c r="R639" s="195">
        <v>0.97819999999999996</v>
      </c>
      <c r="S639" s="196">
        <v>0.99</v>
      </c>
      <c r="T639" s="197">
        <v>0.99850000000000005</v>
      </c>
      <c r="U639" s="198">
        <v>1.4999999999999999E-2</v>
      </c>
      <c r="V639" s="197">
        <v>0</v>
      </c>
      <c r="W639" s="198">
        <v>0</v>
      </c>
      <c r="X639" s="197">
        <v>0</v>
      </c>
      <c r="Y639" s="199">
        <f t="shared" si="362"/>
        <v>-3.8108273432975182E-3</v>
      </c>
    </row>
    <row r="640" spans="2:25">
      <c r="B640" s="189" t="s">
        <v>14</v>
      </c>
      <c r="C640" s="190" t="s">
        <v>67</v>
      </c>
      <c r="D640" s="190">
        <v>5</v>
      </c>
      <c r="E640" s="191">
        <v>6</v>
      </c>
      <c r="F640" s="192">
        <v>44043</v>
      </c>
      <c r="G640" s="24">
        <v>696.19000808748831</v>
      </c>
      <c r="H640" s="24">
        <f>699828/1000</f>
        <v>699.82799999999997</v>
      </c>
      <c r="I640" s="193">
        <v>155.5</v>
      </c>
      <c r="J640" s="194">
        <v>154.16999999999996</v>
      </c>
      <c r="K640" s="193">
        <v>154.6</v>
      </c>
      <c r="L640" s="194">
        <v>153.65</v>
      </c>
      <c r="M640" s="195">
        <f t="shared" si="364"/>
        <v>0.76195761792069527</v>
      </c>
      <c r="N640" s="195">
        <f t="shared" si="365"/>
        <v>0.78852692579319916</v>
      </c>
      <c r="O640" s="195">
        <f t="shared" si="366"/>
        <v>0.18714785163642159</v>
      </c>
      <c r="P640" s="195">
        <f t="shared" si="367"/>
        <v>0.18812580645161289</v>
      </c>
      <c r="Q640" s="195">
        <v>0.98499999999999999</v>
      </c>
      <c r="R640" s="195">
        <v>0.9627</v>
      </c>
      <c r="S640" s="196">
        <v>0.99</v>
      </c>
      <c r="T640" s="197">
        <v>0.98670000000000002</v>
      </c>
      <c r="U640" s="198">
        <v>1.4999999999999999E-2</v>
      </c>
      <c r="V640" s="197">
        <v>0</v>
      </c>
      <c r="W640" s="198">
        <v>0</v>
      </c>
      <c r="X640" s="197">
        <v>0</v>
      </c>
      <c r="Y640" s="199">
        <f t="shared" si="362"/>
        <v>1.1370463330942493E-2</v>
      </c>
    </row>
    <row r="641" spans="2:25">
      <c r="B641" s="189" t="s">
        <v>14</v>
      </c>
      <c r="C641" s="190" t="s">
        <v>67</v>
      </c>
      <c r="D641" s="190">
        <v>5</v>
      </c>
      <c r="E641" s="191">
        <v>6</v>
      </c>
      <c r="F641" s="192">
        <v>44074</v>
      </c>
      <c r="G641" s="24">
        <v>661.03531952670312</v>
      </c>
      <c r="H641" s="24">
        <v>581.65200000000004</v>
      </c>
      <c r="I641" s="193">
        <v>145.4</v>
      </c>
      <c r="J641" s="194">
        <v>134.54</v>
      </c>
      <c r="K641" s="193">
        <v>146.30000000000001</v>
      </c>
      <c r="L641" s="194">
        <v>136.63</v>
      </c>
      <c r="M641" s="195">
        <f t="shared" si="364"/>
        <v>0.76452705312739988</v>
      </c>
      <c r="N641" s="195">
        <f t="shared" si="365"/>
        <v>0.77755842947506482</v>
      </c>
      <c r="O641" s="195">
        <f t="shared" si="366"/>
        <v>0.17769766653943633</v>
      </c>
      <c r="P641" s="195">
        <f t="shared" si="367"/>
        <v>0.15635806451612905</v>
      </c>
      <c r="Q641" s="195">
        <v>0.98499999999999999</v>
      </c>
      <c r="R641" s="195">
        <v>0.91249999999999998</v>
      </c>
      <c r="S641" s="196">
        <v>0.99</v>
      </c>
      <c r="T641" s="197">
        <v>0.99880000000000002</v>
      </c>
      <c r="U641" s="198">
        <v>1.4999999999999999E-2</v>
      </c>
      <c r="V641" s="197">
        <v>0</v>
      </c>
      <c r="W641" s="198">
        <v>0</v>
      </c>
      <c r="X641" s="197">
        <v>0</v>
      </c>
      <c r="Y641" s="199">
        <f t="shared" si="362"/>
        <v>-5.3992315908539479E-2</v>
      </c>
    </row>
    <row r="642" spans="2:25">
      <c r="B642" s="189" t="s">
        <v>14</v>
      </c>
      <c r="C642" s="190" t="s">
        <v>67</v>
      </c>
      <c r="D642" s="190">
        <v>5</v>
      </c>
      <c r="E642" s="191">
        <v>6</v>
      </c>
      <c r="F642" s="192">
        <v>44104</v>
      </c>
      <c r="G642" s="24">
        <v>658.67350582494498</v>
      </c>
      <c r="H642" s="24">
        <f>667884/1000</f>
        <v>667.88400000000001</v>
      </c>
      <c r="I642" s="193">
        <v>141.6</v>
      </c>
      <c r="J642" s="194">
        <v>145.53</v>
      </c>
      <c r="K642" s="193">
        <v>145.5</v>
      </c>
      <c r="L642" s="194">
        <v>159.03</v>
      </c>
      <c r="M642" s="195">
        <f t="shared" si="364"/>
        <v>0.76598403989387787</v>
      </c>
      <c r="N642" s="195">
        <f t="shared" si="365"/>
        <v>0.72965285431860083</v>
      </c>
      <c r="O642" s="195">
        <f t="shared" si="366"/>
        <v>0.18296486272915141</v>
      </c>
      <c r="P642" s="195">
        <f t="shared" si="367"/>
        <v>0.18552333333333335</v>
      </c>
      <c r="Q642" s="195">
        <v>0.98499999999999999</v>
      </c>
      <c r="R642" s="195">
        <v>0.95930000000000004</v>
      </c>
      <c r="S642" s="196">
        <v>0.99</v>
      </c>
      <c r="T642" s="197">
        <v>0.99739999999999995</v>
      </c>
      <c r="U642" s="198">
        <v>1.4999999999999999E-2</v>
      </c>
      <c r="V642" s="197">
        <v>0</v>
      </c>
      <c r="W642" s="198">
        <v>0</v>
      </c>
      <c r="X642" s="197">
        <v>0</v>
      </c>
      <c r="Y642" s="199">
        <f t="shared" si="362"/>
        <v>-7.9006292127956845E-2</v>
      </c>
    </row>
    <row r="643" spans="2:25">
      <c r="B643" s="189" t="s">
        <v>14</v>
      </c>
      <c r="C643" s="190" t="s">
        <v>67</v>
      </c>
      <c r="D643" s="190">
        <v>5</v>
      </c>
      <c r="E643" s="191">
        <v>6</v>
      </c>
      <c r="F643" s="192">
        <v>44135</v>
      </c>
      <c r="G643" s="24">
        <v>755.23535063144277</v>
      </c>
      <c r="H643" s="24">
        <f>726879/1000</f>
        <v>726.87900000000002</v>
      </c>
      <c r="I643" s="193">
        <v>139.1</v>
      </c>
      <c r="J643" s="194">
        <v>135.99</v>
      </c>
      <c r="K643" s="193">
        <v>172.2</v>
      </c>
      <c r="L643" s="194">
        <v>172.93</v>
      </c>
      <c r="M643" s="195">
        <f t="shared" si="364"/>
        <v>0.74209871910583136</v>
      </c>
      <c r="N643" s="195">
        <f t="shared" si="365"/>
        <v>0.70336570941140375</v>
      </c>
      <c r="O643" s="195">
        <f t="shared" si="366"/>
        <v>0.20302025554608677</v>
      </c>
      <c r="P643" s="195">
        <f t="shared" si="367"/>
        <v>0.1953975806451613</v>
      </c>
      <c r="Q643" s="195">
        <v>0.98499999999999999</v>
      </c>
      <c r="R643" s="195">
        <v>0.996</v>
      </c>
      <c r="S643" s="196">
        <v>0.99</v>
      </c>
      <c r="T643" s="197">
        <v>1</v>
      </c>
      <c r="U643" s="198">
        <v>1.4999999999999999E-2</v>
      </c>
      <c r="V643" s="197">
        <v>0</v>
      </c>
      <c r="W643" s="198">
        <v>0</v>
      </c>
      <c r="X643" s="197">
        <v>0</v>
      </c>
      <c r="Y643" s="199">
        <f t="shared" si="362"/>
        <v>-4.178563292739923E-2</v>
      </c>
    </row>
    <row r="644" spans="2:25">
      <c r="B644" s="189" t="s">
        <v>14</v>
      </c>
      <c r="C644" s="190" t="s">
        <v>67</v>
      </c>
      <c r="D644" s="190">
        <v>5</v>
      </c>
      <c r="E644" s="191">
        <v>6</v>
      </c>
      <c r="F644" s="192">
        <v>44165</v>
      </c>
      <c r="G644" s="24">
        <v>668.30243860903602</v>
      </c>
      <c r="H644" s="24">
        <f>568053/1000</f>
        <v>568.053</v>
      </c>
      <c r="I644" s="193">
        <v>108.1</v>
      </c>
      <c r="J644" s="194">
        <v>100.85</v>
      </c>
      <c r="K644" s="193">
        <v>152.1</v>
      </c>
      <c r="L644" s="194">
        <v>141.36000000000001</v>
      </c>
      <c r="M644" s="195">
        <f t="shared" si="364"/>
        <v>0.7434578491185847</v>
      </c>
      <c r="N644" s="195">
        <f t="shared" si="365"/>
        <v>0.69317683017045761</v>
      </c>
      <c r="O644" s="195">
        <f t="shared" si="366"/>
        <v>0.1856395662802878</v>
      </c>
      <c r="P644" s="195">
        <f t="shared" si="367"/>
        <v>0.1577925</v>
      </c>
      <c r="Q644" s="195">
        <v>0.98499999999999999</v>
      </c>
      <c r="R644" s="195">
        <v>0.96619999999999995</v>
      </c>
      <c r="S644" s="196">
        <v>0.99</v>
      </c>
      <c r="T644" s="197">
        <v>0.99629999999999996</v>
      </c>
      <c r="U644" s="198">
        <v>1.4999999999999999E-2</v>
      </c>
      <c r="V644" s="197">
        <v>0</v>
      </c>
      <c r="W644" s="198">
        <v>0</v>
      </c>
      <c r="X644" s="197">
        <v>0</v>
      </c>
      <c r="Y644" s="199">
        <f t="shared" si="362"/>
        <v>-7.9394654431050093E-2</v>
      </c>
    </row>
    <row r="645" spans="2:25">
      <c r="B645" s="189" t="s">
        <v>14</v>
      </c>
      <c r="C645" s="190" t="s">
        <v>67</v>
      </c>
      <c r="D645" s="190">
        <v>5</v>
      </c>
      <c r="E645" s="191">
        <v>6</v>
      </c>
      <c r="F645" s="192">
        <v>44196</v>
      </c>
      <c r="G645" s="24">
        <v>561.61204658153667</v>
      </c>
      <c r="H645" s="24">
        <f>500592/1000</f>
        <v>500.59199999999998</v>
      </c>
      <c r="I645" s="193">
        <v>89.9</v>
      </c>
      <c r="J645" s="194">
        <v>82.35</v>
      </c>
      <c r="K645" s="193">
        <v>129.6</v>
      </c>
      <c r="L645" s="194">
        <v>118.73</v>
      </c>
      <c r="M645" s="195">
        <f t="shared" si="364"/>
        <v>0.73323625809667736</v>
      </c>
      <c r="N645" s="195">
        <f t="shared" si="365"/>
        <v>0.70922851558349276</v>
      </c>
      <c r="O645" s="195">
        <f t="shared" si="366"/>
        <v>0.15097098026385394</v>
      </c>
      <c r="P645" s="195">
        <f t="shared" si="367"/>
        <v>0.13456774193548388</v>
      </c>
      <c r="Q645" s="195">
        <v>0.98499999999999999</v>
      </c>
      <c r="R645" s="195">
        <v>0.99080000000000001</v>
      </c>
      <c r="S645" s="196">
        <v>0.99</v>
      </c>
      <c r="T645" s="197">
        <v>0.99790000000000001</v>
      </c>
      <c r="U645" s="198">
        <v>1.4999999999999999E-2</v>
      </c>
      <c r="V645" s="197">
        <v>0</v>
      </c>
      <c r="W645" s="198">
        <v>0</v>
      </c>
      <c r="X645" s="197">
        <v>0</v>
      </c>
      <c r="Y645" s="199">
        <f t="shared" si="362"/>
        <v>-2.4778141680668386E-2</v>
      </c>
    </row>
    <row r="646" spans="2:25">
      <c r="B646" s="189" t="s">
        <v>14</v>
      </c>
      <c r="C646" s="190" t="s">
        <v>67</v>
      </c>
      <c r="D646" s="190">
        <v>5</v>
      </c>
      <c r="E646" s="191">
        <v>6</v>
      </c>
      <c r="F646" s="192">
        <v>44227</v>
      </c>
      <c r="G646" s="24">
        <v>472.44131607671386</v>
      </c>
      <c r="H646" s="24">
        <v>401.31599999999997</v>
      </c>
      <c r="I646" s="193">
        <v>79.599999999999994</v>
      </c>
      <c r="J646" s="194">
        <v>70.179999999999993</v>
      </c>
      <c r="K646" s="193">
        <v>103.2</v>
      </c>
      <c r="L646" s="194">
        <v>90.98</v>
      </c>
      <c r="M646" s="195">
        <f t="shared" si="364"/>
        <v>0.77460570717859933</v>
      </c>
      <c r="N646" s="195">
        <f t="shared" si="365"/>
        <v>0.74282364898351894</v>
      </c>
      <c r="O646" s="195">
        <f t="shared" si="366"/>
        <v>0.12700035378406288</v>
      </c>
      <c r="P646" s="195">
        <f t="shared" si="367"/>
        <v>0.10788064516129033</v>
      </c>
      <c r="Q646" s="195">
        <v>0.98499999999999999</v>
      </c>
      <c r="R646" s="195">
        <v>0.98970000000000002</v>
      </c>
      <c r="S646" s="196">
        <v>0.99</v>
      </c>
      <c r="T646" s="197">
        <v>1</v>
      </c>
      <c r="U646" s="198">
        <v>1.4999999999999999E-2</v>
      </c>
      <c r="V646" s="197">
        <v>0</v>
      </c>
      <c r="W646" s="198">
        <v>0</v>
      </c>
      <c r="X646" s="197">
        <v>0</v>
      </c>
      <c r="Y646" s="199">
        <f t="shared" si="362"/>
        <v>-3.213761469724763E-2</v>
      </c>
    </row>
    <row r="647" spans="2:25">
      <c r="B647" s="189" t="s">
        <v>14</v>
      </c>
      <c r="C647" s="190" t="s">
        <v>67</v>
      </c>
      <c r="D647" s="190">
        <v>5</v>
      </c>
      <c r="E647" s="191">
        <v>6</v>
      </c>
      <c r="F647" s="192">
        <v>44255</v>
      </c>
      <c r="G647" s="24">
        <v>620.40122317783869</v>
      </c>
      <c r="H647" s="24">
        <v>560.40599999999995</v>
      </c>
      <c r="I647" s="193">
        <v>108.1</v>
      </c>
      <c r="J647" s="194">
        <v>105.23</v>
      </c>
      <c r="K647" s="193">
        <v>137.5</v>
      </c>
      <c r="L647" s="194">
        <v>139.1</v>
      </c>
      <c r="M647" s="195">
        <f t="shared" si="364"/>
        <v>0.7634532818678218</v>
      </c>
      <c r="N647" s="195">
        <f t="shared" si="365"/>
        <v>0.7669270800800424</v>
      </c>
      <c r="O647" s="195">
        <f t="shared" si="366"/>
        <v>0.18464322118388057</v>
      </c>
      <c r="P647" s="195">
        <f t="shared" si="367"/>
        <v>0.16678750000000001</v>
      </c>
      <c r="Q647" s="195">
        <v>0.98499999999999999</v>
      </c>
      <c r="R647" s="195">
        <v>0.87552857142857143</v>
      </c>
      <c r="S647" s="196">
        <v>0.99</v>
      </c>
      <c r="T647" s="197">
        <v>1</v>
      </c>
      <c r="U647" s="198">
        <v>1.4999999999999999E-2</v>
      </c>
      <c r="V647" s="197">
        <v>0</v>
      </c>
      <c r="W647" s="198">
        <v>0</v>
      </c>
      <c r="X647" s="197">
        <v>0</v>
      </c>
      <c r="Y647" s="199">
        <f t="shared" si="362"/>
        <v>-0.1083402722304333</v>
      </c>
    </row>
    <row r="648" spans="2:25">
      <c r="B648" s="189" t="s">
        <v>14</v>
      </c>
      <c r="C648" s="190" t="s">
        <v>67</v>
      </c>
      <c r="D648" s="190">
        <v>5</v>
      </c>
      <c r="E648" s="191">
        <v>6</v>
      </c>
      <c r="F648" s="192">
        <v>44286</v>
      </c>
      <c r="G648" s="24">
        <v>831.90164017028405</v>
      </c>
      <c r="H648" s="24">
        <v>761.71199999999999</v>
      </c>
      <c r="I648" s="193">
        <v>161.4</v>
      </c>
      <c r="J648" s="194">
        <v>152.74999999999997</v>
      </c>
      <c r="K648" s="193">
        <v>187.8</v>
      </c>
      <c r="L648" s="194">
        <v>177.18000000000004</v>
      </c>
      <c r="M648" s="195">
        <f t="shared" si="364"/>
        <v>0.74952981280287378</v>
      </c>
      <c r="N648" s="195">
        <f t="shared" si="365"/>
        <v>0.73472357350677531</v>
      </c>
      <c r="O648" s="195">
        <f t="shared" si="366"/>
        <v>0.22362947316405485</v>
      </c>
      <c r="P648" s="195">
        <f t="shared" si="367"/>
        <v>0.20476129032258067</v>
      </c>
      <c r="Q648" s="195">
        <v>0.98499999999999999</v>
      </c>
      <c r="R648" s="195">
        <v>0.97521612903225807</v>
      </c>
      <c r="S648" s="196">
        <v>0.99</v>
      </c>
      <c r="T648" s="197">
        <v>1</v>
      </c>
      <c r="U648" s="198">
        <v>1.4999999999999999E-2</v>
      </c>
      <c r="V648" s="197">
        <v>0</v>
      </c>
      <c r="W648" s="198">
        <v>0</v>
      </c>
      <c r="X648" s="197">
        <v>0</v>
      </c>
      <c r="Y648" s="199">
        <f t="shared" si="362"/>
        <v>-2.7823002114558015E-2</v>
      </c>
    </row>
    <row r="649" spans="2:25">
      <c r="B649" s="189" t="s">
        <v>14</v>
      </c>
      <c r="C649" s="190" t="s">
        <v>67</v>
      </c>
      <c r="D649" s="190">
        <v>5</v>
      </c>
      <c r="E649" s="191">
        <v>6</v>
      </c>
      <c r="F649" s="192">
        <v>44316</v>
      </c>
      <c r="G649" s="24">
        <v>860.46323494362287</v>
      </c>
      <c r="H649" s="24">
        <v>777.96</v>
      </c>
      <c r="I649" s="193">
        <v>190.2</v>
      </c>
      <c r="J649" s="194">
        <v>180.36999999999998</v>
      </c>
      <c r="K649" s="193">
        <v>194</v>
      </c>
      <c r="L649" s="194">
        <v>183.48999999999998</v>
      </c>
      <c r="M649" s="195">
        <f t="shared" si="364"/>
        <v>0.75048688658365426</v>
      </c>
      <c r="N649" s="195">
        <f t="shared" si="365"/>
        <v>0.72831845832472608</v>
      </c>
      <c r="O649" s="195">
        <f t="shared" si="366"/>
        <v>0.23901756526211745</v>
      </c>
      <c r="P649" s="195">
        <f t="shared" si="367"/>
        <v>0.21610000000000001</v>
      </c>
      <c r="Q649" s="195">
        <v>0.98499999999999999</v>
      </c>
      <c r="R649" s="195">
        <v>0.97022464000000008</v>
      </c>
      <c r="S649" s="196">
        <v>0.99</v>
      </c>
      <c r="T649" s="197">
        <v>0.98560000000000003</v>
      </c>
      <c r="U649" s="198">
        <v>1.4999999999999999E-2</v>
      </c>
      <c r="V649" s="197">
        <v>2.1379634131763452E-2</v>
      </c>
      <c r="W649" s="198">
        <v>0</v>
      </c>
      <c r="X649" s="197">
        <v>0</v>
      </c>
      <c r="Y649" s="199">
        <f t="shared" si="362"/>
        <v>-4.1707089814276954E-2</v>
      </c>
    </row>
    <row r="650" spans="2:25">
      <c r="B650" s="189" t="s">
        <v>14</v>
      </c>
      <c r="C650" s="190" t="s">
        <v>67</v>
      </c>
      <c r="D650" s="190">
        <v>5</v>
      </c>
      <c r="E650" s="191">
        <v>6</v>
      </c>
      <c r="F650" s="192">
        <v>44347</v>
      </c>
      <c r="G650" s="24">
        <v>871.6709493483504</v>
      </c>
      <c r="H650" s="24">
        <v>730.73099999999999</v>
      </c>
      <c r="I650" s="193">
        <v>197</v>
      </c>
      <c r="J650" s="194">
        <v>177.45000000000007</v>
      </c>
      <c r="K650" s="193">
        <v>197.7</v>
      </c>
      <c r="L650" s="194">
        <v>177.23</v>
      </c>
      <c r="M650" s="195">
        <f t="shared" si="364"/>
        <v>0.746033658946198</v>
      </c>
      <c r="N650" s="195">
        <f t="shared" si="365"/>
        <v>0.72228051158562534</v>
      </c>
      <c r="O650" s="195">
        <f t="shared" si="366"/>
        <v>0.23432014767428772</v>
      </c>
      <c r="P650" s="195">
        <f t="shared" si="367"/>
        <v>0.19643306451612902</v>
      </c>
      <c r="Q650" s="195">
        <v>0.98499999999999999</v>
      </c>
      <c r="R650" s="195">
        <v>0.95140000000000002</v>
      </c>
      <c r="S650" s="196">
        <v>0.99</v>
      </c>
      <c r="T650" s="197">
        <v>1</v>
      </c>
      <c r="U650" s="198">
        <v>1.4999999999999999E-2</v>
      </c>
      <c r="V650" s="197">
        <v>1.6094016683867576E-2</v>
      </c>
      <c r="W650" s="198">
        <v>0</v>
      </c>
      <c r="X650" s="197">
        <v>0</v>
      </c>
      <c r="Y650" s="199">
        <f t="shared" si="362"/>
        <v>-5.8148677782995373E-2</v>
      </c>
    </row>
    <row r="651" spans="2:25">
      <c r="B651" s="189" t="s">
        <v>14</v>
      </c>
      <c r="C651" s="190" t="s">
        <v>67</v>
      </c>
      <c r="D651" s="190">
        <v>5</v>
      </c>
      <c r="E651" s="191">
        <v>6</v>
      </c>
      <c r="F651" s="192">
        <v>44377</v>
      </c>
      <c r="G651" s="24">
        <v>782.73231245922</v>
      </c>
      <c r="H651" s="24">
        <v>793.92</v>
      </c>
      <c r="I651" s="193">
        <v>178.9</v>
      </c>
      <c r="J651" s="194">
        <v>183.81</v>
      </c>
      <c r="K651" s="193">
        <v>177.2</v>
      </c>
      <c r="L651" s="194">
        <v>180.86</v>
      </c>
      <c r="M651" s="195">
        <f t="shared" si="364"/>
        <v>0.7474154381745941</v>
      </c>
      <c r="N651" s="195">
        <f t="shared" si="365"/>
        <v>0.73610586003349832</v>
      </c>
      <c r="O651" s="195">
        <f t="shared" si="366"/>
        <v>0.21742564234978329</v>
      </c>
      <c r="P651" s="195">
        <f t="shared" si="367"/>
        <v>0.22053333333333333</v>
      </c>
      <c r="Q651" s="195">
        <v>0.98499999999999999</v>
      </c>
      <c r="R651" s="195">
        <v>0.99390000000000001</v>
      </c>
      <c r="S651" s="196">
        <v>0.99</v>
      </c>
      <c r="T651" s="197">
        <v>1</v>
      </c>
      <c r="U651" s="198">
        <v>1.4999999999999999E-2</v>
      </c>
      <c r="V651" s="197">
        <v>1.9199999999999998E-2</v>
      </c>
      <c r="W651" s="198">
        <v>0</v>
      </c>
      <c r="X651" s="197">
        <v>0</v>
      </c>
      <c r="Y651" s="199">
        <f t="shared" si="362"/>
        <v>-6.3615066823485833E-3</v>
      </c>
    </row>
    <row r="652" spans="2:25">
      <c r="B652" s="189" t="s">
        <v>14</v>
      </c>
      <c r="C652" s="190" t="s">
        <v>67</v>
      </c>
      <c r="D652" s="190">
        <v>5</v>
      </c>
      <c r="E652" s="191">
        <v>6</v>
      </c>
      <c r="F652" s="192">
        <v>44408</v>
      </c>
      <c r="G652" s="24">
        <v>692.70905804705092</v>
      </c>
      <c r="H652" s="24">
        <v>623.57399999999996</v>
      </c>
      <c r="I652" s="193">
        <v>155.5</v>
      </c>
      <c r="J652" s="194">
        <v>145.43</v>
      </c>
      <c r="K652" s="193">
        <v>154.6</v>
      </c>
      <c r="L652" s="194">
        <v>143.36000000000001</v>
      </c>
      <c r="M652" s="195">
        <f t="shared" si="364"/>
        <v>0.75814782983109186</v>
      </c>
      <c r="N652" s="195">
        <f t="shared" si="365"/>
        <v>0.77592975690356392</v>
      </c>
      <c r="O652" s="195">
        <f t="shared" si="366"/>
        <v>0.18621211237823948</v>
      </c>
      <c r="P652" s="195">
        <f t="shared" si="367"/>
        <v>0.16762741935483869</v>
      </c>
      <c r="Q652" s="195">
        <v>0.98499999999999999</v>
      </c>
      <c r="R652" s="195">
        <v>0.93430000000000002</v>
      </c>
      <c r="S652" s="196">
        <v>0.99</v>
      </c>
      <c r="T652" s="197">
        <v>1</v>
      </c>
      <c r="U652" s="198">
        <v>1.4999999999999999E-2</v>
      </c>
      <c r="V652" s="197">
        <v>8.0000000000000002E-3</v>
      </c>
      <c r="W652" s="198">
        <v>0</v>
      </c>
      <c r="X652" s="197">
        <v>0</v>
      </c>
      <c r="Y652" s="199">
        <f t="shared" si="362"/>
        <v>-2.7100137539452063E-2</v>
      </c>
    </row>
    <row r="653" spans="2:25">
      <c r="B653" s="189" t="s">
        <v>14</v>
      </c>
      <c r="C653" s="190" t="s">
        <v>67</v>
      </c>
      <c r="D653" s="190">
        <v>5</v>
      </c>
      <c r="E653" s="191">
        <v>6</v>
      </c>
      <c r="F653" s="192">
        <v>44439</v>
      </c>
      <c r="G653" s="24">
        <v>657.73014292906953</v>
      </c>
      <c r="H653" s="24">
        <v>636.37800000000004</v>
      </c>
      <c r="I653" s="193">
        <v>145.4</v>
      </c>
      <c r="J653" s="194">
        <v>140.93999999999997</v>
      </c>
      <c r="K653" s="193">
        <v>146.30000000000001</v>
      </c>
      <c r="L653" s="194">
        <v>141.97</v>
      </c>
      <c r="M653" s="195">
        <f t="shared" si="364"/>
        <v>0.76070441786176279</v>
      </c>
      <c r="N653" s="195">
        <f t="shared" si="365"/>
        <v>0.75766264323005605</v>
      </c>
      <c r="O653" s="195">
        <f t="shared" si="366"/>
        <v>0.17680917820673914</v>
      </c>
      <c r="P653" s="195">
        <f t="shared" si="367"/>
        <v>0.17106935483870969</v>
      </c>
      <c r="Q653" s="195">
        <v>0.98499999999999999</v>
      </c>
      <c r="R653" s="195">
        <v>0.98603299999999994</v>
      </c>
      <c r="S653" s="196">
        <v>0.99</v>
      </c>
      <c r="T653" s="197">
        <v>0.997</v>
      </c>
      <c r="U653" s="198">
        <v>1.4999999999999999E-2</v>
      </c>
      <c r="V653" s="197">
        <v>7.0000000000000001E-3</v>
      </c>
      <c r="W653" s="198">
        <v>0</v>
      </c>
      <c r="X653" s="197">
        <v>0</v>
      </c>
      <c r="Y653" s="199">
        <f t="shared" si="362"/>
        <v>-2.866659959151141E-3</v>
      </c>
    </row>
    <row r="654" spans="2:25">
      <c r="B654" s="189" t="s">
        <v>14</v>
      </c>
      <c r="C654" s="190" t="s">
        <v>67</v>
      </c>
      <c r="D654" s="190">
        <v>5</v>
      </c>
      <c r="E654" s="191">
        <v>6</v>
      </c>
      <c r="F654" s="192">
        <v>44469</v>
      </c>
      <c r="G654" s="24">
        <v>655.38013829582019</v>
      </c>
      <c r="H654" s="24">
        <v>597.64200000000005</v>
      </c>
      <c r="I654" s="193">
        <v>141.6</v>
      </c>
      <c r="J654" s="194">
        <v>129.91</v>
      </c>
      <c r="K654" s="193">
        <v>145.5</v>
      </c>
      <c r="L654" s="194">
        <v>139.51</v>
      </c>
      <c r="M654" s="195">
        <f t="shared" si="364"/>
        <v>0.76215411969440838</v>
      </c>
      <c r="N654" s="195">
        <f t="shared" si="365"/>
        <v>0.72217800537924648</v>
      </c>
      <c r="O654" s="195">
        <f t="shared" si="366"/>
        <v>0.18205003841550563</v>
      </c>
      <c r="P654" s="195">
        <f t="shared" si="367"/>
        <v>0.1660116666666667</v>
      </c>
      <c r="Q654" s="195">
        <v>0.98499999999999999</v>
      </c>
      <c r="R654" s="195">
        <v>0.98864474871111119</v>
      </c>
      <c r="S654" s="196">
        <v>0.99</v>
      </c>
      <c r="T654" s="197">
        <v>0.9988866666666667</v>
      </c>
      <c r="U654" s="198">
        <v>1.4999999999999999E-2</v>
      </c>
      <c r="V654" s="197">
        <v>4.4999999999999997E-3</v>
      </c>
      <c r="W654" s="198">
        <v>0</v>
      </c>
      <c r="X654" s="197">
        <v>0</v>
      </c>
      <c r="Y654" s="199">
        <f t="shared" si="362"/>
        <v>-4.69303152822238E-2</v>
      </c>
    </row>
    <row r="655" spans="2:25">
      <c r="B655" s="189" t="s">
        <v>14</v>
      </c>
      <c r="C655" s="190" t="s">
        <v>67</v>
      </c>
      <c r="D655" s="190">
        <v>5</v>
      </c>
      <c r="E655" s="191">
        <v>6</v>
      </c>
      <c r="F655" s="192">
        <v>44500</v>
      </c>
      <c r="G655" s="24">
        <v>751.45917387828558</v>
      </c>
      <c r="H655" s="24">
        <v>688.39200000000005</v>
      </c>
      <c r="I655" s="193">
        <v>139.1</v>
      </c>
      <c r="J655" s="194">
        <v>127.04000000000002</v>
      </c>
      <c r="K655" s="193">
        <v>172.2</v>
      </c>
      <c r="L655" s="194">
        <v>159.08000000000004</v>
      </c>
      <c r="M655" s="195">
        <f t="shared" si="364"/>
        <v>0.73838822551030225</v>
      </c>
      <c r="N655" s="195">
        <f t="shared" si="365"/>
        <v>0.73413171076307338</v>
      </c>
      <c r="O655" s="195">
        <f t="shared" si="366"/>
        <v>0.20200515426835636</v>
      </c>
      <c r="P655" s="195">
        <f t="shared" si="367"/>
        <v>0.18505161290322583</v>
      </c>
      <c r="Q655" s="195">
        <v>0.98499999999999999</v>
      </c>
      <c r="R655" s="195">
        <v>0.98241502999999997</v>
      </c>
      <c r="S655" s="196">
        <v>0.99</v>
      </c>
      <c r="T655" s="197">
        <v>0.99913548387096773</v>
      </c>
      <c r="U655" s="198">
        <v>1.4999999999999999E-2</v>
      </c>
      <c r="V655" s="197">
        <v>2.24E-2</v>
      </c>
      <c r="W655" s="198">
        <v>0</v>
      </c>
      <c r="X655" s="197">
        <v>0</v>
      </c>
      <c r="Y655" s="199">
        <f t="shared" si="362"/>
        <v>-7.7358049310858323E-3</v>
      </c>
    </row>
    <row r="656" spans="2:25">
      <c r="B656" s="189" t="s">
        <v>14</v>
      </c>
      <c r="C656" s="190" t="s">
        <v>67</v>
      </c>
      <c r="D656" s="190">
        <v>5</v>
      </c>
      <c r="E656" s="191">
        <v>6</v>
      </c>
      <c r="F656" s="192">
        <v>44530</v>
      </c>
      <c r="G656" s="24">
        <v>664.9609264159908</v>
      </c>
      <c r="H656" s="24">
        <v>631.81200000000001</v>
      </c>
      <c r="I656" s="193">
        <v>108.1</v>
      </c>
      <c r="J656" s="194">
        <v>103.76999999999998</v>
      </c>
      <c r="K656" s="193">
        <v>152.1</v>
      </c>
      <c r="L656" s="194">
        <v>148.66</v>
      </c>
      <c r="M656" s="195">
        <f t="shared" si="364"/>
        <v>0.7397405598729917</v>
      </c>
      <c r="N656" s="195">
        <f t="shared" si="365"/>
        <v>0.71033010551432896</v>
      </c>
      <c r="O656" s="195">
        <f t="shared" si="366"/>
        <v>0.18471136844888633</v>
      </c>
      <c r="P656" s="195">
        <f t="shared" si="367"/>
        <v>0.17550333333333334</v>
      </c>
      <c r="Q656" s="195">
        <v>0.98499999999999999</v>
      </c>
      <c r="R656" s="195">
        <v>0.99719999999999998</v>
      </c>
      <c r="S656" s="196">
        <v>0.99</v>
      </c>
      <c r="T656" s="197">
        <v>1</v>
      </c>
      <c r="U656" s="198">
        <v>1.4999999999999999E-2</v>
      </c>
      <c r="V656" s="197">
        <v>1.8497007516012111E-2</v>
      </c>
      <c r="W656" s="198">
        <v>0</v>
      </c>
      <c r="X656" s="197">
        <v>0</v>
      </c>
      <c r="Y656" s="199">
        <f t="shared" si="362"/>
        <v>-2.7234239213357547E-2</v>
      </c>
    </row>
    <row r="657" spans="2:25">
      <c r="B657" s="189" t="s">
        <v>14</v>
      </c>
      <c r="C657" s="190" t="s">
        <v>67</v>
      </c>
      <c r="D657" s="190">
        <v>5</v>
      </c>
      <c r="E657" s="191">
        <v>6</v>
      </c>
      <c r="F657" s="192">
        <v>44561</v>
      </c>
      <c r="G657" s="24">
        <v>558.803986348629</v>
      </c>
      <c r="H657" s="24">
        <v>525.15599999999995</v>
      </c>
      <c r="I657" s="193">
        <v>89.9</v>
      </c>
      <c r="J657" s="194">
        <v>84.149999999999977</v>
      </c>
      <c r="K657" s="193">
        <v>129.6</v>
      </c>
      <c r="L657" s="194">
        <v>121.52999999999999</v>
      </c>
      <c r="M657" s="195">
        <f t="shared" si="364"/>
        <v>0.72957007680619401</v>
      </c>
      <c r="N657" s="195">
        <f t="shared" si="365"/>
        <v>0.72163706401511063</v>
      </c>
      <c r="O657" s="195">
        <f t="shared" si="366"/>
        <v>0.15021612536253467</v>
      </c>
      <c r="P657" s="195">
        <f t="shared" si="367"/>
        <v>0.14117096774193547</v>
      </c>
      <c r="Q657" s="195">
        <v>0.98499999999999999</v>
      </c>
      <c r="R657" s="195">
        <v>0.99800967741935476</v>
      </c>
      <c r="S657" s="196">
        <v>0.99</v>
      </c>
      <c r="T657" s="197">
        <v>1</v>
      </c>
      <c r="U657" s="198">
        <v>1.4999999999999999E-2</v>
      </c>
      <c r="V657" s="197">
        <v>1.4500000000000001E-2</v>
      </c>
      <c r="W657" s="198">
        <v>0</v>
      </c>
      <c r="X657" s="197">
        <v>0</v>
      </c>
      <c r="Y657" s="199">
        <f t="shared" si="362"/>
        <v>2.0542266189675917E-3</v>
      </c>
    </row>
    <row r="658" spans="2:25">
      <c r="B658" s="189" t="s">
        <v>14</v>
      </c>
      <c r="C658" s="190" t="s">
        <v>67</v>
      </c>
      <c r="D658" s="190">
        <v>5</v>
      </c>
      <c r="E658" s="191">
        <v>6</v>
      </c>
      <c r="F658" s="192">
        <v>44592</v>
      </c>
      <c r="G658" s="24">
        <v>470.07910949633026</v>
      </c>
      <c r="H658" s="24">
        <v>334.47899999999998</v>
      </c>
      <c r="I658" s="193">
        <v>79.599999999999994</v>
      </c>
      <c r="J658" s="194">
        <v>58.210000000000022</v>
      </c>
      <c r="K658" s="193">
        <v>103.2</v>
      </c>
      <c r="L658" s="194">
        <v>72.67</v>
      </c>
      <c r="M658" s="195">
        <f t="shared" si="364"/>
        <v>0.77073267864270634</v>
      </c>
      <c r="N658" s="195">
        <f t="shared" si="365"/>
        <v>0.76996736003576516</v>
      </c>
      <c r="O658" s="195">
        <f t="shared" si="366"/>
        <v>0.12636535201514254</v>
      </c>
      <c r="P658" s="195">
        <f t="shared" si="367"/>
        <v>8.9913709677419351E-2</v>
      </c>
      <c r="Q658" s="195">
        <v>0.98499999999999999</v>
      </c>
      <c r="R658" s="195">
        <v>0.99629999999999996</v>
      </c>
      <c r="S658" s="196">
        <v>0.99</v>
      </c>
      <c r="T658" s="197">
        <v>1</v>
      </c>
      <c r="U658" s="198">
        <v>1.4999999999999999E-2</v>
      </c>
      <c r="V658" s="197">
        <v>0</v>
      </c>
      <c r="W658" s="198">
        <v>0</v>
      </c>
      <c r="X658" s="197">
        <v>0</v>
      </c>
      <c r="Y658" s="199">
        <f t="shared" si="362"/>
        <v>7.3710154872583811E-3</v>
      </c>
    </row>
    <row r="659" spans="2:25">
      <c r="B659" s="189" t="s">
        <v>14</v>
      </c>
      <c r="C659" s="190" t="s">
        <v>67</v>
      </c>
      <c r="D659" s="190">
        <v>5</v>
      </c>
      <c r="E659" s="191">
        <v>6</v>
      </c>
      <c r="F659" s="192">
        <v>44620</v>
      </c>
      <c r="G659" s="24">
        <v>617.29921706194955</v>
      </c>
      <c r="H659" s="24">
        <v>625.779</v>
      </c>
      <c r="I659" s="193">
        <v>108.1</v>
      </c>
      <c r="J659" s="194">
        <v>108.97</v>
      </c>
      <c r="K659" s="193">
        <v>137.5</v>
      </c>
      <c r="L659" s="194">
        <v>141.71999999999997</v>
      </c>
      <c r="M659" s="195">
        <f t="shared" si="364"/>
        <v>0.75963601545848269</v>
      </c>
      <c r="N659" s="195">
        <f t="shared" si="365"/>
        <v>0.74765028752798957</v>
      </c>
      <c r="O659" s="195">
        <f t="shared" si="366"/>
        <v>0.18372000507796116</v>
      </c>
      <c r="P659" s="195">
        <f t="shared" si="367"/>
        <v>0.18624374999999999</v>
      </c>
      <c r="Q659" s="195">
        <v>0.98499999999999999</v>
      </c>
      <c r="R659" s="195">
        <v>0.98432856000000002</v>
      </c>
      <c r="S659" s="196">
        <v>0.99</v>
      </c>
      <c r="T659" s="197">
        <v>0.99790000000000001</v>
      </c>
      <c r="U659" s="198">
        <v>1.4999999999999999E-2</v>
      </c>
      <c r="V659" s="197">
        <v>1.32E-2</v>
      </c>
      <c r="W659" s="198">
        <v>0</v>
      </c>
      <c r="X659" s="197">
        <v>0</v>
      </c>
      <c r="Y659" s="199">
        <f t="shared" si="362"/>
        <v>-1.69540004675508E-2</v>
      </c>
    </row>
    <row r="660" spans="2:25">
      <c r="B660" s="189" t="s">
        <v>14</v>
      </c>
      <c r="C660" s="190" t="s">
        <v>67</v>
      </c>
      <c r="D660" s="190">
        <v>5</v>
      </c>
      <c r="E660" s="191">
        <v>6</v>
      </c>
      <c r="F660" s="192">
        <v>44651</v>
      </c>
      <c r="G660" s="24">
        <v>827.74213196943265</v>
      </c>
      <c r="H660" s="24">
        <f>[1]Database!$I$425/1000</f>
        <v>772.09799999999996</v>
      </c>
      <c r="I660" s="193">
        <v>161.4</v>
      </c>
      <c r="J660" s="194">
        <v>162.41999999999999</v>
      </c>
      <c r="K660" s="193">
        <v>187.8</v>
      </c>
      <c r="L660" s="194">
        <v>188.44</v>
      </c>
      <c r="M660" s="195">
        <f t="shared" si="364"/>
        <v>0.74578216373885942</v>
      </c>
      <c r="N660" s="195">
        <f t="shared" si="365"/>
        <v>0.72462415024764137</v>
      </c>
      <c r="O660" s="195">
        <f t="shared" si="366"/>
        <v>0.22251132579823457</v>
      </c>
      <c r="P660" s="195">
        <f t="shared" si="367"/>
        <v>0.20755322580645158</v>
      </c>
      <c r="Q660" s="195">
        <v>0.98499999999999999</v>
      </c>
      <c r="R660" s="195">
        <f>'[2]UTT '!$II$10</f>
        <v>0.94240000000000002</v>
      </c>
      <c r="S660" s="196">
        <v>0.99</v>
      </c>
      <c r="T660" s="197">
        <v>1</v>
      </c>
      <c r="U660" s="198">
        <v>1.4999999999999999E-2</v>
      </c>
      <c r="V660" s="197">
        <v>1.3142754346753849E-2</v>
      </c>
      <c r="W660" s="198">
        <v>0</v>
      </c>
      <c r="X660" s="197">
        <v>0</v>
      </c>
      <c r="Y660" s="199">
        <f t="shared" si="362"/>
        <v>-7.0631874550657225E-2</v>
      </c>
    </row>
    <row r="661" spans="2:25">
      <c r="B661" s="189" t="s">
        <v>14</v>
      </c>
      <c r="C661" s="190" t="s">
        <v>67</v>
      </c>
      <c r="D661" s="190">
        <v>5</v>
      </c>
      <c r="E661" s="191">
        <v>6</v>
      </c>
      <c r="F661" s="192">
        <v>44681</v>
      </c>
      <c r="G661" s="24">
        <v>856.16091876890471</v>
      </c>
      <c r="H661" s="24">
        <v>750.72900000000004</v>
      </c>
      <c r="I661" s="193">
        <v>190.2</v>
      </c>
      <c r="J661" s="194">
        <v>174.14000000000001</v>
      </c>
      <c r="K661" s="193">
        <v>194</v>
      </c>
      <c r="L661" s="194">
        <v>182.27000000000004</v>
      </c>
      <c r="M661" s="195">
        <f t="shared" si="364"/>
        <v>0.74673445215073597</v>
      </c>
      <c r="N661" s="195">
        <f t="shared" si="365"/>
        <v>0.69374673164069545</v>
      </c>
      <c r="O661" s="195">
        <f t="shared" si="366"/>
        <v>0.23782247743580687</v>
      </c>
      <c r="P661" s="195">
        <f t="shared" si="367"/>
        <v>0.20853583333333336</v>
      </c>
      <c r="Q661" s="195">
        <v>0.98499999999999999</v>
      </c>
      <c r="R661" s="195">
        <v>0.98950000000000005</v>
      </c>
      <c r="S661" s="196">
        <v>0.99</v>
      </c>
      <c r="T661" s="197">
        <v>1</v>
      </c>
      <c r="U661" s="198">
        <v>1.4999999999999999E-2</v>
      </c>
      <c r="V661" s="197">
        <v>2.0799999999999999E-2</v>
      </c>
      <c r="W661" s="198">
        <v>0</v>
      </c>
      <c r="X661" s="197">
        <v>0</v>
      </c>
      <c r="Y661" s="199">
        <f t="shared" si="362"/>
        <v>-6.2681061949006023E-2</v>
      </c>
    </row>
    <row r="662" spans="2:25">
      <c r="B662" s="189" t="s">
        <v>14</v>
      </c>
      <c r="C662" s="190" t="s">
        <v>67</v>
      </c>
      <c r="D662" s="190">
        <v>5</v>
      </c>
      <c r="E662" s="191">
        <v>6</v>
      </c>
      <c r="F662" s="192">
        <v>44712</v>
      </c>
      <c r="G662" s="24">
        <v>867.31259460160868</v>
      </c>
      <c r="H662" s="24">
        <v>786.846</v>
      </c>
      <c r="I662" s="193">
        <v>197</v>
      </c>
      <c r="J662" s="194">
        <v>187.18</v>
      </c>
      <c r="K662" s="193">
        <v>197.7</v>
      </c>
      <c r="L662" s="194">
        <v>186.75000000000006</v>
      </c>
      <c r="M662" s="195">
        <f t="shared" si="364"/>
        <v>0.74230349065146717</v>
      </c>
      <c r="N662" s="195">
        <f t="shared" si="365"/>
        <v>0.71716940169476973</v>
      </c>
      <c r="O662" s="195">
        <f t="shared" si="366"/>
        <v>0.23314854693591633</v>
      </c>
      <c r="P662" s="195">
        <f t="shared" si="367"/>
        <v>0.21151774193548384</v>
      </c>
      <c r="Q662" s="195">
        <v>0.98499999999999999</v>
      </c>
      <c r="R662" s="195">
        <v>0.97916555741935507</v>
      </c>
      <c r="S662" s="196">
        <v>0.99</v>
      </c>
      <c r="T662" s="197">
        <v>1</v>
      </c>
      <c r="U662" s="198">
        <v>1.4999999999999999E-2</v>
      </c>
      <c r="V662" s="197">
        <v>6.4999999999999997E-3</v>
      </c>
      <c r="W662" s="198">
        <v>0</v>
      </c>
      <c r="X662" s="197">
        <v>0</v>
      </c>
      <c r="Y662" s="199">
        <f t="shared" si="362"/>
        <v>-3.738997399287225E-2</v>
      </c>
    </row>
    <row r="663" spans="2:25">
      <c r="B663" s="189" t="s">
        <v>14</v>
      </c>
      <c r="C663" s="190" t="s">
        <v>67</v>
      </c>
      <c r="D663" s="190">
        <v>5</v>
      </c>
      <c r="E663" s="191">
        <v>6</v>
      </c>
      <c r="F663" s="192">
        <v>44742</v>
      </c>
      <c r="G663" s="24">
        <v>778.81865089692383</v>
      </c>
      <c r="H663" s="24">
        <v>712.64099999999996</v>
      </c>
      <c r="I663" s="193">
        <v>178.9</v>
      </c>
      <c r="J663" s="194">
        <v>171.11999999999995</v>
      </c>
      <c r="K663" s="193">
        <v>177.2</v>
      </c>
      <c r="L663" s="194">
        <v>170.06999999999996</v>
      </c>
      <c r="M663" s="195">
        <f t="shared" si="364"/>
        <v>0.7436783609837212</v>
      </c>
      <c r="N663" s="195">
        <f t="shared" si="365"/>
        <v>0.70039839953584171</v>
      </c>
      <c r="O663" s="195">
        <f t="shared" si="366"/>
        <v>0.21633851413803443</v>
      </c>
      <c r="P663" s="195">
        <f t="shared" si="367"/>
        <v>0.19795583333333333</v>
      </c>
      <c r="Q663" s="195">
        <v>0.98499999999999999</v>
      </c>
      <c r="R663" s="195">
        <v>0.99711832473333306</v>
      </c>
      <c r="S663" s="196">
        <v>0.99</v>
      </c>
      <c r="T663" s="197">
        <v>0.99920666666666658</v>
      </c>
      <c r="U663" s="198">
        <v>1.4999999999999999E-2</v>
      </c>
      <c r="V663" s="197">
        <v>8.5000000000000006E-3</v>
      </c>
      <c r="W663" s="198">
        <v>0</v>
      </c>
      <c r="X663" s="197">
        <v>0</v>
      </c>
      <c r="Y663" s="199">
        <f t="shared" si="362"/>
        <v>-4.4734815965385089E-2</v>
      </c>
    </row>
    <row r="664" spans="2:25">
      <c r="B664" s="189" t="s">
        <v>14</v>
      </c>
      <c r="C664" s="190" t="s">
        <v>67</v>
      </c>
      <c r="D664" s="190">
        <v>5</v>
      </c>
      <c r="E664" s="191">
        <v>6</v>
      </c>
      <c r="F664" s="192">
        <v>44773</v>
      </c>
      <c r="G664" s="24">
        <v>689.24551275681563</v>
      </c>
      <c r="H664" s="24">
        <v>667.68600000000004</v>
      </c>
      <c r="I664" s="193">
        <v>155.5</v>
      </c>
      <c r="J664" s="194">
        <v>154.21999999999994</v>
      </c>
      <c r="K664" s="193">
        <v>154.6</v>
      </c>
      <c r="L664" s="194">
        <v>152.39999999999998</v>
      </c>
      <c r="M664" s="195">
        <f t="shared" si="364"/>
        <v>0.75435709068193635</v>
      </c>
      <c r="N664" s="195">
        <f t="shared" si="365"/>
        <v>0.74799003876543546</v>
      </c>
      <c r="O664" s="195">
        <f t="shared" si="366"/>
        <v>0.1852810518163483</v>
      </c>
      <c r="P664" s="195">
        <f t="shared" si="367"/>
        <v>0.17948548387096774</v>
      </c>
      <c r="Q664" s="195">
        <v>0.98499999999999999</v>
      </c>
      <c r="R664" s="195">
        <v>0.97620322580645158</v>
      </c>
      <c r="S664" s="196">
        <v>0.99</v>
      </c>
      <c r="T664" s="197">
        <v>1</v>
      </c>
      <c r="U664" s="198">
        <v>1.4999999999999999E-2</v>
      </c>
      <c r="V664" s="197">
        <v>6.1999999999999998E-3</v>
      </c>
      <c r="W664" s="198">
        <v>0</v>
      </c>
      <c r="X664" s="197">
        <v>0</v>
      </c>
      <c r="Y664" s="199">
        <f t="shared" si="362"/>
        <v>-1.704960227708463E-2</v>
      </c>
    </row>
    <row r="665" spans="2:25">
      <c r="B665" s="189" t="s">
        <v>14</v>
      </c>
      <c r="C665" s="190" t="s">
        <v>67</v>
      </c>
      <c r="D665" s="190">
        <v>5</v>
      </c>
      <c r="E665" s="191">
        <v>6</v>
      </c>
      <c r="F665" s="192">
        <v>44804</v>
      </c>
      <c r="G665" s="24">
        <v>654.44149221442422</v>
      </c>
      <c r="H665" s="24">
        <v>687.87599999999998</v>
      </c>
      <c r="I665" s="193">
        <v>145.4</v>
      </c>
      <c r="J665" s="194">
        <v>161.01</v>
      </c>
      <c r="K665" s="193">
        <v>146.30000000000001</v>
      </c>
      <c r="L665" s="194">
        <v>161.92999999999995</v>
      </c>
      <c r="M665" s="195">
        <f t="shared" si="364"/>
        <v>0.75690089577245401</v>
      </c>
      <c r="N665" s="195">
        <f t="shared" si="365"/>
        <v>0.72702180166392061</v>
      </c>
      <c r="O665" s="195">
        <f t="shared" si="366"/>
        <v>0.17592513231570545</v>
      </c>
      <c r="P665" s="195">
        <f t="shared" si="367"/>
        <v>0.18491290322580645</v>
      </c>
      <c r="Q665" s="195">
        <v>0.98499999999999999</v>
      </c>
      <c r="R665" s="195">
        <v>0.97383225806451623</v>
      </c>
      <c r="S665" s="196">
        <v>0.99</v>
      </c>
      <c r="T665" s="197">
        <v>1</v>
      </c>
      <c r="U665" s="198">
        <v>1.4999999999999999E-2</v>
      </c>
      <c r="V665" s="197">
        <v>1.2500000000000001E-2</v>
      </c>
      <c r="W665" s="198">
        <v>0</v>
      </c>
      <c r="X665" s="197">
        <v>0</v>
      </c>
      <c r="Y665" s="199">
        <f t="shared" si="362"/>
        <v>-5.57466575146921E-2</v>
      </c>
    </row>
    <row r="666" spans="2:25">
      <c r="B666" s="189" t="s">
        <v>14</v>
      </c>
      <c r="C666" s="190" t="s">
        <v>67</v>
      </c>
      <c r="D666" s="190">
        <v>5</v>
      </c>
      <c r="E666" s="191">
        <v>6</v>
      </c>
      <c r="F666" s="192">
        <v>44834</v>
      </c>
      <c r="G666" s="24">
        <v>652.10323760434107</v>
      </c>
      <c r="H666" s="24">
        <v>584.46</v>
      </c>
      <c r="I666" s="193">
        <v>141.6</v>
      </c>
      <c r="J666" s="194">
        <v>129.53000000000003</v>
      </c>
      <c r="K666" s="193">
        <v>145.5</v>
      </c>
      <c r="L666" s="194">
        <v>135.13000000000002</v>
      </c>
      <c r="M666" s="195">
        <f t="shared" si="364"/>
        <v>0.75834334909593637</v>
      </c>
      <c r="N666" s="195">
        <f t="shared" si="365"/>
        <v>0.7284076964683357</v>
      </c>
      <c r="O666" s="195">
        <f t="shared" si="366"/>
        <v>0.18113978822342808</v>
      </c>
      <c r="P666" s="195">
        <f t="shared" si="367"/>
        <v>0.16235000000000002</v>
      </c>
      <c r="Q666" s="195">
        <v>0.98499999999999999</v>
      </c>
      <c r="R666" s="195">
        <v>0.98964000000000008</v>
      </c>
      <c r="S666" s="196">
        <v>0.99</v>
      </c>
      <c r="T666" s="197">
        <v>1</v>
      </c>
      <c r="U666" s="198">
        <v>1.4999999999999999E-2</v>
      </c>
      <c r="V666" s="197">
        <v>9.7000000000000003E-3</v>
      </c>
      <c r="W666" s="198">
        <v>0</v>
      </c>
      <c r="X666" s="197">
        <v>0</v>
      </c>
      <c r="Y666" s="199">
        <f t="shared" si="362"/>
        <v>-3.2459394541675457E-2</v>
      </c>
    </row>
    <row r="667" spans="2:25">
      <c r="B667" s="189" t="s">
        <v>14</v>
      </c>
      <c r="C667" s="190" t="s">
        <v>67</v>
      </c>
      <c r="D667" s="190">
        <v>5</v>
      </c>
      <c r="E667" s="191">
        <v>6</v>
      </c>
      <c r="F667" s="192">
        <v>44865</v>
      </c>
      <c r="G667" s="24">
        <v>747.70187800889414</v>
      </c>
      <c r="H667" s="24">
        <v>680.75099999999998</v>
      </c>
      <c r="I667" s="193">
        <v>139.1</v>
      </c>
      <c r="J667" s="194">
        <v>130.94999999999999</v>
      </c>
      <c r="K667" s="193">
        <v>172.2</v>
      </c>
      <c r="L667" s="194">
        <v>160.17999999999998</v>
      </c>
      <c r="M667" s="195">
        <f t="shared" si="364"/>
        <v>0.7346962843827507</v>
      </c>
      <c r="N667" s="195">
        <f t="shared" si="365"/>
        <v>0.71208593066617676</v>
      </c>
      <c r="O667" s="195">
        <f t="shared" si="366"/>
        <v>0.20099512849701456</v>
      </c>
      <c r="P667" s="195">
        <f t="shared" si="367"/>
        <v>0.18299758064516131</v>
      </c>
      <c r="Q667" s="195">
        <v>0.98499999999999999</v>
      </c>
      <c r="R667" s="195">
        <v>0.9947096774193549</v>
      </c>
      <c r="S667" s="196">
        <v>0.99</v>
      </c>
      <c r="T667" s="197">
        <v>0.99724193548387097</v>
      </c>
      <c r="U667" s="198">
        <v>1.4999999999999999E-2</v>
      </c>
      <c r="V667" s="197">
        <v>1.59105742581051E-2</v>
      </c>
      <c r="W667" s="198">
        <v>0</v>
      </c>
      <c r="X667" s="197">
        <v>0</v>
      </c>
      <c r="Y667" s="199">
        <f t="shared" ref="Y667:Y673" si="368">(H667/G667-1)-(L667/K667-1)</f>
        <v>-1.9739654070361712E-2</v>
      </c>
    </row>
    <row r="668" spans="2:25">
      <c r="B668" s="189" t="s">
        <v>14</v>
      </c>
      <c r="C668" s="190" t="s">
        <v>67</v>
      </c>
      <c r="D668" s="190">
        <v>5</v>
      </c>
      <c r="E668" s="191">
        <v>6</v>
      </c>
      <c r="F668" s="192">
        <v>44895</v>
      </c>
      <c r="G668" s="24">
        <v>661.63612178391088</v>
      </c>
      <c r="H668" s="24">
        <v>563.52300000000002</v>
      </c>
      <c r="I668" s="193">
        <v>108.1</v>
      </c>
      <c r="J668" s="194">
        <v>98.27</v>
      </c>
      <c r="K668" s="193">
        <v>152.1</v>
      </c>
      <c r="L668" s="194">
        <v>134.56</v>
      </c>
      <c r="M668" s="195">
        <f t="shared" si="364"/>
        <v>0.73604185707362679</v>
      </c>
      <c r="N668" s="195">
        <f t="shared" si="365"/>
        <v>0.69817314671638475</v>
      </c>
      <c r="O668" s="195">
        <f t="shared" si="366"/>
        <v>0.18378781160664193</v>
      </c>
      <c r="P668" s="195">
        <f t="shared" si="367"/>
        <v>0.15653416666666667</v>
      </c>
      <c r="Q668" s="195">
        <v>0.98499999999999999</v>
      </c>
      <c r="R668" s="195">
        <v>0.99972666666666654</v>
      </c>
      <c r="S668" s="196">
        <v>0.99</v>
      </c>
      <c r="T668" s="197">
        <v>1</v>
      </c>
      <c r="U668" s="198">
        <v>1.4999999999999999E-2</v>
      </c>
      <c r="V668" s="197">
        <v>2.4899999999999999E-2</v>
      </c>
      <c r="W668" s="198">
        <v>0</v>
      </c>
      <c r="X668" s="197">
        <v>0</v>
      </c>
      <c r="Y668" s="199">
        <f t="shared" si="368"/>
        <v>-3.296977251218336E-2</v>
      </c>
    </row>
    <row r="669" spans="2:25">
      <c r="B669" s="189" t="s">
        <v>14</v>
      </c>
      <c r="C669" s="190" t="s">
        <v>67</v>
      </c>
      <c r="D669" s="190">
        <v>5</v>
      </c>
      <c r="E669" s="191">
        <v>6</v>
      </c>
      <c r="F669" s="192">
        <v>44926</v>
      </c>
      <c r="G669" s="24">
        <v>556.00996641688585</v>
      </c>
      <c r="H669" s="24">
        <v>508.29599999999999</v>
      </c>
      <c r="I669" s="193">
        <v>89.9</v>
      </c>
      <c r="J669" s="194">
        <v>81.760000000000005</v>
      </c>
      <c r="K669" s="193">
        <v>129.6</v>
      </c>
      <c r="L669" s="194">
        <v>117.48</v>
      </c>
      <c r="M669" s="195">
        <f t="shared" si="364"/>
        <v>0.72592222642216309</v>
      </c>
      <c r="N669" s="195">
        <f t="shared" si="365"/>
        <v>0.72568883864483102</v>
      </c>
      <c r="O669" s="195">
        <f t="shared" si="366"/>
        <v>0.14946504473572203</v>
      </c>
      <c r="P669" s="195">
        <f t="shared" si="367"/>
        <v>0.13663870967741934</v>
      </c>
      <c r="Q669" s="195">
        <v>0.98499999999999999</v>
      </c>
      <c r="R669" s="195">
        <v>0.99369032258064516</v>
      </c>
      <c r="S669" s="196">
        <v>0.99</v>
      </c>
      <c r="T669" s="197">
        <v>1</v>
      </c>
      <c r="U669" s="198">
        <v>1.4999999999999999E-2</v>
      </c>
      <c r="V669" s="197">
        <v>1.9099999999999999E-2</v>
      </c>
      <c r="W669" s="198">
        <v>0</v>
      </c>
      <c r="X669" s="197">
        <v>0</v>
      </c>
      <c r="Y669" s="199">
        <f t="shared" si="368"/>
        <v>7.7035704081983569E-3</v>
      </c>
    </row>
    <row r="670" spans="2:25">
      <c r="B670" s="189" t="s">
        <v>14</v>
      </c>
      <c r="C670" s="190" t="s">
        <v>67</v>
      </c>
      <c r="D670" s="190">
        <v>5</v>
      </c>
      <c r="E670" s="191">
        <v>6</v>
      </c>
      <c r="F670" s="192">
        <v>44957</v>
      </c>
      <c r="G670" s="24">
        <v>467.72871394884862</v>
      </c>
      <c r="H670" s="24">
        <v>389.49599999999998</v>
      </c>
      <c r="I670" s="193">
        <v>79.599999999999994</v>
      </c>
      <c r="J670" s="194">
        <v>68.47</v>
      </c>
      <c r="K670" s="193">
        <v>103.2</v>
      </c>
      <c r="L670" s="194">
        <v>87.930000000000021</v>
      </c>
      <c r="M670" s="195">
        <f t="shared" si="364"/>
        <v>0.76687901524949265</v>
      </c>
      <c r="N670" s="195">
        <f t="shared" si="365"/>
        <v>0.7467823970012375</v>
      </c>
      <c r="O670" s="195">
        <f t="shared" si="366"/>
        <v>0.12573352525506681</v>
      </c>
      <c r="P670" s="195">
        <f t="shared" si="367"/>
        <v>0.10470322580645161</v>
      </c>
      <c r="Q670" s="195">
        <v>0.98499999999999999</v>
      </c>
      <c r="R670" s="195">
        <v>0.98860000000000003</v>
      </c>
      <c r="S670" s="196">
        <v>0.99</v>
      </c>
      <c r="T670" s="197">
        <v>0.99762580645161292</v>
      </c>
      <c r="U670" s="198">
        <v>1.4999999999999999E-2</v>
      </c>
      <c r="V670" s="197">
        <v>1.09E-2</v>
      </c>
      <c r="W670" s="198">
        <v>0</v>
      </c>
      <c r="X670" s="197">
        <v>0</v>
      </c>
      <c r="Y670" s="199">
        <f t="shared" si="368"/>
        <v>-1.9295758701986743E-2</v>
      </c>
    </row>
    <row r="671" spans="2:25">
      <c r="B671" s="189" t="s">
        <v>14</v>
      </c>
      <c r="C671" s="190" t="s">
        <v>67</v>
      </c>
      <c r="D671" s="190">
        <v>5</v>
      </c>
      <c r="E671" s="191">
        <v>6</v>
      </c>
      <c r="F671" s="192">
        <v>44985</v>
      </c>
      <c r="G671" s="24">
        <v>614.21272097663973</v>
      </c>
      <c r="H671" s="24">
        <v>649.04700000000003</v>
      </c>
      <c r="I671" s="193">
        <v>108.1</v>
      </c>
      <c r="J671" s="194">
        <v>113.5</v>
      </c>
      <c r="K671" s="193">
        <v>137.5</v>
      </c>
      <c r="L671" s="194">
        <v>148.63999999999999</v>
      </c>
      <c r="M671" s="195">
        <f t="shared" ref="M671:M673" si="369">G671/E671/K671/Q671</f>
        <v>0.75583783538119031</v>
      </c>
      <c r="N671" s="195">
        <f t="shared" ref="N671:N673" si="370">H671/E671/L671/R671</f>
        <v>0.73105561300479271</v>
      </c>
      <c r="O671" s="195">
        <f t="shared" ref="O671:O673" si="371">G671/24/DAY(F671)/D671</f>
        <v>0.18280140505257134</v>
      </c>
      <c r="P671" s="195">
        <f t="shared" ref="P671:P673" si="372">H671/24/DAY(F671)/D671</f>
        <v>0.19316875000000003</v>
      </c>
      <c r="Q671" s="195">
        <v>0.98499999999999999</v>
      </c>
      <c r="R671" s="195">
        <v>0.99549431423469381</v>
      </c>
      <c r="S671" s="196">
        <v>0.99</v>
      </c>
      <c r="T671" s="197">
        <v>0.99800357142857143</v>
      </c>
      <c r="U671" s="198">
        <v>1.4999999999999999E-2</v>
      </c>
      <c r="V671" s="197">
        <v>1.6799999999999999E-2</v>
      </c>
      <c r="W671" s="198">
        <v>0</v>
      </c>
      <c r="X671" s="197">
        <v>0</v>
      </c>
      <c r="Y671" s="199">
        <f t="shared" si="368"/>
        <v>-2.4304476885513626E-2</v>
      </c>
    </row>
    <row r="672" spans="2:25">
      <c r="B672" s="189" t="s">
        <v>14</v>
      </c>
      <c r="C672" s="190" t="s">
        <v>67</v>
      </c>
      <c r="D672" s="200">
        <v>5</v>
      </c>
      <c r="E672" s="191">
        <v>6</v>
      </c>
      <c r="F672" s="192">
        <f>EOMONTH(F671,1)</f>
        <v>45016</v>
      </c>
      <c r="G672" s="24">
        <v>823.60342130958554</v>
      </c>
      <c r="H672" s="24">
        <v>724.37699999999995</v>
      </c>
      <c r="I672" s="24">
        <v>161.4</v>
      </c>
      <c r="J672" s="24">
        <v>149.16000000000003</v>
      </c>
      <c r="K672" s="193">
        <v>187.8</v>
      </c>
      <c r="L672" s="194">
        <v>170.12000000000003</v>
      </c>
      <c r="M672" s="195">
        <f t="shared" si="369"/>
        <v>0.74205325292016522</v>
      </c>
      <c r="N672" s="195">
        <f t="shared" si="370"/>
        <v>0.71594751762406839</v>
      </c>
      <c r="O672" s="195">
        <f t="shared" si="371"/>
        <v>0.22139876916924345</v>
      </c>
      <c r="P672" s="195">
        <f t="shared" si="372"/>
        <v>0.19472499999999998</v>
      </c>
      <c r="Q672" s="195">
        <v>0.98499999999999999</v>
      </c>
      <c r="R672" s="195">
        <v>0.99123548387096772</v>
      </c>
      <c r="S672" s="195">
        <v>0.99</v>
      </c>
      <c r="T672" s="195">
        <v>1</v>
      </c>
      <c r="U672" s="198">
        <v>1.4999999999999999E-2</v>
      </c>
      <c r="V672" s="197">
        <v>-1.43E-2</v>
      </c>
      <c r="W672" s="198">
        <v>0</v>
      </c>
      <c r="X672" s="197">
        <v>0</v>
      </c>
      <c r="Y672" s="199">
        <f t="shared" si="368"/>
        <v>-2.6335693629553236E-2</v>
      </c>
    </row>
    <row r="673" spans="2:25">
      <c r="B673" s="189" t="s">
        <v>14</v>
      </c>
      <c r="C673" s="190" t="s">
        <v>67</v>
      </c>
      <c r="D673" s="200">
        <v>5</v>
      </c>
      <c r="E673" s="191">
        <v>6</v>
      </c>
      <c r="F673" s="192">
        <f t="shared" ref="F673:F685" si="373">F572</f>
        <v>45046</v>
      </c>
      <c r="G673" s="24">
        <f>UTT!Y722</f>
        <v>851.88011417506016</v>
      </c>
      <c r="H673" s="24">
        <f>UTT!Z722</f>
        <v>782.53200000000004</v>
      </c>
      <c r="I673" s="24">
        <f>UTT!AA722</f>
        <v>190.2</v>
      </c>
      <c r="J673" s="24">
        <f>UTT!AB722</f>
        <v>182.11</v>
      </c>
      <c r="K673" s="24">
        <f>UTT!AC722</f>
        <v>194</v>
      </c>
      <c r="L673" s="24">
        <f>UTT!AD722</f>
        <v>188.19000000000003</v>
      </c>
      <c r="M673" s="195">
        <f t="shared" si="369"/>
        <v>0.74300077988998214</v>
      </c>
      <c r="N673" s="195">
        <f t="shared" si="370"/>
        <v>0.7071964232551039</v>
      </c>
      <c r="O673" s="195">
        <f t="shared" si="371"/>
        <v>0.23663336504862781</v>
      </c>
      <c r="P673" s="195">
        <f t="shared" si="372"/>
        <v>0.21736999999999998</v>
      </c>
      <c r="Q673" s="195">
        <f>UTT!AI722</f>
        <v>0.98499999999999999</v>
      </c>
      <c r="R673" s="195">
        <f>UTT!AJ722</f>
        <v>0.97997333333333336</v>
      </c>
      <c r="S673" s="195">
        <f>UTT!AK722</f>
        <v>0.99</v>
      </c>
      <c r="T673" s="195">
        <f>UTT!AL722</f>
        <v>1</v>
      </c>
      <c r="U673" s="198">
        <v>1.4999999999999999E-2</v>
      </c>
      <c r="V673" s="195">
        <f>UTT!AR722</f>
        <v>-2.1811770331896015E-2</v>
      </c>
      <c r="W673" s="198">
        <v>0</v>
      </c>
      <c r="X673" s="197">
        <v>0</v>
      </c>
      <c r="Y673" s="199">
        <f t="shared" si="368"/>
        <v>-5.1457501315603893E-2</v>
      </c>
    </row>
    <row r="674" spans="2:25">
      <c r="B674" s="189" t="s">
        <v>14</v>
      </c>
      <c r="C674" s="190" t="s">
        <v>67</v>
      </c>
      <c r="D674" s="200">
        <v>5</v>
      </c>
      <c r="E674" s="191">
        <v>6</v>
      </c>
      <c r="F674" s="192">
        <f t="shared" si="373"/>
        <v>45077</v>
      </c>
      <c r="G674" s="24">
        <f>UTT!Y723</f>
        <v>862.97603162860071</v>
      </c>
      <c r="H674" s="24">
        <f>UTT!Z723</f>
        <v>712.90499999999997</v>
      </c>
      <c r="I674" s="24">
        <f>UTT!AA723</f>
        <v>197</v>
      </c>
      <c r="J674" s="24">
        <f>UTT!AB723</f>
        <v>190.73</v>
      </c>
      <c r="K674" s="24">
        <f>UTT!AC723</f>
        <v>197.7</v>
      </c>
      <c r="L674" s="24">
        <f>UTT!AD723</f>
        <v>190.65000000000003</v>
      </c>
      <c r="M674" s="195">
        <f t="shared" ref="M674:M683" si="374">G674/E674/K674/Q674</f>
        <v>0.73859197319820979</v>
      </c>
      <c r="N674" s="195">
        <f t="shared" ref="N674:N683" si="375">H674/E674/L674/R674</f>
        <v>0.68530016930613258</v>
      </c>
      <c r="O674" s="195">
        <f t="shared" ref="O674:O683" si="376">G674/24/DAY(F674)/D674</f>
        <v>0.23198280420123671</v>
      </c>
      <c r="P674" s="195">
        <f t="shared" ref="P674:P683" si="377">H674/24/DAY(F674)/D674</f>
        <v>0.19164112903225805</v>
      </c>
      <c r="Q674" s="195">
        <f>UTT!AI723</f>
        <v>0.98499999999999999</v>
      </c>
      <c r="R674" s="195">
        <f>UTT!AJ723</f>
        <v>0.90941635761706563</v>
      </c>
      <c r="S674" s="195">
        <f>UTT!AK723</f>
        <v>0.99</v>
      </c>
      <c r="T674" s="195">
        <f>UTT!AL723</f>
        <v>0.99364193548387103</v>
      </c>
      <c r="U674" s="198">
        <v>1.4999999999999999E-2</v>
      </c>
      <c r="V674" s="195">
        <f>UTT!AR723</f>
        <v>-1.6899999999999998E-2</v>
      </c>
      <c r="W674" s="198">
        <v>0</v>
      </c>
      <c r="X674" s="197">
        <v>0</v>
      </c>
      <c r="Y674" s="199">
        <f t="shared" ref="Y674:Y683" si="378">(H674/G674-1)-(L674/K674-1)</f>
        <v>-0.13823932924785209</v>
      </c>
    </row>
    <row r="675" spans="2:25">
      <c r="B675" s="189" t="s">
        <v>14</v>
      </c>
      <c r="C675" s="190" t="s">
        <v>67</v>
      </c>
      <c r="D675" s="200">
        <v>5</v>
      </c>
      <c r="E675" s="191">
        <v>6</v>
      </c>
      <c r="F675" s="192">
        <f t="shared" si="373"/>
        <v>45107</v>
      </c>
      <c r="G675" s="24">
        <f>UTT!Y724</f>
        <v>774.92455764243925</v>
      </c>
      <c r="H675" s="24">
        <f>UTT!Z724</f>
        <v>711.86099999999999</v>
      </c>
      <c r="I675" s="24">
        <f>UTT!AA724</f>
        <v>178.9</v>
      </c>
      <c r="J675" s="24">
        <f>UTT!AB724</f>
        <v>169.89000000000001</v>
      </c>
      <c r="K675" s="24">
        <f>UTT!AC724</f>
        <v>177.2</v>
      </c>
      <c r="L675" s="24">
        <f>UTT!AD724</f>
        <v>167.28999999999996</v>
      </c>
      <c r="M675" s="195">
        <f t="shared" si="374"/>
        <v>0.73995996917880247</v>
      </c>
      <c r="N675" s="195">
        <f t="shared" si="375"/>
        <v>0.71811316320945084</v>
      </c>
      <c r="O675" s="195">
        <f t="shared" si="376"/>
        <v>0.21525682156734421</v>
      </c>
      <c r="P675" s="195">
        <f t="shared" si="377"/>
        <v>0.19773916666666666</v>
      </c>
      <c r="Q675" s="195">
        <f>UTT!AI724</f>
        <v>0.98499999999999999</v>
      </c>
      <c r="R675" s="195">
        <f>UTT!AJ724</f>
        <v>0.98760000000000014</v>
      </c>
      <c r="S675" s="195">
        <f>UTT!AK724</f>
        <v>0.99</v>
      </c>
      <c r="T675" s="195">
        <f>UTT!AL724</f>
        <v>1</v>
      </c>
      <c r="U675" s="198">
        <v>1.4999999999999999E-2</v>
      </c>
      <c r="V675" s="195">
        <f>UTT!AR724</f>
        <v>-1.5100000000000001E-2</v>
      </c>
      <c r="W675" s="198">
        <v>0</v>
      </c>
      <c r="X675" s="197">
        <v>0</v>
      </c>
      <c r="Y675" s="199">
        <f t="shared" si="378"/>
        <v>-2.5454746500213288E-2</v>
      </c>
    </row>
    <row r="676" spans="2:25">
      <c r="B676" s="189" t="s">
        <v>14</v>
      </c>
      <c r="C676" s="190" t="s">
        <v>67</v>
      </c>
      <c r="D676" s="200">
        <v>5</v>
      </c>
      <c r="E676" s="191">
        <v>6</v>
      </c>
      <c r="F676" s="192">
        <f t="shared" si="373"/>
        <v>45138</v>
      </c>
      <c r="G676" s="24">
        <f>UTT!Y725</f>
        <v>685.79928519303155</v>
      </c>
      <c r="H676" s="24">
        <f>UTT!Z725</f>
        <v>571.75799999999936</v>
      </c>
      <c r="I676" s="24">
        <f>UTT!AA725</f>
        <v>155.5</v>
      </c>
      <c r="J676" s="24">
        <f>UTT!AB725</f>
        <v>138.42000000000002</v>
      </c>
      <c r="K676" s="24">
        <f>UTT!AC725</f>
        <v>154.6</v>
      </c>
      <c r="L676" s="24">
        <f>UTT!AD725</f>
        <v>136.71</v>
      </c>
      <c r="M676" s="195">
        <f t="shared" si="374"/>
        <v>0.75058530522852662</v>
      </c>
      <c r="N676" s="195">
        <f t="shared" si="375"/>
        <v>0.73358195351289091</v>
      </c>
      <c r="O676" s="195">
        <f t="shared" si="376"/>
        <v>0.18435464655726655</v>
      </c>
      <c r="P676" s="195">
        <f t="shared" si="377"/>
        <v>0.15369838709677403</v>
      </c>
      <c r="Q676" s="195">
        <f>UTT!AI725</f>
        <v>0.98499999999999999</v>
      </c>
      <c r="R676" s="195">
        <f>UTT!AJ725</f>
        <v>0.95019354838709669</v>
      </c>
      <c r="S676" s="195">
        <f>UTT!AK725</f>
        <v>0.99</v>
      </c>
      <c r="T676" s="195">
        <f>UTT!AL725</f>
        <v>1</v>
      </c>
      <c r="U676" s="198">
        <v>1.4999999999999999E-2</v>
      </c>
      <c r="V676" s="195">
        <f>UTT!AR725</f>
        <v>0</v>
      </c>
      <c r="W676" s="198">
        <v>0</v>
      </c>
      <c r="X676" s="197">
        <v>0</v>
      </c>
      <c r="Y676" s="199">
        <f t="shared" si="378"/>
        <v>-5.0571612829822032E-2</v>
      </c>
    </row>
    <row r="677" spans="2:25">
      <c r="B677" s="189" t="s">
        <v>14</v>
      </c>
      <c r="C677" s="190" t="s">
        <v>67</v>
      </c>
      <c r="D677" s="200">
        <v>5</v>
      </c>
      <c r="E677" s="191">
        <v>6</v>
      </c>
      <c r="F677" s="192">
        <f t="shared" si="373"/>
        <v>45169</v>
      </c>
      <c r="G677" s="24">
        <f>UTT!Y726</f>
        <v>651.16928475335203</v>
      </c>
      <c r="H677" s="24">
        <f>UTT!Z726</f>
        <v>578.95500000000004</v>
      </c>
      <c r="I677" s="24">
        <f>UTT!AA726</f>
        <v>145.4</v>
      </c>
      <c r="J677" s="24">
        <f>UTT!AB726</f>
        <v>132.81</v>
      </c>
      <c r="K677" s="24">
        <f>UTT!AC726</f>
        <v>146.30000000000001</v>
      </c>
      <c r="L677" s="24">
        <f>UTT!AD726</f>
        <v>133.71</v>
      </c>
      <c r="M677" s="195">
        <f t="shared" si="374"/>
        <v>0.75311639129359165</v>
      </c>
      <c r="N677" s="195">
        <f t="shared" si="375"/>
        <v>0.74013701186261216</v>
      </c>
      <c r="O677" s="195">
        <f t="shared" si="376"/>
        <v>0.17504550665412691</v>
      </c>
      <c r="P677" s="195">
        <f t="shared" si="377"/>
        <v>0.15563306451612904</v>
      </c>
      <c r="Q677" s="195">
        <f>UTT!AI726</f>
        <v>0.98499999999999999</v>
      </c>
      <c r="R677" s="195">
        <f>UTT!AJ726</f>
        <v>0.97502903225806448</v>
      </c>
      <c r="S677" s="195">
        <f>UTT!AK726</f>
        <v>0.99</v>
      </c>
      <c r="T677" s="195">
        <f>UTT!AL726</f>
        <v>1</v>
      </c>
      <c r="U677" s="198">
        <v>1.4999999999999999E-2</v>
      </c>
      <c r="V677" s="195">
        <f>UTT!AR726</f>
        <v>-5.1999999999999998E-3</v>
      </c>
      <c r="W677" s="198">
        <v>0</v>
      </c>
      <c r="X677" s="197">
        <v>0</v>
      </c>
      <c r="Y677" s="199">
        <f t="shared" si="378"/>
        <v>-2.484335351311362E-2</v>
      </c>
    </row>
    <row r="678" spans="2:25">
      <c r="B678" s="189" t="s">
        <v>14</v>
      </c>
      <c r="C678" s="190" t="s">
        <v>67</v>
      </c>
      <c r="D678" s="200">
        <v>5</v>
      </c>
      <c r="E678" s="191">
        <v>6</v>
      </c>
      <c r="F678" s="192">
        <f t="shared" si="373"/>
        <v>45199</v>
      </c>
      <c r="G678" s="24">
        <f>UTT!Y727</f>
        <v>648.84272141631936</v>
      </c>
      <c r="H678" s="24">
        <f>UTT!Z727</f>
        <v>650.60400000000004</v>
      </c>
      <c r="I678" s="24">
        <f>UTT!AA727</f>
        <v>141.6</v>
      </c>
      <c r="J678" s="24">
        <f>UTT!AB727</f>
        <v>141.79</v>
      </c>
      <c r="K678" s="24">
        <f>UTT!AC727</f>
        <v>145.5</v>
      </c>
      <c r="L678" s="24">
        <f>UTT!AD727</f>
        <v>147.78</v>
      </c>
      <c r="M678" s="195">
        <f t="shared" si="374"/>
        <v>0.75455163235045664</v>
      </c>
      <c r="N678" s="195">
        <f t="shared" si="375"/>
        <v>0.74263228255501923</v>
      </c>
      <c r="O678" s="195">
        <f t="shared" si="376"/>
        <v>0.18023408928231094</v>
      </c>
      <c r="P678" s="195">
        <f t="shared" si="377"/>
        <v>0.18072333333333335</v>
      </c>
      <c r="Q678" s="195">
        <f>UTT!AI727</f>
        <v>0.98499999999999999</v>
      </c>
      <c r="R678" s="195">
        <f>UTT!AJ727</f>
        <v>0.98804333333333338</v>
      </c>
      <c r="S678" s="195">
        <f>UTT!AK727</f>
        <v>0.99</v>
      </c>
      <c r="T678" s="195">
        <f>UTT!AL727</f>
        <v>1</v>
      </c>
      <c r="U678" s="198">
        <v>1.4999999999999999E-2</v>
      </c>
      <c r="V678" s="195">
        <f>UTT!AR727</f>
        <v>-1.0999999999999999E-2</v>
      </c>
      <c r="W678" s="198">
        <v>0</v>
      </c>
      <c r="X678" s="197">
        <v>0</v>
      </c>
      <c r="Y678" s="199">
        <f t="shared" si="378"/>
        <v>-1.295561077354157E-2</v>
      </c>
    </row>
    <row r="679" spans="2:25">
      <c r="B679" s="189" t="s">
        <v>14</v>
      </c>
      <c r="C679" s="190" t="s">
        <v>67</v>
      </c>
      <c r="D679" s="200">
        <v>5</v>
      </c>
      <c r="E679" s="191">
        <v>6</v>
      </c>
      <c r="F679" s="192">
        <f t="shared" si="373"/>
        <v>45230</v>
      </c>
      <c r="G679" s="24">
        <f>UTT!Y728</f>
        <v>743.9633686188497</v>
      </c>
      <c r="H679" s="24">
        <f>UTT!Z728</f>
        <v>679.93799999999999</v>
      </c>
      <c r="I679" s="24">
        <f>UTT!AA728</f>
        <v>139.1</v>
      </c>
      <c r="J679" s="24">
        <f>UTT!AB728</f>
        <v>139.17999999999998</v>
      </c>
      <c r="K679" s="24">
        <f>UTT!AC728</f>
        <v>172.2</v>
      </c>
      <c r="L679" s="24">
        <f>UTT!AD728</f>
        <v>170.64000000000004</v>
      </c>
      <c r="M679" s="195">
        <f t="shared" si="374"/>
        <v>0.73102280296083699</v>
      </c>
      <c r="N679" s="195">
        <f t="shared" si="375"/>
        <v>0.74096800383506223</v>
      </c>
      <c r="O679" s="195">
        <f t="shared" si="376"/>
        <v>0.19999015285452948</v>
      </c>
      <c r="P679" s="195">
        <f t="shared" si="377"/>
        <v>0.18277903225806452</v>
      </c>
      <c r="Q679" s="195">
        <f>UTT!AI728</f>
        <v>0.98499999999999999</v>
      </c>
      <c r="R679" s="195">
        <f>UTT!AJ728</f>
        <v>0.89626774193548386</v>
      </c>
      <c r="S679" s="195">
        <f>UTT!AK728</f>
        <v>0.99</v>
      </c>
      <c r="T679" s="195">
        <f>UTT!AL728</f>
        <v>1</v>
      </c>
      <c r="U679" s="198">
        <v>1.4999999999999999E-2</v>
      </c>
      <c r="V679" s="195">
        <f>UTT!AR728</f>
        <v>-1.52E-2</v>
      </c>
      <c r="W679" s="198">
        <v>0</v>
      </c>
      <c r="X679" s="197">
        <v>0</v>
      </c>
      <c r="Y679" s="199">
        <f t="shared" si="378"/>
        <v>-7.7000606751675971E-2</v>
      </c>
    </row>
    <row r="680" spans="2:25">
      <c r="B680" s="189" t="s">
        <v>14</v>
      </c>
      <c r="C680" s="190" t="s">
        <v>67</v>
      </c>
      <c r="D680" s="200">
        <v>5</v>
      </c>
      <c r="E680" s="191">
        <v>6</v>
      </c>
      <c r="F680" s="192">
        <f t="shared" si="373"/>
        <v>45260</v>
      </c>
      <c r="G680" s="24">
        <f>UTT!Y729</f>
        <v>658.32794117499134</v>
      </c>
      <c r="H680" s="24">
        <f>UTT!Z729</f>
        <v>565.96500000000003</v>
      </c>
      <c r="I680" s="24">
        <f>UTT!AA729</f>
        <v>108.1</v>
      </c>
      <c r="J680" s="24">
        <f>UTT!AB729</f>
        <v>95.649999999999991</v>
      </c>
      <c r="K680" s="24">
        <f>UTT!AC729</f>
        <v>152.1</v>
      </c>
      <c r="L680" s="24">
        <f>UTT!AD729</f>
        <v>130.08000000000001</v>
      </c>
      <c r="M680" s="195">
        <f t="shared" si="374"/>
        <v>0.73236164778825852</v>
      </c>
      <c r="N680" s="195">
        <f t="shared" si="375"/>
        <v>0.72716172184618511</v>
      </c>
      <c r="O680" s="195">
        <f t="shared" si="376"/>
        <v>0.1828688725486087</v>
      </c>
      <c r="P680" s="195">
        <f t="shared" si="377"/>
        <v>0.15721250000000001</v>
      </c>
      <c r="Q680" s="195">
        <f>UTT!AI729</f>
        <v>0.98499999999999999</v>
      </c>
      <c r="R680" s="195">
        <f>UTT!AJ729</f>
        <v>0.99723333333333342</v>
      </c>
      <c r="S680" s="195">
        <f>UTT!AK729</f>
        <v>0.99</v>
      </c>
      <c r="T680" s="195">
        <f>UTT!AL729</f>
        <v>1</v>
      </c>
      <c r="U680" s="198">
        <v>1.4999999999999999E-2</v>
      </c>
      <c r="V680" s="195">
        <f>UTT!AR729</f>
        <v>-1.72E-2</v>
      </c>
      <c r="W680" s="198">
        <v>0</v>
      </c>
      <c r="X680" s="197">
        <v>0</v>
      </c>
      <c r="Y680" s="199">
        <f t="shared" si="378"/>
        <v>4.473887910559915E-3</v>
      </c>
    </row>
    <row r="681" spans="2:25">
      <c r="B681" s="189" t="s">
        <v>14</v>
      </c>
      <c r="C681" s="190" t="s">
        <v>67</v>
      </c>
      <c r="D681" s="200">
        <v>5</v>
      </c>
      <c r="E681" s="191">
        <v>6</v>
      </c>
      <c r="F681" s="192">
        <f t="shared" si="373"/>
        <v>45291</v>
      </c>
      <c r="G681" s="24">
        <f>UTT!Y730</f>
        <v>553.22991658480134</v>
      </c>
      <c r="H681" s="24">
        <f>UTT!Z730</f>
        <v>517.755</v>
      </c>
      <c r="I681" s="24">
        <f>UTT!AA730</f>
        <v>89.9</v>
      </c>
      <c r="J681" s="24">
        <f>UTT!AB730</f>
        <v>82.71</v>
      </c>
      <c r="K681" s="24">
        <f>UTT!AC730</f>
        <v>129.6</v>
      </c>
      <c r="L681" s="24">
        <f>UTT!AD730</f>
        <v>120.23</v>
      </c>
      <c r="M681" s="195">
        <f t="shared" si="374"/>
        <v>0.72229261529005206</v>
      </c>
      <c r="N681" s="195">
        <f t="shared" si="375"/>
        <v>0.71937844961885822</v>
      </c>
      <c r="O681" s="195">
        <f t="shared" si="376"/>
        <v>0.14871771951204335</v>
      </c>
      <c r="P681" s="195">
        <f t="shared" si="377"/>
        <v>0.13918145161290324</v>
      </c>
      <c r="Q681" s="195">
        <f>UTT!AI730</f>
        <v>0.98499999999999999</v>
      </c>
      <c r="R681" s="195">
        <f>UTT!AJ730</f>
        <v>0.99770645161290317</v>
      </c>
      <c r="S681" s="195">
        <f>UTT!AK730</f>
        <v>0.99</v>
      </c>
      <c r="T681" s="195">
        <f>UTT!AL730</f>
        <v>1</v>
      </c>
      <c r="U681" s="198">
        <v>1.4999999999999999E-2</v>
      </c>
      <c r="V681" s="195">
        <f>UTT!AR730</f>
        <v>-2.2499999999999999E-2</v>
      </c>
      <c r="W681" s="198">
        <v>0</v>
      </c>
      <c r="X681" s="197">
        <v>0</v>
      </c>
      <c r="Y681" s="199">
        <f t="shared" si="378"/>
        <v>8.1761031873588408E-3</v>
      </c>
    </row>
    <row r="682" spans="2:25">
      <c r="B682" s="189" t="s">
        <v>14</v>
      </c>
      <c r="C682" s="190" t="s">
        <v>67</v>
      </c>
      <c r="D682" s="200">
        <v>5</v>
      </c>
      <c r="E682" s="191">
        <v>6</v>
      </c>
      <c r="F682" s="192">
        <f t="shared" si="373"/>
        <v>45322</v>
      </c>
      <c r="G682" s="24">
        <f>UTT!Y731</f>
        <v>465.39007037910437</v>
      </c>
      <c r="H682" s="24">
        <f>UTT!Z731</f>
        <v>215.80799999999999</v>
      </c>
      <c r="I682" s="24">
        <f>UTT!AA731</f>
        <v>79.599999999999994</v>
      </c>
      <c r="J682" s="24">
        <f>UTT!AB731</f>
        <v>43.78</v>
      </c>
      <c r="K682" s="24">
        <f>UTT!AC731</f>
        <v>103.2</v>
      </c>
      <c r="L682" s="24">
        <f>UTT!AD731</f>
        <v>50.59</v>
      </c>
      <c r="M682" s="195">
        <f t="shared" si="374"/>
        <v>0.76304462017324526</v>
      </c>
      <c r="N682" s="195">
        <f t="shared" si="375"/>
        <v>0.71713793376945656</v>
      </c>
      <c r="O682" s="195">
        <f t="shared" si="376"/>
        <v>0.12510485762879148</v>
      </c>
      <c r="P682" s="195">
        <f t="shared" si="377"/>
        <v>5.8012903225806448E-2</v>
      </c>
      <c r="Q682" s="195">
        <f>UTT!AI731</f>
        <v>0.98499999999999999</v>
      </c>
      <c r="R682" s="195">
        <f>UTT!AJ731</f>
        <v>0.99139999999999995</v>
      </c>
      <c r="S682" s="195">
        <f>UTT!AK731</f>
        <v>0.99</v>
      </c>
      <c r="T682" s="195">
        <f>UTT!AL731</f>
        <v>1</v>
      </c>
      <c r="U682" s="198">
        <v>1.4999999999999999E-2</v>
      </c>
      <c r="V682" s="195">
        <f>UTT!AR731</f>
        <v>-1.6899999999999998E-2</v>
      </c>
      <c r="W682" s="198">
        <v>0</v>
      </c>
      <c r="X682" s="197">
        <v>0</v>
      </c>
      <c r="Y682" s="199">
        <f t="shared" si="378"/>
        <v>-2.6498944288240289E-2</v>
      </c>
    </row>
    <row r="683" spans="2:25">
      <c r="B683" s="189" t="s">
        <v>14</v>
      </c>
      <c r="C683" s="190" t="s">
        <v>67</v>
      </c>
      <c r="D683" s="200">
        <v>5</v>
      </c>
      <c r="E683" s="191">
        <v>6</v>
      </c>
      <c r="F683" s="192">
        <f t="shared" si="373"/>
        <v>45351</v>
      </c>
      <c r="G683" s="24">
        <f>UTT!Y732</f>
        <v>611.14165737175665</v>
      </c>
      <c r="H683" s="24">
        <f>UTT!Z732</f>
        <v>587.25900000000001</v>
      </c>
      <c r="I683" s="24">
        <f>UTT!AA732</f>
        <v>108.1</v>
      </c>
      <c r="J683" s="24">
        <f>UTT!AB732</f>
        <v>113.08999999999997</v>
      </c>
      <c r="K683" s="24">
        <f>UTT!AC732</f>
        <v>137.5</v>
      </c>
      <c r="L683" s="24">
        <f>UTT!AD732</f>
        <v>143.82999999999996</v>
      </c>
      <c r="M683" s="195">
        <f t="shared" si="374"/>
        <v>0.75205864620428442</v>
      </c>
      <c r="N683" s="195">
        <f t="shared" si="375"/>
        <v>0.70111403898691638</v>
      </c>
      <c r="O683" s="195">
        <f t="shared" si="376"/>
        <v>0.17561541878498754</v>
      </c>
      <c r="P683" s="195">
        <f t="shared" si="377"/>
        <v>0.16875258620689657</v>
      </c>
      <c r="Q683" s="195">
        <f>UTT!AI732</f>
        <v>0.98499999999999999</v>
      </c>
      <c r="R683" s="195">
        <f>UTT!AJ732</f>
        <v>0.97060000000000002</v>
      </c>
      <c r="S683" s="195">
        <f>UTT!AK732</f>
        <v>0.99</v>
      </c>
      <c r="T683" s="195">
        <f>UTT!AL732</f>
        <v>0.97715517241379302</v>
      </c>
      <c r="U683" s="198">
        <v>1.4999999999999999E-2</v>
      </c>
      <c r="V683" s="195">
        <f>UTT!AR732</f>
        <v>-1.45037878064286E-2</v>
      </c>
      <c r="W683" s="198">
        <v>0</v>
      </c>
      <c r="X683" s="197">
        <v>0</v>
      </c>
      <c r="Y683" s="199">
        <f t="shared" si="378"/>
        <v>-8.5115122355683859E-2</v>
      </c>
    </row>
    <row r="684" spans="2:25">
      <c r="B684" s="189" t="s">
        <v>14</v>
      </c>
      <c r="C684" s="190" t="s">
        <v>67</v>
      </c>
      <c r="D684" s="200">
        <v>5</v>
      </c>
      <c r="E684" s="191">
        <v>6</v>
      </c>
      <c r="F684" s="192">
        <f t="shared" si="373"/>
        <v>45382</v>
      </c>
      <c r="G684" s="24">
        <f>UTT!Y733</f>
        <v>819.48540420303766</v>
      </c>
      <c r="H684" s="24">
        <f>UTT!Z733</f>
        <v>750.15899999999999</v>
      </c>
      <c r="I684" s="24">
        <f>UTT!AA733</f>
        <v>161.4</v>
      </c>
      <c r="J684" s="24">
        <f>UTT!AB733</f>
        <v>157.08999999999997</v>
      </c>
      <c r="K684" s="24">
        <f>UTT!AC733</f>
        <v>187.8</v>
      </c>
      <c r="L684" s="24">
        <f>UTT!AD733</f>
        <v>177.47000000000006</v>
      </c>
      <c r="M684" s="195">
        <f t="shared" ref="M684" si="379">G684/E684/K684/Q684</f>
        <v>0.73834298665556441</v>
      </c>
      <c r="N684" s="195">
        <f t="shared" ref="N684" si="380">H684/E684/L684/R684</f>
        <v>0.70587130479443905</v>
      </c>
      <c r="O684" s="195">
        <f t="shared" ref="O684" si="381">G684/24/DAY(F684)/D684</f>
        <v>0.22029177532339722</v>
      </c>
      <c r="P684" s="195">
        <f t="shared" ref="P684" si="382">H684/24/DAY(F684)/D684</f>
        <v>0.20165564516129031</v>
      </c>
      <c r="Q684" s="195">
        <f>UTT!AI733</f>
        <v>0.98499999999999999</v>
      </c>
      <c r="R684" s="195">
        <f>UTT!AJ733</f>
        <v>0.99804838709677413</v>
      </c>
      <c r="S684" s="195">
        <f>UTT!AK733</f>
        <v>0.99</v>
      </c>
      <c r="T684" s="195">
        <f>UTT!AL733</f>
        <v>1</v>
      </c>
      <c r="U684" s="198">
        <v>1.4999999999999999E-2</v>
      </c>
      <c r="V684" s="195">
        <f>UTT!AR733</f>
        <v>-2.1000000000000001E-2</v>
      </c>
      <c r="W684" s="198">
        <v>0</v>
      </c>
      <c r="X684" s="197">
        <v>0</v>
      </c>
      <c r="Y684" s="199">
        <f t="shared" ref="Y684" si="383">(H684/G684-1)-(L684/K684-1)</f>
        <v>-2.9592160202540185E-2</v>
      </c>
    </row>
    <row r="685" spans="2:25">
      <c r="B685" s="189" t="s">
        <v>14</v>
      </c>
      <c r="C685" s="190" t="s">
        <v>67</v>
      </c>
      <c r="D685" s="200">
        <v>5</v>
      </c>
      <c r="E685" s="191">
        <v>6</v>
      </c>
      <c r="F685" s="192">
        <f t="shared" si="373"/>
        <v>45412</v>
      </c>
      <c r="G685" s="24">
        <f>UTT!Y734</f>
        <v>847.62071360418497</v>
      </c>
      <c r="H685" s="24">
        <f>UTT!Z734</f>
        <v>784.30200000000002</v>
      </c>
      <c r="I685" s="24">
        <f>UTT!AA734</f>
        <v>190.2</v>
      </c>
      <c r="J685" s="24">
        <f>UTT!AB734</f>
        <v>183.76</v>
      </c>
      <c r="K685" s="24">
        <f>UTT!AC734</f>
        <v>194</v>
      </c>
      <c r="L685" s="24">
        <f>UTT!AD734</f>
        <v>189.48000000000005</v>
      </c>
      <c r="M685" s="195">
        <f t="shared" ref="M685" si="384">G685/E685/K685/Q685</f>
        <v>0.73928577599053225</v>
      </c>
      <c r="N685" s="195">
        <f t="shared" ref="N685" si="385">H685/E685/L685/R685</f>
        <v>0.70202792067904585</v>
      </c>
      <c r="O685" s="195">
        <f t="shared" ref="O685" si="386">G685/24/DAY(F685)/D685</f>
        <v>0.2354501982233847</v>
      </c>
      <c r="P685" s="195">
        <f t="shared" ref="P685" si="387">H685/24/DAY(F685)/D685</f>
        <v>0.2178616666666667</v>
      </c>
      <c r="Q685" s="195">
        <f>UTT!AI734</f>
        <v>0.98499999999999999</v>
      </c>
      <c r="R685" s="195">
        <f>UTT!AJ734</f>
        <v>0.98268496410763118</v>
      </c>
      <c r="S685" s="195">
        <f>UTT!AK734</f>
        <v>0.99</v>
      </c>
      <c r="T685" s="195">
        <f>UTT!AL734</f>
        <v>0.99956333333333325</v>
      </c>
      <c r="U685" s="198">
        <v>1.4999999999999999E-2</v>
      </c>
      <c r="V685" s="195">
        <f>UTT!AR734</f>
        <v>-2.02766666666667E-2</v>
      </c>
      <c r="W685" s="198">
        <v>0</v>
      </c>
      <c r="X685" s="197">
        <v>0</v>
      </c>
      <c r="Y685" s="199">
        <f t="shared" ref="Y685" si="388">(H685/G685-1)-(L685/K685-1)</f>
        <v>-5.1402737231054596E-2</v>
      </c>
    </row>
    <row r="686" spans="2:25">
      <c r="B686" s="189" t="s">
        <v>14</v>
      </c>
      <c r="C686" s="190" t="s">
        <v>67</v>
      </c>
      <c r="D686" s="200">
        <v>5</v>
      </c>
      <c r="E686" s="191">
        <v>6</v>
      </c>
      <c r="F686" s="192">
        <f t="shared" ref="F686:F692" si="389">EOMONTH(F685,1)</f>
        <v>45443</v>
      </c>
      <c r="G686" s="24">
        <f>UTT!Y735</f>
        <v>858.66115147045764</v>
      </c>
      <c r="H686" s="24">
        <f>UTT!Z735</f>
        <v>724.79700000000003</v>
      </c>
      <c r="I686" s="24">
        <f>UTT!AA735</f>
        <v>197</v>
      </c>
      <c r="J686" s="24">
        <f>UTT!AB735</f>
        <v>195.99999999999994</v>
      </c>
      <c r="K686" s="24">
        <f>UTT!AC735</f>
        <v>197.7</v>
      </c>
      <c r="L686" s="24">
        <f>UTT!AD735</f>
        <v>199.06</v>
      </c>
      <c r="M686" s="195">
        <f t="shared" ref="M686" si="390">G686/E686/K686/Q686</f>
        <v>0.73489901333221874</v>
      </c>
      <c r="N686" s="195">
        <f t="shared" ref="N686" si="391">H686/E686/L686/R686</f>
        <v>0.63215216165596555</v>
      </c>
      <c r="O686" s="195">
        <f t="shared" ref="O686" si="392">G686/24/DAY(F686)/D686</f>
        <v>0.23082289018023056</v>
      </c>
      <c r="P686" s="195">
        <f t="shared" ref="P686" si="393">H686/24/DAY(F686)/D686</f>
        <v>0.19483790322580646</v>
      </c>
      <c r="Q686" s="195">
        <f>UTT!AI735</f>
        <v>0.98499999999999999</v>
      </c>
      <c r="R686" s="195">
        <f>UTT!AJ735</f>
        <v>0.95997408593849731</v>
      </c>
      <c r="S686" s="195">
        <f>UTT!AK735</f>
        <v>0.99</v>
      </c>
      <c r="T686" s="195">
        <f>UTT!AL735</f>
        <v>0.99957419354838706</v>
      </c>
      <c r="U686" s="198">
        <v>1.4999999999999999E-2</v>
      </c>
      <c r="V686" s="195">
        <f>UTT!AR735</f>
        <v>-3.6499999999999998E-2</v>
      </c>
      <c r="W686" s="198">
        <v>0</v>
      </c>
      <c r="X686" s="197">
        <v>0</v>
      </c>
      <c r="Y686" s="199">
        <f t="shared" ref="Y686" si="394">(H686/G686-1)-(L686/K686-1)</f>
        <v>-0.16277780302586042</v>
      </c>
    </row>
    <row r="687" spans="2:25">
      <c r="B687" s="189" t="s">
        <v>14</v>
      </c>
      <c r="C687" s="190" t="s">
        <v>67</v>
      </c>
      <c r="D687" s="200">
        <v>5</v>
      </c>
      <c r="E687" s="191">
        <v>6</v>
      </c>
      <c r="F687" s="192">
        <f t="shared" si="389"/>
        <v>45473</v>
      </c>
      <c r="G687" s="24">
        <f>UTT!Y736</f>
        <v>771.0499348542271</v>
      </c>
      <c r="H687" s="24">
        <f>UTT!Z736</f>
        <v>730.18799999999999</v>
      </c>
      <c r="I687" s="24">
        <f>UTT!AA736</f>
        <v>178.9</v>
      </c>
      <c r="J687" s="24">
        <f>UTT!AB736</f>
        <v>188.72</v>
      </c>
      <c r="K687" s="24">
        <f>UTT!AC736</f>
        <v>177.2</v>
      </c>
      <c r="L687" s="24">
        <f>UTT!AD736</f>
        <v>184.46999999999997</v>
      </c>
      <c r="M687" s="195">
        <f t="shared" ref="M687" si="395">G687/E687/K687/Q687</f>
        <v>0.73626016933290861</v>
      </c>
      <c r="N687" s="195">
        <f t="shared" ref="N687" si="396">H687/E687/L687/R687</f>
        <v>0.6884961669368479</v>
      </c>
      <c r="O687" s="195">
        <f t="shared" ref="O687" si="397">G687/24/DAY(F687)/D687</f>
        <v>0.21418053745950752</v>
      </c>
      <c r="P687" s="195">
        <f t="shared" ref="P687" si="398">H687/24/DAY(F687)/D687</f>
        <v>0.20282999999999998</v>
      </c>
      <c r="Q687" s="195">
        <f>UTT!AI736</f>
        <v>0.98499999999999999</v>
      </c>
      <c r="R687" s="195">
        <f>UTT!AJ736</f>
        <v>0.95820000000000005</v>
      </c>
      <c r="S687" s="195">
        <f>UTT!AK736</f>
        <v>0.99</v>
      </c>
      <c r="T687" s="195">
        <f>UTT!AL736</f>
        <v>0.99957419354838706</v>
      </c>
      <c r="U687" s="198">
        <v>1.4999999999999999E-2</v>
      </c>
      <c r="V687" s="195">
        <f>UTT!AR736</f>
        <v>-2.2499999999999999E-2</v>
      </c>
      <c r="W687" s="198">
        <v>0</v>
      </c>
      <c r="X687" s="197">
        <v>0</v>
      </c>
      <c r="Y687" s="199">
        <f t="shared" ref="Y687" si="399">(H687/G687-1)-(L687/K687-1)</f>
        <v>-9.4022274219424995E-2</v>
      </c>
    </row>
    <row r="688" spans="2:25">
      <c r="B688" s="189" t="s">
        <v>14</v>
      </c>
      <c r="C688" s="190" t="s">
        <v>67</v>
      </c>
      <c r="D688" s="200">
        <v>5</v>
      </c>
      <c r="E688" s="191">
        <v>6</v>
      </c>
      <c r="F688" s="192">
        <f t="shared" si="389"/>
        <v>45504</v>
      </c>
      <c r="G688" s="24">
        <f>UTT!Y737</f>
        <v>682.37028876706631</v>
      </c>
      <c r="H688" s="24">
        <f>UTT!Z737</f>
        <v>609.31500000000005</v>
      </c>
      <c r="I688" s="24">
        <f>UTT!AA737</f>
        <v>155.5</v>
      </c>
      <c r="J688" s="24">
        <f>UTT!AB737</f>
        <v>141.75000000000003</v>
      </c>
      <c r="K688" s="24">
        <f>UTT!AC737</f>
        <v>154.6</v>
      </c>
      <c r="L688" s="24">
        <f>UTT!AD737</f>
        <v>140.17000000000004</v>
      </c>
      <c r="M688" s="195">
        <f t="shared" ref="M688" si="400">G688/E688/K688/Q688</f>
        <v>0.74683237870238384</v>
      </c>
      <c r="N688" s="195">
        <f t="shared" ref="N688" si="401">H688/E688/L688/R688</f>
        <v>0.77378538477075898</v>
      </c>
      <c r="O688" s="195">
        <f t="shared" ref="O688" si="402">G688/24/DAY(F688)/D688</f>
        <v>0.18343287332448019</v>
      </c>
      <c r="P688" s="195">
        <f t="shared" ref="P688" si="403">H688/24/DAY(F688)/D688</f>
        <v>0.16379435483870969</v>
      </c>
      <c r="Q688" s="195">
        <f>UTT!AI737</f>
        <v>0.98499999999999999</v>
      </c>
      <c r="R688" s="195">
        <f>UTT!AJ737</f>
        <v>0.93630000000000002</v>
      </c>
      <c r="S688" s="195">
        <f>UTT!AK737</f>
        <v>0.99</v>
      </c>
      <c r="T688" s="195">
        <f>UTT!AL737</f>
        <v>1</v>
      </c>
      <c r="U688" s="198">
        <v>1.4999999999999999E-2</v>
      </c>
      <c r="V688" s="195">
        <f>UTT!AR737</f>
        <v>-5.3E-3</v>
      </c>
      <c r="W688" s="198">
        <v>0</v>
      </c>
      <c r="X688" s="197">
        <v>0</v>
      </c>
      <c r="Y688" s="199">
        <f t="shared" ref="Y688" si="404">(H688/G688-1)-(L688/K688-1)</f>
        <v>-1.3723417891120193E-2</v>
      </c>
    </row>
    <row r="689" spans="2:25">
      <c r="B689" s="189" t="s">
        <v>14</v>
      </c>
      <c r="C689" s="190" t="s">
        <v>67</v>
      </c>
      <c r="D689" s="200">
        <v>5</v>
      </c>
      <c r="E689" s="191">
        <v>6</v>
      </c>
      <c r="F689" s="192">
        <f t="shared" si="389"/>
        <v>45535</v>
      </c>
      <c r="G689" s="24">
        <f>UTT!Y738</f>
        <v>647.91343832958523</v>
      </c>
      <c r="H689" s="24">
        <f>UTT!Z738</f>
        <v>692.65499999999997</v>
      </c>
      <c r="I689" s="24">
        <f>UTT!AA738</f>
        <v>145.4</v>
      </c>
      <c r="J689" s="24">
        <f>UTT!AB738</f>
        <v>161.11999999999995</v>
      </c>
      <c r="K689" s="24">
        <f>UTT!AC738</f>
        <v>146.30000000000001</v>
      </c>
      <c r="L689" s="24">
        <f>UTT!AD738</f>
        <v>163.04000000000002</v>
      </c>
      <c r="M689" s="195">
        <f t="shared" ref="M689" si="405">G689/E689/K689/Q689</f>
        <v>0.74935080933712361</v>
      </c>
      <c r="N689" s="195">
        <f t="shared" ref="N689" si="406">H689/E689/L689/R689</f>
        <v>0.74139408161864551</v>
      </c>
      <c r="O689" s="195">
        <f t="shared" ref="O689" si="407">G689/24/DAY(F689)/D689</f>
        <v>0.17417027912085623</v>
      </c>
      <c r="P689" s="195">
        <f t="shared" ref="P689" si="408">H689/24/DAY(F689)/D689</f>
        <v>0.18619758064516129</v>
      </c>
      <c r="Q689" s="195">
        <f>UTT!AI738</f>
        <v>0.98499999999999999</v>
      </c>
      <c r="R689" s="195">
        <f>UTT!AJ738</f>
        <v>0.95504193548387084</v>
      </c>
      <c r="S689" s="195">
        <f>UTT!AK738</f>
        <v>0.99</v>
      </c>
      <c r="T689" s="195">
        <f>UTT!AL738</f>
        <v>1</v>
      </c>
      <c r="U689" s="198">
        <v>1.4999999999999999E-2</v>
      </c>
      <c r="V689" s="195">
        <f>UTT!AR738</f>
        <v>-5.4999999999999997E-3</v>
      </c>
      <c r="W689" s="198">
        <v>0</v>
      </c>
      <c r="X689" s="197">
        <v>0</v>
      </c>
      <c r="Y689" s="199">
        <f t="shared" ref="Y689" si="409">(H689/G689-1)-(L689/K689-1)</f>
        <v>-4.5367575282651007E-2</v>
      </c>
    </row>
    <row r="690" spans="2:25">
      <c r="B690" s="189" t="s">
        <v>14</v>
      </c>
      <c r="C690" s="190" t="s">
        <v>67</v>
      </c>
      <c r="D690" s="200">
        <v>5</v>
      </c>
      <c r="E690" s="191">
        <v>6</v>
      </c>
      <c r="F690" s="192">
        <f t="shared" si="389"/>
        <v>45565</v>
      </c>
      <c r="G690" s="24">
        <f>UTT!Y739</f>
        <v>645.59850780923784</v>
      </c>
      <c r="H690" s="24">
        <f>UTT!Z739</f>
        <v>544.03499999999997</v>
      </c>
      <c r="I690" s="24">
        <f>UTT!AA739</f>
        <v>141.6</v>
      </c>
      <c r="J690" s="24">
        <f>UTT!AB739</f>
        <v>120.02</v>
      </c>
      <c r="K690" s="24">
        <f>UTT!AC739</f>
        <v>145.5</v>
      </c>
      <c r="L690" s="24">
        <f>UTT!AD739</f>
        <v>126.65999999999998</v>
      </c>
      <c r="M690" s="195">
        <f t="shared" ref="M690" si="410">G690/E690/K690/Q690</f>
        <v>0.75077887418870437</v>
      </c>
      <c r="N690" s="195">
        <f t="shared" ref="N690" si="411">H690/E690/L690/R690</f>
        <v>0.76426772203662663</v>
      </c>
      <c r="O690" s="195">
        <f t="shared" ref="O690" si="412">G690/24/DAY(F690)/D690</f>
        <v>0.17933291883589939</v>
      </c>
      <c r="P690" s="195">
        <f t="shared" ref="P690" si="413">H690/24/DAY(F690)/D690</f>
        <v>0.15112083333333332</v>
      </c>
      <c r="Q690" s="195">
        <f>UTT!AI739</f>
        <v>0.98499999999999999</v>
      </c>
      <c r="R690" s="195">
        <f>UTT!AJ739</f>
        <v>0.93667857900000007</v>
      </c>
      <c r="S690" s="195">
        <f>UTT!AK739</f>
        <v>0.99</v>
      </c>
      <c r="T690" s="195">
        <f>UTT!AL739</f>
        <v>1</v>
      </c>
      <c r="U690" s="198">
        <v>1.4999999999999999E-2</v>
      </c>
      <c r="V690" s="195">
        <f>UTT!AR739</f>
        <v>-9.4000000000000004E-3</v>
      </c>
      <c r="W690" s="198">
        <v>0</v>
      </c>
      <c r="X690" s="197">
        <v>0</v>
      </c>
      <c r="Y690" s="199">
        <f t="shared" ref="Y690" si="414">(H690/G690-1)-(L690/K690-1)</f>
        <v>-2.783228943789684E-2</v>
      </c>
    </row>
    <row r="691" spans="2:25">
      <c r="B691" s="189" t="s">
        <v>14</v>
      </c>
      <c r="C691" s="190" t="s">
        <v>67</v>
      </c>
      <c r="D691" s="200">
        <v>5</v>
      </c>
      <c r="E691" s="191">
        <v>6</v>
      </c>
      <c r="F691" s="192">
        <f t="shared" si="389"/>
        <v>45596</v>
      </c>
      <c r="G691" s="24">
        <f>UTT!Y740</f>
        <v>740.24355177575535</v>
      </c>
      <c r="H691" s="24">
        <f>UTT!Z740</f>
        <v>646.77</v>
      </c>
      <c r="I691" s="24">
        <f>UTT!AA740</f>
        <v>139.1</v>
      </c>
      <c r="J691" s="24">
        <f>UTT!AB740</f>
        <v>126.35999999999997</v>
      </c>
      <c r="K691" s="24">
        <f>UTT!AC740</f>
        <v>172.2</v>
      </c>
      <c r="L691" s="24">
        <f>UTT!AD740</f>
        <v>151.13000000000002</v>
      </c>
      <c r="M691" s="195">
        <f t="shared" ref="M691" si="415">G691/E691/K691/Q691</f>
        <v>0.72736768894603276</v>
      </c>
      <c r="N691" s="195">
        <f t="shared" ref="N691" si="416">H691/E691/L691/R691</f>
        <v>0.73514421332883473</v>
      </c>
      <c r="O691" s="195">
        <f t="shared" ref="O691" si="417">G691/24/DAY(F691)/D691</f>
        <v>0.19899020209025681</v>
      </c>
      <c r="P691" s="195">
        <f t="shared" ref="P691" si="418">H691/24/DAY(F691)/D691</f>
        <v>0.17386290322580647</v>
      </c>
      <c r="Q691" s="195">
        <f>UTT!AI740</f>
        <v>0.98499999999999999</v>
      </c>
      <c r="R691" s="195">
        <f>UTT!AJ740</f>
        <v>0.97023154676378776</v>
      </c>
      <c r="S691" s="195">
        <f>UTT!AK740</f>
        <v>0.99</v>
      </c>
      <c r="T691" s="195">
        <f>UTT!AL740</f>
        <v>0.99528709677419358</v>
      </c>
      <c r="U691" s="198">
        <v>1.4999999999999999E-2</v>
      </c>
      <c r="V691" s="195">
        <f>UTT!AR740</f>
        <v>-2.6200000000000001E-2</v>
      </c>
      <c r="W691" s="198">
        <v>0</v>
      </c>
      <c r="X691" s="197">
        <v>0</v>
      </c>
      <c r="Y691" s="199">
        <f t="shared" ref="Y691" si="419">(H691/G691-1)-(L691/K691-1)</f>
        <v>-3.916327107195916E-3</v>
      </c>
    </row>
    <row r="692" spans="2:25">
      <c r="B692" s="205" t="s">
        <v>14</v>
      </c>
      <c r="C692" s="206" t="s">
        <v>67</v>
      </c>
      <c r="D692" s="207">
        <v>5</v>
      </c>
      <c r="E692" s="208">
        <v>6</v>
      </c>
      <c r="F692" s="209">
        <f t="shared" si="389"/>
        <v>45626</v>
      </c>
      <c r="G692" s="210">
        <f>UTT!Y741</f>
        <v>655.03630146911632</v>
      </c>
      <c r="H692" s="210">
        <f>UTT!Z741</f>
        <v>483.62099999999998</v>
      </c>
      <c r="I692" s="210">
        <f>UTT!AA741</f>
        <v>108.1</v>
      </c>
      <c r="J692" s="210">
        <f>UTT!AB741</f>
        <v>82.050000000000011</v>
      </c>
      <c r="K692" s="210">
        <f>UTT!AC741</f>
        <v>152.1</v>
      </c>
      <c r="L692" s="210">
        <f>UTT!AD741</f>
        <v>108.30000000000001</v>
      </c>
      <c r="M692" s="211">
        <f t="shared" ref="M692" si="420">G692/E692/K692/Q692</f>
        <v>0.72869983954931727</v>
      </c>
      <c r="N692" s="211">
        <f t="shared" ref="N692" si="421">H692/E692/L692/R692</f>
        <v>0.75837013627422645</v>
      </c>
      <c r="O692" s="211">
        <f t="shared" ref="O692" si="422">G692/24/DAY(F692)/D692</f>
        <v>0.18195452818586563</v>
      </c>
      <c r="P692" s="211">
        <f t="shared" ref="P692" si="423">H692/24/DAY(F692)/D692</f>
        <v>0.13433916666666665</v>
      </c>
      <c r="Q692" s="211">
        <f>UTT!AI741</f>
        <v>0.98499999999999999</v>
      </c>
      <c r="R692" s="211">
        <f>UTT!AJ741</f>
        <v>0.98139585879413327</v>
      </c>
      <c r="S692" s="211">
        <f>UTT!AK741</f>
        <v>0.99</v>
      </c>
      <c r="T692" s="211">
        <f>UTT!AL741</f>
        <v>1</v>
      </c>
      <c r="U692" s="212">
        <v>1.4999999999999999E-2</v>
      </c>
      <c r="V692" s="211">
        <f>UTT!AR741</f>
        <v>-1.8200000000000001E-2</v>
      </c>
      <c r="W692" s="212">
        <v>0</v>
      </c>
      <c r="X692" s="213">
        <v>0</v>
      </c>
      <c r="Y692" s="214">
        <f t="shared" ref="Y692" si="424">(H692/G692-1)-(L692/K692-1)</f>
        <v>2.6280194789711775E-2</v>
      </c>
    </row>
    <row r="693" spans="2:25">
      <c r="B693" s="167"/>
      <c r="C693" s="167"/>
      <c r="D693" s="168"/>
      <c r="E693" s="167"/>
      <c r="F693" s="169"/>
      <c r="G693" s="170"/>
      <c r="H693" s="170"/>
      <c r="I693" s="170"/>
      <c r="J693" s="170"/>
      <c r="K693" s="170"/>
      <c r="L693" s="170"/>
      <c r="M693" s="171"/>
      <c r="N693" s="171"/>
      <c r="O693" s="171"/>
      <c r="P693" s="171"/>
      <c r="Q693" s="171"/>
      <c r="R693" s="171"/>
      <c r="S693" s="171"/>
      <c r="T693" s="171"/>
      <c r="U693" s="172"/>
      <c r="V693" s="171"/>
      <c r="W693" s="172"/>
      <c r="X693" s="173"/>
      <c r="Y693" s="173"/>
    </row>
  </sheetData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AACF4-A604-4F87-96E0-38EABAA2FAA4}">
  <dimension ref="A1:X692"/>
  <sheetViews>
    <sheetView tabSelected="1" workbookViewId="0">
      <selection sqref="A1:X692"/>
    </sheetView>
  </sheetViews>
  <sheetFormatPr defaultRowHeight="15"/>
  <sheetData>
    <row r="1" spans="1:24" ht="60">
      <c r="A1" s="180" t="s">
        <v>50</v>
      </c>
      <c r="B1" s="181" t="s">
        <v>51</v>
      </c>
      <c r="C1" s="182" t="s">
        <v>52</v>
      </c>
      <c r="D1" s="183" t="s">
        <v>53</v>
      </c>
      <c r="E1" s="184" t="s">
        <v>0</v>
      </c>
      <c r="F1" s="185" t="s">
        <v>1</v>
      </c>
      <c r="G1" s="185" t="s">
        <v>2</v>
      </c>
      <c r="H1" s="185" t="s">
        <v>4</v>
      </c>
      <c r="I1" s="185" t="s">
        <v>3</v>
      </c>
      <c r="J1" s="185" t="s">
        <v>5</v>
      </c>
      <c r="K1" s="185" t="s">
        <v>6</v>
      </c>
      <c r="L1" s="185" t="s">
        <v>54</v>
      </c>
      <c r="M1" s="185" t="s">
        <v>18</v>
      </c>
      <c r="N1" s="185" t="s">
        <v>55</v>
      </c>
      <c r="O1" s="185" t="s">
        <v>24</v>
      </c>
      <c r="P1" s="185" t="s">
        <v>20</v>
      </c>
      <c r="Q1" s="185" t="s">
        <v>21</v>
      </c>
      <c r="R1" s="185" t="s">
        <v>22</v>
      </c>
      <c r="S1" s="186" t="s">
        <v>23</v>
      </c>
      <c r="T1" s="187" t="s">
        <v>56</v>
      </c>
      <c r="U1" s="183" t="s">
        <v>57</v>
      </c>
      <c r="V1" s="187" t="s">
        <v>58</v>
      </c>
      <c r="W1" s="183" t="s">
        <v>59</v>
      </c>
      <c r="X1" s="188" t="s">
        <v>73</v>
      </c>
    </row>
    <row r="2" spans="1:24">
      <c r="A2" s="189" t="s">
        <v>9</v>
      </c>
      <c r="B2" s="190" t="s">
        <v>61</v>
      </c>
      <c r="C2" s="190">
        <v>10</v>
      </c>
      <c r="D2" s="191">
        <v>12</v>
      </c>
      <c r="E2" s="192">
        <v>42766</v>
      </c>
      <c r="F2" s="24">
        <v>99</v>
      </c>
      <c r="G2" s="24">
        <v>0</v>
      </c>
      <c r="H2" s="193">
        <v>79.599999999999994</v>
      </c>
      <c r="I2" s="194"/>
      <c r="J2" s="193">
        <v>103.2</v>
      </c>
      <c r="K2" s="194"/>
      <c r="L2" s="195">
        <v>0.83330457335440766</v>
      </c>
      <c r="M2" s="195"/>
      <c r="N2" s="195"/>
      <c r="O2" s="195"/>
      <c r="P2" s="195">
        <v>0.98499999999999999</v>
      </c>
      <c r="Q2" s="195"/>
      <c r="R2" s="196">
        <v>0.99</v>
      </c>
      <c r="S2" s="197"/>
      <c r="T2" s="198">
        <v>1.4999999999999999E-2</v>
      </c>
      <c r="U2" s="197">
        <v>0</v>
      </c>
      <c r="V2" s="198">
        <v>0</v>
      </c>
      <c r="W2" s="197">
        <v>0</v>
      </c>
      <c r="X2" s="199">
        <f>(G2/F2-1)-(K2/J2-1)</f>
        <v>0</v>
      </c>
    </row>
    <row r="3" spans="1:24">
      <c r="A3" s="189" t="s">
        <v>9</v>
      </c>
      <c r="B3" s="190" t="s">
        <v>61</v>
      </c>
      <c r="C3" s="190">
        <v>10</v>
      </c>
      <c r="D3" s="191">
        <v>12</v>
      </c>
      <c r="E3" s="192">
        <v>42794</v>
      </c>
      <c r="F3" s="24"/>
      <c r="G3" s="24">
        <v>100.501</v>
      </c>
      <c r="H3" s="193">
        <v>108.1</v>
      </c>
      <c r="I3" s="194"/>
      <c r="J3" s="193">
        <v>137.5</v>
      </c>
      <c r="K3" s="194"/>
      <c r="L3" s="195">
        <v>0.81924583515313509</v>
      </c>
      <c r="M3" s="195"/>
      <c r="N3" s="195"/>
      <c r="O3" s="195"/>
      <c r="P3" s="195">
        <v>0.98499999999999999</v>
      </c>
      <c r="Q3" s="195"/>
      <c r="R3" s="196">
        <v>0.99</v>
      </c>
      <c r="S3" s="197"/>
      <c r="T3" s="198">
        <v>1.4999999999999999E-2</v>
      </c>
      <c r="U3" s="197">
        <v>0</v>
      </c>
      <c r="V3" s="198">
        <v>0</v>
      </c>
      <c r="W3" s="197">
        <v>0</v>
      </c>
      <c r="X3" s="199" t="e">
        <f t="shared" ref="X3:X66" si="0">(G3/F3-1)-(K3/J3-1)</f>
        <v>#DIV/0!</v>
      </c>
    </row>
    <row r="4" spans="1:24">
      <c r="A4" s="189" t="s">
        <v>9</v>
      </c>
      <c r="B4" s="190" t="s">
        <v>61</v>
      </c>
      <c r="C4" s="190">
        <v>10</v>
      </c>
      <c r="D4" s="191">
        <v>12</v>
      </c>
      <c r="E4" s="192">
        <v>42825</v>
      </c>
      <c r="F4" s="24">
        <v>1807.8995808482773</v>
      </c>
      <c r="G4" s="24">
        <v>817.18799999999999</v>
      </c>
      <c r="H4" s="193">
        <v>161.4</v>
      </c>
      <c r="I4" s="194"/>
      <c r="J4" s="193">
        <v>187.8</v>
      </c>
      <c r="K4" s="194"/>
      <c r="L4" s="195">
        <v>0.80222736104378645</v>
      </c>
      <c r="M4" s="195"/>
      <c r="N4" s="195"/>
      <c r="O4" s="195"/>
      <c r="P4" s="195">
        <v>0.98499999999999999</v>
      </c>
      <c r="Q4" s="195"/>
      <c r="R4" s="196">
        <v>0.99</v>
      </c>
      <c r="S4" s="197"/>
      <c r="T4" s="198">
        <v>1.4999999999999999E-2</v>
      </c>
      <c r="U4" s="197">
        <v>0</v>
      </c>
      <c r="V4" s="198">
        <v>0</v>
      </c>
      <c r="W4" s="197">
        <v>0</v>
      </c>
      <c r="X4" s="199">
        <f t="shared" si="0"/>
        <v>0.4520096185964988</v>
      </c>
    </row>
    <row r="5" spans="1:24">
      <c r="A5" s="189" t="s">
        <v>9</v>
      </c>
      <c r="B5" s="190" t="s">
        <v>61</v>
      </c>
      <c r="C5" s="190">
        <v>10</v>
      </c>
      <c r="D5" s="191">
        <v>12</v>
      </c>
      <c r="E5" s="192">
        <v>42855</v>
      </c>
      <c r="F5" s="24">
        <v>1867.737819823722</v>
      </c>
      <c r="G5" s="24">
        <v>1239.354</v>
      </c>
      <c r="H5" s="193">
        <v>190.2</v>
      </c>
      <c r="I5" s="194"/>
      <c r="J5" s="193">
        <v>194</v>
      </c>
      <c r="K5" s="194"/>
      <c r="L5" s="195">
        <v>0.80229287793115212</v>
      </c>
      <c r="M5" s="195"/>
      <c r="N5" s="195"/>
      <c r="O5" s="195"/>
      <c r="P5" s="195">
        <v>0.98499999999999999</v>
      </c>
      <c r="Q5" s="195"/>
      <c r="R5" s="196">
        <v>0.99</v>
      </c>
      <c r="S5" s="197"/>
      <c r="T5" s="198">
        <v>1.4999999999999999E-2</v>
      </c>
      <c r="U5" s="197">
        <v>0</v>
      </c>
      <c r="V5" s="198">
        <v>0</v>
      </c>
      <c r="W5" s="197">
        <v>0</v>
      </c>
      <c r="X5" s="199">
        <f t="shared" si="0"/>
        <v>0.66355887151065496</v>
      </c>
    </row>
    <row r="6" spans="1:24">
      <c r="A6" s="189" t="s">
        <v>9</v>
      </c>
      <c r="B6" s="190" t="s">
        <v>61</v>
      </c>
      <c r="C6" s="190">
        <v>10</v>
      </c>
      <c r="D6" s="191">
        <v>12</v>
      </c>
      <c r="E6" s="192">
        <v>42886</v>
      </c>
      <c r="F6" s="24">
        <v>1892.2616882562811</v>
      </c>
      <c r="G6" s="24">
        <v>1244.73</v>
      </c>
      <c r="H6" s="193">
        <v>197</v>
      </c>
      <c r="I6" s="194"/>
      <c r="J6" s="193">
        <v>197.7</v>
      </c>
      <c r="K6" s="194"/>
      <c r="L6" s="195">
        <v>0.79761494193908333</v>
      </c>
      <c r="M6" s="195"/>
      <c r="N6" s="195"/>
      <c r="O6" s="195"/>
      <c r="P6" s="195">
        <v>0.98499999999999999</v>
      </c>
      <c r="Q6" s="195"/>
      <c r="R6" s="196">
        <v>0.99</v>
      </c>
      <c r="S6" s="197"/>
      <c r="T6" s="198">
        <v>1.4999999999999999E-2</v>
      </c>
      <c r="U6" s="197">
        <v>0</v>
      </c>
      <c r="V6" s="198">
        <v>0</v>
      </c>
      <c r="W6" s="197">
        <v>0</v>
      </c>
      <c r="X6" s="199">
        <f t="shared" si="0"/>
        <v>0.65780013817592986</v>
      </c>
    </row>
    <row r="7" spans="1:24">
      <c r="A7" s="189" t="s">
        <v>9</v>
      </c>
      <c r="B7" s="190" t="s">
        <v>61</v>
      </c>
      <c r="C7" s="190">
        <v>10</v>
      </c>
      <c r="D7" s="191">
        <v>12</v>
      </c>
      <c r="E7" s="192">
        <v>42916</v>
      </c>
      <c r="F7" s="24">
        <v>1701.9564692196207</v>
      </c>
      <c r="G7" s="24">
        <v>1231.002</v>
      </c>
      <c r="H7" s="193">
        <v>178.9</v>
      </c>
      <c r="I7" s="194">
        <v>152.65</v>
      </c>
      <c r="J7" s="193">
        <v>177.2</v>
      </c>
      <c r="K7" s="194">
        <v>146.05000000000001</v>
      </c>
      <c r="L7" s="195">
        <v>0.80039337341028061</v>
      </c>
      <c r="M7" s="195">
        <f>G7/12/K7</f>
        <v>0.70238616912016427</v>
      </c>
      <c r="N7" s="195">
        <f>F7/24/30/10</f>
        <v>0.23638284294716955</v>
      </c>
      <c r="O7" s="195">
        <f>G7/24/30/10</f>
        <v>0.1709725</v>
      </c>
      <c r="P7" s="195">
        <v>0.98499999999999999</v>
      </c>
      <c r="Q7" s="195">
        <v>0.81046375999999998</v>
      </c>
      <c r="R7" s="196">
        <v>0.99</v>
      </c>
      <c r="S7" s="197">
        <v>0.99860000000000004</v>
      </c>
      <c r="T7" s="198">
        <v>1.4999999999999999E-2</v>
      </c>
      <c r="U7" s="197">
        <v>0</v>
      </c>
      <c r="V7" s="198">
        <v>0</v>
      </c>
      <c r="W7" s="197">
        <v>0</v>
      </c>
      <c r="X7" s="199">
        <f t="shared" si="0"/>
        <v>-0.10092351323040394</v>
      </c>
    </row>
    <row r="8" spans="1:24">
      <c r="A8" s="189" t="s">
        <v>9</v>
      </c>
      <c r="B8" s="190" t="s">
        <v>61</v>
      </c>
      <c r="C8" s="190">
        <v>10</v>
      </c>
      <c r="D8" s="191">
        <v>12</v>
      </c>
      <c r="E8" s="192">
        <v>42947</v>
      </c>
      <c r="F8" s="24">
        <v>1509.6893407083551</v>
      </c>
      <c r="G8" s="24">
        <v>1049.0940000000001</v>
      </c>
      <c r="H8" s="193">
        <v>155.5</v>
      </c>
      <c r="I8" s="194">
        <v>156.31</v>
      </c>
      <c r="J8" s="193">
        <v>154.6</v>
      </c>
      <c r="K8" s="194">
        <v>154.55000000000001</v>
      </c>
      <c r="L8" s="195">
        <v>0.81376096415931176</v>
      </c>
      <c r="M8" s="195">
        <f t="shared" ref="M8:M16" si="1">G8/12/K8</f>
        <v>0.56567130378518282</v>
      </c>
      <c r="N8" s="195">
        <f>F8/24/31/10</f>
        <v>0.20291523396617675</v>
      </c>
      <c r="O8" s="195">
        <f>G8/24/31/10</f>
        <v>0.14100725806451614</v>
      </c>
      <c r="P8" s="195">
        <v>0.98499999999999999</v>
      </c>
      <c r="Q8" s="195">
        <v>0.76363119000000013</v>
      </c>
      <c r="R8" s="196">
        <v>0.99</v>
      </c>
      <c r="S8" s="197">
        <v>0.99470000000000003</v>
      </c>
      <c r="T8" s="198">
        <v>1.4999999999999999E-2</v>
      </c>
      <c r="U8" s="197">
        <v>0</v>
      </c>
      <c r="V8" s="198">
        <v>0</v>
      </c>
      <c r="W8" s="197">
        <v>0</v>
      </c>
      <c r="X8" s="199">
        <f t="shared" si="0"/>
        <v>-0.30476937984736296</v>
      </c>
    </row>
    <row r="9" spans="1:24">
      <c r="A9" s="189" t="s">
        <v>9</v>
      </c>
      <c r="B9" s="190" t="s">
        <v>61</v>
      </c>
      <c r="C9" s="190">
        <v>10</v>
      </c>
      <c r="D9" s="191">
        <v>12</v>
      </c>
      <c r="E9" s="192">
        <v>42978</v>
      </c>
      <c r="F9" s="24">
        <v>1434.1558259360722</v>
      </c>
      <c r="G9" s="24">
        <v>1153.704</v>
      </c>
      <c r="H9" s="193">
        <v>145.4</v>
      </c>
      <c r="I9" s="194">
        <v>133.44999999999999</v>
      </c>
      <c r="J9" s="193">
        <v>146.30000000000001</v>
      </c>
      <c r="K9" s="194">
        <v>133.68</v>
      </c>
      <c r="L9" s="195">
        <v>0.81690352354526785</v>
      </c>
      <c r="M9" s="195">
        <f t="shared" si="1"/>
        <v>0.71919509275882698</v>
      </c>
      <c r="N9" s="195">
        <f>F9/24/31/10</f>
        <v>0.19276287983011725</v>
      </c>
      <c r="O9" s="195">
        <f>G9/24/31/10</f>
        <v>0.15506774193548387</v>
      </c>
      <c r="P9" s="195">
        <v>0.98499999999999999</v>
      </c>
      <c r="Q9" s="195">
        <v>0.92563775999999998</v>
      </c>
      <c r="R9" s="196">
        <v>0.99</v>
      </c>
      <c r="S9" s="197">
        <v>0.99360000000000004</v>
      </c>
      <c r="T9" s="198">
        <v>1.4999999999999999E-2</v>
      </c>
      <c r="U9" s="197">
        <v>0</v>
      </c>
      <c r="V9" s="198">
        <v>0</v>
      </c>
      <c r="W9" s="197">
        <v>0</v>
      </c>
      <c r="X9" s="199">
        <f t="shared" si="0"/>
        <v>-0.10929074337377032</v>
      </c>
    </row>
    <row r="10" spans="1:24">
      <c r="A10" s="189" t="s">
        <v>9</v>
      </c>
      <c r="B10" s="190" t="s">
        <v>61</v>
      </c>
      <c r="C10" s="190">
        <v>10</v>
      </c>
      <c r="D10" s="191">
        <v>12</v>
      </c>
      <c r="E10" s="192">
        <v>43008</v>
      </c>
      <c r="F10" s="24">
        <v>1427.2891427749557</v>
      </c>
      <c r="G10" s="24">
        <v>1153.722</v>
      </c>
      <c r="H10" s="193">
        <v>141.6</v>
      </c>
      <c r="I10" s="194">
        <v>121.96</v>
      </c>
      <c r="J10" s="193">
        <v>145.5</v>
      </c>
      <c r="K10" s="194">
        <v>125.14</v>
      </c>
      <c r="L10" s="195">
        <v>0.8174622810853126</v>
      </c>
      <c r="M10" s="195">
        <f t="shared" si="1"/>
        <v>0.76828751797986261</v>
      </c>
      <c r="N10" s="195">
        <f>F10/24/30/10</f>
        <v>0.19823460316318831</v>
      </c>
      <c r="O10" s="195">
        <f>G10/24/30/10</f>
        <v>0.16023916666666665</v>
      </c>
      <c r="P10" s="195">
        <v>0.98499999999999999</v>
      </c>
      <c r="Q10" s="195">
        <v>0.93744936000000001</v>
      </c>
      <c r="R10" s="196">
        <v>0.99</v>
      </c>
      <c r="S10" s="197">
        <v>0.99180000000000001</v>
      </c>
      <c r="T10" s="198">
        <v>1.4999999999999999E-2</v>
      </c>
      <c r="U10" s="197">
        <v>0</v>
      </c>
      <c r="V10" s="198">
        <v>0</v>
      </c>
      <c r="W10" s="197">
        <v>0</v>
      </c>
      <c r="X10" s="199">
        <f t="shared" si="0"/>
        <v>-5.1737770608008771E-2</v>
      </c>
    </row>
    <row r="11" spans="1:24">
      <c r="A11" s="189" t="s">
        <v>9</v>
      </c>
      <c r="B11" s="190" t="s">
        <v>61</v>
      </c>
      <c r="C11" s="190">
        <v>10</v>
      </c>
      <c r="D11" s="191">
        <v>12</v>
      </c>
      <c r="E11" s="192">
        <v>43039</v>
      </c>
      <c r="F11" s="24">
        <v>1632.3086828711521</v>
      </c>
      <c r="G11" s="24">
        <v>1389.684</v>
      </c>
      <c r="H11" s="193">
        <v>139.1</v>
      </c>
      <c r="I11" s="194">
        <v>126.05</v>
      </c>
      <c r="J11" s="193">
        <v>172.2</v>
      </c>
      <c r="K11" s="194">
        <v>150.63999999999999</v>
      </c>
      <c r="L11" s="195">
        <v>0.7899287083193729</v>
      </c>
      <c r="M11" s="195">
        <f t="shared" si="1"/>
        <v>0.76876659585767404</v>
      </c>
      <c r="N11" s="195">
        <f>F11/24/31/10</f>
        <v>0.2193963283428968</v>
      </c>
      <c r="O11" s="195">
        <f>G11/24/31/10</f>
        <v>0.18678548387096774</v>
      </c>
      <c r="P11" s="195">
        <v>0.98499999999999999</v>
      </c>
      <c r="Q11" s="195">
        <v>0.97253900000000004</v>
      </c>
      <c r="R11" s="196">
        <v>0.99</v>
      </c>
      <c r="S11" s="197">
        <v>0.97399999999999998</v>
      </c>
      <c r="T11" s="198">
        <v>1.4999999999999999E-2</v>
      </c>
      <c r="U11" s="197">
        <v>0</v>
      </c>
      <c r="V11" s="198">
        <v>0</v>
      </c>
      <c r="W11" s="197">
        <v>0</v>
      </c>
      <c r="X11" s="199">
        <f t="shared" si="0"/>
        <v>-2.3435718903042524E-2</v>
      </c>
    </row>
    <row r="12" spans="1:24">
      <c r="A12" s="189" t="s">
        <v>9</v>
      </c>
      <c r="B12" s="190" t="s">
        <v>61</v>
      </c>
      <c r="C12" s="190">
        <v>10</v>
      </c>
      <c r="D12" s="191">
        <v>12</v>
      </c>
      <c r="E12" s="192">
        <v>43069</v>
      </c>
      <c r="F12" s="24">
        <v>1447.8891922583055</v>
      </c>
      <c r="G12" s="24">
        <v>1112.7539999999999</v>
      </c>
      <c r="H12" s="193">
        <v>108.1</v>
      </c>
      <c r="I12" s="194">
        <v>90.65</v>
      </c>
      <c r="J12" s="193">
        <v>152.1</v>
      </c>
      <c r="K12" s="194">
        <v>116.24</v>
      </c>
      <c r="L12" s="195">
        <v>0.79327700649698962</v>
      </c>
      <c r="M12" s="195">
        <f t="shared" si="1"/>
        <v>0.79774174122505159</v>
      </c>
      <c r="N12" s="195">
        <f>F12/24/30/10</f>
        <v>0.20109572114698687</v>
      </c>
      <c r="O12" s="195">
        <f>G12/24/30/10</f>
        <v>0.15454916666666665</v>
      </c>
      <c r="P12" s="195">
        <v>0.98499999999999999</v>
      </c>
      <c r="Q12" s="195">
        <v>0.99051200000000006</v>
      </c>
      <c r="R12" s="196">
        <v>0.99</v>
      </c>
      <c r="S12" s="197">
        <v>0.99199999999999999</v>
      </c>
      <c r="T12" s="198">
        <v>1.4999999999999999E-2</v>
      </c>
      <c r="U12" s="197">
        <v>0</v>
      </c>
      <c r="V12" s="198">
        <v>0</v>
      </c>
      <c r="W12" s="197">
        <v>0</v>
      </c>
      <c r="X12" s="199">
        <f t="shared" si="0"/>
        <v>4.3012747182438194E-3</v>
      </c>
    </row>
    <row r="13" spans="1:24">
      <c r="A13" s="189" t="s">
        <v>9</v>
      </c>
      <c r="B13" s="190" t="s">
        <v>61</v>
      </c>
      <c r="C13" s="190">
        <v>10</v>
      </c>
      <c r="D13" s="191">
        <v>12</v>
      </c>
      <c r="E13" s="192">
        <v>43100</v>
      </c>
      <c r="F13" s="24">
        <v>1218.3457837295498</v>
      </c>
      <c r="G13" s="24">
        <v>1027.1579999999999</v>
      </c>
      <c r="H13" s="193">
        <v>89.9</v>
      </c>
      <c r="I13" s="194">
        <v>77.64</v>
      </c>
      <c r="J13" s="193">
        <v>129.6</v>
      </c>
      <c r="K13" s="194">
        <v>103.55</v>
      </c>
      <c r="L13" s="195">
        <v>0.78340135270675793</v>
      </c>
      <c r="M13" s="195">
        <f t="shared" si="1"/>
        <v>0.82661999034282951</v>
      </c>
      <c r="N13" s="195">
        <f>F13/24/31/10</f>
        <v>0.16375615372709001</v>
      </c>
      <c r="O13" s="195">
        <f>G13/24/31/10</f>
        <v>0.13805887096774191</v>
      </c>
      <c r="P13" s="195">
        <v>0.98499999999999999</v>
      </c>
      <c r="Q13" s="195">
        <v>0.98709999999999998</v>
      </c>
      <c r="R13" s="196">
        <v>0.99</v>
      </c>
      <c r="S13" s="197">
        <v>0.98709999999999998</v>
      </c>
      <c r="T13" s="198">
        <v>1.4999999999999999E-2</v>
      </c>
      <c r="U13" s="197">
        <v>0</v>
      </c>
      <c r="V13" s="198">
        <v>0</v>
      </c>
      <c r="W13" s="197">
        <v>0</v>
      </c>
      <c r="X13" s="199">
        <f t="shared" si="0"/>
        <v>4.4079012578996823E-2</v>
      </c>
    </row>
    <row r="14" spans="1:24">
      <c r="A14" s="189" t="s">
        <v>9</v>
      </c>
      <c r="B14" s="190" t="s">
        <v>61</v>
      </c>
      <c r="C14" s="190">
        <v>10</v>
      </c>
      <c r="D14" s="191">
        <v>12</v>
      </c>
      <c r="E14" s="192">
        <v>43131</v>
      </c>
      <c r="F14" s="24">
        <v>1026.8045617238879</v>
      </c>
      <c r="G14" s="24">
        <v>905.23800000000006</v>
      </c>
      <c r="H14" s="193">
        <v>79.599999999999994</v>
      </c>
      <c r="I14" s="194">
        <v>72.37</v>
      </c>
      <c r="J14" s="193">
        <v>103.2</v>
      </c>
      <c r="K14" s="194">
        <v>91.91</v>
      </c>
      <c r="L14" s="195">
        <v>0.83330457335440766</v>
      </c>
      <c r="M14" s="195">
        <f t="shared" si="1"/>
        <v>0.82076487868567094</v>
      </c>
      <c r="N14" s="195">
        <f>F14/24/31/10</f>
        <v>0.13801136582310319</v>
      </c>
      <c r="O14" s="195">
        <f>G14/24/31/10</f>
        <v>0.1216717741935484</v>
      </c>
      <c r="P14" s="195">
        <v>0.98499999999999999</v>
      </c>
      <c r="Q14" s="195">
        <v>0.98370000000000002</v>
      </c>
      <c r="R14" s="196">
        <v>0.99</v>
      </c>
      <c r="S14" s="197">
        <v>0.98509999999999998</v>
      </c>
      <c r="T14" s="198">
        <v>1.4999999999999999E-2</v>
      </c>
      <c r="U14" s="197">
        <v>0</v>
      </c>
      <c r="V14" s="198">
        <v>0</v>
      </c>
      <c r="W14" s="197">
        <v>0</v>
      </c>
      <c r="X14" s="199">
        <f t="shared" si="0"/>
        <v>-8.9938621117133799E-3</v>
      </c>
    </row>
    <row r="15" spans="1:24">
      <c r="A15" s="189" t="s">
        <v>9</v>
      </c>
      <c r="B15" s="190" t="s">
        <v>61</v>
      </c>
      <c r="C15" s="190">
        <v>10</v>
      </c>
      <c r="D15" s="191">
        <v>12</v>
      </c>
      <c r="E15" s="192">
        <v>43159</v>
      </c>
      <c r="F15" s="24">
        <v>1344.9968498626595</v>
      </c>
      <c r="G15" s="24">
        <f>1330560/1000</f>
        <v>1330.56</v>
      </c>
      <c r="H15" s="193">
        <v>108.1</v>
      </c>
      <c r="I15" s="194">
        <v>111.43</v>
      </c>
      <c r="J15" s="193">
        <v>137.5</v>
      </c>
      <c r="K15" s="194">
        <v>135.04</v>
      </c>
      <c r="L15" s="195">
        <v>0.81924583515313509</v>
      </c>
      <c r="M15" s="195">
        <f t="shared" si="1"/>
        <v>0.821090047393365</v>
      </c>
      <c r="N15" s="195">
        <f>F15/24/28/10</f>
        <v>0.20014834075337196</v>
      </c>
      <c r="O15" s="195">
        <f>G15/24/28/10</f>
        <v>0.19800000000000001</v>
      </c>
      <c r="P15" s="195">
        <v>0.98499999999999999</v>
      </c>
      <c r="Q15" s="195">
        <v>0.96279999999999999</v>
      </c>
      <c r="R15" s="196">
        <v>0.99</v>
      </c>
      <c r="S15" s="197">
        <v>0.97989999999999999</v>
      </c>
      <c r="T15" s="198">
        <v>1.4999999999999999E-2</v>
      </c>
      <c r="U15" s="197">
        <v>0</v>
      </c>
      <c r="V15" s="198">
        <v>0</v>
      </c>
      <c r="W15" s="197">
        <v>0</v>
      </c>
      <c r="X15" s="199">
        <f t="shared" si="0"/>
        <v>7.1571665813012775E-3</v>
      </c>
    </row>
    <row r="16" spans="1:24">
      <c r="A16" s="189" t="s">
        <v>9</v>
      </c>
      <c r="B16" s="190" t="s">
        <v>61</v>
      </c>
      <c r="C16" s="190">
        <v>10</v>
      </c>
      <c r="D16" s="191">
        <v>12</v>
      </c>
      <c r="E16" s="192">
        <v>43190</v>
      </c>
      <c r="F16" s="24">
        <v>1799</v>
      </c>
      <c r="G16" s="24">
        <v>1719.816</v>
      </c>
      <c r="H16" s="193">
        <v>161.4</v>
      </c>
      <c r="I16" s="194">
        <v>165.02</v>
      </c>
      <c r="J16" s="193">
        <v>187.8</v>
      </c>
      <c r="K16" s="194">
        <v>178.69</v>
      </c>
      <c r="L16" s="195">
        <v>0.80222736104378645</v>
      </c>
      <c r="M16" s="195">
        <f t="shared" si="1"/>
        <v>0.80204823996866093</v>
      </c>
      <c r="N16" s="195">
        <f>F16/24/31/10</f>
        <v>0.24180107526881719</v>
      </c>
      <c r="O16" s="195">
        <f>G16/24/31/10</f>
        <v>0.23115806451612902</v>
      </c>
      <c r="P16" s="195">
        <v>0.98499999999999999</v>
      </c>
      <c r="Q16" s="195">
        <v>0.99790000000000001</v>
      </c>
      <c r="R16" s="196">
        <v>0.99</v>
      </c>
      <c r="S16" s="197">
        <v>0.99790000000000001</v>
      </c>
      <c r="T16" s="198">
        <v>1.4999999999999999E-2</v>
      </c>
      <c r="U16" s="197">
        <v>0</v>
      </c>
      <c r="V16" s="198">
        <v>0</v>
      </c>
      <c r="W16" s="197">
        <v>0</v>
      </c>
      <c r="X16" s="199">
        <f t="shared" si="0"/>
        <v>4.4934879808390393E-3</v>
      </c>
    </row>
    <row r="17" spans="1:24">
      <c r="A17" s="189" t="s">
        <v>9</v>
      </c>
      <c r="B17" s="190" t="s">
        <v>61</v>
      </c>
      <c r="C17" s="190">
        <v>10</v>
      </c>
      <c r="D17" s="191">
        <v>12</v>
      </c>
      <c r="E17" s="192">
        <v>43220</v>
      </c>
      <c r="F17" s="24">
        <v>1746.8951828811271</v>
      </c>
      <c r="G17" s="24">
        <v>1355.046</v>
      </c>
      <c r="H17" s="193">
        <v>190.2</v>
      </c>
      <c r="I17" s="194">
        <v>147.37</v>
      </c>
      <c r="J17" s="193">
        <v>194</v>
      </c>
      <c r="K17" s="194">
        <v>151.99</v>
      </c>
      <c r="L17" s="195">
        <f>F17/D17/J17/P17</f>
        <v>0.76181170429340761</v>
      </c>
      <c r="M17" s="195">
        <f>G17/D17/K17/Q17</f>
        <v>0.7828996845222056</v>
      </c>
      <c r="N17" s="195">
        <f>F17/24/DAY(E17)/C17</f>
        <v>0.24262433095571212</v>
      </c>
      <c r="O17" s="195">
        <f>G17/24/DAY(E17)/C17</f>
        <v>0.18820083333333334</v>
      </c>
      <c r="P17" s="195">
        <v>0.98499999999999999</v>
      </c>
      <c r="Q17" s="195">
        <v>0.94896820000000004</v>
      </c>
      <c r="R17" s="196">
        <v>0.99</v>
      </c>
      <c r="S17" s="197">
        <v>0.97399999999999998</v>
      </c>
      <c r="T17" s="198">
        <v>1.4999999999999999E-2</v>
      </c>
      <c r="U17" s="197">
        <v>0</v>
      </c>
      <c r="V17" s="198">
        <v>0</v>
      </c>
      <c r="W17" s="197">
        <v>0</v>
      </c>
      <c r="X17" s="199">
        <f t="shared" si="0"/>
        <v>-7.7653967972407534E-3</v>
      </c>
    </row>
    <row r="18" spans="1:24">
      <c r="A18" s="189" t="s">
        <v>9</v>
      </c>
      <c r="B18" s="190" t="s">
        <v>61</v>
      </c>
      <c r="C18" s="190">
        <v>10</v>
      </c>
      <c r="D18" s="191">
        <v>12</v>
      </c>
      <c r="E18" s="192">
        <v>43251</v>
      </c>
      <c r="F18" s="24">
        <v>1769.8323570260998</v>
      </c>
      <c r="G18" s="24">
        <f>1526538/1000</f>
        <v>1526.538</v>
      </c>
      <c r="H18" s="193">
        <v>197</v>
      </c>
      <c r="I18" s="194">
        <v>164.16</v>
      </c>
      <c r="J18" s="193">
        <v>197.7</v>
      </c>
      <c r="K18" s="194">
        <v>165.63</v>
      </c>
      <c r="L18" s="195">
        <f t="shared" ref="L18:L81" si="2">F18/D18/J18/P18</f>
        <v>0.75736980222906047</v>
      </c>
      <c r="M18" s="195">
        <f t="shared" ref="M18:M81" si="3">G18/D18/K18/Q18</f>
        <v>0.77113077074342173</v>
      </c>
      <c r="N18" s="195">
        <f t="shared" ref="N18:N81" si="4">F18/24/DAY(E18)/C18</f>
        <v>0.2378806931486693</v>
      </c>
      <c r="O18" s="195">
        <f t="shared" ref="O18:O81" si="5">G18/24/DAY(E18)/C18</f>
        <v>0.20517983870967743</v>
      </c>
      <c r="P18" s="195">
        <v>0.98499999999999999</v>
      </c>
      <c r="Q18" s="195">
        <v>0.996</v>
      </c>
      <c r="R18" s="196">
        <v>0.99</v>
      </c>
      <c r="S18" s="197">
        <v>0.99819999999999998</v>
      </c>
      <c r="T18" s="198">
        <v>1.4999999999999999E-2</v>
      </c>
      <c r="U18" s="197">
        <v>0</v>
      </c>
      <c r="V18" s="198">
        <v>0</v>
      </c>
      <c r="W18" s="197">
        <v>0</v>
      </c>
      <c r="X18" s="199">
        <f t="shared" si="0"/>
        <v>2.4748018968860142E-2</v>
      </c>
    </row>
    <row r="19" spans="1:24">
      <c r="A19" s="189" t="s">
        <v>9</v>
      </c>
      <c r="B19" s="190" t="s">
        <v>61</v>
      </c>
      <c r="C19" s="190">
        <v>10</v>
      </c>
      <c r="D19" s="191">
        <v>12</v>
      </c>
      <c r="E19" s="192">
        <v>43281</v>
      </c>
      <c r="F19" s="24">
        <v>1591.8398856611111</v>
      </c>
      <c r="G19" s="24">
        <f>1476846/1000</f>
        <v>1476.846</v>
      </c>
      <c r="H19" s="193">
        <v>178.9</v>
      </c>
      <c r="I19" s="194">
        <f>5.14*30</f>
        <v>154.19999999999999</v>
      </c>
      <c r="J19" s="193">
        <v>177.2</v>
      </c>
      <c r="K19" s="194">
        <f>5.16*30</f>
        <v>154.80000000000001</v>
      </c>
      <c r="L19" s="195">
        <f t="shared" si="2"/>
        <v>0.76000804279252332</v>
      </c>
      <c r="M19" s="195">
        <f t="shared" si="3"/>
        <v>0.80623574664581876</v>
      </c>
      <c r="N19" s="195">
        <f t="shared" si="4"/>
        <v>0.22108887300848762</v>
      </c>
      <c r="O19" s="195">
        <f t="shared" si="5"/>
        <v>0.20511749999999998</v>
      </c>
      <c r="P19" s="195">
        <v>0.98499999999999999</v>
      </c>
      <c r="Q19" s="195">
        <v>0.98609999999999998</v>
      </c>
      <c r="R19" s="196">
        <v>0.99</v>
      </c>
      <c r="S19" s="197">
        <v>0.98740000000000006</v>
      </c>
      <c r="T19" s="198">
        <v>1.4999999999999999E-2</v>
      </c>
      <c r="U19" s="197">
        <v>0</v>
      </c>
      <c r="V19" s="198">
        <v>0</v>
      </c>
      <c r="W19" s="197">
        <v>0</v>
      </c>
      <c r="X19" s="199">
        <f t="shared" si="0"/>
        <v>5.4171229524862863E-2</v>
      </c>
    </row>
    <row r="20" spans="1:24">
      <c r="A20" s="189" t="s">
        <v>9</v>
      </c>
      <c r="B20" s="190" t="s">
        <v>61</v>
      </c>
      <c r="C20" s="190">
        <v>10</v>
      </c>
      <c r="D20" s="191">
        <v>12</v>
      </c>
      <c r="E20" s="192">
        <v>43312</v>
      </c>
      <c r="F20" s="24">
        <v>1412.0124403645248</v>
      </c>
      <c r="G20" s="24">
        <f>1216494/1000</f>
        <v>1216.4939999999999</v>
      </c>
      <c r="H20" s="193">
        <v>155.5</v>
      </c>
      <c r="I20" s="194">
        <v>128.13</v>
      </c>
      <c r="J20" s="193">
        <v>154.6</v>
      </c>
      <c r="K20" s="194">
        <v>126.33</v>
      </c>
      <c r="L20" s="195">
        <f t="shared" si="2"/>
        <v>0.77270114698294867</v>
      </c>
      <c r="M20" s="195">
        <f t="shared" si="3"/>
        <v>0.81841697959413007</v>
      </c>
      <c r="N20" s="195">
        <f t="shared" si="4"/>
        <v>0.18978661832856517</v>
      </c>
      <c r="O20" s="195">
        <f t="shared" si="5"/>
        <v>0.1635072580645161</v>
      </c>
      <c r="P20" s="195">
        <v>0.98499999999999999</v>
      </c>
      <c r="Q20" s="195">
        <v>0.98050000000000004</v>
      </c>
      <c r="R20" s="196">
        <v>0.99</v>
      </c>
      <c r="S20" s="197">
        <v>0.9879</v>
      </c>
      <c r="T20" s="198">
        <v>1.4999999999999999E-2</v>
      </c>
      <c r="U20" s="197">
        <v>0</v>
      </c>
      <c r="V20" s="198">
        <v>0</v>
      </c>
      <c r="W20" s="197">
        <v>0</v>
      </c>
      <c r="X20" s="199">
        <f t="shared" si="0"/>
        <v>4.4391060510239888E-2</v>
      </c>
    </row>
    <row r="21" spans="1:24">
      <c r="A21" s="189" t="s">
        <v>9</v>
      </c>
      <c r="B21" s="190" t="s">
        <v>61</v>
      </c>
      <c r="C21" s="190">
        <v>10</v>
      </c>
      <c r="D21" s="191">
        <v>12</v>
      </c>
      <c r="E21" s="192">
        <v>43343</v>
      </c>
      <c r="F21" s="24">
        <v>1341.3659439980083</v>
      </c>
      <c r="G21" s="24">
        <f>1036044/1000</f>
        <v>1036.0440000000001</v>
      </c>
      <c r="H21" s="193">
        <v>145.4</v>
      </c>
      <c r="I21" s="194">
        <v>111.41</v>
      </c>
      <c r="J21" s="193">
        <v>146.30000000000001</v>
      </c>
      <c r="K21" s="194">
        <v>110.13</v>
      </c>
      <c r="L21" s="195">
        <f t="shared" si="2"/>
        <v>0.77568514271257771</v>
      </c>
      <c r="M21" s="195">
        <f t="shared" si="3"/>
        <v>0.80886847454021904</v>
      </c>
      <c r="N21" s="195">
        <f t="shared" si="4"/>
        <v>0.18029112150510868</v>
      </c>
      <c r="O21" s="195">
        <f t="shared" si="5"/>
        <v>0.13925322580645161</v>
      </c>
      <c r="P21" s="195">
        <v>0.98499999999999999</v>
      </c>
      <c r="Q21" s="195">
        <v>0.96919999999999995</v>
      </c>
      <c r="R21" s="196">
        <v>0.99</v>
      </c>
      <c r="S21" s="197">
        <v>0.99780000000000002</v>
      </c>
      <c r="T21" s="198">
        <v>1.4999999999999999E-2</v>
      </c>
      <c r="U21" s="197">
        <v>0</v>
      </c>
      <c r="V21" s="198">
        <v>0</v>
      </c>
      <c r="W21" s="197">
        <v>0</v>
      </c>
      <c r="X21" s="199">
        <f t="shared" si="0"/>
        <v>1.961154580711022E-2</v>
      </c>
    </row>
    <row r="22" spans="1:24">
      <c r="A22" s="189" t="s">
        <v>9</v>
      </c>
      <c r="B22" s="190" t="s">
        <v>61</v>
      </c>
      <c r="C22" s="190">
        <v>10</v>
      </c>
      <c r="D22" s="191">
        <v>12</v>
      </c>
      <c r="E22" s="192">
        <v>43373</v>
      </c>
      <c r="F22" s="24">
        <v>1334.9435352374162</v>
      </c>
      <c r="G22" s="24">
        <f>1117884/1000</f>
        <v>1117.884</v>
      </c>
      <c r="H22" s="193">
        <v>141.6</v>
      </c>
      <c r="I22" s="194">
        <v>118.09</v>
      </c>
      <c r="J22" s="193">
        <v>145.5</v>
      </c>
      <c r="K22" s="194">
        <v>119.04</v>
      </c>
      <c r="L22" s="195">
        <f t="shared" si="2"/>
        <v>0.77621570710567811</v>
      </c>
      <c r="M22" s="195">
        <f t="shared" si="3"/>
        <v>0.80156599857482547</v>
      </c>
      <c r="N22" s="195">
        <f t="shared" si="4"/>
        <v>0.18540882433853001</v>
      </c>
      <c r="O22" s="195">
        <f t="shared" si="5"/>
        <v>0.15526166666666666</v>
      </c>
      <c r="P22" s="195">
        <v>0.98499999999999999</v>
      </c>
      <c r="Q22" s="195">
        <v>0.97629999999999995</v>
      </c>
      <c r="R22" s="196">
        <v>0.99</v>
      </c>
      <c r="S22" s="197">
        <v>0.98529999999999995</v>
      </c>
      <c r="T22" s="198">
        <v>1.4999999999999999E-2</v>
      </c>
      <c r="U22" s="197">
        <v>0</v>
      </c>
      <c r="V22" s="198">
        <v>0</v>
      </c>
      <c r="W22" s="197">
        <v>0</v>
      </c>
      <c r="X22" s="199">
        <f t="shared" si="0"/>
        <v>1.9257380731390827E-2</v>
      </c>
    </row>
    <row r="23" spans="1:24">
      <c r="A23" s="189" t="s">
        <v>9</v>
      </c>
      <c r="B23" s="190" t="s">
        <v>61</v>
      </c>
      <c r="C23" s="190">
        <v>10</v>
      </c>
      <c r="D23" s="191">
        <v>12</v>
      </c>
      <c r="E23" s="192">
        <v>43404</v>
      </c>
      <c r="F23" s="24">
        <v>1526.6983110893887</v>
      </c>
      <c r="G23" s="24">
        <f>1482006/1000</f>
        <v>1482.0060000000001</v>
      </c>
      <c r="H23" s="193">
        <v>139.1</v>
      </c>
      <c r="I23" s="194">
        <f>4.5*31</f>
        <v>139.5</v>
      </c>
      <c r="J23" s="193">
        <v>172.2</v>
      </c>
      <c r="K23" s="194">
        <f>5.26*31</f>
        <v>163.06</v>
      </c>
      <c r="L23" s="195">
        <f t="shared" si="2"/>
        <v>0.75007139176762383</v>
      </c>
      <c r="M23" s="195">
        <f t="shared" si="3"/>
        <v>0.77761086671211843</v>
      </c>
      <c r="N23" s="195">
        <f t="shared" si="4"/>
        <v>0.20520138589911138</v>
      </c>
      <c r="O23" s="195">
        <f t="shared" si="5"/>
        <v>0.19919435483870968</v>
      </c>
      <c r="P23" s="195">
        <v>0.98499999999999999</v>
      </c>
      <c r="Q23" s="195">
        <v>0.97399999999999998</v>
      </c>
      <c r="R23" s="196">
        <v>0.99</v>
      </c>
      <c r="S23" s="197">
        <v>0.97460000000000002</v>
      </c>
      <c r="T23" s="198">
        <v>1.4999999999999999E-2</v>
      </c>
      <c r="U23" s="197">
        <v>0</v>
      </c>
      <c r="V23" s="198">
        <v>0</v>
      </c>
      <c r="W23" s="197">
        <v>0</v>
      </c>
      <c r="X23" s="199">
        <f t="shared" si="0"/>
        <v>2.3803983696042974E-2</v>
      </c>
    </row>
    <row r="24" spans="1:24">
      <c r="A24" s="189" t="s">
        <v>9</v>
      </c>
      <c r="B24" s="190" t="s">
        <v>61</v>
      </c>
      <c r="C24" s="190">
        <v>10</v>
      </c>
      <c r="D24" s="191">
        <v>12</v>
      </c>
      <c r="E24" s="192">
        <v>43434</v>
      </c>
      <c r="F24" s="24">
        <v>1354.2107615191931</v>
      </c>
      <c r="G24" s="24">
        <f>1146594/1000</f>
        <v>1146.5940000000001</v>
      </c>
      <c r="H24" s="193">
        <v>108.1</v>
      </c>
      <c r="I24" s="194">
        <f>3.28*30</f>
        <v>98.399999999999991</v>
      </c>
      <c r="J24" s="193">
        <v>152.1</v>
      </c>
      <c r="K24" s="194">
        <f>4.42*30</f>
        <v>132.6</v>
      </c>
      <c r="L24" s="195">
        <f t="shared" si="2"/>
        <v>0.75325074535698933</v>
      </c>
      <c r="M24" s="195">
        <f t="shared" si="3"/>
        <v>0.75233291350496234</v>
      </c>
      <c r="N24" s="195">
        <f t="shared" si="4"/>
        <v>0.18808482798877682</v>
      </c>
      <c r="O24" s="195">
        <f t="shared" si="5"/>
        <v>0.15924916666666669</v>
      </c>
      <c r="P24" s="195">
        <v>0.98499999999999999</v>
      </c>
      <c r="Q24" s="195">
        <v>0.95779999999999998</v>
      </c>
      <c r="R24" s="196">
        <v>0.99</v>
      </c>
      <c r="S24" s="197">
        <v>0.99990000000000001</v>
      </c>
      <c r="T24" s="198">
        <v>1.4999999999999999E-2</v>
      </c>
      <c r="U24" s="197">
        <v>0</v>
      </c>
      <c r="V24" s="198">
        <v>0</v>
      </c>
      <c r="W24" s="197">
        <v>0</v>
      </c>
      <c r="X24" s="199">
        <f t="shared" si="0"/>
        <v>-2.5106872717300166E-2</v>
      </c>
    </row>
    <row r="25" spans="1:24">
      <c r="A25" s="189" t="s">
        <v>9</v>
      </c>
      <c r="B25" s="190" t="s">
        <v>61</v>
      </c>
      <c r="C25" s="190">
        <v>10</v>
      </c>
      <c r="D25" s="191">
        <v>12</v>
      </c>
      <c r="E25" s="192">
        <v>43465</v>
      </c>
      <c r="F25" s="24">
        <v>1139.5188115222481</v>
      </c>
      <c r="G25" s="24">
        <f>1131264/1000</f>
        <v>1131.2639999999999</v>
      </c>
      <c r="H25" s="193">
        <v>89.9</v>
      </c>
      <c r="I25" s="194">
        <v>86.18</v>
      </c>
      <c r="J25" s="193">
        <v>129.6</v>
      </c>
      <c r="K25" s="194">
        <v>121.83</v>
      </c>
      <c r="L25" s="195">
        <f t="shared" si="2"/>
        <v>0.74387338597627495</v>
      </c>
      <c r="M25" s="195">
        <f t="shared" si="3"/>
        <v>0.79396630079973196</v>
      </c>
      <c r="N25" s="195">
        <f t="shared" si="4"/>
        <v>0.15316113058094732</v>
      </c>
      <c r="O25" s="195">
        <f t="shared" si="5"/>
        <v>0.1520516129032258</v>
      </c>
      <c r="P25" s="195">
        <v>0.98499999999999999</v>
      </c>
      <c r="Q25" s="195">
        <v>0.97460000000000002</v>
      </c>
      <c r="R25" s="196">
        <v>0.99</v>
      </c>
      <c r="S25" s="197">
        <v>1</v>
      </c>
      <c r="T25" s="198">
        <v>1.4999999999999999E-2</v>
      </c>
      <c r="U25" s="197">
        <v>0</v>
      </c>
      <c r="V25" s="198">
        <v>0</v>
      </c>
      <c r="W25" s="197">
        <v>0</v>
      </c>
      <c r="X25" s="199">
        <f t="shared" si="0"/>
        <v>5.27095832567398E-2</v>
      </c>
    </row>
    <row r="26" spans="1:24">
      <c r="A26" s="189" t="s">
        <v>9</v>
      </c>
      <c r="B26" s="190" t="s">
        <v>61</v>
      </c>
      <c r="C26" s="190">
        <v>10</v>
      </c>
      <c r="D26" s="191">
        <v>12</v>
      </c>
      <c r="E26" s="192">
        <v>43496</v>
      </c>
      <c r="F26" s="24">
        <v>960.37030658035246</v>
      </c>
      <c r="G26" s="24">
        <f>1086210/1000</f>
        <v>1086.21</v>
      </c>
      <c r="H26" s="193">
        <v>79.599999999999994</v>
      </c>
      <c r="I26" s="194">
        <v>87.73</v>
      </c>
      <c r="J26" s="193">
        <v>103.2</v>
      </c>
      <c r="K26" s="194">
        <v>117.8</v>
      </c>
      <c r="L26" s="195">
        <f t="shared" si="2"/>
        <v>0.78730235393003611</v>
      </c>
      <c r="M26" s="195">
        <f t="shared" si="3"/>
        <v>0.78184760909718465</v>
      </c>
      <c r="N26" s="195">
        <f t="shared" si="4"/>
        <v>0.12908203045434846</v>
      </c>
      <c r="O26" s="195">
        <f t="shared" si="5"/>
        <v>0.14599596774193549</v>
      </c>
      <c r="P26" s="195">
        <v>0.98499999999999999</v>
      </c>
      <c r="Q26" s="195">
        <v>0.98280000000000001</v>
      </c>
      <c r="R26" s="196">
        <v>0.99</v>
      </c>
      <c r="S26" s="197">
        <v>0.98399999999999999</v>
      </c>
      <c r="T26" s="198">
        <v>1.4999999999999999E-2</v>
      </c>
      <c r="U26" s="197">
        <v>0</v>
      </c>
      <c r="V26" s="198">
        <v>0</v>
      </c>
      <c r="W26" s="197">
        <v>0</v>
      </c>
      <c r="X26" s="199">
        <f t="shared" si="0"/>
        <v>-1.0440398181894128E-2</v>
      </c>
    </row>
    <row r="27" spans="1:24">
      <c r="A27" s="189" t="s">
        <v>9</v>
      </c>
      <c r="B27" s="190" t="s">
        <v>61</v>
      </c>
      <c r="C27" s="190">
        <v>10</v>
      </c>
      <c r="D27" s="191">
        <v>12</v>
      </c>
      <c r="E27" s="192">
        <v>43524</v>
      </c>
      <c r="F27" s="24">
        <v>1257.9755536765454</v>
      </c>
      <c r="G27" s="24">
        <v>1015.398</v>
      </c>
      <c r="H27" s="193">
        <v>108.1</v>
      </c>
      <c r="I27" s="194">
        <v>91.28</v>
      </c>
      <c r="J27" s="193">
        <v>137.5</v>
      </c>
      <c r="K27" s="194">
        <v>109.48</v>
      </c>
      <c r="L27" s="195">
        <f t="shared" si="2"/>
        <v>0.77401972230521165</v>
      </c>
      <c r="M27" s="195">
        <f t="shared" si="3"/>
        <v>0.8146880917251571</v>
      </c>
      <c r="N27" s="195">
        <f t="shared" si="4"/>
        <v>0.18719874310662876</v>
      </c>
      <c r="O27" s="195">
        <f t="shared" si="5"/>
        <v>0.15110089285714284</v>
      </c>
      <c r="P27" s="195">
        <v>0.98499999999999999</v>
      </c>
      <c r="Q27" s="195">
        <v>0.94869999999999999</v>
      </c>
      <c r="R27" s="196">
        <v>0.99</v>
      </c>
      <c r="S27" s="197">
        <v>0.97789999999999999</v>
      </c>
      <c r="T27" s="198">
        <v>1.4999999999999999E-2</v>
      </c>
      <c r="U27" s="197">
        <v>0</v>
      </c>
      <c r="V27" s="198">
        <v>0</v>
      </c>
      <c r="W27" s="197">
        <v>0</v>
      </c>
      <c r="X27" s="199">
        <f t="shared" si="0"/>
        <v>1.0950126844422203E-2</v>
      </c>
    </row>
    <row r="28" spans="1:24">
      <c r="A28" s="189" t="s">
        <v>9</v>
      </c>
      <c r="B28" s="190" t="s">
        <v>61</v>
      </c>
      <c r="C28" s="190">
        <v>10</v>
      </c>
      <c r="D28" s="191">
        <v>12</v>
      </c>
      <c r="E28" s="192">
        <v>43555</v>
      </c>
      <c r="F28" s="24">
        <v>1682.4738355775567</v>
      </c>
      <c r="G28" s="24">
        <f>1635012/1000</f>
        <v>1635.0119999999999</v>
      </c>
      <c r="H28" s="193">
        <v>161.4</v>
      </c>
      <c r="I28" s="194">
        <v>156.35</v>
      </c>
      <c r="J28" s="193">
        <v>187.8</v>
      </c>
      <c r="K28" s="194">
        <v>178.04</v>
      </c>
      <c r="L28" s="195">
        <f t="shared" si="2"/>
        <v>0.75794074571607328</v>
      </c>
      <c r="M28" s="195">
        <f t="shared" si="3"/>
        <v>0.77091073078813466</v>
      </c>
      <c r="N28" s="195">
        <f t="shared" si="4"/>
        <v>0.22613895639483289</v>
      </c>
      <c r="O28" s="195">
        <f t="shared" si="5"/>
        <v>0.21975967741935482</v>
      </c>
      <c r="P28" s="195">
        <v>0.98499999999999999</v>
      </c>
      <c r="Q28" s="195">
        <v>0.99270000000000003</v>
      </c>
      <c r="R28" s="196">
        <v>0.99</v>
      </c>
      <c r="S28" s="197">
        <v>0.99509999999999998</v>
      </c>
      <c r="T28" s="198">
        <v>1.4999999999999999E-2</v>
      </c>
      <c r="U28" s="197">
        <v>0</v>
      </c>
      <c r="V28" s="198">
        <v>0</v>
      </c>
      <c r="W28" s="197">
        <v>0</v>
      </c>
      <c r="X28" s="199">
        <f t="shared" si="0"/>
        <v>2.3760627602813722E-2</v>
      </c>
    </row>
    <row r="29" spans="1:24">
      <c r="A29" s="189" t="s">
        <v>9</v>
      </c>
      <c r="B29" s="190" t="s">
        <v>61</v>
      </c>
      <c r="C29" s="190">
        <v>10</v>
      </c>
      <c r="D29" s="191">
        <v>12</v>
      </c>
      <c r="E29" s="192">
        <v>43585</v>
      </c>
      <c r="F29" s="24">
        <v>1738.1607069667216</v>
      </c>
      <c r="G29" s="24">
        <f>1577820/1000</f>
        <v>1577.82</v>
      </c>
      <c r="H29" s="193">
        <v>190.2</v>
      </c>
      <c r="I29" s="194">
        <f>5.92*30</f>
        <v>177.6</v>
      </c>
      <c r="J29" s="193">
        <v>194</v>
      </c>
      <c r="K29" s="194">
        <f>6.01*30</f>
        <v>180.29999999999998</v>
      </c>
      <c r="L29" s="195">
        <f t="shared" si="2"/>
        <v>0.75800264577194065</v>
      </c>
      <c r="M29" s="195">
        <f t="shared" si="3"/>
        <v>0.73893686719205176</v>
      </c>
      <c r="N29" s="195">
        <f t="shared" si="4"/>
        <v>0.24141120930093357</v>
      </c>
      <c r="O29" s="195">
        <f t="shared" si="5"/>
        <v>0.21914166666666665</v>
      </c>
      <c r="P29" s="195">
        <v>0.98499999999999999</v>
      </c>
      <c r="Q29" s="195">
        <v>0.9869</v>
      </c>
      <c r="R29" s="196">
        <v>0.99</v>
      </c>
      <c r="S29" s="197">
        <v>0.99239999999999995</v>
      </c>
      <c r="T29" s="198">
        <v>1.4999999999999999E-2</v>
      </c>
      <c r="U29" s="197">
        <v>3.6499999999999998E-2</v>
      </c>
      <c r="V29" s="198">
        <v>0</v>
      </c>
      <c r="W29" s="197">
        <v>0</v>
      </c>
      <c r="X29" s="199">
        <f t="shared" si="0"/>
        <v>-2.1628786323155458E-2</v>
      </c>
    </row>
    <row r="30" spans="1:24">
      <c r="A30" s="189" t="s">
        <v>9</v>
      </c>
      <c r="B30" s="190" t="s">
        <v>61</v>
      </c>
      <c r="C30" s="190">
        <v>10</v>
      </c>
      <c r="D30" s="191">
        <v>12</v>
      </c>
      <c r="E30" s="192">
        <v>43616</v>
      </c>
      <c r="F30" s="24">
        <v>1760.9831952409693</v>
      </c>
      <c r="G30" s="24">
        <f>1573734/1000</f>
        <v>1573.7339999999999</v>
      </c>
      <c r="H30" s="193">
        <v>197</v>
      </c>
      <c r="I30" s="194">
        <v>196.71</v>
      </c>
      <c r="J30" s="193">
        <v>197.7</v>
      </c>
      <c r="K30" s="194">
        <v>194.43</v>
      </c>
      <c r="L30" s="195">
        <f t="shared" si="2"/>
        <v>0.75358295321791524</v>
      </c>
      <c r="M30" s="195">
        <f t="shared" si="3"/>
        <v>0.70275842346889517</v>
      </c>
      <c r="N30" s="195">
        <f t="shared" si="4"/>
        <v>0.23669128968292599</v>
      </c>
      <c r="O30" s="195">
        <f t="shared" si="5"/>
        <v>0.21152338709677418</v>
      </c>
      <c r="P30" s="195">
        <v>0.98499999999999999</v>
      </c>
      <c r="Q30" s="195">
        <v>0.95979999999999999</v>
      </c>
      <c r="R30" s="196">
        <v>0.99</v>
      </c>
      <c r="S30" s="197">
        <v>0.98570000000000002</v>
      </c>
      <c r="T30" s="198">
        <v>1.4999999999999999E-2</v>
      </c>
      <c r="U30" s="197">
        <v>3.6499999999999998E-2</v>
      </c>
      <c r="V30" s="198">
        <v>0</v>
      </c>
      <c r="W30" s="197">
        <v>0</v>
      </c>
      <c r="X30" s="199">
        <f t="shared" si="0"/>
        <v>-8.9791975022978754E-2</v>
      </c>
    </row>
    <row r="31" spans="1:24">
      <c r="A31" s="189" t="s">
        <v>9</v>
      </c>
      <c r="B31" s="190" t="s">
        <v>61</v>
      </c>
      <c r="C31" s="190">
        <v>10</v>
      </c>
      <c r="D31" s="191">
        <v>12</v>
      </c>
      <c r="E31" s="192">
        <v>43646</v>
      </c>
      <c r="F31" s="24">
        <v>1583.8806862328054</v>
      </c>
      <c r="G31" s="24">
        <f>1637196/1000</f>
        <v>1637.1959999999999</v>
      </c>
      <c r="H31" s="193">
        <v>178.9</v>
      </c>
      <c r="I31" s="194">
        <v>194.1</v>
      </c>
      <c r="J31" s="193">
        <v>177.2</v>
      </c>
      <c r="K31" s="194">
        <v>189.29999999999998</v>
      </c>
      <c r="L31" s="195">
        <f t="shared" si="2"/>
        <v>0.75620800257856058</v>
      </c>
      <c r="M31" s="195">
        <f t="shared" si="3"/>
        <v>0.72398163632808288</v>
      </c>
      <c r="N31" s="195">
        <f t="shared" si="4"/>
        <v>0.21998342864344517</v>
      </c>
      <c r="O31" s="195">
        <f t="shared" si="5"/>
        <v>0.2273883333333333</v>
      </c>
      <c r="P31" s="195">
        <v>0.98499999999999999</v>
      </c>
      <c r="Q31" s="195">
        <v>0.99550000000000005</v>
      </c>
      <c r="R31" s="196">
        <v>0.99</v>
      </c>
      <c r="S31" s="197">
        <v>0.99809999999999999</v>
      </c>
      <c r="T31" s="198">
        <v>1.4999999999999999E-2</v>
      </c>
      <c r="U31" s="197">
        <v>3.6499999999999998E-2</v>
      </c>
      <c r="V31" s="198">
        <v>0</v>
      </c>
      <c r="W31" s="197">
        <v>0</v>
      </c>
      <c r="X31" s="199">
        <f t="shared" si="0"/>
        <v>-3.4623231190493708E-2</v>
      </c>
    </row>
    <row r="32" spans="1:24">
      <c r="A32" s="189" t="s">
        <v>9</v>
      </c>
      <c r="B32" s="190" t="s">
        <v>61</v>
      </c>
      <c r="C32" s="190">
        <v>10</v>
      </c>
      <c r="D32" s="191">
        <v>12</v>
      </c>
      <c r="E32" s="192">
        <v>43677</v>
      </c>
      <c r="F32" s="24">
        <v>1404.952378162702</v>
      </c>
      <c r="G32" s="24">
        <v>1272.492</v>
      </c>
      <c r="H32" s="193">
        <v>155.5</v>
      </c>
      <c r="I32" s="194">
        <v>145</v>
      </c>
      <c r="J32" s="193">
        <v>154.6</v>
      </c>
      <c r="K32" s="194">
        <v>142</v>
      </c>
      <c r="L32" s="195">
        <f t="shared" si="2"/>
        <v>0.76883764124803389</v>
      </c>
      <c r="M32" s="195">
        <f t="shared" si="3"/>
        <v>0.77869406218331894</v>
      </c>
      <c r="N32" s="195">
        <f t="shared" si="4"/>
        <v>0.18883768523692229</v>
      </c>
      <c r="O32" s="195">
        <f t="shared" si="5"/>
        <v>0.17103387096774195</v>
      </c>
      <c r="P32" s="195">
        <v>0.98499999999999999</v>
      </c>
      <c r="Q32" s="195">
        <v>0.95899999999999996</v>
      </c>
      <c r="R32" s="196">
        <v>0.99</v>
      </c>
      <c r="S32" s="197">
        <v>0.98199999999999998</v>
      </c>
      <c r="T32" s="198">
        <v>1.4999999999999999E-2</v>
      </c>
      <c r="U32" s="197">
        <v>1.0200000000000001E-2</v>
      </c>
      <c r="V32" s="198">
        <v>0</v>
      </c>
      <c r="W32" s="197">
        <v>0</v>
      </c>
      <c r="X32" s="199">
        <f t="shared" si="0"/>
        <v>-1.2780398008814586E-2</v>
      </c>
    </row>
    <row r="33" spans="1:24">
      <c r="A33" s="189" t="s">
        <v>9</v>
      </c>
      <c r="B33" s="190" t="s">
        <v>61</v>
      </c>
      <c r="C33" s="190">
        <v>10</v>
      </c>
      <c r="D33" s="191">
        <v>12</v>
      </c>
      <c r="E33" s="192">
        <v>43708</v>
      </c>
      <c r="F33" s="24">
        <v>1334.6591142780183</v>
      </c>
      <c r="G33" s="24">
        <f>1262502/1000</f>
        <v>1262.502</v>
      </c>
      <c r="H33" s="193">
        <v>145.4</v>
      </c>
      <c r="I33" s="194">
        <v>141</v>
      </c>
      <c r="J33" s="193">
        <v>146.30000000000001</v>
      </c>
      <c r="K33" s="194">
        <v>142</v>
      </c>
      <c r="L33" s="195">
        <f t="shared" si="2"/>
        <v>0.7718067169990146</v>
      </c>
      <c r="M33" s="195">
        <f t="shared" si="3"/>
        <v>0.77169558335325994</v>
      </c>
      <c r="N33" s="195">
        <f t="shared" si="4"/>
        <v>0.17938966589758309</v>
      </c>
      <c r="O33" s="195">
        <f t="shared" si="5"/>
        <v>0.16969112903225808</v>
      </c>
      <c r="P33" s="195">
        <v>0.98499999999999999</v>
      </c>
      <c r="Q33" s="195">
        <v>0.96009999999999995</v>
      </c>
      <c r="R33" s="196">
        <v>0.99</v>
      </c>
      <c r="S33" s="197">
        <v>0.98019999999999996</v>
      </c>
      <c r="T33" s="198">
        <v>1.4999999999999999E-2</v>
      </c>
      <c r="U33" s="197">
        <v>8.9999999999999993E-3</v>
      </c>
      <c r="V33" s="198">
        <v>0</v>
      </c>
      <c r="W33" s="197">
        <v>0</v>
      </c>
      <c r="X33" s="199">
        <f t="shared" si="0"/>
        <v>-2.4672416894735982E-2</v>
      </c>
    </row>
    <row r="34" spans="1:24">
      <c r="A34" s="189" t="s">
        <v>9</v>
      </c>
      <c r="B34" s="190" t="s">
        <v>61</v>
      </c>
      <c r="C34" s="190">
        <v>10</v>
      </c>
      <c r="D34" s="191">
        <v>12</v>
      </c>
      <c r="E34" s="192">
        <v>43738</v>
      </c>
      <c r="F34" s="24">
        <v>1328.2688175612288</v>
      </c>
      <c r="G34" s="24">
        <f>1304826/1000</f>
        <v>1304.826</v>
      </c>
      <c r="H34" s="193">
        <v>141.6</v>
      </c>
      <c r="I34" s="194">
        <v>143</v>
      </c>
      <c r="J34" s="193">
        <v>145.5</v>
      </c>
      <c r="K34" s="194">
        <v>152</v>
      </c>
      <c r="L34" s="195">
        <f t="shared" si="2"/>
        <v>0.77233462857014956</v>
      </c>
      <c r="M34" s="195">
        <f t="shared" si="3"/>
        <v>0.72486080816592102</v>
      </c>
      <c r="N34" s="195">
        <f t="shared" si="4"/>
        <v>0.18448178021683731</v>
      </c>
      <c r="O34" s="195">
        <f t="shared" si="5"/>
        <v>0.18122583333333334</v>
      </c>
      <c r="P34" s="195">
        <v>0.98499999999999999</v>
      </c>
      <c r="Q34" s="195">
        <v>0.9869</v>
      </c>
      <c r="R34" s="196">
        <v>0.99</v>
      </c>
      <c r="S34" s="197">
        <v>0.99790000000000001</v>
      </c>
      <c r="T34" s="198">
        <v>1.4999999999999999E-2</v>
      </c>
      <c r="U34" s="197">
        <v>1.46E-2</v>
      </c>
      <c r="V34" s="198">
        <v>0</v>
      </c>
      <c r="W34" s="197">
        <v>0</v>
      </c>
      <c r="X34" s="199">
        <f t="shared" si="0"/>
        <v>-6.2322690994330743E-2</v>
      </c>
    </row>
    <row r="35" spans="1:24">
      <c r="A35" s="189" t="s">
        <v>9</v>
      </c>
      <c r="B35" s="190" t="s">
        <v>61</v>
      </c>
      <c r="C35" s="190">
        <v>10</v>
      </c>
      <c r="D35" s="191">
        <v>12</v>
      </c>
      <c r="E35" s="192">
        <v>43769</v>
      </c>
      <c r="F35" s="24">
        <v>1519.0648195339418</v>
      </c>
      <c r="G35" s="24">
        <f>1252716/1000</f>
        <v>1252.7159999999999</v>
      </c>
      <c r="H35" s="193">
        <v>139.1</v>
      </c>
      <c r="I35" s="194">
        <v>126.48</v>
      </c>
      <c r="J35" s="193">
        <v>172.2</v>
      </c>
      <c r="K35" s="194">
        <v>152.82999999999998</v>
      </c>
      <c r="L35" s="195">
        <f t="shared" si="2"/>
        <v>0.74632103480878575</v>
      </c>
      <c r="M35" s="195">
        <f t="shared" si="3"/>
        <v>0.7172804283666081</v>
      </c>
      <c r="N35" s="195">
        <f t="shared" si="4"/>
        <v>0.20417537896961582</v>
      </c>
      <c r="O35" s="195">
        <f t="shared" si="5"/>
        <v>0.16837580645161287</v>
      </c>
      <c r="P35" s="195">
        <v>0.98499999999999999</v>
      </c>
      <c r="Q35" s="195">
        <v>0.95230000000000004</v>
      </c>
      <c r="R35" s="196">
        <v>0.99</v>
      </c>
      <c r="S35" s="197">
        <v>0.98880000000000001</v>
      </c>
      <c r="T35" s="198">
        <v>1.4999999999999999E-2</v>
      </c>
      <c r="U35" s="197">
        <v>2.3400000000000001E-2</v>
      </c>
      <c r="V35" s="198">
        <v>0</v>
      </c>
      <c r="W35" s="197">
        <v>0</v>
      </c>
      <c r="X35" s="199">
        <f t="shared" si="0"/>
        <v>-6.2851880904097657E-2</v>
      </c>
    </row>
    <row r="36" spans="1:24">
      <c r="A36" s="189" t="s">
        <v>9</v>
      </c>
      <c r="B36" s="190" t="s">
        <v>61</v>
      </c>
      <c r="C36" s="190">
        <v>10</v>
      </c>
      <c r="D36" s="191">
        <v>12</v>
      </c>
      <c r="E36" s="192">
        <v>43799</v>
      </c>
      <c r="F36" s="24">
        <v>1347.4397077115971</v>
      </c>
      <c r="G36" s="24">
        <f>1097586/1000</f>
        <v>1097.586</v>
      </c>
      <c r="H36" s="193">
        <v>108.1</v>
      </c>
      <c r="I36" s="194">
        <v>96.3</v>
      </c>
      <c r="J36" s="193">
        <v>152.1</v>
      </c>
      <c r="K36" s="194">
        <v>130.80000000000001</v>
      </c>
      <c r="L36" s="195">
        <f t="shared" si="2"/>
        <v>0.74948449163020425</v>
      </c>
      <c r="M36" s="195">
        <f t="shared" si="3"/>
        <v>0.70159277910683238</v>
      </c>
      <c r="N36" s="195">
        <f t="shared" si="4"/>
        <v>0.18714440384883291</v>
      </c>
      <c r="O36" s="195">
        <f t="shared" si="5"/>
        <v>0.15244250000000001</v>
      </c>
      <c r="P36" s="195">
        <v>0.98499999999999999</v>
      </c>
      <c r="Q36" s="195">
        <v>0.99670000000000003</v>
      </c>
      <c r="R36" s="196">
        <v>0.99</v>
      </c>
      <c r="S36" s="197">
        <v>1</v>
      </c>
      <c r="T36" s="198">
        <v>1.4999999999999999E-2</v>
      </c>
      <c r="U36" s="197">
        <v>3.3700000000000001E-2</v>
      </c>
      <c r="V36" s="198">
        <v>0</v>
      </c>
      <c r="W36" s="197">
        <v>0</v>
      </c>
      <c r="X36" s="199">
        <f t="shared" si="0"/>
        <v>-4.5389040297539984E-2</v>
      </c>
    </row>
    <row r="37" spans="1:24">
      <c r="A37" s="189" t="s">
        <v>9</v>
      </c>
      <c r="B37" s="190" t="s">
        <v>61</v>
      </c>
      <c r="C37" s="190">
        <v>10</v>
      </c>
      <c r="D37" s="191">
        <v>12</v>
      </c>
      <c r="E37" s="192">
        <v>43830</v>
      </c>
      <c r="F37" s="24">
        <v>1133.8212174646367</v>
      </c>
      <c r="G37" s="24">
        <f>825690/1000</f>
        <v>825.69</v>
      </c>
      <c r="H37" s="193">
        <v>89.9</v>
      </c>
      <c r="I37" s="194">
        <v>67.89</v>
      </c>
      <c r="J37" s="193">
        <v>129.6</v>
      </c>
      <c r="K37" s="194">
        <v>95.48</v>
      </c>
      <c r="L37" s="195">
        <f t="shared" si="2"/>
        <v>0.74015401904639333</v>
      </c>
      <c r="M37" s="195">
        <f t="shared" si="3"/>
        <v>0.7339324812196697</v>
      </c>
      <c r="N37" s="195">
        <f t="shared" si="4"/>
        <v>0.15239532492804256</v>
      </c>
      <c r="O37" s="195">
        <f t="shared" si="5"/>
        <v>0.11097983870967743</v>
      </c>
      <c r="P37" s="195">
        <v>0.98499999999999999</v>
      </c>
      <c r="Q37" s="195">
        <v>0.9819</v>
      </c>
      <c r="R37" s="196">
        <v>0.99</v>
      </c>
      <c r="S37" s="197">
        <v>0.99870000000000003</v>
      </c>
      <c r="T37" s="198">
        <v>1.4999999999999999E-2</v>
      </c>
      <c r="U37" s="197">
        <v>3.1899999999999998E-2</v>
      </c>
      <c r="V37" s="198">
        <v>0</v>
      </c>
      <c r="W37" s="197">
        <v>0</v>
      </c>
      <c r="X37" s="199">
        <f t="shared" si="0"/>
        <v>-8.4918906802492478E-3</v>
      </c>
    </row>
    <row r="38" spans="1:24">
      <c r="A38" s="189" t="s">
        <v>9</v>
      </c>
      <c r="B38" s="190" t="s">
        <v>61</v>
      </c>
      <c r="C38" s="190">
        <v>10</v>
      </c>
      <c r="D38" s="191">
        <v>12</v>
      </c>
      <c r="E38" s="192">
        <v>43861</v>
      </c>
      <c r="F38" s="24">
        <v>955.56845504745058</v>
      </c>
      <c r="G38" s="24">
        <f>815004/1000</f>
        <v>815.00400000000002</v>
      </c>
      <c r="H38" s="193">
        <v>79.599999999999994</v>
      </c>
      <c r="I38" s="194">
        <v>73.099999999999994</v>
      </c>
      <c r="J38" s="193">
        <v>103.2</v>
      </c>
      <c r="K38" s="194">
        <v>98.13</v>
      </c>
      <c r="L38" s="195">
        <f t="shared" si="2"/>
        <v>0.78336584216038596</v>
      </c>
      <c r="M38" s="195">
        <f t="shared" si="3"/>
        <v>0.75607658271953393</v>
      </c>
      <c r="N38" s="195">
        <f t="shared" si="4"/>
        <v>0.1284366203020767</v>
      </c>
      <c r="O38" s="195">
        <f t="shared" si="5"/>
        <v>0.10954354838709676</v>
      </c>
      <c r="P38" s="195">
        <v>0.98499999999999999</v>
      </c>
      <c r="Q38" s="195">
        <v>0.91539999999999999</v>
      </c>
      <c r="R38" s="196">
        <v>0.99</v>
      </c>
      <c r="S38" s="197">
        <v>0.98850000000000005</v>
      </c>
      <c r="T38" s="198">
        <v>1.4999999999999999E-2</v>
      </c>
      <c r="U38" s="197">
        <v>0</v>
      </c>
      <c r="V38" s="198">
        <v>0</v>
      </c>
      <c r="W38" s="197">
        <v>0</v>
      </c>
      <c r="X38" s="199">
        <f t="shared" si="0"/>
        <v>-9.7972443924301933E-2</v>
      </c>
    </row>
    <row r="39" spans="1:24">
      <c r="A39" s="189" t="s">
        <v>9</v>
      </c>
      <c r="B39" s="190" t="s">
        <v>61</v>
      </c>
      <c r="C39" s="190">
        <v>10</v>
      </c>
      <c r="D39" s="191">
        <v>12</v>
      </c>
      <c r="E39" s="192">
        <v>43890</v>
      </c>
      <c r="F39" s="24">
        <v>1251.6856759081627</v>
      </c>
      <c r="G39" s="24">
        <f>1281138/1000</f>
        <v>1281.1379999999999</v>
      </c>
      <c r="H39" s="193">
        <v>108.1</v>
      </c>
      <c r="I39" s="194">
        <v>114.84</v>
      </c>
      <c r="J39" s="193">
        <v>137.5</v>
      </c>
      <c r="K39" s="194">
        <v>149.35</v>
      </c>
      <c r="L39" s="195">
        <f t="shared" si="2"/>
        <v>0.77014962369368567</v>
      </c>
      <c r="M39" s="195">
        <f t="shared" si="3"/>
        <v>0.7179280682629986</v>
      </c>
      <c r="N39" s="195">
        <f t="shared" si="4"/>
        <v>0.1798398959638165</v>
      </c>
      <c r="O39" s="195">
        <f t="shared" si="5"/>
        <v>0.18407155172413794</v>
      </c>
      <c r="P39" s="195">
        <v>0.98499999999999999</v>
      </c>
      <c r="Q39" s="195">
        <v>0.99570000000000003</v>
      </c>
      <c r="R39" s="196">
        <v>0.99</v>
      </c>
      <c r="S39" s="197">
        <v>0.99939999999999996</v>
      </c>
      <c r="T39" s="198">
        <v>1.4999999999999999E-2</v>
      </c>
      <c r="U39" s="197">
        <v>0</v>
      </c>
      <c r="V39" s="198">
        <v>0</v>
      </c>
      <c r="W39" s="197">
        <v>0</v>
      </c>
      <c r="X39" s="199">
        <f t="shared" si="0"/>
        <v>-6.265169024417272E-2</v>
      </c>
    </row>
    <row r="40" spans="1:24">
      <c r="A40" s="189" t="s">
        <v>9</v>
      </c>
      <c r="B40" s="190" t="s">
        <v>61</v>
      </c>
      <c r="C40" s="190">
        <v>10</v>
      </c>
      <c r="D40" s="191">
        <v>12</v>
      </c>
      <c r="E40" s="192">
        <v>43921</v>
      </c>
      <c r="F40" s="24">
        <v>1674.0614663996689</v>
      </c>
      <c r="G40" s="24">
        <f>1494312/1000</f>
        <v>1494.3119999999999</v>
      </c>
      <c r="H40" s="193">
        <v>161.4</v>
      </c>
      <c r="I40" s="194">
        <v>152.19999999999999</v>
      </c>
      <c r="J40" s="193">
        <v>187.8</v>
      </c>
      <c r="K40" s="194">
        <v>172.5</v>
      </c>
      <c r="L40" s="195">
        <f t="shared" si="2"/>
        <v>0.75415104198749294</v>
      </c>
      <c r="M40" s="195">
        <f t="shared" si="3"/>
        <v>0.75701536815484871</v>
      </c>
      <c r="N40" s="195">
        <f t="shared" si="4"/>
        <v>0.22500826161285875</v>
      </c>
      <c r="O40" s="195">
        <f t="shared" si="5"/>
        <v>0.20084838709677419</v>
      </c>
      <c r="P40" s="195">
        <v>0.98499999999999999</v>
      </c>
      <c r="Q40" s="195">
        <v>0.9536</v>
      </c>
      <c r="R40" s="196">
        <v>0.99</v>
      </c>
      <c r="S40" s="197">
        <v>0.98780000000000001</v>
      </c>
      <c r="T40" s="198">
        <v>1.4999999999999999E-2</v>
      </c>
      <c r="U40" s="197">
        <v>0</v>
      </c>
      <c r="V40" s="198">
        <v>0</v>
      </c>
      <c r="W40" s="197">
        <v>0</v>
      </c>
      <c r="X40" s="199">
        <f t="shared" si="0"/>
        <v>-2.5903628947185897E-2</v>
      </c>
    </row>
    <row r="41" spans="1:24">
      <c r="A41" s="189" t="s">
        <v>9</v>
      </c>
      <c r="B41" s="190" t="s">
        <v>61</v>
      </c>
      <c r="C41" s="190">
        <v>10</v>
      </c>
      <c r="D41" s="191">
        <v>12</v>
      </c>
      <c r="E41" s="192">
        <v>43951</v>
      </c>
      <c r="F41" s="24">
        <v>1729.4699034318878</v>
      </c>
      <c r="G41" s="24">
        <f>1541622/1000</f>
        <v>1541.6220000000001</v>
      </c>
      <c r="H41" s="193">
        <v>190.2</v>
      </c>
      <c r="I41" s="194">
        <v>178.20000000000002</v>
      </c>
      <c r="J41" s="193">
        <v>194</v>
      </c>
      <c r="K41" s="194">
        <v>177.89999999999998</v>
      </c>
      <c r="L41" s="195">
        <f t="shared" si="2"/>
        <v>0.75421263254308091</v>
      </c>
      <c r="M41" s="195">
        <f t="shared" si="3"/>
        <v>0.72649782902021476</v>
      </c>
      <c r="N41" s="195">
        <f t="shared" si="4"/>
        <v>0.24020415325442887</v>
      </c>
      <c r="O41" s="195">
        <f t="shared" si="5"/>
        <v>0.21411416666666669</v>
      </c>
      <c r="P41" s="195">
        <v>0.98499999999999999</v>
      </c>
      <c r="Q41" s="195">
        <v>0.99399999999999999</v>
      </c>
      <c r="R41" s="196">
        <v>0.99</v>
      </c>
      <c r="S41" s="197">
        <v>0.999</v>
      </c>
      <c r="T41" s="198">
        <v>1.4999999999999999E-2</v>
      </c>
      <c r="U41" s="197">
        <v>0</v>
      </c>
      <c r="V41" s="198">
        <v>0</v>
      </c>
      <c r="W41" s="197">
        <v>0</v>
      </c>
      <c r="X41" s="199">
        <f t="shared" si="0"/>
        <v>-2.5626193867686164E-2</v>
      </c>
    </row>
    <row r="42" spans="1:24">
      <c r="A42" s="189" t="s">
        <v>9</v>
      </c>
      <c r="B42" s="190" t="s">
        <v>61</v>
      </c>
      <c r="C42" s="190">
        <v>10</v>
      </c>
      <c r="D42" s="191">
        <v>12</v>
      </c>
      <c r="E42" s="192">
        <v>43982</v>
      </c>
      <c r="F42" s="24">
        <v>1752.1782792647641</v>
      </c>
      <c r="G42" s="24">
        <f>1583364/1000</f>
        <v>1583.364</v>
      </c>
      <c r="H42" s="193">
        <v>197</v>
      </c>
      <c r="I42" s="194">
        <v>192.51</v>
      </c>
      <c r="J42" s="193">
        <v>197.7</v>
      </c>
      <c r="K42" s="194">
        <v>190.03</v>
      </c>
      <c r="L42" s="195">
        <f t="shared" si="2"/>
        <v>0.74981503845182551</v>
      </c>
      <c r="M42" s="195">
        <f t="shared" si="3"/>
        <v>0.72660973294362297</v>
      </c>
      <c r="N42" s="195">
        <f t="shared" si="4"/>
        <v>0.2355078332345113</v>
      </c>
      <c r="O42" s="195">
        <f t="shared" si="5"/>
        <v>0.21281774193548389</v>
      </c>
      <c r="P42" s="195">
        <v>0.98499999999999999</v>
      </c>
      <c r="Q42" s="195">
        <v>0.9556</v>
      </c>
      <c r="R42" s="196">
        <v>0.99</v>
      </c>
      <c r="S42" s="197">
        <v>0.98860000000000003</v>
      </c>
      <c r="T42" s="198">
        <v>1.4999999999999999E-2</v>
      </c>
      <c r="U42" s="197">
        <v>0</v>
      </c>
      <c r="V42" s="198">
        <v>0</v>
      </c>
      <c r="W42" s="197">
        <v>0</v>
      </c>
      <c r="X42" s="199">
        <f t="shared" si="0"/>
        <v>-5.7549222565444147E-2</v>
      </c>
    </row>
    <row r="43" spans="1:24">
      <c r="A43" s="189" t="s">
        <v>9</v>
      </c>
      <c r="B43" s="190" t="s">
        <v>61</v>
      </c>
      <c r="C43" s="190">
        <v>10</v>
      </c>
      <c r="D43" s="191">
        <v>12</v>
      </c>
      <c r="E43" s="192">
        <v>44012</v>
      </c>
      <c r="F43" s="24">
        <v>1575.9612828016416</v>
      </c>
      <c r="G43" s="24">
        <f>1580274/1000</f>
        <v>1580.2739999999999</v>
      </c>
      <c r="H43" s="193">
        <v>178.9</v>
      </c>
      <c r="I43" s="194">
        <v>188.75</v>
      </c>
      <c r="J43" s="193">
        <v>177.2</v>
      </c>
      <c r="K43" s="194">
        <v>184.28</v>
      </c>
      <c r="L43" s="195">
        <f t="shared" si="2"/>
        <v>0.75242696256566788</v>
      </c>
      <c r="M43" s="195">
        <f t="shared" si="3"/>
        <v>0.72344234125618401</v>
      </c>
      <c r="N43" s="195">
        <f t="shared" si="4"/>
        <v>0.21888351150022797</v>
      </c>
      <c r="O43" s="195">
        <f t="shared" si="5"/>
        <v>0.21948249999999997</v>
      </c>
      <c r="P43" s="195">
        <v>0.98499999999999999</v>
      </c>
      <c r="Q43" s="195">
        <v>0.98780000000000001</v>
      </c>
      <c r="R43" s="196">
        <v>0.99</v>
      </c>
      <c r="S43" s="197">
        <v>0.99850000000000005</v>
      </c>
      <c r="T43" s="198">
        <v>1.4999999999999999E-2</v>
      </c>
      <c r="U43" s="197">
        <v>0</v>
      </c>
      <c r="V43" s="198">
        <v>0</v>
      </c>
      <c r="W43" s="197">
        <v>0</v>
      </c>
      <c r="X43" s="199">
        <f t="shared" si="0"/>
        <v>-3.7218290360442774E-2</v>
      </c>
    </row>
    <row r="44" spans="1:24">
      <c r="A44" s="189" t="s">
        <v>9</v>
      </c>
      <c r="B44" s="190" t="s">
        <v>61</v>
      </c>
      <c r="C44" s="190">
        <v>10</v>
      </c>
      <c r="D44" s="191">
        <v>12</v>
      </c>
      <c r="E44" s="192">
        <v>44043</v>
      </c>
      <c r="F44" s="24">
        <v>1397.9276162718886</v>
      </c>
      <c r="G44" s="24">
        <f>1333482/1000</f>
        <v>1333.482</v>
      </c>
      <c r="H44" s="193">
        <v>155.5</v>
      </c>
      <c r="I44" s="194">
        <v>156.01999999999998</v>
      </c>
      <c r="J44" s="193">
        <v>154.6</v>
      </c>
      <c r="K44" s="194">
        <v>153.03000000000006</v>
      </c>
      <c r="L44" s="195">
        <f t="shared" si="2"/>
        <v>0.76499345304179378</v>
      </c>
      <c r="M44" s="195">
        <f t="shared" si="3"/>
        <v>0.77415245446389447</v>
      </c>
      <c r="N44" s="195">
        <f t="shared" si="4"/>
        <v>0.18789349681073772</v>
      </c>
      <c r="O44" s="195">
        <f t="shared" si="5"/>
        <v>0.17923145161290321</v>
      </c>
      <c r="P44" s="195">
        <v>0.98499999999999999</v>
      </c>
      <c r="Q44" s="195">
        <v>0.93799999999999994</v>
      </c>
      <c r="R44" s="196">
        <v>0.99</v>
      </c>
      <c r="S44" s="197">
        <v>0.98960000000000004</v>
      </c>
      <c r="T44" s="198">
        <v>1.4999999999999999E-2</v>
      </c>
      <c r="U44" s="197">
        <v>0</v>
      </c>
      <c r="V44" s="198">
        <v>0</v>
      </c>
      <c r="W44" s="197">
        <v>0</v>
      </c>
      <c r="X44" s="199">
        <f t="shared" si="0"/>
        <v>-3.5945585580761774E-2</v>
      </c>
    </row>
    <row r="45" spans="1:24">
      <c r="A45" s="189" t="s">
        <v>9</v>
      </c>
      <c r="B45" s="190" t="s">
        <v>61</v>
      </c>
      <c r="C45" s="190">
        <v>10</v>
      </c>
      <c r="D45" s="191">
        <v>12</v>
      </c>
      <c r="E45" s="192">
        <v>44074</v>
      </c>
      <c r="F45" s="24">
        <v>1327.9858187066282</v>
      </c>
      <c r="G45" s="24">
        <v>1166.8320000000001</v>
      </c>
      <c r="H45" s="193">
        <v>145.4</v>
      </c>
      <c r="I45" s="194">
        <v>135.93</v>
      </c>
      <c r="J45" s="193">
        <v>146.30000000000001</v>
      </c>
      <c r="K45" s="194">
        <v>136.41999999999999</v>
      </c>
      <c r="L45" s="195">
        <f t="shared" si="2"/>
        <v>0.76794768341401964</v>
      </c>
      <c r="M45" s="195">
        <f t="shared" si="3"/>
        <v>0.75980107520806983</v>
      </c>
      <c r="N45" s="195">
        <f t="shared" si="4"/>
        <v>0.17849271756809518</v>
      </c>
      <c r="O45" s="195">
        <f t="shared" si="5"/>
        <v>0.15683225806451612</v>
      </c>
      <c r="P45" s="195">
        <v>0.98499999999999999</v>
      </c>
      <c r="Q45" s="195">
        <v>0.93810000000000004</v>
      </c>
      <c r="R45" s="196">
        <v>0.99</v>
      </c>
      <c r="S45" s="197">
        <v>0.99860000000000004</v>
      </c>
      <c r="T45" s="198">
        <v>1.4999999999999999E-2</v>
      </c>
      <c r="U45" s="197">
        <v>0</v>
      </c>
      <c r="V45" s="198">
        <v>0</v>
      </c>
      <c r="W45" s="197">
        <v>0</v>
      </c>
      <c r="X45" s="199">
        <f t="shared" si="0"/>
        <v>-5.3819595446323309E-2</v>
      </c>
    </row>
    <row r="46" spans="1:24">
      <c r="A46" s="189" t="s">
        <v>9</v>
      </c>
      <c r="B46" s="190" t="s">
        <v>61</v>
      </c>
      <c r="C46" s="190">
        <v>10</v>
      </c>
      <c r="D46" s="191">
        <v>12</v>
      </c>
      <c r="E46" s="192">
        <v>44104</v>
      </c>
      <c r="F46" s="24">
        <v>1321.6274734734229</v>
      </c>
      <c r="G46" s="24">
        <f>1335456/1000</f>
        <v>1335.4559999999999</v>
      </c>
      <c r="H46" s="193">
        <v>141.6</v>
      </c>
      <c r="I46" s="194">
        <v>146.83000000000001</v>
      </c>
      <c r="J46" s="193">
        <v>145.5</v>
      </c>
      <c r="K46" s="194">
        <v>157.63999999999999</v>
      </c>
      <c r="L46" s="195">
        <f t="shared" si="2"/>
        <v>0.76847295542729899</v>
      </c>
      <c r="M46" s="195">
        <f t="shared" si="3"/>
        <v>0.71475443309211817</v>
      </c>
      <c r="N46" s="195">
        <f t="shared" si="4"/>
        <v>0.1835593713157532</v>
      </c>
      <c r="O46" s="195">
        <f t="shared" si="5"/>
        <v>0.18548000000000001</v>
      </c>
      <c r="P46" s="195">
        <v>0.98499999999999999</v>
      </c>
      <c r="Q46" s="195">
        <v>0.98770000000000002</v>
      </c>
      <c r="R46" s="196">
        <v>0.99</v>
      </c>
      <c r="S46" s="197">
        <v>0.99429999999999996</v>
      </c>
      <c r="T46" s="198">
        <v>1.4999999999999999E-2</v>
      </c>
      <c r="U46" s="197">
        <v>0</v>
      </c>
      <c r="V46" s="198">
        <v>0</v>
      </c>
      <c r="W46" s="197">
        <v>0</v>
      </c>
      <c r="X46" s="199">
        <f t="shared" si="0"/>
        <v>-7.2973170166026557E-2</v>
      </c>
    </row>
    <row r="47" spans="1:24">
      <c r="A47" s="189" t="s">
        <v>9</v>
      </c>
      <c r="B47" s="190" t="s">
        <v>61</v>
      </c>
      <c r="C47" s="190">
        <v>10</v>
      </c>
      <c r="D47" s="191">
        <v>12</v>
      </c>
      <c r="E47" s="192">
        <v>44135</v>
      </c>
      <c r="F47" s="24">
        <v>1511.4694954362719</v>
      </c>
      <c r="G47" s="24">
        <f>1422570/1000</f>
        <v>1422.57</v>
      </c>
      <c r="H47" s="193">
        <v>139.1</v>
      </c>
      <c r="I47" s="194">
        <v>135.99</v>
      </c>
      <c r="J47" s="193">
        <v>172.2</v>
      </c>
      <c r="K47" s="194">
        <v>172.93</v>
      </c>
      <c r="L47" s="195">
        <f t="shared" si="2"/>
        <v>0.74258942963474184</v>
      </c>
      <c r="M47" s="195">
        <f t="shared" si="3"/>
        <v>0.68737896721773317</v>
      </c>
      <c r="N47" s="195">
        <f t="shared" si="4"/>
        <v>0.20315450207476773</v>
      </c>
      <c r="O47" s="195">
        <f t="shared" si="5"/>
        <v>0.19120564516129032</v>
      </c>
      <c r="P47" s="195">
        <v>0.98499999999999999</v>
      </c>
      <c r="Q47" s="195">
        <v>0.99729999999999996</v>
      </c>
      <c r="R47" s="196">
        <v>0.99</v>
      </c>
      <c r="S47" s="197">
        <v>0.99970000000000003</v>
      </c>
      <c r="T47" s="198">
        <v>1.4999999999999999E-2</v>
      </c>
      <c r="U47" s="197">
        <v>0</v>
      </c>
      <c r="V47" s="198">
        <v>0</v>
      </c>
      <c r="W47" s="197">
        <v>0</v>
      </c>
      <c r="X47" s="199">
        <f t="shared" si="0"/>
        <v>-6.3055855825465357E-2</v>
      </c>
    </row>
    <row r="48" spans="1:24">
      <c r="A48" s="189" t="s">
        <v>9</v>
      </c>
      <c r="B48" s="190" t="s">
        <v>61</v>
      </c>
      <c r="C48" s="190">
        <v>10</v>
      </c>
      <c r="D48" s="191">
        <v>12</v>
      </c>
      <c r="E48" s="192">
        <v>44165</v>
      </c>
      <c r="F48" s="24">
        <v>1340.7025091730388</v>
      </c>
      <c r="G48" s="24">
        <f>1109790/1000</f>
        <v>1109.79</v>
      </c>
      <c r="H48" s="193">
        <v>108.1</v>
      </c>
      <c r="I48" s="194">
        <v>102.51</v>
      </c>
      <c r="J48" s="193">
        <v>152.1</v>
      </c>
      <c r="K48" s="194">
        <v>140.22999999999999</v>
      </c>
      <c r="L48" s="195">
        <f t="shared" si="2"/>
        <v>0.74573706917205318</v>
      </c>
      <c r="M48" s="195">
        <f t="shared" si="3"/>
        <v>0.68813210755476006</v>
      </c>
      <c r="N48" s="195">
        <f t="shared" si="4"/>
        <v>0.18620868182958872</v>
      </c>
      <c r="O48" s="195">
        <f t="shared" si="5"/>
        <v>0.15413749999999998</v>
      </c>
      <c r="P48" s="195">
        <v>0.98499999999999999</v>
      </c>
      <c r="Q48" s="195">
        <v>0.95840000000000003</v>
      </c>
      <c r="R48" s="196">
        <v>0.99</v>
      </c>
      <c r="S48" s="197">
        <v>0.99629999999999996</v>
      </c>
      <c r="T48" s="198">
        <v>1.4999999999999999E-2</v>
      </c>
      <c r="U48" s="197">
        <v>0</v>
      </c>
      <c r="V48" s="198">
        <v>0</v>
      </c>
      <c r="W48" s="197">
        <v>0</v>
      </c>
      <c r="X48" s="199">
        <f t="shared" si="0"/>
        <v>-9.4191710687598684E-2</v>
      </c>
    </row>
    <row r="49" spans="1:24">
      <c r="A49" s="189" t="s">
        <v>9</v>
      </c>
      <c r="B49" s="190" t="s">
        <v>61</v>
      </c>
      <c r="C49" s="190">
        <v>10</v>
      </c>
      <c r="D49" s="191">
        <v>12</v>
      </c>
      <c r="E49" s="192">
        <v>44196</v>
      </c>
      <c r="F49" s="24">
        <v>1128.1521113773138</v>
      </c>
      <c r="G49" s="24">
        <f>983274/1000</f>
        <v>983.274</v>
      </c>
      <c r="H49" s="193">
        <v>89.9</v>
      </c>
      <c r="I49" s="194">
        <v>83.85</v>
      </c>
      <c r="J49" s="193">
        <v>129.6</v>
      </c>
      <c r="K49" s="194">
        <v>119.27</v>
      </c>
      <c r="L49" s="195">
        <f t="shared" si="2"/>
        <v>0.73645324895116149</v>
      </c>
      <c r="M49" s="195">
        <f t="shared" si="3"/>
        <v>0.69185142817868783</v>
      </c>
      <c r="N49" s="195">
        <f t="shared" si="4"/>
        <v>0.15163334830340239</v>
      </c>
      <c r="O49" s="195">
        <f t="shared" si="5"/>
        <v>0.13216048387096774</v>
      </c>
      <c r="P49" s="195">
        <v>0.98499999999999999</v>
      </c>
      <c r="Q49" s="195">
        <v>0.99299999999999999</v>
      </c>
      <c r="R49" s="196">
        <v>0.99</v>
      </c>
      <c r="S49" s="197">
        <v>0.99780000000000002</v>
      </c>
      <c r="T49" s="198">
        <v>1.4999999999999999E-2</v>
      </c>
      <c r="U49" s="197">
        <v>0</v>
      </c>
      <c r="V49" s="198">
        <v>0</v>
      </c>
      <c r="W49" s="197">
        <v>0</v>
      </c>
      <c r="X49" s="199">
        <f t="shared" si="0"/>
        <v>-4.8713934277296311E-2</v>
      </c>
    </row>
    <row r="50" spans="1:24">
      <c r="A50" s="189" t="s">
        <v>9</v>
      </c>
      <c r="B50" s="190" t="s">
        <v>61</v>
      </c>
      <c r="C50" s="190">
        <v>10</v>
      </c>
      <c r="D50" s="191">
        <v>12</v>
      </c>
      <c r="E50" s="192">
        <v>44227</v>
      </c>
      <c r="F50" s="24">
        <v>950.79061277221342</v>
      </c>
      <c r="G50" s="24">
        <v>766.13400000000001</v>
      </c>
      <c r="H50" s="193">
        <v>79.599999999999994</v>
      </c>
      <c r="I50" s="194">
        <v>71.559999999999988</v>
      </c>
      <c r="J50" s="193">
        <v>103.2</v>
      </c>
      <c r="K50" s="194">
        <v>93.47999999999999</v>
      </c>
      <c r="L50" s="195">
        <f t="shared" si="2"/>
        <v>0.77944901294958402</v>
      </c>
      <c r="M50" s="195">
        <f t="shared" si="3"/>
        <v>0.69769636112736133</v>
      </c>
      <c r="N50" s="195">
        <f t="shared" si="4"/>
        <v>0.12779443720056632</v>
      </c>
      <c r="O50" s="195">
        <f t="shared" si="5"/>
        <v>0.10297500000000001</v>
      </c>
      <c r="P50" s="195">
        <v>0.98499999999999999</v>
      </c>
      <c r="Q50" s="195">
        <v>0.97889999999999999</v>
      </c>
      <c r="R50" s="196">
        <v>0.99</v>
      </c>
      <c r="S50" s="197">
        <v>1</v>
      </c>
      <c r="T50" s="198">
        <v>1.4999999999999999E-2</v>
      </c>
      <c r="U50" s="197">
        <v>0</v>
      </c>
      <c r="V50" s="198">
        <v>0</v>
      </c>
      <c r="W50" s="197">
        <v>0</v>
      </c>
      <c r="X50" s="199">
        <f t="shared" si="0"/>
        <v>-0.10002770601355881</v>
      </c>
    </row>
    <row r="51" spans="1:24">
      <c r="A51" s="189" t="s">
        <v>9</v>
      </c>
      <c r="B51" s="190" t="s">
        <v>61</v>
      </c>
      <c r="C51" s="190">
        <v>10</v>
      </c>
      <c r="D51" s="191">
        <v>12</v>
      </c>
      <c r="E51" s="192">
        <v>44255</v>
      </c>
      <c r="F51" s="24">
        <v>1245.4272475286218</v>
      </c>
      <c r="G51" s="24">
        <v>1096.2239999999999</v>
      </c>
      <c r="H51" s="193">
        <v>108.1</v>
      </c>
      <c r="I51" s="194">
        <v>106.51</v>
      </c>
      <c r="J51" s="193">
        <v>137.5</v>
      </c>
      <c r="K51" s="194">
        <v>140.61000000000004</v>
      </c>
      <c r="L51" s="195">
        <f t="shared" si="2"/>
        <v>0.76629887557521725</v>
      </c>
      <c r="M51" s="195">
        <f t="shared" si="3"/>
        <v>0.72286308226138463</v>
      </c>
      <c r="N51" s="195">
        <f t="shared" si="4"/>
        <v>0.18533143564414017</v>
      </c>
      <c r="O51" s="195">
        <f t="shared" si="5"/>
        <v>0.1631285714285714</v>
      </c>
      <c r="P51" s="195">
        <v>0.98499999999999999</v>
      </c>
      <c r="Q51" s="195">
        <v>0.89876428571428579</v>
      </c>
      <c r="R51" s="196">
        <v>0.99</v>
      </c>
      <c r="S51" s="197">
        <v>1</v>
      </c>
      <c r="T51" s="198">
        <v>1.4999999999999999E-2</v>
      </c>
      <c r="U51" s="197">
        <v>0</v>
      </c>
      <c r="V51" s="198">
        <v>0</v>
      </c>
      <c r="W51" s="197">
        <v>0</v>
      </c>
      <c r="X51" s="199">
        <f t="shared" si="0"/>
        <v>-0.14241903556110047</v>
      </c>
    </row>
    <row r="52" spans="1:24">
      <c r="A52" s="189" t="s">
        <v>9</v>
      </c>
      <c r="B52" s="190" t="s">
        <v>61</v>
      </c>
      <c r="C52" s="190">
        <v>10</v>
      </c>
      <c r="D52" s="191">
        <v>12</v>
      </c>
      <c r="E52" s="192">
        <v>44286</v>
      </c>
      <c r="F52" s="24">
        <v>1665.6911590676705</v>
      </c>
      <c r="G52" s="24">
        <v>1485.7739999999999</v>
      </c>
      <c r="H52" s="193">
        <v>161.4</v>
      </c>
      <c r="I52" s="194">
        <v>155.31</v>
      </c>
      <c r="J52" s="193">
        <v>187.8</v>
      </c>
      <c r="K52" s="194">
        <v>180.7</v>
      </c>
      <c r="L52" s="195">
        <f t="shared" si="2"/>
        <v>0.75038028677755531</v>
      </c>
      <c r="M52" s="195">
        <f t="shared" si="3"/>
        <v>0.6887351227676326</v>
      </c>
      <c r="N52" s="195">
        <f t="shared" si="4"/>
        <v>0.22388322030479441</v>
      </c>
      <c r="O52" s="195">
        <f t="shared" si="5"/>
        <v>0.19970080645161289</v>
      </c>
      <c r="P52" s="195">
        <v>0.98499999999999999</v>
      </c>
      <c r="Q52" s="195">
        <v>0.99485806451612901</v>
      </c>
      <c r="R52" s="196">
        <v>0.99</v>
      </c>
      <c r="S52" s="197">
        <v>1</v>
      </c>
      <c r="T52" s="198">
        <v>1.4999999999999999E-2</v>
      </c>
      <c r="U52" s="197">
        <v>0</v>
      </c>
      <c r="V52" s="198">
        <v>0</v>
      </c>
      <c r="W52" s="197">
        <v>0</v>
      </c>
      <c r="X52" s="199">
        <f t="shared" si="0"/>
        <v>-7.020733946032387E-2</v>
      </c>
    </row>
    <row r="53" spans="1:24">
      <c r="A53" s="189" t="s">
        <v>9</v>
      </c>
      <c r="B53" s="190" t="s">
        <v>61</v>
      </c>
      <c r="C53" s="190">
        <v>10</v>
      </c>
      <c r="D53" s="191">
        <v>12</v>
      </c>
      <c r="E53" s="192">
        <v>44316</v>
      </c>
      <c r="F53" s="24">
        <v>1720.8225539147284</v>
      </c>
      <c r="G53" s="24">
        <v>1509.5219999999999</v>
      </c>
      <c r="H53" s="193">
        <v>190.2</v>
      </c>
      <c r="I53" s="194">
        <v>179.77000000000004</v>
      </c>
      <c r="J53" s="193">
        <v>194</v>
      </c>
      <c r="K53" s="194">
        <v>185.49999999999997</v>
      </c>
      <c r="L53" s="195">
        <f t="shared" si="2"/>
        <v>0.75044156938036544</v>
      </c>
      <c r="M53" s="195">
        <f t="shared" si="3"/>
        <v>0.69148404461171242</v>
      </c>
      <c r="N53" s="195">
        <f t="shared" si="4"/>
        <v>0.23900313248815674</v>
      </c>
      <c r="O53" s="195">
        <f t="shared" si="5"/>
        <v>0.20965583333333332</v>
      </c>
      <c r="P53" s="195">
        <v>0.98499999999999999</v>
      </c>
      <c r="Q53" s="195">
        <v>0.98069085</v>
      </c>
      <c r="R53" s="196">
        <v>0.99</v>
      </c>
      <c r="S53" s="197">
        <v>0.98850000000000005</v>
      </c>
      <c r="T53" s="198">
        <v>1.4999999999999999E-2</v>
      </c>
      <c r="U53" s="197">
        <v>2.1460316435409882E-2</v>
      </c>
      <c r="V53" s="198">
        <v>0</v>
      </c>
      <c r="W53" s="197">
        <v>0</v>
      </c>
      <c r="X53" s="199">
        <f t="shared" si="0"/>
        <v>-7.8976004312538373E-2</v>
      </c>
    </row>
    <row r="54" spans="1:24">
      <c r="A54" s="189" t="s">
        <v>9</v>
      </c>
      <c r="B54" s="190" t="s">
        <v>61</v>
      </c>
      <c r="C54" s="190">
        <v>10</v>
      </c>
      <c r="D54" s="191">
        <v>12</v>
      </c>
      <c r="E54" s="192">
        <v>44347</v>
      </c>
      <c r="F54" s="24">
        <v>1743.4173878684401</v>
      </c>
      <c r="G54" s="24">
        <v>1461.636</v>
      </c>
      <c r="H54" s="193">
        <v>197</v>
      </c>
      <c r="I54" s="194">
        <v>179.44</v>
      </c>
      <c r="J54" s="193">
        <v>197.7</v>
      </c>
      <c r="K54" s="194">
        <v>180.14000000000001</v>
      </c>
      <c r="L54" s="195">
        <f t="shared" si="2"/>
        <v>0.74606596325956631</v>
      </c>
      <c r="M54" s="195">
        <f t="shared" si="3"/>
        <v>0.70772182657272653</v>
      </c>
      <c r="N54" s="195">
        <f t="shared" si="4"/>
        <v>0.23433029406833872</v>
      </c>
      <c r="O54" s="195">
        <f t="shared" si="5"/>
        <v>0.1964564516129032</v>
      </c>
      <c r="P54" s="195">
        <v>0.98499999999999999</v>
      </c>
      <c r="Q54" s="195">
        <v>0.95540000000000003</v>
      </c>
      <c r="R54" s="196">
        <v>0.99</v>
      </c>
      <c r="S54" s="197">
        <v>1</v>
      </c>
      <c r="T54" s="198">
        <v>1.4999999999999999E-2</v>
      </c>
      <c r="U54" s="197">
        <v>1.0797789094995007E-2</v>
      </c>
      <c r="V54" s="198">
        <v>0</v>
      </c>
      <c r="W54" s="197">
        <v>0</v>
      </c>
      <c r="X54" s="199">
        <f t="shared" si="0"/>
        <v>-7.2804443887210746E-2</v>
      </c>
    </row>
    <row r="55" spans="1:24">
      <c r="A55" s="189" t="s">
        <v>9</v>
      </c>
      <c r="B55" s="190" t="s">
        <v>61</v>
      </c>
      <c r="C55" s="190">
        <v>10</v>
      </c>
      <c r="D55" s="191">
        <v>12</v>
      </c>
      <c r="E55" s="192">
        <v>44377</v>
      </c>
      <c r="F55" s="24">
        <v>1568.0814763876335</v>
      </c>
      <c r="G55" s="24">
        <v>1546.896</v>
      </c>
      <c r="H55" s="193">
        <v>178.9</v>
      </c>
      <c r="I55" s="194">
        <v>182.26999999999998</v>
      </c>
      <c r="J55" s="193">
        <v>177.2</v>
      </c>
      <c r="K55" s="194">
        <v>180.01999999999998</v>
      </c>
      <c r="L55" s="195">
        <f t="shared" si="2"/>
        <v>0.74866482775283971</v>
      </c>
      <c r="M55" s="195">
        <f t="shared" si="3"/>
        <v>0.72293666046429994</v>
      </c>
      <c r="N55" s="195">
        <f t="shared" si="4"/>
        <v>0.21778909394272689</v>
      </c>
      <c r="O55" s="195">
        <f t="shared" si="5"/>
        <v>0.21484666666666663</v>
      </c>
      <c r="P55" s="195">
        <v>0.98499999999999999</v>
      </c>
      <c r="Q55" s="195">
        <v>0.99051</v>
      </c>
      <c r="R55" s="196">
        <v>0.99</v>
      </c>
      <c r="S55" s="197">
        <v>1</v>
      </c>
      <c r="T55" s="198">
        <v>1.4999999999999999E-2</v>
      </c>
      <c r="U55" s="197">
        <v>1.8800000000000001E-2</v>
      </c>
      <c r="V55" s="198">
        <v>0</v>
      </c>
      <c r="W55" s="197">
        <v>0</v>
      </c>
      <c r="X55" s="199">
        <f t="shared" si="0"/>
        <v>-2.9424664844912907E-2</v>
      </c>
    </row>
    <row r="56" spans="1:24">
      <c r="A56" s="189" t="s">
        <v>9</v>
      </c>
      <c r="B56" s="190" t="s">
        <v>61</v>
      </c>
      <c r="C56" s="190">
        <v>10</v>
      </c>
      <c r="D56" s="191">
        <v>12</v>
      </c>
      <c r="E56" s="192">
        <v>44408</v>
      </c>
      <c r="F56" s="24">
        <v>1390.9379781905291</v>
      </c>
      <c r="G56" s="24">
        <f>1237806/1000</f>
        <v>1237.806</v>
      </c>
      <c r="H56" s="193">
        <v>155.5</v>
      </c>
      <c r="I56" s="194">
        <v>145.87000000000003</v>
      </c>
      <c r="J56" s="193">
        <v>154.6</v>
      </c>
      <c r="K56" s="194">
        <v>145.22999999999999</v>
      </c>
      <c r="L56" s="195">
        <f t="shared" si="2"/>
        <v>0.7611684857765848</v>
      </c>
      <c r="M56" s="195">
        <f t="shared" si="3"/>
        <v>0.72661194593658129</v>
      </c>
      <c r="N56" s="195">
        <f t="shared" si="4"/>
        <v>0.18695402932668401</v>
      </c>
      <c r="O56" s="195">
        <f t="shared" si="5"/>
        <v>0.1663717741935484</v>
      </c>
      <c r="P56" s="195">
        <v>0.98499999999999999</v>
      </c>
      <c r="Q56" s="195">
        <v>0.97749032258064528</v>
      </c>
      <c r="R56" s="196">
        <v>0.99</v>
      </c>
      <c r="S56" s="197">
        <v>1</v>
      </c>
      <c r="T56" s="198">
        <v>1.4999999999999999E-2</v>
      </c>
      <c r="U56" s="197">
        <v>9.2999999999999992E-3</v>
      </c>
      <c r="V56" s="198">
        <v>0</v>
      </c>
      <c r="W56" s="197">
        <v>0</v>
      </c>
      <c r="X56" s="199">
        <f t="shared" si="0"/>
        <v>-4.9484579109315585E-2</v>
      </c>
    </row>
    <row r="57" spans="1:24">
      <c r="A57" s="189" t="s">
        <v>9</v>
      </c>
      <c r="B57" s="190" t="s">
        <v>61</v>
      </c>
      <c r="C57" s="190">
        <v>10</v>
      </c>
      <c r="D57" s="191">
        <v>12</v>
      </c>
      <c r="E57" s="192">
        <v>44439</v>
      </c>
      <c r="F57" s="24">
        <v>1321.3458896130949</v>
      </c>
      <c r="G57" s="24">
        <v>1250.0999999999999</v>
      </c>
      <c r="H57" s="193">
        <v>145.4</v>
      </c>
      <c r="I57" s="194">
        <v>140.78000000000003</v>
      </c>
      <c r="J57" s="193">
        <v>146.30000000000001</v>
      </c>
      <c r="K57" s="194">
        <v>144.21999999999997</v>
      </c>
      <c r="L57" s="195">
        <f t="shared" si="2"/>
        <v>0.76410794499694945</v>
      </c>
      <c r="M57" s="195">
        <f t="shared" si="3"/>
        <v>0.73633135581488929</v>
      </c>
      <c r="N57" s="195">
        <f t="shared" si="4"/>
        <v>0.1776002539802547</v>
      </c>
      <c r="O57" s="195">
        <f t="shared" si="5"/>
        <v>0.1680241935483871</v>
      </c>
      <c r="P57" s="195">
        <v>0.98499999999999999</v>
      </c>
      <c r="Q57" s="195">
        <v>0.98099032258064511</v>
      </c>
      <c r="R57" s="196">
        <v>0.99</v>
      </c>
      <c r="S57" s="197">
        <v>1</v>
      </c>
      <c r="T57" s="198">
        <v>1.4999999999999999E-2</v>
      </c>
      <c r="U57" s="197">
        <v>4.5999999999999999E-3</v>
      </c>
      <c r="V57" s="198">
        <v>0</v>
      </c>
      <c r="W57" s="197">
        <v>0</v>
      </c>
      <c r="X57" s="199">
        <f t="shared" si="0"/>
        <v>-3.9701820494509876E-2</v>
      </c>
    </row>
    <row r="58" spans="1:24">
      <c r="A58" s="189" t="s">
        <v>9</v>
      </c>
      <c r="B58" s="190" t="s">
        <v>61</v>
      </c>
      <c r="C58" s="190">
        <v>10</v>
      </c>
      <c r="D58" s="191">
        <v>12</v>
      </c>
      <c r="E58" s="192">
        <v>44469</v>
      </c>
      <c r="F58" s="24">
        <v>1315.0193361060558</v>
      </c>
      <c r="G58" s="24">
        <v>1196.2080000000001</v>
      </c>
      <c r="H58" s="193">
        <v>141.6</v>
      </c>
      <c r="I58" s="194">
        <v>129.68999999999997</v>
      </c>
      <c r="J58" s="193">
        <v>145.5</v>
      </c>
      <c r="K58" s="194">
        <v>140.90999999999997</v>
      </c>
      <c r="L58" s="195">
        <f t="shared" si="2"/>
        <v>0.76463059065016237</v>
      </c>
      <c r="M58" s="195">
        <f t="shared" si="3"/>
        <v>0.71440511593464984</v>
      </c>
      <c r="N58" s="195">
        <f t="shared" si="4"/>
        <v>0.18264157445917442</v>
      </c>
      <c r="O58" s="195">
        <f t="shared" si="5"/>
        <v>0.16614000000000001</v>
      </c>
      <c r="P58" s="195">
        <v>0.98499999999999999</v>
      </c>
      <c r="Q58" s="195">
        <v>0.99023685422222218</v>
      </c>
      <c r="R58" s="196">
        <v>0.99</v>
      </c>
      <c r="S58" s="197">
        <v>0.99776666666666669</v>
      </c>
      <c r="T58" s="198">
        <v>1.4999999999999999E-2</v>
      </c>
      <c r="U58" s="197">
        <v>3.8999999999999998E-3</v>
      </c>
      <c r="V58" s="198">
        <v>0</v>
      </c>
      <c r="W58" s="197">
        <v>0</v>
      </c>
      <c r="X58" s="199">
        <f t="shared" si="0"/>
        <v>-5.8803105660800159E-2</v>
      </c>
    </row>
    <row r="59" spans="1:24">
      <c r="A59" s="189" t="s">
        <v>9</v>
      </c>
      <c r="B59" s="190" t="s">
        <v>61</v>
      </c>
      <c r="C59" s="190">
        <v>10</v>
      </c>
      <c r="D59" s="191">
        <v>12</v>
      </c>
      <c r="E59" s="192">
        <v>44500</v>
      </c>
      <c r="F59" s="24">
        <v>1503.9121479590906</v>
      </c>
      <c r="G59" s="24">
        <v>1369.548</v>
      </c>
      <c r="H59" s="193">
        <v>139.1</v>
      </c>
      <c r="I59" s="194">
        <v>127.41</v>
      </c>
      <c r="J59" s="193">
        <v>172.2</v>
      </c>
      <c r="K59" s="194">
        <v>162.55999999999997</v>
      </c>
      <c r="L59" s="195">
        <f t="shared" si="2"/>
        <v>0.73887648248656812</v>
      </c>
      <c r="M59" s="195">
        <f t="shared" si="3"/>
        <v>0.71413162161866572</v>
      </c>
      <c r="N59" s="195">
        <f t="shared" si="4"/>
        <v>0.20213872956439388</v>
      </c>
      <c r="O59" s="195">
        <f t="shared" si="5"/>
        <v>0.18407903225806452</v>
      </c>
      <c r="P59" s="195">
        <v>0.98499999999999999</v>
      </c>
      <c r="Q59" s="195">
        <v>0.98311439999999994</v>
      </c>
      <c r="R59" s="196">
        <v>0.99</v>
      </c>
      <c r="S59" s="197">
        <v>0.99912580645161286</v>
      </c>
      <c r="T59" s="198">
        <v>1.4999999999999999E-2</v>
      </c>
      <c r="U59" s="197">
        <v>2.2700000000000001E-2</v>
      </c>
      <c r="V59" s="198">
        <v>0</v>
      </c>
      <c r="W59" s="197">
        <v>0</v>
      </c>
      <c r="X59" s="199">
        <f t="shared" si="0"/>
        <v>-3.3361666108983168E-2</v>
      </c>
    </row>
    <row r="60" spans="1:24">
      <c r="A60" s="189" t="s">
        <v>9</v>
      </c>
      <c r="B60" s="190" t="s">
        <v>61</v>
      </c>
      <c r="C60" s="190">
        <v>10</v>
      </c>
      <c r="D60" s="191">
        <v>12</v>
      </c>
      <c r="E60" s="192">
        <v>44530</v>
      </c>
      <c r="F60" s="24">
        <v>1333.9989966271737</v>
      </c>
      <c r="G60" s="24">
        <v>1243.356</v>
      </c>
      <c r="H60" s="193">
        <v>108.1</v>
      </c>
      <c r="I60" s="194">
        <v>103.86999999999999</v>
      </c>
      <c r="J60" s="193">
        <v>152.1</v>
      </c>
      <c r="K60" s="194">
        <v>152.04999999999998</v>
      </c>
      <c r="L60" s="195">
        <f t="shared" si="2"/>
        <v>0.74200838382619294</v>
      </c>
      <c r="M60" s="195">
        <f t="shared" si="3"/>
        <v>0.68503905418360778</v>
      </c>
      <c r="N60" s="195">
        <f t="shared" si="4"/>
        <v>0.18527763842044079</v>
      </c>
      <c r="O60" s="195">
        <f t="shared" si="5"/>
        <v>0.17268833333333333</v>
      </c>
      <c r="P60" s="195">
        <v>0.98499999999999999</v>
      </c>
      <c r="Q60" s="195">
        <v>0.99474666666666656</v>
      </c>
      <c r="R60" s="196">
        <v>0.99</v>
      </c>
      <c r="S60" s="197">
        <v>1</v>
      </c>
      <c r="T60" s="198">
        <v>1.4999999999999999E-2</v>
      </c>
      <c r="U60" s="197">
        <v>2.0392090121721114E-2</v>
      </c>
      <c r="V60" s="198">
        <v>0</v>
      </c>
      <c r="W60" s="197">
        <v>0</v>
      </c>
      <c r="X60" s="199">
        <f t="shared" si="0"/>
        <v>-6.7619593343324458E-2</v>
      </c>
    </row>
    <row r="61" spans="1:24">
      <c r="A61" s="189" t="s">
        <v>9</v>
      </c>
      <c r="B61" s="190" t="s">
        <v>61</v>
      </c>
      <c r="C61" s="190">
        <v>10</v>
      </c>
      <c r="D61" s="191">
        <v>12</v>
      </c>
      <c r="E61" s="192">
        <v>44561</v>
      </c>
      <c r="F61" s="24">
        <v>1122.511350820427</v>
      </c>
      <c r="G61" s="24">
        <v>1027.356</v>
      </c>
      <c r="H61" s="193">
        <v>89.9</v>
      </c>
      <c r="I61" s="194">
        <v>82.52000000000001</v>
      </c>
      <c r="J61" s="193">
        <v>129.6</v>
      </c>
      <c r="K61" s="194">
        <v>124.14</v>
      </c>
      <c r="L61" s="195">
        <f t="shared" si="2"/>
        <v>0.7327709827064055</v>
      </c>
      <c r="M61" s="195">
        <f t="shared" si="3"/>
        <v>0.69876656019914374</v>
      </c>
      <c r="N61" s="195">
        <f t="shared" si="4"/>
        <v>0.15087518156188534</v>
      </c>
      <c r="O61" s="195">
        <f t="shared" si="5"/>
        <v>0.13808548387096775</v>
      </c>
      <c r="P61" s="195">
        <v>0.98499999999999999</v>
      </c>
      <c r="Q61" s="195">
        <v>0.98695161290322586</v>
      </c>
      <c r="R61" s="196">
        <v>0.99</v>
      </c>
      <c r="S61" s="197">
        <v>1</v>
      </c>
      <c r="T61" s="198">
        <v>1.4999999999999999E-2</v>
      </c>
      <c r="U61" s="197">
        <v>2.0400000000000001E-2</v>
      </c>
      <c r="V61" s="198">
        <v>0</v>
      </c>
      <c r="W61" s="197">
        <v>0</v>
      </c>
      <c r="X61" s="199">
        <f t="shared" si="0"/>
        <v>-4.2640427039177586E-2</v>
      </c>
    </row>
    <row r="62" spans="1:24">
      <c r="A62" s="189" t="s">
        <v>9</v>
      </c>
      <c r="B62" s="190" t="s">
        <v>61</v>
      </c>
      <c r="C62" s="190">
        <v>10</v>
      </c>
      <c r="D62" s="191">
        <v>12</v>
      </c>
      <c r="E62" s="192">
        <v>44592</v>
      </c>
      <c r="F62" s="24">
        <v>946.03665970835232</v>
      </c>
      <c r="G62" s="24">
        <v>658.30799999999999</v>
      </c>
      <c r="H62" s="193">
        <v>79.599999999999994</v>
      </c>
      <c r="I62" s="194">
        <v>56.830000000000005</v>
      </c>
      <c r="J62" s="193">
        <v>103.2</v>
      </c>
      <c r="K62" s="194">
        <v>72.97</v>
      </c>
      <c r="L62" s="195">
        <f t="shared" si="2"/>
        <v>0.77555176788483604</v>
      </c>
      <c r="M62" s="195">
        <f t="shared" si="3"/>
        <v>0.76031766834177983</v>
      </c>
      <c r="N62" s="195">
        <f t="shared" si="4"/>
        <v>0.12715546501456348</v>
      </c>
      <c r="O62" s="195">
        <f t="shared" si="5"/>
        <v>8.8482258064516123E-2</v>
      </c>
      <c r="P62" s="195">
        <v>0.98499999999999999</v>
      </c>
      <c r="Q62" s="195">
        <v>0.98880000000000001</v>
      </c>
      <c r="R62" s="196">
        <v>0.99</v>
      </c>
      <c r="S62" s="197">
        <v>1</v>
      </c>
      <c r="T62" s="198">
        <v>1.4999999999999999E-2</v>
      </c>
      <c r="U62" s="197">
        <v>0</v>
      </c>
      <c r="V62" s="198">
        <v>0</v>
      </c>
      <c r="W62" s="197">
        <v>0</v>
      </c>
      <c r="X62" s="199">
        <f t="shared" si="0"/>
        <v>-1.1214774471306921E-2</v>
      </c>
    </row>
    <row r="63" spans="1:24">
      <c r="A63" s="189" t="s">
        <v>9</v>
      </c>
      <c r="B63" s="190" t="s">
        <v>61</v>
      </c>
      <c r="C63" s="190">
        <v>10</v>
      </c>
      <c r="D63" s="191">
        <v>12</v>
      </c>
      <c r="E63" s="192">
        <v>44620</v>
      </c>
      <c r="F63" s="24">
        <v>1239.2001112909788</v>
      </c>
      <c r="G63" s="24">
        <v>1237.596</v>
      </c>
      <c r="H63" s="193">
        <v>108.1</v>
      </c>
      <c r="I63" s="194">
        <v>106.95000000000002</v>
      </c>
      <c r="J63" s="193">
        <v>137.5</v>
      </c>
      <c r="K63" s="194">
        <v>143.46</v>
      </c>
      <c r="L63" s="195">
        <f t="shared" si="2"/>
        <v>0.76246738119734125</v>
      </c>
      <c r="M63" s="195">
        <f t="shared" si="3"/>
        <v>0.72490452287280727</v>
      </c>
      <c r="N63" s="195">
        <f t="shared" si="4"/>
        <v>0.18440477846591946</v>
      </c>
      <c r="O63" s="195">
        <f t="shared" si="5"/>
        <v>0.18416607142857142</v>
      </c>
      <c r="P63" s="195">
        <v>0.98499999999999999</v>
      </c>
      <c r="Q63" s="195">
        <v>0.99171302000000006</v>
      </c>
      <c r="R63" s="196">
        <v>0.99</v>
      </c>
      <c r="S63" s="197">
        <v>0.99790000000000001</v>
      </c>
      <c r="T63" s="198">
        <v>1.4999999999999999E-2</v>
      </c>
      <c r="U63" s="197">
        <v>1.18E-2</v>
      </c>
      <c r="V63" s="198">
        <v>0</v>
      </c>
      <c r="W63" s="197">
        <v>0</v>
      </c>
      <c r="X63" s="199">
        <f t="shared" si="0"/>
        <v>-4.4639927711138561E-2</v>
      </c>
    </row>
    <row r="64" spans="1:24">
      <c r="A64" s="189" t="s">
        <v>9</v>
      </c>
      <c r="B64" s="190" t="s">
        <v>61</v>
      </c>
      <c r="C64" s="190">
        <v>10</v>
      </c>
      <c r="D64" s="191">
        <v>12</v>
      </c>
      <c r="E64" s="192">
        <v>44651</v>
      </c>
      <c r="F64" s="24">
        <v>1657.3627032723323</v>
      </c>
      <c r="G64" s="24">
        <f>[1]Database!$I$427/1000</f>
        <v>1543.3920000000001</v>
      </c>
      <c r="H64" s="193">
        <v>161.4</v>
      </c>
      <c r="I64" s="194">
        <v>158.37</v>
      </c>
      <c r="J64" s="193">
        <v>187.8</v>
      </c>
      <c r="K64" s="194">
        <v>188.27999999999997</v>
      </c>
      <c r="L64" s="195">
        <f t="shared" si="2"/>
        <v>0.7466283853436676</v>
      </c>
      <c r="M64" s="195">
        <f t="shared" si="3"/>
        <v>0.70722669149284445</v>
      </c>
      <c r="N64" s="195">
        <f t="shared" si="4"/>
        <v>0.22276380420327047</v>
      </c>
      <c r="O64" s="195">
        <f t="shared" si="5"/>
        <v>0.20744516129032262</v>
      </c>
      <c r="P64" s="195">
        <v>0.98499999999999999</v>
      </c>
      <c r="Q64" s="195">
        <v>0.96589999999999998</v>
      </c>
      <c r="R64" s="196">
        <v>0.99</v>
      </c>
      <c r="S64" s="197">
        <v>1</v>
      </c>
      <c r="T64" s="198">
        <v>1.4999999999999999E-2</v>
      </c>
      <c r="U64" s="197">
        <v>1.3364780319335381E-2</v>
      </c>
      <c r="V64" s="198">
        <v>0</v>
      </c>
      <c r="W64" s="197">
        <v>0</v>
      </c>
      <c r="X64" s="199">
        <f t="shared" si="0"/>
        <v>-7.1322211997426832E-2</v>
      </c>
    </row>
    <row r="65" spans="1:24">
      <c r="A65" s="189" t="s">
        <v>9</v>
      </c>
      <c r="B65" s="190" t="s">
        <v>61</v>
      </c>
      <c r="C65" s="190">
        <v>10</v>
      </c>
      <c r="D65" s="191">
        <v>12</v>
      </c>
      <c r="E65" s="192">
        <v>44681</v>
      </c>
      <c r="F65" s="24">
        <v>1712.2184411451547</v>
      </c>
      <c r="G65" s="24">
        <v>1499.85</v>
      </c>
      <c r="H65" s="193">
        <v>190.2</v>
      </c>
      <c r="I65" s="194">
        <v>168.23000000000002</v>
      </c>
      <c r="J65" s="193">
        <v>194</v>
      </c>
      <c r="K65" s="194">
        <v>184.26</v>
      </c>
      <c r="L65" s="195">
        <f t="shared" si="2"/>
        <v>0.74668936153346355</v>
      </c>
      <c r="M65" s="195">
        <f t="shared" si="3"/>
        <v>0.67995328155858004</v>
      </c>
      <c r="N65" s="195">
        <f t="shared" si="4"/>
        <v>0.23780811682571593</v>
      </c>
      <c r="O65" s="195">
        <f t="shared" si="5"/>
        <v>0.20831249999999998</v>
      </c>
      <c r="P65" s="195">
        <v>0.98499999999999999</v>
      </c>
      <c r="Q65" s="195">
        <v>0.99760000000000004</v>
      </c>
      <c r="R65" s="196">
        <v>0.99</v>
      </c>
      <c r="S65" s="197">
        <v>1</v>
      </c>
      <c r="T65" s="198">
        <v>1.4999999999999999E-2</v>
      </c>
      <c r="U65" s="197">
        <v>2.1600000000000001E-2</v>
      </c>
      <c r="V65" s="198">
        <v>0</v>
      </c>
      <c r="W65" s="197">
        <v>0</v>
      </c>
      <c r="X65" s="199">
        <f t="shared" si="0"/>
        <v>-7.3824975435507367E-2</v>
      </c>
    </row>
    <row r="66" spans="1:24">
      <c r="A66" s="189" t="s">
        <v>9</v>
      </c>
      <c r="B66" s="190" t="s">
        <v>61</v>
      </c>
      <c r="C66" s="190">
        <v>10</v>
      </c>
      <c r="D66" s="191">
        <v>12</v>
      </c>
      <c r="E66" s="192">
        <v>44712</v>
      </c>
      <c r="F66" s="24">
        <v>1734.7003009290979</v>
      </c>
      <c r="G66" s="24">
        <v>1525.3620000000001</v>
      </c>
      <c r="H66" s="193">
        <v>197</v>
      </c>
      <c r="I66" s="194">
        <v>179.49</v>
      </c>
      <c r="J66" s="193">
        <v>197.7</v>
      </c>
      <c r="K66" s="194">
        <v>186.24</v>
      </c>
      <c r="L66" s="195">
        <f t="shared" si="2"/>
        <v>0.74233563344326847</v>
      </c>
      <c r="M66" s="195">
        <f t="shared" si="3"/>
        <v>0.70454804448347241</v>
      </c>
      <c r="N66" s="195">
        <f t="shared" si="4"/>
        <v>0.23315864259799701</v>
      </c>
      <c r="O66" s="195">
        <f t="shared" si="5"/>
        <v>0.20502177419354842</v>
      </c>
      <c r="P66" s="195">
        <v>0.98499999999999999</v>
      </c>
      <c r="Q66" s="195">
        <v>0.968741935483871</v>
      </c>
      <c r="R66" s="196">
        <v>0.99</v>
      </c>
      <c r="S66" s="197">
        <v>1</v>
      </c>
      <c r="T66" s="198">
        <v>1.4999999999999999E-2</v>
      </c>
      <c r="U66" s="197">
        <v>8.0000000000000002E-3</v>
      </c>
      <c r="V66" s="198">
        <v>0</v>
      </c>
      <c r="W66" s="197">
        <v>0</v>
      </c>
      <c r="X66" s="199">
        <f t="shared" si="0"/>
        <v>-6.2710310538588443E-2</v>
      </c>
    </row>
    <row r="67" spans="1:24">
      <c r="A67" s="189" t="s">
        <v>9</v>
      </c>
      <c r="B67" s="190" t="s">
        <v>61</v>
      </c>
      <c r="C67" s="190">
        <v>10</v>
      </c>
      <c r="D67" s="191">
        <v>12</v>
      </c>
      <c r="E67" s="192">
        <v>44742</v>
      </c>
      <c r="F67" s="24">
        <v>1560.2410690056954</v>
      </c>
      <c r="G67" s="24">
        <v>1383.7619999999999</v>
      </c>
      <c r="H67" s="193">
        <v>178.9</v>
      </c>
      <c r="I67" s="194">
        <v>167.48000000000002</v>
      </c>
      <c r="J67" s="193">
        <v>177.2</v>
      </c>
      <c r="K67" s="194">
        <v>166.64999999999998</v>
      </c>
      <c r="L67" s="195">
        <f t="shared" si="2"/>
        <v>0.74492150361407561</v>
      </c>
      <c r="M67" s="195">
        <f t="shared" si="3"/>
        <v>0.69426995830549476</v>
      </c>
      <c r="N67" s="195">
        <f t="shared" si="4"/>
        <v>0.21670014847301328</v>
      </c>
      <c r="O67" s="195">
        <f t="shared" si="5"/>
        <v>0.19218916666666666</v>
      </c>
      <c r="P67" s="195">
        <v>0.98499999999999999</v>
      </c>
      <c r="Q67" s="195">
        <v>0.99665870133333334</v>
      </c>
      <c r="R67" s="196">
        <v>0.99</v>
      </c>
      <c r="S67" s="197">
        <v>0.99919999999999998</v>
      </c>
      <c r="T67" s="198">
        <v>1.4999999999999999E-2</v>
      </c>
      <c r="U67" s="197">
        <v>1.14E-2</v>
      </c>
      <c r="V67" s="198">
        <v>0</v>
      </c>
      <c r="W67" s="197">
        <v>0</v>
      </c>
      <c r="X67" s="199">
        <f t="shared" ref="X67:X153" si="6">(G67/F67-1)-(K67/J67-1)</f>
        <v>-5.3572883219119682E-2</v>
      </c>
    </row>
    <row r="68" spans="1:24">
      <c r="A68" s="189" t="s">
        <v>9</v>
      </c>
      <c r="B68" s="190" t="s">
        <v>61</v>
      </c>
      <c r="C68" s="190">
        <v>10</v>
      </c>
      <c r="D68" s="191">
        <v>12</v>
      </c>
      <c r="E68" s="192">
        <v>44773</v>
      </c>
      <c r="F68" s="24">
        <v>1383.9832882995765</v>
      </c>
      <c r="G68" s="24">
        <v>1309.74</v>
      </c>
      <c r="H68" s="193">
        <v>155.5</v>
      </c>
      <c r="I68" s="194">
        <v>150.19</v>
      </c>
      <c r="J68" s="193">
        <v>154.6</v>
      </c>
      <c r="K68" s="194">
        <v>151.57000000000002</v>
      </c>
      <c r="L68" s="195">
        <f t="shared" si="2"/>
        <v>0.75736264334770176</v>
      </c>
      <c r="M68" s="195">
        <f t="shared" si="3"/>
        <v>0.73660823026617239</v>
      </c>
      <c r="N68" s="195">
        <f t="shared" si="4"/>
        <v>0.18601925918005061</v>
      </c>
      <c r="O68" s="195">
        <f t="shared" si="5"/>
        <v>0.17604032258064514</v>
      </c>
      <c r="P68" s="195">
        <v>0.98499999999999999</v>
      </c>
      <c r="Q68" s="195">
        <v>0.97758387096774213</v>
      </c>
      <c r="R68" s="196">
        <v>0.99</v>
      </c>
      <c r="S68" s="197">
        <v>1</v>
      </c>
      <c r="T68" s="198">
        <v>1.4999999999999999E-2</v>
      </c>
      <c r="U68" s="197">
        <v>6.7999999999999996E-3</v>
      </c>
      <c r="V68" s="198">
        <v>0</v>
      </c>
      <c r="W68" s="197">
        <v>0</v>
      </c>
      <c r="X68" s="199">
        <f t="shared" si="6"/>
        <v>-3.4045677120153828E-2</v>
      </c>
    </row>
    <row r="69" spans="1:24">
      <c r="A69" s="189" t="s">
        <v>9</v>
      </c>
      <c r="B69" s="190" t="s">
        <v>61</v>
      </c>
      <c r="C69" s="190">
        <v>10</v>
      </c>
      <c r="D69" s="191">
        <v>12</v>
      </c>
      <c r="E69" s="192">
        <v>44804</v>
      </c>
      <c r="F69" s="24">
        <v>1314.7391601650295</v>
      </c>
      <c r="G69" s="24">
        <v>1383.81</v>
      </c>
      <c r="H69" s="193">
        <v>145.4</v>
      </c>
      <c r="I69" s="194">
        <v>155.39000000000001</v>
      </c>
      <c r="J69" s="193">
        <v>146.30000000000001</v>
      </c>
      <c r="K69" s="194">
        <v>162.41</v>
      </c>
      <c r="L69" s="195">
        <f t="shared" si="2"/>
        <v>0.76028740527196481</v>
      </c>
      <c r="M69" s="195">
        <f t="shared" si="3"/>
        <v>0.72557370541744359</v>
      </c>
      <c r="N69" s="195">
        <f t="shared" si="4"/>
        <v>0.17671225271035343</v>
      </c>
      <c r="O69" s="195">
        <f t="shared" si="5"/>
        <v>0.18599596774193547</v>
      </c>
      <c r="P69" s="195">
        <v>0.98499999999999999</v>
      </c>
      <c r="Q69" s="195">
        <v>0.97859032258064516</v>
      </c>
      <c r="R69" s="196">
        <v>0.99</v>
      </c>
      <c r="S69" s="197">
        <v>1</v>
      </c>
      <c r="T69" s="198">
        <v>1.4999999999999999E-2</v>
      </c>
      <c r="U69" s="197">
        <v>1.29E-2</v>
      </c>
      <c r="V69" s="198">
        <v>0</v>
      </c>
      <c r="W69" s="197">
        <v>0</v>
      </c>
      <c r="X69" s="199">
        <f t="shared" si="6"/>
        <v>-5.7580425249442957E-2</v>
      </c>
    </row>
    <row r="70" spans="1:24">
      <c r="A70" s="189" t="s">
        <v>9</v>
      </c>
      <c r="B70" s="190" t="s">
        <v>61</v>
      </c>
      <c r="C70" s="190">
        <v>10</v>
      </c>
      <c r="D70" s="191">
        <v>12</v>
      </c>
      <c r="E70" s="192">
        <v>44834</v>
      </c>
      <c r="F70" s="24">
        <v>1308.4442394255254</v>
      </c>
      <c r="G70" s="24">
        <v>1154.8679999999999</v>
      </c>
      <c r="H70" s="193">
        <v>141.6</v>
      </c>
      <c r="I70" s="194">
        <v>124.96999999999997</v>
      </c>
      <c r="J70" s="193">
        <v>145.5</v>
      </c>
      <c r="K70" s="194">
        <v>137.80000000000001</v>
      </c>
      <c r="L70" s="195">
        <f t="shared" si="2"/>
        <v>0.7608074376969115</v>
      </c>
      <c r="M70" s="195">
        <f t="shared" si="3"/>
        <v>0.7092813305682143</v>
      </c>
      <c r="N70" s="195">
        <f t="shared" si="4"/>
        <v>0.18172836658687855</v>
      </c>
      <c r="O70" s="195">
        <f t="shared" si="5"/>
        <v>0.16039833333333331</v>
      </c>
      <c r="P70" s="195">
        <v>0.98499999999999999</v>
      </c>
      <c r="Q70" s="195">
        <v>0.98465333333333349</v>
      </c>
      <c r="R70" s="196">
        <v>0.99</v>
      </c>
      <c r="S70" s="197">
        <v>1</v>
      </c>
      <c r="T70" s="198">
        <v>1.4999999999999999E-2</v>
      </c>
      <c r="U70" s="197">
        <v>1.03E-2</v>
      </c>
      <c r="V70" s="198">
        <v>0</v>
      </c>
      <c r="W70" s="197">
        <v>0</v>
      </c>
      <c r="X70" s="199">
        <f t="shared" si="6"/>
        <v>-6.4452201133160303E-2</v>
      </c>
    </row>
    <row r="71" spans="1:24">
      <c r="A71" s="189" t="s">
        <v>9</v>
      </c>
      <c r="B71" s="190" t="s">
        <v>61</v>
      </c>
      <c r="C71" s="190">
        <v>10</v>
      </c>
      <c r="D71" s="191">
        <v>12</v>
      </c>
      <c r="E71" s="192">
        <v>44865</v>
      </c>
      <c r="F71" s="24">
        <v>1496.3925872192951</v>
      </c>
      <c r="G71" s="24">
        <v>1354.242</v>
      </c>
      <c r="H71" s="193">
        <v>139.1</v>
      </c>
      <c r="I71" s="194">
        <v>131.32999999999998</v>
      </c>
      <c r="J71" s="193">
        <v>172.2</v>
      </c>
      <c r="K71" s="194">
        <v>163.07999999999998</v>
      </c>
      <c r="L71" s="195">
        <f t="shared" si="2"/>
        <v>0.7351821000741352</v>
      </c>
      <c r="M71" s="195">
        <f t="shared" si="3"/>
        <v>0.69467979645126221</v>
      </c>
      <c r="N71" s="195">
        <f t="shared" si="4"/>
        <v>0.20112803591657191</v>
      </c>
      <c r="O71" s="195">
        <f t="shared" si="5"/>
        <v>0.1820217741935484</v>
      </c>
      <c r="P71" s="195">
        <v>0.98499999999999999</v>
      </c>
      <c r="Q71" s="195">
        <v>0.99616129032258072</v>
      </c>
      <c r="R71" s="196">
        <v>0.99</v>
      </c>
      <c r="S71" s="197">
        <v>1</v>
      </c>
      <c r="T71" s="198">
        <v>1.4999999999999999E-2</v>
      </c>
      <c r="U71" s="197">
        <v>1.75064168557344E-2</v>
      </c>
      <c r="V71" s="198">
        <v>0</v>
      </c>
      <c r="W71" s="197">
        <v>0</v>
      </c>
      <c r="X71" s="199">
        <f t="shared" si="6"/>
        <v>-4.2033844366702766E-2</v>
      </c>
    </row>
    <row r="72" spans="1:24">
      <c r="A72" s="189" t="s">
        <v>9</v>
      </c>
      <c r="B72" s="190" t="s">
        <v>61</v>
      </c>
      <c r="C72" s="190">
        <v>10</v>
      </c>
      <c r="D72" s="191">
        <v>12</v>
      </c>
      <c r="E72" s="192">
        <v>44895</v>
      </c>
      <c r="F72" s="24">
        <v>1327.3290016440376</v>
      </c>
      <c r="G72" s="24">
        <v>1104.846</v>
      </c>
      <c r="H72" s="193">
        <v>108.1</v>
      </c>
      <c r="I72" s="194">
        <v>91.19</v>
      </c>
      <c r="J72" s="193">
        <v>152.1</v>
      </c>
      <c r="K72" s="194">
        <v>137.23000000000002</v>
      </c>
      <c r="L72" s="195">
        <f t="shared" si="2"/>
        <v>0.73829834190706178</v>
      </c>
      <c r="M72" s="195">
        <f t="shared" si="3"/>
        <v>0.67261832162777002</v>
      </c>
      <c r="N72" s="195">
        <f t="shared" si="4"/>
        <v>0.18435125022833856</v>
      </c>
      <c r="O72" s="195">
        <f t="shared" si="5"/>
        <v>0.15345083333333334</v>
      </c>
      <c r="P72" s="195">
        <v>0.98499999999999999</v>
      </c>
      <c r="Q72" s="195">
        <v>0.99747666666666679</v>
      </c>
      <c r="R72" s="196">
        <v>0.99</v>
      </c>
      <c r="S72" s="197">
        <v>1</v>
      </c>
      <c r="T72" s="198">
        <v>1.4999999999999999E-2</v>
      </c>
      <c r="U72" s="197">
        <v>2.52E-2</v>
      </c>
      <c r="V72" s="198">
        <v>0</v>
      </c>
      <c r="W72" s="197">
        <v>0</v>
      </c>
      <c r="X72" s="199">
        <f t="shared" si="6"/>
        <v>-6.9852444074717024E-2</v>
      </c>
    </row>
    <row r="73" spans="1:24">
      <c r="A73" s="189" t="s">
        <v>9</v>
      </c>
      <c r="B73" s="190" t="s">
        <v>61</v>
      </c>
      <c r="C73" s="190">
        <v>10</v>
      </c>
      <c r="D73" s="191">
        <v>12</v>
      </c>
      <c r="E73" s="192">
        <v>44926</v>
      </c>
      <c r="F73" s="24">
        <v>1116.8987940663249</v>
      </c>
      <c r="G73" s="24">
        <v>962.65800000000002</v>
      </c>
      <c r="H73" s="193">
        <v>89.9</v>
      </c>
      <c r="I73" s="194">
        <v>72.790000000000006</v>
      </c>
      <c r="J73" s="193">
        <v>129.6</v>
      </c>
      <c r="K73" s="194">
        <v>115.19000000000001</v>
      </c>
      <c r="L73" s="195">
        <f t="shared" si="2"/>
        <v>0.72910712779287368</v>
      </c>
      <c r="M73" s="195">
        <f t="shared" si="3"/>
        <v>0.69724859527952243</v>
      </c>
      <c r="N73" s="195">
        <f t="shared" si="4"/>
        <v>0.15012080565407593</v>
      </c>
      <c r="O73" s="195">
        <f t="shared" si="5"/>
        <v>0.12938951612903227</v>
      </c>
      <c r="P73" s="195">
        <v>0.98499999999999999</v>
      </c>
      <c r="Q73" s="195">
        <v>0.99882258064516127</v>
      </c>
      <c r="R73" s="196">
        <v>0.99</v>
      </c>
      <c r="S73" s="197">
        <v>1</v>
      </c>
      <c r="T73" s="198">
        <v>1.4999999999999999E-2</v>
      </c>
      <c r="U73" s="197">
        <v>1.9599999999999999E-2</v>
      </c>
      <c r="V73" s="198">
        <v>0</v>
      </c>
      <c r="W73" s="197">
        <v>0</v>
      </c>
      <c r="X73" s="199">
        <f t="shared" si="6"/>
        <v>-2.6909105602155092E-2</v>
      </c>
    </row>
    <row r="74" spans="1:24">
      <c r="A74" s="189" t="s">
        <v>9</v>
      </c>
      <c r="B74" s="190" t="s">
        <v>61</v>
      </c>
      <c r="C74" s="190">
        <v>10</v>
      </c>
      <c r="D74" s="191">
        <v>12</v>
      </c>
      <c r="E74" s="192">
        <v>44957</v>
      </c>
      <c r="F74" s="24">
        <v>941.30647640981044</v>
      </c>
      <c r="G74" s="24">
        <v>750.58799999999997</v>
      </c>
      <c r="H74" s="193">
        <v>79.599999999999994</v>
      </c>
      <c r="I74" s="194">
        <v>61.790000000000006</v>
      </c>
      <c r="J74" s="193">
        <v>103.2</v>
      </c>
      <c r="K74" s="194">
        <v>85.230000000000018</v>
      </c>
      <c r="L74" s="195">
        <f t="shared" si="2"/>
        <v>0.77167400904541172</v>
      </c>
      <c r="M74" s="195">
        <f t="shared" si="3"/>
        <v>0.73887336932783487</v>
      </c>
      <c r="N74" s="195">
        <f t="shared" si="4"/>
        <v>0.12651968768949065</v>
      </c>
      <c r="O74" s="195">
        <f t="shared" si="5"/>
        <v>0.10088548387096774</v>
      </c>
      <c r="P74" s="195">
        <v>0.98499999999999999</v>
      </c>
      <c r="Q74" s="195">
        <v>0.99324838709677421</v>
      </c>
      <c r="R74" s="196">
        <v>0.99</v>
      </c>
      <c r="S74" s="197">
        <v>1</v>
      </c>
      <c r="T74" s="198">
        <v>1.4999999999999999E-2</v>
      </c>
      <c r="U74" s="197">
        <v>1.11E-2</v>
      </c>
      <c r="V74" s="198">
        <v>0</v>
      </c>
      <c r="W74" s="197">
        <v>0</v>
      </c>
      <c r="X74" s="199">
        <f t="shared" si="6"/>
        <v>-2.8482487394725919E-2</v>
      </c>
    </row>
    <row r="75" spans="1:24">
      <c r="A75" s="189" t="s">
        <v>9</v>
      </c>
      <c r="B75" s="190" t="s">
        <v>61</v>
      </c>
      <c r="C75" s="190">
        <v>10</v>
      </c>
      <c r="D75" s="191">
        <v>12</v>
      </c>
      <c r="E75" s="192">
        <v>44985</v>
      </c>
      <c r="F75" s="24">
        <v>1233.0041107345237</v>
      </c>
      <c r="G75" s="24">
        <v>1225.008</v>
      </c>
      <c r="H75" s="193">
        <v>108.1</v>
      </c>
      <c r="I75" s="194">
        <v>104.71000000000002</v>
      </c>
      <c r="J75" s="193">
        <v>137.5</v>
      </c>
      <c r="K75" s="194">
        <v>146.39999999999998</v>
      </c>
      <c r="L75" s="195">
        <f t="shared" si="2"/>
        <v>0.75865504429135433</v>
      </c>
      <c r="M75" s="195">
        <f t="shared" si="3"/>
        <v>0.70020039886804897</v>
      </c>
      <c r="N75" s="195">
        <f t="shared" si="4"/>
        <v>0.18348275457358981</v>
      </c>
      <c r="O75" s="195">
        <f t="shared" si="5"/>
        <v>0.18229285714285715</v>
      </c>
      <c r="P75" s="195">
        <v>0.98499999999999999</v>
      </c>
      <c r="Q75" s="195">
        <v>0.99585073515306122</v>
      </c>
      <c r="R75" s="196">
        <v>0.99</v>
      </c>
      <c r="S75" s="197">
        <v>0.99800357142857143</v>
      </c>
      <c r="T75" s="198">
        <v>1.4999999999999999E-2</v>
      </c>
      <c r="U75" s="197">
        <v>1.8499999999999999E-2</v>
      </c>
      <c r="V75" s="198">
        <v>0</v>
      </c>
      <c r="W75" s="197">
        <v>0</v>
      </c>
      <c r="X75" s="199">
        <f t="shared" si="6"/>
        <v>-7.1212336860400405E-2</v>
      </c>
    </row>
    <row r="76" spans="1:24">
      <c r="A76" s="189" t="s">
        <v>9</v>
      </c>
      <c r="B76" s="190" t="s">
        <v>61</v>
      </c>
      <c r="C76" s="200">
        <v>10</v>
      </c>
      <c r="D76" s="201">
        <v>12</v>
      </c>
      <c r="E76" s="192">
        <v>45016</v>
      </c>
      <c r="F76" s="24">
        <v>1649.0758897559706</v>
      </c>
      <c r="G76" s="24">
        <v>1405.32</v>
      </c>
      <c r="H76" s="24">
        <v>161.4</v>
      </c>
      <c r="I76" s="24">
        <v>142.55000000000001</v>
      </c>
      <c r="J76" s="193">
        <v>187.8</v>
      </c>
      <c r="K76" s="194">
        <v>171.12999999999997</v>
      </c>
      <c r="L76" s="195">
        <f t="shared" si="2"/>
        <v>0.74289524341694935</v>
      </c>
      <c r="M76" s="195">
        <f t="shared" si="3"/>
        <v>0.69331986768689846</v>
      </c>
      <c r="N76" s="195">
        <f t="shared" si="4"/>
        <v>0.22164998518225412</v>
      </c>
      <c r="O76" s="195">
        <f t="shared" si="5"/>
        <v>0.18888709677419355</v>
      </c>
      <c r="P76" s="195">
        <v>0.98499999999999999</v>
      </c>
      <c r="Q76" s="195">
        <v>0.98703870967741947</v>
      </c>
      <c r="R76" s="195">
        <v>0.99</v>
      </c>
      <c r="S76" s="195">
        <v>1</v>
      </c>
      <c r="T76" s="198">
        <v>1.4999999999999999E-2</v>
      </c>
      <c r="U76" s="197">
        <v>-1.47E-2</v>
      </c>
      <c r="V76" s="198">
        <v>0</v>
      </c>
      <c r="W76" s="197">
        <v>0</v>
      </c>
      <c r="X76" s="199">
        <f t="shared" si="6"/>
        <v>-5.9048984546520966E-2</v>
      </c>
    </row>
    <row r="77" spans="1:24">
      <c r="A77" s="189" t="s">
        <v>9</v>
      </c>
      <c r="B77" s="190" t="s">
        <v>61</v>
      </c>
      <c r="C77" s="200">
        <v>10</v>
      </c>
      <c r="D77" s="201">
        <v>12</v>
      </c>
      <c r="E77" s="192">
        <v>45046</v>
      </c>
      <c r="F77" s="24">
        <f>UTT!B335</f>
        <v>45046</v>
      </c>
      <c r="G77" s="24">
        <f>UTT!C335</f>
        <v>1703.6573489394289</v>
      </c>
      <c r="H77" s="24">
        <f>UTT!D335</f>
        <v>1495.83</v>
      </c>
      <c r="I77" s="24">
        <f>UTT!E335</f>
        <v>190.2</v>
      </c>
      <c r="J77" s="24">
        <f>UTT!F335</f>
        <v>179.47999999999996</v>
      </c>
      <c r="K77" s="24">
        <f>UTT!G335</f>
        <v>194</v>
      </c>
      <c r="L77" s="195">
        <f t="shared" si="2"/>
        <v>100.67211273460124</v>
      </c>
      <c r="M77" s="195">
        <f t="shared" si="3"/>
        <v>0.74295591472579625</v>
      </c>
      <c r="N77" s="195">
        <f t="shared" si="4"/>
        <v>6.256388888888889</v>
      </c>
      <c r="O77" s="195">
        <f t="shared" si="5"/>
        <v>0.23661907624158734</v>
      </c>
      <c r="P77" s="195">
        <f>UTT!L335</f>
        <v>0.20775416666666663</v>
      </c>
      <c r="Q77" s="195">
        <f>UTT!M335</f>
        <v>0.98499999999999999</v>
      </c>
      <c r="R77" s="195">
        <f>UTT!N335</f>
        <v>0.97577000000000003</v>
      </c>
      <c r="S77" s="195">
        <f>UTT!O335</f>
        <v>0.99</v>
      </c>
      <c r="T77" s="198">
        <v>1.4999999999999999E-2</v>
      </c>
      <c r="U77" s="195">
        <f>UTT!U335</f>
        <v>1.0000000000000009E-2</v>
      </c>
      <c r="V77" s="198">
        <v>0</v>
      </c>
      <c r="W77" s="197">
        <v>0</v>
      </c>
      <c r="X77" s="199">
        <f t="shared" si="6"/>
        <v>-1.0430799875181394</v>
      </c>
    </row>
    <row r="78" spans="1:24">
      <c r="A78" s="189" t="s">
        <v>9</v>
      </c>
      <c r="B78" s="190" t="s">
        <v>61</v>
      </c>
      <c r="C78" s="200">
        <v>10</v>
      </c>
      <c r="D78" s="201">
        <v>12</v>
      </c>
      <c r="E78" s="192">
        <v>45077</v>
      </c>
      <c r="F78" s="24">
        <f>UTT!B336</f>
        <v>45077</v>
      </c>
      <c r="G78" s="24">
        <f>UTT!C336</f>
        <v>1726.0267994244525</v>
      </c>
      <c r="H78" s="24">
        <f>UTT!D336</f>
        <v>1501.644</v>
      </c>
      <c r="I78" s="24">
        <f>UTT!E336</f>
        <v>197</v>
      </c>
      <c r="J78" s="24">
        <f>UTT!F336</f>
        <v>194.24</v>
      </c>
      <c r="K78" s="24">
        <f>UTT!G336</f>
        <v>197.7</v>
      </c>
      <c r="L78" s="195">
        <f t="shared" si="2"/>
        <v>95.816662587447198</v>
      </c>
      <c r="M78" s="195">
        <f t="shared" si="3"/>
        <v>0.73862395527605229</v>
      </c>
      <c r="N78" s="195">
        <f t="shared" si="4"/>
        <v>6.0587365591397848</v>
      </c>
      <c r="O78" s="195">
        <f t="shared" si="5"/>
        <v>0.23199284938500705</v>
      </c>
      <c r="P78" s="195">
        <f>UTT!L336</f>
        <v>0.20183387096774194</v>
      </c>
      <c r="Q78" s="195">
        <f>UTT!M336</f>
        <v>0.98499999999999999</v>
      </c>
      <c r="R78" s="195">
        <f>UTT!N336</f>
        <v>0.954924155005203</v>
      </c>
      <c r="S78" s="195">
        <f>UTT!O336</f>
        <v>0.99</v>
      </c>
      <c r="T78" s="198">
        <v>1.4999999999999999E-2</v>
      </c>
      <c r="U78" s="195">
        <f>UTT!U336</f>
        <v>3.9645161290322584E-3</v>
      </c>
      <c r="V78" s="198">
        <v>0</v>
      </c>
      <c r="W78" s="197">
        <v>0</v>
      </c>
      <c r="X78" s="199">
        <f t="shared" si="6"/>
        <v>-0.97952238325383312</v>
      </c>
    </row>
    <row r="79" spans="1:24">
      <c r="A79" s="189" t="s">
        <v>9</v>
      </c>
      <c r="B79" s="190" t="s">
        <v>61</v>
      </c>
      <c r="C79" s="200">
        <v>10</v>
      </c>
      <c r="D79" s="201">
        <v>12</v>
      </c>
      <c r="E79" s="192">
        <v>45107</v>
      </c>
      <c r="F79" s="24">
        <f>UTT!B337</f>
        <v>45107</v>
      </c>
      <c r="G79" s="24">
        <f>UTT!C337</f>
        <v>1552.4398636606668</v>
      </c>
      <c r="H79" s="24">
        <f>UTT!D337</f>
        <v>1396.4459999999999</v>
      </c>
      <c r="I79" s="24">
        <f>UTT!E337</f>
        <v>178.9</v>
      </c>
      <c r="J79" s="24">
        <f>UTT!F337</f>
        <v>173.85999999999999</v>
      </c>
      <c r="K79" s="24">
        <f>UTT!G337</f>
        <v>177.2</v>
      </c>
      <c r="L79" s="195">
        <f t="shared" si="2"/>
        <v>111.47343207086999</v>
      </c>
      <c r="M79" s="195">
        <f t="shared" si="3"/>
        <v>0.74119689609600492</v>
      </c>
      <c r="N79" s="195">
        <f t="shared" si="4"/>
        <v>6.2648611111111112</v>
      </c>
      <c r="O79" s="195">
        <f t="shared" si="5"/>
        <v>0.21561664773064818</v>
      </c>
      <c r="P79" s="195">
        <f>UTT!L337</f>
        <v>0.19395083333333332</v>
      </c>
      <c r="Q79" s="195">
        <f>UTT!M337</f>
        <v>0.98499999999999999</v>
      </c>
      <c r="R79" s="195">
        <f>UTT!N337</f>
        <v>0.99037000000000019</v>
      </c>
      <c r="S79" s="195">
        <f>UTT!O337</f>
        <v>0.99</v>
      </c>
      <c r="T79" s="198">
        <v>1.4999999999999999E-2</v>
      </c>
      <c r="U79" s="195">
        <f>UTT!U337</f>
        <v>1.0000000000000009E-2</v>
      </c>
      <c r="V79" s="198">
        <v>0</v>
      </c>
      <c r="W79" s="197">
        <v>0</v>
      </c>
      <c r="X79" s="199">
        <f t="shared" si="6"/>
        <v>-0.98479403124414799</v>
      </c>
    </row>
    <row r="80" spans="1:24">
      <c r="A80" s="189" t="s">
        <v>9</v>
      </c>
      <c r="B80" s="190" t="s">
        <v>61</v>
      </c>
      <c r="C80" s="200">
        <v>10</v>
      </c>
      <c r="D80" s="201">
        <v>12</v>
      </c>
      <c r="E80" s="192">
        <v>45137</v>
      </c>
      <c r="F80" s="24">
        <f>UTT!B338</f>
        <v>45138</v>
      </c>
      <c r="G80" s="24">
        <f>UTT!C338</f>
        <v>1377.0633718580787</v>
      </c>
      <c r="H80" s="24">
        <f>UTT!D338</f>
        <v>1099.1460000000043</v>
      </c>
      <c r="I80" s="24">
        <f>UTT!E338</f>
        <v>155.5</v>
      </c>
      <c r="J80" s="24">
        <f>UTT!F338</f>
        <v>140.26</v>
      </c>
      <c r="K80" s="24">
        <f>UTT!G338</f>
        <v>154.6</v>
      </c>
      <c r="L80" s="195">
        <f t="shared" si="2"/>
        <v>181.52848510080872</v>
      </c>
      <c r="M80" s="195">
        <f t="shared" si="3"/>
        <v>0.75357583013096341</v>
      </c>
      <c r="N80" s="195">
        <f t="shared" si="4"/>
        <v>6.269166666666667</v>
      </c>
      <c r="O80" s="195">
        <f t="shared" si="5"/>
        <v>0.19125880164695536</v>
      </c>
      <c r="P80" s="195">
        <f>UTT!L338</f>
        <v>0.14773467741935542</v>
      </c>
      <c r="Q80" s="195">
        <f>UTT!M338</f>
        <v>0.98499999999999999</v>
      </c>
      <c r="R80" s="195">
        <f>UTT!N338</f>
        <v>0.94322903225806454</v>
      </c>
      <c r="S80" s="195">
        <f>UTT!O338</f>
        <v>0.99</v>
      </c>
      <c r="T80" s="198">
        <v>1.4999999999999999E-2</v>
      </c>
      <c r="U80" s="195">
        <f>UTT!U338</f>
        <v>1.0000000000000009E-2</v>
      </c>
      <c r="V80" s="198">
        <v>0</v>
      </c>
      <c r="W80" s="197">
        <v>0</v>
      </c>
      <c r="X80" s="199">
        <f t="shared" si="6"/>
        <v>-1.0717308487037371</v>
      </c>
    </row>
    <row r="81" spans="1:24">
      <c r="A81" s="189" t="s">
        <v>9</v>
      </c>
      <c r="B81" s="190" t="s">
        <v>61</v>
      </c>
      <c r="C81" s="200">
        <v>10</v>
      </c>
      <c r="D81" s="201">
        <v>12</v>
      </c>
      <c r="E81" s="192">
        <v>45169</v>
      </c>
      <c r="F81" s="24">
        <f>UTT!B339</f>
        <v>45169</v>
      </c>
      <c r="G81" s="24">
        <f>UTT!C339</f>
        <v>1308.1654643642044</v>
      </c>
      <c r="H81" s="24">
        <f>UTT!D339</f>
        <v>1109.0340000000001</v>
      </c>
      <c r="I81" s="24">
        <f>UTT!E339</f>
        <v>145.4</v>
      </c>
      <c r="J81" s="24">
        <f>UTT!F339</f>
        <v>132.69999999999999</v>
      </c>
      <c r="K81" s="24">
        <f>UTT!G339</f>
        <v>146.30000000000001</v>
      </c>
      <c r="L81" s="195">
        <f t="shared" si="2"/>
        <v>190.29018212131817</v>
      </c>
      <c r="M81" s="195">
        <f t="shared" si="3"/>
        <v>0.75648596824560499</v>
      </c>
      <c r="N81" s="195">
        <f t="shared" si="4"/>
        <v>6.0711021505376346</v>
      </c>
      <c r="O81" s="195">
        <f t="shared" si="5"/>
        <v>0.17582869144680166</v>
      </c>
      <c r="P81" s="202">
        <f>UTT!L339</f>
        <v>0.14906370967741939</v>
      </c>
      <c r="Q81" s="202">
        <f>UTT!M339</f>
        <v>0.98499999999999999</v>
      </c>
      <c r="R81" s="202">
        <f>UTT!N339</f>
        <v>0.98422580645161284</v>
      </c>
      <c r="S81" s="202">
        <f>UTT!O339</f>
        <v>0.99</v>
      </c>
      <c r="T81" s="198">
        <v>1.4999999999999999E-2</v>
      </c>
      <c r="U81" s="202">
        <f>UTT!U339</f>
        <v>1.0000000000000009E-2</v>
      </c>
      <c r="V81" s="198">
        <v>0</v>
      </c>
      <c r="W81" s="197">
        <v>0</v>
      </c>
      <c r="X81" s="199">
        <f t="shared" si="6"/>
        <v>-1.0735252355169718</v>
      </c>
    </row>
    <row r="82" spans="1:24">
      <c r="A82" s="189" t="s">
        <v>9</v>
      </c>
      <c r="B82" s="190" t="s">
        <v>61</v>
      </c>
      <c r="C82" s="200">
        <v>10</v>
      </c>
      <c r="D82" s="201">
        <v>12</v>
      </c>
      <c r="E82" s="192">
        <v>45199</v>
      </c>
      <c r="F82" s="24">
        <f>UTT!B340</f>
        <v>45199</v>
      </c>
      <c r="G82" s="24">
        <f>UTT!C340</f>
        <v>1301.902018228398</v>
      </c>
      <c r="H82" s="24">
        <f>UTT!D340</f>
        <v>1230.1320000000001</v>
      </c>
      <c r="I82" s="24">
        <f>UTT!E340</f>
        <v>141.6</v>
      </c>
      <c r="J82" s="24">
        <f>UTT!F340</f>
        <v>140.91999999999999</v>
      </c>
      <c r="K82" s="24">
        <f>UTT!G340</f>
        <v>145.5</v>
      </c>
      <c r="L82" s="195">
        <f t="shared" ref="L82:L97" si="7">F82/D82/J82/P82</f>
        <v>156.44285253044009</v>
      </c>
      <c r="M82" s="195">
        <f t="shared" ref="M82:M97" si="8">G82/D82/K82/Q82</f>
        <v>0.75700340050842707</v>
      </c>
      <c r="N82" s="195">
        <f t="shared" ref="N82:N97" si="9">F82/24/DAY(E82)/C82</f>
        <v>6.2776388888888892</v>
      </c>
      <c r="O82" s="195">
        <f t="shared" ref="O82:O97" si="10">G82/24/DAY(E82)/C82</f>
        <v>0.18081972475394417</v>
      </c>
      <c r="P82" s="202">
        <f>UTT!L340</f>
        <v>0.17085166666666668</v>
      </c>
      <c r="Q82" s="202">
        <f>UTT!M340</f>
        <v>0.98499999999999999</v>
      </c>
      <c r="R82" s="202">
        <f>UTT!N340</f>
        <v>0.96923666666666675</v>
      </c>
      <c r="S82" s="202">
        <f>UTT!O340</f>
        <v>0.99</v>
      </c>
      <c r="T82" s="198">
        <v>1.4999999999999999E-2</v>
      </c>
      <c r="U82" s="202">
        <f>UTT!U340</f>
        <v>1.0000000000000009E-2</v>
      </c>
      <c r="V82" s="198">
        <v>0</v>
      </c>
      <c r="W82" s="197">
        <v>0</v>
      </c>
      <c r="X82" s="199">
        <f t="shared" si="6"/>
        <v>-1.0036969303745242</v>
      </c>
    </row>
    <row r="83" spans="1:24">
      <c r="A83" s="189" t="s">
        <v>9</v>
      </c>
      <c r="B83" s="190" t="s">
        <v>61</v>
      </c>
      <c r="C83" s="200">
        <v>10</v>
      </c>
      <c r="D83" s="201">
        <v>12</v>
      </c>
      <c r="E83" s="192">
        <v>45230</v>
      </c>
      <c r="F83" s="24">
        <f>UTT!B341</f>
        <v>45230</v>
      </c>
      <c r="G83" s="24">
        <f>UTT!C341</f>
        <v>1488.9106242831986</v>
      </c>
      <c r="H83" s="24">
        <f>UTT!D341</f>
        <v>1391.8140000000001</v>
      </c>
      <c r="I83" s="24">
        <f>UTT!E341</f>
        <v>139.1</v>
      </c>
      <c r="J83" s="24">
        <f>UTT!F341</f>
        <v>136.64999999999998</v>
      </c>
      <c r="K83" s="24">
        <f>UTT!G341</f>
        <v>172.2</v>
      </c>
      <c r="L83" s="195">
        <f t="shared" si="7"/>
        <v>147.44411414924926</v>
      </c>
      <c r="M83" s="195">
        <f t="shared" si="8"/>
        <v>0.73150618957376456</v>
      </c>
      <c r="N83" s="195">
        <f t="shared" si="9"/>
        <v>6.079301075268817</v>
      </c>
      <c r="O83" s="195">
        <f t="shared" si="10"/>
        <v>0.20012239573698903</v>
      </c>
      <c r="P83" s="202">
        <f>UTT!L341</f>
        <v>0.18707177419354842</v>
      </c>
      <c r="Q83" s="202">
        <f>UTT!M341</f>
        <v>0.98499999999999999</v>
      </c>
      <c r="R83" s="202">
        <f>UTT!N341</f>
        <v>0.94059999999999999</v>
      </c>
      <c r="S83" s="202">
        <f>UTT!O341</f>
        <v>0.99</v>
      </c>
      <c r="T83" s="198">
        <v>1.4999999999999999E-2</v>
      </c>
      <c r="U83" s="202">
        <f>UTT!U341</f>
        <v>1.0000000000000009E-2</v>
      </c>
      <c r="V83" s="198">
        <v>0</v>
      </c>
      <c r="W83" s="197">
        <v>0</v>
      </c>
      <c r="X83" s="199">
        <f t="shared" si="6"/>
        <v>-1.2272350254032265</v>
      </c>
    </row>
    <row r="84" spans="1:24">
      <c r="A84" s="189" t="s">
        <v>9</v>
      </c>
      <c r="B84" s="190" t="s">
        <v>61</v>
      </c>
      <c r="C84" s="200">
        <v>10</v>
      </c>
      <c r="D84" s="201">
        <v>12</v>
      </c>
      <c r="E84" s="192">
        <v>45260</v>
      </c>
      <c r="F84" s="24">
        <f>UTT!B342</f>
        <v>45260</v>
      </c>
      <c r="G84" s="24">
        <f>UTT!C342</f>
        <v>1320.6923566358175</v>
      </c>
      <c r="H84" s="24">
        <f>UTT!D342</f>
        <v>1077.684</v>
      </c>
      <c r="I84" s="24">
        <f>UTT!E342</f>
        <v>108.1</v>
      </c>
      <c r="J84" s="24">
        <f>UTT!F342</f>
        <v>93.580000000000013</v>
      </c>
      <c r="K84" s="24">
        <f>UTT!G342</f>
        <v>152.1</v>
      </c>
      <c r="L84" s="195">
        <f t="shared" si="7"/>
        <v>269.27207936990033</v>
      </c>
      <c r="M84" s="195">
        <f t="shared" si="8"/>
        <v>0.73460685019752658</v>
      </c>
      <c r="N84" s="195">
        <f t="shared" si="9"/>
        <v>6.2861111111111105</v>
      </c>
      <c r="O84" s="195">
        <f t="shared" si="10"/>
        <v>0.18342949397719688</v>
      </c>
      <c r="P84" s="202">
        <f>UTT!L342</f>
        <v>0.14967833333333333</v>
      </c>
      <c r="Q84" s="202">
        <f>UTT!M342</f>
        <v>0.98499999999999999</v>
      </c>
      <c r="R84" s="202">
        <f>UTT!N342</f>
        <v>0.99523000000000006</v>
      </c>
      <c r="S84" s="202">
        <f>UTT!O342</f>
        <v>0.99</v>
      </c>
      <c r="T84" s="198">
        <v>1.4999999999999999E-2</v>
      </c>
      <c r="U84" s="202">
        <f>UTT!U342</f>
        <v>1.0000000000000009E-2</v>
      </c>
      <c r="V84" s="198">
        <v>0</v>
      </c>
      <c r="W84" s="197">
        <v>0</v>
      </c>
      <c r="X84" s="199">
        <f t="shared" si="6"/>
        <v>-1.5961671736594112</v>
      </c>
    </row>
    <row r="85" spans="1:24">
      <c r="A85" s="189" t="s">
        <v>9</v>
      </c>
      <c r="B85" s="190" t="s">
        <v>61</v>
      </c>
      <c r="C85" s="200">
        <v>10</v>
      </c>
      <c r="D85" s="201">
        <v>12</v>
      </c>
      <c r="E85" s="192">
        <v>45291</v>
      </c>
      <c r="F85" s="24">
        <f>UTT!B343</f>
        <v>45291</v>
      </c>
      <c r="G85" s="24">
        <f>UTT!C343</f>
        <v>1111.3143000959931</v>
      </c>
      <c r="H85" s="24">
        <f>UTT!D343</f>
        <v>990.73199999999997</v>
      </c>
      <c r="I85" s="24">
        <f>UTT!E343</f>
        <v>89.9</v>
      </c>
      <c r="J85" s="24">
        <f>UTT!F343</f>
        <v>80.819999999999993</v>
      </c>
      <c r="K85" s="24">
        <f>UTT!G343</f>
        <v>129.6</v>
      </c>
      <c r="L85" s="195">
        <f t="shared" si="7"/>
        <v>350.69418320741255</v>
      </c>
      <c r="M85" s="195">
        <f t="shared" si="8"/>
        <v>0.72546159215390915</v>
      </c>
      <c r="N85" s="195">
        <f t="shared" si="9"/>
        <v>6.0875000000000004</v>
      </c>
      <c r="O85" s="195">
        <f t="shared" si="10"/>
        <v>0.14937020162580553</v>
      </c>
      <c r="P85" s="202">
        <f>UTT!L343</f>
        <v>0.13316290322580643</v>
      </c>
      <c r="Q85" s="202">
        <f>UTT!M343</f>
        <v>0.98499999999999999</v>
      </c>
      <c r="R85" s="202">
        <f>UTT!N343</f>
        <v>0.99259677419354841</v>
      </c>
      <c r="S85" s="202">
        <f>UTT!O343</f>
        <v>0.99</v>
      </c>
      <c r="T85" s="198">
        <v>1.4999999999999999E-2</v>
      </c>
      <c r="U85" s="202">
        <f>UTT!U343</f>
        <v>1.0000000000000009E-2</v>
      </c>
      <c r="V85" s="198">
        <v>0</v>
      </c>
      <c r="W85" s="197">
        <v>0</v>
      </c>
      <c r="X85" s="199">
        <f t="shared" si="6"/>
        <v>-1.5790262749418105</v>
      </c>
    </row>
    <row r="86" spans="1:24">
      <c r="A86" s="189" t="s">
        <v>9</v>
      </c>
      <c r="B86" s="190" t="s">
        <v>61</v>
      </c>
      <c r="C86" s="200">
        <v>10</v>
      </c>
      <c r="D86" s="201">
        <v>12</v>
      </c>
      <c r="E86" s="192">
        <v>45322</v>
      </c>
      <c r="F86" s="24">
        <f>UTT!B344</f>
        <v>45322</v>
      </c>
      <c r="G86" s="24">
        <f>UTT!C344</f>
        <v>936.59994402776147</v>
      </c>
      <c r="H86" s="24">
        <f>UTT!D344</f>
        <v>421.41</v>
      </c>
      <c r="I86" s="24">
        <f>UTT!E344</f>
        <v>79.599999999999994</v>
      </c>
      <c r="J86" s="24">
        <f>UTT!F344</f>
        <v>43.269999999999989</v>
      </c>
      <c r="K86" s="24">
        <f>UTT!G344</f>
        <v>103.2</v>
      </c>
      <c r="L86" s="195">
        <f t="shared" si="7"/>
        <v>1541.0226555882066</v>
      </c>
      <c r="M86" s="195">
        <f t="shared" si="8"/>
        <v>0.76781563900018479</v>
      </c>
      <c r="N86" s="195">
        <f t="shared" si="9"/>
        <v>6.0916666666666668</v>
      </c>
      <c r="O86" s="195">
        <f t="shared" si="10"/>
        <v>0.12588708925104319</v>
      </c>
      <c r="P86" s="202">
        <f>UTT!L344</f>
        <v>5.6641129032258063E-2</v>
      </c>
      <c r="Q86" s="202">
        <f>UTT!M344</f>
        <v>0.98499999999999999</v>
      </c>
      <c r="R86" s="202">
        <f>UTT!N344</f>
        <v>0.99092258064516137</v>
      </c>
      <c r="S86" s="202">
        <f>UTT!O344</f>
        <v>0.99</v>
      </c>
      <c r="T86" s="198">
        <v>1.4999999999999999E-2</v>
      </c>
      <c r="U86" s="202">
        <f>UTT!U344</f>
        <v>1.0000000000000009E-2</v>
      </c>
      <c r="V86" s="198">
        <v>0</v>
      </c>
      <c r="W86" s="197">
        <v>0</v>
      </c>
      <c r="X86" s="199">
        <f t="shared" si="6"/>
        <v>-2.3643588069874903</v>
      </c>
    </row>
    <row r="87" spans="1:24">
      <c r="A87" s="189" t="s">
        <v>9</v>
      </c>
      <c r="B87" s="190" t="s">
        <v>61</v>
      </c>
      <c r="C87" s="200">
        <v>10</v>
      </c>
      <c r="D87" s="201">
        <v>12</v>
      </c>
      <c r="E87" s="192">
        <v>45351</v>
      </c>
      <c r="F87" s="24">
        <f>UTT!B345</f>
        <v>45351</v>
      </c>
      <c r="G87" s="24">
        <f>UTT!C345</f>
        <v>1226.8390901808511</v>
      </c>
      <c r="H87" s="24">
        <f>UTT!D345</f>
        <v>1160.4360000000042</v>
      </c>
      <c r="I87" s="24">
        <f>UTT!E345</f>
        <v>108.1</v>
      </c>
      <c r="J87" s="24">
        <f>UTT!F345</f>
        <v>109.64999999999999</v>
      </c>
      <c r="K87" s="24">
        <f>UTT!G345</f>
        <v>137.5</v>
      </c>
      <c r="L87" s="195">
        <f t="shared" si="7"/>
        <v>206.72120694821177</v>
      </c>
      <c r="M87" s="195">
        <f t="shared" si="8"/>
        <v>0.75486176906989766</v>
      </c>
      <c r="N87" s="195">
        <f t="shared" si="9"/>
        <v>6.5159482758620682</v>
      </c>
      <c r="O87" s="195">
        <f t="shared" si="10"/>
        <v>0.17626998422138668</v>
      </c>
      <c r="P87" s="202">
        <f>UTT!L345</f>
        <v>0.16672931034482821</v>
      </c>
      <c r="Q87" s="202">
        <f>UTT!M345</f>
        <v>0.98499999999999999</v>
      </c>
      <c r="R87" s="202">
        <f>UTT!N345</f>
        <v>0.96519999999999995</v>
      </c>
      <c r="S87" s="202">
        <f>UTT!O345</f>
        <v>0.99</v>
      </c>
      <c r="T87" s="198">
        <v>1.4999999999999999E-2</v>
      </c>
      <c r="U87" s="202">
        <f>UTT!U345</f>
        <v>4.7517241379311237E-3</v>
      </c>
      <c r="V87" s="198">
        <v>0</v>
      </c>
      <c r="W87" s="197">
        <v>0</v>
      </c>
      <c r="X87" s="199">
        <f t="shared" si="6"/>
        <v>-1.2269378834474833</v>
      </c>
    </row>
    <row r="88" spans="1:24">
      <c r="A88" s="189" t="s">
        <v>9</v>
      </c>
      <c r="B88" s="190" t="s">
        <v>61</v>
      </c>
      <c r="C88" s="200">
        <v>10</v>
      </c>
      <c r="D88" s="201">
        <v>12</v>
      </c>
      <c r="E88" s="192">
        <f>EOMONTH(E87,1)</f>
        <v>45382</v>
      </c>
      <c r="F88" s="24">
        <f>UTT!B346</f>
        <v>45382</v>
      </c>
      <c r="G88" s="24">
        <f>UTT!C346</f>
        <v>1640.8305103071907</v>
      </c>
      <c r="H88" s="24">
        <f>UTT!D346</f>
        <v>1448.4</v>
      </c>
      <c r="I88" s="24">
        <f>UTT!E346</f>
        <v>161.4</v>
      </c>
      <c r="J88" s="24">
        <f>UTT!F346</f>
        <v>152.10000000000002</v>
      </c>
      <c r="K88" s="24">
        <f>UTT!G346</f>
        <v>187.8</v>
      </c>
      <c r="L88" s="195">
        <f t="shared" si="7"/>
        <v>127.71961207370039</v>
      </c>
      <c r="M88" s="195">
        <f t="shared" si="8"/>
        <v>0.7391807671998647</v>
      </c>
      <c r="N88" s="195">
        <f t="shared" si="9"/>
        <v>6.0997311827956988</v>
      </c>
      <c r="O88" s="195">
        <f t="shared" si="10"/>
        <v>0.22054173525634285</v>
      </c>
      <c r="P88" s="202">
        <f>UTT!L346</f>
        <v>0.1946774193548387</v>
      </c>
      <c r="Q88" s="202">
        <f>UTT!M346</f>
        <v>0.98499999999999999</v>
      </c>
      <c r="R88" s="202">
        <f>UTT!N346</f>
        <v>0.98886451612903215</v>
      </c>
      <c r="S88" s="202">
        <f>UTT!O346</f>
        <v>0.99</v>
      </c>
      <c r="T88" s="198">
        <v>1.4999999999999999E-2</v>
      </c>
      <c r="U88" s="202">
        <f>UTT!U346</f>
        <v>1.0000000000000009E-2</v>
      </c>
      <c r="V88" s="198">
        <v>0</v>
      </c>
      <c r="W88" s="197">
        <v>0</v>
      </c>
      <c r="X88" s="199">
        <f t="shared" si="6"/>
        <v>-1.1985580277800558</v>
      </c>
    </row>
    <row r="89" spans="1:24">
      <c r="A89" s="189" t="s">
        <v>9</v>
      </c>
      <c r="B89" s="190" t="s">
        <v>61</v>
      </c>
      <c r="C89" s="200">
        <v>10</v>
      </c>
      <c r="D89" s="201">
        <v>12</v>
      </c>
      <c r="E89" s="192">
        <f>EOMONTH(E88,1)</f>
        <v>45412</v>
      </c>
      <c r="F89" s="24">
        <f>UTT!B347</f>
        <v>45412</v>
      </c>
      <c r="G89" s="24">
        <f>UTT!C347</f>
        <v>1695.1390621947317</v>
      </c>
      <c r="H89" s="24">
        <f>UTT!D347</f>
        <v>1507.3979999999999</v>
      </c>
      <c r="I89" s="24">
        <f>UTT!E347</f>
        <v>190.2</v>
      </c>
      <c r="J89" s="24">
        <f>UTT!F347</f>
        <v>184.02999999999997</v>
      </c>
      <c r="K89" s="24">
        <f>UTT!G347</f>
        <v>194</v>
      </c>
      <c r="L89" s="195">
        <f t="shared" si="7"/>
        <v>98.221218767654491</v>
      </c>
      <c r="M89" s="195">
        <f t="shared" si="8"/>
        <v>0.73924113515216727</v>
      </c>
      <c r="N89" s="195">
        <f t="shared" si="9"/>
        <v>6.3072222222222223</v>
      </c>
      <c r="O89" s="195">
        <f t="shared" si="10"/>
        <v>0.23543598086037942</v>
      </c>
      <c r="P89" s="202">
        <f>UTT!L347</f>
        <v>0.2093608333333333</v>
      </c>
      <c r="Q89" s="202">
        <f>UTT!M347</f>
        <v>0.98499999999999999</v>
      </c>
      <c r="R89" s="202">
        <f>UTT!N347</f>
        <v>0.99125876251111111</v>
      </c>
      <c r="S89" s="202">
        <f>UTT!O347</f>
        <v>0.99</v>
      </c>
      <c r="T89" s="198">
        <v>1.4999999999999999E-2</v>
      </c>
      <c r="U89" s="202">
        <f>UTT!U347</f>
        <v>9.7533333333332806E-3</v>
      </c>
      <c r="V89" s="198">
        <v>0</v>
      </c>
      <c r="W89" s="197">
        <v>0</v>
      </c>
      <c r="X89" s="199">
        <f t="shared" si="6"/>
        <v>-1.0168479511986765</v>
      </c>
    </row>
    <row r="90" spans="1:24">
      <c r="A90" s="189" t="s">
        <v>9</v>
      </c>
      <c r="B90" s="190" t="s">
        <v>61</v>
      </c>
      <c r="C90" s="200">
        <v>10</v>
      </c>
      <c r="D90" s="201">
        <v>12</v>
      </c>
      <c r="E90" s="192">
        <f>EOMONTH(E89,1)</f>
        <v>45443</v>
      </c>
      <c r="F90" s="24">
        <f>UTT!B348</f>
        <v>45443</v>
      </c>
      <c r="G90" s="24">
        <f>UTT!C348</f>
        <v>1717.3966654273302</v>
      </c>
      <c r="H90" s="24">
        <f>UTT!D348</f>
        <v>1404.0419999999999</v>
      </c>
      <c r="I90" s="24">
        <f>UTT!E348</f>
        <v>197</v>
      </c>
      <c r="J90" s="24">
        <f>UTT!F348</f>
        <v>195.99999999999997</v>
      </c>
      <c r="K90" s="24">
        <f>UTT!G348</f>
        <v>197.7</v>
      </c>
      <c r="L90" s="195">
        <f t="shared" si="7"/>
        <v>102.38174164741687</v>
      </c>
      <c r="M90" s="195">
        <f t="shared" si="8"/>
        <v>0.73493083549967175</v>
      </c>
      <c r="N90" s="195">
        <f t="shared" si="9"/>
        <v>6.1079301075268813</v>
      </c>
      <c r="O90" s="195">
        <f t="shared" si="10"/>
        <v>0.23083288513808201</v>
      </c>
      <c r="P90" s="202">
        <f>UTT!L348</f>
        <v>0.18871532258064513</v>
      </c>
      <c r="Q90" s="202">
        <f>UTT!M348</f>
        <v>0.98499999999999999</v>
      </c>
      <c r="R90" s="202">
        <f>UTT!N348</f>
        <v>0.9632153547604746</v>
      </c>
      <c r="S90" s="202">
        <f>UTT!O348</f>
        <v>0.99</v>
      </c>
      <c r="T90" s="198">
        <v>1.4999999999999999E-2</v>
      </c>
      <c r="U90" s="202">
        <f>UTT!U348</f>
        <v>8.8935483870967724E-3</v>
      </c>
      <c r="V90" s="198">
        <v>0</v>
      </c>
      <c r="W90" s="197">
        <v>0</v>
      </c>
      <c r="X90" s="199">
        <f t="shared" si="6"/>
        <v>-0.97088114349757793</v>
      </c>
    </row>
    <row r="91" spans="1:24">
      <c r="A91" s="189" t="s">
        <v>9</v>
      </c>
      <c r="B91" s="190" t="s">
        <v>61</v>
      </c>
      <c r="C91" s="200">
        <v>10</v>
      </c>
      <c r="D91" s="201">
        <v>12</v>
      </c>
      <c r="E91" s="192">
        <f>EOMONTH(E90,1)</f>
        <v>45473</v>
      </c>
      <c r="F91" s="24">
        <f>UTT!B349</f>
        <v>45473</v>
      </c>
      <c r="G91" s="24">
        <f>UTT!C349</f>
        <v>1544.6776643423636</v>
      </c>
      <c r="H91" s="24">
        <f>UTT!D349</f>
        <v>1432.0319999999999</v>
      </c>
      <c r="I91" s="24">
        <f>UTT!E349</f>
        <v>178.9</v>
      </c>
      <c r="J91" s="24">
        <f>UTT!F349</f>
        <v>191.7</v>
      </c>
      <c r="K91" s="24">
        <f>UTT!G349</f>
        <v>177.2</v>
      </c>
      <c r="L91" s="195">
        <f t="shared" si="7"/>
        <v>99.387100712273721</v>
      </c>
      <c r="M91" s="195">
        <f t="shared" si="8"/>
        <v>0.73749091161552516</v>
      </c>
      <c r="N91" s="195">
        <f t="shared" si="9"/>
        <v>6.3156944444444445</v>
      </c>
      <c r="O91" s="195">
        <f t="shared" si="10"/>
        <v>0.21453856449199496</v>
      </c>
      <c r="P91" s="202">
        <f>UTT!L349</f>
        <v>0.19889333333333331</v>
      </c>
      <c r="Q91" s="202">
        <f>UTT!M349</f>
        <v>0.98499999999999999</v>
      </c>
      <c r="R91" s="202">
        <f>UTT!N349</f>
        <v>0.9839</v>
      </c>
      <c r="S91" s="202">
        <f>UTT!O349</f>
        <v>0.99</v>
      </c>
      <c r="T91" s="198">
        <v>1.4999999999999999E-2</v>
      </c>
      <c r="U91" s="202">
        <f>UTT!U349</f>
        <v>1.0000000000000009E-2</v>
      </c>
      <c r="V91" s="198">
        <v>0</v>
      </c>
      <c r="W91" s="197">
        <v>0</v>
      </c>
      <c r="X91" s="199">
        <f t="shared" si="6"/>
        <v>-0.89039186354504141</v>
      </c>
    </row>
    <row r="92" spans="1:24">
      <c r="A92" s="189" t="s">
        <v>9</v>
      </c>
      <c r="B92" s="190" t="s">
        <v>61</v>
      </c>
      <c r="C92" s="200">
        <v>10</v>
      </c>
      <c r="D92" s="201">
        <v>12</v>
      </c>
      <c r="E92" s="192">
        <f t="shared" ref="E92:E97" si="11">EOMONTH(E91,1)</f>
        <v>45504</v>
      </c>
      <c r="F92" s="24">
        <f>UTT!B350</f>
        <v>45504</v>
      </c>
      <c r="G92" s="24">
        <f>UTT!C350</f>
        <v>1370.1780549987882</v>
      </c>
      <c r="H92" s="24">
        <f>UTT!D350</f>
        <v>1182.5340000000001</v>
      </c>
      <c r="I92" s="24">
        <f>UTT!E350</f>
        <v>155.5</v>
      </c>
      <c r="J92" s="24">
        <f>UTT!F350</f>
        <v>144.38</v>
      </c>
      <c r="K92" s="24">
        <f>UTT!G350</f>
        <v>154.6</v>
      </c>
      <c r="L92" s="195">
        <f t="shared" si="7"/>
        <v>165.24205615476012</v>
      </c>
      <c r="M92" s="195">
        <f t="shared" si="8"/>
        <v>0.7498079509803085</v>
      </c>
      <c r="N92" s="195">
        <f t="shared" si="9"/>
        <v>6.1161290322580646</v>
      </c>
      <c r="O92" s="195">
        <f t="shared" si="10"/>
        <v>0.18416371706972962</v>
      </c>
      <c r="P92" s="202">
        <f>UTT!L350</f>
        <v>0.15894274193548391</v>
      </c>
      <c r="Q92" s="202">
        <f>UTT!M350</f>
        <v>0.98499999999999999</v>
      </c>
      <c r="R92" s="202">
        <f>UTT!N350</f>
        <v>0.95584501032258062</v>
      </c>
      <c r="S92" s="202">
        <f>UTT!O350</f>
        <v>0.99</v>
      </c>
      <c r="T92" s="198">
        <v>1.4999999999999999E-2</v>
      </c>
      <c r="U92" s="202">
        <f>UTT!U350</f>
        <v>1.0000000000000009E-2</v>
      </c>
      <c r="V92" s="198">
        <v>0</v>
      </c>
      <c r="W92" s="197">
        <v>0</v>
      </c>
      <c r="X92" s="199">
        <f t="shared" si="6"/>
        <v>-1.0406742710725578</v>
      </c>
    </row>
    <row r="93" spans="1:24">
      <c r="A93" s="189" t="s">
        <v>9</v>
      </c>
      <c r="B93" s="190" t="s">
        <v>61</v>
      </c>
      <c r="C93" s="200">
        <v>10</v>
      </c>
      <c r="D93" s="201">
        <v>12</v>
      </c>
      <c r="E93" s="192">
        <f t="shared" si="11"/>
        <v>45535</v>
      </c>
      <c r="F93" s="24">
        <f>UTT!B351</f>
        <v>45535</v>
      </c>
      <c r="G93" s="24">
        <f>UTT!C351</f>
        <v>1301.6246370423833</v>
      </c>
      <c r="H93" s="24">
        <f>UTT!D351</f>
        <v>1303.9860000000001</v>
      </c>
      <c r="I93" s="24">
        <f>UTT!E351</f>
        <v>145.4</v>
      </c>
      <c r="J93" s="24">
        <f>UTT!F351</f>
        <v>161.13999999999996</v>
      </c>
      <c r="K93" s="24">
        <f>UTT!G351</f>
        <v>146.30000000000001</v>
      </c>
      <c r="L93" s="195">
        <f t="shared" si="7"/>
        <v>134.35713745243729</v>
      </c>
      <c r="M93" s="195">
        <f t="shared" si="8"/>
        <v>0.75270353840437687</v>
      </c>
      <c r="N93" s="195">
        <f t="shared" si="9"/>
        <v>6.120295698924731</v>
      </c>
      <c r="O93" s="195">
        <f t="shared" si="10"/>
        <v>0.17494954798956766</v>
      </c>
      <c r="P93" s="202">
        <f>UTT!L351</f>
        <v>0.17526693548387098</v>
      </c>
      <c r="Q93" s="202">
        <f>UTT!M351</f>
        <v>0.98499999999999999</v>
      </c>
      <c r="R93" s="202">
        <f>UTT!N351</f>
        <v>0.9498098229032258</v>
      </c>
      <c r="S93" s="202">
        <f>UTT!O351</f>
        <v>0.99</v>
      </c>
      <c r="T93" s="198">
        <v>1.4999999999999999E-2</v>
      </c>
      <c r="U93" s="202">
        <f>UTT!U351</f>
        <v>1.0000000000000009E-2</v>
      </c>
      <c r="V93" s="198">
        <v>0</v>
      </c>
      <c r="W93" s="197">
        <v>0</v>
      </c>
      <c r="X93" s="199">
        <f t="shared" si="6"/>
        <v>-0.87932102224311715</v>
      </c>
    </row>
    <row r="94" spans="1:24">
      <c r="A94" s="189" t="s">
        <v>9</v>
      </c>
      <c r="B94" s="190" t="s">
        <v>61</v>
      </c>
      <c r="C94" s="200">
        <v>10</v>
      </c>
      <c r="D94" s="201">
        <v>12</v>
      </c>
      <c r="E94" s="192">
        <f t="shared" si="11"/>
        <v>45565</v>
      </c>
      <c r="F94" s="24">
        <f>UTT!B352</f>
        <v>45565</v>
      </c>
      <c r="G94" s="24">
        <f>UTT!C352</f>
        <v>1295.3925081372558</v>
      </c>
      <c r="H94" s="24">
        <f>UTT!D352</f>
        <v>1061.874</v>
      </c>
      <c r="I94" s="24">
        <f>UTT!E352</f>
        <v>141.6</v>
      </c>
      <c r="J94" s="24">
        <f>UTT!F352</f>
        <v>119.97000000000001</v>
      </c>
      <c r="K94" s="24">
        <f>UTT!G352</f>
        <v>145.5</v>
      </c>
      <c r="L94" s="195">
        <f t="shared" si="7"/>
        <v>214.60358808354204</v>
      </c>
      <c r="M94" s="195">
        <f t="shared" si="8"/>
        <v>0.75321838350588488</v>
      </c>
      <c r="N94" s="195">
        <f t="shared" si="9"/>
        <v>6.3284722222222225</v>
      </c>
      <c r="O94" s="195">
        <f t="shared" si="10"/>
        <v>0.17991562613017442</v>
      </c>
      <c r="P94" s="202">
        <f>UTT!L352</f>
        <v>0.14748250000000002</v>
      </c>
      <c r="Q94" s="202">
        <f>UTT!M352</f>
        <v>0.98499999999999999</v>
      </c>
      <c r="R94" s="202">
        <f>UTT!N352</f>
        <v>0.96926403733333333</v>
      </c>
      <c r="S94" s="202">
        <f>UTT!O352</f>
        <v>0.99</v>
      </c>
      <c r="T94" s="198">
        <v>1.4999999999999999E-2</v>
      </c>
      <c r="U94" s="202">
        <f>UTT!U352</f>
        <v>1.0000000000000009E-2</v>
      </c>
      <c r="V94" s="198">
        <v>0</v>
      </c>
      <c r="W94" s="197">
        <v>0</v>
      </c>
      <c r="X94" s="199">
        <f t="shared" si="6"/>
        <v>-1.1843736494310075</v>
      </c>
    </row>
    <row r="95" spans="1:24">
      <c r="A95" s="189" t="s">
        <v>9</v>
      </c>
      <c r="B95" s="190" t="s">
        <v>61</v>
      </c>
      <c r="C95" s="200">
        <v>10</v>
      </c>
      <c r="D95" s="201">
        <v>12</v>
      </c>
      <c r="E95" s="192">
        <f t="shared" si="11"/>
        <v>45596</v>
      </c>
      <c r="F95" s="24">
        <f>UTT!B353</f>
        <v>45596</v>
      </c>
      <c r="G95" s="24">
        <f>UTT!C353</f>
        <v>1481.4660711617826</v>
      </c>
      <c r="H95" s="24">
        <f>UTT!D353</f>
        <v>1277.028</v>
      </c>
      <c r="I95" s="24">
        <f>UTT!E353</f>
        <v>139.1</v>
      </c>
      <c r="J95" s="24">
        <f>UTT!F353</f>
        <v>127.17</v>
      </c>
      <c r="K95" s="24">
        <f>UTT!G353</f>
        <v>172.20000000000002</v>
      </c>
      <c r="L95" s="195">
        <f t="shared" si="7"/>
        <v>174.07377335914168</v>
      </c>
      <c r="M95" s="195">
        <f t="shared" si="8"/>
        <v>0.72784865862589565</v>
      </c>
      <c r="N95" s="195">
        <f t="shared" si="9"/>
        <v>6.1284946236559135</v>
      </c>
      <c r="O95" s="195">
        <f t="shared" si="10"/>
        <v>0.19912178375830411</v>
      </c>
      <c r="P95" s="202">
        <f>UTT!L353</f>
        <v>0.17164354838709678</v>
      </c>
      <c r="Q95" s="202">
        <f>UTT!M353</f>
        <v>0.98499999999999999</v>
      </c>
      <c r="R95" s="202">
        <f>UTT!N353</f>
        <v>0.98594906507804358</v>
      </c>
      <c r="S95" s="202">
        <f>UTT!O353</f>
        <v>0.99</v>
      </c>
      <c r="T95" s="198">
        <v>1.4999999999999999E-2</v>
      </c>
      <c r="U95" s="202">
        <f>UTT!U353</f>
        <v>3.7483870967741639E-3</v>
      </c>
      <c r="V95" s="198">
        <v>0</v>
      </c>
      <c r="W95" s="197">
        <v>0</v>
      </c>
      <c r="X95" s="199">
        <f t="shared" si="6"/>
        <v>-1.3216018053152854</v>
      </c>
    </row>
    <row r="96" spans="1:24">
      <c r="A96" s="189" t="s">
        <v>9</v>
      </c>
      <c r="B96" s="190" t="s">
        <v>61</v>
      </c>
      <c r="C96" s="200">
        <v>10</v>
      </c>
      <c r="D96" s="201">
        <v>12</v>
      </c>
      <c r="E96" s="192">
        <f t="shared" si="11"/>
        <v>45626</v>
      </c>
      <c r="F96" s="24">
        <f>UTT!B354</f>
        <v>45626</v>
      </c>
      <c r="G96" s="24">
        <f>UTT!C354</f>
        <v>1314.0888948526385</v>
      </c>
      <c r="H96" s="24">
        <f>UTT!D354</f>
        <v>937.66800000000001</v>
      </c>
      <c r="I96" s="24">
        <f>UTT!E354</f>
        <v>108.10000000000001</v>
      </c>
      <c r="J96" s="24">
        <f>UTT!F354</f>
        <v>84.36999999999999</v>
      </c>
      <c r="K96" s="24">
        <f>UTT!G354</f>
        <v>152.1</v>
      </c>
      <c r="L96" s="195">
        <f t="shared" si="7"/>
        <v>346.0401586209984</v>
      </c>
      <c r="M96" s="195">
        <f t="shared" si="8"/>
        <v>0.73093381594653895</v>
      </c>
      <c r="N96" s="195">
        <f t="shared" si="9"/>
        <v>6.3369444444444438</v>
      </c>
      <c r="O96" s="195">
        <f t="shared" si="10"/>
        <v>0.18251234650731091</v>
      </c>
      <c r="P96" s="202">
        <f>UTT!L354</f>
        <v>0.13023166666666666</v>
      </c>
      <c r="Q96" s="202">
        <f>UTT!M354</f>
        <v>0.98499999999999999</v>
      </c>
      <c r="R96" s="202">
        <f>UTT!N354</f>
        <v>0.98238550083970488</v>
      </c>
      <c r="S96" s="202">
        <f>UTT!O354</f>
        <v>0.99</v>
      </c>
      <c r="T96" s="198">
        <v>1.4999999999999999E-2</v>
      </c>
      <c r="U96" s="202">
        <f>UTT!U354</f>
        <v>1.0000000000000009E-2</v>
      </c>
      <c r="V96" s="198">
        <v>0</v>
      </c>
      <c r="W96" s="197">
        <v>0</v>
      </c>
      <c r="X96" s="199">
        <f t="shared" si="6"/>
        <v>-1.7739721805701656</v>
      </c>
    </row>
    <row r="97" spans="1:24">
      <c r="A97" s="189" t="s">
        <v>9</v>
      </c>
      <c r="B97" s="190" t="s">
        <v>61</v>
      </c>
      <c r="C97" s="200">
        <v>10</v>
      </c>
      <c r="D97" s="201">
        <v>12</v>
      </c>
      <c r="E97" s="192">
        <f t="shared" si="11"/>
        <v>45657</v>
      </c>
      <c r="F97" s="24">
        <f>UTT!B355</f>
        <v>45657</v>
      </c>
      <c r="G97" s="24">
        <f>UTT!C355</f>
        <v>1105.7577285955131</v>
      </c>
      <c r="H97" s="24">
        <f>UTT!D355</f>
        <v>996.61199999999997</v>
      </c>
      <c r="I97" s="24">
        <f>UTT!E355</f>
        <v>89.9</v>
      </c>
      <c r="J97" s="24">
        <f>UTT!F355</f>
        <v>77.62</v>
      </c>
      <c r="K97" s="24">
        <f>UTT!G355</f>
        <v>129.6</v>
      </c>
      <c r="L97" s="195">
        <f t="shared" si="7"/>
        <v>365.93109120797368</v>
      </c>
      <c r="M97" s="195">
        <f t="shared" si="8"/>
        <v>0.72183428419313955</v>
      </c>
      <c r="N97" s="195">
        <f t="shared" si="9"/>
        <v>6.1366935483870968</v>
      </c>
      <c r="O97" s="195">
        <f t="shared" si="10"/>
        <v>0.14862335061767648</v>
      </c>
      <c r="P97" s="202">
        <f>UTT!L355</f>
        <v>0.13395322580645161</v>
      </c>
      <c r="Q97" s="202">
        <f>UTT!M355</f>
        <v>0.98499999999999999</v>
      </c>
      <c r="R97" s="202">
        <f>UTT!N355</f>
        <v>0.99692376000000005</v>
      </c>
      <c r="S97" s="202">
        <f>UTT!O355</f>
        <v>0.99</v>
      </c>
      <c r="T97" s="198">
        <v>1.4999999999999999E-2</v>
      </c>
      <c r="U97" s="202">
        <f>UTT!U355</f>
        <v>1.0000000000000009E-2</v>
      </c>
      <c r="V97" s="198">
        <v>0</v>
      </c>
      <c r="W97" s="197">
        <v>0</v>
      </c>
      <c r="X97" s="199">
        <f t="shared" si="6"/>
        <v>-1.6454539652552072</v>
      </c>
    </row>
    <row r="98" spans="1:24">
      <c r="A98" s="189"/>
      <c r="B98" s="190"/>
      <c r="C98" s="200"/>
      <c r="D98" s="201"/>
      <c r="E98" s="192"/>
      <c r="F98" s="24"/>
      <c r="G98" s="24"/>
      <c r="H98" s="24"/>
      <c r="I98" s="24"/>
      <c r="J98" s="24"/>
      <c r="K98" s="24"/>
      <c r="L98" s="195"/>
      <c r="M98" s="195"/>
      <c r="N98" s="195"/>
      <c r="O98" s="195"/>
      <c r="P98" s="202"/>
      <c r="Q98" s="202"/>
      <c r="R98" s="202"/>
      <c r="S98" s="203"/>
      <c r="T98" s="198"/>
      <c r="U98" s="203"/>
      <c r="V98" s="198"/>
      <c r="W98" s="197"/>
      <c r="X98" s="199"/>
    </row>
    <row r="99" spans="1:24">
      <c r="A99" s="189" t="s">
        <v>9</v>
      </c>
      <c r="B99" s="190" t="s">
        <v>62</v>
      </c>
      <c r="C99" s="190">
        <v>10</v>
      </c>
      <c r="D99" s="191">
        <v>12</v>
      </c>
      <c r="E99" s="192">
        <v>42766</v>
      </c>
      <c r="F99" s="24"/>
      <c r="G99" s="24">
        <v>0</v>
      </c>
      <c r="H99" s="193">
        <v>79.599999999999994</v>
      </c>
      <c r="I99" s="194"/>
      <c r="J99" s="193">
        <v>103.2</v>
      </c>
      <c r="K99" s="194"/>
      <c r="L99" s="195">
        <v>0.83104704670606167</v>
      </c>
      <c r="M99" s="195"/>
      <c r="N99" s="195"/>
      <c r="O99" s="195"/>
      <c r="P99" s="195">
        <v>0.98499999999999999</v>
      </c>
      <c r="Q99" s="195"/>
      <c r="R99" s="196">
        <v>0.99</v>
      </c>
      <c r="S99" s="197"/>
      <c r="T99" s="198">
        <v>1.4999999999999999E-2</v>
      </c>
      <c r="U99" s="197">
        <v>0</v>
      </c>
      <c r="V99" s="198">
        <v>0</v>
      </c>
      <c r="W99" s="197">
        <v>0</v>
      </c>
      <c r="X99" s="199" t="e">
        <f t="shared" si="6"/>
        <v>#DIV/0!</v>
      </c>
    </row>
    <row r="100" spans="1:24">
      <c r="A100" s="189" t="s">
        <v>9</v>
      </c>
      <c r="B100" s="190" t="s">
        <v>62</v>
      </c>
      <c r="C100" s="190">
        <v>10</v>
      </c>
      <c r="D100" s="191">
        <v>12</v>
      </c>
      <c r="E100" s="192">
        <v>42794</v>
      </c>
      <c r="F100" s="24"/>
      <c r="G100" s="24">
        <v>28.943999999999999</v>
      </c>
      <c r="H100" s="193">
        <v>108.1</v>
      </c>
      <c r="I100" s="194"/>
      <c r="J100" s="193">
        <v>137.5</v>
      </c>
      <c r="K100" s="194"/>
      <c r="L100" s="195">
        <v>0.81636242274348869</v>
      </c>
      <c r="M100" s="195"/>
      <c r="N100" s="195"/>
      <c r="O100" s="195"/>
      <c r="P100" s="195">
        <v>0.98499999999999999</v>
      </c>
      <c r="Q100" s="195"/>
      <c r="R100" s="196">
        <v>0.99</v>
      </c>
      <c r="S100" s="197"/>
      <c r="T100" s="198">
        <v>1.4999999999999999E-2</v>
      </c>
      <c r="U100" s="197">
        <v>0</v>
      </c>
      <c r="V100" s="198">
        <v>0</v>
      </c>
      <c r="W100" s="197">
        <v>0</v>
      </c>
      <c r="X100" s="199" t="e">
        <f t="shared" si="6"/>
        <v>#DIV/0!</v>
      </c>
    </row>
    <row r="101" spans="1:24">
      <c r="A101" s="189" t="s">
        <v>9</v>
      </c>
      <c r="B101" s="190" t="s">
        <v>62</v>
      </c>
      <c r="C101" s="190">
        <v>10</v>
      </c>
      <c r="D101" s="191">
        <v>12</v>
      </c>
      <c r="E101" s="192">
        <v>42825</v>
      </c>
      <c r="F101" s="24">
        <v>1803.1419503723607</v>
      </c>
      <c r="G101" s="24">
        <v>796.524</v>
      </c>
      <c r="H101" s="193">
        <v>161.4</v>
      </c>
      <c r="I101" s="194"/>
      <c r="J101" s="193">
        <v>187.8</v>
      </c>
      <c r="K101" s="194"/>
      <c r="L101" s="195">
        <v>0.80011623640946072</v>
      </c>
      <c r="M101" s="195"/>
      <c r="N101" s="195"/>
      <c r="O101" s="195"/>
      <c r="P101" s="195">
        <v>0.98499999999999999</v>
      </c>
      <c r="Q101" s="195"/>
      <c r="R101" s="196">
        <v>0.99</v>
      </c>
      <c r="S101" s="197"/>
      <c r="T101" s="198">
        <v>1.4999999999999999E-2</v>
      </c>
      <c r="U101" s="197">
        <v>0</v>
      </c>
      <c r="V101" s="198">
        <v>0</v>
      </c>
      <c r="W101" s="197">
        <v>0</v>
      </c>
      <c r="X101" s="199">
        <f t="shared" si="6"/>
        <v>0.44174225985675308</v>
      </c>
    </row>
    <row r="102" spans="1:24">
      <c r="A102" s="189" t="s">
        <v>9</v>
      </c>
      <c r="B102" s="190" t="s">
        <v>62</v>
      </c>
      <c r="C102" s="190">
        <v>10</v>
      </c>
      <c r="D102" s="191">
        <v>12</v>
      </c>
      <c r="E102" s="192">
        <v>42855</v>
      </c>
      <c r="F102" s="24">
        <v>1865.923053559713</v>
      </c>
      <c r="G102" s="24">
        <v>1187.6759999999999</v>
      </c>
      <c r="H102" s="193">
        <v>190.2</v>
      </c>
      <c r="I102" s="194"/>
      <c r="J102" s="193">
        <v>194</v>
      </c>
      <c r="K102" s="194"/>
      <c r="L102" s="195">
        <v>0.80151333915795231</v>
      </c>
      <c r="M102" s="195"/>
      <c r="N102" s="195"/>
      <c r="O102" s="195"/>
      <c r="P102" s="195">
        <v>0.98499999999999999</v>
      </c>
      <c r="Q102" s="195"/>
      <c r="R102" s="196">
        <v>0.99</v>
      </c>
      <c r="S102" s="197"/>
      <c r="T102" s="198">
        <v>1.4999999999999999E-2</v>
      </c>
      <c r="U102" s="197">
        <v>0</v>
      </c>
      <c r="V102" s="198">
        <v>0</v>
      </c>
      <c r="W102" s="197">
        <v>0</v>
      </c>
      <c r="X102" s="199">
        <f t="shared" si="6"/>
        <v>0.63650856220153995</v>
      </c>
    </row>
    <row r="103" spans="1:24">
      <c r="A103" s="189" t="s">
        <v>9</v>
      </c>
      <c r="B103" s="190" t="s">
        <v>62</v>
      </c>
      <c r="C103" s="190">
        <v>10</v>
      </c>
      <c r="D103" s="191">
        <v>12</v>
      </c>
      <c r="E103" s="192">
        <v>42886</v>
      </c>
      <c r="F103" s="24">
        <v>1890.4469219922721</v>
      </c>
      <c r="G103" s="24">
        <v>1141.3499999999999</v>
      </c>
      <c r="H103" s="193">
        <v>197</v>
      </c>
      <c r="I103" s="194"/>
      <c r="J103" s="193">
        <v>197.7</v>
      </c>
      <c r="K103" s="194"/>
      <c r="L103" s="195">
        <v>0.79684999240948917</v>
      </c>
      <c r="M103" s="195"/>
      <c r="N103" s="195"/>
      <c r="O103" s="195"/>
      <c r="P103" s="195">
        <v>0.98499999999999999</v>
      </c>
      <c r="Q103" s="195"/>
      <c r="R103" s="196">
        <v>0.99</v>
      </c>
      <c r="S103" s="197"/>
      <c r="T103" s="198">
        <v>1.4999999999999999E-2</v>
      </c>
      <c r="U103" s="197">
        <v>0</v>
      </c>
      <c r="V103" s="198">
        <v>0</v>
      </c>
      <c r="W103" s="197">
        <v>0</v>
      </c>
      <c r="X103" s="199">
        <f t="shared" si="6"/>
        <v>0.60374612305812503</v>
      </c>
    </row>
    <row r="104" spans="1:24">
      <c r="A104" s="189" t="s">
        <v>9</v>
      </c>
      <c r="B104" s="190" t="s">
        <v>62</v>
      </c>
      <c r="C104" s="190">
        <v>10</v>
      </c>
      <c r="D104" s="191">
        <v>12</v>
      </c>
      <c r="E104" s="192">
        <v>42916</v>
      </c>
      <c r="F104" s="24">
        <v>1700.1417029556114</v>
      </c>
      <c r="G104" s="24">
        <v>1130.55</v>
      </c>
      <c r="H104" s="193">
        <v>178.9</v>
      </c>
      <c r="I104" s="194">
        <v>152.65</v>
      </c>
      <c r="J104" s="193">
        <v>177.2</v>
      </c>
      <c r="K104" s="194">
        <v>146.05000000000001</v>
      </c>
      <c r="L104" s="195">
        <v>0.79953992802652918</v>
      </c>
      <c r="M104" s="195">
        <f>G104/12/K104</f>
        <v>0.64507018144471062</v>
      </c>
      <c r="N104" s="195">
        <f>F104/24/30/10</f>
        <v>0.23613079207716825</v>
      </c>
      <c r="O104" s="195">
        <f>G104/24/30/10</f>
        <v>0.15702083333333333</v>
      </c>
      <c r="P104" s="195">
        <v>0.98499999999999999</v>
      </c>
      <c r="Q104" s="195">
        <v>0.78010632000000002</v>
      </c>
      <c r="R104" s="196">
        <v>0.99</v>
      </c>
      <c r="S104" s="197">
        <v>0.99860000000000004</v>
      </c>
      <c r="T104" s="198">
        <v>1.4999999999999999E-2</v>
      </c>
      <c r="U104" s="197">
        <v>0</v>
      </c>
      <c r="V104" s="198">
        <v>0</v>
      </c>
      <c r="W104" s="197">
        <v>0</v>
      </c>
      <c r="X104" s="199">
        <f t="shared" si="6"/>
        <v>-0.15923594920861917</v>
      </c>
    </row>
    <row r="105" spans="1:24">
      <c r="A105" s="189" t="s">
        <v>9</v>
      </c>
      <c r="B105" s="190" t="s">
        <v>62</v>
      </c>
      <c r="C105" s="190">
        <v>10</v>
      </c>
      <c r="D105" s="191">
        <v>12</v>
      </c>
      <c r="E105" s="192">
        <v>42947</v>
      </c>
      <c r="F105" s="24">
        <v>1507.8745744443459</v>
      </c>
      <c r="G105" s="24">
        <v>1004.04</v>
      </c>
      <c r="H105" s="193">
        <v>155.5</v>
      </c>
      <c r="I105" s="194">
        <v>156.31</v>
      </c>
      <c r="J105" s="193">
        <v>154.6</v>
      </c>
      <c r="K105" s="194">
        <v>154.55000000000001</v>
      </c>
      <c r="L105" s="195">
        <v>0.81278275897172592</v>
      </c>
      <c r="M105" s="195">
        <f t="shared" ref="M105:M113" si="12">G105/12/K105</f>
        <v>0.54137819475897764</v>
      </c>
      <c r="N105" s="195">
        <f>F105/24/31/10</f>
        <v>0.20267131376940131</v>
      </c>
      <c r="O105" s="195">
        <f>G105/24/31/10</f>
        <v>0.13495161290322583</v>
      </c>
      <c r="P105" s="195">
        <v>0.98499999999999999</v>
      </c>
      <c r="Q105" s="195">
        <v>0.79665522999999994</v>
      </c>
      <c r="R105" s="196">
        <v>0.99</v>
      </c>
      <c r="S105" s="197">
        <v>0.99470000000000003</v>
      </c>
      <c r="T105" s="198">
        <v>1.4999999999999999E-2</v>
      </c>
      <c r="U105" s="197">
        <v>0</v>
      </c>
      <c r="V105" s="198">
        <v>0</v>
      </c>
      <c r="W105" s="197">
        <v>0</v>
      </c>
      <c r="X105" s="199">
        <f t="shared" si="6"/>
        <v>-0.33381218393078027</v>
      </c>
    </row>
    <row r="106" spans="1:24">
      <c r="A106" s="189" t="s">
        <v>9</v>
      </c>
      <c r="B106" s="190" t="s">
        <v>62</v>
      </c>
      <c r="C106" s="190">
        <v>10</v>
      </c>
      <c r="D106" s="191">
        <v>12</v>
      </c>
      <c r="E106" s="192">
        <v>42978</v>
      </c>
      <c r="F106" s="24">
        <v>1432.341059672063</v>
      </c>
      <c r="G106" s="24">
        <v>1050.864</v>
      </c>
      <c r="H106" s="193">
        <v>145.4</v>
      </c>
      <c r="I106" s="194">
        <v>132.52000000000001</v>
      </c>
      <c r="J106" s="193">
        <v>146.30000000000001</v>
      </c>
      <c r="K106" s="194">
        <v>133.94999999999999</v>
      </c>
      <c r="L106" s="195">
        <v>0.8158698220961853</v>
      </c>
      <c r="M106" s="195">
        <f t="shared" si="12"/>
        <v>0.65376633072041812</v>
      </c>
      <c r="N106" s="195">
        <f>F106/24/31/10</f>
        <v>0.19251895963334181</v>
      </c>
      <c r="O106" s="195">
        <f>G106/24/31/10</f>
        <v>0.14124516129032258</v>
      </c>
      <c r="P106" s="195">
        <v>0.98499999999999999</v>
      </c>
      <c r="Q106" s="195">
        <v>0.92086847999999999</v>
      </c>
      <c r="R106" s="196">
        <v>0.99</v>
      </c>
      <c r="S106" s="197">
        <v>0.99360000000000004</v>
      </c>
      <c r="T106" s="198">
        <v>1.4999999999999999E-2</v>
      </c>
      <c r="U106" s="197">
        <v>0</v>
      </c>
      <c r="V106" s="198">
        <v>0</v>
      </c>
      <c r="W106" s="197">
        <v>0</v>
      </c>
      <c r="X106" s="199">
        <f t="shared" si="6"/>
        <v>-0.18191557819131765</v>
      </c>
    </row>
    <row r="107" spans="1:24">
      <c r="A107" s="189" t="s">
        <v>9</v>
      </c>
      <c r="B107" s="190" t="s">
        <v>62</v>
      </c>
      <c r="C107" s="190">
        <v>10</v>
      </c>
      <c r="D107" s="191">
        <v>12</v>
      </c>
      <c r="E107" s="192">
        <v>43008</v>
      </c>
      <c r="F107" s="24">
        <v>1425.4743765109463</v>
      </c>
      <c r="G107" s="24">
        <v>1090.02</v>
      </c>
      <c r="H107" s="193">
        <v>141.6</v>
      </c>
      <c r="I107" s="194">
        <v>118.9</v>
      </c>
      <c r="J107" s="193">
        <v>145.5</v>
      </c>
      <c r="K107" s="194">
        <v>125.63</v>
      </c>
      <c r="L107" s="195">
        <v>0.81642289605437934</v>
      </c>
      <c r="M107" s="195">
        <f t="shared" si="12"/>
        <v>0.72303589906869381</v>
      </c>
      <c r="N107" s="195">
        <f>F107/24/30/10</f>
        <v>0.19798255229318698</v>
      </c>
      <c r="O107" s="195">
        <f>G107/24/30/10</f>
        <v>0.15139166666666665</v>
      </c>
      <c r="P107" s="195">
        <v>0.98499999999999999</v>
      </c>
      <c r="Q107" s="195">
        <v>0.96710417999999998</v>
      </c>
      <c r="R107" s="196">
        <v>0.99</v>
      </c>
      <c r="S107" s="197">
        <v>0.99180000000000001</v>
      </c>
      <c r="T107" s="198">
        <v>1.4999999999999999E-2</v>
      </c>
      <c r="U107" s="197">
        <v>0</v>
      </c>
      <c r="V107" s="198">
        <v>0</v>
      </c>
      <c r="W107" s="197">
        <v>0</v>
      </c>
      <c r="X107" s="199">
        <f t="shared" si="6"/>
        <v>-9.8764666342397001E-2</v>
      </c>
    </row>
    <row r="108" spans="1:24">
      <c r="A108" s="189" t="s">
        <v>9</v>
      </c>
      <c r="B108" s="190" t="s">
        <v>62</v>
      </c>
      <c r="C108" s="190">
        <v>10</v>
      </c>
      <c r="D108" s="191">
        <v>12</v>
      </c>
      <c r="E108" s="192">
        <v>43039</v>
      </c>
      <c r="F108" s="24">
        <v>1630.4939166071431</v>
      </c>
      <c r="G108" s="24">
        <v>1365.21</v>
      </c>
      <c r="H108" s="193">
        <v>139.1</v>
      </c>
      <c r="I108" s="194">
        <v>121.97</v>
      </c>
      <c r="J108" s="193">
        <v>172.2</v>
      </c>
      <c r="K108" s="194">
        <v>153.08000000000001</v>
      </c>
      <c r="L108" s="195">
        <v>0.78905048229149399</v>
      </c>
      <c r="M108" s="195">
        <f t="shared" si="12"/>
        <v>0.74318983538019334</v>
      </c>
      <c r="N108" s="195">
        <f>F108/24/31/10</f>
        <v>0.21915240814612136</v>
      </c>
      <c r="O108" s="195">
        <f>G108/24/31/10</f>
        <v>0.1834959677419355</v>
      </c>
      <c r="P108" s="195">
        <v>0.98499999999999999</v>
      </c>
      <c r="Q108" s="195">
        <v>0.96776640000000003</v>
      </c>
      <c r="R108" s="196">
        <v>0.99</v>
      </c>
      <c r="S108" s="197">
        <v>0.97399999999999998</v>
      </c>
      <c r="T108" s="198">
        <v>1.4999999999999999E-2</v>
      </c>
      <c r="U108" s="197">
        <v>0</v>
      </c>
      <c r="V108" s="198">
        <v>0</v>
      </c>
      <c r="W108" s="197">
        <v>0</v>
      </c>
      <c r="X108" s="199">
        <f t="shared" si="6"/>
        <v>-5.1667886087845449E-2</v>
      </c>
    </row>
    <row r="109" spans="1:24">
      <c r="A109" s="189" t="s">
        <v>9</v>
      </c>
      <c r="B109" s="190" t="s">
        <v>62</v>
      </c>
      <c r="C109" s="190">
        <v>10</v>
      </c>
      <c r="D109" s="191">
        <v>12</v>
      </c>
      <c r="E109" s="192">
        <v>43069</v>
      </c>
      <c r="F109" s="24">
        <v>1442.1506070450866</v>
      </c>
      <c r="G109" s="24">
        <v>1132.3140000000001</v>
      </c>
      <c r="H109" s="193">
        <v>108.1</v>
      </c>
      <c r="I109" s="194">
        <v>90.63</v>
      </c>
      <c r="J109" s="193">
        <v>152.1</v>
      </c>
      <c r="K109" s="194">
        <v>118.01</v>
      </c>
      <c r="L109" s="195">
        <v>0.79013292080050768</v>
      </c>
      <c r="M109" s="195">
        <f t="shared" si="12"/>
        <v>0.79958901787984071</v>
      </c>
      <c r="N109" s="195">
        <f>F109/24/30/10</f>
        <v>0.20029869542292872</v>
      </c>
      <c r="O109" s="195">
        <f>G109/24/30/10</f>
        <v>0.15726583333333335</v>
      </c>
      <c r="P109" s="195">
        <v>0.98499999999999999</v>
      </c>
      <c r="Q109" s="195">
        <v>0.98614800000000014</v>
      </c>
      <c r="R109" s="196">
        <v>0.99</v>
      </c>
      <c r="S109" s="197">
        <v>0.99250000000000005</v>
      </c>
      <c r="T109" s="198">
        <v>1.4999999999999999E-2</v>
      </c>
      <c r="U109" s="197">
        <v>0</v>
      </c>
      <c r="V109" s="198">
        <v>0</v>
      </c>
      <c r="W109" s="197">
        <v>0</v>
      </c>
      <c r="X109" s="199">
        <f t="shared" si="6"/>
        <v>9.2854159132675917E-3</v>
      </c>
    </row>
    <row r="110" spans="1:24">
      <c r="A110" s="189" t="s">
        <v>9</v>
      </c>
      <c r="B110" s="190" t="s">
        <v>62</v>
      </c>
      <c r="C110" s="190">
        <v>10</v>
      </c>
      <c r="D110" s="191">
        <v>12</v>
      </c>
      <c r="E110" s="192">
        <v>43100</v>
      </c>
      <c r="F110" s="24">
        <v>1208.6833795671214</v>
      </c>
      <c r="G110" s="24">
        <v>1041.4860000000001</v>
      </c>
      <c r="H110" s="193">
        <v>89.9</v>
      </c>
      <c r="I110" s="194">
        <v>74.430000000000007</v>
      </c>
      <c r="J110" s="193">
        <v>129.6</v>
      </c>
      <c r="K110" s="194">
        <v>103.96</v>
      </c>
      <c r="L110" s="195">
        <v>0.77718838706733628</v>
      </c>
      <c r="M110" s="195">
        <f t="shared" si="12"/>
        <v>0.83484513274336292</v>
      </c>
      <c r="N110" s="195">
        <f>F110/24/31/10</f>
        <v>0.16245744349020447</v>
      </c>
      <c r="O110" s="195">
        <f>G110/24/31/10</f>
        <v>0.13998467741935486</v>
      </c>
      <c r="P110" s="195">
        <v>0.98499999999999999</v>
      </c>
      <c r="Q110" s="195">
        <v>0.98709999999999998</v>
      </c>
      <c r="R110" s="196">
        <v>0.99</v>
      </c>
      <c r="S110" s="197">
        <v>0.98709999999999998</v>
      </c>
      <c r="T110" s="198">
        <v>1.4999999999999999E-2</v>
      </c>
      <c r="U110" s="197">
        <v>0</v>
      </c>
      <c r="V110" s="198">
        <v>0</v>
      </c>
      <c r="W110" s="197">
        <v>0</v>
      </c>
      <c r="X110" s="199">
        <f t="shared" si="6"/>
        <v>5.9509334356460775E-2</v>
      </c>
    </row>
    <row r="111" spans="1:24">
      <c r="A111" s="189" t="s">
        <v>9</v>
      </c>
      <c r="B111" s="190" t="s">
        <v>62</v>
      </c>
      <c r="C111" s="190">
        <v>10</v>
      </c>
      <c r="D111" s="191">
        <v>12</v>
      </c>
      <c r="E111" s="192">
        <v>43131</v>
      </c>
      <c r="F111" s="24">
        <v>1024.022819327583</v>
      </c>
      <c r="G111" s="24">
        <v>925.31399999999996</v>
      </c>
      <c r="H111" s="193">
        <v>79.599999999999994</v>
      </c>
      <c r="I111" s="194">
        <v>69.81</v>
      </c>
      <c r="J111" s="193">
        <v>103.2</v>
      </c>
      <c r="K111" s="194">
        <v>93.06</v>
      </c>
      <c r="L111" s="195">
        <v>0.83104704670606167</v>
      </c>
      <c r="M111" s="195">
        <f t="shared" si="12"/>
        <v>0.8285998280679131</v>
      </c>
      <c r="N111" s="195">
        <f>F111/24/31/10</f>
        <v>0.13763747571607299</v>
      </c>
      <c r="O111" s="195">
        <f>G111/24/31/10</f>
        <v>0.12437016129032256</v>
      </c>
      <c r="P111" s="195">
        <v>0.98499999999999999</v>
      </c>
      <c r="Q111" s="195">
        <v>0.98450000000000004</v>
      </c>
      <c r="R111" s="196">
        <v>0.99</v>
      </c>
      <c r="S111" s="197">
        <v>0.98540000000000005</v>
      </c>
      <c r="T111" s="198">
        <v>1.4999999999999999E-2</v>
      </c>
      <c r="U111" s="197">
        <v>0</v>
      </c>
      <c r="V111" s="198">
        <v>0</v>
      </c>
      <c r="W111" s="197">
        <v>0</v>
      </c>
      <c r="X111" s="199">
        <f t="shared" si="6"/>
        <v>1.8626306527496084E-3</v>
      </c>
    </row>
    <row r="112" spans="1:24">
      <c r="A112" s="189" t="s">
        <v>9</v>
      </c>
      <c r="B112" s="190" t="s">
        <v>62</v>
      </c>
      <c r="C112" s="190">
        <v>10</v>
      </c>
      <c r="D112" s="191">
        <v>12</v>
      </c>
      <c r="E112" s="192">
        <v>43159</v>
      </c>
      <c r="F112" s="24">
        <v>1340.2630075391226</v>
      </c>
      <c r="G112" s="24">
        <f>1343016/1000</f>
        <v>1343.0160000000001</v>
      </c>
      <c r="H112" s="193">
        <v>108.1</v>
      </c>
      <c r="I112" s="194">
        <v>106.48</v>
      </c>
      <c r="J112" s="193">
        <v>137.5</v>
      </c>
      <c r="K112" s="194">
        <v>138.08000000000001</v>
      </c>
      <c r="L112" s="195">
        <v>0.81636242274348869</v>
      </c>
      <c r="M112" s="195">
        <f t="shared" si="12"/>
        <v>0.81053012746234065</v>
      </c>
      <c r="N112" s="195">
        <f>F112/24/28/10</f>
        <v>0.19944389993141703</v>
      </c>
      <c r="O112" s="195">
        <f>G112/24/28/10</f>
        <v>0.19985357142857144</v>
      </c>
      <c r="P112" s="195">
        <v>0.98499999999999999</v>
      </c>
      <c r="Q112" s="195">
        <v>0.96430000000000005</v>
      </c>
      <c r="R112" s="196">
        <v>0.99</v>
      </c>
      <c r="S112" s="197">
        <v>0.97989999999999999</v>
      </c>
      <c r="T112" s="198">
        <v>1.4999999999999999E-2</v>
      </c>
      <c r="U112" s="197">
        <v>0</v>
      </c>
      <c r="V112" s="198">
        <v>0</v>
      </c>
      <c r="W112" s="197">
        <v>0</v>
      </c>
      <c r="X112" s="199">
        <f t="shared" si="6"/>
        <v>-2.1641129933380743E-3</v>
      </c>
    </row>
    <row r="113" spans="1:24">
      <c r="A113" s="189" t="s">
        <v>9</v>
      </c>
      <c r="B113" s="190" t="s">
        <v>62</v>
      </c>
      <c r="C113" s="190">
        <v>10</v>
      </c>
      <c r="D113" s="191">
        <v>12</v>
      </c>
      <c r="E113" s="192">
        <v>43190</v>
      </c>
      <c r="F113" s="24">
        <v>1794</v>
      </c>
      <c r="G113" s="24">
        <v>1740.75</v>
      </c>
      <c r="H113" s="193">
        <v>161.4</v>
      </c>
      <c r="I113" s="194">
        <v>161.91</v>
      </c>
      <c r="J113" s="193">
        <v>187.8</v>
      </c>
      <c r="K113" s="194">
        <v>180.92</v>
      </c>
      <c r="L113" s="195">
        <v>0.80011623640946072</v>
      </c>
      <c r="M113" s="195">
        <f t="shared" si="12"/>
        <v>0.80180466504532399</v>
      </c>
      <c r="N113" s="195">
        <f>F113/24/31/10</f>
        <v>0.24112903225806451</v>
      </c>
      <c r="O113" s="195">
        <f>G113/24/31/10</f>
        <v>0.23397177419354839</v>
      </c>
      <c r="P113" s="195">
        <v>0.98499999999999999</v>
      </c>
      <c r="Q113" s="195">
        <v>0.99790000000000001</v>
      </c>
      <c r="R113" s="196">
        <v>0.99</v>
      </c>
      <c r="S113" s="197">
        <v>0.99790000000000001</v>
      </c>
      <c r="T113" s="198">
        <v>1.4999999999999999E-2</v>
      </c>
      <c r="U113" s="197">
        <v>0</v>
      </c>
      <c r="V113" s="198">
        <v>0</v>
      </c>
      <c r="W113" s="197">
        <v>0</v>
      </c>
      <c r="X113" s="199">
        <f t="shared" si="6"/>
        <v>6.9524435373861104E-3</v>
      </c>
    </row>
    <row r="114" spans="1:24">
      <c r="A114" s="189" t="s">
        <v>9</v>
      </c>
      <c r="B114" s="190" t="s">
        <v>62</v>
      </c>
      <c r="C114" s="190">
        <v>10</v>
      </c>
      <c r="D114" s="191">
        <v>12</v>
      </c>
      <c r="E114" s="192">
        <v>43220</v>
      </c>
      <c r="F114" s="24">
        <v>1745.1978319943994</v>
      </c>
      <c r="G114" s="24">
        <v>1292.3579999999999</v>
      </c>
      <c r="H114" s="193">
        <v>190.2</v>
      </c>
      <c r="I114" s="194">
        <v>148.85</v>
      </c>
      <c r="J114" s="193">
        <v>194</v>
      </c>
      <c r="K114" s="194">
        <v>153.6</v>
      </c>
      <c r="L114" s="195">
        <f>F114/D114/J114/P114</f>
        <v>0.76107149859333278</v>
      </c>
      <c r="M114" s="195">
        <f>G114/D114/K114/Q114</f>
        <v>0.7745487346516936</v>
      </c>
      <c r="N114" s="195">
        <f>F114/24/DAY(E114)/C114</f>
        <v>0.24238858777699993</v>
      </c>
      <c r="O114" s="195">
        <f>G114/24/DAY(E114)/C114</f>
        <v>0.17949416666666668</v>
      </c>
      <c r="P114" s="195">
        <v>0.98499999999999999</v>
      </c>
      <c r="Q114" s="195">
        <v>0.90523560000000003</v>
      </c>
      <c r="R114" s="196">
        <v>0.99</v>
      </c>
      <c r="S114" s="197">
        <v>0.97399999999999998</v>
      </c>
      <c r="T114" s="198">
        <v>1.4999999999999999E-2</v>
      </c>
      <c r="U114" s="197">
        <v>0</v>
      </c>
      <c r="V114" s="198">
        <v>0</v>
      </c>
      <c r="W114" s="197">
        <v>0</v>
      </c>
      <c r="X114" s="199">
        <f t="shared" si="6"/>
        <v>-5.1230227184014376E-2</v>
      </c>
    </row>
    <row r="115" spans="1:24">
      <c r="A115" s="189" t="s">
        <v>9</v>
      </c>
      <c r="B115" s="190" t="s">
        <v>62</v>
      </c>
      <c r="C115" s="190">
        <v>10</v>
      </c>
      <c r="D115" s="191">
        <v>12</v>
      </c>
      <c r="E115" s="192">
        <v>43251</v>
      </c>
      <c r="F115" s="24">
        <v>1768.1350061393723</v>
      </c>
      <c r="G115" s="24">
        <f>1515798/1000</f>
        <v>1515.798</v>
      </c>
      <c r="H115" s="193">
        <v>197</v>
      </c>
      <c r="I115" s="194">
        <v>163.84</v>
      </c>
      <c r="J115" s="193">
        <v>197.7</v>
      </c>
      <c r="K115" s="194">
        <v>165.36</v>
      </c>
      <c r="L115" s="195">
        <f t="shared" ref="L115:L178" si="13">F115/D115/J115/P115</f>
        <v>0.75664344964527452</v>
      </c>
      <c r="M115" s="195">
        <f t="shared" ref="M115:M178" si="14">G115/D115/K115/Q115</f>
        <v>0.76803527145278261</v>
      </c>
      <c r="N115" s="195">
        <f t="shared" ref="N115:N178" si="15">F115/24/DAY(E115)/C115</f>
        <v>0.2376525545886253</v>
      </c>
      <c r="O115" s="195">
        <f t="shared" ref="O115:O178" si="16">G115/24/DAY(E115)/C115</f>
        <v>0.20373629032258064</v>
      </c>
      <c r="P115" s="195">
        <v>0.98499999999999999</v>
      </c>
      <c r="Q115" s="195">
        <v>0.99460000000000004</v>
      </c>
      <c r="R115" s="196">
        <v>0.99</v>
      </c>
      <c r="S115" s="197">
        <v>0.99819999999999998</v>
      </c>
      <c r="T115" s="198">
        <v>1.4999999999999999E-2</v>
      </c>
      <c r="U115" s="197">
        <v>0</v>
      </c>
      <c r="V115" s="198">
        <v>0</v>
      </c>
      <c r="W115" s="197">
        <v>0</v>
      </c>
      <c r="X115" s="199">
        <f t="shared" si="6"/>
        <v>2.0867530376230903E-2</v>
      </c>
    </row>
    <row r="116" spans="1:24">
      <c r="A116" s="189" t="s">
        <v>9</v>
      </c>
      <c r="B116" s="190" t="s">
        <v>62</v>
      </c>
      <c r="C116" s="190">
        <v>10</v>
      </c>
      <c r="D116" s="191">
        <v>12</v>
      </c>
      <c r="E116" s="192">
        <v>43281</v>
      </c>
      <c r="F116" s="24">
        <v>1590.1425347743834</v>
      </c>
      <c r="G116" s="24">
        <f>1487388/1000</f>
        <v>1487.3879999999999</v>
      </c>
      <c r="H116" s="193">
        <v>178.9</v>
      </c>
      <c r="I116" s="194">
        <f>5.16*30</f>
        <v>154.80000000000001</v>
      </c>
      <c r="J116" s="193">
        <v>177.2</v>
      </c>
      <c r="K116" s="194">
        <f>5.18*30</f>
        <v>155.39999999999998</v>
      </c>
      <c r="L116" s="195">
        <f t="shared" si="13"/>
        <v>0.75919765957686569</v>
      </c>
      <c r="M116" s="195">
        <f t="shared" si="14"/>
        <v>0.80852773706296266</v>
      </c>
      <c r="N116" s="195">
        <f t="shared" si="15"/>
        <v>0.22085312982977548</v>
      </c>
      <c r="O116" s="195">
        <f t="shared" si="16"/>
        <v>0.20658166666666666</v>
      </c>
      <c r="P116" s="195">
        <v>0.98499999999999999</v>
      </c>
      <c r="Q116" s="195">
        <v>0.98650000000000004</v>
      </c>
      <c r="R116" s="196">
        <v>0.99</v>
      </c>
      <c r="S116" s="197">
        <v>0.98760000000000003</v>
      </c>
      <c r="T116" s="198">
        <v>1.4999999999999999E-2</v>
      </c>
      <c r="U116" s="197">
        <v>0</v>
      </c>
      <c r="V116" s="198">
        <v>0</v>
      </c>
      <c r="W116" s="197">
        <v>0</v>
      </c>
      <c r="X116" s="199">
        <f t="shared" si="6"/>
        <v>5.8405129932532884E-2</v>
      </c>
    </row>
    <row r="117" spans="1:24">
      <c r="A117" s="189" t="s">
        <v>9</v>
      </c>
      <c r="B117" s="190" t="s">
        <v>62</v>
      </c>
      <c r="C117" s="190">
        <v>10</v>
      </c>
      <c r="D117" s="191">
        <v>12</v>
      </c>
      <c r="E117" s="192">
        <v>43312</v>
      </c>
      <c r="F117" s="24">
        <v>1410.3150894777968</v>
      </c>
      <c r="G117" s="24">
        <f>1218084/1000</f>
        <v>1218.0840000000001</v>
      </c>
      <c r="H117" s="193">
        <v>155.5</v>
      </c>
      <c r="I117" s="194">
        <v>128.25</v>
      </c>
      <c r="J117" s="193">
        <v>154.6</v>
      </c>
      <c r="K117" s="194">
        <v>126.45</v>
      </c>
      <c r="L117" s="195">
        <f t="shared" si="13"/>
        <v>0.77177229895051302</v>
      </c>
      <c r="M117" s="195">
        <f t="shared" si="14"/>
        <v>0.82239951608974471</v>
      </c>
      <c r="N117" s="195">
        <f t="shared" si="15"/>
        <v>0.18955847976852108</v>
      </c>
      <c r="O117" s="195">
        <f t="shared" si="16"/>
        <v>0.16372096774193551</v>
      </c>
      <c r="P117" s="195">
        <v>0.98499999999999999</v>
      </c>
      <c r="Q117" s="195">
        <v>0.97609999999999997</v>
      </c>
      <c r="R117" s="196">
        <v>0.99</v>
      </c>
      <c r="S117" s="197">
        <v>0.9879</v>
      </c>
      <c r="T117" s="198">
        <v>1.4999999999999999E-2</v>
      </c>
      <c r="U117" s="197">
        <v>0</v>
      </c>
      <c r="V117" s="198">
        <v>0</v>
      </c>
      <c r="W117" s="197">
        <v>0</v>
      </c>
      <c r="X117" s="199">
        <f t="shared" si="6"/>
        <v>4.577914775967562E-2</v>
      </c>
    </row>
    <row r="118" spans="1:24">
      <c r="A118" s="189" t="s">
        <v>9</v>
      </c>
      <c r="B118" s="190" t="s">
        <v>62</v>
      </c>
      <c r="C118" s="190">
        <v>10</v>
      </c>
      <c r="D118" s="191">
        <v>12</v>
      </c>
      <c r="E118" s="192">
        <v>43343</v>
      </c>
      <c r="F118" s="24">
        <v>1339.6685931112804</v>
      </c>
      <c r="G118" s="24">
        <f>1036572/1000</f>
        <v>1036.5719999999999</v>
      </c>
      <c r="H118" s="193">
        <v>145.4</v>
      </c>
      <c r="I118" s="194">
        <v>110.9</v>
      </c>
      <c r="J118" s="193">
        <v>146.30000000000001</v>
      </c>
      <c r="K118" s="194">
        <v>109.83</v>
      </c>
      <c r="L118" s="195">
        <f t="shared" si="13"/>
        <v>0.7747035985853421</v>
      </c>
      <c r="M118" s="195">
        <f t="shared" si="14"/>
        <v>0.80857131081605293</v>
      </c>
      <c r="N118" s="195">
        <f t="shared" si="15"/>
        <v>0.18006298294506456</v>
      </c>
      <c r="O118" s="195">
        <f t="shared" si="16"/>
        <v>0.13932419354838707</v>
      </c>
      <c r="P118" s="195">
        <v>0.98499999999999999</v>
      </c>
      <c r="Q118" s="195">
        <v>0.97270000000000001</v>
      </c>
      <c r="R118" s="196">
        <v>0.99</v>
      </c>
      <c r="S118" s="197">
        <v>0.99780000000000002</v>
      </c>
      <c r="T118" s="198">
        <v>1.4999999999999999E-2</v>
      </c>
      <c r="U118" s="197">
        <v>0</v>
      </c>
      <c r="V118" s="198">
        <v>0</v>
      </c>
      <c r="W118" s="197">
        <v>0</v>
      </c>
      <c r="X118" s="199">
        <f t="shared" si="6"/>
        <v>2.3034854059441279E-2</v>
      </c>
    </row>
    <row r="119" spans="1:24">
      <c r="A119" s="189" t="s">
        <v>9</v>
      </c>
      <c r="B119" s="190" t="s">
        <v>62</v>
      </c>
      <c r="C119" s="190">
        <v>10</v>
      </c>
      <c r="D119" s="191">
        <v>12</v>
      </c>
      <c r="E119" s="192">
        <v>43373</v>
      </c>
      <c r="F119" s="24">
        <v>1333.2461843506883</v>
      </c>
      <c r="G119" s="24">
        <f>1107012/1000</f>
        <v>1107.0119999999999</v>
      </c>
      <c r="H119" s="193">
        <v>141.6</v>
      </c>
      <c r="I119" s="194">
        <v>117.65</v>
      </c>
      <c r="J119" s="193">
        <v>145.5</v>
      </c>
      <c r="K119" s="194">
        <v>118.37</v>
      </c>
      <c r="L119" s="195">
        <f t="shared" si="13"/>
        <v>0.77522876617224479</v>
      </c>
      <c r="M119" s="195">
        <f t="shared" si="14"/>
        <v>0.79875415443983566</v>
      </c>
      <c r="N119" s="195">
        <f t="shared" si="15"/>
        <v>0.18517308115981782</v>
      </c>
      <c r="O119" s="195">
        <f t="shared" si="16"/>
        <v>0.15375166666666665</v>
      </c>
      <c r="P119" s="195">
        <v>0.98499999999999999</v>
      </c>
      <c r="Q119" s="195">
        <v>0.97570000000000001</v>
      </c>
      <c r="R119" s="196">
        <v>0.99</v>
      </c>
      <c r="S119" s="197">
        <v>0.98529999999999995</v>
      </c>
      <c r="T119" s="198">
        <v>1.4999999999999999E-2</v>
      </c>
      <c r="U119" s="197">
        <v>0</v>
      </c>
      <c r="V119" s="198">
        <v>0</v>
      </c>
      <c r="W119" s="197">
        <v>0</v>
      </c>
      <c r="X119" s="199">
        <f t="shared" si="6"/>
        <v>1.6773751817271032E-2</v>
      </c>
    </row>
    <row r="120" spans="1:24">
      <c r="A120" s="189" t="s">
        <v>9</v>
      </c>
      <c r="B120" s="190" t="s">
        <v>62</v>
      </c>
      <c r="C120" s="190">
        <v>10</v>
      </c>
      <c r="D120" s="191">
        <v>12</v>
      </c>
      <c r="E120" s="192">
        <v>43404</v>
      </c>
      <c r="F120" s="24">
        <v>1525.0009602026607</v>
      </c>
      <c r="G120" s="24">
        <f>1467342/1000</f>
        <v>1467.3420000000001</v>
      </c>
      <c r="H120" s="193">
        <v>139.1</v>
      </c>
      <c r="I120" s="194">
        <f>4.46*31</f>
        <v>138.26</v>
      </c>
      <c r="J120" s="193">
        <v>172.2</v>
      </c>
      <c r="K120" s="194">
        <f>5.22*31</f>
        <v>161.82</v>
      </c>
      <c r="L120" s="195">
        <f t="shared" si="13"/>
        <v>0.7492374782611515</v>
      </c>
      <c r="M120" s="195">
        <f t="shared" si="14"/>
        <v>0.77797298598818354</v>
      </c>
      <c r="N120" s="195">
        <f t="shared" si="15"/>
        <v>0.2049732473390673</v>
      </c>
      <c r="O120" s="195">
        <f t="shared" si="16"/>
        <v>0.1972233870967742</v>
      </c>
      <c r="P120" s="195">
        <v>0.98499999999999999</v>
      </c>
      <c r="Q120" s="195">
        <v>0.97130000000000005</v>
      </c>
      <c r="R120" s="196">
        <v>0.99</v>
      </c>
      <c r="S120" s="197">
        <v>0.97460000000000002</v>
      </c>
      <c r="T120" s="198">
        <v>1.4999999999999999E-2</v>
      </c>
      <c r="U120" s="197">
        <v>0</v>
      </c>
      <c r="V120" s="198">
        <v>0</v>
      </c>
      <c r="W120" s="197">
        <v>0</v>
      </c>
      <c r="X120" s="199">
        <f t="shared" si="6"/>
        <v>2.2469615219528394E-2</v>
      </c>
    </row>
    <row r="121" spans="1:24">
      <c r="A121" s="189" t="s">
        <v>9</v>
      </c>
      <c r="B121" s="190" t="s">
        <v>62</v>
      </c>
      <c r="C121" s="190">
        <v>10</v>
      </c>
      <c r="D121" s="191">
        <v>12</v>
      </c>
      <c r="E121" s="192">
        <v>43434</v>
      </c>
      <c r="F121" s="24">
        <v>1348.8434627692695</v>
      </c>
      <c r="G121" s="24">
        <f>1148178/1000</f>
        <v>1148.1780000000001</v>
      </c>
      <c r="H121" s="193">
        <v>108.1</v>
      </c>
      <c r="I121" s="194">
        <f>3.27*30</f>
        <v>98.1</v>
      </c>
      <c r="J121" s="193">
        <v>152.1</v>
      </c>
      <c r="K121" s="194">
        <f>4.4*30</f>
        <v>132</v>
      </c>
      <c r="L121" s="195">
        <f t="shared" si="13"/>
        <v>0.75026530032965977</v>
      </c>
      <c r="M121" s="195">
        <f t="shared" si="14"/>
        <v>0.7534925659925662</v>
      </c>
      <c r="N121" s="195">
        <f t="shared" si="15"/>
        <v>0.18733936982906521</v>
      </c>
      <c r="O121" s="195">
        <f t="shared" si="16"/>
        <v>0.15946916666666669</v>
      </c>
      <c r="P121" s="195">
        <v>0.98499999999999999</v>
      </c>
      <c r="Q121" s="195">
        <v>0.96199999999999997</v>
      </c>
      <c r="R121" s="196">
        <v>0.99</v>
      </c>
      <c r="S121" s="197">
        <v>0.99990000000000001</v>
      </c>
      <c r="T121" s="198">
        <v>1.4999999999999999E-2</v>
      </c>
      <c r="U121" s="197">
        <v>0</v>
      </c>
      <c r="V121" s="198">
        <v>0</v>
      </c>
      <c r="W121" s="197">
        <v>0</v>
      </c>
      <c r="X121" s="199">
        <f t="shared" si="6"/>
        <v>-1.6618631297902198E-2</v>
      </c>
    </row>
    <row r="122" spans="1:24">
      <c r="A122" s="189" t="s">
        <v>9</v>
      </c>
      <c r="B122" s="190" t="s">
        <v>62</v>
      </c>
      <c r="C122" s="190">
        <v>10</v>
      </c>
      <c r="D122" s="191">
        <v>12</v>
      </c>
      <c r="E122" s="192">
        <v>43465</v>
      </c>
      <c r="F122" s="24">
        <v>1130.4815649091288</v>
      </c>
      <c r="G122" s="24">
        <f>1116936/1000</f>
        <v>1116.9359999999999</v>
      </c>
      <c r="H122" s="193">
        <v>89.9</v>
      </c>
      <c r="I122" s="194">
        <v>86.49</v>
      </c>
      <c r="J122" s="193">
        <v>129.6</v>
      </c>
      <c r="K122" s="194">
        <v>122.14</v>
      </c>
      <c r="L122" s="195">
        <f t="shared" si="13"/>
        <v>0.73797390702952259</v>
      </c>
      <c r="M122" s="195">
        <f t="shared" si="14"/>
        <v>0.78757744029191945</v>
      </c>
      <c r="N122" s="195">
        <f t="shared" si="15"/>
        <v>0.15194644689638828</v>
      </c>
      <c r="O122" s="195">
        <f t="shared" si="16"/>
        <v>0.15012580645161289</v>
      </c>
      <c r="P122" s="195">
        <v>0.98499999999999999</v>
      </c>
      <c r="Q122" s="195">
        <v>0.96760000000000002</v>
      </c>
      <c r="R122" s="196">
        <v>0.99</v>
      </c>
      <c r="S122" s="197">
        <v>1</v>
      </c>
      <c r="T122" s="198">
        <v>1.4999999999999999E-2</v>
      </c>
      <c r="U122" s="197">
        <v>0</v>
      </c>
      <c r="V122" s="198">
        <v>0</v>
      </c>
      <c r="W122" s="197">
        <v>0</v>
      </c>
      <c r="X122" s="199">
        <f t="shared" si="6"/>
        <v>4.5579609155268819E-2</v>
      </c>
    </row>
    <row r="123" spans="1:24">
      <c r="A123" s="189" t="s">
        <v>9</v>
      </c>
      <c r="B123" s="190" t="s">
        <v>62</v>
      </c>
      <c r="C123" s="190">
        <v>10</v>
      </c>
      <c r="D123" s="191">
        <v>12</v>
      </c>
      <c r="E123" s="192">
        <v>43496</v>
      </c>
      <c r="F123" s="24">
        <v>957.76854291708833</v>
      </c>
      <c r="G123" s="24">
        <f>1080282/1000</f>
        <v>1080.2819999999999</v>
      </c>
      <c r="H123" s="193">
        <v>79.599999999999994</v>
      </c>
      <c r="I123" s="194">
        <v>88.039999999999992</v>
      </c>
      <c r="J123" s="193">
        <v>103.2</v>
      </c>
      <c r="K123" s="194">
        <v>118.11</v>
      </c>
      <c r="L123" s="195">
        <f t="shared" si="13"/>
        <v>0.78516945306625241</v>
      </c>
      <c r="M123" s="195">
        <f t="shared" si="14"/>
        <v>0.77672525330444186</v>
      </c>
      <c r="N123" s="195">
        <f t="shared" si="15"/>
        <v>0.12873233103724305</v>
      </c>
      <c r="O123" s="195">
        <f t="shared" si="16"/>
        <v>0.14519919354838709</v>
      </c>
      <c r="P123" s="195">
        <v>0.98499999999999999</v>
      </c>
      <c r="Q123" s="195">
        <v>0.98129999999999995</v>
      </c>
      <c r="R123" s="196">
        <v>0.99</v>
      </c>
      <c r="S123" s="197">
        <v>0.98399999999999999</v>
      </c>
      <c r="T123" s="198">
        <v>1.4999999999999999E-2</v>
      </c>
      <c r="U123" s="197">
        <v>0</v>
      </c>
      <c r="V123" s="198">
        <v>0</v>
      </c>
      <c r="W123" s="197">
        <v>0</v>
      </c>
      <c r="X123" s="199">
        <f t="shared" si="6"/>
        <v>-1.6561228491857038E-2</v>
      </c>
    </row>
    <row r="124" spans="1:24">
      <c r="A124" s="189" t="s">
        <v>9</v>
      </c>
      <c r="B124" s="190" t="s">
        <v>62</v>
      </c>
      <c r="C124" s="190">
        <v>10</v>
      </c>
      <c r="D124" s="191">
        <v>12</v>
      </c>
      <c r="E124" s="192">
        <v>43524</v>
      </c>
      <c r="F124" s="24">
        <v>1253.5479909513413</v>
      </c>
      <c r="G124" s="24">
        <v>1014.0119999999999</v>
      </c>
      <c r="H124" s="193">
        <v>108.1</v>
      </c>
      <c r="I124" s="194">
        <v>92.399999999999991</v>
      </c>
      <c r="J124" s="193">
        <v>137.5</v>
      </c>
      <c r="K124" s="194">
        <v>110.32</v>
      </c>
      <c r="L124" s="195">
        <f t="shared" si="13"/>
        <v>0.77129548743352794</v>
      </c>
      <c r="M124" s="195">
        <f t="shared" si="14"/>
        <v>0.80738131558677328</v>
      </c>
      <c r="N124" s="195">
        <f t="shared" si="15"/>
        <v>0.18653987960585436</v>
      </c>
      <c r="O124" s="195">
        <f t="shared" si="16"/>
        <v>0.15089464285714285</v>
      </c>
      <c r="P124" s="195">
        <v>0.98499999999999999</v>
      </c>
      <c r="Q124" s="195">
        <v>0.94869999999999999</v>
      </c>
      <c r="R124" s="196">
        <v>0.99</v>
      </c>
      <c r="S124" s="197">
        <v>0.97789999999999999</v>
      </c>
      <c r="T124" s="198">
        <v>1.4999999999999999E-2</v>
      </c>
      <c r="U124" s="197">
        <v>0</v>
      </c>
      <c r="V124" s="198">
        <v>0</v>
      </c>
      <c r="W124" s="197">
        <v>0</v>
      </c>
      <c r="X124" s="199">
        <f t="shared" si="6"/>
        <v>6.5863128072125576E-3</v>
      </c>
    </row>
    <row r="125" spans="1:24">
      <c r="A125" s="189" t="s">
        <v>9</v>
      </c>
      <c r="B125" s="190" t="s">
        <v>62</v>
      </c>
      <c r="C125" s="190">
        <v>10</v>
      </c>
      <c r="D125" s="191">
        <v>12</v>
      </c>
      <c r="E125" s="192">
        <v>43555</v>
      </c>
      <c r="F125" s="24">
        <v>1678.0462728523526</v>
      </c>
      <c r="G125" s="24">
        <f>1640028/1000</f>
        <v>1640.028</v>
      </c>
      <c r="H125" s="193">
        <v>161.4</v>
      </c>
      <c r="I125" s="194">
        <v>156.04</v>
      </c>
      <c r="J125" s="193">
        <v>187.8</v>
      </c>
      <c r="K125" s="194">
        <v>177.2</v>
      </c>
      <c r="L125" s="195">
        <f t="shared" si="13"/>
        <v>0.75594616480629417</v>
      </c>
      <c r="M125" s="195">
        <f t="shared" si="14"/>
        <v>0.77670669858308394</v>
      </c>
      <c r="N125" s="195">
        <f t="shared" si="15"/>
        <v>0.22554385387800435</v>
      </c>
      <c r="O125" s="195">
        <f t="shared" si="16"/>
        <v>0.22043387096774195</v>
      </c>
      <c r="P125" s="195">
        <v>0.98499999999999999</v>
      </c>
      <c r="Q125" s="195">
        <v>0.99299999999999999</v>
      </c>
      <c r="R125" s="196">
        <v>0.99</v>
      </c>
      <c r="S125" s="197">
        <v>0.99509999999999998</v>
      </c>
      <c r="T125" s="198">
        <v>1.4999999999999999E-2</v>
      </c>
      <c r="U125" s="197">
        <v>0</v>
      </c>
      <c r="V125" s="198">
        <v>0</v>
      </c>
      <c r="W125" s="197">
        <v>0</v>
      </c>
      <c r="X125" s="199">
        <f t="shared" si="6"/>
        <v>3.3786752454797453E-2</v>
      </c>
    </row>
    <row r="126" spans="1:24">
      <c r="A126" s="189" t="s">
        <v>9</v>
      </c>
      <c r="B126" s="190" t="s">
        <v>62</v>
      </c>
      <c r="C126" s="190">
        <v>10</v>
      </c>
      <c r="D126" s="191">
        <v>12</v>
      </c>
      <c r="E126" s="192">
        <v>43585</v>
      </c>
      <c r="F126" s="24">
        <v>1736.4718428344272</v>
      </c>
      <c r="G126" s="24">
        <f>1574544/1000</f>
        <v>1574.5440000000001</v>
      </c>
      <c r="H126" s="193">
        <v>190.2</v>
      </c>
      <c r="I126" s="194">
        <f>5.81*30</f>
        <v>174.29999999999998</v>
      </c>
      <c r="J126" s="193">
        <v>194</v>
      </c>
      <c r="K126" s="194">
        <f>5.95*30</f>
        <v>178.5</v>
      </c>
      <c r="L126" s="195">
        <f t="shared" si="13"/>
        <v>0.75726614110036605</v>
      </c>
      <c r="M126" s="195">
        <f t="shared" si="14"/>
        <v>0.74408465684077063</v>
      </c>
      <c r="N126" s="195">
        <f t="shared" si="15"/>
        <v>0.24117664483811491</v>
      </c>
      <c r="O126" s="195">
        <f t="shared" si="16"/>
        <v>0.2186866666666667</v>
      </c>
      <c r="P126" s="195">
        <v>0.98499999999999999</v>
      </c>
      <c r="Q126" s="195">
        <v>0.9879</v>
      </c>
      <c r="R126" s="196">
        <v>0.99</v>
      </c>
      <c r="S126" s="197">
        <v>0.99239999999999995</v>
      </c>
      <c r="T126" s="198">
        <v>1.4999999999999999E-2</v>
      </c>
      <c r="U126" s="197">
        <v>0</v>
      </c>
      <c r="V126" s="198">
        <v>0</v>
      </c>
      <c r="W126" s="197">
        <v>0</v>
      </c>
      <c r="X126" s="199">
        <f t="shared" si="6"/>
        <v>-1.3354154413225405E-2</v>
      </c>
    </row>
    <row r="127" spans="1:24">
      <c r="A127" s="189" t="s">
        <v>9</v>
      </c>
      <c r="B127" s="190" t="s">
        <v>62</v>
      </c>
      <c r="C127" s="190">
        <v>10</v>
      </c>
      <c r="D127" s="191">
        <v>12</v>
      </c>
      <c r="E127" s="192">
        <v>43616</v>
      </c>
      <c r="F127" s="24">
        <v>1759.2943311086754</v>
      </c>
      <c r="G127" s="24">
        <f>1564836/1000</f>
        <v>1564.836</v>
      </c>
      <c r="H127" s="193">
        <v>197</v>
      </c>
      <c r="I127" s="194">
        <v>189.98</v>
      </c>
      <c r="J127" s="193">
        <v>197.7</v>
      </c>
      <c r="K127" s="194">
        <v>193.09</v>
      </c>
      <c r="L127" s="195">
        <f t="shared" si="13"/>
        <v>0.75286023239704802</v>
      </c>
      <c r="M127" s="195">
        <f t="shared" si="14"/>
        <v>0.70363438548031609</v>
      </c>
      <c r="N127" s="195">
        <f t="shared" si="15"/>
        <v>0.23646429181568215</v>
      </c>
      <c r="O127" s="195">
        <f t="shared" si="16"/>
        <v>0.2103274193548387</v>
      </c>
      <c r="P127" s="195">
        <v>0.98499999999999999</v>
      </c>
      <c r="Q127" s="195">
        <v>0.95979999999999999</v>
      </c>
      <c r="R127" s="196">
        <v>0.99</v>
      </c>
      <c r="S127" s="197">
        <v>0.98570000000000002</v>
      </c>
      <c r="T127" s="198">
        <v>1.4999999999999999E-2</v>
      </c>
      <c r="U127" s="197">
        <v>0</v>
      </c>
      <c r="V127" s="198">
        <v>0</v>
      </c>
      <c r="W127" s="197">
        <v>0</v>
      </c>
      <c r="X127" s="199">
        <f t="shared" si="6"/>
        <v>-8.7213846915894955E-2</v>
      </c>
    </row>
    <row r="128" spans="1:24">
      <c r="A128" s="189" t="s">
        <v>9</v>
      </c>
      <c r="B128" s="190" t="s">
        <v>62</v>
      </c>
      <c r="C128" s="190">
        <v>10</v>
      </c>
      <c r="D128" s="191">
        <v>12</v>
      </c>
      <c r="E128" s="192">
        <v>43646</v>
      </c>
      <c r="F128" s="24">
        <v>1582.1918221005112</v>
      </c>
      <c r="G128" s="24">
        <f>1643112/1000</f>
        <v>1643.1120000000001</v>
      </c>
      <c r="H128" s="193">
        <v>178.9</v>
      </c>
      <c r="I128" s="194">
        <v>189.29999999999998</v>
      </c>
      <c r="J128" s="193">
        <v>177.2</v>
      </c>
      <c r="K128" s="194">
        <v>186.6</v>
      </c>
      <c r="L128" s="195">
        <f t="shared" si="13"/>
        <v>0.75540167127898128</v>
      </c>
      <c r="M128" s="195">
        <f t="shared" si="14"/>
        <v>0.73570705055007979</v>
      </c>
      <c r="N128" s="195">
        <f t="shared" si="15"/>
        <v>0.21974886418062659</v>
      </c>
      <c r="O128" s="195">
        <f t="shared" si="16"/>
        <v>0.22821000000000002</v>
      </c>
      <c r="P128" s="195">
        <v>0.98499999999999999</v>
      </c>
      <c r="Q128" s="195">
        <v>0.99739999999999995</v>
      </c>
      <c r="R128" s="196">
        <v>0.99</v>
      </c>
      <c r="S128" s="197">
        <v>0.99809999999999999</v>
      </c>
      <c r="T128" s="198">
        <v>1.4999999999999999E-2</v>
      </c>
      <c r="U128" s="197">
        <v>0</v>
      </c>
      <c r="V128" s="198">
        <v>0</v>
      </c>
      <c r="W128" s="197">
        <v>0</v>
      </c>
      <c r="X128" s="199">
        <f t="shared" si="6"/>
        <v>-1.4543742845559038E-2</v>
      </c>
    </row>
    <row r="129" spans="1:24">
      <c r="A129" s="189" t="s">
        <v>9</v>
      </c>
      <c r="B129" s="190" t="s">
        <v>62</v>
      </c>
      <c r="C129" s="190">
        <v>10</v>
      </c>
      <c r="D129" s="191">
        <v>12</v>
      </c>
      <c r="E129" s="192">
        <v>43677</v>
      </c>
      <c r="F129" s="24">
        <v>1403.2635140304076</v>
      </c>
      <c r="G129" s="24">
        <v>1235.2919999999999</v>
      </c>
      <c r="H129" s="193">
        <v>155.5</v>
      </c>
      <c r="I129" s="194">
        <v>142.91</v>
      </c>
      <c r="J129" s="193">
        <v>154.6</v>
      </c>
      <c r="K129" s="194">
        <v>140.43</v>
      </c>
      <c r="L129" s="195">
        <f t="shared" si="13"/>
        <v>0.76791343745576035</v>
      </c>
      <c r="M129" s="195">
        <f t="shared" si="14"/>
        <v>0.76726122349383796</v>
      </c>
      <c r="N129" s="195">
        <f t="shared" si="15"/>
        <v>0.18861068736967843</v>
      </c>
      <c r="O129" s="195">
        <f t="shared" si="16"/>
        <v>0.16603387096774191</v>
      </c>
      <c r="P129" s="195">
        <v>0.98499999999999999</v>
      </c>
      <c r="Q129" s="195">
        <v>0.95540000000000003</v>
      </c>
      <c r="R129" s="196">
        <v>0.99</v>
      </c>
      <c r="S129" s="197">
        <v>0.98199999999999998</v>
      </c>
      <c r="T129" s="198">
        <v>1.4999999999999999E-2</v>
      </c>
      <c r="U129" s="197">
        <v>0</v>
      </c>
      <c r="V129" s="198">
        <v>0</v>
      </c>
      <c r="W129" s="197">
        <v>0</v>
      </c>
      <c r="X129" s="199">
        <f t="shared" si="6"/>
        <v>-2.804473482387726E-2</v>
      </c>
    </row>
    <row r="130" spans="1:24">
      <c r="A130" s="189" t="s">
        <v>9</v>
      </c>
      <c r="B130" s="190" t="s">
        <v>62</v>
      </c>
      <c r="C130" s="190">
        <v>10</v>
      </c>
      <c r="D130" s="191">
        <v>12</v>
      </c>
      <c r="E130" s="192">
        <v>43708</v>
      </c>
      <c r="F130" s="24">
        <v>1332.9702501457239</v>
      </c>
      <c r="G130" s="24">
        <f>1178964/1000</f>
        <v>1178.9639999999999</v>
      </c>
      <c r="H130" s="193">
        <v>145.4</v>
      </c>
      <c r="I130" s="194">
        <v>141</v>
      </c>
      <c r="J130" s="193">
        <v>146.30000000000001</v>
      </c>
      <c r="K130" s="194">
        <v>141</v>
      </c>
      <c r="L130" s="195">
        <f t="shared" si="13"/>
        <v>0.77083008059241542</v>
      </c>
      <c r="M130" s="195">
        <f t="shared" si="14"/>
        <v>0.72962014035869449</v>
      </c>
      <c r="N130" s="195">
        <f t="shared" si="15"/>
        <v>0.17916266803033926</v>
      </c>
      <c r="O130" s="195">
        <f t="shared" si="16"/>
        <v>0.15846290322580645</v>
      </c>
      <c r="P130" s="195">
        <v>0.98499999999999999</v>
      </c>
      <c r="Q130" s="195">
        <v>0.95499999999999996</v>
      </c>
      <c r="R130" s="196">
        <v>0.99</v>
      </c>
      <c r="S130" s="197">
        <v>0.98</v>
      </c>
      <c r="T130" s="198">
        <v>1.4999999999999999E-2</v>
      </c>
      <c r="U130" s="197">
        <v>0</v>
      </c>
      <c r="V130" s="198">
        <v>0</v>
      </c>
      <c r="W130" s="197">
        <v>0</v>
      </c>
      <c r="X130" s="199">
        <f t="shared" si="6"/>
        <v>-7.9309218570612572E-2</v>
      </c>
    </row>
    <row r="131" spans="1:24">
      <c r="A131" s="189" t="s">
        <v>9</v>
      </c>
      <c r="B131" s="190" t="s">
        <v>62</v>
      </c>
      <c r="C131" s="190">
        <v>10</v>
      </c>
      <c r="D131" s="191">
        <v>12</v>
      </c>
      <c r="E131" s="192">
        <v>43738</v>
      </c>
      <c r="F131" s="24">
        <v>1326.5799534289345</v>
      </c>
      <c r="G131" s="24">
        <f>1274064/1000</f>
        <v>1274.0640000000001</v>
      </c>
      <c r="H131" s="193">
        <v>141.6</v>
      </c>
      <c r="I131" s="194">
        <v>142</v>
      </c>
      <c r="J131" s="193">
        <v>145.5</v>
      </c>
      <c r="K131" s="194">
        <v>149</v>
      </c>
      <c r="L131" s="195">
        <f t="shared" si="13"/>
        <v>0.77135262234138335</v>
      </c>
      <c r="M131" s="195">
        <f t="shared" si="14"/>
        <v>0.72282791477912534</v>
      </c>
      <c r="N131" s="195">
        <f t="shared" si="15"/>
        <v>0.18424721575401867</v>
      </c>
      <c r="O131" s="195">
        <f t="shared" si="16"/>
        <v>0.17695333333333335</v>
      </c>
      <c r="P131" s="195">
        <v>0.98499999999999999</v>
      </c>
      <c r="Q131" s="195">
        <v>0.98580000000000001</v>
      </c>
      <c r="R131" s="196">
        <v>0.99</v>
      </c>
      <c r="S131" s="197">
        <v>0.99790000000000001</v>
      </c>
      <c r="T131" s="198">
        <v>1.4999999999999999E-2</v>
      </c>
      <c r="U131" s="197">
        <v>0</v>
      </c>
      <c r="V131" s="198">
        <v>0</v>
      </c>
      <c r="W131" s="197">
        <v>0</v>
      </c>
      <c r="X131" s="199">
        <f t="shared" si="6"/>
        <v>-6.3642459843427757E-2</v>
      </c>
    </row>
    <row r="132" spans="1:24">
      <c r="A132" s="189" t="s">
        <v>9</v>
      </c>
      <c r="B132" s="190" t="s">
        <v>62</v>
      </c>
      <c r="C132" s="190">
        <v>10</v>
      </c>
      <c r="D132" s="191">
        <v>12</v>
      </c>
      <c r="E132" s="192">
        <v>43769</v>
      </c>
      <c r="F132" s="24">
        <v>1517.3759554016474</v>
      </c>
      <c r="G132" s="24">
        <f>1225548/1000</f>
        <v>1225.548</v>
      </c>
      <c r="H132" s="193">
        <v>139.1</v>
      </c>
      <c r="I132" s="194">
        <v>125.86</v>
      </c>
      <c r="J132" s="193">
        <v>172.2</v>
      </c>
      <c r="K132" s="194">
        <v>152.83000000000001</v>
      </c>
      <c r="L132" s="195">
        <f t="shared" si="13"/>
        <v>0.74549129086984578</v>
      </c>
      <c r="M132" s="195">
        <f t="shared" si="14"/>
        <v>0.70209319865972786</v>
      </c>
      <c r="N132" s="195">
        <f t="shared" si="15"/>
        <v>0.20394838110237196</v>
      </c>
      <c r="O132" s="195">
        <f t="shared" si="16"/>
        <v>0.1647241935483871</v>
      </c>
      <c r="P132" s="195">
        <v>0.98499999999999999</v>
      </c>
      <c r="Q132" s="195">
        <v>0.95179999999999998</v>
      </c>
      <c r="R132" s="196">
        <v>0.99</v>
      </c>
      <c r="S132" s="197">
        <v>0.98880000000000001</v>
      </c>
      <c r="T132" s="198">
        <v>1.4999999999999999E-2</v>
      </c>
      <c r="U132" s="197">
        <v>0</v>
      </c>
      <c r="V132" s="198">
        <v>0</v>
      </c>
      <c r="W132" s="197">
        <v>0</v>
      </c>
      <c r="X132" s="199">
        <f t="shared" si="6"/>
        <v>-7.9838611687069072E-2</v>
      </c>
    </row>
    <row r="133" spans="1:24">
      <c r="A133" s="189" t="s">
        <v>9</v>
      </c>
      <c r="B133" s="190" t="s">
        <v>62</v>
      </c>
      <c r="C133" s="190">
        <v>10</v>
      </c>
      <c r="D133" s="191">
        <v>12</v>
      </c>
      <c r="E133" s="192">
        <v>43799</v>
      </c>
      <c r="F133" s="24">
        <v>1342.099245455423</v>
      </c>
      <c r="G133" s="24">
        <f>1082880/1000</f>
        <v>1082.8800000000001</v>
      </c>
      <c r="H133" s="193">
        <v>108.1</v>
      </c>
      <c r="I133" s="194">
        <v>94.800000000000011</v>
      </c>
      <c r="J133" s="193">
        <v>152.1</v>
      </c>
      <c r="K133" s="194">
        <v>129.9</v>
      </c>
      <c r="L133" s="195">
        <f t="shared" si="13"/>
        <v>0.74651397382801132</v>
      </c>
      <c r="M133" s="195">
        <f t="shared" si="14"/>
        <v>0.69719813499498906</v>
      </c>
      <c r="N133" s="195">
        <f t="shared" si="15"/>
        <v>0.18640267297991986</v>
      </c>
      <c r="O133" s="195">
        <f t="shared" si="16"/>
        <v>0.15040000000000003</v>
      </c>
      <c r="P133" s="195">
        <v>0.98499999999999999</v>
      </c>
      <c r="Q133" s="195">
        <v>0.99639999999999995</v>
      </c>
      <c r="R133" s="196">
        <v>0.99</v>
      </c>
      <c r="S133" s="197">
        <v>1</v>
      </c>
      <c r="T133" s="198">
        <v>1.4999999999999999E-2</v>
      </c>
      <c r="U133" s="197">
        <v>0</v>
      </c>
      <c r="V133" s="198">
        <v>0</v>
      </c>
      <c r="W133" s="197">
        <v>0</v>
      </c>
      <c r="X133" s="199">
        <f t="shared" si="6"/>
        <v>-4.7188010038383466E-2</v>
      </c>
    </row>
    <row r="134" spans="1:24">
      <c r="A134" s="189" t="s">
        <v>9</v>
      </c>
      <c r="B134" s="190" t="s">
        <v>62</v>
      </c>
      <c r="C134" s="190">
        <v>10</v>
      </c>
      <c r="D134" s="191">
        <v>12</v>
      </c>
      <c r="E134" s="192">
        <v>43830</v>
      </c>
      <c r="F134" s="24">
        <v>1124.8291570845829</v>
      </c>
      <c r="G134" s="24">
        <f>820416/1000</f>
        <v>820.41600000000005</v>
      </c>
      <c r="H134" s="193">
        <v>89.9</v>
      </c>
      <c r="I134" s="194">
        <v>66.650000000000006</v>
      </c>
      <c r="J134" s="193">
        <v>129.6</v>
      </c>
      <c r="K134" s="194">
        <v>93.62</v>
      </c>
      <c r="L134" s="195">
        <f t="shared" si="13"/>
        <v>0.73428403749437476</v>
      </c>
      <c r="M134" s="195">
        <f t="shared" si="14"/>
        <v>0.74297620261394004</v>
      </c>
      <c r="N134" s="195">
        <f t="shared" si="15"/>
        <v>0.15118671466190631</v>
      </c>
      <c r="O134" s="195">
        <f t="shared" si="16"/>
        <v>0.1102709677419355</v>
      </c>
      <c r="P134" s="195">
        <v>0.98499999999999999</v>
      </c>
      <c r="Q134" s="195">
        <v>0.9829</v>
      </c>
      <c r="R134" s="196">
        <v>0.99</v>
      </c>
      <c r="S134" s="197">
        <v>0.99870000000000003</v>
      </c>
      <c r="T134" s="198">
        <v>1.4999999999999999E-2</v>
      </c>
      <c r="U134" s="197">
        <v>0</v>
      </c>
      <c r="V134" s="198">
        <v>0</v>
      </c>
      <c r="W134" s="197">
        <v>0</v>
      </c>
      <c r="X134" s="199">
        <f t="shared" si="6"/>
        <v>6.9928857676012646E-3</v>
      </c>
    </row>
    <row r="135" spans="1:24">
      <c r="A135" s="189" t="s">
        <v>9</v>
      </c>
      <c r="B135" s="190" t="s">
        <v>62</v>
      </c>
      <c r="C135" s="190">
        <v>10</v>
      </c>
      <c r="D135" s="191">
        <v>12</v>
      </c>
      <c r="E135" s="192">
        <v>43861</v>
      </c>
      <c r="F135" s="24">
        <v>952.97970020250295</v>
      </c>
      <c r="G135" s="24">
        <f>817464/1000</f>
        <v>817.46400000000006</v>
      </c>
      <c r="H135" s="193">
        <v>79.599999999999994</v>
      </c>
      <c r="I135" s="194">
        <v>73.099999999999994</v>
      </c>
      <c r="J135" s="193">
        <v>103.2</v>
      </c>
      <c r="K135" s="194">
        <v>98.13</v>
      </c>
      <c r="L135" s="195">
        <f t="shared" si="13"/>
        <v>0.78124360580092123</v>
      </c>
      <c r="M135" s="195">
        <f t="shared" si="14"/>
        <v>0.75317518644546477</v>
      </c>
      <c r="N135" s="195">
        <f t="shared" si="15"/>
        <v>0.12808866938205685</v>
      </c>
      <c r="O135" s="195">
        <f t="shared" si="16"/>
        <v>0.10987419354838709</v>
      </c>
      <c r="P135" s="195">
        <v>0.98499999999999999</v>
      </c>
      <c r="Q135" s="195">
        <v>0.92169999999999996</v>
      </c>
      <c r="R135" s="196">
        <v>0.99</v>
      </c>
      <c r="S135" s="197">
        <v>0.98850000000000005</v>
      </c>
      <c r="T135" s="198">
        <v>1.4999999999999999E-2</v>
      </c>
      <c r="U135" s="197">
        <v>0</v>
      </c>
      <c r="V135" s="198">
        <v>0</v>
      </c>
      <c r="W135" s="197">
        <v>0</v>
      </c>
      <c r="X135" s="199">
        <f t="shared" si="6"/>
        <v>-9.3074177887924492E-2</v>
      </c>
    </row>
    <row r="136" spans="1:24">
      <c r="A136" s="189" t="s">
        <v>9</v>
      </c>
      <c r="B136" s="190" t="s">
        <v>62</v>
      </c>
      <c r="C136" s="190">
        <v>10</v>
      </c>
      <c r="D136" s="191">
        <v>12</v>
      </c>
      <c r="E136" s="192">
        <v>43890</v>
      </c>
      <c r="F136" s="24">
        <v>1247.2802509965843</v>
      </c>
      <c r="G136" s="24">
        <f>1275888/1000</f>
        <v>1275.8879999999999</v>
      </c>
      <c r="H136" s="193">
        <v>108.1</v>
      </c>
      <c r="I136" s="194">
        <v>114.84</v>
      </c>
      <c r="J136" s="193">
        <v>137.5</v>
      </c>
      <c r="K136" s="194">
        <v>149.35</v>
      </c>
      <c r="L136" s="195">
        <f t="shared" si="13"/>
        <v>0.76743900999636017</v>
      </c>
      <c r="M136" s="195">
        <f t="shared" si="14"/>
        <v>0.71592077333772175</v>
      </c>
      <c r="N136" s="195">
        <f t="shared" si="15"/>
        <v>0.17920693261445178</v>
      </c>
      <c r="O136" s="195">
        <f t="shared" si="16"/>
        <v>0.18331724137931033</v>
      </c>
      <c r="P136" s="195">
        <v>0.98499999999999999</v>
      </c>
      <c r="Q136" s="195">
        <v>0.99439999999999995</v>
      </c>
      <c r="R136" s="196">
        <v>0.99</v>
      </c>
      <c r="S136" s="197">
        <v>0.99439999999999995</v>
      </c>
      <c r="T136" s="198">
        <v>1.4999999999999999E-2</v>
      </c>
      <c r="U136" s="197">
        <v>0</v>
      </c>
      <c r="V136" s="198">
        <v>0</v>
      </c>
      <c r="W136" s="197">
        <v>0</v>
      </c>
      <c r="X136" s="199">
        <f t="shared" si="6"/>
        <v>-6.3245714623249016E-2</v>
      </c>
    </row>
    <row r="137" spans="1:24">
      <c r="A137" s="189" t="s">
        <v>9</v>
      </c>
      <c r="B137" s="190" t="s">
        <v>62</v>
      </c>
      <c r="C137" s="190">
        <v>10</v>
      </c>
      <c r="D137" s="191">
        <v>12</v>
      </c>
      <c r="E137" s="192">
        <v>43921</v>
      </c>
      <c r="F137" s="24">
        <v>1669.6560414880908</v>
      </c>
      <c r="G137" s="24">
        <f>1500702/1000</f>
        <v>1500.702</v>
      </c>
      <c r="H137" s="193">
        <v>161.4</v>
      </c>
      <c r="I137" s="194">
        <v>152.19999999999999</v>
      </c>
      <c r="J137" s="193">
        <v>187.8</v>
      </c>
      <c r="K137" s="194">
        <v>172.5</v>
      </c>
      <c r="L137" s="195">
        <f t="shared" si="13"/>
        <v>0.75216643398226257</v>
      </c>
      <c r="M137" s="195">
        <f t="shared" si="14"/>
        <v>0.76025252893687389</v>
      </c>
      <c r="N137" s="195">
        <f t="shared" si="15"/>
        <v>0.22441613460861434</v>
      </c>
      <c r="O137" s="195">
        <f t="shared" si="16"/>
        <v>0.20170725806451612</v>
      </c>
      <c r="P137" s="195">
        <v>0.98499999999999999</v>
      </c>
      <c r="Q137" s="195">
        <v>0.9536</v>
      </c>
      <c r="R137" s="196">
        <v>0.99</v>
      </c>
      <c r="S137" s="197">
        <v>0.98780000000000001</v>
      </c>
      <c r="T137" s="198">
        <v>1.4999999999999999E-2</v>
      </c>
      <c r="U137" s="197">
        <v>0</v>
      </c>
      <c r="V137" s="198">
        <v>0</v>
      </c>
      <c r="W137" s="197">
        <v>0</v>
      </c>
      <c r="X137" s="199">
        <f t="shared" si="6"/>
        <v>-1.9721277766160394E-2</v>
      </c>
    </row>
    <row r="138" spans="1:24">
      <c r="A138" s="189" t="s">
        <v>9</v>
      </c>
      <c r="B138" s="190" t="s">
        <v>62</v>
      </c>
      <c r="C138" s="190">
        <v>10</v>
      </c>
      <c r="D138" s="191">
        <v>12</v>
      </c>
      <c r="E138" s="192">
        <v>43951</v>
      </c>
      <c r="F138" s="24">
        <v>1727.7894836202552</v>
      </c>
      <c r="G138" s="24">
        <f>1556712/1000</f>
        <v>1556.712</v>
      </c>
      <c r="H138" s="193">
        <v>190.2</v>
      </c>
      <c r="I138" s="194">
        <v>178.20000000000002</v>
      </c>
      <c r="J138" s="193">
        <v>194</v>
      </c>
      <c r="K138" s="194">
        <v>177.89999999999998</v>
      </c>
      <c r="L138" s="195">
        <f t="shared" si="13"/>
        <v>0.75347981039486422</v>
      </c>
      <c r="M138" s="195">
        <f t="shared" si="14"/>
        <v>0.73360907434488898</v>
      </c>
      <c r="N138" s="195">
        <f t="shared" si="15"/>
        <v>0.23997076161392433</v>
      </c>
      <c r="O138" s="195">
        <f t="shared" si="16"/>
        <v>0.21621000000000001</v>
      </c>
      <c r="P138" s="195">
        <v>0.98499999999999999</v>
      </c>
      <c r="Q138" s="195">
        <v>0.99399999999999999</v>
      </c>
      <c r="R138" s="196">
        <v>0.99</v>
      </c>
      <c r="S138" s="197">
        <v>0.999</v>
      </c>
      <c r="T138" s="198">
        <v>1.4999999999999999E-2</v>
      </c>
      <c r="U138" s="197">
        <v>0</v>
      </c>
      <c r="V138" s="198">
        <v>0</v>
      </c>
      <c r="W138" s="197">
        <v>0</v>
      </c>
      <c r="X138" s="199">
        <f t="shared" si="6"/>
        <v>-1.6025545360118132E-2</v>
      </c>
    </row>
    <row r="139" spans="1:24">
      <c r="A139" s="189" t="s">
        <v>9</v>
      </c>
      <c r="B139" s="190" t="s">
        <v>62</v>
      </c>
      <c r="C139" s="190">
        <v>10</v>
      </c>
      <c r="D139" s="191">
        <v>12</v>
      </c>
      <c r="E139" s="192">
        <v>43982</v>
      </c>
      <c r="F139" s="24">
        <v>1750.4978594531319</v>
      </c>
      <c r="G139" s="24">
        <f>1585284/1000</f>
        <v>1585.2840000000001</v>
      </c>
      <c r="H139" s="193">
        <v>197</v>
      </c>
      <c r="I139" s="194">
        <v>192.51</v>
      </c>
      <c r="J139" s="193">
        <v>197.7</v>
      </c>
      <c r="K139" s="194">
        <v>190.03</v>
      </c>
      <c r="L139" s="195">
        <f t="shared" si="13"/>
        <v>0.7490959312350628</v>
      </c>
      <c r="M139" s="195">
        <f t="shared" si="14"/>
        <v>0.72741470453184698</v>
      </c>
      <c r="N139" s="195">
        <f t="shared" si="15"/>
        <v>0.23528197035660375</v>
      </c>
      <c r="O139" s="195">
        <f t="shared" si="16"/>
        <v>0.21307580645161289</v>
      </c>
      <c r="P139" s="195">
        <v>0.98499999999999999</v>
      </c>
      <c r="Q139" s="195">
        <v>0.95569999999999999</v>
      </c>
      <c r="R139" s="196">
        <v>0.99</v>
      </c>
      <c r="S139" s="197">
        <v>0.98860000000000003</v>
      </c>
      <c r="T139" s="198">
        <v>1.4999999999999999E-2</v>
      </c>
      <c r="U139" s="197">
        <v>0</v>
      </c>
      <c r="V139" s="198">
        <v>0</v>
      </c>
      <c r="W139" s="197">
        <v>0</v>
      </c>
      <c r="X139" s="199">
        <f t="shared" si="6"/>
        <v>-5.5584913320212537E-2</v>
      </c>
    </row>
    <row r="140" spans="1:24">
      <c r="A140" s="189" t="s">
        <v>9</v>
      </c>
      <c r="B140" s="190" t="s">
        <v>62</v>
      </c>
      <c r="C140" s="190">
        <v>10</v>
      </c>
      <c r="D140" s="191">
        <v>12</v>
      </c>
      <c r="E140" s="192">
        <v>44012</v>
      </c>
      <c r="F140" s="24">
        <v>1574.2808629900089</v>
      </c>
      <c r="G140" s="24">
        <f>1595628/1000</f>
        <v>1595.6279999999999</v>
      </c>
      <c r="H140" s="193">
        <v>178.9</v>
      </c>
      <c r="I140" s="194">
        <v>188.75</v>
      </c>
      <c r="J140" s="193">
        <v>177.2</v>
      </c>
      <c r="K140" s="194">
        <v>184.28</v>
      </c>
      <c r="L140" s="195">
        <f t="shared" si="13"/>
        <v>0.75162466292258645</v>
      </c>
      <c r="M140" s="195">
        <f t="shared" si="14"/>
        <v>0.73017565598349654</v>
      </c>
      <c r="N140" s="195">
        <f t="shared" si="15"/>
        <v>0.21865011985972344</v>
      </c>
      <c r="O140" s="195">
        <f t="shared" si="16"/>
        <v>0.22161499999999998</v>
      </c>
      <c r="P140" s="195">
        <v>0.98499999999999999</v>
      </c>
      <c r="Q140" s="195">
        <v>0.98819999999999997</v>
      </c>
      <c r="R140" s="196">
        <v>0.99</v>
      </c>
      <c r="S140" s="197">
        <v>0.99850000000000005</v>
      </c>
      <c r="T140" s="198">
        <v>1.4999999999999999E-2</v>
      </c>
      <c r="U140" s="197">
        <v>0</v>
      </c>
      <c r="V140" s="198">
        <v>0</v>
      </c>
      <c r="W140" s="197">
        <v>0</v>
      </c>
      <c r="X140" s="199">
        <f t="shared" si="6"/>
        <v>-2.6394924094143235E-2</v>
      </c>
    </row>
    <row r="141" spans="1:24">
      <c r="A141" s="189" t="s">
        <v>9</v>
      </c>
      <c r="B141" s="190" t="s">
        <v>62</v>
      </c>
      <c r="C141" s="190">
        <v>10</v>
      </c>
      <c r="D141" s="191">
        <v>12</v>
      </c>
      <c r="E141" s="192">
        <v>44043</v>
      </c>
      <c r="F141" s="24">
        <v>1396.247196460256</v>
      </c>
      <c r="G141" s="24">
        <f>1341738/1000</f>
        <v>1341.7380000000001</v>
      </c>
      <c r="H141" s="193">
        <v>155.5</v>
      </c>
      <c r="I141" s="194">
        <v>156.02000000000001</v>
      </c>
      <c r="J141" s="193">
        <v>154.6</v>
      </c>
      <c r="K141" s="194">
        <v>153.03</v>
      </c>
      <c r="L141" s="195">
        <f t="shared" si="13"/>
        <v>0.76407387026848173</v>
      </c>
      <c r="M141" s="195">
        <f t="shared" si="14"/>
        <v>0.77828169234551126</v>
      </c>
      <c r="N141" s="195">
        <f t="shared" si="15"/>
        <v>0.18766763393283009</v>
      </c>
      <c r="O141" s="195">
        <f t="shared" si="16"/>
        <v>0.18034112903225807</v>
      </c>
      <c r="P141" s="195">
        <v>0.98499999999999999</v>
      </c>
      <c r="Q141" s="195">
        <v>0.93879999999999997</v>
      </c>
      <c r="R141" s="196">
        <v>0.99</v>
      </c>
      <c r="S141" s="197">
        <v>0.98960000000000004</v>
      </c>
      <c r="T141" s="198">
        <v>1.4999999999999999E-2</v>
      </c>
      <c r="U141" s="197">
        <v>0</v>
      </c>
      <c r="V141" s="198">
        <v>0</v>
      </c>
      <c r="W141" s="197">
        <v>0</v>
      </c>
      <c r="X141" s="199">
        <f t="shared" si="6"/>
        <v>-2.8884550044132262E-2</v>
      </c>
    </row>
    <row r="142" spans="1:24">
      <c r="A142" s="189" t="s">
        <v>9</v>
      </c>
      <c r="B142" s="190" t="s">
        <v>62</v>
      </c>
      <c r="C142" s="190">
        <v>10</v>
      </c>
      <c r="D142" s="191">
        <v>12</v>
      </c>
      <c r="E142" s="192">
        <v>44074</v>
      </c>
      <c r="F142" s="24">
        <v>1326.3053988949955</v>
      </c>
      <c r="G142" s="24">
        <v>1164.27</v>
      </c>
      <c r="H142" s="193">
        <v>145.4</v>
      </c>
      <c r="I142" s="194">
        <v>135.93</v>
      </c>
      <c r="J142" s="193">
        <v>146.30000000000001</v>
      </c>
      <c r="K142" s="194">
        <v>136.41999999999999</v>
      </c>
      <c r="L142" s="195">
        <f t="shared" si="13"/>
        <v>0.76697593018945354</v>
      </c>
      <c r="M142" s="195">
        <f t="shared" si="14"/>
        <v>0.7577289248464425</v>
      </c>
      <c r="N142" s="195">
        <f t="shared" si="15"/>
        <v>0.17826685469018758</v>
      </c>
      <c r="O142" s="195">
        <f t="shared" si="16"/>
        <v>0.15648790322580644</v>
      </c>
      <c r="P142" s="195">
        <v>0.98499999999999999</v>
      </c>
      <c r="Q142" s="195">
        <v>0.93859999999999999</v>
      </c>
      <c r="R142" s="196">
        <v>0.99</v>
      </c>
      <c r="S142" s="197">
        <v>0.99860000000000004</v>
      </c>
      <c r="T142" s="198">
        <v>1.4999999999999999E-2</v>
      </c>
      <c r="U142" s="197">
        <v>0</v>
      </c>
      <c r="V142" s="198">
        <v>0</v>
      </c>
      <c r="W142" s="197">
        <v>0</v>
      </c>
      <c r="X142" s="199">
        <f t="shared" si="6"/>
        <v>-5.463803635750708E-2</v>
      </c>
    </row>
    <row r="143" spans="1:24">
      <c r="A143" s="189" t="s">
        <v>9</v>
      </c>
      <c r="B143" s="190" t="s">
        <v>62</v>
      </c>
      <c r="C143" s="190">
        <v>10</v>
      </c>
      <c r="D143" s="191">
        <v>12</v>
      </c>
      <c r="E143" s="192">
        <v>44104</v>
      </c>
      <c r="F143" s="24">
        <v>1319.9470536617903</v>
      </c>
      <c r="G143" s="24">
        <f>1328478/1000</f>
        <v>1328.4780000000001</v>
      </c>
      <c r="H143" s="193">
        <v>141.6</v>
      </c>
      <c r="I143" s="194">
        <v>146.83000000000001</v>
      </c>
      <c r="J143" s="193">
        <v>145.5</v>
      </c>
      <c r="K143" s="194">
        <v>157.63999999999999</v>
      </c>
      <c r="L143" s="195">
        <f t="shared" si="13"/>
        <v>0.76749585922967667</v>
      </c>
      <c r="M143" s="195">
        <f t="shared" si="14"/>
        <v>0.71463739594244591</v>
      </c>
      <c r="N143" s="195">
        <f t="shared" si="15"/>
        <v>0.18332597967524863</v>
      </c>
      <c r="O143" s="195">
        <f t="shared" si="16"/>
        <v>0.18451083333333335</v>
      </c>
      <c r="P143" s="195">
        <v>0.98499999999999999</v>
      </c>
      <c r="Q143" s="195">
        <v>0.98270000000000002</v>
      </c>
      <c r="R143" s="196">
        <v>0.99</v>
      </c>
      <c r="S143" s="197">
        <v>0.99429999999999996</v>
      </c>
      <c r="T143" s="198">
        <v>1.4999999999999999E-2</v>
      </c>
      <c r="U143" s="197">
        <v>0</v>
      </c>
      <c r="V143" s="198">
        <v>0</v>
      </c>
      <c r="W143" s="197">
        <v>0</v>
      </c>
      <c r="X143" s="199">
        <f t="shared" si="6"/>
        <v>-7.6973328741422264E-2</v>
      </c>
    </row>
    <row r="144" spans="1:24">
      <c r="A144" s="189" t="s">
        <v>9</v>
      </c>
      <c r="B144" s="190" t="s">
        <v>62</v>
      </c>
      <c r="C144" s="190">
        <v>10</v>
      </c>
      <c r="D144" s="191">
        <v>12</v>
      </c>
      <c r="E144" s="192">
        <v>44135</v>
      </c>
      <c r="F144" s="24">
        <v>1509.7890756246393</v>
      </c>
      <c r="G144" s="24">
        <f>1424874/1000</f>
        <v>1424.874</v>
      </c>
      <c r="H144" s="193">
        <v>139.1</v>
      </c>
      <c r="I144" s="194">
        <v>135.99</v>
      </c>
      <c r="J144" s="193">
        <v>172.2</v>
      </c>
      <c r="K144" s="194">
        <v>172.93</v>
      </c>
      <c r="L144" s="195">
        <f t="shared" si="13"/>
        <v>0.74176383441549654</v>
      </c>
      <c r="M144" s="195">
        <f t="shared" si="14"/>
        <v>0.68849224891246152</v>
      </c>
      <c r="N144" s="195">
        <f t="shared" si="15"/>
        <v>0.20292863919686011</v>
      </c>
      <c r="O144" s="195">
        <f t="shared" si="16"/>
        <v>0.19151532258064516</v>
      </c>
      <c r="P144" s="195">
        <v>0.98499999999999999</v>
      </c>
      <c r="Q144" s="195">
        <v>0.99729999999999996</v>
      </c>
      <c r="R144" s="196">
        <v>0.99</v>
      </c>
      <c r="S144" s="197">
        <v>0.99970000000000003</v>
      </c>
      <c r="T144" s="198">
        <v>1.4999999999999999E-2</v>
      </c>
      <c r="U144" s="197">
        <v>0</v>
      </c>
      <c r="V144" s="198">
        <v>0</v>
      </c>
      <c r="W144" s="197">
        <v>0</v>
      </c>
      <c r="X144" s="199">
        <f t="shared" si="6"/>
        <v>-6.0482262403771414E-2</v>
      </c>
    </row>
    <row r="145" spans="1:24">
      <c r="A145" s="189" t="s">
        <v>9</v>
      </c>
      <c r="B145" s="190" t="s">
        <v>62</v>
      </c>
      <c r="C145" s="190">
        <v>10</v>
      </c>
      <c r="D145" s="191">
        <v>12</v>
      </c>
      <c r="E145" s="192">
        <v>44165</v>
      </c>
      <c r="F145" s="24">
        <v>1335.388749228146</v>
      </c>
      <c r="G145" s="24">
        <f>1104246/1000</f>
        <v>1104.2460000000001</v>
      </c>
      <c r="H145" s="193">
        <v>108.1</v>
      </c>
      <c r="I145" s="194">
        <v>102.51</v>
      </c>
      <c r="J145" s="193">
        <v>152.1</v>
      </c>
      <c r="K145" s="194">
        <v>140.22999999999999</v>
      </c>
      <c r="L145" s="195">
        <f t="shared" si="13"/>
        <v>0.74278140395887138</v>
      </c>
      <c r="M145" s="195">
        <f t="shared" si="14"/>
        <v>0.68562451616030651</v>
      </c>
      <c r="N145" s="195">
        <f t="shared" si="15"/>
        <v>0.18547065961502027</v>
      </c>
      <c r="O145" s="195">
        <f t="shared" si="16"/>
        <v>0.15336750000000002</v>
      </c>
      <c r="P145" s="195">
        <v>0.98499999999999999</v>
      </c>
      <c r="Q145" s="195">
        <v>0.95709999999999995</v>
      </c>
      <c r="R145" s="196">
        <v>0.99</v>
      </c>
      <c r="S145" s="197">
        <v>0.99629999999999996</v>
      </c>
      <c r="T145" s="198">
        <v>1.4999999999999999E-2</v>
      </c>
      <c r="U145" s="197">
        <v>0</v>
      </c>
      <c r="V145" s="198">
        <v>0</v>
      </c>
      <c r="W145" s="197">
        <v>0</v>
      </c>
      <c r="X145" s="199">
        <f t="shared" si="6"/>
        <v>-9.5049469953455201E-2</v>
      </c>
    </row>
    <row r="146" spans="1:24">
      <c r="A146" s="189" t="s">
        <v>9</v>
      </c>
      <c r="B146" s="190" t="s">
        <v>62</v>
      </c>
      <c r="C146" s="190">
        <v>10</v>
      </c>
      <c r="D146" s="191">
        <v>12</v>
      </c>
      <c r="E146" s="192">
        <v>44196</v>
      </c>
      <c r="F146" s="24">
        <v>1119.2050112991601</v>
      </c>
      <c r="G146" s="24">
        <f>993006/1000</f>
        <v>993.00599999999997</v>
      </c>
      <c r="H146" s="193">
        <v>89.9</v>
      </c>
      <c r="I146" s="194">
        <v>83.85</v>
      </c>
      <c r="J146" s="193">
        <v>129.6</v>
      </c>
      <c r="K146" s="194">
        <v>119.27</v>
      </c>
      <c r="L146" s="195">
        <f t="shared" si="13"/>
        <v>0.73061261730690308</v>
      </c>
      <c r="M146" s="195">
        <f t="shared" si="14"/>
        <v>0.69743482744799667</v>
      </c>
      <c r="N146" s="195">
        <f t="shared" si="15"/>
        <v>0.15043078108859681</v>
      </c>
      <c r="O146" s="195">
        <f t="shared" si="16"/>
        <v>0.13346854838709679</v>
      </c>
      <c r="P146" s="195">
        <v>0.98499999999999999</v>
      </c>
      <c r="Q146" s="195">
        <v>0.99480000000000002</v>
      </c>
      <c r="R146" s="196">
        <v>0.99</v>
      </c>
      <c r="S146" s="197">
        <v>0.99780000000000002</v>
      </c>
      <c r="T146" s="198">
        <v>1.4999999999999999E-2</v>
      </c>
      <c r="U146" s="197">
        <v>0</v>
      </c>
      <c r="V146" s="198">
        <v>0</v>
      </c>
      <c r="W146" s="197">
        <v>0</v>
      </c>
      <c r="X146" s="199">
        <f t="shared" si="6"/>
        <v>-3.3050935248653324E-2</v>
      </c>
    </row>
    <row r="147" spans="1:24">
      <c r="A147" s="189" t="s">
        <v>9</v>
      </c>
      <c r="B147" s="190" t="s">
        <v>62</v>
      </c>
      <c r="C147" s="190">
        <v>10</v>
      </c>
      <c r="D147" s="191">
        <v>12</v>
      </c>
      <c r="E147" s="192">
        <v>44227</v>
      </c>
      <c r="F147" s="24">
        <v>948.21480170149039</v>
      </c>
      <c r="G147" s="24">
        <v>774.13800000000003</v>
      </c>
      <c r="H147" s="193">
        <v>79.599999999999994</v>
      </c>
      <c r="I147" s="194">
        <v>71.559999999999988</v>
      </c>
      <c r="J147" s="193">
        <v>103.2</v>
      </c>
      <c r="K147" s="194">
        <v>93.47999999999999</v>
      </c>
      <c r="L147" s="195">
        <f t="shared" si="13"/>
        <v>0.77733738777191652</v>
      </c>
      <c r="M147" s="195">
        <f t="shared" si="14"/>
        <v>0.70599507314227805</v>
      </c>
      <c r="N147" s="195">
        <f t="shared" si="15"/>
        <v>0.12744822603514655</v>
      </c>
      <c r="O147" s="195">
        <f t="shared" si="16"/>
        <v>0.10405080645161291</v>
      </c>
      <c r="P147" s="195">
        <v>0.98499999999999999</v>
      </c>
      <c r="Q147" s="195">
        <v>0.97750000000000004</v>
      </c>
      <c r="R147" s="196">
        <v>0.99</v>
      </c>
      <c r="S147" s="197">
        <v>1</v>
      </c>
      <c r="T147" s="198">
        <v>1.4999999999999999E-2</v>
      </c>
      <c r="U147" s="197">
        <v>0</v>
      </c>
      <c r="V147" s="198">
        <v>0</v>
      </c>
      <c r="W147" s="197">
        <v>0</v>
      </c>
      <c r="X147" s="199">
        <f t="shared" si="6"/>
        <v>-8.9397674591569776E-2</v>
      </c>
    </row>
    <row r="148" spans="1:24">
      <c r="A148" s="189" t="s">
        <v>9</v>
      </c>
      <c r="B148" s="190" t="s">
        <v>62</v>
      </c>
      <c r="C148" s="190">
        <v>10</v>
      </c>
      <c r="D148" s="191">
        <v>12</v>
      </c>
      <c r="E148" s="192">
        <v>44255</v>
      </c>
      <c r="F148" s="24">
        <v>1241.0438497416017</v>
      </c>
      <c r="G148" s="24">
        <v>1101.6780000000001</v>
      </c>
      <c r="H148" s="193">
        <v>108.1</v>
      </c>
      <c r="I148" s="194">
        <v>106.51</v>
      </c>
      <c r="J148" s="193">
        <v>137.5</v>
      </c>
      <c r="K148" s="194">
        <v>140.61000000000004</v>
      </c>
      <c r="L148" s="195">
        <f t="shared" si="13"/>
        <v>0.76360181494637847</v>
      </c>
      <c r="M148" s="195">
        <f t="shared" si="14"/>
        <v>0.73028718574218843</v>
      </c>
      <c r="N148" s="195">
        <f t="shared" si="15"/>
        <v>0.18467914430678595</v>
      </c>
      <c r="O148" s="195">
        <f t="shared" si="16"/>
        <v>0.16394017857142859</v>
      </c>
      <c r="P148" s="195">
        <v>0.98499999999999999</v>
      </c>
      <c r="Q148" s="195">
        <v>0.89405357142857156</v>
      </c>
      <c r="R148" s="196">
        <v>0.99</v>
      </c>
      <c r="S148" s="197">
        <v>1</v>
      </c>
      <c r="T148" s="198">
        <v>1.4999999999999999E-2</v>
      </c>
      <c r="U148" s="197">
        <v>0</v>
      </c>
      <c r="V148" s="198">
        <v>0</v>
      </c>
      <c r="W148" s="197">
        <v>0</v>
      </c>
      <c r="X148" s="199">
        <f t="shared" si="6"/>
        <v>-0.1349154626681851</v>
      </c>
    </row>
    <row r="149" spans="1:24">
      <c r="A149" s="189" t="s">
        <v>9</v>
      </c>
      <c r="B149" s="190" t="s">
        <v>62</v>
      </c>
      <c r="C149" s="190">
        <v>10</v>
      </c>
      <c r="D149" s="191">
        <v>12</v>
      </c>
      <c r="E149" s="192">
        <v>44286</v>
      </c>
      <c r="F149" s="24">
        <v>1661.3077612806503</v>
      </c>
      <c r="G149" s="24">
        <v>1498.6320000000001</v>
      </c>
      <c r="H149" s="193">
        <v>161.4</v>
      </c>
      <c r="I149" s="194">
        <v>155.31</v>
      </c>
      <c r="J149" s="193">
        <v>187.8</v>
      </c>
      <c r="K149" s="194">
        <v>180.7</v>
      </c>
      <c r="L149" s="195">
        <f t="shared" si="13"/>
        <v>0.74840560181235138</v>
      </c>
      <c r="M149" s="195">
        <f t="shared" si="14"/>
        <v>0.69493884741124512</v>
      </c>
      <c r="N149" s="195">
        <f t="shared" si="15"/>
        <v>0.22329405393557128</v>
      </c>
      <c r="O149" s="195">
        <f t="shared" si="16"/>
        <v>0.20142903225806452</v>
      </c>
      <c r="P149" s="195">
        <v>0.98499999999999999</v>
      </c>
      <c r="Q149" s="195">
        <v>0.99450967741935492</v>
      </c>
      <c r="R149" s="196">
        <v>0.99</v>
      </c>
      <c r="S149" s="197">
        <v>1</v>
      </c>
      <c r="T149" s="198">
        <v>1.4999999999999999E-2</v>
      </c>
      <c r="U149" s="197">
        <v>0</v>
      </c>
      <c r="V149" s="198">
        <v>0</v>
      </c>
      <c r="W149" s="197">
        <v>0</v>
      </c>
      <c r="X149" s="199">
        <f t="shared" si="6"/>
        <v>-6.0114127371781345E-2</v>
      </c>
    </row>
    <row r="150" spans="1:24">
      <c r="A150" s="189" t="s">
        <v>9</v>
      </c>
      <c r="B150" s="190" t="s">
        <v>62</v>
      </c>
      <c r="C150" s="190">
        <v>10</v>
      </c>
      <c r="D150" s="191">
        <v>12</v>
      </c>
      <c r="E150" s="192">
        <v>44316</v>
      </c>
      <c r="F150" s="24">
        <v>1719.1505362021539</v>
      </c>
      <c r="G150" s="24">
        <v>1507.548</v>
      </c>
      <c r="H150" s="193">
        <v>190.2</v>
      </c>
      <c r="I150" s="194">
        <v>179.77000000000004</v>
      </c>
      <c r="J150" s="193">
        <v>194</v>
      </c>
      <c r="K150" s="194">
        <v>185.49999999999997</v>
      </c>
      <c r="L150" s="195">
        <f t="shared" si="13"/>
        <v>0.74971241134288991</v>
      </c>
      <c r="M150" s="195">
        <f t="shared" si="14"/>
        <v>0.68829034704696546</v>
      </c>
      <c r="N150" s="195">
        <f t="shared" si="15"/>
        <v>0.23877090780585472</v>
      </c>
      <c r="O150" s="195">
        <f t="shared" si="16"/>
        <v>0.20938166666666666</v>
      </c>
      <c r="P150" s="195">
        <v>0.98499999999999999</v>
      </c>
      <c r="Q150" s="195">
        <v>0.98395290000000002</v>
      </c>
      <c r="R150" s="196">
        <v>0.99</v>
      </c>
      <c r="S150" s="197">
        <v>0.98850000000000005</v>
      </c>
      <c r="T150" s="198">
        <v>1.4999999999999999E-2</v>
      </c>
      <c r="U150" s="197">
        <v>2.0515610375187707E-2</v>
      </c>
      <c r="V150" s="198">
        <v>0</v>
      </c>
      <c r="W150" s="197">
        <v>0</v>
      </c>
      <c r="X150" s="199">
        <f t="shared" si="6"/>
        <v>-7.9271086135128566E-2</v>
      </c>
    </row>
    <row r="151" spans="1:24">
      <c r="A151" s="189" t="s">
        <v>9</v>
      </c>
      <c r="B151" s="190" t="s">
        <v>62</v>
      </c>
      <c r="C151" s="190">
        <v>10</v>
      </c>
      <c r="D151" s="191">
        <v>12</v>
      </c>
      <c r="E151" s="192">
        <v>44347</v>
      </c>
      <c r="F151" s="24">
        <v>1741.7453701558663</v>
      </c>
      <c r="G151" s="24">
        <v>1482.6479999999999</v>
      </c>
      <c r="H151" s="193">
        <v>197</v>
      </c>
      <c r="I151" s="194">
        <v>179.44</v>
      </c>
      <c r="J151" s="193">
        <v>197.7</v>
      </c>
      <c r="K151" s="194">
        <v>180.14000000000001</v>
      </c>
      <c r="L151" s="195">
        <f t="shared" si="13"/>
        <v>0.74535045157888746</v>
      </c>
      <c r="M151" s="195">
        <f t="shared" si="14"/>
        <v>0.71587271758283022</v>
      </c>
      <c r="N151" s="195">
        <f t="shared" si="15"/>
        <v>0.23410556050482073</v>
      </c>
      <c r="O151" s="195">
        <f t="shared" si="16"/>
        <v>0.19928064516129029</v>
      </c>
      <c r="P151" s="195">
        <v>0.98499999999999999</v>
      </c>
      <c r="Q151" s="195">
        <v>0.95809999999999995</v>
      </c>
      <c r="R151" s="196">
        <v>0.99</v>
      </c>
      <c r="S151" s="197">
        <v>1</v>
      </c>
      <c r="T151" s="198">
        <v>1.4999999999999999E-2</v>
      </c>
      <c r="U151" s="197">
        <v>1.3533203919053991E-2</v>
      </c>
      <c r="V151" s="198">
        <v>0</v>
      </c>
      <c r="W151" s="197">
        <v>0</v>
      </c>
      <c r="X151" s="199">
        <f t="shared" si="6"/>
        <v>-5.9935871508687844E-2</v>
      </c>
    </row>
    <row r="152" spans="1:24">
      <c r="A152" s="189" t="s">
        <v>9</v>
      </c>
      <c r="B152" s="190" t="s">
        <v>62</v>
      </c>
      <c r="C152" s="190">
        <v>10</v>
      </c>
      <c r="D152" s="191">
        <v>12</v>
      </c>
      <c r="E152" s="192">
        <v>44377</v>
      </c>
      <c r="F152" s="24">
        <v>1566.4094586750589</v>
      </c>
      <c r="G152" s="24">
        <v>1551.414</v>
      </c>
      <c r="H152" s="193">
        <v>178.9</v>
      </c>
      <c r="I152" s="194">
        <v>182.26999999999998</v>
      </c>
      <c r="J152" s="193">
        <v>177.2</v>
      </c>
      <c r="K152" s="194">
        <v>180.01999999999998</v>
      </c>
      <c r="L152" s="195">
        <f t="shared" si="13"/>
        <v>0.74786653960797356</v>
      </c>
      <c r="M152" s="195">
        <f t="shared" si="14"/>
        <v>0.72755285770598044</v>
      </c>
      <c r="N152" s="195">
        <f t="shared" si="15"/>
        <v>0.21755686926042489</v>
      </c>
      <c r="O152" s="195">
        <f t="shared" si="16"/>
        <v>0.21547416666666669</v>
      </c>
      <c r="P152" s="195">
        <v>0.98499999999999999</v>
      </c>
      <c r="Q152" s="195">
        <v>0.98709999999999998</v>
      </c>
      <c r="R152" s="196">
        <v>0.99</v>
      </c>
      <c r="S152" s="197">
        <v>1</v>
      </c>
      <c r="T152" s="198">
        <v>1.4999999999999999E-2</v>
      </c>
      <c r="U152" s="197">
        <v>1.7999999999999999E-2</v>
      </c>
      <c r="V152" s="198">
        <v>0</v>
      </c>
      <c r="W152" s="197">
        <v>0</v>
      </c>
      <c r="X152" s="199">
        <f t="shared" si="6"/>
        <v>-2.5487362259454693E-2</v>
      </c>
    </row>
    <row r="153" spans="1:24">
      <c r="A153" s="189" t="s">
        <v>9</v>
      </c>
      <c r="B153" s="190" t="s">
        <v>62</v>
      </c>
      <c r="C153" s="190">
        <v>10</v>
      </c>
      <c r="D153" s="191">
        <v>12</v>
      </c>
      <c r="E153" s="192">
        <v>44408</v>
      </c>
      <c r="F153" s="24">
        <v>1389.2659604779546</v>
      </c>
      <c r="G153" s="24">
        <f>1248018/1000</f>
        <v>1248.018</v>
      </c>
      <c r="H153" s="193">
        <v>155.5</v>
      </c>
      <c r="I153" s="194">
        <v>145.87000000000003</v>
      </c>
      <c r="J153" s="193">
        <v>154.6</v>
      </c>
      <c r="K153" s="194">
        <v>145.22999999999999</v>
      </c>
      <c r="L153" s="195">
        <f t="shared" si="13"/>
        <v>0.76025350091713928</v>
      </c>
      <c r="M153" s="195">
        <f t="shared" si="14"/>
        <v>0.73150816388172413</v>
      </c>
      <c r="N153" s="195">
        <f t="shared" si="15"/>
        <v>0.18672929576316594</v>
      </c>
      <c r="O153" s="195">
        <f t="shared" si="16"/>
        <v>0.1677443548387097</v>
      </c>
      <c r="P153" s="195">
        <v>0.98499999999999999</v>
      </c>
      <c r="Q153" s="195">
        <v>0.9789580645161291</v>
      </c>
      <c r="R153" s="196">
        <v>0.99</v>
      </c>
      <c r="S153" s="197">
        <v>1</v>
      </c>
      <c r="T153" s="198">
        <v>1.4999999999999999E-2</v>
      </c>
      <c r="U153" s="197">
        <v>8.8000000000000005E-3</v>
      </c>
      <c r="V153" s="198">
        <v>0</v>
      </c>
      <c r="W153" s="197">
        <v>0</v>
      </c>
      <c r="X153" s="199">
        <f t="shared" si="6"/>
        <v>-4.1062908048112079E-2</v>
      </c>
    </row>
    <row r="154" spans="1:24">
      <c r="A154" s="189" t="s">
        <v>9</v>
      </c>
      <c r="B154" s="190" t="s">
        <v>62</v>
      </c>
      <c r="C154" s="190">
        <v>10</v>
      </c>
      <c r="D154" s="191">
        <v>12</v>
      </c>
      <c r="E154" s="192">
        <v>44439</v>
      </c>
      <c r="F154" s="24">
        <v>1319.6738719005205</v>
      </c>
      <c r="G154" s="24">
        <v>1252.47</v>
      </c>
      <c r="H154" s="193">
        <v>145.4</v>
      </c>
      <c r="I154" s="194">
        <v>140.78000000000003</v>
      </c>
      <c r="J154" s="193">
        <v>146.30000000000001</v>
      </c>
      <c r="K154" s="194">
        <v>144.21999999999997</v>
      </c>
      <c r="L154" s="195">
        <f t="shared" si="13"/>
        <v>0.76314105053850612</v>
      </c>
      <c r="M154" s="195">
        <f t="shared" si="14"/>
        <v>0.74070126930264502</v>
      </c>
      <c r="N154" s="195">
        <f t="shared" si="15"/>
        <v>0.1773755204167366</v>
      </c>
      <c r="O154" s="195">
        <f t="shared" si="16"/>
        <v>0.16834274193548387</v>
      </c>
      <c r="P154" s="195">
        <v>0.98499999999999999</v>
      </c>
      <c r="Q154" s="195">
        <v>0.97705161290322562</v>
      </c>
      <c r="R154" s="196">
        <v>0.99</v>
      </c>
      <c r="S154" s="197">
        <v>1</v>
      </c>
      <c r="T154" s="198">
        <v>1.4999999999999999E-2</v>
      </c>
      <c r="U154" s="197">
        <v>4.5999999999999999E-3</v>
      </c>
      <c r="V154" s="198">
        <v>0</v>
      </c>
      <c r="W154" s="197">
        <v>0</v>
      </c>
      <c r="X154" s="199">
        <f t="shared" ref="X154:X240" si="17">(G154/F154-1)-(K154/J154-1)</f>
        <v>-3.6707244357757629E-2</v>
      </c>
    </row>
    <row r="155" spans="1:24">
      <c r="A155" s="189" t="s">
        <v>9</v>
      </c>
      <c r="B155" s="190" t="s">
        <v>62</v>
      </c>
      <c r="C155" s="190">
        <v>10</v>
      </c>
      <c r="D155" s="191">
        <v>12</v>
      </c>
      <c r="E155" s="192">
        <v>44469</v>
      </c>
      <c r="F155" s="24">
        <v>1313.3473183934811</v>
      </c>
      <c r="G155" s="24">
        <v>1200.2819999999999</v>
      </c>
      <c r="H155" s="193">
        <v>141.6</v>
      </c>
      <c r="I155" s="194">
        <v>129.68999999999997</v>
      </c>
      <c r="J155" s="193">
        <v>145.5</v>
      </c>
      <c r="K155" s="194">
        <v>140.90999999999997</v>
      </c>
      <c r="L155" s="195">
        <f t="shared" si="13"/>
        <v>0.76365837993352825</v>
      </c>
      <c r="M155" s="195">
        <f t="shared" si="14"/>
        <v>0.71859042206277945</v>
      </c>
      <c r="N155" s="195">
        <f t="shared" si="15"/>
        <v>0.1824093497768724</v>
      </c>
      <c r="O155" s="195">
        <f t="shared" si="16"/>
        <v>0.16670583333333333</v>
      </c>
      <c r="P155" s="195">
        <v>0.98499999999999999</v>
      </c>
      <c r="Q155" s="195">
        <v>0.98782225888888886</v>
      </c>
      <c r="R155" s="196">
        <v>0.99</v>
      </c>
      <c r="S155" s="197">
        <f>S30</f>
        <v>0.98570000000000002</v>
      </c>
      <c r="T155" s="198">
        <v>1.4999999999999999E-2</v>
      </c>
      <c r="U155" s="197">
        <v>3.8E-3</v>
      </c>
      <c r="V155" s="198">
        <v>0</v>
      </c>
      <c r="W155" s="197">
        <v>0</v>
      </c>
      <c r="X155" s="199">
        <f t="shared" si="17"/>
        <v>-5.454303547660766E-2</v>
      </c>
    </row>
    <row r="156" spans="1:24">
      <c r="A156" s="189" t="s">
        <v>9</v>
      </c>
      <c r="B156" s="190" t="s">
        <v>62</v>
      </c>
      <c r="C156" s="190">
        <v>10</v>
      </c>
      <c r="D156" s="191">
        <v>12</v>
      </c>
      <c r="E156" s="192">
        <v>44500</v>
      </c>
      <c r="F156" s="24">
        <v>1502.2401302465159</v>
      </c>
      <c r="G156" s="24">
        <v>1373.5319999999999</v>
      </c>
      <c r="H156" s="193">
        <v>139.1</v>
      </c>
      <c r="I156" s="194">
        <v>127.41</v>
      </c>
      <c r="J156" s="193">
        <v>172.2</v>
      </c>
      <c r="K156" s="194">
        <v>162.55999999999997</v>
      </c>
      <c r="L156" s="195">
        <f t="shared" si="13"/>
        <v>0.7380550152434191</v>
      </c>
      <c r="M156" s="195">
        <f t="shared" si="14"/>
        <v>0.71562721187422373</v>
      </c>
      <c r="N156" s="195">
        <f t="shared" si="15"/>
        <v>0.20191399600087584</v>
      </c>
      <c r="O156" s="195">
        <f t="shared" si="16"/>
        <v>0.18461451612903226</v>
      </c>
      <c r="P156" s="195">
        <v>0.98499999999999999</v>
      </c>
      <c r="Q156" s="195">
        <v>0.98391368000000001</v>
      </c>
      <c r="R156" s="196">
        <v>0.99</v>
      </c>
      <c r="S156" s="197">
        <v>0.99912580645161286</v>
      </c>
      <c r="T156" s="198">
        <v>1.4999999999999999E-2</v>
      </c>
      <c r="U156" s="197">
        <v>2.2200000000000001E-2</v>
      </c>
      <c r="V156" s="198">
        <v>0</v>
      </c>
      <c r="W156" s="197">
        <v>0</v>
      </c>
      <c r="X156" s="199">
        <f t="shared" si="17"/>
        <v>-2.9696050749414393E-2</v>
      </c>
    </row>
    <row r="157" spans="1:24">
      <c r="A157" s="189" t="s">
        <v>9</v>
      </c>
      <c r="B157" s="190" t="s">
        <v>62</v>
      </c>
      <c r="C157" s="190">
        <v>10</v>
      </c>
      <c r="D157" s="191">
        <v>12</v>
      </c>
      <c r="E157" s="192">
        <v>44530</v>
      </c>
      <c r="F157" s="24">
        <v>1328.7118054820053</v>
      </c>
      <c r="G157" s="24">
        <v>1237.6679999999999</v>
      </c>
      <c r="H157" s="193">
        <v>108.1</v>
      </c>
      <c r="I157" s="194">
        <v>103.86999999999999</v>
      </c>
      <c r="J157" s="193">
        <v>152.1</v>
      </c>
      <c r="K157" s="194">
        <v>152.04999999999998</v>
      </c>
      <c r="L157" s="195">
        <f t="shared" si="13"/>
        <v>0.73906749693907703</v>
      </c>
      <c r="M157" s="195">
        <f t="shared" si="14"/>
        <v>0.68592294633749451</v>
      </c>
      <c r="N157" s="195">
        <f t="shared" si="15"/>
        <v>0.18454330631694518</v>
      </c>
      <c r="O157" s="195">
        <f t="shared" si="16"/>
        <v>0.17189833333333332</v>
      </c>
      <c r="P157" s="195">
        <v>0.98499999999999999</v>
      </c>
      <c r="Q157" s="195">
        <v>0.98892000000000002</v>
      </c>
      <c r="R157" s="196">
        <v>0.99</v>
      </c>
      <c r="S157" s="197">
        <v>1</v>
      </c>
      <c r="T157" s="198">
        <v>1.4999999999999999E-2</v>
      </c>
      <c r="U157" s="197">
        <v>2.1100000000000001E-2</v>
      </c>
      <c r="V157" s="198">
        <v>0</v>
      </c>
      <c r="W157" s="197">
        <v>0</v>
      </c>
      <c r="X157" s="199">
        <f t="shared" si="17"/>
        <v>-6.81916245625932E-2</v>
      </c>
    </row>
    <row r="158" spans="1:24">
      <c r="A158" s="189" t="s">
        <v>9</v>
      </c>
      <c r="B158" s="190" t="s">
        <v>62</v>
      </c>
      <c r="C158" s="190">
        <v>10</v>
      </c>
      <c r="D158" s="191">
        <v>12</v>
      </c>
      <c r="E158" s="192">
        <v>44561</v>
      </c>
      <c r="F158" s="24">
        <v>1113.6089862426643</v>
      </c>
      <c r="G158" s="24">
        <v>1039.548</v>
      </c>
      <c r="H158" s="193">
        <v>89.9</v>
      </c>
      <c r="I158" s="194">
        <v>82.52000000000001</v>
      </c>
      <c r="J158" s="193">
        <v>129.6</v>
      </c>
      <c r="K158" s="194">
        <v>124.14</v>
      </c>
      <c r="L158" s="195">
        <f t="shared" si="13"/>
        <v>0.72695955422036851</v>
      </c>
      <c r="M158" s="195">
        <f t="shared" si="14"/>
        <v>0.70313381335394654</v>
      </c>
      <c r="N158" s="195">
        <f t="shared" si="15"/>
        <v>0.14967862718315381</v>
      </c>
      <c r="O158" s="195">
        <f t="shared" si="16"/>
        <v>0.13972419354838711</v>
      </c>
      <c r="P158" s="195">
        <v>0.98499999999999999</v>
      </c>
      <c r="Q158" s="195">
        <v>0.99246129032258068</v>
      </c>
      <c r="R158" s="196">
        <v>0.99</v>
      </c>
      <c r="S158" s="197">
        <v>1</v>
      </c>
      <c r="T158" s="198">
        <v>1.4999999999999999E-2</v>
      </c>
      <c r="U158" s="197">
        <v>2.2200000000000001E-2</v>
      </c>
      <c r="V158" s="198">
        <v>0</v>
      </c>
      <c r="W158" s="197">
        <v>0</v>
      </c>
      <c r="X158" s="199">
        <f t="shared" si="17"/>
        <v>-2.4375748072599013E-2</v>
      </c>
    </row>
    <row r="159" spans="1:24">
      <c r="A159" s="189" t="s">
        <v>9</v>
      </c>
      <c r="B159" s="190" t="s">
        <v>62</v>
      </c>
      <c r="C159" s="190">
        <v>10</v>
      </c>
      <c r="D159" s="191">
        <v>12</v>
      </c>
      <c r="E159" s="192">
        <v>44592</v>
      </c>
      <c r="F159" s="24">
        <v>943.47372769298295</v>
      </c>
      <c r="G159" s="24">
        <v>664.36199999999997</v>
      </c>
      <c r="H159" s="193">
        <v>79.599999999999994</v>
      </c>
      <c r="I159" s="194">
        <v>56.830000000000005</v>
      </c>
      <c r="J159" s="193">
        <v>103.2</v>
      </c>
      <c r="K159" s="194">
        <v>72.97</v>
      </c>
      <c r="L159" s="195">
        <f t="shared" si="13"/>
        <v>0.773450700833057</v>
      </c>
      <c r="M159" s="195">
        <f t="shared" si="14"/>
        <v>0.76762030620013311</v>
      </c>
      <c r="N159" s="195">
        <f t="shared" si="15"/>
        <v>0.12681098490497084</v>
      </c>
      <c r="O159" s="195">
        <f t="shared" si="16"/>
        <v>8.9295967741935475E-2</v>
      </c>
      <c r="P159" s="195">
        <v>0.98499999999999999</v>
      </c>
      <c r="Q159" s="195">
        <v>0.98839999999999995</v>
      </c>
      <c r="R159" s="196">
        <v>0.99</v>
      </c>
      <c r="S159" s="197">
        <v>1</v>
      </c>
      <c r="T159" s="198">
        <v>1.4999999999999999E-2</v>
      </c>
      <c r="U159" s="197">
        <v>0</v>
      </c>
      <c r="V159" s="198">
        <v>0</v>
      </c>
      <c r="W159" s="197">
        <v>0</v>
      </c>
      <c r="X159" s="199">
        <f t="shared" si="17"/>
        <v>-2.9077715910589275E-3</v>
      </c>
    </row>
    <row r="160" spans="1:24">
      <c r="A160" s="189" t="s">
        <v>9</v>
      </c>
      <c r="B160" s="190" t="s">
        <v>62</v>
      </c>
      <c r="C160" s="190">
        <v>10</v>
      </c>
      <c r="D160" s="191">
        <v>12</v>
      </c>
      <c r="E160" s="192">
        <v>44620</v>
      </c>
      <c r="F160" s="24">
        <v>1234.8386304928936</v>
      </c>
      <c r="G160" s="24">
        <v>1244.4000000000001</v>
      </c>
      <c r="H160" s="193">
        <v>108.1</v>
      </c>
      <c r="I160" s="194">
        <v>106.95000000000002</v>
      </c>
      <c r="J160" s="193">
        <v>137.5</v>
      </c>
      <c r="K160" s="194">
        <v>143.46</v>
      </c>
      <c r="L160" s="195">
        <f t="shared" si="13"/>
        <v>0.75978380587164662</v>
      </c>
      <c r="M160" s="195">
        <f t="shared" si="14"/>
        <v>0.73272380475061527</v>
      </c>
      <c r="N160" s="195">
        <f t="shared" si="15"/>
        <v>0.18375574858525201</v>
      </c>
      <c r="O160" s="195">
        <f t="shared" si="16"/>
        <v>0.18517857142857144</v>
      </c>
      <c r="P160" s="195">
        <v>0.98499999999999999</v>
      </c>
      <c r="Q160" s="195">
        <v>0.98652393999999999</v>
      </c>
      <c r="R160" s="196">
        <v>0.99</v>
      </c>
      <c r="S160" s="197">
        <v>0.99790000000000001</v>
      </c>
      <c r="T160" s="198">
        <v>1.4999999999999999E-2</v>
      </c>
      <c r="U160" s="197">
        <v>1.18E-2</v>
      </c>
      <c r="V160" s="198">
        <v>0</v>
      </c>
      <c r="W160" s="197">
        <v>0</v>
      </c>
      <c r="X160" s="199">
        <f t="shared" si="17"/>
        <v>-3.5602443215067225E-2</v>
      </c>
    </row>
    <row r="161" spans="1:24">
      <c r="A161" s="189" t="s">
        <v>9</v>
      </c>
      <c r="B161" s="190" t="s">
        <v>62</v>
      </c>
      <c r="C161" s="190">
        <v>10</v>
      </c>
      <c r="D161" s="191">
        <v>12</v>
      </c>
      <c r="E161" s="192">
        <v>44651</v>
      </c>
      <c r="F161" s="24">
        <v>1653.001222474247</v>
      </c>
      <c r="G161" s="24">
        <f>[1]Database!$I$430/1000</f>
        <v>1546.296</v>
      </c>
      <c r="H161" s="193">
        <v>161.4</v>
      </c>
      <c r="I161" s="194">
        <v>158.37</v>
      </c>
      <c r="J161" s="193">
        <v>187.8</v>
      </c>
      <c r="K161" s="194">
        <v>188.27999999999997</v>
      </c>
      <c r="L161" s="195">
        <f t="shared" si="13"/>
        <v>0.74466357380328951</v>
      </c>
      <c r="M161" s="195">
        <f t="shared" si="14"/>
        <v>0.70958587978175303</v>
      </c>
      <c r="N161" s="195">
        <f t="shared" si="15"/>
        <v>0.22217758366589341</v>
      </c>
      <c r="O161" s="195">
        <f t="shared" si="16"/>
        <v>0.20783548387096773</v>
      </c>
      <c r="P161" s="195">
        <v>0.98499999999999999</v>
      </c>
      <c r="Q161" s="195">
        <v>0.96450000000000002</v>
      </c>
      <c r="R161" s="196">
        <v>0.99</v>
      </c>
      <c r="S161" s="197">
        <v>1</v>
      </c>
      <c r="T161" s="198">
        <v>1.4999999999999999E-2</v>
      </c>
      <c r="U161" s="197">
        <v>1.1177586172229186E-2</v>
      </c>
      <c r="V161" s="198">
        <v>0</v>
      </c>
      <c r="W161" s="197">
        <v>0</v>
      </c>
      <c r="X161" s="199">
        <f t="shared" si="17"/>
        <v>-6.7108326490245673E-2</v>
      </c>
    </row>
    <row r="162" spans="1:24">
      <c r="A162" s="189" t="s">
        <v>9</v>
      </c>
      <c r="B162" s="190" t="s">
        <v>62</v>
      </c>
      <c r="C162" s="190">
        <v>10</v>
      </c>
      <c r="D162" s="191">
        <v>12</v>
      </c>
      <c r="E162" s="192">
        <v>44681</v>
      </c>
      <c r="F162" s="24">
        <v>1710.554783521143</v>
      </c>
      <c r="G162" s="24">
        <v>1527.5640000000001</v>
      </c>
      <c r="H162" s="193">
        <v>190.2</v>
      </c>
      <c r="I162" s="194">
        <v>168.23000000000002</v>
      </c>
      <c r="J162" s="193">
        <v>194</v>
      </c>
      <c r="K162" s="194">
        <v>184.26</v>
      </c>
      <c r="L162" s="195">
        <f t="shared" si="13"/>
        <v>0.74596384928617532</v>
      </c>
      <c r="M162" s="195">
        <f t="shared" si="14"/>
        <v>0.6925173547959802</v>
      </c>
      <c r="N162" s="195">
        <f t="shared" si="15"/>
        <v>0.23757705326682541</v>
      </c>
      <c r="O162" s="195">
        <f t="shared" si="16"/>
        <v>0.21216166666666667</v>
      </c>
      <c r="P162" s="195">
        <v>0.98499999999999999</v>
      </c>
      <c r="Q162" s="195">
        <v>0.99760000000000004</v>
      </c>
      <c r="R162" s="196">
        <v>0.99</v>
      </c>
      <c r="S162" s="197">
        <v>1</v>
      </c>
      <c r="T162" s="198">
        <v>1.4999999999999999E-2</v>
      </c>
      <c r="U162" s="197">
        <v>2.1000000000000001E-2</v>
      </c>
      <c r="V162" s="198">
        <v>0</v>
      </c>
      <c r="W162" s="197">
        <v>0</v>
      </c>
      <c r="X162" s="199">
        <f t="shared" si="17"/>
        <v>-5.6771261331509892E-2</v>
      </c>
    </row>
    <row r="163" spans="1:24">
      <c r="A163" s="189" t="s">
        <v>9</v>
      </c>
      <c r="B163" s="190" t="s">
        <v>62</v>
      </c>
      <c r="C163" s="190">
        <v>10</v>
      </c>
      <c r="D163" s="191">
        <v>12</v>
      </c>
      <c r="E163" s="192">
        <v>44712</v>
      </c>
      <c r="F163" s="24">
        <v>1733.036643305087</v>
      </c>
      <c r="G163" s="24">
        <v>1521.4739999999999</v>
      </c>
      <c r="H163" s="193">
        <v>197</v>
      </c>
      <c r="I163" s="194">
        <v>179.49</v>
      </c>
      <c r="J163" s="193">
        <v>197.7</v>
      </c>
      <c r="K163" s="194">
        <v>186.24</v>
      </c>
      <c r="L163" s="195">
        <f t="shared" si="13"/>
        <v>0.74162369932099315</v>
      </c>
      <c r="M163" s="195">
        <f t="shared" si="14"/>
        <v>0.70905392440933956</v>
      </c>
      <c r="N163" s="195">
        <f t="shared" si="15"/>
        <v>0.23293503270229662</v>
      </c>
      <c r="O163" s="195">
        <f t="shared" si="16"/>
        <v>0.20449919354838708</v>
      </c>
      <c r="P163" s="195">
        <v>0.98499999999999999</v>
      </c>
      <c r="Q163" s="195">
        <v>0.96013225806451619</v>
      </c>
      <c r="R163" s="196">
        <v>0.99</v>
      </c>
      <c r="S163" s="197">
        <v>1</v>
      </c>
      <c r="T163" s="198">
        <v>1.4999999999999999E-2</v>
      </c>
      <c r="U163" s="197">
        <v>8.0000000000000002E-3</v>
      </c>
      <c r="V163" s="198">
        <v>0</v>
      </c>
      <c r="W163" s="197">
        <v>0</v>
      </c>
      <c r="X163" s="199">
        <f t="shared" si="17"/>
        <v>-6.4109650520450479E-2</v>
      </c>
    </row>
    <row r="164" spans="1:24">
      <c r="A164" s="189" t="s">
        <v>9</v>
      </c>
      <c r="B164" s="190" t="s">
        <v>62</v>
      </c>
      <c r="C164" s="190">
        <v>10</v>
      </c>
      <c r="D164" s="191">
        <v>12</v>
      </c>
      <c r="E164" s="192">
        <v>44742</v>
      </c>
      <c r="F164" s="24">
        <v>1558.5774113816835</v>
      </c>
      <c r="G164" s="24">
        <v>1397.8320000000001</v>
      </c>
      <c r="H164" s="193">
        <v>178.9</v>
      </c>
      <c r="I164" s="194">
        <v>167.48000000000002</v>
      </c>
      <c r="J164" s="193">
        <v>177.2</v>
      </c>
      <c r="K164" s="194">
        <v>166.64999999999998</v>
      </c>
      <c r="L164" s="195">
        <f t="shared" si="13"/>
        <v>0.74412720690993361</v>
      </c>
      <c r="M164" s="195">
        <f t="shared" si="14"/>
        <v>0.70166221603624956</v>
      </c>
      <c r="N164" s="195">
        <f t="shared" si="15"/>
        <v>0.21646908491412273</v>
      </c>
      <c r="O164" s="195">
        <f t="shared" si="16"/>
        <v>0.19414333333333333</v>
      </c>
      <c r="P164" s="195">
        <v>0.98499999999999999</v>
      </c>
      <c r="Q164" s="195">
        <v>0.99618574666666659</v>
      </c>
      <c r="R164" s="196">
        <v>0.99</v>
      </c>
      <c r="S164" s="197">
        <v>0.99919999999999998</v>
      </c>
      <c r="T164" s="198">
        <v>1.4999999999999999E-2</v>
      </c>
      <c r="U164" s="197">
        <v>1.1299999999999999E-2</v>
      </c>
      <c r="V164" s="198">
        <v>0</v>
      </c>
      <c r="W164" s="197">
        <v>0</v>
      </c>
      <c r="X164" s="199">
        <f t="shared" si="17"/>
        <v>-4.3598735652512821E-2</v>
      </c>
    </row>
    <row r="165" spans="1:24">
      <c r="A165" s="189" t="s">
        <v>9</v>
      </c>
      <c r="B165" s="190" t="s">
        <v>62</v>
      </c>
      <c r="C165" s="190">
        <v>10</v>
      </c>
      <c r="D165" s="191">
        <v>12</v>
      </c>
      <c r="E165" s="192">
        <v>44773</v>
      </c>
      <c r="F165" s="24">
        <v>1382.3196306755649</v>
      </c>
      <c r="G165" s="24">
        <v>1323.5039999999999</v>
      </c>
      <c r="H165" s="193">
        <v>155.5</v>
      </c>
      <c r="I165" s="194">
        <v>150.19</v>
      </c>
      <c r="J165" s="193">
        <v>154.6</v>
      </c>
      <c r="K165" s="194">
        <v>151.57000000000002</v>
      </c>
      <c r="L165" s="195">
        <f t="shared" si="13"/>
        <v>0.75645223341255363</v>
      </c>
      <c r="M165" s="195">
        <f t="shared" si="14"/>
        <v>0.73828798801451734</v>
      </c>
      <c r="N165" s="195">
        <f t="shared" si="15"/>
        <v>0.18579564928435011</v>
      </c>
      <c r="O165" s="195">
        <f t="shared" si="16"/>
        <v>0.17789032258064513</v>
      </c>
      <c r="P165" s="195">
        <v>0.98499999999999999</v>
      </c>
      <c r="Q165" s="195">
        <v>0.98560967741935479</v>
      </c>
      <c r="R165" s="196">
        <v>0.99</v>
      </c>
      <c r="S165" s="197">
        <v>1</v>
      </c>
      <c r="T165" s="198">
        <v>1.4999999999999999E-2</v>
      </c>
      <c r="U165" s="197">
        <v>6.7999999999999996E-3</v>
      </c>
      <c r="V165" s="198">
        <v>0</v>
      </c>
      <c r="W165" s="197">
        <v>0</v>
      </c>
      <c r="X165" s="199">
        <f t="shared" si="17"/>
        <v>-2.2949537728321201E-2</v>
      </c>
    </row>
    <row r="166" spans="1:24">
      <c r="A166" s="189" t="s">
        <v>9</v>
      </c>
      <c r="B166" s="190" t="s">
        <v>62</v>
      </c>
      <c r="C166" s="190">
        <v>10</v>
      </c>
      <c r="D166" s="191">
        <v>12</v>
      </c>
      <c r="E166" s="192">
        <v>44804</v>
      </c>
      <c r="F166" s="24">
        <v>1313.0755025410178</v>
      </c>
      <c r="G166" s="24">
        <v>1392.846</v>
      </c>
      <c r="H166" s="193">
        <v>145.4</v>
      </c>
      <c r="I166" s="194">
        <v>155.39000000000001</v>
      </c>
      <c r="J166" s="193">
        <v>146.30000000000001</v>
      </c>
      <c r="K166" s="194">
        <v>162.41</v>
      </c>
      <c r="L166" s="195">
        <f t="shared" si="13"/>
        <v>0.75932534528581364</v>
      </c>
      <c r="M166" s="195">
        <f t="shared" si="14"/>
        <v>0.73115270034013513</v>
      </c>
      <c r="N166" s="195">
        <f t="shared" si="15"/>
        <v>0.17648864281465296</v>
      </c>
      <c r="O166" s="195">
        <f t="shared" si="16"/>
        <v>0.18721048387096773</v>
      </c>
      <c r="P166" s="195">
        <v>0.98499999999999999</v>
      </c>
      <c r="Q166" s="195">
        <v>0.97746451612903218</v>
      </c>
      <c r="R166" s="196">
        <v>0.99</v>
      </c>
      <c r="S166" s="197">
        <v>1</v>
      </c>
      <c r="T166" s="198">
        <v>1.4999999999999999E-2</v>
      </c>
      <c r="U166" s="197">
        <v>1.3100000000000001E-2</v>
      </c>
      <c r="V166" s="198">
        <v>0</v>
      </c>
      <c r="W166" s="197">
        <v>0</v>
      </c>
      <c r="X166" s="199">
        <f t="shared" si="17"/>
        <v>-4.9365315650145902E-2</v>
      </c>
    </row>
    <row r="167" spans="1:24">
      <c r="A167" s="189" t="s">
        <v>9</v>
      </c>
      <c r="B167" s="190" t="s">
        <v>62</v>
      </c>
      <c r="C167" s="190">
        <v>10</v>
      </c>
      <c r="D167" s="191">
        <v>12</v>
      </c>
      <c r="E167" s="192">
        <v>44834</v>
      </c>
      <c r="F167" s="24">
        <v>1306.7805818015136</v>
      </c>
      <c r="G167" s="24">
        <v>1179.4380000000001</v>
      </c>
      <c r="H167" s="193">
        <v>141.6</v>
      </c>
      <c r="I167" s="194">
        <v>124.96999999999997</v>
      </c>
      <c r="J167" s="193">
        <v>145.5</v>
      </c>
      <c r="K167" s="194">
        <v>137.80000000000001</v>
      </c>
      <c r="L167" s="195">
        <f t="shared" si="13"/>
        <v>0.75984008803386049</v>
      </c>
      <c r="M167" s="195">
        <f t="shared" si="14"/>
        <v>0.72452101882384301</v>
      </c>
      <c r="N167" s="195">
        <f t="shared" si="15"/>
        <v>0.181497303027988</v>
      </c>
      <c r="O167" s="195">
        <f t="shared" si="16"/>
        <v>0.16381083333333335</v>
      </c>
      <c r="P167" s="195">
        <v>0.98499999999999999</v>
      </c>
      <c r="Q167" s="195">
        <v>0.98444999999999971</v>
      </c>
      <c r="R167" s="196">
        <v>0.99</v>
      </c>
      <c r="S167" s="197">
        <v>1</v>
      </c>
      <c r="T167" s="198">
        <v>1.4999999999999999E-2</v>
      </c>
      <c r="U167" s="197">
        <v>1.0200000000000001E-2</v>
      </c>
      <c r="V167" s="198">
        <v>0</v>
      </c>
      <c r="W167" s="197">
        <v>0</v>
      </c>
      <c r="X167" s="199">
        <f t="shared" si="17"/>
        <v>-4.4526599828247027E-2</v>
      </c>
    </row>
    <row r="168" spans="1:24">
      <c r="A168" s="189" t="s">
        <v>9</v>
      </c>
      <c r="B168" s="190" t="s">
        <v>62</v>
      </c>
      <c r="C168" s="190">
        <v>10</v>
      </c>
      <c r="D168" s="191">
        <v>12</v>
      </c>
      <c r="E168" s="192">
        <v>44865</v>
      </c>
      <c r="F168" s="24">
        <v>1494.7289295952833</v>
      </c>
      <c r="G168" s="24">
        <v>1360.6980000000001</v>
      </c>
      <c r="H168" s="193">
        <v>139.1</v>
      </c>
      <c r="I168" s="194">
        <v>131.32999999999998</v>
      </c>
      <c r="J168" s="193">
        <v>172.2</v>
      </c>
      <c r="K168" s="194">
        <v>163.07999999999998</v>
      </c>
      <c r="L168" s="195">
        <f t="shared" si="13"/>
        <v>0.73436474016720188</v>
      </c>
      <c r="M168" s="195">
        <f t="shared" si="14"/>
        <v>0.69902824107928418</v>
      </c>
      <c r="N168" s="195">
        <f t="shared" si="15"/>
        <v>0.20090442602087139</v>
      </c>
      <c r="O168" s="195">
        <f t="shared" si="16"/>
        <v>0.18288951612903229</v>
      </c>
      <c r="P168" s="195">
        <v>0.98499999999999999</v>
      </c>
      <c r="Q168" s="195">
        <v>0.99468387096774191</v>
      </c>
      <c r="R168" s="196">
        <v>0.99</v>
      </c>
      <c r="S168" s="197">
        <v>1</v>
      </c>
      <c r="T168" s="198">
        <v>1.4999999999999999E-2</v>
      </c>
      <c r="U168" s="197">
        <v>1.7429924472136302E-2</v>
      </c>
      <c r="V168" s="198">
        <v>0</v>
      </c>
      <c r="W168" s="197">
        <v>0</v>
      </c>
      <c r="X168" s="199">
        <f t="shared" si="17"/>
        <v>-3.6707381855316856E-2</v>
      </c>
    </row>
    <row r="169" spans="1:24">
      <c r="A169" s="189" t="s">
        <v>9</v>
      </c>
      <c r="B169" s="190" t="s">
        <v>62</v>
      </c>
      <c r="C169" s="190">
        <v>10</v>
      </c>
      <c r="D169" s="191">
        <v>12</v>
      </c>
      <c r="E169" s="192">
        <v>44895</v>
      </c>
      <c r="F169" s="24">
        <v>1322.0682464545951</v>
      </c>
      <c r="G169" s="24">
        <v>1110.0360000000001</v>
      </c>
      <c r="H169" s="193">
        <v>108.1</v>
      </c>
      <c r="I169" s="194">
        <v>91.19</v>
      </c>
      <c r="J169" s="193">
        <v>152.1</v>
      </c>
      <c r="K169" s="194">
        <v>137.23000000000002</v>
      </c>
      <c r="L169" s="195">
        <f t="shared" si="13"/>
        <v>0.73537215945438161</v>
      </c>
      <c r="M169" s="195">
        <f t="shared" si="14"/>
        <v>0.67630226776562985</v>
      </c>
      <c r="N169" s="195">
        <f t="shared" si="15"/>
        <v>0.18362058978536042</v>
      </c>
      <c r="O169" s="195">
        <f t="shared" si="16"/>
        <v>0.15417166666666665</v>
      </c>
      <c r="P169" s="195">
        <v>0.98499999999999999</v>
      </c>
      <c r="Q169" s="195">
        <v>0.99670333333333327</v>
      </c>
      <c r="R169" s="196">
        <v>0.99</v>
      </c>
      <c r="S169" s="197">
        <v>1</v>
      </c>
      <c r="T169" s="198">
        <v>1.4999999999999999E-2</v>
      </c>
      <c r="U169" s="197">
        <v>2.53E-2</v>
      </c>
      <c r="V169" s="198">
        <v>0</v>
      </c>
      <c r="W169" s="197">
        <v>0</v>
      </c>
      <c r="X169" s="199">
        <f t="shared" si="17"/>
        <v>-6.26145705152098E-2</v>
      </c>
    </row>
    <row r="170" spans="1:24">
      <c r="A170" s="189" t="s">
        <v>9</v>
      </c>
      <c r="B170" s="190" t="s">
        <v>62</v>
      </c>
      <c r="C170" s="190">
        <v>10</v>
      </c>
      <c r="D170" s="191">
        <v>12</v>
      </c>
      <c r="E170" s="192">
        <v>44926</v>
      </c>
      <c r="F170" s="24">
        <v>1108.040941311451</v>
      </c>
      <c r="G170" s="24">
        <v>983.44200000000001</v>
      </c>
      <c r="H170" s="193">
        <v>89.9</v>
      </c>
      <c r="I170" s="194">
        <v>72.790000000000006</v>
      </c>
      <c r="J170" s="193">
        <v>129.6</v>
      </c>
      <c r="K170" s="194">
        <v>115.19000000000001</v>
      </c>
      <c r="L170" s="195">
        <f t="shared" si="13"/>
        <v>0.72332475644926664</v>
      </c>
      <c r="M170" s="195">
        <f t="shared" si="14"/>
        <v>0.71251405234033838</v>
      </c>
      <c r="N170" s="195">
        <f t="shared" si="15"/>
        <v>0.14893023404723801</v>
      </c>
      <c r="O170" s="195">
        <f t="shared" si="16"/>
        <v>0.13218306451612905</v>
      </c>
      <c r="P170" s="195">
        <v>0.98499999999999999</v>
      </c>
      <c r="Q170" s="195">
        <v>0.99852580645161293</v>
      </c>
      <c r="R170" s="196">
        <v>0.99</v>
      </c>
      <c r="S170" s="197">
        <v>1</v>
      </c>
      <c r="T170" s="198">
        <v>1.4999999999999999E-2</v>
      </c>
      <c r="U170" s="197">
        <v>1.9300000000000001E-2</v>
      </c>
      <c r="V170" s="198">
        <v>0</v>
      </c>
      <c r="W170" s="197">
        <v>0</v>
      </c>
      <c r="X170" s="199">
        <f t="shared" si="17"/>
        <v>-1.2614914552413481E-3</v>
      </c>
    </row>
    <row r="171" spans="1:24">
      <c r="A171" s="189" t="s">
        <v>9</v>
      </c>
      <c r="B171" s="190" t="s">
        <v>62</v>
      </c>
      <c r="C171" s="190">
        <v>10</v>
      </c>
      <c r="D171" s="191">
        <v>12</v>
      </c>
      <c r="E171" s="192">
        <v>44957</v>
      </c>
      <c r="F171" s="24">
        <v>938.75635905451804</v>
      </c>
      <c r="G171" s="24">
        <v>752.04</v>
      </c>
      <c r="H171" s="193">
        <v>79.599999999999994</v>
      </c>
      <c r="I171" s="194">
        <v>61.790000000000006</v>
      </c>
      <c r="J171" s="193">
        <v>103.2</v>
      </c>
      <c r="K171" s="194">
        <v>85.230000000000018</v>
      </c>
      <c r="L171" s="195">
        <f t="shared" si="13"/>
        <v>0.76958344732889172</v>
      </c>
      <c r="M171" s="195">
        <f t="shared" si="14"/>
        <v>0.74157677445898851</v>
      </c>
      <c r="N171" s="195">
        <f t="shared" si="15"/>
        <v>0.126176929980446</v>
      </c>
      <c r="O171" s="195">
        <f t="shared" si="16"/>
        <v>0.10108064516129031</v>
      </c>
      <c r="P171" s="195">
        <v>0.98499999999999999</v>
      </c>
      <c r="Q171" s="195">
        <v>0.99154193548387104</v>
      </c>
      <c r="R171" s="196">
        <v>0.99</v>
      </c>
      <c r="S171" s="197">
        <v>1</v>
      </c>
      <c r="T171" s="198">
        <v>1.4999999999999999E-2</v>
      </c>
      <c r="U171" s="197">
        <v>1.0999999999999999E-2</v>
      </c>
      <c r="V171" s="198">
        <v>0</v>
      </c>
      <c r="W171" s="197">
        <v>0</v>
      </c>
      <c r="X171" s="199">
        <f t="shared" si="17"/>
        <v>-2.4769663466956748E-2</v>
      </c>
    </row>
    <row r="172" spans="1:24">
      <c r="A172" s="189" t="s">
        <v>9</v>
      </c>
      <c r="B172" s="190" t="s">
        <v>62</v>
      </c>
      <c r="C172" s="190">
        <v>10</v>
      </c>
      <c r="D172" s="191">
        <v>12</v>
      </c>
      <c r="E172" s="192">
        <v>44985</v>
      </c>
      <c r="F172" s="24">
        <v>1228.664437340429</v>
      </c>
      <c r="G172" s="24">
        <v>1237.7280000000001</v>
      </c>
      <c r="H172" s="193">
        <v>108.1</v>
      </c>
      <c r="I172" s="194">
        <v>104.71000000000002</v>
      </c>
      <c r="J172" s="193">
        <v>137.5</v>
      </c>
      <c r="K172" s="194">
        <v>146.39999999999998</v>
      </c>
      <c r="L172" s="195">
        <f t="shared" si="13"/>
        <v>0.75598488684228826</v>
      </c>
      <c r="M172" s="195">
        <f t="shared" si="14"/>
        <v>0.70715209732113549</v>
      </c>
      <c r="N172" s="195">
        <f t="shared" si="15"/>
        <v>0.18283696984232573</v>
      </c>
      <c r="O172" s="195">
        <f t="shared" si="16"/>
        <v>0.18418571428571429</v>
      </c>
      <c r="P172" s="195">
        <v>0.98499999999999999</v>
      </c>
      <c r="Q172" s="195">
        <v>0.99629983676020406</v>
      </c>
      <c r="R172" s="196">
        <v>0.99</v>
      </c>
      <c r="S172" s="197">
        <v>0.99800357142857143</v>
      </c>
      <c r="T172" s="198">
        <v>1.4999999999999999E-2</v>
      </c>
      <c r="U172" s="197">
        <v>1.8599999999999998E-2</v>
      </c>
      <c r="V172" s="198">
        <v>0</v>
      </c>
      <c r="W172" s="197">
        <v>0</v>
      </c>
      <c r="X172" s="199">
        <f t="shared" si="17"/>
        <v>-5.7350512739663406E-2</v>
      </c>
    </row>
    <row r="173" spans="1:24">
      <c r="A173" s="189" t="s">
        <v>9</v>
      </c>
      <c r="B173" s="190" t="s">
        <v>62</v>
      </c>
      <c r="C173" s="200">
        <v>10</v>
      </c>
      <c r="D173" s="201">
        <v>12</v>
      </c>
      <c r="E173" s="192">
        <f t="shared" ref="E173:E186" si="18">E76</f>
        <v>45016</v>
      </c>
      <c r="F173" s="24">
        <v>1644.7362163618757</v>
      </c>
      <c r="G173" s="24">
        <v>1420.806</v>
      </c>
      <c r="H173" s="24">
        <v>161.4</v>
      </c>
      <c r="I173" s="24">
        <v>142.55000000000001</v>
      </c>
      <c r="J173" s="193">
        <v>187.8</v>
      </c>
      <c r="K173" s="194">
        <v>171.12999999999997</v>
      </c>
      <c r="L173" s="195">
        <f t="shared" si="13"/>
        <v>0.74094025593427315</v>
      </c>
      <c r="M173" s="195">
        <f t="shared" si="14"/>
        <v>0.70037397534001822</v>
      </c>
      <c r="N173" s="195">
        <f t="shared" si="15"/>
        <v>0.22106669574756393</v>
      </c>
      <c r="O173" s="195">
        <f t="shared" si="16"/>
        <v>0.19096854838709679</v>
      </c>
      <c r="P173" s="195">
        <v>0.98499999999999999</v>
      </c>
      <c r="Q173" s="195">
        <v>0.98786451612903237</v>
      </c>
      <c r="R173" s="195">
        <v>0.99</v>
      </c>
      <c r="S173" s="195">
        <v>1</v>
      </c>
      <c r="T173" s="198">
        <v>1.4999999999999999E-2</v>
      </c>
      <c r="U173" s="197">
        <v>-1.4200000000000001E-2</v>
      </c>
      <c r="V173" s="198">
        <v>0</v>
      </c>
      <c r="W173" s="197">
        <v>0</v>
      </c>
      <c r="X173" s="199">
        <f t="shared" si="17"/>
        <v>-4.7384980108927222E-2</v>
      </c>
    </row>
    <row r="174" spans="1:24">
      <c r="A174" s="189" t="s">
        <v>9</v>
      </c>
      <c r="B174" s="190" t="s">
        <v>62</v>
      </c>
      <c r="C174" s="200">
        <v>10</v>
      </c>
      <c r="D174" s="201">
        <v>12</v>
      </c>
      <c r="E174" s="192">
        <f t="shared" si="18"/>
        <v>45046</v>
      </c>
      <c r="F174" s="24">
        <f>UTT!B464</f>
        <v>45046</v>
      </c>
      <c r="G174" s="24">
        <f>UTT!C464</f>
        <v>1702.0020096035373</v>
      </c>
      <c r="H174" s="24">
        <f>UTT!D464</f>
        <v>1515.06</v>
      </c>
      <c r="I174" s="24">
        <f>UTT!E464</f>
        <v>190.2</v>
      </c>
      <c r="J174" s="24">
        <f>UTT!F464</f>
        <v>179.47999999999996</v>
      </c>
      <c r="K174" s="24">
        <f>UTT!G464</f>
        <v>194</v>
      </c>
      <c r="L174" s="195">
        <f t="shared" si="13"/>
        <v>99.394325235831289</v>
      </c>
      <c r="M174" s="195">
        <f t="shared" si="14"/>
        <v>0.74223403003974453</v>
      </c>
      <c r="N174" s="195">
        <f t="shared" si="15"/>
        <v>6.256388888888889</v>
      </c>
      <c r="O174" s="195">
        <f t="shared" si="16"/>
        <v>0.23638916800049131</v>
      </c>
      <c r="P174" s="195">
        <f>UTT!L464</f>
        <v>0.210425</v>
      </c>
      <c r="Q174" s="195">
        <f>UTT!M464</f>
        <v>0.98499999999999999</v>
      </c>
      <c r="R174" s="195">
        <f>UTT!N464</f>
        <v>0.97736999999999996</v>
      </c>
      <c r="S174" s="195">
        <f>UTT!O464</f>
        <v>0.99</v>
      </c>
      <c r="T174" s="198">
        <v>1.4999999999999999E-2</v>
      </c>
      <c r="U174" s="195">
        <f>UTT!U464</f>
        <v>1.0000000000000009E-2</v>
      </c>
      <c r="V174" s="198">
        <v>0</v>
      </c>
      <c r="W174" s="197">
        <v>0</v>
      </c>
      <c r="X174" s="199">
        <f t="shared" si="17"/>
        <v>-1.0431167352723438</v>
      </c>
    </row>
    <row r="175" spans="1:24">
      <c r="A175" s="189" t="s">
        <v>9</v>
      </c>
      <c r="B175" s="190" t="s">
        <v>62</v>
      </c>
      <c r="C175" s="200">
        <v>10</v>
      </c>
      <c r="D175" s="201">
        <v>12</v>
      </c>
      <c r="E175" s="192">
        <f t="shared" si="18"/>
        <v>45077</v>
      </c>
      <c r="F175" s="24">
        <f>UTT!B465</f>
        <v>45077</v>
      </c>
      <c r="G175" s="24">
        <f>UTT!C465</f>
        <v>1724.3714600885614</v>
      </c>
      <c r="H175" s="24">
        <f>UTT!D465</f>
        <v>1511.3040000000001</v>
      </c>
      <c r="I175" s="24">
        <f>UTT!E465</f>
        <v>197</v>
      </c>
      <c r="J175" s="24">
        <f>UTT!F465</f>
        <v>194.24</v>
      </c>
      <c r="K175" s="24">
        <f>UTT!G465</f>
        <v>197.7</v>
      </c>
      <c r="L175" s="195">
        <f t="shared" si="13"/>
        <v>95.204218657837572</v>
      </c>
      <c r="M175" s="195">
        <f t="shared" si="14"/>
        <v>0.73791558082438802</v>
      </c>
      <c r="N175" s="195">
        <f t="shared" si="15"/>
        <v>6.0587365591397848</v>
      </c>
      <c r="O175" s="195">
        <f t="shared" si="16"/>
        <v>0.23177035753878514</v>
      </c>
      <c r="P175" s="195">
        <f>UTT!L465</f>
        <v>0.20313225806451615</v>
      </c>
      <c r="Q175" s="195">
        <f>UTT!M465</f>
        <v>0.98499999999999999</v>
      </c>
      <c r="R175" s="195">
        <f>UTT!N465</f>
        <v>0.9527181950468262</v>
      </c>
      <c r="S175" s="195">
        <f>UTT!O465</f>
        <v>0.99</v>
      </c>
      <c r="T175" s="198">
        <v>1.4999999999999999E-2</v>
      </c>
      <c r="U175" s="195">
        <f>UTT!U465</f>
        <v>3.9645161290322584E-3</v>
      </c>
      <c r="V175" s="198">
        <v>0</v>
      </c>
      <c r="W175" s="197">
        <v>0</v>
      </c>
      <c r="X175" s="199">
        <f t="shared" si="17"/>
        <v>-0.9795591057361609</v>
      </c>
    </row>
    <row r="176" spans="1:24">
      <c r="A176" s="189" t="s">
        <v>9</v>
      </c>
      <c r="B176" s="190" t="s">
        <v>62</v>
      </c>
      <c r="C176" s="200">
        <v>10</v>
      </c>
      <c r="D176" s="201">
        <v>12</v>
      </c>
      <c r="E176" s="192">
        <f t="shared" si="18"/>
        <v>45107</v>
      </c>
      <c r="F176" s="24">
        <f>UTT!B466</f>
        <v>45107</v>
      </c>
      <c r="G176" s="24">
        <f>UTT!C466</f>
        <v>1550.7845243247752</v>
      </c>
      <c r="H176" s="24">
        <f>UTT!D466</f>
        <v>1413.5940000000001</v>
      </c>
      <c r="I176" s="24">
        <f>UTT!E466</f>
        <v>178.9</v>
      </c>
      <c r="J176" s="24">
        <f>UTT!F466</f>
        <v>173.85999999999999</v>
      </c>
      <c r="K176" s="24">
        <f>UTT!G466</f>
        <v>177.2</v>
      </c>
      <c r="L176" s="195">
        <f t="shared" si="13"/>
        <v>110.12117221892431</v>
      </c>
      <c r="M176" s="195">
        <f t="shared" si="14"/>
        <v>0.74040657087538397</v>
      </c>
      <c r="N176" s="195">
        <f t="shared" si="15"/>
        <v>6.2648611111111112</v>
      </c>
      <c r="O176" s="195">
        <f t="shared" si="16"/>
        <v>0.21538673948955211</v>
      </c>
      <c r="P176" s="195">
        <f>UTT!L466</f>
        <v>0.19633250000000002</v>
      </c>
      <c r="Q176" s="195">
        <f>UTT!M466</f>
        <v>0.98499999999999999</v>
      </c>
      <c r="R176" s="195">
        <f>UTT!N466</f>
        <v>0.98888333333333345</v>
      </c>
      <c r="S176" s="195">
        <f>UTT!O466</f>
        <v>0.99</v>
      </c>
      <c r="T176" s="198">
        <v>1.4999999999999999E-2</v>
      </c>
      <c r="U176" s="195">
        <f>UTT!U466</f>
        <v>1.0000000000000009E-2</v>
      </c>
      <c r="V176" s="198">
        <v>0</v>
      </c>
      <c r="W176" s="197">
        <v>0</v>
      </c>
      <c r="X176" s="199">
        <f t="shared" si="17"/>
        <v>-0.98483072930289473</v>
      </c>
    </row>
    <row r="177" spans="1:24">
      <c r="A177" s="189" t="s">
        <v>9</v>
      </c>
      <c r="B177" s="190" t="s">
        <v>62</v>
      </c>
      <c r="C177" s="200">
        <v>10</v>
      </c>
      <c r="D177" s="201">
        <v>12</v>
      </c>
      <c r="E177" s="192">
        <f t="shared" si="18"/>
        <v>45137</v>
      </c>
      <c r="F177" s="24">
        <f>UTT!B467</f>
        <v>45138</v>
      </c>
      <c r="G177" s="24">
        <f>UTT!C467</f>
        <v>1375.4080325221871</v>
      </c>
      <c r="H177" s="24">
        <f>UTT!D467</f>
        <v>1117.4760000000056</v>
      </c>
      <c r="I177" s="24">
        <f>UTT!E467</f>
        <v>155.5</v>
      </c>
      <c r="J177" s="24">
        <f>UTT!F467</f>
        <v>140.26</v>
      </c>
      <c r="K177" s="24">
        <f>UTT!G467</f>
        <v>154.6</v>
      </c>
      <c r="L177" s="195">
        <f t="shared" si="13"/>
        <v>178.5508666715109</v>
      </c>
      <c r="M177" s="195">
        <f t="shared" si="14"/>
        <v>0.75266997224549093</v>
      </c>
      <c r="N177" s="195">
        <f t="shared" si="15"/>
        <v>6.269166666666667</v>
      </c>
      <c r="O177" s="195">
        <f t="shared" si="16"/>
        <v>0.19102889340585932</v>
      </c>
      <c r="P177" s="195">
        <f>UTT!L467</f>
        <v>0.15019838709677494</v>
      </c>
      <c r="Q177" s="195">
        <f>UTT!M467</f>
        <v>0.98499999999999999</v>
      </c>
      <c r="R177" s="195">
        <f>UTT!N467</f>
        <v>0.94031935483870976</v>
      </c>
      <c r="S177" s="195">
        <f>UTT!O467</f>
        <v>0.99</v>
      </c>
      <c r="T177" s="198">
        <v>1.4999999999999999E-2</v>
      </c>
      <c r="U177" s="195">
        <f>UTT!U467</f>
        <v>1.0000000000000009E-2</v>
      </c>
      <c r="V177" s="198">
        <v>0</v>
      </c>
      <c r="W177" s="197">
        <v>0</v>
      </c>
      <c r="X177" s="199">
        <f t="shared" si="17"/>
        <v>-1.0717675215588902</v>
      </c>
    </row>
    <row r="178" spans="1:24">
      <c r="A178" s="189" t="s">
        <v>9</v>
      </c>
      <c r="B178" s="190" t="s">
        <v>62</v>
      </c>
      <c r="C178" s="200">
        <v>10</v>
      </c>
      <c r="D178" s="201">
        <v>12</v>
      </c>
      <c r="E178" s="192">
        <f t="shared" si="18"/>
        <v>45169</v>
      </c>
      <c r="F178" s="24">
        <f>UTT!B468</f>
        <v>45169</v>
      </c>
      <c r="G178" s="24">
        <f>UTT!C468</f>
        <v>1306.5101250283128</v>
      </c>
      <c r="H178" s="24">
        <f>UTT!D468</f>
        <v>1131.672</v>
      </c>
      <c r="I178" s="24">
        <f>UTT!E468</f>
        <v>145.4</v>
      </c>
      <c r="J178" s="24">
        <f>UTT!F468</f>
        <v>132.69999999999999</v>
      </c>
      <c r="K178" s="24">
        <f>UTT!G468</f>
        <v>146.30000000000001</v>
      </c>
      <c r="L178" s="195">
        <f t="shared" si="13"/>
        <v>186.48361171676427</v>
      </c>
      <c r="M178" s="195">
        <f t="shared" si="14"/>
        <v>0.75552871855938464</v>
      </c>
      <c r="N178" s="195">
        <f t="shared" si="15"/>
        <v>6.0711021505376346</v>
      </c>
      <c r="O178" s="195">
        <f t="shared" si="16"/>
        <v>0.17560619960057969</v>
      </c>
      <c r="P178" s="202">
        <f>UTT!L468</f>
        <v>0.1521064516129032</v>
      </c>
      <c r="Q178" s="202">
        <f>UTT!M468</f>
        <v>0.98499999999999999</v>
      </c>
      <c r="R178" s="202">
        <f>UTT!N468</f>
        <v>0.98476129032258064</v>
      </c>
      <c r="S178" s="202">
        <f>UTT!O468</f>
        <v>0.99</v>
      </c>
      <c r="T178" s="198">
        <v>1.4999999999999999E-2</v>
      </c>
      <c r="U178" s="202">
        <f>UTT!U468</f>
        <v>1.0000000000000009E-2</v>
      </c>
      <c r="V178" s="198">
        <v>0</v>
      </c>
      <c r="W178" s="197">
        <v>0</v>
      </c>
      <c r="X178" s="199">
        <f t="shared" si="17"/>
        <v>-1.0735618832031257</v>
      </c>
    </row>
    <row r="179" spans="1:24">
      <c r="A179" s="189" t="s">
        <v>9</v>
      </c>
      <c r="B179" s="190" t="s">
        <v>62</v>
      </c>
      <c r="C179" s="200">
        <v>10</v>
      </c>
      <c r="D179" s="201">
        <v>12</v>
      </c>
      <c r="E179" s="192">
        <f t="shared" si="18"/>
        <v>45199</v>
      </c>
      <c r="F179" s="24">
        <f>UTT!B469</f>
        <v>45199</v>
      </c>
      <c r="G179" s="24">
        <f>UTT!C469</f>
        <v>1300.246678892506</v>
      </c>
      <c r="H179" s="24">
        <f>UTT!D469</f>
        <v>1256.8140000000001</v>
      </c>
      <c r="I179" s="24">
        <f>UTT!E469</f>
        <v>141.6</v>
      </c>
      <c r="J179" s="24">
        <f>UTT!F469</f>
        <v>140.91999999999999</v>
      </c>
      <c r="K179" s="24">
        <f>UTT!G469</f>
        <v>145.5</v>
      </c>
      <c r="L179" s="195">
        <f t="shared" ref="L179:L194" si="19">F179/D179/J179/P179</f>
        <v>153.12159083919764</v>
      </c>
      <c r="M179" s="195">
        <f t="shared" ref="M179:M194" si="20">G179/D179/K179/Q179</f>
        <v>0.75604088759369115</v>
      </c>
      <c r="N179" s="195">
        <f t="shared" ref="N179:N194" si="21">F179/24/DAY(E179)/C179</f>
        <v>6.2776388888888892</v>
      </c>
      <c r="O179" s="195">
        <f t="shared" ref="O179:O194" si="22">G179/24/DAY(E179)/C179</f>
        <v>0.18058981651284806</v>
      </c>
      <c r="P179" s="202">
        <f>UTT!L469</f>
        <v>0.1745575</v>
      </c>
      <c r="Q179" s="202">
        <f>UTT!M469</f>
        <v>0.98499999999999999</v>
      </c>
      <c r="R179" s="202">
        <f>UTT!N469</f>
        <v>0.97745666666666675</v>
      </c>
      <c r="S179" s="202">
        <f>UTT!O469</f>
        <v>0.99</v>
      </c>
      <c r="T179" s="198">
        <v>1.4999999999999999E-2</v>
      </c>
      <c r="U179" s="202">
        <f>UTT!U469</f>
        <v>1.0000000000000009E-2</v>
      </c>
      <c r="V179" s="198">
        <v>0</v>
      </c>
      <c r="W179" s="197">
        <v>0</v>
      </c>
      <c r="X179" s="199">
        <f t="shared" si="17"/>
        <v>-1.0037335537364545</v>
      </c>
    </row>
    <row r="180" spans="1:24">
      <c r="A180" s="189" t="s">
        <v>9</v>
      </c>
      <c r="B180" s="190" t="s">
        <v>62</v>
      </c>
      <c r="C180" s="200">
        <v>10</v>
      </c>
      <c r="D180" s="201">
        <v>12</v>
      </c>
      <c r="E180" s="192">
        <f t="shared" si="18"/>
        <v>45230</v>
      </c>
      <c r="F180" s="24">
        <f>UTT!B470</f>
        <v>45230</v>
      </c>
      <c r="G180" s="24">
        <f>UTT!C470</f>
        <v>1487.2552849473068</v>
      </c>
      <c r="H180" s="24">
        <f>UTT!D470</f>
        <v>1401.9</v>
      </c>
      <c r="I180" s="24">
        <f>UTT!E470</f>
        <v>139.1</v>
      </c>
      <c r="J180" s="24">
        <f>UTT!F470</f>
        <v>136.64999999999998</v>
      </c>
      <c r="K180" s="24">
        <f>UTT!G470</f>
        <v>172.2</v>
      </c>
      <c r="L180" s="195">
        <f t="shared" si="19"/>
        <v>146.38332426743938</v>
      </c>
      <c r="M180" s="195">
        <f t="shared" si="20"/>
        <v>0.73069291646636592</v>
      </c>
      <c r="N180" s="195">
        <f t="shared" si="21"/>
        <v>6.079301075268817</v>
      </c>
      <c r="O180" s="195">
        <f t="shared" si="22"/>
        <v>0.19989990389076703</v>
      </c>
      <c r="P180" s="202">
        <f>UTT!L470</f>
        <v>0.1884274193548387</v>
      </c>
      <c r="Q180" s="202">
        <f>UTT!M470</f>
        <v>0.98499999999999999</v>
      </c>
      <c r="R180" s="202">
        <f>UTT!N470</f>
        <v>0.94294193548387095</v>
      </c>
      <c r="S180" s="202">
        <f>UTT!O470</f>
        <v>0.99</v>
      </c>
      <c r="T180" s="198">
        <v>1.4999999999999999E-2</v>
      </c>
      <c r="U180" s="202">
        <f>UTT!U470</f>
        <v>1.0000000000000009E-2</v>
      </c>
      <c r="V180" s="198">
        <v>0</v>
      </c>
      <c r="W180" s="197">
        <v>0</v>
      </c>
      <c r="X180" s="199">
        <f t="shared" si="17"/>
        <v>-1.2272716236640244</v>
      </c>
    </row>
    <row r="181" spans="1:24">
      <c r="A181" s="189" t="s">
        <v>9</v>
      </c>
      <c r="B181" s="190" t="s">
        <v>62</v>
      </c>
      <c r="C181" s="200">
        <v>10</v>
      </c>
      <c r="D181" s="201">
        <v>12</v>
      </c>
      <c r="E181" s="192">
        <f t="shared" si="18"/>
        <v>45260</v>
      </c>
      <c r="F181" s="24">
        <f>UTT!B471</f>
        <v>45260</v>
      </c>
      <c r="G181" s="24">
        <f>UTT!C471</f>
        <v>1315.4579052223221</v>
      </c>
      <c r="H181" s="24">
        <f>UTT!D471</f>
        <v>1092.7799999999972</v>
      </c>
      <c r="I181" s="24">
        <f>UTT!E471</f>
        <v>108.1</v>
      </c>
      <c r="J181" s="24">
        <f>UTT!F471</f>
        <v>93.580000000000013</v>
      </c>
      <c r="K181" s="24">
        <f>UTT!G471</f>
        <v>152.1</v>
      </c>
      <c r="L181" s="195">
        <f t="shared" si="19"/>
        <v>265.55227180555323</v>
      </c>
      <c r="M181" s="195">
        <f t="shared" si="20"/>
        <v>0.73169529865710958</v>
      </c>
      <c r="N181" s="195">
        <f t="shared" si="21"/>
        <v>6.2861111111111105</v>
      </c>
      <c r="O181" s="195">
        <f t="shared" si="22"/>
        <v>0.18270248683643361</v>
      </c>
      <c r="P181" s="202">
        <f>UTT!L471</f>
        <v>0.1517749999999996</v>
      </c>
      <c r="Q181" s="202">
        <f>UTT!M471</f>
        <v>0.98499999999999999</v>
      </c>
      <c r="R181" s="202">
        <f>UTT!N471</f>
        <v>0.99452666666666678</v>
      </c>
      <c r="S181" s="202">
        <f>UTT!O471</f>
        <v>0.99</v>
      </c>
      <c r="T181" s="198">
        <v>1.4999999999999999E-2</v>
      </c>
      <c r="U181" s="202">
        <f>UTT!U471</f>
        <v>1.0000000000000009E-2</v>
      </c>
      <c r="V181" s="198">
        <v>0</v>
      </c>
      <c r="W181" s="197">
        <v>0</v>
      </c>
      <c r="X181" s="199">
        <f t="shared" si="17"/>
        <v>-1.5962828265850297</v>
      </c>
    </row>
    <row r="182" spans="1:24">
      <c r="A182" s="189" t="s">
        <v>9</v>
      </c>
      <c r="B182" s="190" t="s">
        <v>62</v>
      </c>
      <c r="C182" s="200">
        <v>10</v>
      </c>
      <c r="D182" s="201">
        <v>12</v>
      </c>
      <c r="E182" s="192">
        <f t="shared" si="18"/>
        <v>45291</v>
      </c>
      <c r="F182" s="24">
        <f>UTT!B472</f>
        <v>45291</v>
      </c>
      <c r="G182" s="24">
        <f>UTT!C472</f>
        <v>1102.5007366048935</v>
      </c>
      <c r="H182" s="24">
        <f>UTT!D472</f>
        <v>1018.338</v>
      </c>
      <c r="I182" s="24">
        <f>UTT!E472</f>
        <v>89.9</v>
      </c>
      <c r="J182" s="24">
        <f>UTT!F472</f>
        <v>80.819999999999993</v>
      </c>
      <c r="K182" s="24">
        <f>UTT!G472</f>
        <v>129.6</v>
      </c>
      <c r="L182" s="195">
        <f t="shared" si="19"/>
        <v>341.18725758780113</v>
      </c>
      <c r="M182" s="195">
        <f t="shared" si="20"/>
        <v>0.71970813266702016</v>
      </c>
      <c r="N182" s="195">
        <f t="shared" si="21"/>
        <v>6.0875000000000004</v>
      </c>
      <c r="O182" s="195">
        <f t="shared" si="22"/>
        <v>0.14818558287700181</v>
      </c>
      <c r="P182" s="202">
        <f>UTT!L472</f>
        <v>0.13687338709677419</v>
      </c>
      <c r="Q182" s="202">
        <f>UTT!M472</f>
        <v>0.98499999999999999</v>
      </c>
      <c r="R182" s="202">
        <f>UTT!N472</f>
        <v>0.99321290322580635</v>
      </c>
      <c r="S182" s="202">
        <f>UTT!O472</f>
        <v>0.99</v>
      </c>
      <c r="T182" s="198">
        <v>1.4999999999999999E-2</v>
      </c>
      <c r="U182" s="202">
        <f>UTT!U472</f>
        <v>1.0000000000000009E-2</v>
      </c>
      <c r="V182" s="198">
        <v>0</v>
      </c>
      <c r="W182" s="197">
        <v>0</v>
      </c>
      <c r="X182" s="199">
        <f t="shared" si="17"/>
        <v>-1.5792208735042421</v>
      </c>
    </row>
    <row r="183" spans="1:24">
      <c r="A183" s="189" t="s">
        <v>9</v>
      </c>
      <c r="B183" s="190" t="s">
        <v>62</v>
      </c>
      <c r="C183" s="200">
        <v>10</v>
      </c>
      <c r="D183" s="201">
        <v>12</v>
      </c>
      <c r="E183" s="192">
        <f t="shared" si="18"/>
        <v>45322</v>
      </c>
      <c r="F183" s="24">
        <f>UTT!B473</f>
        <v>45322</v>
      </c>
      <c r="G183" s="24">
        <f>UTT!C473</f>
        <v>934.06257725924547</v>
      </c>
      <c r="H183" s="24">
        <f>UTT!D473</f>
        <v>429.37200000000001</v>
      </c>
      <c r="I183" s="24">
        <f>UTT!E473</f>
        <v>79.599999999999994</v>
      </c>
      <c r="J183" s="24">
        <f>UTT!F473</f>
        <v>43.269999999999989</v>
      </c>
      <c r="K183" s="24">
        <f>UTT!G473</f>
        <v>103.2</v>
      </c>
      <c r="L183" s="195">
        <f t="shared" si="19"/>
        <v>1512.4469161739148</v>
      </c>
      <c r="M183" s="195">
        <f t="shared" si="20"/>
        <v>0.76573553009224726</v>
      </c>
      <c r="N183" s="195">
        <f t="shared" si="21"/>
        <v>6.0916666666666668</v>
      </c>
      <c r="O183" s="195">
        <f t="shared" si="22"/>
        <v>0.12554604533054375</v>
      </c>
      <c r="P183" s="202">
        <f>UTT!L473</f>
        <v>5.7711290322580641E-2</v>
      </c>
      <c r="Q183" s="202">
        <f>UTT!M473</f>
        <v>0.98499999999999999</v>
      </c>
      <c r="R183" s="202">
        <f>UTT!N473</f>
        <v>0.99425161290322595</v>
      </c>
      <c r="S183" s="202">
        <f>UTT!O473</f>
        <v>0.99</v>
      </c>
      <c r="T183" s="198">
        <v>1.4999999999999999E-2</v>
      </c>
      <c r="U183" s="202">
        <f>UTT!U473</f>
        <v>1.0000000000000009E-2</v>
      </c>
      <c r="V183" s="198">
        <v>0</v>
      </c>
      <c r="W183" s="197">
        <v>0</v>
      </c>
      <c r="X183" s="199">
        <f t="shared" si="17"/>
        <v>-2.3644147923095971</v>
      </c>
    </row>
    <row r="184" spans="1:24">
      <c r="A184" s="189" t="s">
        <v>9</v>
      </c>
      <c r="B184" s="190" t="s">
        <v>62</v>
      </c>
      <c r="C184" s="200">
        <v>10</v>
      </c>
      <c r="D184" s="201">
        <v>12</v>
      </c>
      <c r="E184" s="192">
        <f t="shared" si="18"/>
        <v>45351</v>
      </c>
      <c r="F184" s="24">
        <f>UTT!B474</f>
        <v>45351</v>
      </c>
      <c r="G184" s="24">
        <f>UTT!C474</f>
        <v>1222.5211151537269</v>
      </c>
      <c r="H184" s="24">
        <f>UTT!D474</f>
        <v>1166.67</v>
      </c>
      <c r="I184" s="24">
        <f>UTT!E474</f>
        <v>108.1</v>
      </c>
      <c r="J184" s="24">
        <f>UTT!F474</f>
        <v>109.64999999999999</v>
      </c>
      <c r="K184" s="24">
        <f>UTT!G474</f>
        <v>137.5</v>
      </c>
      <c r="L184" s="195">
        <f t="shared" si="19"/>
        <v>205.61661010067624</v>
      </c>
      <c r="M184" s="195">
        <f t="shared" si="20"/>
        <v>0.75220496240807688</v>
      </c>
      <c r="N184" s="195">
        <f t="shared" si="21"/>
        <v>6.5159482758620682</v>
      </c>
      <c r="O184" s="195">
        <f t="shared" si="22"/>
        <v>0.17564958551059295</v>
      </c>
      <c r="P184" s="202">
        <f>UTT!L474</f>
        <v>0.16762500000000002</v>
      </c>
      <c r="Q184" s="202">
        <f>UTT!M474</f>
        <v>0.98499999999999999</v>
      </c>
      <c r="R184" s="202">
        <f>UTT!N474</f>
        <v>0.96489999999999998</v>
      </c>
      <c r="S184" s="202">
        <f>UTT!O474</f>
        <v>0.99</v>
      </c>
      <c r="T184" s="198">
        <v>1.4999999999999999E-2</v>
      </c>
      <c r="U184" s="202">
        <f>UTT!U474</f>
        <v>4.7517241379311237E-3</v>
      </c>
      <c r="V184" s="198">
        <v>0</v>
      </c>
      <c r="W184" s="197">
        <v>0</v>
      </c>
      <c r="X184" s="199">
        <f t="shared" si="17"/>
        <v>-1.2270330957918003</v>
      </c>
    </row>
    <row r="185" spans="1:24">
      <c r="A185" s="189" t="s">
        <v>9</v>
      </c>
      <c r="B185" s="190" t="s">
        <v>62</v>
      </c>
      <c r="C185" s="200">
        <v>10</v>
      </c>
      <c r="D185" s="201">
        <v>12</v>
      </c>
      <c r="E185" s="192">
        <f t="shared" si="18"/>
        <v>45382</v>
      </c>
      <c r="F185" s="24">
        <f>UTT!B475</f>
        <v>45382</v>
      </c>
      <c r="G185" s="24">
        <f>UTT!C475</f>
        <v>1636.5125352800662</v>
      </c>
      <c r="H185" s="24">
        <f>UTT!D475</f>
        <v>1459.5060000000001</v>
      </c>
      <c r="I185" s="24">
        <f>UTT!E475</f>
        <v>161.4</v>
      </c>
      <c r="J185" s="24">
        <f>UTT!F475</f>
        <v>152.10000000000002</v>
      </c>
      <c r="K185" s="24">
        <f>UTT!G475</f>
        <v>187.8</v>
      </c>
      <c r="L185" s="195">
        <f t="shared" si="19"/>
        <v>126.74773939096355</v>
      </c>
      <c r="M185" s="195">
        <f t="shared" si="20"/>
        <v>0.73723555465460167</v>
      </c>
      <c r="N185" s="195">
        <f t="shared" si="21"/>
        <v>6.0997311827956988</v>
      </c>
      <c r="O185" s="195">
        <f t="shared" si="22"/>
        <v>0.21996136226882612</v>
      </c>
      <c r="P185" s="202">
        <f>UTT!L475</f>
        <v>0.19617016129032258</v>
      </c>
      <c r="Q185" s="202">
        <f>UTT!M475</f>
        <v>0.98499999999999999</v>
      </c>
      <c r="R185" s="202">
        <f>UTT!N475</f>
        <v>0.98894838709677413</v>
      </c>
      <c r="S185" s="202">
        <f>UTT!O475</f>
        <v>0.99</v>
      </c>
      <c r="T185" s="198">
        <v>1.4999999999999999E-2</v>
      </c>
      <c r="U185" s="202">
        <f>UTT!U475</f>
        <v>1.0000000000000009E-2</v>
      </c>
      <c r="V185" s="198">
        <v>0</v>
      </c>
      <c r="W185" s="197">
        <v>0</v>
      </c>
      <c r="X185" s="199">
        <f t="shared" si="17"/>
        <v>-1.1986531750857525</v>
      </c>
    </row>
    <row r="186" spans="1:24">
      <c r="A186" s="189" t="s">
        <v>9</v>
      </c>
      <c r="B186" s="190" t="s">
        <v>62</v>
      </c>
      <c r="C186" s="200">
        <v>10</v>
      </c>
      <c r="D186" s="201">
        <v>12</v>
      </c>
      <c r="E186" s="192">
        <f t="shared" si="18"/>
        <v>45412</v>
      </c>
      <c r="F186" s="24">
        <f>UTT!B476</f>
        <v>45412</v>
      </c>
      <c r="G186" s="24">
        <f>UTT!C476</f>
        <v>1693.4919995555197</v>
      </c>
      <c r="H186" s="24">
        <f>UTT!D476</f>
        <v>1518.4559999999999</v>
      </c>
      <c r="I186" s="24">
        <f>UTT!E476</f>
        <v>190.2</v>
      </c>
      <c r="J186" s="24">
        <f>UTT!F476</f>
        <v>184.02999999999997</v>
      </c>
      <c r="K186" s="24">
        <f>UTT!G476</f>
        <v>194</v>
      </c>
      <c r="L186" s="195">
        <f t="shared" si="19"/>
        <v>97.5059328211847</v>
      </c>
      <c r="M186" s="195">
        <f t="shared" si="20"/>
        <v>0.73852285988954591</v>
      </c>
      <c r="N186" s="195">
        <f t="shared" si="21"/>
        <v>6.3072222222222223</v>
      </c>
      <c r="O186" s="195">
        <f t="shared" si="22"/>
        <v>0.23520722216048884</v>
      </c>
      <c r="P186" s="202">
        <f>UTT!L476</f>
        <v>0.21089666666666665</v>
      </c>
      <c r="Q186" s="202">
        <f>UTT!M476</f>
        <v>0.98499999999999999</v>
      </c>
      <c r="R186" s="202">
        <f>UTT!N476</f>
        <v>0.99022086492234884</v>
      </c>
      <c r="S186" s="202">
        <f>UTT!O476</f>
        <v>0.99</v>
      </c>
      <c r="T186" s="198">
        <v>1.4999999999999999E-2</v>
      </c>
      <c r="U186" s="202">
        <f>UTT!U476</f>
        <v>9.7533333333332806E-3</v>
      </c>
      <c r="V186" s="198">
        <v>0</v>
      </c>
      <c r="W186" s="197">
        <v>0</v>
      </c>
      <c r="X186" s="199">
        <f t="shared" si="17"/>
        <v>-1.0168842205248283</v>
      </c>
    </row>
    <row r="187" spans="1:24">
      <c r="A187" s="189" t="s">
        <v>9</v>
      </c>
      <c r="B187" s="190" t="s">
        <v>62</v>
      </c>
      <c r="C187" s="200">
        <v>10</v>
      </c>
      <c r="D187" s="201">
        <v>12</v>
      </c>
      <c r="E187" s="192">
        <f>EOMONTH(E186,1)</f>
        <v>45443</v>
      </c>
      <c r="F187" s="24">
        <f>UTT!B477</f>
        <v>45443</v>
      </c>
      <c r="G187" s="24">
        <f>UTT!C477</f>
        <v>1715.7496027881186</v>
      </c>
      <c r="H187" s="24">
        <f>UTT!D477</f>
        <v>1435.098</v>
      </c>
      <c r="I187" s="24">
        <f>UTT!E477</f>
        <v>197</v>
      </c>
      <c r="J187" s="24">
        <f>UTT!F477</f>
        <v>195.99999999999997</v>
      </c>
      <c r="K187" s="24">
        <f>UTT!G477</f>
        <v>197.7</v>
      </c>
      <c r="L187" s="195">
        <f t="shared" si="19"/>
        <v>100.16616656571361</v>
      </c>
      <c r="M187" s="195">
        <f t="shared" si="20"/>
        <v>0.73422600292026619</v>
      </c>
      <c r="N187" s="195">
        <f t="shared" si="21"/>
        <v>6.1079301075268813</v>
      </c>
      <c r="O187" s="195">
        <f t="shared" si="22"/>
        <v>0.23061150575109121</v>
      </c>
      <c r="P187" s="202">
        <f>UTT!L477</f>
        <v>0.19288951612903224</v>
      </c>
      <c r="Q187" s="202">
        <f>UTT!M477</f>
        <v>0.98499999999999999</v>
      </c>
      <c r="R187" s="202">
        <f>UTT!N477</f>
        <v>0.96716162550181695</v>
      </c>
      <c r="S187" s="202">
        <f>UTT!O477</f>
        <v>0.99</v>
      </c>
      <c r="T187" s="198">
        <v>1.4999999999999999E-2</v>
      </c>
      <c r="U187" s="202">
        <f>UTT!U477</f>
        <v>8.8935483870967724E-3</v>
      </c>
      <c r="V187" s="198">
        <v>0</v>
      </c>
      <c r="W187" s="197">
        <v>0</v>
      </c>
      <c r="X187" s="199">
        <f t="shared" si="17"/>
        <v>-0.97091738808176498</v>
      </c>
    </row>
    <row r="188" spans="1:24">
      <c r="A188" s="189" t="s">
        <v>9</v>
      </c>
      <c r="B188" s="190" t="s">
        <v>62</v>
      </c>
      <c r="C188" s="200">
        <v>10</v>
      </c>
      <c r="D188" s="201">
        <v>12</v>
      </c>
      <c r="E188" s="192">
        <f>EOMONTH(E187,1)</f>
        <v>45473</v>
      </c>
      <c r="F188" s="24">
        <f>UTT!B478</f>
        <v>45473</v>
      </c>
      <c r="G188" s="24">
        <f>UTT!C478</f>
        <v>1543.0306017031514</v>
      </c>
      <c r="H188" s="24">
        <f>UTT!D478</f>
        <v>1466.7719999999999</v>
      </c>
      <c r="I188" s="24">
        <f>UTT!E478</f>
        <v>178.9</v>
      </c>
      <c r="J188" s="24">
        <f>UTT!F478</f>
        <v>191.7</v>
      </c>
      <c r="K188" s="24">
        <f>UTT!G478</f>
        <v>177.2</v>
      </c>
      <c r="L188" s="195">
        <f t="shared" si="19"/>
        <v>97.033150760444542</v>
      </c>
      <c r="M188" s="195">
        <f t="shared" si="20"/>
        <v>0.7367045380210071</v>
      </c>
      <c r="N188" s="195">
        <f t="shared" si="21"/>
        <v>6.3156944444444445</v>
      </c>
      <c r="O188" s="195">
        <f t="shared" si="22"/>
        <v>0.21430980579210437</v>
      </c>
      <c r="P188" s="202">
        <f>UTT!L478</f>
        <v>0.20371833333333331</v>
      </c>
      <c r="Q188" s="202">
        <f>UTT!M478</f>
        <v>0.98499999999999999</v>
      </c>
      <c r="R188" s="202">
        <f>UTT!N478</f>
        <v>0.98340000000000005</v>
      </c>
      <c r="S188" s="202">
        <f>UTT!O478</f>
        <v>0.99</v>
      </c>
      <c r="T188" s="198">
        <v>1.4999999999999999E-2</v>
      </c>
      <c r="U188" s="202">
        <f>UTT!U478</f>
        <v>1.0000000000000009E-2</v>
      </c>
      <c r="V188" s="198">
        <v>0</v>
      </c>
      <c r="W188" s="197">
        <v>0</v>
      </c>
      <c r="X188" s="199">
        <f t="shared" si="17"/>
        <v>-0.89042808421751096</v>
      </c>
    </row>
    <row r="189" spans="1:24">
      <c r="A189" s="189" t="s">
        <v>9</v>
      </c>
      <c r="B189" s="190" t="s">
        <v>62</v>
      </c>
      <c r="C189" s="200">
        <v>10</v>
      </c>
      <c r="D189" s="201">
        <v>12</v>
      </c>
      <c r="E189" s="192">
        <f t="shared" ref="E189:E194" si="23">EOMONTH(E188,1)</f>
        <v>45504</v>
      </c>
      <c r="F189" s="24">
        <f>UTT!B479</f>
        <v>45504</v>
      </c>
      <c r="G189" s="24">
        <f>UTT!C479</f>
        <v>1368.530992359576</v>
      </c>
      <c r="H189" s="24">
        <f>UTT!D479</f>
        <v>1189.3800000000001</v>
      </c>
      <c r="I189" s="24">
        <f>UTT!E479</f>
        <v>155.5</v>
      </c>
      <c r="J189" s="24">
        <f>UTT!F479</f>
        <v>144.38</v>
      </c>
      <c r="K189" s="24">
        <f>UTT!G479</f>
        <v>154.6</v>
      </c>
      <c r="L189" s="195">
        <f t="shared" si="19"/>
        <v>164.29093278255317</v>
      </c>
      <c r="M189" s="195">
        <f t="shared" si="20"/>
        <v>0.74890662238426331</v>
      </c>
      <c r="N189" s="195">
        <f t="shared" si="21"/>
        <v>6.1161290322580646</v>
      </c>
      <c r="O189" s="195">
        <f t="shared" si="22"/>
        <v>0.18394233768273868</v>
      </c>
      <c r="P189" s="202">
        <f>UTT!L479</f>
        <v>0.15986290322580649</v>
      </c>
      <c r="Q189" s="202">
        <f>UTT!M479</f>
        <v>0.98499999999999999</v>
      </c>
      <c r="R189" s="202">
        <f>UTT!N479</f>
        <v>0.95191242548387112</v>
      </c>
      <c r="S189" s="202">
        <f>UTT!O479</f>
        <v>0.99</v>
      </c>
      <c r="T189" s="198">
        <v>1.4999999999999999E-2</v>
      </c>
      <c r="U189" s="202">
        <f>UTT!U479</f>
        <v>1.0000000000000009E-2</v>
      </c>
      <c r="V189" s="198">
        <v>0</v>
      </c>
      <c r="W189" s="197">
        <v>0</v>
      </c>
      <c r="X189" s="199">
        <f t="shared" si="17"/>
        <v>-1.0407104670693761</v>
      </c>
    </row>
    <row r="190" spans="1:24">
      <c r="A190" s="189" t="s">
        <v>9</v>
      </c>
      <c r="B190" s="190" t="s">
        <v>62</v>
      </c>
      <c r="C190" s="200">
        <v>10</v>
      </c>
      <c r="D190" s="201">
        <v>12</v>
      </c>
      <c r="E190" s="192">
        <f t="shared" si="23"/>
        <v>45535</v>
      </c>
      <c r="F190" s="24">
        <f>UTT!B480</f>
        <v>45535</v>
      </c>
      <c r="G190" s="24">
        <f>UTT!C480</f>
        <v>1299.9775744031715</v>
      </c>
      <c r="H190" s="24">
        <f>UTT!D480</f>
        <v>1328.682</v>
      </c>
      <c r="I190" s="24">
        <f>UTT!E480</f>
        <v>145.4</v>
      </c>
      <c r="J190" s="24">
        <f>UTT!F480</f>
        <v>161.13999999999996</v>
      </c>
      <c r="K190" s="24">
        <f>UTT!G480</f>
        <v>146.30000000000001</v>
      </c>
      <c r="L190" s="195">
        <f t="shared" si="19"/>
        <v>131.85986280995297</v>
      </c>
      <c r="M190" s="195">
        <f t="shared" si="20"/>
        <v>0.75175107496658777</v>
      </c>
      <c r="N190" s="195">
        <f t="shared" si="21"/>
        <v>6.120295698924731</v>
      </c>
      <c r="O190" s="195">
        <f t="shared" si="22"/>
        <v>0.17472816860257681</v>
      </c>
      <c r="P190" s="202">
        <f>UTT!L480</f>
        <v>0.17858629032258064</v>
      </c>
      <c r="Q190" s="202">
        <f>UTT!M480</f>
        <v>0.98499999999999999</v>
      </c>
      <c r="R190" s="202">
        <f>UTT!N480</f>
        <v>0.94962769516129031</v>
      </c>
      <c r="S190" s="202">
        <f>UTT!O480</f>
        <v>0.99</v>
      </c>
      <c r="T190" s="198">
        <v>1.4999999999999999E-2</v>
      </c>
      <c r="U190" s="202">
        <f>UTT!U480</f>
        <v>1.0000000000000009E-2</v>
      </c>
      <c r="V190" s="198">
        <v>0</v>
      </c>
      <c r="W190" s="197">
        <v>0</v>
      </c>
      <c r="X190" s="199">
        <f t="shared" si="17"/>
        <v>-0.87935719359788189</v>
      </c>
    </row>
    <row r="191" spans="1:24">
      <c r="A191" s="189" t="s">
        <v>9</v>
      </c>
      <c r="B191" s="190" t="s">
        <v>62</v>
      </c>
      <c r="C191" s="200">
        <v>10</v>
      </c>
      <c r="D191" s="201">
        <v>12</v>
      </c>
      <c r="E191" s="192">
        <f t="shared" si="23"/>
        <v>45565</v>
      </c>
      <c r="F191" s="24">
        <f>UTT!B481</f>
        <v>45565</v>
      </c>
      <c r="G191" s="24">
        <f>UTT!C481</f>
        <v>1293.7454454980434</v>
      </c>
      <c r="H191" s="24">
        <f>UTT!D481</f>
        <v>1080.2760000000001</v>
      </c>
      <c r="I191" s="24">
        <f>UTT!E481</f>
        <v>141.6</v>
      </c>
      <c r="J191" s="24">
        <f>UTT!F481</f>
        <v>119.97000000000001</v>
      </c>
      <c r="K191" s="24">
        <f>UTT!G481</f>
        <v>145.5</v>
      </c>
      <c r="L191" s="195">
        <f t="shared" si="19"/>
        <v>210.94791561843746</v>
      </c>
      <c r="M191" s="195">
        <f t="shared" si="20"/>
        <v>0.7522606831557227</v>
      </c>
      <c r="N191" s="195">
        <f t="shared" si="21"/>
        <v>6.3284722222222225</v>
      </c>
      <c r="O191" s="195">
        <f t="shared" si="22"/>
        <v>0.17968686743028381</v>
      </c>
      <c r="P191" s="202">
        <f>UTT!L481</f>
        <v>0.15003833333333333</v>
      </c>
      <c r="Q191" s="202">
        <f>UTT!M481</f>
        <v>0.98499999999999999</v>
      </c>
      <c r="R191" s="202">
        <f>UTT!N481</f>
        <v>0.97104208800000014</v>
      </c>
      <c r="S191" s="202">
        <f>UTT!O481</f>
        <v>0.99</v>
      </c>
      <c r="T191" s="198">
        <v>1.4999999999999999E-2</v>
      </c>
      <c r="U191" s="202">
        <f>UTT!U481</f>
        <v>1.0000000000000009E-2</v>
      </c>
      <c r="V191" s="198">
        <v>0</v>
      </c>
      <c r="W191" s="197">
        <v>0</v>
      </c>
      <c r="X191" s="199">
        <f t="shared" si="17"/>
        <v>-1.1844097969705489</v>
      </c>
    </row>
    <row r="192" spans="1:24">
      <c r="A192" s="189" t="s">
        <v>9</v>
      </c>
      <c r="B192" s="190" t="s">
        <v>62</v>
      </c>
      <c r="C192" s="200">
        <v>10</v>
      </c>
      <c r="D192" s="201">
        <v>12</v>
      </c>
      <c r="E192" s="192">
        <f t="shared" si="23"/>
        <v>45596</v>
      </c>
      <c r="F192" s="24">
        <f>UTT!B482</f>
        <v>45596</v>
      </c>
      <c r="G192" s="24">
        <f>UTT!C482</f>
        <v>1479.8190085225704</v>
      </c>
      <c r="H192" s="24">
        <f>UTT!D482</f>
        <v>1287.2159999999999</v>
      </c>
      <c r="I192" s="24">
        <f>UTT!E482</f>
        <v>139.1</v>
      </c>
      <c r="J192" s="24">
        <f>UTT!F482</f>
        <v>127.17</v>
      </c>
      <c r="K192" s="24">
        <f>UTT!G482</f>
        <v>172.2</v>
      </c>
      <c r="L192" s="195">
        <f t="shared" si="19"/>
        <v>172.69602199263994</v>
      </c>
      <c r="M192" s="195">
        <f t="shared" si="20"/>
        <v>0.72703945188403418</v>
      </c>
      <c r="N192" s="195">
        <f t="shared" si="21"/>
        <v>6.1284946236559135</v>
      </c>
      <c r="O192" s="195">
        <f t="shared" si="22"/>
        <v>0.19890040437131323</v>
      </c>
      <c r="P192" s="202">
        <f>UTT!L482</f>
        <v>0.17301290322580642</v>
      </c>
      <c r="Q192" s="202">
        <f>UTT!M482</f>
        <v>0.98499999999999999</v>
      </c>
      <c r="R192" s="202">
        <f>UTT!N482</f>
        <v>0.97874691993820528</v>
      </c>
      <c r="S192" s="202">
        <f>UTT!O482</f>
        <v>0.99</v>
      </c>
      <c r="T192" s="198">
        <v>1.4999999999999999E-2</v>
      </c>
      <c r="U192" s="202">
        <f>UTT!U482</f>
        <v>3.7483870967741639E-3</v>
      </c>
      <c r="V192" s="198">
        <v>0</v>
      </c>
      <c r="W192" s="197">
        <v>0</v>
      </c>
      <c r="X192" s="199">
        <f t="shared" si="17"/>
        <v>-1.3216379282786859</v>
      </c>
    </row>
    <row r="193" spans="1:24">
      <c r="A193" s="189" t="s">
        <v>9</v>
      </c>
      <c r="B193" s="190" t="s">
        <v>62</v>
      </c>
      <c r="C193" s="200">
        <v>10</v>
      </c>
      <c r="D193" s="201">
        <v>12</v>
      </c>
      <c r="E193" s="192">
        <f t="shared" si="23"/>
        <v>45626</v>
      </c>
      <c r="F193" s="24">
        <f>UTT!B483</f>
        <v>45626</v>
      </c>
      <c r="G193" s="24">
        <f>UTT!C483</f>
        <v>1308.8806156962105</v>
      </c>
      <c r="H193" s="24">
        <f>UTT!D483</f>
        <v>947.16</v>
      </c>
      <c r="I193" s="24">
        <f>UTT!E483</f>
        <v>108.1</v>
      </c>
      <c r="J193" s="24">
        <f>UTT!F483</f>
        <v>84.36999999999999</v>
      </c>
      <c r="K193" s="24">
        <f>UTT!G483</f>
        <v>152.1</v>
      </c>
      <c r="L193" s="195">
        <f t="shared" si="19"/>
        <v>342.57230399703781</v>
      </c>
      <c r="M193" s="195">
        <f t="shared" si="20"/>
        <v>0.72803682216382404</v>
      </c>
      <c r="N193" s="195">
        <f t="shared" si="21"/>
        <v>6.3369444444444438</v>
      </c>
      <c r="O193" s="195">
        <f t="shared" si="22"/>
        <v>0.18178897440225145</v>
      </c>
      <c r="P193" s="202">
        <f>UTT!L483</f>
        <v>0.13155</v>
      </c>
      <c r="Q193" s="202">
        <f>UTT!M483</f>
        <v>0.98499999999999999</v>
      </c>
      <c r="R193" s="202">
        <f>UTT!N483</f>
        <v>0.98368156933333328</v>
      </c>
      <c r="S193" s="202">
        <f>UTT!O483</f>
        <v>0.99</v>
      </c>
      <c r="T193" s="198">
        <v>1.4999999999999999E-2</v>
      </c>
      <c r="U193" s="202">
        <f>UTT!U483</f>
        <v>1.0000000000000009E-2</v>
      </c>
      <c r="V193" s="198">
        <v>0</v>
      </c>
      <c r="W193" s="197">
        <v>0</v>
      </c>
      <c r="X193" s="199">
        <f t="shared" si="17"/>
        <v>-1.7740863321319158</v>
      </c>
    </row>
    <row r="194" spans="1:24">
      <c r="A194" s="189" t="s">
        <v>9</v>
      </c>
      <c r="B194" s="190" t="s">
        <v>62</v>
      </c>
      <c r="C194" s="200">
        <v>10</v>
      </c>
      <c r="D194" s="201">
        <v>12</v>
      </c>
      <c r="E194" s="192">
        <f t="shared" si="23"/>
        <v>45657</v>
      </c>
      <c r="F194" s="24">
        <f>UTT!B484</f>
        <v>45657</v>
      </c>
      <c r="G194" s="24">
        <f>UTT!C484</f>
        <v>1096.988232921869</v>
      </c>
      <c r="H194" s="24">
        <f>UTT!D484</f>
        <v>1006.788</v>
      </c>
      <c r="I194" s="24">
        <f>UTT!E484</f>
        <v>89.9</v>
      </c>
      <c r="J194" s="24">
        <f>UTT!F484</f>
        <v>77.62</v>
      </c>
      <c r="K194" s="24">
        <f>UTT!G484</f>
        <v>129.6</v>
      </c>
      <c r="L194" s="195">
        <f t="shared" si="19"/>
        <v>362.23248257921335</v>
      </c>
      <c r="M194" s="195">
        <f t="shared" si="20"/>
        <v>0.71610959200368507</v>
      </c>
      <c r="N194" s="195">
        <f t="shared" si="21"/>
        <v>6.1366935483870968</v>
      </c>
      <c r="O194" s="195">
        <f t="shared" si="22"/>
        <v>0.14744465496261677</v>
      </c>
      <c r="P194" s="202">
        <f>UTT!L484</f>
        <v>0.1353209677419355</v>
      </c>
      <c r="Q194" s="202">
        <f>UTT!M484</f>
        <v>0.98499999999999999</v>
      </c>
      <c r="R194" s="202">
        <f>UTT!N484</f>
        <v>0.99691612903225801</v>
      </c>
      <c r="S194" s="202">
        <f>UTT!O484</f>
        <v>0.99</v>
      </c>
      <c r="T194" s="198">
        <v>1.4999999999999999E-2</v>
      </c>
      <c r="U194" s="202">
        <f>UTT!U484</f>
        <v>1.0000000000000009E-2</v>
      </c>
      <c r="V194" s="198">
        <v>0</v>
      </c>
      <c r="W194" s="197">
        <v>0</v>
      </c>
      <c r="X194" s="199">
        <f t="shared" si="17"/>
        <v>-1.6456460386650598</v>
      </c>
    </row>
    <row r="195" spans="1:24">
      <c r="A195" s="189"/>
      <c r="B195" s="190"/>
      <c r="C195" s="200"/>
      <c r="D195" s="201"/>
      <c r="E195" s="192"/>
      <c r="F195" s="24"/>
      <c r="G195" s="24"/>
      <c r="H195" s="24"/>
      <c r="I195" s="24"/>
      <c r="J195" s="24"/>
      <c r="K195" s="24"/>
      <c r="L195" s="195"/>
      <c r="M195" s="195"/>
      <c r="N195" s="195"/>
      <c r="O195" s="195"/>
      <c r="P195" s="202"/>
      <c r="Q195" s="202"/>
      <c r="R195" s="202"/>
      <c r="S195" s="203"/>
      <c r="T195" s="198"/>
      <c r="U195" s="203"/>
      <c r="V195" s="198"/>
      <c r="W195" s="197"/>
      <c r="X195" s="199"/>
    </row>
    <row r="196" spans="1:24">
      <c r="A196" s="189" t="s">
        <v>9</v>
      </c>
      <c r="B196" s="190" t="s">
        <v>63</v>
      </c>
      <c r="C196" s="190">
        <v>10</v>
      </c>
      <c r="D196" s="191">
        <v>12</v>
      </c>
      <c r="E196" s="192">
        <v>42766</v>
      </c>
      <c r="F196" s="24"/>
      <c r="G196" s="24">
        <v>0</v>
      </c>
      <c r="H196" s="193">
        <v>79.599999999999994</v>
      </c>
      <c r="I196" s="194"/>
      <c r="J196" s="193">
        <v>103.2</v>
      </c>
      <c r="K196" s="194"/>
      <c r="L196" s="195">
        <v>0.83399999999999996</v>
      </c>
      <c r="M196" s="195"/>
      <c r="N196" s="195"/>
      <c r="O196" s="195"/>
      <c r="P196" s="195">
        <v>0.98499999999999999</v>
      </c>
      <c r="Q196" s="195"/>
      <c r="R196" s="196">
        <v>0.99</v>
      </c>
      <c r="S196" s="197"/>
      <c r="T196" s="198">
        <v>1.4999999999999999E-2</v>
      </c>
      <c r="U196" s="197">
        <v>0</v>
      </c>
      <c r="V196" s="198">
        <v>0</v>
      </c>
      <c r="W196" s="197">
        <v>0</v>
      </c>
      <c r="X196" s="199" t="e">
        <f t="shared" si="17"/>
        <v>#DIV/0!</v>
      </c>
    </row>
    <row r="197" spans="1:24">
      <c r="A197" s="189" t="s">
        <v>9</v>
      </c>
      <c r="B197" s="190" t="s">
        <v>63</v>
      </c>
      <c r="C197" s="190">
        <v>10</v>
      </c>
      <c r="D197" s="191">
        <v>12</v>
      </c>
      <c r="E197" s="192">
        <v>42794</v>
      </c>
      <c r="F197" s="24"/>
      <c r="G197" s="24"/>
      <c r="H197" s="193">
        <v>108.1</v>
      </c>
      <c r="I197" s="194"/>
      <c r="J197" s="193">
        <v>137.5</v>
      </c>
      <c r="K197" s="194"/>
      <c r="L197" s="195">
        <v>0.81899999999999995</v>
      </c>
      <c r="M197" s="195"/>
      <c r="N197" s="195"/>
      <c r="O197" s="195"/>
      <c r="P197" s="195">
        <v>0.98499999999999999</v>
      </c>
      <c r="Q197" s="195"/>
      <c r="R197" s="196">
        <v>0.99</v>
      </c>
      <c r="S197" s="197"/>
      <c r="T197" s="198">
        <v>1.4999999999999999E-2</v>
      </c>
      <c r="U197" s="197">
        <v>0</v>
      </c>
      <c r="V197" s="198">
        <v>0</v>
      </c>
      <c r="W197" s="197">
        <v>0</v>
      </c>
      <c r="X197" s="199" t="e">
        <f t="shared" si="17"/>
        <v>#DIV/0!</v>
      </c>
    </row>
    <row r="198" spans="1:24">
      <c r="A198" s="189" t="s">
        <v>9</v>
      </c>
      <c r="B198" s="190" t="s">
        <v>63</v>
      </c>
      <c r="C198" s="190">
        <v>10</v>
      </c>
      <c r="D198" s="191">
        <v>12</v>
      </c>
      <c r="E198" s="192">
        <v>42825</v>
      </c>
      <c r="F198" s="24"/>
      <c r="G198" s="24">
        <v>117.09</v>
      </c>
      <c r="H198" s="193">
        <v>161.4</v>
      </c>
      <c r="I198" s="194"/>
      <c r="J198" s="193">
        <v>187.8</v>
      </c>
      <c r="K198" s="194"/>
      <c r="L198" s="195">
        <v>0.80200000000000005</v>
      </c>
      <c r="M198" s="195"/>
      <c r="N198" s="195"/>
      <c r="O198" s="195"/>
      <c r="P198" s="195">
        <v>0.98499999999999999</v>
      </c>
      <c r="Q198" s="195"/>
      <c r="R198" s="196">
        <v>0.99</v>
      </c>
      <c r="S198" s="197"/>
      <c r="T198" s="198">
        <v>1.4999999999999999E-2</v>
      </c>
      <c r="U198" s="197">
        <v>0</v>
      </c>
      <c r="V198" s="198">
        <v>0</v>
      </c>
      <c r="W198" s="197">
        <v>0</v>
      </c>
      <c r="X198" s="199" t="e">
        <f t="shared" si="17"/>
        <v>#DIV/0!</v>
      </c>
    </row>
    <row r="199" spans="1:24">
      <c r="A199" s="189" t="s">
        <v>9</v>
      </c>
      <c r="B199" s="190" t="s">
        <v>63</v>
      </c>
      <c r="C199" s="190">
        <v>10</v>
      </c>
      <c r="D199" s="191">
        <v>12</v>
      </c>
      <c r="E199" s="192">
        <v>42855</v>
      </c>
      <c r="F199" s="24">
        <v>1867.275397156815</v>
      </c>
      <c r="G199" s="24">
        <v>844.83600000000001</v>
      </c>
      <c r="H199" s="193">
        <v>190.2</v>
      </c>
      <c r="I199" s="194"/>
      <c r="J199" s="193">
        <v>194</v>
      </c>
      <c r="K199" s="194"/>
      <c r="L199" s="195">
        <v>0.80175045684305279</v>
      </c>
      <c r="M199" s="195"/>
      <c r="N199" s="195"/>
      <c r="O199" s="195"/>
      <c r="P199" s="195">
        <v>0.98499999999999999</v>
      </c>
      <c r="Q199" s="195"/>
      <c r="R199" s="196">
        <v>0.99</v>
      </c>
      <c r="S199" s="197"/>
      <c r="T199" s="198">
        <v>1.4999999999999999E-2</v>
      </c>
      <c r="U199" s="197">
        <v>0</v>
      </c>
      <c r="V199" s="198">
        <v>0</v>
      </c>
      <c r="W199" s="197">
        <v>0</v>
      </c>
      <c r="X199" s="199">
        <f t="shared" si="17"/>
        <v>0.45244317002536405</v>
      </c>
    </row>
    <row r="200" spans="1:24">
      <c r="A200" s="189" t="s">
        <v>9</v>
      </c>
      <c r="B200" s="190" t="s">
        <v>63</v>
      </c>
      <c r="C200" s="190">
        <v>10</v>
      </c>
      <c r="D200" s="191">
        <v>12</v>
      </c>
      <c r="E200" s="192">
        <v>42886</v>
      </c>
      <c r="F200" s="24">
        <v>1891.8054331143148</v>
      </c>
      <c r="G200" s="24">
        <v>1176</v>
      </c>
      <c r="H200" s="193">
        <v>197</v>
      </c>
      <c r="I200" s="194"/>
      <c r="J200" s="193">
        <v>197.7</v>
      </c>
      <c r="K200" s="194"/>
      <c r="L200" s="195">
        <v>0.79700000000000004</v>
      </c>
      <c r="M200" s="195"/>
      <c r="N200" s="195"/>
      <c r="O200" s="195"/>
      <c r="P200" s="195">
        <v>0.98499999999999999</v>
      </c>
      <c r="Q200" s="195"/>
      <c r="R200" s="196">
        <v>0.99</v>
      </c>
      <c r="S200" s="197"/>
      <c r="T200" s="198">
        <v>1.4999999999999999E-2</v>
      </c>
      <c r="U200" s="197">
        <v>0</v>
      </c>
      <c r="V200" s="198">
        <v>0</v>
      </c>
      <c r="W200" s="197">
        <v>0</v>
      </c>
      <c r="X200" s="199">
        <f t="shared" si="17"/>
        <v>0.62162840819420495</v>
      </c>
    </row>
    <row r="201" spans="1:24">
      <c r="A201" s="189" t="s">
        <v>9</v>
      </c>
      <c r="B201" s="190" t="s">
        <v>63</v>
      </c>
      <c r="C201" s="190">
        <v>10</v>
      </c>
      <c r="D201" s="191">
        <v>12</v>
      </c>
      <c r="E201" s="192">
        <v>42916</v>
      </c>
      <c r="F201" s="24">
        <v>1701.4523540841149</v>
      </c>
      <c r="G201" s="24">
        <v>1246.674</v>
      </c>
      <c r="H201" s="193">
        <v>178.9</v>
      </c>
      <c r="I201" s="194">
        <v>150.04</v>
      </c>
      <c r="J201" s="193">
        <v>177.2</v>
      </c>
      <c r="K201" s="194">
        <v>143.55000000000001</v>
      </c>
      <c r="L201" s="195">
        <v>0.8</v>
      </c>
      <c r="M201" s="195">
        <f>G201/12/K201</f>
        <v>0.72371647509578541</v>
      </c>
      <c r="N201" s="195">
        <f>F201/24/30/10</f>
        <v>0.23631282695612707</v>
      </c>
      <c r="O201" s="195">
        <f>G201/24/30/10</f>
        <v>0.17314916666666666</v>
      </c>
      <c r="P201" s="195">
        <v>0.98499999999999999</v>
      </c>
      <c r="Q201" s="195">
        <v>0.80037789999999998</v>
      </c>
      <c r="R201" s="196">
        <v>0.99</v>
      </c>
      <c r="S201" s="197">
        <v>0.99860000000000004</v>
      </c>
      <c r="T201" s="198">
        <v>1.4999999999999999E-2</v>
      </c>
      <c r="U201" s="197">
        <v>0</v>
      </c>
      <c r="V201" s="198">
        <v>0</v>
      </c>
      <c r="W201" s="197">
        <v>0</v>
      </c>
      <c r="X201" s="199">
        <f t="shared" si="17"/>
        <v>-7.7389907658969692E-2</v>
      </c>
    </row>
    <row r="202" spans="1:24">
      <c r="A202" s="189" t="s">
        <v>9</v>
      </c>
      <c r="B202" s="190" t="s">
        <v>63</v>
      </c>
      <c r="C202" s="190">
        <v>10</v>
      </c>
      <c r="D202" s="191">
        <v>12</v>
      </c>
      <c r="E202" s="192">
        <v>42947</v>
      </c>
      <c r="F202" s="24">
        <v>1509.1368721773149</v>
      </c>
      <c r="G202" s="24">
        <v>1199.508</v>
      </c>
      <c r="H202" s="193">
        <v>155.5</v>
      </c>
      <c r="I202" s="194">
        <v>155.87</v>
      </c>
      <c r="J202" s="193">
        <v>154.6</v>
      </c>
      <c r="K202" s="194">
        <v>154.13</v>
      </c>
      <c r="L202" s="195">
        <v>0.81299999999999994</v>
      </c>
      <c r="M202" s="195">
        <f t="shared" ref="M202:M210" si="24">G202/12/K202</f>
        <v>0.64853694932848893</v>
      </c>
      <c r="N202" s="195">
        <f>F202/24/31/10</f>
        <v>0.20284097744318749</v>
      </c>
      <c r="O202" s="195">
        <f>G202/24/31/10</f>
        <v>0.1612241935483871</v>
      </c>
      <c r="P202" s="195">
        <v>0.98499999999999999</v>
      </c>
      <c r="Q202" s="195">
        <v>0.8454083</v>
      </c>
      <c r="R202" s="196">
        <v>0.99</v>
      </c>
      <c r="S202" s="197">
        <v>0.99109999999999998</v>
      </c>
      <c r="T202" s="198">
        <v>1.4999999999999999E-2</v>
      </c>
      <c r="U202" s="197">
        <v>0</v>
      </c>
      <c r="V202" s="198">
        <v>0</v>
      </c>
      <c r="W202" s="197">
        <v>0</v>
      </c>
      <c r="X202" s="199">
        <f t="shared" si="17"/>
        <v>-0.20212940623527931</v>
      </c>
    </row>
    <row r="203" spans="1:24">
      <c r="A203" s="189" t="s">
        <v>9</v>
      </c>
      <c r="B203" s="190" t="s">
        <v>63</v>
      </c>
      <c r="C203" s="190">
        <v>10</v>
      </c>
      <c r="D203" s="191">
        <v>12</v>
      </c>
      <c r="E203" s="192">
        <v>42978</v>
      </c>
      <c r="F203" s="24">
        <v>1433.5843614282148</v>
      </c>
      <c r="G203" s="24">
        <v>1195.3679999999999</v>
      </c>
      <c r="H203" s="193">
        <v>145.4</v>
      </c>
      <c r="I203" s="194">
        <v>132.9</v>
      </c>
      <c r="J203" s="193">
        <v>146.30000000000001</v>
      </c>
      <c r="K203" s="194">
        <v>133.47999999999999</v>
      </c>
      <c r="L203" s="195">
        <v>0.81699999999999995</v>
      </c>
      <c r="M203" s="195">
        <f t="shared" si="24"/>
        <v>0.74628408750374586</v>
      </c>
      <c r="N203" s="195">
        <f>F203/24/31/10</f>
        <v>0.19268607008443747</v>
      </c>
      <c r="O203" s="195">
        <f>G203/24/31/10</f>
        <v>0.16066774193548386</v>
      </c>
      <c r="P203" s="195">
        <v>0.98499999999999999</v>
      </c>
      <c r="Q203" s="195">
        <v>0.92285567999999996</v>
      </c>
      <c r="R203" s="196">
        <v>0.99</v>
      </c>
      <c r="S203" s="197">
        <v>0.99360000000000004</v>
      </c>
      <c r="T203" s="198">
        <v>1.4999999999999999E-2</v>
      </c>
      <c r="U203" s="197">
        <v>0</v>
      </c>
      <c r="V203" s="198">
        <v>0</v>
      </c>
      <c r="W203" s="197">
        <v>0</v>
      </c>
      <c r="X203" s="199">
        <f t="shared" si="17"/>
        <v>-7.8540198107293291E-2</v>
      </c>
    </row>
    <row r="204" spans="1:24">
      <c r="A204" s="189" t="s">
        <v>9</v>
      </c>
      <c r="B204" s="190" t="s">
        <v>63</v>
      </c>
      <c r="C204" s="190">
        <v>10</v>
      </c>
      <c r="D204" s="191">
        <v>12</v>
      </c>
      <c r="E204" s="192">
        <v>43008</v>
      </c>
      <c r="F204" s="24">
        <v>1427.6971527984149</v>
      </c>
      <c r="G204" s="24">
        <v>1175.598</v>
      </c>
      <c r="H204" s="193">
        <v>141.6</v>
      </c>
      <c r="I204" s="194">
        <v>121.86</v>
      </c>
      <c r="J204" s="193">
        <v>145.5</v>
      </c>
      <c r="K204" s="194">
        <v>124.66</v>
      </c>
      <c r="L204" s="195">
        <v>0.81799999999999995</v>
      </c>
      <c r="M204" s="195">
        <f t="shared" si="24"/>
        <v>0.78586956521739126</v>
      </c>
      <c r="N204" s="195">
        <f>F204/24/30/10</f>
        <v>0.19829127122200207</v>
      </c>
      <c r="O204" s="195">
        <f>G204/24/30/10</f>
        <v>0.16327749999999999</v>
      </c>
      <c r="P204" s="195">
        <v>0.98499999999999999</v>
      </c>
      <c r="Q204" s="195">
        <v>0.96017317999999996</v>
      </c>
      <c r="R204" s="196">
        <v>0.99</v>
      </c>
      <c r="S204" s="197">
        <v>0.99129999999999996</v>
      </c>
      <c r="T204" s="198">
        <v>1.4999999999999999E-2</v>
      </c>
      <c r="U204" s="197">
        <v>0</v>
      </c>
      <c r="V204" s="198">
        <v>0</v>
      </c>
      <c r="W204" s="197">
        <v>0</v>
      </c>
      <c r="X204" s="199">
        <f t="shared" si="17"/>
        <v>-3.3347230592618127E-2</v>
      </c>
    </row>
    <row r="205" spans="1:24">
      <c r="A205" s="189" t="s">
        <v>9</v>
      </c>
      <c r="B205" s="190" t="s">
        <v>63</v>
      </c>
      <c r="C205" s="190">
        <v>10</v>
      </c>
      <c r="D205" s="191">
        <v>12</v>
      </c>
      <c r="E205" s="192">
        <v>43039</v>
      </c>
      <c r="F205" s="24">
        <v>1631.787051964815</v>
      </c>
      <c r="G205" s="24">
        <v>1362.81</v>
      </c>
      <c r="H205" s="193">
        <v>139.1</v>
      </c>
      <c r="I205" s="194">
        <v>127.33</v>
      </c>
      <c r="J205" s="193">
        <v>172.2</v>
      </c>
      <c r="K205" s="194">
        <v>152.07</v>
      </c>
      <c r="L205" s="195">
        <v>0.79</v>
      </c>
      <c r="M205" s="195">
        <f t="shared" si="24"/>
        <v>0.74681067929243117</v>
      </c>
      <c r="N205" s="195">
        <f>F205/24/31/10</f>
        <v>0.2193262166619375</v>
      </c>
      <c r="O205" s="195">
        <f>G205/24/31/10</f>
        <v>0.18317338709677417</v>
      </c>
      <c r="P205" s="195">
        <v>0.98499999999999999</v>
      </c>
      <c r="Q205" s="195">
        <v>0.9694221999999999</v>
      </c>
      <c r="R205" s="196">
        <v>0.99</v>
      </c>
      <c r="S205" s="197">
        <v>0.97399999999999998</v>
      </c>
      <c r="T205" s="198">
        <v>1.4999999999999999E-2</v>
      </c>
      <c r="U205" s="197">
        <v>0</v>
      </c>
      <c r="V205" s="198">
        <v>0</v>
      </c>
      <c r="W205" s="197">
        <v>0</v>
      </c>
      <c r="X205" s="199">
        <f t="shared" si="17"/>
        <v>-4.7936923630256922E-2</v>
      </c>
    </row>
    <row r="206" spans="1:24">
      <c r="A206" s="189" t="s">
        <v>9</v>
      </c>
      <c r="B206" s="190" t="s">
        <v>63</v>
      </c>
      <c r="C206" s="190">
        <v>10</v>
      </c>
      <c r="D206" s="191">
        <v>12</v>
      </c>
      <c r="E206" s="192">
        <v>43069</v>
      </c>
      <c r="F206" s="24">
        <v>1447.3211815644149</v>
      </c>
      <c r="G206" s="24">
        <v>1117.296</v>
      </c>
      <c r="H206" s="193">
        <v>108.1</v>
      </c>
      <c r="I206" s="194">
        <v>91.62</v>
      </c>
      <c r="J206" s="193">
        <v>152.1</v>
      </c>
      <c r="K206" s="194">
        <v>115.39</v>
      </c>
      <c r="L206" s="195">
        <v>0.79300000000000004</v>
      </c>
      <c r="M206" s="195">
        <f t="shared" si="24"/>
        <v>0.80689834474391198</v>
      </c>
      <c r="N206" s="195">
        <f>F206/24/30/10</f>
        <v>0.20101683077283541</v>
      </c>
      <c r="O206" s="195">
        <f>G206/24/30/10</f>
        <v>0.15518000000000001</v>
      </c>
      <c r="P206" s="195">
        <v>0.98499999999999999</v>
      </c>
      <c r="Q206" s="195">
        <v>0.98853195999999999</v>
      </c>
      <c r="R206" s="196">
        <v>0.99</v>
      </c>
      <c r="S206" s="197">
        <v>0.99319999999999997</v>
      </c>
      <c r="T206" s="198">
        <v>1.4999999999999999E-2</v>
      </c>
      <c r="U206" s="197">
        <v>0</v>
      </c>
      <c r="V206" s="198">
        <v>0</v>
      </c>
      <c r="W206" s="197">
        <v>0</v>
      </c>
      <c r="X206" s="199">
        <f t="shared" si="17"/>
        <v>1.3329531633332836E-2</v>
      </c>
    </row>
    <row r="207" spans="1:24">
      <c r="A207" s="189" t="s">
        <v>9</v>
      </c>
      <c r="B207" s="190" t="s">
        <v>63</v>
      </c>
      <c r="C207" s="190">
        <v>10</v>
      </c>
      <c r="D207" s="191">
        <v>12</v>
      </c>
      <c r="E207" s="192">
        <v>43100</v>
      </c>
      <c r="F207" s="24">
        <v>1212.2770249731238</v>
      </c>
      <c r="G207" s="24">
        <v>1051.068</v>
      </c>
      <c r="H207" s="193">
        <v>89.9</v>
      </c>
      <c r="I207" s="194">
        <v>78.62</v>
      </c>
      <c r="J207" s="193">
        <v>129.6</v>
      </c>
      <c r="K207" s="194">
        <v>104.88</v>
      </c>
      <c r="L207" s="195">
        <v>0.78300000000000003</v>
      </c>
      <c r="M207" s="195">
        <f t="shared" si="24"/>
        <v>0.8351353928299009</v>
      </c>
      <c r="N207" s="195">
        <f>F207/24/31/10</f>
        <v>0.16294046034584997</v>
      </c>
      <c r="O207" s="195">
        <f>G207/24/31/10</f>
        <v>0.14127258064516129</v>
      </c>
      <c r="P207" s="195">
        <v>0.98499999999999999</v>
      </c>
      <c r="Q207" s="195">
        <v>0.98680000000000001</v>
      </c>
      <c r="R207" s="196">
        <v>0.99</v>
      </c>
      <c r="S207" s="197">
        <v>0.98680000000000001</v>
      </c>
      <c r="T207" s="198">
        <v>1.4999999999999999E-2</v>
      </c>
      <c r="U207" s="197">
        <v>0</v>
      </c>
      <c r="V207" s="198">
        <v>0</v>
      </c>
      <c r="W207" s="197">
        <v>0</v>
      </c>
      <c r="X207" s="199">
        <f t="shared" si="17"/>
        <v>5.7760389177369476E-2</v>
      </c>
    </row>
    <row r="208" spans="1:24">
      <c r="A208" s="189" t="s">
        <v>9</v>
      </c>
      <c r="B208" s="190" t="s">
        <v>63</v>
      </c>
      <c r="C208" s="190">
        <v>10</v>
      </c>
      <c r="D208" s="191">
        <v>12</v>
      </c>
      <c r="E208" s="192">
        <v>43131</v>
      </c>
      <c r="F208" s="24">
        <v>1027.1116082976973</v>
      </c>
      <c r="G208" s="24">
        <v>946.35599999999999</v>
      </c>
      <c r="H208" s="193">
        <v>79.599999999999994</v>
      </c>
      <c r="I208" s="194">
        <v>73.22</v>
      </c>
      <c r="J208" s="193">
        <v>103.2</v>
      </c>
      <c r="K208" s="194">
        <v>93.11</v>
      </c>
      <c r="L208" s="195">
        <v>0.83399999999999996</v>
      </c>
      <c r="M208" s="195">
        <f t="shared" si="24"/>
        <v>0.84698743421759215</v>
      </c>
      <c r="N208" s="195">
        <f>F208/24/31/10</f>
        <v>0.13805263552388405</v>
      </c>
      <c r="O208" s="195">
        <f>G208/24/31/10</f>
        <v>0.1271983870967742</v>
      </c>
      <c r="P208" s="195">
        <v>0.98499999999999999</v>
      </c>
      <c r="Q208" s="195">
        <v>0.98509999999999998</v>
      </c>
      <c r="R208" s="196">
        <v>0.99</v>
      </c>
      <c r="S208" s="197">
        <v>0.98509999999999998</v>
      </c>
      <c r="T208" s="198">
        <v>1.4999999999999999E-2</v>
      </c>
      <c r="U208" s="197">
        <v>0</v>
      </c>
      <c r="V208" s="198">
        <v>0</v>
      </c>
      <c r="W208" s="197">
        <v>0</v>
      </c>
      <c r="X208" s="199">
        <f t="shared" si="17"/>
        <v>1.9147332232079872E-2</v>
      </c>
    </row>
    <row r="209" spans="1:24">
      <c r="A209" s="189" t="s">
        <v>9</v>
      </c>
      <c r="B209" s="190" t="s">
        <v>63</v>
      </c>
      <c r="C209" s="190">
        <v>10</v>
      </c>
      <c r="D209" s="191">
        <v>12</v>
      </c>
      <c r="E209" s="192">
        <v>43159</v>
      </c>
      <c r="F209" s="24">
        <v>1344.4076234079598</v>
      </c>
      <c r="G209" s="24">
        <f>1350822/1000</f>
        <v>1350.8219999999999</v>
      </c>
      <c r="H209" s="193">
        <v>108.1</v>
      </c>
      <c r="I209" s="194">
        <v>111.26</v>
      </c>
      <c r="J209" s="193">
        <v>137.5</v>
      </c>
      <c r="K209" s="194">
        <v>135.04</v>
      </c>
      <c r="L209" s="195">
        <v>0.81899999999999995</v>
      </c>
      <c r="M209" s="195">
        <f t="shared" si="24"/>
        <v>0.83359374999999991</v>
      </c>
      <c r="N209" s="195">
        <f>F209/24/28/10</f>
        <v>0.20006065824523214</v>
      </c>
      <c r="O209" s="195">
        <f>G209/24/28/10</f>
        <v>0.20101517857142856</v>
      </c>
      <c r="P209" s="195">
        <v>0.98499999999999999</v>
      </c>
      <c r="Q209" s="195">
        <v>0.9647</v>
      </c>
      <c r="R209" s="196">
        <v>0.99</v>
      </c>
      <c r="S209" s="197">
        <v>0.97989999999999999</v>
      </c>
      <c r="T209" s="198">
        <v>1.4999999999999999E-2</v>
      </c>
      <c r="U209" s="197">
        <v>0</v>
      </c>
      <c r="V209" s="198">
        <v>0</v>
      </c>
      <c r="W209" s="197">
        <v>0</v>
      </c>
      <c r="X209" s="199">
        <f t="shared" si="17"/>
        <v>2.2662063672568067E-2</v>
      </c>
    </row>
    <row r="210" spans="1:24">
      <c r="A210" s="189" t="s">
        <v>9</v>
      </c>
      <c r="B210" s="190" t="s">
        <v>63</v>
      </c>
      <c r="C210" s="190">
        <v>10</v>
      </c>
      <c r="D210" s="191">
        <v>12</v>
      </c>
      <c r="E210" s="192">
        <v>43190</v>
      </c>
      <c r="F210" s="24">
        <v>1798</v>
      </c>
      <c r="G210" s="24">
        <v>1698.68</v>
      </c>
      <c r="H210" s="193">
        <v>161.4</v>
      </c>
      <c r="I210" s="194">
        <v>166.36</v>
      </c>
      <c r="J210" s="193">
        <v>187.8</v>
      </c>
      <c r="K210" s="194">
        <v>178.39</v>
      </c>
      <c r="L210" s="195">
        <v>0.80200000000000005</v>
      </c>
      <c r="M210" s="195">
        <f t="shared" si="24"/>
        <v>0.79352355326344903</v>
      </c>
      <c r="N210" s="195">
        <f>F210/24/31/10</f>
        <v>0.2416666666666667</v>
      </c>
      <c r="O210" s="195">
        <f>G210/24/31/10</f>
        <v>0.22831720430107527</v>
      </c>
      <c r="P210" s="195">
        <v>0.98499999999999999</v>
      </c>
      <c r="Q210" s="195">
        <v>0.99780000000000002</v>
      </c>
      <c r="R210" s="196">
        <v>0.99</v>
      </c>
      <c r="S210" s="197">
        <v>0.99780000000000002</v>
      </c>
      <c r="T210" s="198">
        <v>1.4999999999999999E-2</v>
      </c>
      <c r="U210" s="197">
        <v>0</v>
      </c>
      <c r="V210" s="198">
        <v>0</v>
      </c>
      <c r="W210" s="197">
        <v>0</v>
      </c>
      <c r="X210" s="199">
        <f t="shared" si="17"/>
        <v>-5.1326583436095419E-3</v>
      </c>
    </row>
    <row r="211" spans="1:24">
      <c r="A211" s="189" t="s">
        <v>9</v>
      </c>
      <c r="B211" s="190" t="s">
        <v>63</v>
      </c>
      <c r="C211" s="190">
        <v>10</v>
      </c>
      <c r="D211" s="191">
        <v>12</v>
      </c>
      <c r="E211" s="192">
        <v>43220</v>
      </c>
      <c r="F211" s="24">
        <v>1746.4626789607689</v>
      </c>
      <c r="G211" s="24">
        <v>1342.566</v>
      </c>
      <c r="H211" s="193">
        <v>190.2</v>
      </c>
      <c r="I211" s="194">
        <v>148.41999999999999</v>
      </c>
      <c r="J211" s="193">
        <v>194</v>
      </c>
      <c r="K211" s="194">
        <v>152.27000000000001</v>
      </c>
      <c r="L211" s="195">
        <f>F211/D211/J211/P211</f>
        <v>0.76162309163255049</v>
      </c>
      <c r="M211" s="195">
        <f>G211/D211/K211/Q211</f>
        <v>0.7827791241529658</v>
      </c>
      <c r="N211" s="195">
        <f>F211/24/DAY(E211)/C211</f>
        <v>0.24256426096677344</v>
      </c>
      <c r="O211" s="195">
        <f>G211/24/DAY(E211)/C211</f>
        <v>0.18646749999999998</v>
      </c>
      <c r="P211" s="195">
        <v>0.98499999999999999</v>
      </c>
      <c r="Q211" s="195">
        <v>0.93864380000000003</v>
      </c>
      <c r="R211" s="196">
        <v>0.99</v>
      </c>
      <c r="S211" s="197">
        <v>0.97399999999999998</v>
      </c>
      <c r="T211" s="198">
        <v>1.4999999999999999E-2</v>
      </c>
      <c r="U211" s="197">
        <v>0</v>
      </c>
      <c r="V211" s="198">
        <v>0</v>
      </c>
      <c r="W211" s="197">
        <v>0</v>
      </c>
      <c r="X211" s="199">
        <f t="shared" si="17"/>
        <v>-1.6162472651369941E-2</v>
      </c>
    </row>
    <row r="212" spans="1:24">
      <c r="A212" s="189" t="s">
        <v>9</v>
      </c>
      <c r="B212" s="190" t="s">
        <v>63</v>
      </c>
      <c r="C212" s="190">
        <v>10</v>
      </c>
      <c r="D212" s="191">
        <v>12</v>
      </c>
      <c r="E212" s="192">
        <v>43251</v>
      </c>
      <c r="F212" s="24">
        <v>1769.4056215918188</v>
      </c>
      <c r="G212" s="24">
        <f>1527726/1000</f>
        <v>1527.7260000000001</v>
      </c>
      <c r="H212" s="193">
        <v>197</v>
      </c>
      <c r="I212" s="194">
        <v>164.25</v>
      </c>
      <c r="J212" s="193">
        <v>197.7</v>
      </c>
      <c r="K212" s="194">
        <v>165.53</v>
      </c>
      <c r="L212" s="195">
        <f t="shared" ref="L212:L269" si="25">F212/D212/J212/P212</f>
        <v>0.75718718802258922</v>
      </c>
      <c r="M212" s="195">
        <f t="shared" ref="M212:M269" si="26">G212/D212/K212/Q212</f>
        <v>0.77211958511571555</v>
      </c>
      <c r="N212" s="195">
        <f t="shared" ref="N212:N269" si="27">F212/24/DAY(E212)/C212</f>
        <v>0.23782333623545951</v>
      </c>
      <c r="O212" s="195">
        <f t="shared" ref="O212:O269" si="28">G212/24/DAY(E212)/C212</f>
        <v>0.20533951612903226</v>
      </c>
      <c r="P212" s="195">
        <v>0.98499999999999999</v>
      </c>
      <c r="Q212" s="195">
        <v>0.99609999999999999</v>
      </c>
      <c r="R212" s="196">
        <v>0.99</v>
      </c>
      <c r="S212" s="197">
        <v>0.99819999999999998</v>
      </c>
      <c r="T212" s="198">
        <v>1.4999999999999999E-2</v>
      </c>
      <c r="U212" s="197">
        <v>0</v>
      </c>
      <c r="V212" s="198">
        <v>0</v>
      </c>
      <c r="W212" s="197">
        <v>0</v>
      </c>
      <c r="X212" s="199">
        <f t="shared" si="17"/>
        <v>2.6133268583072855E-2</v>
      </c>
    </row>
    <row r="213" spans="1:24">
      <c r="A213" s="189" t="s">
        <v>9</v>
      </c>
      <c r="B213" s="190" t="s">
        <v>63</v>
      </c>
      <c r="C213" s="190">
        <v>10</v>
      </c>
      <c r="D213" s="191">
        <v>12</v>
      </c>
      <c r="E213" s="192">
        <v>43281</v>
      </c>
      <c r="F213" s="24">
        <v>1591.3683867748728</v>
      </c>
      <c r="G213" s="24">
        <f>1490754/1000</f>
        <v>1490.7539999999999</v>
      </c>
      <c r="H213" s="193">
        <v>178.9</v>
      </c>
      <c r="I213" s="194">
        <f>5.18*30</f>
        <v>155.39999999999998</v>
      </c>
      <c r="J213" s="193">
        <v>177.2</v>
      </c>
      <c r="K213" s="194">
        <f>5.19*30</f>
        <v>155.70000000000002</v>
      </c>
      <c r="L213" s="195">
        <f t="shared" si="25"/>
        <v>0.75978293036197253</v>
      </c>
      <c r="M213" s="195">
        <f t="shared" si="26"/>
        <v>0.80961677138026089</v>
      </c>
      <c r="N213" s="195">
        <f t="shared" si="27"/>
        <v>0.22102338705206565</v>
      </c>
      <c r="O213" s="195">
        <f t="shared" si="28"/>
        <v>0.20704916666666665</v>
      </c>
      <c r="P213" s="195">
        <v>0.98499999999999999</v>
      </c>
      <c r="Q213" s="195">
        <v>0.98550000000000004</v>
      </c>
      <c r="R213" s="196">
        <v>0.99</v>
      </c>
      <c r="S213" s="197">
        <v>0.98760000000000003</v>
      </c>
      <c r="T213" s="198">
        <v>1.4999999999999999E-2</v>
      </c>
      <c r="U213" s="197">
        <v>0</v>
      </c>
      <c r="V213" s="198">
        <v>0</v>
      </c>
      <c r="W213" s="197">
        <v>0</v>
      </c>
      <c r="X213" s="199">
        <f t="shared" si="17"/>
        <v>5.8106752708225295E-2</v>
      </c>
    </row>
    <row r="214" spans="1:24">
      <c r="A214" s="189" t="s">
        <v>9</v>
      </c>
      <c r="B214" s="190" t="s">
        <v>63</v>
      </c>
      <c r="C214" s="190">
        <v>10</v>
      </c>
      <c r="D214" s="191">
        <v>12</v>
      </c>
      <c r="E214" s="192">
        <v>43312</v>
      </c>
      <c r="F214" s="24">
        <v>1411.4957165474425</v>
      </c>
      <c r="G214" s="24">
        <f>1217682/1000</f>
        <v>1217.682</v>
      </c>
      <c r="H214" s="193">
        <v>155.5</v>
      </c>
      <c r="I214" s="194">
        <v>128.41</v>
      </c>
      <c r="J214" s="193">
        <v>154.6</v>
      </c>
      <c r="K214" s="194">
        <v>125.7</v>
      </c>
      <c r="L214" s="195">
        <f t="shared" si="25"/>
        <v>0.77241837816681136</v>
      </c>
      <c r="M214" s="195">
        <f t="shared" si="26"/>
        <v>0.82248324309997478</v>
      </c>
      <c r="N214" s="195">
        <f t="shared" si="27"/>
        <v>0.18971716620261322</v>
      </c>
      <c r="O214" s="195">
        <f t="shared" si="28"/>
        <v>0.16366693548387096</v>
      </c>
      <c r="P214" s="195">
        <v>0.98499999999999999</v>
      </c>
      <c r="Q214" s="195">
        <v>0.98150000000000004</v>
      </c>
      <c r="R214" s="196">
        <v>0.99</v>
      </c>
      <c r="S214" s="197">
        <v>0.9879</v>
      </c>
      <c r="T214" s="198">
        <v>1.4999999999999999E-2</v>
      </c>
      <c r="U214" s="197">
        <v>0</v>
      </c>
      <c r="V214" s="198">
        <v>0</v>
      </c>
      <c r="W214" s="197">
        <v>0</v>
      </c>
      <c r="X214" s="199">
        <f t="shared" si="17"/>
        <v>4.962314499183218E-2</v>
      </c>
    </row>
    <row r="215" spans="1:24">
      <c r="A215" s="189" t="s">
        <v>9</v>
      </c>
      <c r="B215" s="190" t="s">
        <v>63</v>
      </c>
      <c r="C215" s="190">
        <v>10</v>
      </c>
      <c r="D215" s="191">
        <v>12</v>
      </c>
      <c r="E215" s="192">
        <v>43343</v>
      </c>
      <c r="F215" s="24">
        <v>1340.8314532438094</v>
      </c>
      <c r="G215" s="24">
        <f>1032606/1000</f>
        <v>1032.606</v>
      </c>
      <c r="H215" s="193">
        <v>145.4</v>
      </c>
      <c r="I215" s="194">
        <v>111.98</v>
      </c>
      <c r="J215" s="193">
        <v>146.30000000000001</v>
      </c>
      <c r="K215" s="194">
        <v>110.58</v>
      </c>
      <c r="L215" s="195">
        <f t="shared" si="25"/>
        <v>0.77537605738146087</v>
      </c>
      <c r="M215" s="195">
        <f t="shared" si="26"/>
        <v>0.8068998056250144</v>
      </c>
      <c r="N215" s="195">
        <f t="shared" si="27"/>
        <v>0.18021928134997439</v>
      </c>
      <c r="O215" s="195">
        <f t="shared" si="28"/>
        <v>0.13879112903225804</v>
      </c>
      <c r="P215" s="195">
        <v>0.98499999999999999</v>
      </c>
      <c r="Q215" s="195">
        <v>0.96440000000000003</v>
      </c>
      <c r="R215" s="196">
        <v>0.99</v>
      </c>
      <c r="S215" s="197">
        <v>0.99780000000000002</v>
      </c>
      <c r="T215" s="198">
        <v>1.4999999999999999E-2</v>
      </c>
      <c r="U215" s="197">
        <v>0</v>
      </c>
      <c r="V215" s="198">
        <v>0</v>
      </c>
      <c r="W215" s="197">
        <v>0</v>
      </c>
      <c r="X215" s="199">
        <f t="shared" si="17"/>
        <v>1.427948460436268E-2</v>
      </c>
    </row>
    <row r="216" spans="1:24">
      <c r="A216" s="189" t="s">
        <v>9</v>
      </c>
      <c r="B216" s="190" t="s">
        <v>63</v>
      </c>
      <c r="C216" s="190">
        <v>10</v>
      </c>
      <c r="D216" s="191">
        <v>12</v>
      </c>
      <c r="E216" s="192">
        <v>43373</v>
      </c>
      <c r="F216" s="24">
        <v>1335.3251470123575</v>
      </c>
      <c r="G216" s="24">
        <f>1105950/1000</f>
        <v>1105.95</v>
      </c>
      <c r="H216" s="193">
        <v>141.6</v>
      </c>
      <c r="I216" s="194">
        <v>117.55</v>
      </c>
      <c r="J216" s="193">
        <v>145.5</v>
      </c>
      <c r="K216" s="194">
        <v>118.76</v>
      </c>
      <c r="L216" s="195">
        <f t="shared" si="25"/>
        <v>0.77643759892799635</v>
      </c>
      <c r="M216" s="195">
        <f t="shared" si="26"/>
        <v>0.80053632394102237</v>
      </c>
      <c r="N216" s="195">
        <f t="shared" si="27"/>
        <v>0.18546182597393854</v>
      </c>
      <c r="O216" s="195">
        <f t="shared" si="28"/>
        <v>0.15360416666666668</v>
      </c>
      <c r="P216" s="195">
        <v>0.98499999999999999</v>
      </c>
      <c r="Q216" s="195">
        <v>0.96940000000000004</v>
      </c>
      <c r="R216" s="196">
        <v>0.99</v>
      </c>
      <c r="S216" s="197">
        <v>0.98529999999999995</v>
      </c>
      <c r="T216" s="198">
        <v>1.4999999999999999E-2</v>
      </c>
      <c r="U216" s="197">
        <v>0</v>
      </c>
      <c r="V216" s="198">
        <v>0</v>
      </c>
      <c r="W216" s="197">
        <v>0</v>
      </c>
      <c r="X216" s="199">
        <f t="shared" si="17"/>
        <v>1.2005315945981532E-2</v>
      </c>
    </row>
    <row r="217" spans="1:24">
      <c r="A217" s="189" t="s">
        <v>9</v>
      </c>
      <c r="B217" s="190" t="s">
        <v>63</v>
      </c>
      <c r="C217" s="190">
        <v>10</v>
      </c>
      <c r="D217" s="191">
        <v>12</v>
      </c>
      <c r="E217" s="192">
        <v>43404</v>
      </c>
      <c r="F217" s="24">
        <v>1526.2104297026915</v>
      </c>
      <c r="G217" s="24">
        <f>1439760/1000</f>
        <v>1439.76</v>
      </c>
      <c r="H217" s="193">
        <v>139.1</v>
      </c>
      <c r="I217" s="194">
        <f>4.35*31</f>
        <v>134.85</v>
      </c>
      <c r="J217" s="193">
        <v>172.2</v>
      </c>
      <c r="K217" s="194">
        <f>5.18*31</f>
        <v>160.57999999999998</v>
      </c>
      <c r="L217" s="195">
        <f t="shared" si="25"/>
        <v>0.74983169420060669</v>
      </c>
      <c r="M217" s="195">
        <f t="shared" si="26"/>
        <v>0.76711141823415807</v>
      </c>
      <c r="N217" s="195">
        <f t="shared" si="27"/>
        <v>0.20513581044391013</v>
      </c>
      <c r="O217" s="195">
        <f t="shared" si="28"/>
        <v>0.19351612903225807</v>
      </c>
      <c r="P217" s="195">
        <v>0.98499999999999999</v>
      </c>
      <c r="Q217" s="195">
        <v>0.97399999999999998</v>
      </c>
      <c r="R217" s="196">
        <v>0.99</v>
      </c>
      <c r="S217" s="197">
        <v>0.97460000000000002</v>
      </c>
      <c r="T217" s="198">
        <v>1.4999999999999999E-2</v>
      </c>
      <c r="U217" s="197">
        <v>0</v>
      </c>
      <c r="V217" s="198">
        <v>0</v>
      </c>
      <c r="W217" s="197">
        <v>0</v>
      </c>
      <c r="X217" s="199">
        <f t="shared" si="17"/>
        <v>1.0835828037338624E-2</v>
      </c>
    </row>
    <row r="218" spans="1:24">
      <c r="A218" s="189" t="s">
        <v>9</v>
      </c>
      <c r="B218" s="190" t="s">
        <v>63</v>
      </c>
      <c r="C218" s="190">
        <v>10</v>
      </c>
      <c r="D218" s="191">
        <v>12</v>
      </c>
      <c r="E218" s="192">
        <v>43434</v>
      </c>
      <c r="F218" s="24">
        <v>1353.6795011171973</v>
      </c>
      <c r="G218" s="24">
        <f>1130088/1000</f>
        <v>1130.088</v>
      </c>
      <c r="H218" s="193">
        <v>108.1</v>
      </c>
      <c r="I218" s="194">
        <f>3.27*30</f>
        <v>98.1</v>
      </c>
      <c r="J218" s="193">
        <v>152.1</v>
      </c>
      <c r="K218" s="194">
        <f>4.39*30</f>
        <v>131.69999999999999</v>
      </c>
      <c r="L218" s="195">
        <f t="shared" si="25"/>
        <v>0.75295524313152096</v>
      </c>
      <c r="M218" s="195">
        <f t="shared" si="26"/>
        <v>0.74664774002571488</v>
      </c>
      <c r="N218" s="195">
        <f t="shared" si="27"/>
        <v>0.18801104182183298</v>
      </c>
      <c r="O218" s="195">
        <f t="shared" si="28"/>
        <v>0.15695666666666666</v>
      </c>
      <c r="P218" s="195">
        <v>0.98499999999999999</v>
      </c>
      <c r="Q218" s="195">
        <v>0.9577</v>
      </c>
      <c r="R218" s="196">
        <v>0.99</v>
      </c>
      <c r="S218" s="197">
        <v>0.99990000000000001</v>
      </c>
      <c r="T218" s="198">
        <v>1.4999999999999999E-2</v>
      </c>
      <c r="U218" s="197">
        <v>0</v>
      </c>
      <c r="V218" s="198">
        <v>0</v>
      </c>
      <c r="W218" s="197">
        <v>0</v>
      </c>
      <c r="X218" s="199">
        <f t="shared" si="17"/>
        <v>-3.1050857471572879E-2</v>
      </c>
    </row>
    <row r="219" spans="1:24">
      <c r="A219" s="189" t="s">
        <v>9</v>
      </c>
      <c r="B219" s="190" t="s">
        <v>63</v>
      </c>
      <c r="C219" s="190">
        <v>10</v>
      </c>
      <c r="D219" s="191">
        <v>12</v>
      </c>
      <c r="E219" s="192">
        <v>43465</v>
      </c>
      <c r="F219" s="24">
        <v>1138.9335580905715</v>
      </c>
      <c r="G219" s="24">
        <f>1114704/1000</f>
        <v>1114.704</v>
      </c>
      <c r="H219" s="193">
        <v>89.9</v>
      </c>
      <c r="I219" s="194">
        <v>85.25</v>
      </c>
      <c r="J219" s="193">
        <v>129.6</v>
      </c>
      <c r="K219" s="194">
        <v>121.21</v>
      </c>
      <c r="L219" s="195">
        <f t="shared" si="25"/>
        <v>0.74349133484427654</v>
      </c>
      <c r="M219" s="195">
        <f t="shared" si="26"/>
        <v>0.78634558949025402</v>
      </c>
      <c r="N219" s="195">
        <f t="shared" si="27"/>
        <v>0.15308246748529186</v>
      </c>
      <c r="O219" s="195">
        <f t="shared" si="28"/>
        <v>0.14982580645161289</v>
      </c>
      <c r="P219" s="195">
        <v>0.98499999999999999</v>
      </c>
      <c r="Q219" s="195">
        <v>0.97460000000000002</v>
      </c>
      <c r="R219" s="196">
        <v>0.99</v>
      </c>
      <c r="S219" s="197">
        <v>1</v>
      </c>
      <c r="T219" s="198">
        <v>1.4999999999999999E-2</v>
      </c>
      <c r="U219" s="197">
        <v>0</v>
      </c>
      <c r="V219" s="198">
        <v>0</v>
      </c>
      <c r="W219" s="197">
        <v>0</v>
      </c>
      <c r="X219" s="199">
        <f t="shared" si="17"/>
        <v>4.3463754787117947E-2</v>
      </c>
    </row>
    <row r="220" spans="1:24">
      <c r="A220" s="189" t="s">
        <v>9</v>
      </c>
      <c r="B220" s="190" t="s">
        <v>63</v>
      </c>
      <c r="C220" s="190">
        <v>10</v>
      </c>
      <c r="D220" s="191">
        <v>12</v>
      </c>
      <c r="E220" s="192">
        <v>43496</v>
      </c>
      <c r="F220" s="24">
        <v>960.6574872408363</v>
      </c>
      <c r="G220" s="24">
        <f>1085508/1000</f>
        <v>1085.508</v>
      </c>
      <c r="H220" s="193">
        <v>79.599999999999994</v>
      </c>
      <c r="I220" s="194">
        <v>84.01</v>
      </c>
      <c r="J220" s="193">
        <v>103.2</v>
      </c>
      <c r="K220" s="194">
        <v>117.8</v>
      </c>
      <c r="L220" s="195">
        <f t="shared" si="25"/>
        <v>0.7875377818774153</v>
      </c>
      <c r="M220" s="195">
        <f t="shared" si="26"/>
        <v>0.7818196149526081</v>
      </c>
      <c r="N220" s="195">
        <f t="shared" si="27"/>
        <v>0.12912063000548873</v>
      </c>
      <c r="O220" s="195">
        <f t="shared" si="28"/>
        <v>0.14590161290322581</v>
      </c>
      <c r="P220" s="195">
        <v>0.98499999999999999</v>
      </c>
      <c r="Q220" s="195">
        <v>0.98219999999999996</v>
      </c>
      <c r="R220" s="196">
        <v>0.99</v>
      </c>
      <c r="S220" s="197">
        <v>0.98399999999999999</v>
      </c>
      <c r="T220" s="198">
        <v>1.4999999999999999E-2</v>
      </c>
      <c r="U220" s="197">
        <v>0</v>
      </c>
      <c r="V220" s="198">
        <v>0</v>
      </c>
      <c r="W220" s="197">
        <v>0</v>
      </c>
      <c r="X220" s="199">
        <f t="shared" si="17"/>
        <v>-1.1509260565637724E-2</v>
      </c>
    </row>
    <row r="221" spans="1:24">
      <c r="A221" s="189" t="s">
        <v>9</v>
      </c>
      <c r="B221" s="190" t="s">
        <v>63</v>
      </c>
      <c r="C221" s="190">
        <v>10</v>
      </c>
      <c r="D221" s="191">
        <v>12</v>
      </c>
      <c r="E221" s="192">
        <v>43524</v>
      </c>
      <c r="F221" s="24">
        <v>1257.4244501734652</v>
      </c>
      <c r="G221" s="24">
        <v>1005.978</v>
      </c>
      <c r="H221" s="193">
        <v>108.1</v>
      </c>
      <c r="I221" s="194">
        <v>89.600000000000009</v>
      </c>
      <c r="J221" s="193">
        <v>137.5</v>
      </c>
      <c r="K221" s="194">
        <v>109.48</v>
      </c>
      <c r="L221" s="195">
        <f t="shared" si="25"/>
        <v>0.77368063385538555</v>
      </c>
      <c r="M221" s="195">
        <f t="shared" si="26"/>
        <v>0.80713010773853211</v>
      </c>
      <c r="N221" s="195">
        <f t="shared" si="27"/>
        <v>0.18711673365676568</v>
      </c>
      <c r="O221" s="195">
        <f t="shared" si="28"/>
        <v>0.14969910714285711</v>
      </c>
      <c r="P221" s="195">
        <v>0.98499999999999999</v>
      </c>
      <c r="Q221" s="195">
        <v>0.94869999999999999</v>
      </c>
      <c r="R221" s="196">
        <v>0.99</v>
      </c>
      <c r="S221" s="197">
        <v>0.97789999999999999</v>
      </c>
      <c r="T221" s="198">
        <v>1.4999999999999999E-2</v>
      </c>
      <c r="U221" s="197">
        <v>0</v>
      </c>
      <c r="V221" s="198">
        <v>0</v>
      </c>
      <c r="W221" s="197">
        <v>0</v>
      </c>
      <c r="X221" s="199">
        <f t="shared" si="17"/>
        <v>3.8123884965775012E-3</v>
      </c>
    </row>
    <row r="222" spans="1:24">
      <c r="A222" s="189" t="s">
        <v>9</v>
      </c>
      <c r="B222" s="190" t="s">
        <v>63</v>
      </c>
      <c r="C222" s="190">
        <v>10</v>
      </c>
      <c r="D222" s="191">
        <v>12</v>
      </c>
      <c r="E222" s="192">
        <v>43555</v>
      </c>
      <c r="F222" s="24">
        <v>1682.0294894463025</v>
      </c>
      <c r="G222" s="24">
        <f>1615020/1000</f>
        <v>1615.02</v>
      </c>
      <c r="H222" s="193">
        <v>161.4</v>
      </c>
      <c r="I222" s="194">
        <v>153.44</v>
      </c>
      <c r="J222" s="193">
        <v>187.8</v>
      </c>
      <c r="K222" s="194">
        <v>176.01</v>
      </c>
      <c r="L222" s="195">
        <f t="shared" si="25"/>
        <v>0.75774057140669782</v>
      </c>
      <c r="M222" s="195">
        <f t="shared" si="26"/>
        <v>0.76887285501769309</v>
      </c>
      <c r="N222" s="195">
        <f t="shared" si="27"/>
        <v>0.22607923245246</v>
      </c>
      <c r="O222" s="195">
        <f t="shared" si="28"/>
        <v>0.2170725806451613</v>
      </c>
      <c r="P222" s="195">
        <v>0.98499999999999999</v>
      </c>
      <c r="Q222" s="195">
        <v>0.99450000000000005</v>
      </c>
      <c r="R222" s="196">
        <v>0.99</v>
      </c>
      <c r="S222" s="197">
        <v>0.99509999999999998</v>
      </c>
      <c r="T222" s="198">
        <v>1.4999999999999999E-2</v>
      </c>
      <c r="U222" s="197">
        <v>0</v>
      </c>
      <c r="V222" s="198">
        <v>0</v>
      </c>
      <c r="W222" s="197">
        <v>0</v>
      </c>
      <c r="X222" s="199">
        <f t="shared" si="17"/>
        <v>2.2941077904870988E-2</v>
      </c>
    </row>
    <row r="223" spans="1:24">
      <c r="A223" s="189" t="s">
        <v>9</v>
      </c>
      <c r="B223" s="190" t="s">
        <v>63</v>
      </c>
      <c r="C223" s="190">
        <v>10</v>
      </c>
      <c r="D223" s="191">
        <v>12</v>
      </c>
      <c r="E223" s="192">
        <v>43585</v>
      </c>
      <c r="F223" s="24">
        <v>1737.7303655659653</v>
      </c>
      <c r="G223" s="24">
        <f>1546740/1000</f>
        <v>1546.74</v>
      </c>
      <c r="H223" s="193">
        <v>190.2</v>
      </c>
      <c r="I223" s="194">
        <f>5.83*30</f>
        <v>174.9</v>
      </c>
      <c r="J223" s="193">
        <v>194</v>
      </c>
      <c r="K223" s="194">
        <f>5.94*30</f>
        <v>178.20000000000002</v>
      </c>
      <c r="L223" s="195">
        <f t="shared" si="25"/>
        <v>0.75781497617438787</v>
      </c>
      <c r="M223" s="195">
        <f t="shared" si="26"/>
        <v>0.73388443416852511</v>
      </c>
      <c r="N223" s="195">
        <f t="shared" si="27"/>
        <v>0.24135143966193962</v>
      </c>
      <c r="O223" s="195">
        <f t="shared" si="28"/>
        <v>0.21482499999999999</v>
      </c>
      <c r="P223" s="195">
        <v>0.98499999999999999</v>
      </c>
      <c r="Q223" s="195">
        <v>0.98560000000000003</v>
      </c>
      <c r="R223" s="196">
        <v>0.99</v>
      </c>
      <c r="S223" s="197">
        <v>0.99239999999999995</v>
      </c>
      <c r="T223" s="198">
        <v>1.4999999999999999E-2</v>
      </c>
      <c r="U223" s="197">
        <v>0</v>
      </c>
      <c r="V223" s="198">
        <v>0</v>
      </c>
      <c r="W223" s="197">
        <v>0</v>
      </c>
      <c r="X223" s="199">
        <f t="shared" si="17"/>
        <v>-2.8464641497722432E-2</v>
      </c>
    </row>
    <row r="224" spans="1:24">
      <c r="A224" s="189" t="s">
        <v>9</v>
      </c>
      <c r="B224" s="190" t="s">
        <v>63</v>
      </c>
      <c r="C224" s="190">
        <v>10</v>
      </c>
      <c r="D224" s="191">
        <v>12</v>
      </c>
      <c r="E224" s="192">
        <v>43616</v>
      </c>
      <c r="F224" s="24">
        <v>1760.5585934838596</v>
      </c>
      <c r="G224" s="24">
        <f>1515822/1000</f>
        <v>1515.8219999999999</v>
      </c>
      <c r="H224" s="193">
        <v>197</v>
      </c>
      <c r="I224" s="194">
        <v>194.95</v>
      </c>
      <c r="J224" s="193">
        <v>197.7</v>
      </c>
      <c r="K224" s="194">
        <v>193.47</v>
      </c>
      <c r="L224" s="195">
        <f t="shared" si="25"/>
        <v>0.75340125208247632</v>
      </c>
      <c r="M224" s="195">
        <f t="shared" si="26"/>
        <v>0.68153445917343214</v>
      </c>
      <c r="N224" s="195">
        <f t="shared" si="27"/>
        <v>0.23663421955428224</v>
      </c>
      <c r="O224" s="195">
        <f t="shared" si="28"/>
        <v>0.20373951612903224</v>
      </c>
      <c r="P224" s="195">
        <v>0.98499999999999999</v>
      </c>
      <c r="Q224" s="195">
        <v>0.95799999999999996</v>
      </c>
      <c r="R224" s="196">
        <v>0.99</v>
      </c>
      <c r="S224" s="197">
        <v>0.98570000000000002</v>
      </c>
      <c r="T224" s="198">
        <v>1.4999999999999999E-2</v>
      </c>
      <c r="U224" s="197">
        <v>0</v>
      </c>
      <c r="V224" s="198">
        <v>0</v>
      </c>
      <c r="W224" s="197">
        <v>0</v>
      </c>
      <c r="X224" s="199">
        <f t="shared" si="17"/>
        <v>-0.11761470842713373</v>
      </c>
    </row>
    <row r="225" spans="1:24">
      <c r="A225" s="189" t="s">
        <v>9</v>
      </c>
      <c r="B225" s="190" t="s">
        <v>63</v>
      </c>
      <c r="C225" s="190">
        <v>10</v>
      </c>
      <c r="D225" s="191">
        <v>12</v>
      </c>
      <c r="E225" s="192">
        <v>43646</v>
      </c>
      <c r="F225" s="24">
        <v>1583.4115448409982</v>
      </c>
      <c r="G225" s="24">
        <f>1557342/1000</f>
        <v>1557.3420000000001</v>
      </c>
      <c r="H225" s="193">
        <v>178.9</v>
      </c>
      <c r="I225" s="194">
        <v>190.5</v>
      </c>
      <c r="J225" s="193">
        <v>177.2</v>
      </c>
      <c r="K225" s="194">
        <v>185.1</v>
      </c>
      <c r="L225" s="195">
        <f t="shared" si="25"/>
        <v>0.7559840157101626</v>
      </c>
      <c r="M225" s="195">
        <f t="shared" si="26"/>
        <v>0.70500393982136755</v>
      </c>
      <c r="N225" s="195">
        <f t="shared" si="27"/>
        <v>0.21991827011680534</v>
      </c>
      <c r="O225" s="195">
        <f t="shared" si="28"/>
        <v>0.21629750000000003</v>
      </c>
      <c r="P225" s="195">
        <v>0.98499999999999999</v>
      </c>
      <c r="Q225" s="195">
        <v>0.99450000000000005</v>
      </c>
      <c r="R225" s="196">
        <v>0.99</v>
      </c>
      <c r="S225" s="197">
        <v>0.99809999999999999</v>
      </c>
      <c r="T225" s="198">
        <v>1.4999999999999999E-2</v>
      </c>
      <c r="U225" s="197">
        <v>0</v>
      </c>
      <c r="V225" s="198">
        <v>0</v>
      </c>
      <c r="W225" s="197">
        <v>0</v>
      </c>
      <c r="X225" s="199">
        <f t="shared" si="17"/>
        <v>-6.104655518959734E-2</v>
      </c>
    </row>
    <row r="226" spans="1:24">
      <c r="A226" s="189" t="s">
        <v>9</v>
      </c>
      <c r="B226" s="190" t="s">
        <v>63</v>
      </c>
      <c r="C226" s="190">
        <v>10</v>
      </c>
      <c r="D226" s="191">
        <v>12</v>
      </c>
      <c r="E226" s="192">
        <v>43677</v>
      </c>
      <c r="F226" s="24">
        <v>1404.4382379647052</v>
      </c>
      <c r="G226" s="24">
        <v>1170.924</v>
      </c>
      <c r="H226" s="193">
        <v>155.5</v>
      </c>
      <c r="I226" s="194">
        <v>140.74</v>
      </c>
      <c r="J226" s="193">
        <v>154.6</v>
      </c>
      <c r="K226" s="194">
        <v>139.5</v>
      </c>
      <c r="L226" s="195">
        <f t="shared" si="25"/>
        <v>0.76855628627597727</v>
      </c>
      <c r="M226" s="195">
        <f t="shared" si="26"/>
        <v>0.73098202791196631</v>
      </c>
      <c r="N226" s="195">
        <f t="shared" si="27"/>
        <v>0.18876858037160016</v>
      </c>
      <c r="O226" s="195">
        <f t="shared" si="28"/>
        <v>0.15738225806451614</v>
      </c>
      <c r="P226" s="195">
        <v>0.98499999999999999</v>
      </c>
      <c r="Q226" s="195">
        <v>0.95689999999999997</v>
      </c>
      <c r="R226" s="196">
        <v>0.99</v>
      </c>
      <c r="S226" s="197">
        <v>0.98199999999999998</v>
      </c>
      <c r="T226" s="198">
        <v>1.4999999999999999E-2</v>
      </c>
      <c r="U226" s="197">
        <v>0</v>
      </c>
      <c r="V226" s="198">
        <v>0</v>
      </c>
      <c r="W226" s="197">
        <v>0</v>
      </c>
      <c r="X226" s="199">
        <f t="shared" si="17"/>
        <v>-6.8597373863312217E-2</v>
      </c>
    </row>
    <row r="227" spans="1:24">
      <c r="A227" s="189" t="s">
        <v>9</v>
      </c>
      <c r="B227" s="190" t="s">
        <v>63</v>
      </c>
      <c r="C227" s="190">
        <v>10</v>
      </c>
      <c r="D227" s="191">
        <v>12</v>
      </c>
      <c r="E227" s="192">
        <v>43708</v>
      </c>
      <c r="F227" s="24">
        <v>1334.1272959775904</v>
      </c>
      <c r="G227" s="24">
        <f>1113390/1000</f>
        <v>1113.3900000000001</v>
      </c>
      <c r="H227" s="193">
        <v>145.4</v>
      </c>
      <c r="I227" s="194">
        <v>140</v>
      </c>
      <c r="J227" s="193">
        <v>146.30000000000001</v>
      </c>
      <c r="K227" s="194">
        <v>143</v>
      </c>
      <c r="L227" s="195">
        <f t="shared" si="25"/>
        <v>0.77149917709455351</v>
      </c>
      <c r="M227" s="195">
        <f t="shared" si="26"/>
        <v>0.68427406805386137</v>
      </c>
      <c r="N227" s="195">
        <f t="shared" si="27"/>
        <v>0.17931818494322452</v>
      </c>
      <c r="O227" s="195">
        <f t="shared" si="28"/>
        <v>0.14964919354838713</v>
      </c>
      <c r="P227" s="195">
        <v>0.98499999999999999</v>
      </c>
      <c r="Q227" s="195">
        <v>0.94820000000000004</v>
      </c>
      <c r="R227" s="196">
        <v>0.99</v>
      </c>
      <c r="S227" s="197">
        <v>0.98</v>
      </c>
      <c r="T227" s="198">
        <v>1.4999999999999999E-2</v>
      </c>
      <c r="U227" s="197">
        <v>0</v>
      </c>
      <c r="V227" s="198">
        <v>0</v>
      </c>
      <c r="W227" s="197">
        <v>0</v>
      </c>
      <c r="X227" s="199">
        <f t="shared" si="17"/>
        <v>-0.14289805751717588</v>
      </c>
    </row>
    <row r="228" spans="1:24">
      <c r="A228" s="189" t="s">
        <v>9</v>
      </c>
      <c r="B228" s="190" t="s">
        <v>63</v>
      </c>
      <c r="C228" s="190">
        <v>10</v>
      </c>
      <c r="D228" s="191">
        <v>12</v>
      </c>
      <c r="E228" s="192">
        <v>43738</v>
      </c>
      <c r="F228" s="24">
        <v>1328.6485212772955</v>
      </c>
      <c r="G228" s="24">
        <f>1232388/1000</f>
        <v>1232.3879999999999</v>
      </c>
      <c r="H228" s="193">
        <v>141.6</v>
      </c>
      <c r="I228" s="194">
        <v>140</v>
      </c>
      <c r="J228" s="193">
        <v>145.5</v>
      </c>
      <c r="K228" s="194">
        <v>152</v>
      </c>
      <c r="L228" s="195">
        <f t="shared" si="25"/>
        <v>0.77255541093335633</v>
      </c>
      <c r="M228" s="195">
        <f t="shared" si="26"/>
        <v>0.68517525178934557</v>
      </c>
      <c r="N228" s="195">
        <f t="shared" si="27"/>
        <v>0.1845345168440688</v>
      </c>
      <c r="O228" s="195">
        <f t="shared" si="28"/>
        <v>0.17116499999999998</v>
      </c>
      <c r="P228" s="195">
        <v>0.98499999999999999</v>
      </c>
      <c r="Q228" s="195">
        <v>0.98609999999999998</v>
      </c>
      <c r="R228" s="196">
        <v>0.99</v>
      </c>
      <c r="S228" s="197">
        <v>0.99790000000000001</v>
      </c>
      <c r="T228" s="198">
        <v>1.4999999999999999E-2</v>
      </c>
      <c r="U228" s="197">
        <v>0</v>
      </c>
      <c r="V228" s="198">
        <v>0</v>
      </c>
      <c r="W228" s="197">
        <v>0</v>
      </c>
      <c r="X228" s="199">
        <f t="shared" si="17"/>
        <v>-0.11712349128248312</v>
      </c>
    </row>
    <row r="229" spans="1:24">
      <c r="A229" s="189" t="s">
        <v>9</v>
      </c>
      <c r="B229" s="190" t="s">
        <v>63</v>
      </c>
      <c r="C229" s="190">
        <v>10</v>
      </c>
      <c r="D229" s="191">
        <v>12</v>
      </c>
      <c r="E229" s="192">
        <v>43769</v>
      </c>
      <c r="F229" s="24">
        <v>1518.5793775541777</v>
      </c>
      <c r="G229" s="24">
        <f>1212618/1000</f>
        <v>1212.6179999999999</v>
      </c>
      <c r="H229" s="193">
        <v>139.1</v>
      </c>
      <c r="I229" s="194">
        <v>123.07</v>
      </c>
      <c r="J229" s="193">
        <v>172.2</v>
      </c>
      <c r="K229" s="194">
        <v>151.9</v>
      </c>
      <c r="L229" s="195">
        <f t="shared" si="25"/>
        <v>0.74608253572960337</v>
      </c>
      <c r="M229" s="195">
        <f t="shared" si="26"/>
        <v>0.69864541543999337</v>
      </c>
      <c r="N229" s="195">
        <f t="shared" si="27"/>
        <v>0.20411013139169057</v>
      </c>
      <c r="O229" s="195">
        <f t="shared" si="28"/>
        <v>0.16298629032258063</v>
      </c>
      <c r="P229" s="195">
        <v>0.98499999999999999</v>
      </c>
      <c r="Q229" s="195">
        <v>0.95220000000000005</v>
      </c>
      <c r="R229" s="196">
        <v>0.99</v>
      </c>
      <c r="S229" s="197">
        <v>0.98880000000000001</v>
      </c>
      <c r="T229" s="198">
        <v>1.4999999999999999E-2</v>
      </c>
      <c r="U229" s="197">
        <v>0</v>
      </c>
      <c r="V229" s="198">
        <v>0</v>
      </c>
      <c r="W229" s="197">
        <v>0</v>
      </c>
      <c r="X229" s="199">
        <f t="shared" si="17"/>
        <v>-8.3592507123634752E-2</v>
      </c>
    </row>
    <row r="230" spans="1:24">
      <c r="A230" s="189" t="s">
        <v>9</v>
      </c>
      <c r="B230" s="190" t="s">
        <v>63</v>
      </c>
      <c r="C230" s="190">
        <v>10</v>
      </c>
      <c r="D230" s="191">
        <v>12</v>
      </c>
      <c r="E230" s="192">
        <v>43799</v>
      </c>
      <c r="F230" s="24">
        <v>1346.911103611611</v>
      </c>
      <c r="G230" s="24">
        <f>1074372/1000</f>
        <v>1074.3720000000001</v>
      </c>
      <c r="H230" s="193">
        <v>108.1</v>
      </c>
      <c r="I230" s="194">
        <v>91.2</v>
      </c>
      <c r="J230" s="193">
        <v>152.1</v>
      </c>
      <c r="K230" s="194">
        <v>128.69999999999999</v>
      </c>
      <c r="L230" s="195">
        <f t="shared" si="25"/>
        <v>0.74919046691586322</v>
      </c>
      <c r="M230" s="195">
        <f t="shared" si="26"/>
        <v>0.71961990861339165</v>
      </c>
      <c r="N230" s="195">
        <f t="shared" si="27"/>
        <v>0.18707098661272376</v>
      </c>
      <c r="O230" s="195">
        <f t="shared" si="28"/>
        <v>0.14921833333333334</v>
      </c>
      <c r="P230" s="195">
        <v>0.98499999999999999</v>
      </c>
      <c r="Q230" s="195">
        <v>0.9667</v>
      </c>
      <c r="R230" s="196">
        <v>0.99</v>
      </c>
      <c r="S230" s="197">
        <v>1</v>
      </c>
      <c r="T230" s="198">
        <v>1.4999999999999999E-2</v>
      </c>
      <c r="U230" s="197">
        <v>0</v>
      </c>
      <c r="V230" s="198">
        <v>0</v>
      </c>
      <c r="W230" s="197">
        <v>0</v>
      </c>
      <c r="X230" s="199">
        <f t="shared" si="17"/>
        <v>-4.849764069293927E-2</v>
      </c>
    </row>
    <row r="231" spans="1:24">
      <c r="A231" s="189" t="s">
        <v>9</v>
      </c>
      <c r="B231" s="190" t="s">
        <v>63</v>
      </c>
      <c r="C231" s="190">
        <v>10</v>
      </c>
      <c r="D231" s="191">
        <v>12</v>
      </c>
      <c r="E231" s="192">
        <v>43830</v>
      </c>
      <c r="F231" s="24">
        <v>1133.2388903001186</v>
      </c>
      <c r="G231" s="24">
        <f>812934/1000</f>
        <v>812.93399999999997</v>
      </c>
      <c r="H231" s="193">
        <v>89.9</v>
      </c>
      <c r="I231" s="194">
        <v>66.959999999999994</v>
      </c>
      <c r="J231" s="193">
        <v>129.6</v>
      </c>
      <c r="K231" s="194">
        <v>96.72</v>
      </c>
      <c r="L231" s="195">
        <f t="shared" si="25"/>
        <v>0.73977387817005513</v>
      </c>
      <c r="M231" s="195">
        <f t="shared" si="26"/>
        <v>0.71318474136168941</v>
      </c>
      <c r="N231" s="195">
        <f t="shared" si="27"/>
        <v>0.15231705514786539</v>
      </c>
      <c r="O231" s="195">
        <f t="shared" si="28"/>
        <v>0.10926532258064517</v>
      </c>
      <c r="P231" s="195">
        <v>0.98499999999999999</v>
      </c>
      <c r="Q231" s="195">
        <v>0.98209999999999997</v>
      </c>
      <c r="R231" s="196">
        <v>0.99</v>
      </c>
      <c r="S231" s="197">
        <v>0.99870000000000003</v>
      </c>
      <c r="T231" s="198">
        <v>1.4999999999999999E-2</v>
      </c>
      <c r="U231" s="197">
        <v>0</v>
      </c>
      <c r="V231" s="198">
        <v>0</v>
      </c>
      <c r="W231" s="197">
        <v>0</v>
      </c>
      <c r="X231" s="199">
        <f t="shared" si="17"/>
        <v>-2.8941811766817649E-2</v>
      </c>
    </row>
    <row r="232" spans="1:24">
      <c r="A232" s="189" t="s">
        <v>9</v>
      </c>
      <c r="B232" s="190" t="s">
        <v>63</v>
      </c>
      <c r="C232" s="190">
        <v>10</v>
      </c>
      <c r="D232" s="191">
        <v>12</v>
      </c>
      <c r="E232" s="192">
        <v>43861</v>
      </c>
      <c r="F232" s="24">
        <v>955.85419980463189</v>
      </c>
      <c r="G232" s="24">
        <f>814284/1000</f>
        <v>814.28399999999999</v>
      </c>
      <c r="H232" s="193">
        <v>79.599999999999994</v>
      </c>
      <c r="I232" s="194">
        <v>71.3</v>
      </c>
      <c r="J232" s="193">
        <v>103.2</v>
      </c>
      <c r="K232" s="194">
        <v>95.3</v>
      </c>
      <c r="L232" s="195">
        <f t="shared" si="25"/>
        <v>0.78360009296802802</v>
      </c>
      <c r="M232" s="195">
        <f t="shared" si="26"/>
        <v>0.77210548342016216</v>
      </c>
      <c r="N232" s="195">
        <f t="shared" si="27"/>
        <v>0.12847502685546125</v>
      </c>
      <c r="O232" s="195">
        <f t="shared" si="28"/>
        <v>0.10944677419354838</v>
      </c>
      <c r="P232" s="195">
        <v>0.98499999999999999</v>
      </c>
      <c r="Q232" s="195">
        <v>0.92220000000000002</v>
      </c>
      <c r="R232" s="196">
        <v>0.99</v>
      </c>
      <c r="S232" s="197">
        <v>0.98850000000000005</v>
      </c>
      <c r="T232" s="198">
        <v>1.4999999999999999E-2</v>
      </c>
      <c r="U232" s="197">
        <v>0</v>
      </c>
      <c r="V232" s="198">
        <v>0</v>
      </c>
      <c r="W232" s="197">
        <v>0</v>
      </c>
      <c r="X232" s="199">
        <f t="shared" si="17"/>
        <v>-7.1558183598966818E-2</v>
      </c>
    </row>
    <row r="233" spans="1:24">
      <c r="A233" s="189" t="s">
        <v>9</v>
      </c>
      <c r="B233" s="190" t="s">
        <v>63</v>
      </c>
      <c r="C233" s="190">
        <v>10</v>
      </c>
      <c r="D233" s="191">
        <v>12</v>
      </c>
      <c r="E233" s="192">
        <v>43890</v>
      </c>
      <c r="F233" s="24">
        <v>1251.1373279225975</v>
      </c>
      <c r="G233" s="24">
        <f>1286046/1000</f>
        <v>1286.046</v>
      </c>
      <c r="H233" s="193">
        <v>108.1</v>
      </c>
      <c r="I233" s="194">
        <v>110.78</v>
      </c>
      <c r="J233" s="193">
        <v>137.5</v>
      </c>
      <c r="K233" s="194">
        <v>144.13</v>
      </c>
      <c r="L233" s="195">
        <f t="shared" si="25"/>
        <v>0.76981223068610827</v>
      </c>
      <c r="M233" s="195">
        <f t="shared" si="26"/>
        <v>0.74722973207724308</v>
      </c>
      <c r="N233" s="195">
        <f t="shared" si="27"/>
        <v>0.17976111033370654</v>
      </c>
      <c r="O233" s="195">
        <f t="shared" si="28"/>
        <v>0.18477672413793106</v>
      </c>
      <c r="P233" s="195">
        <v>0.98499999999999999</v>
      </c>
      <c r="Q233" s="195">
        <v>0.99509999999999998</v>
      </c>
      <c r="R233" s="196">
        <v>0.99</v>
      </c>
      <c r="S233" s="197">
        <v>0.99439999999999995</v>
      </c>
      <c r="T233" s="198">
        <v>1.4999999999999999E-2</v>
      </c>
      <c r="U233" s="197">
        <v>0</v>
      </c>
      <c r="V233" s="198">
        <v>0</v>
      </c>
      <c r="W233" s="197">
        <v>0</v>
      </c>
      <c r="X233" s="199">
        <f t="shared" si="17"/>
        <v>-2.0316630726771701E-2</v>
      </c>
    </row>
    <row r="234" spans="1:24">
      <c r="A234" s="189" t="s">
        <v>9</v>
      </c>
      <c r="B234" s="190" t="s">
        <v>63</v>
      </c>
      <c r="C234" s="190">
        <v>10</v>
      </c>
      <c r="D234" s="191">
        <v>12</v>
      </c>
      <c r="E234" s="192">
        <v>43921</v>
      </c>
      <c r="F234" s="24">
        <v>1673.6193419990709</v>
      </c>
      <c r="G234" s="24">
        <f>1487526/1000</f>
        <v>1487.5260000000001</v>
      </c>
      <c r="H234" s="193">
        <v>161.4</v>
      </c>
      <c r="I234" s="194">
        <v>148.58000000000001</v>
      </c>
      <c r="J234" s="193">
        <v>187.8</v>
      </c>
      <c r="K234" s="194">
        <v>169.87</v>
      </c>
      <c r="L234" s="195">
        <f t="shared" si="25"/>
        <v>0.75395186854966445</v>
      </c>
      <c r="M234" s="195">
        <f t="shared" si="26"/>
        <v>0.76830642901921598</v>
      </c>
      <c r="N234" s="195">
        <f t="shared" si="27"/>
        <v>0.22494883629019768</v>
      </c>
      <c r="O234" s="195">
        <f t="shared" si="28"/>
        <v>0.19993629032258067</v>
      </c>
      <c r="P234" s="195">
        <v>0.98499999999999999</v>
      </c>
      <c r="Q234" s="195">
        <v>0.94979999999999998</v>
      </c>
      <c r="R234" s="196">
        <v>0.99</v>
      </c>
      <c r="S234" s="197">
        <v>0.98780000000000001</v>
      </c>
      <c r="T234" s="198">
        <v>1.4999999999999999E-2</v>
      </c>
      <c r="U234" s="197">
        <v>0</v>
      </c>
      <c r="V234" s="198">
        <v>0</v>
      </c>
      <c r="W234" s="197">
        <v>0</v>
      </c>
      <c r="X234" s="199">
        <f t="shared" si="17"/>
        <v>-1.5718247012525777E-2</v>
      </c>
    </row>
    <row r="235" spans="1:24">
      <c r="A235" s="189" t="s">
        <v>9</v>
      </c>
      <c r="B235" s="190" t="s">
        <v>63</v>
      </c>
      <c r="C235" s="190">
        <v>10</v>
      </c>
      <c r="D235" s="191">
        <v>12</v>
      </c>
      <c r="E235" s="192">
        <v>43951</v>
      </c>
      <c r="F235" s="24">
        <v>1729.0417137381353</v>
      </c>
      <c r="G235" s="24">
        <f>1526454/1000</f>
        <v>1526.454</v>
      </c>
      <c r="H235" s="193">
        <v>190.2</v>
      </c>
      <c r="I235" s="194">
        <v>171</v>
      </c>
      <c r="J235" s="193">
        <v>194</v>
      </c>
      <c r="K235" s="194">
        <v>176.1</v>
      </c>
      <c r="L235" s="195">
        <f t="shared" si="25"/>
        <v>0.75402590129351577</v>
      </c>
      <c r="M235" s="195">
        <f t="shared" si="26"/>
        <v>0.72750772391989937</v>
      </c>
      <c r="N235" s="195">
        <f t="shared" si="27"/>
        <v>0.24014468246362991</v>
      </c>
      <c r="O235" s="195">
        <f t="shared" si="28"/>
        <v>0.21200749999999999</v>
      </c>
      <c r="P235" s="195">
        <v>0.98499999999999999</v>
      </c>
      <c r="Q235" s="195">
        <v>0.9929</v>
      </c>
      <c r="R235" s="196">
        <v>0.99</v>
      </c>
      <c r="S235" s="197">
        <v>0.999</v>
      </c>
      <c r="T235" s="198">
        <v>1.4999999999999999E-2</v>
      </c>
      <c r="U235" s="197">
        <v>0</v>
      </c>
      <c r="V235" s="198">
        <v>0</v>
      </c>
      <c r="W235" s="197">
        <v>0</v>
      </c>
      <c r="X235" s="199">
        <f t="shared" si="17"/>
        <v>-2.4899585274422265E-2</v>
      </c>
    </row>
    <row r="236" spans="1:24">
      <c r="A236" s="189" t="s">
        <v>9</v>
      </c>
      <c r="B236" s="190" t="s">
        <v>63</v>
      </c>
      <c r="C236" s="190">
        <v>10</v>
      </c>
      <c r="D236" s="191">
        <v>12</v>
      </c>
      <c r="E236" s="192">
        <v>43982</v>
      </c>
      <c r="F236" s="24">
        <v>1751.7558005164403</v>
      </c>
      <c r="G236" s="24">
        <f>1541916/1000</f>
        <v>1541.9159999999999</v>
      </c>
      <c r="H236" s="193">
        <v>197</v>
      </c>
      <c r="I236" s="194">
        <v>188.48</v>
      </c>
      <c r="J236" s="193">
        <v>197.7</v>
      </c>
      <c r="K236" s="194">
        <v>187.24</v>
      </c>
      <c r="L236" s="195">
        <f t="shared" si="25"/>
        <v>0.74963424582206384</v>
      </c>
      <c r="M236" s="195">
        <f t="shared" si="26"/>
        <v>0.71873439114723359</v>
      </c>
      <c r="N236" s="195">
        <f t="shared" si="27"/>
        <v>0.2354510484565108</v>
      </c>
      <c r="O236" s="195">
        <f t="shared" si="28"/>
        <v>0.20724677419354837</v>
      </c>
      <c r="P236" s="195">
        <v>0.98499999999999999</v>
      </c>
      <c r="Q236" s="195">
        <v>0.95479999999999998</v>
      </c>
      <c r="R236" s="196">
        <v>0.99</v>
      </c>
      <c r="S236" s="197">
        <v>0.98860000000000003</v>
      </c>
      <c r="T236" s="198">
        <v>1.4999999999999999E-2</v>
      </c>
      <c r="U236" s="197">
        <v>0</v>
      </c>
      <c r="V236" s="198">
        <v>0</v>
      </c>
      <c r="W236" s="197">
        <v>0</v>
      </c>
      <c r="X236" s="199">
        <f t="shared" si="17"/>
        <v>-6.6879824975803914E-2</v>
      </c>
    </row>
    <row r="237" spans="1:24">
      <c r="A237" s="189" t="s">
        <v>9</v>
      </c>
      <c r="B237" s="190" t="s">
        <v>63</v>
      </c>
      <c r="C237" s="190">
        <v>10</v>
      </c>
      <c r="D237" s="191">
        <v>12</v>
      </c>
      <c r="E237" s="192">
        <v>44012</v>
      </c>
      <c r="F237" s="24">
        <v>1575.4944871167932</v>
      </c>
      <c r="G237" s="24">
        <f>1580802/1000</f>
        <v>1580.8019999999999</v>
      </c>
      <c r="H237" s="193">
        <v>178.9</v>
      </c>
      <c r="I237" s="194">
        <v>185.59</v>
      </c>
      <c r="J237" s="193">
        <v>177.2</v>
      </c>
      <c r="K237" s="194">
        <v>184.54</v>
      </c>
      <c r="L237" s="195">
        <f t="shared" si="25"/>
        <v>0.75220409563161184</v>
      </c>
      <c r="M237" s="195">
        <f t="shared" si="26"/>
        <v>0.72398371830092967</v>
      </c>
      <c r="N237" s="195">
        <f t="shared" si="27"/>
        <v>0.21881867876622127</v>
      </c>
      <c r="O237" s="195">
        <f t="shared" si="28"/>
        <v>0.21955583333333331</v>
      </c>
      <c r="P237" s="195">
        <v>0.98499999999999999</v>
      </c>
      <c r="Q237" s="195">
        <v>0.98599999999999999</v>
      </c>
      <c r="R237" s="196">
        <v>0.99</v>
      </c>
      <c r="S237" s="197">
        <v>0.99850000000000005</v>
      </c>
      <c r="T237" s="198">
        <v>1.4999999999999999E-2</v>
      </c>
      <c r="U237" s="197">
        <v>0</v>
      </c>
      <c r="V237" s="198">
        <v>0</v>
      </c>
      <c r="W237" s="197">
        <v>0</v>
      </c>
      <c r="X237" s="199">
        <f t="shared" si="17"/>
        <v>-3.8053330112625572E-2</v>
      </c>
    </row>
    <row r="238" spans="1:24">
      <c r="A238" s="189" t="s">
        <v>9</v>
      </c>
      <c r="B238" s="190" t="s">
        <v>63</v>
      </c>
      <c r="C238" s="190">
        <v>10</v>
      </c>
      <c r="D238" s="191">
        <v>12</v>
      </c>
      <c r="E238" s="192">
        <v>44043</v>
      </c>
      <c r="F238" s="24">
        <v>1397.4160467748818</v>
      </c>
      <c r="G238" s="24">
        <f>1306206/1000</f>
        <v>1306.2059999999999</v>
      </c>
      <c r="H238" s="193">
        <v>155.5</v>
      </c>
      <c r="I238" s="194">
        <v>154.16999999999999</v>
      </c>
      <c r="J238" s="193">
        <v>154.6</v>
      </c>
      <c r="K238" s="194">
        <v>153.65</v>
      </c>
      <c r="L238" s="195">
        <f t="shared" si="25"/>
        <v>0.76471350484459755</v>
      </c>
      <c r="M238" s="195">
        <f t="shared" si="26"/>
        <v>0.75630564765955743</v>
      </c>
      <c r="N238" s="195">
        <f t="shared" si="27"/>
        <v>0.18782473746974218</v>
      </c>
      <c r="O238" s="195">
        <f t="shared" si="28"/>
        <v>0.17556532258064517</v>
      </c>
      <c r="P238" s="195">
        <v>0.98499999999999999</v>
      </c>
      <c r="Q238" s="195">
        <v>0.93669999999999998</v>
      </c>
      <c r="R238" s="196">
        <v>0.99</v>
      </c>
      <c r="S238" s="197">
        <v>0.98960000000000004</v>
      </c>
      <c r="T238" s="198">
        <v>1.4999999999999999E-2</v>
      </c>
      <c r="U238" s="197">
        <v>0</v>
      </c>
      <c r="V238" s="198">
        <v>0</v>
      </c>
      <c r="W238" s="197">
        <v>0</v>
      </c>
      <c r="X238" s="199">
        <f t="shared" si="17"/>
        <v>-5.9125611888935281E-2</v>
      </c>
    </row>
    <row r="239" spans="1:24">
      <c r="A239" s="189" t="s">
        <v>9</v>
      </c>
      <c r="B239" s="190" t="s">
        <v>63</v>
      </c>
      <c r="C239" s="190">
        <v>10</v>
      </c>
      <c r="D239" s="191">
        <v>12</v>
      </c>
      <c r="E239" s="192">
        <v>44074</v>
      </c>
      <c r="F239" s="24">
        <v>1327.4566594977023</v>
      </c>
      <c r="G239" s="24">
        <v>1154.2380000000001</v>
      </c>
      <c r="H239" s="193">
        <v>145.4</v>
      </c>
      <c r="I239" s="194">
        <v>135.54</v>
      </c>
      <c r="J239" s="193">
        <v>146.30000000000001</v>
      </c>
      <c r="K239" s="194">
        <v>136.63</v>
      </c>
      <c r="L239" s="195">
        <f t="shared" si="25"/>
        <v>0.76764168120908061</v>
      </c>
      <c r="M239" s="195">
        <f t="shared" si="26"/>
        <v>0.75180749101073152</v>
      </c>
      <c r="N239" s="195">
        <f t="shared" si="27"/>
        <v>0.17842159401850838</v>
      </c>
      <c r="O239" s="195">
        <f t="shared" si="28"/>
        <v>0.15513951612903226</v>
      </c>
      <c r="P239" s="195">
        <v>0.98499999999999999</v>
      </c>
      <c r="Q239" s="195">
        <v>0.93640000000000001</v>
      </c>
      <c r="R239" s="196">
        <v>0.99</v>
      </c>
      <c r="S239" s="197">
        <v>0.99860000000000004</v>
      </c>
      <c r="T239" s="198">
        <v>1.4999999999999999E-2</v>
      </c>
      <c r="U239" s="197">
        <v>0</v>
      </c>
      <c r="V239" s="198">
        <v>0</v>
      </c>
      <c r="W239" s="197">
        <v>0</v>
      </c>
      <c r="X239" s="199">
        <f t="shared" si="17"/>
        <v>-6.439206531447661E-2</v>
      </c>
    </row>
    <row r="240" spans="1:24">
      <c r="A240" s="189" t="s">
        <v>9</v>
      </c>
      <c r="B240" s="190" t="s">
        <v>63</v>
      </c>
      <c r="C240" s="190">
        <v>10</v>
      </c>
      <c r="D240" s="191">
        <v>12</v>
      </c>
      <c r="E240" s="192">
        <v>44104</v>
      </c>
      <c r="F240" s="24">
        <v>1322.0052786709093</v>
      </c>
      <c r="G240" s="24">
        <f>1313370/1000</f>
        <v>1313.37</v>
      </c>
      <c r="H240" s="193">
        <v>141.6</v>
      </c>
      <c r="I240" s="194">
        <v>145.53</v>
      </c>
      <c r="J240" s="193">
        <v>145.5</v>
      </c>
      <c r="K240" s="194">
        <v>159.03</v>
      </c>
      <c r="L240" s="195">
        <f t="shared" si="25"/>
        <v>0.76869263387868969</v>
      </c>
      <c r="M240" s="195">
        <f t="shared" si="26"/>
        <v>0.69749589938561651</v>
      </c>
      <c r="N240" s="195">
        <f t="shared" si="27"/>
        <v>0.18361184425984853</v>
      </c>
      <c r="O240" s="195">
        <f t="shared" si="28"/>
        <v>0.18241249999999998</v>
      </c>
      <c r="P240" s="195">
        <v>0.98499999999999999</v>
      </c>
      <c r="Q240" s="195">
        <v>0.98670000000000002</v>
      </c>
      <c r="R240" s="196">
        <v>0.99</v>
      </c>
      <c r="S240" s="197">
        <v>0.99429999999999996</v>
      </c>
      <c r="T240" s="198">
        <v>1.4999999999999999E-2</v>
      </c>
      <c r="U240" s="197">
        <v>0</v>
      </c>
      <c r="V240" s="198">
        <v>0</v>
      </c>
      <c r="W240" s="197">
        <v>0</v>
      </c>
      <c r="X240" s="199">
        <f t="shared" si="17"/>
        <v>-9.9521645480249887E-2</v>
      </c>
    </row>
    <row r="241" spans="1:24">
      <c r="A241" s="189" t="s">
        <v>9</v>
      </c>
      <c r="B241" s="190" t="s">
        <v>63</v>
      </c>
      <c r="C241" s="190">
        <v>10</v>
      </c>
      <c r="D241" s="191">
        <v>12</v>
      </c>
      <c r="E241" s="192">
        <v>44135</v>
      </c>
      <c r="F241" s="24">
        <v>1510.9864806664073</v>
      </c>
      <c r="G241" s="24">
        <f>1423806/1000</f>
        <v>1423.806</v>
      </c>
      <c r="H241" s="193">
        <v>139.1</v>
      </c>
      <c r="I241" s="194">
        <v>135.99</v>
      </c>
      <c r="J241" s="193">
        <v>172.2</v>
      </c>
      <c r="K241" s="194">
        <v>172.93</v>
      </c>
      <c r="L241" s="195">
        <f t="shared" si="25"/>
        <v>0.74235212305095577</v>
      </c>
      <c r="M241" s="195">
        <f t="shared" si="26"/>
        <v>0.69137309626136145</v>
      </c>
      <c r="N241" s="195">
        <f t="shared" si="27"/>
        <v>0.20308958073473216</v>
      </c>
      <c r="O241" s="195">
        <f t="shared" si="28"/>
        <v>0.19137177419354839</v>
      </c>
      <c r="P241" s="195">
        <v>0.98499999999999999</v>
      </c>
      <c r="Q241" s="195">
        <v>0.99239999999999995</v>
      </c>
      <c r="R241" s="196">
        <v>0.99</v>
      </c>
      <c r="S241" s="197">
        <v>0.99970000000000003</v>
      </c>
      <c r="T241" s="198">
        <v>1.4999999999999999E-2</v>
      </c>
      <c r="U241" s="197">
        <v>0</v>
      </c>
      <c r="V241" s="198">
        <v>0</v>
      </c>
      <c r="W241" s="197">
        <v>0</v>
      </c>
      <c r="X241" s="199">
        <f t="shared" ref="X241:X330" si="29">(G241/F241-1)-(K241/J241-1)</f>
        <v>-6.1936980504345485E-2</v>
      </c>
    </row>
    <row r="242" spans="1:24">
      <c r="A242" s="189" t="s">
        <v>9</v>
      </c>
      <c r="B242" s="190" t="s">
        <v>63</v>
      </c>
      <c r="C242" s="190">
        <v>10</v>
      </c>
      <c r="D242" s="191">
        <v>12</v>
      </c>
      <c r="E242" s="192">
        <v>44165</v>
      </c>
      <c r="F242" s="24">
        <v>1340.1765480935533</v>
      </c>
      <c r="G242" s="24">
        <f>1100094/1000</f>
        <v>1100.0940000000001</v>
      </c>
      <c r="H242" s="193">
        <v>108.1</v>
      </c>
      <c r="I242" s="194">
        <v>100.85</v>
      </c>
      <c r="J242" s="193">
        <v>152.1</v>
      </c>
      <c r="K242" s="194">
        <v>141.36000000000001</v>
      </c>
      <c r="L242" s="195">
        <f t="shared" si="25"/>
        <v>0.74544451458128413</v>
      </c>
      <c r="M242" s="195">
        <f t="shared" si="26"/>
        <v>0.67850802292097345</v>
      </c>
      <c r="N242" s="195">
        <f t="shared" si="27"/>
        <v>0.18613563167966019</v>
      </c>
      <c r="O242" s="195">
        <f t="shared" si="28"/>
        <v>0.15279083333333335</v>
      </c>
      <c r="P242" s="195">
        <v>0.98499999999999999</v>
      </c>
      <c r="Q242" s="195">
        <v>0.95579999999999998</v>
      </c>
      <c r="R242" s="196">
        <v>0.99</v>
      </c>
      <c r="S242" s="197">
        <v>0.99629999999999996</v>
      </c>
      <c r="T242" s="198">
        <v>1.4999999999999999E-2</v>
      </c>
      <c r="U242" s="197">
        <v>0</v>
      </c>
      <c r="V242" s="198">
        <v>0</v>
      </c>
      <c r="W242" s="197">
        <v>0</v>
      </c>
      <c r="X242" s="199">
        <f t="shared" si="29"/>
        <v>-0.10853103838954248</v>
      </c>
    </row>
    <row r="243" spans="1:24">
      <c r="A243" s="189" t="s">
        <v>9</v>
      </c>
      <c r="B243" s="190" t="s">
        <v>63</v>
      </c>
      <c r="C243" s="190">
        <v>10</v>
      </c>
      <c r="D243" s="191">
        <v>12</v>
      </c>
      <c r="E243" s="192">
        <v>44196</v>
      </c>
      <c r="F243" s="24">
        <v>1127.572695848618</v>
      </c>
      <c r="G243" s="24">
        <f>980244/1000</f>
        <v>980.24400000000003</v>
      </c>
      <c r="H243" s="193">
        <v>89.9</v>
      </c>
      <c r="I243" s="194">
        <v>82.35</v>
      </c>
      <c r="J243" s="193">
        <v>129.6</v>
      </c>
      <c r="K243" s="194">
        <v>118.73</v>
      </c>
      <c r="L243" s="195">
        <f t="shared" si="25"/>
        <v>0.73607500877920484</v>
      </c>
      <c r="M243" s="195">
        <f t="shared" si="26"/>
        <v>0.69404458900239718</v>
      </c>
      <c r="N243" s="195">
        <f t="shared" si="27"/>
        <v>0.15155546987212606</v>
      </c>
      <c r="O243" s="195">
        <f t="shared" si="28"/>
        <v>0.1317532258064516</v>
      </c>
      <c r="P243" s="195">
        <v>0.98499999999999999</v>
      </c>
      <c r="Q243" s="195">
        <v>0.99129999999999996</v>
      </c>
      <c r="R243" s="196">
        <v>0.99</v>
      </c>
      <c r="S243" s="197">
        <v>0.99780000000000002</v>
      </c>
      <c r="T243" s="198">
        <v>1.4999999999999999E-2</v>
      </c>
      <c r="U243" s="197">
        <v>0</v>
      </c>
      <c r="V243" s="198">
        <v>0</v>
      </c>
      <c r="W243" s="197">
        <v>0</v>
      </c>
      <c r="X243" s="199">
        <f t="shared" si="29"/>
        <v>-4.6786585255092605E-2</v>
      </c>
    </row>
    <row r="244" spans="1:24">
      <c r="A244" s="189" t="s">
        <v>9</v>
      </c>
      <c r="B244" s="190" t="s">
        <v>63</v>
      </c>
      <c r="C244" s="190">
        <v>10</v>
      </c>
      <c r="D244" s="191">
        <v>12</v>
      </c>
      <c r="E244" s="192">
        <v>44227</v>
      </c>
      <c r="F244" s="24">
        <v>951.07492880560903</v>
      </c>
      <c r="G244" s="24">
        <v>768.04200000000003</v>
      </c>
      <c r="H244" s="193">
        <v>79.599999999999994</v>
      </c>
      <c r="I244" s="194">
        <v>70.179999999999993</v>
      </c>
      <c r="J244" s="193">
        <v>103.2</v>
      </c>
      <c r="K244" s="194">
        <v>90.98</v>
      </c>
      <c r="L244" s="195">
        <f t="shared" si="25"/>
        <v>0.77968209250318821</v>
      </c>
      <c r="M244" s="195">
        <f t="shared" si="26"/>
        <v>0.71880022271705413</v>
      </c>
      <c r="N244" s="195">
        <f t="shared" si="27"/>
        <v>0.12783265172118402</v>
      </c>
      <c r="O244" s="195">
        <f t="shared" si="28"/>
        <v>0.10323145161290323</v>
      </c>
      <c r="P244" s="195">
        <v>0.98499999999999999</v>
      </c>
      <c r="Q244" s="195">
        <v>0.97870000000000001</v>
      </c>
      <c r="R244" s="196">
        <v>0.99</v>
      </c>
      <c r="S244" s="197">
        <v>1</v>
      </c>
      <c r="T244" s="198">
        <v>1.4999999999999999E-2</v>
      </c>
      <c r="U244" s="197">
        <v>0</v>
      </c>
      <c r="V244" s="198">
        <v>0</v>
      </c>
      <c r="W244" s="197">
        <v>0</v>
      </c>
      <c r="X244" s="199">
        <f t="shared" si="29"/>
        <v>-7.4037631903557166E-2</v>
      </c>
    </row>
    <row r="245" spans="1:24">
      <c r="A245" s="189" t="s">
        <v>9</v>
      </c>
      <c r="B245" s="190" t="s">
        <v>63</v>
      </c>
      <c r="C245" s="190">
        <v>10</v>
      </c>
      <c r="D245" s="191">
        <v>12</v>
      </c>
      <c r="E245" s="192">
        <v>44255</v>
      </c>
      <c r="F245" s="24">
        <v>1244.8816412829847</v>
      </c>
      <c r="G245" s="24">
        <v>1098.576</v>
      </c>
      <c r="H245" s="193">
        <v>108.1</v>
      </c>
      <c r="I245" s="194">
        <v>105.23</v>
      </c>
      <c r="J245" s="193">
        <v>137.5</v>
      </c>
      <c r="K245" s="194">
        <v>139.1</v>
      </c>
      <c r="L245" s="195">
        <f t="shared" si="25"/>
        <v>0.76596316953267785</v>
      </c>
      <c r="M245" s="195">
        <f t="shared" si="26"/>
        <v>0.73283992903344886</v>
      </c>
      <c r="N245" s="195">
        <f t="shared" si="27"/>
        <v>0.18525024423853936</v>
      </c>
      <c r="O245" s="195">
        <f t="shared" si="28"/>
        <v>0.16347857142857142</v>
      </c>
      <c r="P245" s="195">
        <v>0.98499999999999999</v>
      </c>
      <c r="Q245" s="195">
        <v>0.89807500000000007</v>
      </c>
      <c r="R245" s="196">
        <v>0.99</v>
      </c>
      <c r="S245" s="197">
        <v>1</v>
      </c>
      <c r="T245" s="198">
        <v>1.4999999999999999E-2</v>
      </c>
      <c r="U245" s="197">
        <v>0</v>
      </c>
      <c r="V245" s="198">
        <v>0</v>
      </c>
      <c r="W245" s="197">
        <v>0</v>
      </c>
      <c r="X245" s="199">
        <f t="shared" si="29"/>
        <v>-0.12916210779642767</v>
      </c>
    </row>
    <row r="246" spans="1:24">
      <c r="A246" s="189" t="s">
        <v>9</v>
      </c>
      <c r="B246" s="190" t="s">
        <v>63</v>
      </c>
      <c r="C246" s="190">
        <v>10</v>
      </c>
      <c r="D246" s="191">
        <v>12</v>
      </c>
      <c r="E246" s="192">
        <v>44286</v>
      </c>
      <c r="F246" s="24">
        <v>1665.2512452890755</v>
      </c>
      <c r="G246" s="24">
        <v>1502.634</v>
      </c>
      <c r="H246" s="193">
        <v>161.4</v>
      </c>
      <c r="I246" s="194">
        <v>152.74999999999997</v>
      </c>
      <c r="J246" s="193">
        <v>187.8</v>
      </c>
      <c r="K246" s="194">
        <v>177.18000000000004</v>
      </c>
      <c r="L246" s="195">
        <f t="shared" si="25"/>
        <v>0.75018210920691597</v>
      </c>
      <c r="M246" s="195">
        <f t="shared" si="26"/>
        <v>0.71096979806949223</v>
      </c>
      <c r="N246" s="195">
        <f t="shared" si="27"/>
        <v>0.22382409210874671</v>
      </c>
      <c r="O246" s="195">
        <f t="shared" si="28"/>
        <v>0.20196693548387096</v>
      </c>
      <c r="P246" s="195">
        <v>0.98499999999999999</v>
      </c>
      <c r="Q246" s="195">
        <v>0.9940451612903225</v>
      </c>
      <c r="R246" s="196">
        <v>0.99</v>
      </c>
      <c r="S246" s="197">
        <v>1</v>
      </c>
      <c r="T246" s="198">
        <v>1.4999999999999999E-2</v>
      </c>
      <c r="U246" s="197">
        <v>0</v>
      </c>
      <c r="V246" s="198">
        <v>0</v>
      </c>
      <c r="W246" s="197">
        <v>0</v>
      </c>
      <c r="X246" s="199">
        <f t="shared" si="29"/>
        <v>-4.1103758730307582E-2</v>
      </c>
    </row>
    <row r="247" spans="1:24">
      <c r="A247" s="189" t="s">
        <v>9</v>
      </c>
      <c r="B247" s="190" t="s">
        <v>63</v>
      </c>
      <c r="C247" s="190">
        <v>10</v>
      </c>
      <c r="D247" s="191">
        <v>12</v>
      </c>
      <c r="E247" s="192">
        <v>44316</v>
      </c>
      <c r="F247" s="24">
        <v>1720.3965051694447</v>
      </c>
      <c r="G247" s="24">
        <v>1499.2380000000001</v>
      </c>
      <c r="H247" s="193">
        <v>190.2</v>
      </c>
      <c r="I247" s="194">
        <v>180.36999999999998</v>
      </c>
      <c r="J247" s="193">
        <v>194</v>
      </c>
      <c r="K247" s="194">
        <v>183.48999999999998</v>
      </c>
      <c r="L247" s="195">
        <f t="shared" si="25"/>
        <v>0.75025577178704839</v>
      </c>
      <c r="M247" s="195">
        <f t="shared" si="26"/>
        <v>0.69647249410248346</v>
      </c>
      <c r="N247" s="195">
        <f t="shared" si="27"/>
        <v>0.23894395905131177</v>
      </c>
      <c r="O247" s="195">
        <f t="shared" si="28"/>
        <v>0.20822750000000001</v>
      </c>
      <c r="P247" s="195">
        <v>0.98499999999999999</v>
      </c>
      <c r="Q247" s="195">
        <v>0.97762650000000006</v>
      </c>
      <c r="R247" s="196">
        <v>0.99</v>
      </c>
      <c r="S247" s="197">
        <v>0.98850000000000005</v>
      </c>
      <c r="T247" s="198">
        <v>1.4999999999999999E-2</v>
      </c>
      <c r="U247" s="197">
        <v>2.2750106564608009E-2</v>
      </c>
      <c r="V247" s="198">
        <v>0</v>
      </c>
      <c r="W247" s="197">
        <v>0</v>
      </c>
      <c r="X247" s="199">
        <f t="shared" si="29"/>
        <v>-7.4375634172847871E-2</v>
      </c>
    </row>
    <row r="248" spans="1:24">
      <c r="A248" s="189" t="s">
        <v>9</v>
      </c>
      <c r="B248" s="190" t="s">
        <v>63</v>
      </c>
      <c r="C248" s="190">
        <v>10</v>
      </c>
      <c r="D248" s="191">
        <v>12</v>
      </c>
      <c r="E248" s="192">
        <v>44347</v>
      </c>
      <c r="F248" s="24">
        <v>1742.997021513858</v>
      </c>
      <c r="G248" s="24">
        <v>1454.748</v>
      </c>
      <c r="H248" s="193">
        <v>197</v>
      </c>
      <c r="I248" s="194">
        <v>177.45000000000007</v>
      </c>
      <c r="J248" s="193">
        <v>197.7</v>
      </c>
      <c r="K248" s="194">
        <v>177.23</v>
      </c>
      <c r="L248" s="195">
        <f t="shared" si="25"/>
        <v>0.74588607459295364</v>
      </c>
      <c r="M248" s="195">
        <f t="shared" si="26"/>
        <v>0.71790592357158933</v>
      </c>
      <c r="N248" s="195">
        <f t="shared" si="27"/>
        <v>0.23427379321422825</v>
      </c>
      <c r="O248" s="195">
        <f t="shared" si="28"/>
        <v>0.19553064516129032</v>
      </c>
      <c r="P248" s="195">
        <v>0.98499999999999999</v>
      </c>
      <c r="Q248" s="195">
        <v>0.95279999999999998</v>
      </c>
      <c r="R248" s="196">
        <v>0.99</v>
      </c>
      <c r="S248" s="197">
        <v>1</v>
      </c>
      <c r="T248" s="198">
        <v>1.4999999999999999E-2</v>
      </c>
      <c r="U248" s="197">
        <v>2.0032155770618513E-2</v>
      </c>
      <c r="V248" s="198">
        <v>0</v>
      </c>
      <c r="W248" s="197">
        <v>0</v>
      </c>
      <c r="X248" s="199">
        <f t="shared" si="29"/>
        <v>-6.1834791827516167E-2</v>
      </c>
    </row>
    <row r="249" spans="1:24">
      <c r="A249" s="189" t="s">
        <v>9</v>
      </c>
      <c r="B249" s="190" t="s">
        <v>63</v>
      </c>
      <c r="C249" s="190">
        <v>10</v>
      </c>
      <c r="D249" s="191">
        <v>12</v>
      </c>
      <c r="E249" s="192">
        <v>44377</v>
      </c>
      <c r="F249" s="24">
        <v>1567.6170146812092</v>
      </c>
      <c r="G249" s="24">
        <v>1537.89</v>
      </c>
      <c r="H249" s="193">
        <v>178.9</v>
      </c>
      <c r="I249" s="194">
        <v>183.81</v>
      </c>
      <c r="J249" s="193">
        <v>177.2</v>
      </c>
      <c r="K249" s="194">
        <v>180.86</v>
      </c>
      <c r="L249" s="195">
        <f t="shared" si="25"/>
        <v>0.74844307515345376</v>
      </c>
      <c r="M249" s="195">
        <f t="shared" si="26"/>
        <v>0.71611983327984852</v>
      </c>
      <c r="N249" s="195">
        <f t="shared" si="27"/>
        <v>0.2177245853723902</v>
      </c>
      <c r="O249" s="195">
        <f t="shared" si="28"/>
        <v>0.21359583333333335</v>
      </c>
      <c r="P249" s="195">
        <v>0.98499999999999999</v>
      </c>
      <c r="Q249" s="195">
        <v>0.98950000000000005</v>
      </c>
      <c r="R249" s="196">
        <v>0.99</v>
      </c>
      <c r="S249" s="197">
        <v>1</v>
      </c>
      <c r="T249" s="198">
        <v>1.4999999999999999E-2</v>
      </c>
      <c r="U249" s="197">
        <v>1.7999999999999999E-2</v>
      </c>
      <c r="V249" s="198">
        <v>0</v>
      </c>
      <c r="W249" s="197">
        <v>0</v>
      </c>
      <c r="X249" s="199">
        <f t="shared" si="29"/>
        <v>-3.961781459527447E-2</v>
      </c>
    </row>
    <row r="250" spans="1:24">
      <c r="A250" s="189" t="s">
        <v>9</v>
      </c>
      <c r="B250" s="190" t="s">
        <v>63</v>
      </c>
      <c r="C250" s="190">
        <v>10</v>
      </c>
      <c r="D250" s="191">
        <v>12</v>
      </c>
      <c r="E250" s="192">
        <v>44408</v>
      </c>
      <c r="F250" s="24">
        <v>1390.4289665410074</v>
      </c>
      <c r="G250" s="24">
        <v>1216.6859999999999</v>
      </c>
      <c r="H250" s="193">
        <v>155.5</v>
      </c>
      <c r="I250" s="194">
        <v>145.43</v>
      </c>
      <c r="J250" s="193">
        <v>154.6</v>
      </c>
      <c r="K250" s="194">
        <v>143.36000000000001</v>
      </c>
      <c r="L250" s="195">
        <f t="shared" si="25"/>
        <v>0.76088993732037447</v>
      </c>
      <c r="M250" s="195">
        <f t="shared" si="26"/>
        <v>0.72682369358420573</v>
      </c>
      <c r="N250" s="195">
        <f t="shared" si="27"/>
        <v>0.18688561378239346</v>
      </c>
      <c r="O250" s="195">
        <f t="shared" si="28"/>
        <v>0.16353306451612901</v>
      </c>
      <c r="P250" s="195">
        <v>0.98499999999999999</v>
      </c>
      <c r="Q250" s="195">
        <v>0.97306129032258082</v>
      </c>
      <c r="R250" s="196">
        <v>0.99</v>
      </c>
      <c r="S250" s="197">
        <v>1</v>
      </c>
      <c r="T250" s="198">
        <v>1.4999999999999999E-2</v>
      </c>
      <c r="U250" s="197">
        <v>7.6E-3</v>
      </c>
      <c r="V250" s="198">
        <v>0</v>
      </c>
      <c r="W250" s="197">
        <v>0</v>
      </c>
      <c r="X250" s="199">
        <f t="shared" si="29"/>
        <v>-5.2252625675055953E-2</v>
      </c>
    </row>
    <row r="251" spans="1:24">
      <c r="A251" s="189" t="s">
        <v>9</v>
      </c>
      <c r="B251" s="190" t="s">
        <v>63</v>
      </c>
      <c r="C251" s="190">
        <v>10</v>
      </c>
      <c r="D251" s="191">
        <v>12</v>
      </c>
      <c r="E251" s="192">
        <v>44439</v>
      </c>
      <c r="F251" s="24">
        <v>1320.8193762002138</v>
      </c>
      <c r="G251" s="24">
        <v>1241.646</v>
      </c>
      <c r="H251" s="193">
        <v>145.4</v>
      </c>
      <c r="I251" s="194">
        <v>141.26999999999995</v>
      </c>
      <c r="J251" s="193">
        <v>146.30000000000001</v>
      </c>
      <c r="K251" s="194">
        <v>142.29999999999998</v>
      </c>
      <c r="L251" s="195">
        <f t="shared" si="25"/>
        <v>0.76380347280303529</v>
      </c>
      <c r="M251" s="195">
        <f t="shared" si="26"/>
        <v>0.74356447784211888</v>
      </c>
      <c r="N251" s="195">
        <f t="shared" si="27"/>
        <v>0.17752948604841584</v>
      </c>
      <c r="O251" s="195">
        <f t="shared" si="28"/>
        <v>0.16688790322580643</v>
      </c>
      <c r="P251" s="195">
        <v>0.98499999999999999</v>
      </c>
      <c r="Q251" s="195">
        <v>0.97789677419354848</v>
      </c>
      <c r="R251" s="196">
        <v>0.99</v>
      </c>
      <c r="S251" s="197">
        <v>1</v>
      </c>
      <c r="T251" s="198">
        <v>1.4999999999999999E-2</v>
      </c>
      <c r="U251" s="197">
        <v>3.3E-3</v>
      </c>
      <c r="V251" s="198">
        <v>0</v>
      </c>
      <c r="W251" s="197">
        <v>0</v>
      </c>
      <c r="X251" s="199">
        <f t="shared" si="29"/>
        <v>-3.2601541726291927E-2</v>
      </c>
    </row>
    <row r="252" spans="1:24">
      <c r="A252" s="189" t="s">
        <v>9</v>
      </c>
      <c r="B252" s="190" t="s">
        <v>63</v>
      </c>
      <c r="C252" s="190">
        <v>10</v>
      </c>
      <c r="D252" s="191">
        <v>12</v>
      </c>
      <c r="E252" s="192">
        <v>44469</v>
      </c>
      <c r="F252" s="24">
        <v>1315.3952522775546</v>
      </c>
      <c r="G252" s="24">
        <v>1178.3219999999999</v>
      </c>
      <c r="H252" s="193">
        <v>141.6</v>
      </c>
      <c r="I252" s="194">
        <v>129.91</v>
      </c>
      <c r="J252" s="193">
        <v>145.5</v>
      </c>
      <c r="K252" s="194">
        <v>139.51</v>
      </c>
      <c r="L252" s="195">
        <f t="shared" si="25"/>
        <v>0.76484917070929626</v>
      </c>
      <c r="M252" s="195">
        <f t="shared" si="26"/>
        <v>0.7116807451621967</v>
      </c>
      <c r="N252" s="195">
        <f t="shared" si="27"/>
        <v>0.18269378503854924</v>
      </c>
      <c r="O252" s="195">
        <f t="shared" si="28"/>
        <v>0.16365583333333331</v>
      </c>
      <c r="P252" s="195">
        <v>0.98499999999999999</v>
      </c>
      <c r="Q252" s="195">
        <v>0.98899064960000005</v>
      </c>
      <c r="R252" s="196">
        <v>0.99</v>
      </c>
      <c r="S252" s="197">
        <v>0.99761</v>
      </c>
      <c r="T252" s="198">
        <v>1.4999999999999999E-2</v>
      </c>
      <c r="U252" s="197">
        <v>5.0000000000000001E-3</v>
      </c>
      <c r="V252" s="198">
        <v>0</v>
      </c>
      <c r="W252" s="197">
        <v>0</v>
      </c>
      <c r="X252" s="199">
        <f t="shared" si="29"/>
        <v>-6.3038508098045454E-2</v>
      </c>
    </row>
    <row r="253" spans="1:24">
      <c r="A253" s="189" t="s">
        <v>9</v>
      </c>
      <c r="B253" s="190" t="s">
        <v>63</v>
      </c>
      <c r="C253" s="190">
        <v>10</v>
      </c>
      <c r="D253" s="191">
        <v>12</v>
      </c>
      <c r="E253" s="192">
        <v>44500</v>
      </c>
      <c r="F253" s="24">
        <v>1503.431548263075</v>
      </c>
      <c r="G253" s="24">
        <v>1357.086</v>
      </c>
      <c r="H253" s="193">
        <v>139.1</v>
      </c>
      <c r="I253" s="194">
        <v>127.04000000000002</v>
      </c>
      <c r="J253" s="193">
        <v>172.2</v>
      </c>
      <c r="K253" s="194">
        <v>159.08000000000004</v>
      </c>
      <c r="L253" s="195">
        <f t="shared" si="25"/>
        <v>0.73864036243570075</v>
      </c>
      <c r="M253" s="195">
        <f t="shared" si="26"/>
        <v>0.72333405349427393</v>
      </c>
      <c r="N253" s="195">
        <f t="shared" si="27"/>
        <v>0.20207413283105846</v>
      </c>
      <c r="O253" s="195">
        <f t="shared" si="28"/>
        <v>0.18240403225806451</v>
      </c>
      <c r="P253" s="195">
        <v>0.98499999999999999</v>
      </c>
      <c r="Q253" s="195">
        <v>0.98281467</v>
      </c>
      <c r="R253" s="196">
        <v>0.99</v>
      </c>
      <c r="S253" s="197">
        <v>0.99907096774193549</v>
      </c>
      <c r="T253" s="198">
        <v>1.4999999999999999E-2</v>
      </c>
      <c r="U253" s="197">
        <v>2.0500000000000001E-2</v>
      </c>
      <c r="V253" s="198">
        <v>0</v>
      </c>
      <c r="W253" s="197">
        <v>0</v>
      </c>
      <c r="X253" s="199">
        <f t="shared" si="29"/>
        <v>-2.1150535731316644E-2</v>
      </c>
    </row>
    <row r="254" spans="1:24">
      <c r="A254" s="189" t="s">
        <v>9</v>
      </c>
      <c r="B254" s="190" t="s">
        <v>63</v>
      </c>
      <c r="C254" s="190">
        <v>10</v>
      </c>
      <c r="D254" s="191">
        <v>12</v>
      </c>
      <c r="E254" s="192">
        <v>44530</v>
      </c>
      <c r="F254" s="24">
        <v>1333.4756653530853</v>
      </c>
      <c r="G254" s="24">
        <v>1247.31</v>
      </c>
      <c r="H254" s="193">
        <v>108.1</v>
      </c>
      <c r="I254" s="194">
        <v>103.76999999999998</v>
      </c>
      <c r="J254" s="193">
        <v>152.1</v>
      </c>
      <c r="K254" s="194">
        <v>148.66</v>
      </c>
      <c r="L254" s="195">
        <f t="shared" si="25"/>
        <v>0.74171729200837766</v>
      </c>
      <c r="M254" s="195">
        <f t="shared" si="26"/>
        <v>0.6992987161055203</v>
      </c>
      <c r="N254" s="195">
        <f t="shared" si="27"/>
        <v>0.18520495352126184</v>
      </c>
      <c r="O254" s="195">
        <f t="shared" si="28"/>
        <v>0.17323749999999999</v>
      </c>
      <c r="P254" s="195">
        <v>0.98499999999999999</v>
      </c>
      <c r="Q254" s="195">
        <v>0.99985333333333337</v>
      </c>
      <c r="R254" s="196">
        <v>0.99</v>
      </c>
      <c r="S254" s="197">
        <v>1</v>
      </c>
      <c r="T254" s="198">
        <v>1.4999999999999999E-2</v>
      </c>
      <c r="U254" s="197">
        <v>2.2311641744843663E-2</v>
      </c>
      <c r="V254" s="198">
        <v>0</v>
      </c>
      <c r="W254" s="197">
        <v>0</v>
      </c>
      <c r="X254" s="199">
        <f t="shared" si="29"/>
        <v>-4.2000651636459718E-2</v>
      </c>
    </row>
    <row r="255" spans="1:24">
      <c r="A255" s="189" t="s">
        <v>9</v>
      </c>
      <c r="B255" s="190" t="s">
        <v>63</v>
      </c>
      <c r="C255" s="190">
        <v>10</v>
      </c>
      <c r="D255" s="191">
        <v>12</v>
      </c>
      <c r="E255" s="192">
        <v>44561</v>
      </c>
      <c r="F255" s="24">
        <v>1121.9348323693748</v>
      </c>
      <c r="G255" s="24">
        <v>1041.654</v>
      </c>
      <c r="H255" s="193">
        <v>89.9</v>
      </c>
      <c r="I255" s="194">
        <v>84.149999999999977</v>
      </c>
      <c r="J255" s="193">
        <v>129.6</v>
      </c>
      <c r="K255" s="194">
        <v>121.52999999999999</v>
      </c>
      <c r="L255" s="195">
        <f t="shared" si="25"/>
        <v>0.73239463373530878</v>
      </c>
      <c r="M255" s="195">
        <f t="shared" si="26"/>
        <v>0.71983923875182576</v>
      </c>
      <c r="N255" s="195">
        <f t="shared" si="27"/>
        <v>0.15079769252276543</v>
      </c>
      <c r="O255" s="195">
        <f t="shared" si="28"/>
        <v>0.14000725806451614</v>
      </c>
      <c r="P255" s="195">
        <v>0.98499999999999999</v>
      </c>
      <c r="Q255" s="195">
        <v>0.99225483870967746</v>
      </c>
      <c r="R255" s="196">
        <v>0.99</v>
      </c>
      <c r="S255" s="197">
        <v>1</v>
      </c>
      <c r="T255" s="198">
        <v>1.4999999999999999E-2</v>
      </c>
      <c r="U255" s="197">
        <v>1.72E-2</v>
      </c>
      <c r="V255" s="198">
        <v>0</v>
      </c>
      <c r="W255" s="197">
        <v>0</v>
      </c>
      <c r="X255" s="199">
        <f t="shared" si="29"/>
        <v>-9.2871815570665373E-3</v>
      </c>
    </row>
    <row r="256" spans="1:24">
      <c r="A256" s="189" t="s">
        <v>9</v>
      </c>
      <c r="B256" s="190" t="s">
        <v>63</v>
      </c>
      <c r="C256" s="190">
        <v>10</v>
      </c>
      <c r="D256" s="191">
        <v>12</v>
      </c>
      <c r="E256" s="192">
        <v>44592</v>
      </c>
      <c r="F256" s="24">
        <v>946.31955416158098</v>
      </c>
      <c r="G256" s="24">
        <v>655.71600000000001</v>
      </c>
      <c r="H256" s="193">
        <v>79.599999999999994</v>
      </c>
      <c r="I256" s="194">
        <v>58.210000000000022</v>
      </c>
      <c r="J256" s="193">
        <v>103.2</v>
      </c>
      <c r="K256" s="194">
        <v>72.67</v>
      </c>
      <c r="L256" s="195">
        <f t="shared" si="25"/>
        <v>0.77578368204067227</v>
      </c>
      <c r="M256" s="195">
        <f t="shared" si="26"/>
        <v>0.76649683746235586</v>
      </c>
      <c r="N256" s="195">
        <f t="shared" si="27"/>
        <v>0.12719348846257808</v>
      </c>
      <c r="O256" s="195">
        <f t="shared" si="28"/>
        <v>8.8133870967741931E-2</v>
      </c>
      <c r="P256" s="195">
        <v>0.98499999999999999</v>
      </c>
      <c r="Q256" s="195">
        <v>0.98099999999999998</v>
      </c>
      <c r="R256" s="196">
        <v>0.99</v>
      </c>
      <c r="S256" s="197">
        <v>1</v>
      </c>
      <c r="T256" s="198">
        <v>1.4999999999999999E-2</v>
      </c>
      <c r="U256" s="197">
        <v>0</v>
      </c>
      <c r="V256" s="198">
        <v>0</v>
      </c>
      <c r="W256" s="197">
        <v>0</v>
      </c>
      <c r="X256" s="199">
        <f t="shared" si="29"/>
        <v>-1.1254851501914631E-2</v>
      </c>
    </row>
    <row r="257" spans="1:24">
      <c r="A257" s="189" t="s">
        <v>9</v>
      </c>
      <c r="B257" s="190" t="s">
        <v>63</v>
      </c>
      <c r="C257" s="190">
        <v>10</v>
      </c>
      <c r="D257" s="191">
        <v>12</v>
      </c>
      <c r="E257" s="192">
        <v>44620</v>
      </c>
      <c r="F257" s="24">
        <v>1238.6572330765698</v>
      </c>
      <c r="G257" s="24">
        <v>1238.586</v>
      </c>
      <c r="H257" s="193">
        <v>108.1</v>
      </c>
      <c r="I257" s="194">
        <v>108.97</v>
      </c>
      <c r="J257" s="193">
        <v>137.5</v>
      </c>
      <c r="K257" s="194">
        <v>141.71999999999997</v>
      </c>
      <c r="L257" s="195">
        <f t="shared" si="25"/>
        <v>0.76213335368501445</v>
      </c>
      <c r="M257" s="195">
        <f t="shared" si="26"/>
        <v>0.73565011095590072</v>
      </c>
      <c r="N257" s="195">
        <f t="shared" si="27"/>
        <v>0.1843239930173467</v>
      </c>
      <c r="O257" s="195">
        <f t="shared" si="28"/>
        <v>0.18431339285714288</v>
      </c>
      <c r="P257" s="195">
        <v>0.98499999999999999</v>
      </c>
      <c r="Q257" s="195">
        <v>0.99001658999999997</v>
      </c>
      <c r="R257" s="196">
        <v>0.99</v>
      </c>
      <c r="S257" s="197">
        <v>0.99790000000000001</v>
      </c>
      <c r="T257" s="198">
        <v>1.4999999999999999E-2</v>
      </c>
      <c r="U257" s="197">
        <v>1.12E-2</v>
      </c>
      <c r="V257" s="198">
        <v>0</v>
      </c>
      <c r="W257" s="197">
        <v>0</v>
      </c>
      <c r="X257" s="199">
        <f t="shared" si="29"/>
        <v>-3.0748417394794392E-2</v>
      </c>
    </row>
    <row r="258" spans="1:24">
      <c r="A258" s="189" t="s">
        <v>9</v>
      </c>
      <c r="B258" s="190" t="s">
        <v>63</v>
      </c>
      <c r="C258" s="190">
        <v>10</v>
      </c>
      <c r="D258" s="191">
        <v>12</v>
      </c>
      <c r="E258" s="192">
        <v>44651</v>
      </c>
      <c r="F258" s="24">
        <v>1656.9249890626304</v>
      </c>
      <c r="G258" s="24">
        <f>[1]Database!$I$424/1000</f>
        <v>1540.152</v>
      </c>
      <c r="H258" s="193">
        <v>161.4</v>
      </c>
      <c r="I258" s="194">
        <v>162.41999999999999</v>
      </c>
      <c r="J258" s="193">
        <v>187.8</v>
      </c>
      <c r="K258" s="194">
        <v>188.44</v>
      </c>
      <c r="L258" s="195">
        <f t="shared" si="25"/>
        <v>0.7464311986608817</v>
      </c>
      <c r="M258" s="195">
        <f t="shared" si="26"/>
        <v>0.70397667342966075</v>
      </c>
      <c r="N258" s="195">
        <f t="shared" si="27"/>
        <v>0.22270497164820302</v>
      </c>
      <c r="O258" s="195">
        <f t="shared" si="28"/>
        <v>0.20700967741935483</v>
      </c>
      <c r="P258" s="195">
        <v>0.98499999999999999</v>
      </c>
      <c r="Q258" s="195">
        <f>'[2]UTT '!$II$7</f>
        <v>0.96750000000000003</v>
      </c>
      <c r="R258" s="196">
        <v>0.99</v>
      </c>
      <c r="S258" s="197">
        <v>1</v>
      </c>
      <c r="T258" s="198">
        <v>1.4999999999999999E-2</v>
      </c>
      <c r="U258" s="197">
        <v>1.6566912139116548E-2</v>
      </c>
      <c r="V258" s="198">
        <v>0</v>
      </c>
      <c r="W258" s="197">
        <v>0</v>
      </c>
      <c r="X258" s="199">
        <f t="shared" si="29"/>
        <v>-7.3883605234004279E-2</v>
      </c>
    </row>
    <row r="259" spans="1:24">
      <c r="A259" s="189" t="s">
        <v>9</v>
      </c>
      <c r="B259" s="190" t="s">
        <v>63</v>
      </c>
      <c r="C259" s="190">
        <v>10</v>
      </c>
      <c r="D259" s="191">
        <v>12</v>
      </c>
      <c r="E259" s="192">
        <v>44681</v>
      </c>
      <c r="F259" s="24">
        <v>1711.7945226435975</v>
      </c>
      <c r="G259" s="24">
        <v>1480.566</v>
      </c>
      <c r="H259" s="193">
        <v>190.2</v>
      </c>
      <c r="I259" s="194">
        <v>174.14000000000001</v>
      </c>
      <c r="J259" s="193">
        <v>194</v>
      </c>
      <c r="K259" s="194">
        <v>182.27000000000004</v>
      </c>
      <c r="L259" s="195">
        <f t="shared" si="25"/>
        <v>0.74650449292811305</v>
      </c>
      <c r="M259" s="195">
        <f t="shared" si="26"/>
        <v>0.67881129872811574</v>
      </c>
      <c r="N259" s="195">
        <f t="shared" si="27"/>
        <v>0.23774923925605523</v>
      </c>
      <c r="O259" s="195">
        <f t="shared" si="28"/>
        <v>0.20563416666666665</v>
      </c>
      <c r="P259" s="195">
        <v>0.98499999999999999</v>
      </c>
      <c r="Q259" s="195">
        <v>0.99719999999999998</v>
      </c>
      <c r="R259" s="196">
        <v>0.99</v>
      </c>
      <c r="S259" s="197">
        <v>1</v>
      </c>
      <c r="T259" s="198">
        <v>1.4999999999999999E-2</v>
      </c>
      <c r="U259" s="197">
        <v>2.3300000000000001E-2</v>
      </c>
      <c r="V259" s="198">
        <v>0</v>
      </c>
      <c r="W259" s="197">
        <v>0</v>
      </c>
      <c r="X259" s="199">
        <f t="shared" si="29"/>
        <v>-7.4615684368560364E-2</v>
      </c>
    </row>
    <row r="260" spans="1:24">
      <c r="A260" s="189" t="s">
        <v>9</v>
      </c>
      <c r="B260" s="190" t="s">
        <v>63</v>
      </c>
      <c r="C260" s="190">
        <v>10</v>
      </c>
      <c r="D260" s="191">
        <v>12</v>
      </c>
      <c r="E260" s="192">
        <v>44712</v>
      </c>
      <c r="F260" s="24">
        <v>1734.2820364062889</v>
      </c>
      <c r="G260" s="24">
        <v>1527.9359999999999</v>
      </c>
      <c r="H260" s="193">
        <v>197</v>
      </c>
      <c r="I260" s="194">
        <v>187.18</v>
      </c>
      <c r="J260" s="193">
        <v>197.7</v>
      </c>
      <c r="K260" s="194">
        <v>186.75000000000006</v>
      </c>
      <c r="L260" s="195">
        <f t="shared" si="25"/>
        <v>0.74215664421998873</v>
      </c>
      <c r="M260" s="195">
        <f t="shared" si="26"/>
        <v>0.70754870214368659</v>
      </c>
      <c r="N260" s="195">
        <f t="shared" si="27"/>
        <v>0.23310242424815711</v>
      </c>
      <c r="O260" s="195">
        <f t="shared" si="28"/>
        <v>0.20536774193548385</v>
      </c>
      <c r="P260" s="195">
        <v>0.98499999999999999</v>
      </c>
      <c r="Q260" s="195">
        <v>0.96362258064516115</v>
      </c>
      <c r="R260" s="196">
        <v>0.99</v>
      </c>
      <c r="S260" s="197">
        <v>1</v>
      </c>
      <c r="T260" s="198">
        <v>1.4999999999999999E-2</v>
      </c>
      <c r="U260" s="197">
        <v>8.3999999999999995E-3</v>
      </c>
      <c r="V260" s="198">
        <v>0</v>
      </c>
      <c r="W260" s="197">
        <v>0</v>
      </c>
      <c r="X260" s="199">
        <f t="shared" si="29"/>
        <v>-6.3593718776029151E-2</v>
      </c>
    </row>
    <row r="261" spans="1:24">
      <c r="A261" s="189" t="s">
        <v>9</v>
      </c>
      <c r="B261" s="190" t="s">
        <v>63</v>
      </c>
      <c r="C261" s="190">
        <v>10</v>
      </c>
      <c r="D261" s="191">
        <v>12</v>
      </c>
      <c r="E261" s="192">
        <v>44742</v>
      </c>
      <c r="F261" s="24">
        <v>1559.7789296078031</v>
      </c>
      <c r="G261" s="24">
        <v>1386.5160000000001</v>
      </c>
      <c r="H261" s="193">
        <v>178.9</v>
      </c>
      <c r="I261" s="194">
        <v>171.11999999999995</v>
      </c>
      <c r="J261" s="193">
        <v>177.2</v>
      </c>
      <c r="K261" s="194">
        <v>170.06999999999996</v>
      </c>
      <c r="L261" s="195">
        <f t="shared" si="25"/>
        <v>0.7447008597776863</v>
      </c>
      <c r="M261" s="195">
        <f t="shared" si="26"/>
        <v>0.68380837510437131</v>
      </c>
      <c r="N261" s="195">
        <f t="shared" si="27"/>
        <v>0.21663596244552821</v>
      </c>
      <c r="O261" s="195">
        <f t="shared" si="28"/>
        <v>0.19257166666666667</v>
      </c>
      <c r="P261" s="195">
        <v>0.98499999999999999</v>
      </c>
      <c r="Q261" s="195">
        <v>0.99353120533333339</v>
      </c>
      <c r="R261" s="196">
        <v>0.99</v>
      </c>
      <c r="S261" s="197">
        <v>0.99919999999999998</v>
      </c>
      <c r="T261" s="198">
        <v>1.4999999999999999E-2</v>
      </c>
      <c r="U261" s="197">
        <v>1.23E-2</v>
      </c>
      <c r="V261" s="198">
        <v>0</v>
      </c>
      <c r="W261" s="197">
        <v>0</v>
      </c>
      <c r="X261" s="199">
        <f t="shared" si="29"/>
        <v>-7.0844701791456854E-2</v>
      </c>
    </row>
    <row r="262" spans="1:24">
      <c r="A262" s="189" t="s">
        <v>9</v>
      </c>
      <c r="B262" s="190" t="s">
        <v>63</v>
      </c>
      <c r="C262" s="190">
        <v>10</v>
      </c>
      <c r="D262" s="191">
        <v>12</v>
      </c>
      <c r="E262" s="192">
        <v>44773</v>
      </c>
      <c r="F262" s="24">
        <v>1383.4768217083022</v>
      </c>
      <c r="G262" s="24">
        <v>1321.2360000000001</v>
      </c>
      <c r="H262" s="193">
        <v>155.5</v>
      </c>
      <c r="I262" s="194">
        <v>154.21999999999994</v>
      </c>
      <c r="J262" s="193">
        <v>154.6</v>
      </c>
      <c r="K262" s="194">
        <v>152.39999999999998</v>
      </c>
      <c r="L262" s="195">
        <f t="shared" si="25"/>
        <v>0.75708548763377248</v>
      </c>
      <c r="M262" s="195">
        <f t="shared" si="26"/>
        <v>0.73430183925820114</v>
      </c>
      <c r="N262" s="195">
        <f t="shared" si="27"/>
        <v>0.18595118571348146</v>
      </c>
      <c r="O262" s="195">
        <f t="shared" si="28"/>
        <v>0.17758548387096776</v>
      </c>
      <c r="P262" s="195">
        <v>0.98499999999999999</v>
      </c>
      <c r="Q262" s="195">
        <v>0.98387419354838712</v>
      </c>
      <c r="R262" s="196">
        <v>0.99</v>
      </c>
      <c r="S262" s="197">
        <v>1</v>
      </c>
      <c r="T262" s="198">
        <v>1.4999999999999999E-2</v>
      </c>
      <c r="U262" s="197">
        <v>6.1999999999999998E-3</v>
      </c>
      <c r="V262" s="198">
        <v>0</v>
      </c>
      <c r="W262" s="197">
        <v>0</v>
      </c>
      <c r="X262" s="199">
        <f t="shared" si="29"/>
        <v>-3.0758426899648805E-2</v>
      </c>
    </row>
    <row r="263" spans="1:24">
      <c r="A263" s="189" t="s">
        <v>9</v>
      </c>
      <c r="B263" s="190" t="s">
        <v>63</v>
      </c>
      <c r="C263" s="190">
        <v>10</v>
      </c>
      <c r="D263" s="191">
        <v>12</v>
      </c>
      <c r="E263" s="192">
        <v>44804</v>
      </c>
      <c r="F263" s="24">
        <v>1314.2152793192129</v>
      </c>
      <c r="G263" s="24">
        <v>1371.03</v>
      </c>
      <c r="H263" s="193">
        <v>145.4</v>
      </c>
      <c r="I263" s="194">
        <v>161.01</v>
      </c>
      <c r="J263" s="193">
        <v>146.30000000000001</v>
      </c>
      <c r="K263" s="194">
        <v>161.92999999999995</v>
      </c>
      <c r="L263" s="195">
        <f t="shared" si="25"/>
        <v>0.75998445543902016</v>
      </c>
      <c r="M263" s="195">
        <f t="shared" si="26"/>
        <v>0.71864186596531177</v>
      </c>
      <c r="N263" s="195">
        <f t="shared" si="27"/>
        <v>0.17664183861817379</v>
      </c>
      <c r="O263" s="195">
        <f t="shared" si="28"/>
        <v>0.18427822580645162</v>
      </c>
      <c r="P263" s="195">
        <v>0.98499999999999999</v>
      </c>
      <c r="Q263" s="195">
        <v>0.98180645161290336</v>
      </c>
      <c r="R263" s="196">
        <v>0.99</v>
      </c>
      <c r="S263" s="197">
        <v>1</v>
      </c>
      <c r="T263" s="198">
        <v>1.4999999999999999E-2</v>
      </c>
      <c r="U263" s="197">
        <v>1.2800000000000001E-2</v>
      </c>
      <c r="V263" s="198">
        <v>0</v>
      </c>
      <c r="W263" s="197">
        <v>0</v>
      </c>
      <c r="X263" s="199">
        <f t="shared" si="29"/>
        <v>-6.3604361347650684E-2</v>
      </c>
    </row>
    <row r="264" spans="1:24">
      <c r="A264" s="189" t="s">
        <v>9</v>
      </c>
      <c r="B264" s="190" t="s">
        <v>63</v>
      </c>
      <c r="C264" s="190">
        <v>10</v>
      </c>
      <c r="D264" s="191">
        <v>12</v>
      </c>
      <c r="E264" s="192">
        <v>44834</v>
      </c>
      <c r="F264" s="24">
        <v>1308.8182760161669</v>
      </c>
      <c r="G264" s="24">
        <v>1140.9960000000001</v>
      </c>
      <c r="H264" s="193">
        <v>141.6</v>
      </c>
      <c r="I264" s="194">
        <v>129.53000000000003</v>
      </c>
      <c r="J264" s="193">
        <v>145.5</v>
      </c>
      <c r="K264" s="194">
        <v>135.13000000000002</v>
      </c>
      <c r="L264" s="195">
        <f t="shared" si="25"/>
        <v>0.7610249248557498</v>
      </c>
      <c r="M264" s="195">
        <f t="shared" si="26"/>
        <v>0.71082500978791396</v>
      </c>
      <c r="N264" s="195">
        <f t="shared" si="27"/>
        <v>0.18178031611335652</v>
      </c>
      <c r="O264" s="195">
        <f t="shared" si="28"/>
        <v>0.15847166666666668</v>
      </c>
      <c r="P264" s="195">
        <v>0.98499999999999999</v>
      </c>
      <c r="Q264" s="195">
        <v>0.98989333333333329</v>
      </c>
      <c r="R264" s="196">
        <v>0.99</v>
      </c>
      <c r="S264" s="197">
        <v>1</v>
      </c>
      <c r="T264" s="198">
        <v>1.4999999999999999E-2</v>
      </c>
      <c r="U264" s="197">
        <v>0.01</v>
      </c>
      <c r="V264" s="198">
        <v>0</v>
      </c>
      <c r="W264" s="197">
        <v>0</v>
      </c>
      <c r="X264" s="199">
        <f t="shared" si="29"/>
        <v>-5.6952798457814757E-2</v>
      </c>
    </row>
    <row r="265" spans="1:24">
      <c r="A265" s="189" t="s">
        <v>9</v>
      </c>
      <c r="B265" s="190" t="s">
        <v>63</v>
      </c>
      <c r="C265" s="190">
        <v>10</v>
      </c>
      <c r="D265" s="191">
        <v>12</v>
      </c>
      <c r="E265" s="192">
        <v>44865</v>
      </c>
      <c r="F265" s="24">
        <v>1495.9143905217597</v>
      </c>
      <c r="G265" s="24">
        <v>1349.136</v>
      </c>
      <c r="H265" s="193">
        <v>139.1</v>
      </c>
      <c r="I265" s="194">
        <v>131.32999999999998</v>
      </c>
      <c r="J265" s="193">
        <v>172.2</v>
      </c>
      <c r="K265" s="194">
        <v>160.63999999999996</v>
      </c>
      <c r="L265" s="195">
        <f t="shared" si="25"/>
        <v>0.73494716062352239</v>
      </c>
      <c r="M265" s="195">
        <f t="shared" si="26"/>
        <v>0.70354756238194893</v>
      </c>
      <c r="N265" s="195">
        <f t="shared" si="27"/>
        <v>0.20106376216690319</v>
      </c>
      <c r="O265" s="195">
        <f t="shared" si="28"/>
        <v>0.18133548387096773</v>
      </c>
      <c r="P265" s="195">
        <v>0.98499999999999999</v>
      </c>
      <c r="Q265" s="195">
        <v>0.99478064516129039</v>
      </c>
      <c r="R265" s="196">
        <v>0.99</v>
      </c>
      <c r="S265" s="197">
        <v>1</v>
      </c>
      <c r="T265" s="198">
        <v>1.4999999999999999E-2</v>
      </c>
      <c r="U265" s="197">
        <v>1.62942153754051E-2</v>
      </c>
      <c r="V265" s="198">
        <v>0</v>
      </c>
      <c r="W265" s="197">
        <v>0</v>
      </c>
      <c r="X265" s="199">
        <f t="shared" si="29"/>
        <v>-3.098826961329082E-2</v>
      </c>
    </row>
    <row r="266" spans="1:24">
      <c r="A266" s="189" t="s">
        <v>9</v>
      </c>
      <c r="B266" s="190" t="s">
        <v>63</v>
      </c>
      <c r="C266" s="190">
        <v>10</v>
      </c>
      <c r="D266" s="191">
        <v>12</v>
      </c>
      <c r="E266" s="192">
        <v>44895</v>
      </c>
      <c r="F266" s="24">
        <v>1326.8082870263199</v>
      </c>
      <c r="G266" s="24">
        <v>1109.94</v>
      </c>
      <c r="H266" s="193">
        <v>108.1</v>
      </c>
      <c r="I266" s="194">
        <v>98.27</v>
      </c>
      <c r="J266" s="193">
        <v>152.1</v>
      </c>
      <c r="K266" s="194">
        <v>134.56</v>
      </c>
      <c r="L266" s="195">
        <f t="shared" si="25"/>
        <v>0.73800870554833575</v>
      </c>
      <c r="M266" s="195">
        <f t="shared" si="26"/>
        <v>0.68918039459073965</v>
      </c>
      <c r="N266" s="195">
        <f t="shared" si="27"/>
        <v>0.18427892875365554</v>
      </c>
      <c r="O266" s="195">
        <f t="shared" si="28"/>
        <v>0.15415833333333334</v>
      </c>
      <c r="P266" s="195">
        <v>0.98499999999999999</v>
      </c>
      <c r="Q266" s="195">
        <v>0.99740000000000006</v>
      </c>
      <c r="R266" s="196">
        <v>0.99</v>
      </c>
      <c r="S266" s="197">
        <v>1</v>
      </c>
      <c r="T266" s="198">
        <v>1.4999999999999999E-2</v>
      </c>
      <c r="U266" s="197">
        <v>2.4899999999999999E-2</v>
      </c>
      <c r="V266" s="198">
        <v>0</v>
      </c>
      <c r="W266" s="197">
        <v>0</v>
      </c>
      <c r="X266" s="199">
        <f t="shared" si="29"/>
        <v>-4.8132240650074154E-2</v>
      </c>
    </row>
    <row r="267" spans="1:24">
      <c r="A267" s="189" t="s">
        <v>9</v>
      </c>
      <c r="B267" s="190" t="s">
        <v>63</v>
      </c>
      <c r="C267" s="190">
        <v>10</v>
      </c>
      <c r="D267" s="191">
        <v>12</v>
      </c>
      <c r="E267" s="192">
        <v>44926</v>
      </c>
      <c r="F267" s="24">
        <v>1116.3251582075279</v>
      </c>
      <c r="G267" s="24">
        <v>989.55</v>
      </c>
      <c r="H267" s="193">
        <v>89.9</v>
      </c>
      <c r="I267" s="194">
        <v>81.760000000000005</v>
      </c>
      <c r="J267" s="193">
        <v>129.6</v>
      </c>
      <c r="K267" s="194">
        <v>117.48</v>
      </c>
      <c r="L267" s="195">
        <f t="shared" si="25"/>
        <v>0.72873266056663222</v>
      </c>
      <c r="M267" s="195">
        <f t="shared" si="26"/>
        <v>0.70310284992408045</v>
      </c>
      <c r="N267" s="195">
        <f t="shared" si="27"/>
        <v>0.15004370406015161</v>
      </c>
      <c r="O267" s="195">
        <f t="shared" si="28"/>
        <v>0.13300403225806451</v>
      </c>
      <c r="P267" s="195">
        <v>0.98499999999999999</v>
      </c>
      <c r="Q267" s="195">
        <v>0.99832903225806446</v>
      </c>
      <c r="R267" s="196">
        <v>0.99</v>
      </c>
      <c r="S267" s="197">
        <v>1</v>
      </c>
      <c r="T267" s="198">
        <v>1.4999999999999999E-2</v>
      </c>
      <c r="U267" s="197">
        <v>1.9599999999999999E-2</v>
      </c>
      <c r="V267" s="198">
        <v>0</v>
      </c>
      <c r="W267" s="197">
        <v>0</v>
      </c>
      <c r="X267" s="199">
        <f t="shared" si="29"/>
        <v>-2.0046205231942893E-2</v>
      </c>
    </row>
    <row r="268" spans="1:24">
      <c r="A268" s="189" t="s">
        <v>9</v>
      </c>
      <c r="B268" s="190" t="s">
        <v>63</v>
      </c>
      <c r="C268" s="190">
        <v>10</v>
      </c>
      <c r="D268" s="191">
        <v>12</v>
      </c>
      <c r="E268" s="192">
        <v>44957</v>
      </c>
      <c r="F268" s="24">
        <v>941.58795639077312</v>
      </c>
      <c r="G268" s="24">
        <v>758.68799999999999</v>
      </c>
      <c r="H268" s="193">
        <v>79.599999999999994</v>
      </c>
      <c r="I268" s="194">
        <v>68.47999999999999</v>
      </c>
      <c r="J268" s="193">
        <v>103.2</v>
      </c>
      <c r="K268" s="194">
        <v>87.960000000000022</v>
      </c>
      <c r="L268" s="195">
        <f t="shared" si="25"/>
        <v>0.77190476363046889</v>
      </c>
      <c r="M268" s="195">
        <f t="shared" si="26"/>
        <v>0.72643697256379813</v>
      </c>
      <c r="N268" s="195">
        <f t="shared" si="27"/>
        <v>0.12655752102026521</v>
      </c>
      <c r="O268" s="195">
        <f t="shared" si="28"/>
        <v>0.10197419354838708</v>
      </c>
      <c r="P268" s="195">
        <v>0.98499999999999999</v>
      </c>
      <c r="Q268" s="195">
        <v>0.98946129032258057</v>
      </c>
      <c r="R268" s="196">
        <v>0.99</v>
      </c>
      <c r="S268" s="197">
        <v>1</v>
      </c>
      <c r="T268" s="198">
        <v>1.4999999999999999E-2</v>
      </c>
      <c r="U268" s="197">
        <v>1.0999999999999999E-2</v>
      </c>
      <c r="V268" s="198">
        <v>0</v>
      </c>
      <c r="W268" s="197">
        <v>0</v>
      </c>
      <c r="X268" s="199">
        <f t="shared" si="29"/>
        <v>-4.6571859875643051E-2</v>
      </c>
    </row>
    <row r="269" spans="1:24">
      <c r="A269" s="189" t="s">
        <v>9</v>
      </c>
      <c r="B269" s="190" t="s">
        <v>63</v>
      </c>
      <c r="C269" s="190">
        <v>10</v>
      </c>
      <c r="D269" s="191">
        <v>12</v>
      </c>
      <c r="E269" s="192">
        <f>EOMONTH(E268,1)</f>
        <v>44985</v>
      </c>
      <c r="F269" s="24">
        <v>1232.4639469111869</v>
      </c>
      <c r="G269" s="24">
        <v>1197.33</v>
      </c>
      <c r="H269" s="193">
        <v>108.1</v>
      </c>
      <c r="I269" s="194">
        <v>113.65</v>
      </c>
      <c r="J269" s="193">
        <v>137.5</v>
      </c>
      <c r="K269" s="194">
        <v>148.83999999999997</v>
      </c>
      <c r="L269" s="195">
        <f t="shared" si="25"/>
        <v>0.75832268691658933</v>
      </c>
      <c r="M269" s="195">
        <f t="shared" si="26"/>
        <v>0.69271000995199628</v>
      </c>
      <c r="N269" s="195">
        <f t="shared" si="27"/>
        <v>0.18340237305225995</v>
      </c>
      <c r="O269" s="195">
        <f t="shared" si="28"/>
        <v>0.17817410714285714</v>
      </c>
      <c r="P269" s="195">
        <v>0.98499999999999999</v>
      </c>
      <c r="Q269" s="195">
        <v>0.96774624172193879</v>
      </c>
      <c r="R269" s="196">
        <v>0.99</v>
      </c>
      <c r="S269" s="197">
        <v>0.99800357142857143</v>
      </c>
      <c r="T269" s="198">
        <v>1.4999999999999999E-2</v>
      </c>
      <c r="U269" s="197">
        <v>1.6899999999999998E-2</v>
      </c>
      <c r="V269" s="198">
        <v>0</v>
      </c>
      <c r="W269" s="197">
        <v>0</v>
      </c>
      <c r="X269" s="199">
        <f t="shared" si="29"/>
        <v>-0.11097980612013669</v>
      </c>
    </row>
    <row r="270" spans="1:24">
      <c r="A270" s="189" t="s">
        <v>9</v>
      </c>
      <c r="B270" s="190" t="s">
        <v>63</v>
      </c>
      <c r="C270" s="190">
        <v>10</v>
      </c>
      <c r="D270" s="191">
        <v>12</v>
      </c>
      <c r="E270" s="192">
        <f>EOMONTH(E269,1)</f>
        <v>45016</v>
      </c>
      <c r="F270" s="24">
        <f>UTT!B592</f>
        <v>45016</v>
      </c>
      <c r="G270" s="24">
        <f>UTT!C592</f>
        <v>1648.6403641173172</v>
      </c>
      <c r="H270" s="24">
        <f>UTT!D592</f>
        <v>1406.19</v>
      </c>
      <c r="I270" s="24">
        <f>UTT!E592</f>
        <v>161.4</v>
      </c>
      <c r="J270" s="24">
        <f>UTT!F592</f>
        <v>149.16000000000003</v>
      </c>
      <c r="K270" s="24">
        <f>UTT!G592</f>
        <v>187.8</v>
      </c>
      <c r="L270" s="195">
        <f>F270/D270/J270/P270</f>
        <v>133.06450164924266</v>
      </c>
      <c r="M270" s="195">
        <f>G270/D270/K270/Q270</f>
        <v>0.74269904266757725</v>
      </c>
      <c r="N270" s="195">
        <f>F270/24/DAY(E270)/C270</f>
        <v>6.0505376344086024</v>
      </c>
      <c r="O270" s="195">
        <f>G270/24/DAY(E270)/C270</f>
        <v>0.22159144678996201</v>
      </c>
      <c r="P270" s="195">
        <f>UTT!L592</f>
        <v>0.18900403225806453</v>
      </c>
      <c r="Q270" s="195">
        <f>UTT!M592</f>
        <v>0.98499999999999999</v>
      </c>
      <c r="R270" s="195">
        <f>UTT!N592</f>
        <v>0.98802903225806449</v>
      </c>
      <c r="S270" s="195">
        <f>UTT!O592</f>
        <v>0.99</v>
      </c>
      <c r="T270" s="198">
        <v>1.4999999999999999E-2</v>
      </c>
      <c r="U270" s="195">
        <f>UTT!U592</f>
        <v>1.0000000000000009E-2</v>
      </c>
      <c r="V270" s="198">
        <v>0</v>
      </c>
      <c r="W270" s="197">
        <v>0</v>
      </c>
      <c r="X270" s="199">
        <f>(G270/F270-1)-(K270/J270-1)</f>
        <v>-1.2224272529578144</v>
      </c>
    </row>
    <row r="271" spans="1:24">
      <c r="A271" s="189" t="s">
        <v>9</v>
      </c>
      <c r="B271" s="190" t="s">
        <v>63</v>
      </c>
      <c r="C271" s="200">
        <v>10</v>
      </c>
      <c r="D271" s="201">
        <v>12</v>
      </c>
      <c r="E271" s="192">
        <f t="shared" ref="E271:E283" si="30">E174</f>
        <v>45046</v>
      </c>
      <c r="F271" s="24">
        <f>UTT!B593</f>
        <v>45046</v>
      </c>
      <c r="G271" s="24">
        <f>UTT!C593</f>
        <v>1703.2355500303795</v>
      </c>
      <c r="H271" s="24">
        <f>UTT!D593</f>
        <v>1519.1759999999999</v>
      </c>
      <c r="I271" s="24">
        <f>UTT!E593</f>
        <v>190.2</v>
      </c>
      <c r="J271" s="24">
        <f>UTT!F593</f>
        <v>182.11</v>
      </c>
      <c r="K271" s="24">
        <f>UTT!G593</f>
        <v>194</v>
      </c>
      <c r="L271" s="195">
        <f>F271/D271/J271/P271</f>
        <v>97.693483953231279</v>
      </c>
      <c r="M271" s="195">
        <f>G271/D271/K271/Q271</f>
        <v>0.74277197046347254</v>
      </c>
      <c r="N271" s="195">
        <f>F271/24/DAY(E271)/C271</f>
        <v>6.256388888888889</v>
      </c>
      <c r="O271" s="195">
        <f>G271/24/DAY(E271)/C271</f>
        <v>0.23656049305977495</v>
      </c>
      <c r="P271" s="195">
        <f>UTT!L593</f>
        <v>0.21099666666666667</v>
      </c>
      <c r="Q271" s="195">
        <f>UTT!M593</f>
        <v>0.98499999999999999</v>
      </c>
      <c r="R271" s="195">
        <f>UTT!N593</f>
        <v>0.97827333333333333</v>
      </c>
      <c r="S271" s="195">
        <f>UTT!O593</f>
        <v>0.99</v>
      </c>
      <c r="T271" s="198">
        <v>1.4999999999999999E-2</v>
      </c>
      <c r="U271" s="195">
        <f>UTT!U593</f>
        <v>1.0000000000000009E-2</v>
      </c>
      <c r="V271" s="198">
        <v>0</v>
      </c>
      <c r="W271" s="197">
        <v>0</v>
      </c>
      <c r="X271" s="199">
        <f>(G271/F271-1)-(K271/J271-1)</f>
        <v>-1.0274791815973221</v>
      </c>
    </row>
    <row r="272" spans="1:24">
      <c r="A272" s="189" t="s">
        <v>9</v>
      </c>
      <c r="B272" s="190" t="s">
        <v>63</v>
      </c>
      <c r="C272" s="200">
        <v>10</v>
      </c>
      <c r="D272" s="201">
        <v>12</v>
      </c>
      <c r="E272" s="192">
        <f t="shared" si="30"/>
        <v>45077</v>
      </c>
      <c r="F272" s="24">
        <f>UTT!B594</f>
        <v>45077</v>
      </c>
      <c r="G272" s="24">
        <f>UTT!C594</f>
        <v>1725.6106262242574</v>
      </c>
      <c r="H272" s="24">
        <f>UTT!D594</f>
        <v>1482.63</v>
      </c>
      <c r="I272" s="24">
        <f>UTT!E594</f>
        <v>197</v>
      </c>
      <c r="J272" s="24">
        <f>UTT!F594</f>
        <v>190.73</v>
      </c>
      <c r="K272" s="24">
        <f>UTT!G594</f>
        <v>197.7</v>
      </c>
      <c r="L272" s="195">
        <f t="shared" ref="L272:L291" si="31">F272/D272/J272/P272</f>
        <v>98.831389668562153</v>
      </c>
      <c r="M272" s="195">
        <f t="shared" ref="M272:M291" si="32">G272/D272/K272/Q272</f>
        <v>0.73844586099888898</v>
      </c>
      <c r="N272" s="195">
        <f t="shared" ref="N272:N291" si="33">F272/24/DAY(E272)/C272</f>
        <v>6.0587365591397848</v>
      </c>
      <c r="O272" s="195">
        <f t="shared" ref="O272:O291" si="34">G272/24/DAY(E272)/C272</f>
        <v>0.23193691212691631</v>
      </c>
      <c r="P272" s="195">
        <f>UTT!L594</f>
        <v>0.19927822580645163</v>
      </c>
      <c r="Q272" s="195">
        <f>UTT!M594</f>
        <v>0.98499999999999999</v>
      </c>
      <c r="R272" s="195">
        <f>UTT!N594</f>
        <v>0.93898865937565068</v>
      </c>
      <c r="S272" s="195">
        <f>UTT!O594</f>
        <v>0.99</v>
      </c>
      <c r="T272" s="198">
        <v>1.4999999999999999E-2</v>
      </c>
      <c r="U272" s="195">
        <f>UTT!U594</f>
        <v>3.9645161290322584E-3</v>
      </c>
      <c r="V272" s="198">
        <v>0</v>
      </c>
      <c r="W272" s="197">
        <v>0</v>
      </c>
      <c r="X272" s="199">
        <f t="shared" ref="X272:X291" si="35">(G272/F272-1)-(K272/J272-1)</f>
        <v>-0.9982624063016593</v>
      </c>
    </row>
    <row r="273" spans="1:24">
      <c r="A273" s="189" t="s">
        <v>9</v>
      </c>
      <c r="B273" s="190" t="s">
        <v>63</v>
      </c>
      <c r="C273" s="200">
        <v>10</v>
      </c>
      <c r="D273" s="201">
        <v>12</v>
      </c>
      <c r="E273" s="192">
        <f t="shared" si="30"/>
        <v>45107</v>
      </c>
      <c r="F273" s="24">
        <f>UTT!B595</f>
        <v>45107</v>
      </c>
      <c r="G273" s="24">
        <f>UTT!C595</f>
        <v>1551.980034959764</v>
      </c>
      <c r="H273" s="24">
        <f>UTT!D595</f>
        <v>1392.72</v>
      </c>
      <c r="I273" s="24">
        <f>UTT!E595</f>
        <v>178.9</v>
      </c>
      <c r="J273" s="24">
        <f>UTT!F595</f>
        <v>169.89000000000001</v>
      </c>
      <c r="K273" s="24">
        <f>UTT!G595</f>
        <v>177.2</v>
      </c>
      <c r="L273" s="195">
        <f t="shared" si="31"/>
        <v>114.38354852006243</v>
      </c>
      <c r="M273" s="195">
        <f t="shared" si="32"/>
        <v>0.74097735547879795</v>
      </c>
      <c r="N273" s="195">
        <f t="shared" si="33"/>
        <v>6.2648611111111112</v>
      </c>
      <c r="O273" s="195">
        <f t="shared" si="34"/>
        <v>0.21555278263330058</v>
      </c>
      <c r="P273" s="195">
        <f>UTT!L595</f>
        <v>0.19343333333333335</v>
      </c>
      <c r="Q273" s="195">
        <f>UTT!M595</f>
        <v>0.98499999999999999</v>
      </c>
      <c r="R273" s="195">
        <f>UTT!N595</f>
        <v>0.99033333333333351</v>
      </c>
      <c r="S273" s="195">
        <f>UTT!O595</f>
        <v>0.99</v>
      </c>
      <c r="T273" s="198">
        <v>1.4999999999999999E-2</v>
      </c>
      <c r="U273" s="195">
        <f>UTT!U595</f>
        <v>1.0000000000000009E-2</v>
      </c>
      <c r="V273" s="198">
        <v>0</v>
      </c>
      <c r="W273" s="197">
        <v>0</v>
      </c>
      <c r="X273" s="199">
        <f t="shared" si="35"/>
        <v>-1.0086212076526766</v>
      </c>
    </row>
    <row r="274" spans="1:24">
      <c r="A274" s="189" t="s">
        <v>9</v>
      </c>
      <c r="B274" s="190" t="s">
        <v>63</v>
      </c>
      <c r="C274" s="200">
        <v>10</v>
      </c>
      <c r="D274" s="201">
        <v>12</v>
      </c>
      <c r="E274" s="192">
        <f t="shared" si="30"/>
        <v>45137</v>
      </c>
      <c r="F274" s="24">
        <f>UTT!B596</f>
        <v>45138</v>
      </c>
      <c r="G274" s="24">
        <f>UTT!C596</f>
        <v>1376.5594375997607</v>
      </c>
      <c r="H274" s="24">
        <f>UTT!D596</f>
        <v>1056.1079999999986</v>
      </c>
      <c r="I274" s="24">
        <f>UTT!E596</f>
        <v>155.5</v>
      </c>
      <c r="J274" s="24">
        <f>UTT!F596</f>
        <v>138.42000000000002</v>
      </c>
      <c r="K274" s="24">
        <f>UTT!G596</f>
        <v>154.6</v>
      </c>
      <c r="L274" s="195">
        <f t="shared" si="31"/>
        <v>191.43741635268967</v>
      </c>
      <c r="M274" s="195">
        <f t="shared" si="32"/>
        <v>0.75330006019560369</v>
      </c>
      <c r="N274" s="195">
        <f t="shared" si="33"/>
        <v>6.269166666666667</v>
      </c>
      <c r="O274" s="195">
        <f t="shared" si="34"/>
        <v>0.19118881077774455</v>
      </c>
      <c r="P274" s="195">
        <f>UTT!L596</f>
        <v>0.14194999999999983</v>
      </c>
      <c r="Q274" s="195">
        <f>UTT!M596</f>
        <v>0.98499999999999999</v>
      </c>
      <c r="R274" s="195">
        <f>UTT!N596</f>
        <v>0.93580645161290343</v>
      </c>
      <c r="S274" s="195">
        <f>UTT!O596</f>
        <v>0.99</v>
      </c>
      <c r="T274" s="198">
        <v>1.4999999999999999E-2</v>
      </c>
      <c r="U274" s="195">
        <f>UTT!U596</f>
        <v>1.0000000000000009E-2</v>
      </c>
      <c r="V274" s="198">
        <v>0</v>
      </c>
      <c r="W274" s="197">
        <v>0</v>
      </c>
      <c r="X274" s="199">
        <f t="shared" si="35"/>
        <v>-1.0863939361900328</v>
      </c>
    </row>
    <row r="275" spans="1:24">
      <c r="A275" s="189" t="s">
        <v>9</v>
      </c>
      <c r="B275" s="190" t="s">
        <v>63</v>
      </c>
      <c r="C275" s="200">
        <v>10</v>
      </c>
      <c r="D275" s="201">
        <v>12</v>
      </c>
      <c r="E275" s="192">
        <f t="shared" si="30"/>
        <v>45169</v>
      </c>
      <c r="F275" s="24">
        <f>UTT!B597</f>
        <v>45169</v>
      </c>
      <c r="G275" s="24">
        <f>UTT!C597</f>
        <v>1307.6442029226166</v>
      </c>
      <c r="H275" s="24">
        <f>UTT!D597</f>
        <v>1114.5540000000001</v>
      </c>
      <c r="I275" s="24">
        <f>UTT!E597</f>
        <v>145.4</v>
      </c>
      <c r="J275" s="24">
        <f>UTT!F597</f>
        <v>132.81</v>
      </c>
      <c r="K275" s="24">
        <f>UTT!G597</f>
        <v>146.30000000000001</v>
      </c>
      <c r="L275" s="195">
        <f t="shared" si="31"/>
        <v>189.19091331159436</v>
      </c>
      <c r="M275" s="195">
        <f t="shared" si="32"/>
        <v>0.75618453316182499</v>
      </c>
      <c r="N275" s="195">
        <f t="shared" si="33"/>
        <v>6.0711021505376346</v>
      </c>
      <c r="O275" s="195">
        <f t="shared" si="34"/>
        <v>0.17575862942508286</v>
      </c>
      <c r="P275" s="195">
        <f>UTT!L597</f>
        <v>0.14980564516129033</v>
      </c>
      <c r="Q275" s="195">
        <f>UTT!M597</f>
        <v>0.98499999999999999</v>
      </c>
      <c r="R275" s="195">
        <f>UTT!N597</f>
        <v>0.98202258064516135</v>
      </c>
      <c r="S275" s="195">
        <f>UTT!O597</f>
        <v>0.99</v>
      </c>
      <c r="T275" s="198">
        <v>1.4999999999999999E-2</v>
      </c>
      <c r="U275" s="195">
        <f>UTT!U597</f>
        <v>1.0000000000000009E-2</v>
      </c>
      <c r="V275" s="198">
        <v>0</v>
      </c>
      <c r="W275" s="197">
        <v>0</v>
      </c>
      <c r="X275" s="199">
        <f t="shared" si="35"/>
        <v>-1.0726236400867908</v>
      </c>
    </row>
    <row r="276" spans="1:24">
      <c r="A276" s="189" t="s">
        <v>9</v>
      </c>
      <c r="B276" s="190" t="s">
        <v>63</v>
      </c>
      <c r="C276" s="200">
        <v>10</v>
      </c>
      <c r="D276" s="201">
        <v>12</v>
      </c>
      <c r="E276" s="192">
        <f t="shared" si="30"/>
        <v>45199</v>
      </c>
      <c r="F276" s="24">
        <f>UTT!B598</f>
        <v>45199</v>
      </c>
      <c r="G276" s="24">
        <f>UTT!C598</f>
        <v>1302.2741846360859</v>
      </c>
      <c r="H276" s="24">
        <f>UTT!D598</f>
        <v>1211.1179999999999</v>
      </c>
      <c r="I276" s="24">
        <f>UTT!E598</f>
        <v>141.6</v>
      </c>
      <c r="J276" s="24">
        <f>UTT!F598</f>
        <v>141.79</v>
      </c>
      <c r="K276" s="24">
        <f>UTT!G598</f>
        <v>145.5</v>
      </c>
      <c r="L276" s="195">
        <f t="shared" si="31"/>
        <v>157.9239563443148</v>
      </c>
      <c r="M276" s="195">
        <f t="shared" si="32"/>
        <v>0.75721980023147095</v>
      </c>
      <c r="N276" s="195">
        <f t="shared" si="33"/>
        <v>6.2776388888888892</v>
      </c>
      <c r="O276" s="195">
        <f t="shared" si="34"/>
        <v>0.18087141453278971</v>
      </c>
      <c r="P276" s="195">
        <f>UTT!L598</f>
        <v>0.16821083333333331</v>
      </c>
      <c r="Q276" s="195">
        <f>UTT!M598</f>
        <v>0.98499999999999999</v>
      </c>
      <c r="R276" s="195">
        <f>UTT!N598</f>
        <v>0.97754666666666679</v>
      </c>
      <c r="S276" s="195">
        <f>UTT!O598</f>
        <v>0.99</v>
      </c>
      <c r="T276" s="198">
        <v>1.4999999999999999E-2</v>
      </c>
      <c r="U276" s="195">
        <f>UTT!U598</f>
        <v>1.0000000000000009E-2</v>
      </c>
      <c r="V276" s="198">
        <v>0</v>
      </c>
      <c r="W276" s="197">
        <v>0</v>
      </c>
      <c r="X276" s="199">
        <f t="shared" si="35"/>
        <v>-0.99735344275578597</v>
      </c>
    </row>
    <row r="277" spans="1:24">
      <c r="A277" s="189" t="s">
        <v>9</v>
      </c>
      <c r="B277" s="190" t="s">
        <v>63</v>
      </c>
      <c r="C277" s="200">
        <v>10</v>
      </c>
      <c r="D277" s="201">
        <v>12</v>
      </c>
      <c r="E277" s="192">
        <f t="shared" si="30"/>
        <v>45230</v>
      </c>
      <c r="F277" s="24">
        <f>UTT!B599</f>
        <v>45230</v>
      </c>
      <c r="G277" s="24">
        <f>UTT!C599</f>
        <v>1488.4348185691508</v>
      </c>
      <c r="H277" s="24">
        <f>UTT!D599</f>
        <v>1344.96</v>
      </c>
      <c r="I277" s="24">
        <f>UTT!E599</f>
        <v>139.1</v>
      </c>
      <c r="J277" s="24">
        <f>UTT!F599</f>
        <v>139.17999999999998</v>
      </c>
      <c r="K277" s="24">
        <f>UTT!G599</f>
        <v>172.2</v>
      </c>
      <c r="L277" s="195">
        <f t="shared" si="31"/>
        <v>149.80698956058768</v>
      </c>
      <c r="M277" s="195">
        <f t="shared" si="32"/>
        <v>0.73127242482040467</v>
      </c>
      <c r="N277" s="195">
        <f t="shared" si="33"/>
        <v>6.079301075268817</v>
      </c>
      <c r="O277" s="195">
        <f t="shared" si="34"/>
        <v>0.20005844335606865</v>
      </c>
      <c r="P277" s="195">
        <f>UTT!L599</f>
        <v>0.18077419354838709</v>
      </c>
      <c r="Q277" s="195">
        <f>UTT!M599</f>
        <v>0.98499999999999999</v>
      </c>
      <c r="R277" s="195">
        <f>UTT!N599</f>
        <v>0.93532903225806441</v>
      </c>
      <c r="S277" s="195">
        <f>UTT!O599</f>
        <v>0.99</v>
      </c>
      <c r="T277" s="198">
        <v>1.4999999999999999E-2</v>
      </c>
      <c r="U277" s="195">
        <f>UTT!U599</f>
        <v>1.0000000000000009E-2</v>
      </c>
      <c r="V277" s="198">
        <v>0</v>
      </c>
      <c r="W277" s="197">
        <v>0</v>
      </c>
      <c r="X277" s="199">
        <f t="shared" si="35"/>
        <v>-1.2043385986706361</v>
      </c>
    </row>
    <row r="278" spans="1:24">
      <c r="A278" s="189" t="s">
        <v>9</v>
      </c>
      <c r="B278" s="190" t="s">
        <v>63</v>
      </c>
      <c r="C278" s="200">
        <v>10</v>
      </c>
      <c r="D278" s="201">
        <v>12</v>
      </c>
      <c r="E278" s="192">
        <f t="shared" si="30"/>
        <v>45260</v>
      </c>
      <c r="F278" s="24">
        <f>UTT!B600</f>
        <v>45260</v>
      </c>
      <c r="G278" s="24">
        <f>UTT!C600</f>
        <v>1320.1742455911883</v>
      </c>
      <c r="H278" s="24">
        <f>UTT!D600</f>
        <v>1062.5040000000029</v>
      </c>
      <c r="I278" s="24">
        <f>UTT!E600</f>
        <v>108.1</v>
      </c>
      <c r="J278" s="24">
        <f>UTT!F600</f>
        <v>95.649999999999991</v>
      </c>
      <c r="K278" s="24">
        <f>UTT!G600</f>
        <v>152.1</v>
      </c>
      <c r="L278" s="195">
        <f t="shared" si="31"/>
        <v>267.20848944159769</v>
      </c>
      <c r="M278" s="195">
        <f t="shared" si="32"/>
        <v>0.73431866202059415</v>
      </c>
      <c r="N278" s="195">
        <f t="shared" si="33"/>
        <v>6.2861111111111105</v>
      </c>
      <c r="O278" s="195">
        <f t="shared" si="34"/>
        <v>0.18335753410988725</v>
      </c>
      <c r="P278" s="195">
        <f>UTT!L600</f>
        <v>0.1475700000000004</v>
      </c>
      <c r="Q278" s="195">
        <f>UTT!M600</f>
        <v>0.98499999999999999</v>
      </c>
      <c r="R278" s="195">
        <f>UTT!N600</f>
        <v>0.99353333333333327</v>
      </c>
      <c r="S278" s="195">
        <f>UTT!O600</f>
        <v>0.99</v>
      </c>
      <c r="T278" s="198">
        <v>1.4999999999999999E-2</v>
      </c>
      <c r="U278" s="195">
        <f>UTT!U600</f>
        <v>1.0000000000000009E-2</v>
      </c>
      <c r="V278" s="198">
        <v>0</v>
      </c>
      <c r="W278" s="197">
        <v>0</v>
      </c>
      <c r="X278" s="199">
        <f t="shared" si="35"/>
        <v>-1.5610038285871104</v>
      </c>
    </row>
    <row r="279" spans="1:24">
      <c r="A279" s="189" t="s">
        <v>9</v>
      </c>
      <c r="B279" s="190" t="s">
        <v>63</v>
      </c>
      <c r="C279" s="200">
        <v>10</v>
      </c>
      <c r="D279" s="201">
        <v>12</v>
      </c>
      <c r="E279" s="192">
        <f t="shared" si="30"/>
        <v>45291</v>
      </c>
      <c r="F279" s="24">
        <f>UTT!B601</f>
        <v>45291</v>
      </c>
      <c r="G279" s="24">
        <f>UTT!C601</f>
        <v>1110.7435324164901</v>
      </c>
      <c r="H279" s="24">
        <f>UTT!D601</f>
        <v>988.63199999999995</v>
      </c>
      <c r="I279" s="24">
        <f>UTT!E601</f>
        <v>89.9</v>
      </c>
      <c r="J279" s="24">
        <f>UTT!F601</f>
        <v>82.71</v>
      </c>
      <c r="K279" s="24">
        <f>UTT!G601</f>
        <v>129.6</v>
      </c>
      <c r="L279" s="195">
        <f t="shared" si="31"/>
        <v>343.40840061182951</v>
      </c>
      <c r="M279" s="195">
        <f t="shared" si="32"/>
        <v>0.72508899726379894</v>
      </c>
      <c r="N279" s="195">
        <f t="shared" si="33"/>
        <v>6.0875000000000004</v>
      </c>
      <c r="O279" s="195">
        <f t="shared" si="34"/>
        <v>0.14929348553985083</v>
      </c>
      <c r="P279" s="195">
        <f>UTT!L601</f>
        <v>0.13288064516129033</v>
      </c>
      <c r="Q279" s="195">
        <f>UTT!M601</f>
        <v>0.98499999999999999</v>
      </c>
      <c r="R279" s="195">
        <f>UTT!N601</f>
        <v>0.98787741935483875</v>
      </c>
      <c r="S279" s="195">
        <f>UTT!O601</f>
        <v>0.99</v>
      </c>
      <c r="T279" s="198">
        <v>1.4999999999999999E-2</v>
      </c>
      <c r="U279" s="195">
        <f>UTT!U601</f>
        <v>1.0000000000000009E-2</v>
      </c>
      <c r="V279" s="198">
        <v>0</v>
      </c>
      <c r="W279" s="197">
        <v>0</v>
      </c>
      <c r="X279" s="199">
        <f t="shared" si="35"/>
        <v>-1.542395968618488</v>
      </c>
    </row>
    <row r="280" spans="1:24">
      <c r="A280" s="189" t="s">
        <v>9</v>
      </c>
      <c r="B280" s="190" t="s">
        <v>63</v>
      </c>
      <c r="C280" s="200">
        <v>10</v>
      </c>
      <c r="D280" s="201">
        <v>12</v>
      </c>
      <c r="E280" s="192">
        <f t="shared" si="30"/>
        <v>45322</v>
      </c>
      <c r="F280" s="24">
        <f>UTT!B602</f>
        <v>45322</v>
      </c>
      <c r="G280" s="24">
        <f>UTT!C602</f>
        <v>936.88001660881923</v>
      </c>
      <c r="H280" s="24">
        <f>UTT!D602</f>
        <v>425.19600000000003</v>
      </c>
      <c r="I280" s="24">
        <f>UTT!E602</f>
        <v>79.599999999999994</v>
      </c>
      <c r="J280" s="24">
        <f>UTT!F602</f>
        <v>43.78</v>
      </c>
      <c r="K280" s="24">
        <f>UTT!G602</f>
        <v>103.2</v>
      </c>
      <c r="L280" s="195">
        <f t="shared" si="31"/>
        <v>1509.5094230930895</v>
      </c>
      <c r="M280" s="195">
        <f t="shared" si="32"/>
        <v>0.76804523981231654</v>
      </c>
      <c r="N280" s="195">
        <f t="shared" si="33"/>
        <v>6.0916666666666668</v>
      </c>
      <c r="O280" s="195">
        <f t="shared" si="34"/>
        <v>0.12592473341516389</v>
      </c>
      <c r="P280" s="195">
        <f>UTT!L602</f>
        <v>5.7149999999999999E-2</v>
      </c>
      <c r="Q280" s="195">
        <f>UTT!M602</f>
        <v>0.98499999999999999</v>
      </c>
      <c r="R280" s="195">
        <f>UTT!N602</f>
        <v>0.99042258064516142</v>
      </c>
      <c r="S280" s="195">
        <f>UTT!O602</f>
        <v>0.99</v>
      </c>
      <c r="T280" s="198">
        <v>1.4999999999999999E-2</v>
      </c>
      <c r="U280" s="195">
        <f>UTT!U602</f>
        <v>1.0000000000000009E-2</v>
      </c>
      <c r="V280" s="198">
        <v>0</v>
      </c>
      <c r="W280" s="197">
        <v>0</v>
      </c>
      <c r="X280" s="199">
        <f t="shared" si="35"/>
        <v>-2.3365691103362258</v>
      </c>
    </row>
    <row r="281" spans="1:24">
      <c r="A281" s="189" t="s">
        <v>9</v>
      </c>
      <c r="B281" s="190" t="s">
        <v>63</v>
      </c>
      <c r="C281" s="200">
        <v>10</v>
      </c>
      <c r="D281" s="201">
        <v>12</v>
      </c>
      <c r="E281" s="192">
        <f t="shared" si="30"/>
        <v>45351</v>
      </c>
      <c r="F281" s="24">
        <f>UTT!B603</f>
        <v>45351</v>
      </c>
      <c r="G281" s="24">
        <f>UTT!C603</f>
        <v>1226.301627176631</v>
      </c>
      <c r="H281" s="24">
        <f>UTT!D603</f>
        <v>1125.6059999999973</v>
      </c>
      <c r="I281" s="24">
        <f>UTT!E603</f>
        <v>108.1</v>
      </c>
      <c r="J281" s="24">
        <f>UTT!F603</f>
        <v>112.92999999999998</v>
      </c>
      <c r="K281" s="24">
        <f>UTT!G603</f>
        <v>137.5</v>
      </c>
      <c r="L281" s="195">
        <f t="shared" si="31"/>
        <v>206.92793975756507</v>
      </c>
      <c r="M281" s="195">
        <f t="shared" si="32"/>
        <v>0.75453107348200643</v>
      </c>
      <c r="N281" s="195">
        <f t="shared" si="33"/>
        <v>6.5159482758620682</v>
      </c>
      <c r="O281" s="195">
        <f t="shared" si="34"/>
        <v>0.17619276252537802</v>
      </c>
      <c r="P281" s="195">
        <f>UTT!L603</f>
        <v>0.16172499999999962</v>
      </c>
      <c r="Q281" s="195">
        <f>UTT!M603</f>
        <v>0.98499999999999999</v>
      </c>
      <c r="R281" s="195">
        <f>UTT!N603</f>
        <v>0.95820000000000005</v>
      </c>
      <c r="S281" s="195">
        <f>UTT!O603</f>
        <v>0.99</v>
      </c>
      <c r="T281" s="198">
        <v>1.4999999999999999E-2</v>
      </c>
      <c r="U281" s="195">
        <f>UTT!U603</f>
        <v>4.7517241379311237E-3</v>
      </c>
      <c r="V281" s="198">
        <v>0</v>
      </c>
      <c r="W281" s="197">
        <v>0</v>
      </c>
      <c r="X281" s="199">
        <f t="shared" si="35"/>
        <v>-1.190528171757081</v>
      </c>
    </row>
    <row r="282" spans="1:24">
      <c r="A282" s="189" t="s">
        <v>9</v>
      </c>
      <c r="B282" s="190" t="s">
        <v>63</v>
      </c>
      <c r="C282" s="200">
        <v>10</v>
      </c>
      <c r="D282" s="201">
        <v>12</v>
      </c>
      <c r="E282" s="192">
        <f t="shared" si="30"/>
        <v>45382</v>
      </c>
      <c r="F282" s="24">
        <f>UTT!B604</f>
        <v>45382</v>
      </c>
      <c r="G282" s="24">
        <f>UTT!C604</f>
        <v>1640.3971622967306</v>
      </c>
      <c r="H282" s="24">
        <f>UTT!D604</f>
        <v>1434.768</v>
      </c>
      <c r="I282" s="24">
        <f>UTT!E604</f>
        <v>161.4</v>
      </c>
      <c r="J282" s="24">
        <f>UTT!F604</f>
        <v>157.08999999999997</v>
      </c>
      <c r="K282" s="24">
        <f>UTT!G604</f>
        <v>187.8</v>
      </c>
      <c r="L282" s="195">
        <f t="shared" si="31"/>
        <v>124.83751048008367</v>
      </c>
      <c r="M282" s="195">
        <f t="shared" si="32"/>
        <v>0.73898554745423928</v>
      </c>
      <c r="N282" s="195">
        <f t="shared" si="33"/>
        <v>6.0997311827956988</v>
      </c>
      <c r="O282" s="195">
        <f t="shared" si="34"/>
        <v>0.22048348955601221</v>
      </c>
      <c r="P282" s="195">
        <f>UTT!L604</f>
        <v>0.19284516129032259</v>
      </c>
      <c r="Q282" s="195">
        <f>UTT!M604</f>
        <v>0.98499999999999999</v>
      </c>
      <c r="R282" s="195">
        <f>UTT!N604</f>
        <v>0.98532415158658071</v>
      </c>
      <c r="S282" s="195">
        <f>UTT!O604</f>
        <v>0.99</v>
      </c>
      <c r="T282" s="198">
        <v>1.4999999999999999E-2</v>
      </c>
      <c r="U282" s="195">
        <f>UTT!U604</f>
        <v>1.0000000000000009E-2</v>
      </c>
      <c r="V282" s="198">
        <v>0</v>
      </c>
      <c r="W282" s="197">
        <v>0</v>
      </c>
      <c r="X282" s="199">
        <f t="shared" si="35"/>
        <v>-1.159346602205102</v>
      </c>
    </row>
    <row r="283" spans="1:24">
      <c r="A283" s="189" t="s">
        <v>9</v>
      </c>
      <c r="B283" s="190" t="s">
        <v>63</v>
      </c>
      <c r="C283" s="200">
        <v>10</v>
      </c>
      <c r="D283" s="201">
        <v>12</v>
      </c>
      <c r="E283" s="192">
        <f t="shared" si="30"/>
        <v>45412</v>
      </c>
      <c r="F283" s="24">
        <f>UTT!B605</f>
        <v>45412</v>
      </c>
      <c r="G283" s="24">
        <f>UTT!C605</f>
        <v>1694.7193722802276</v>
      </c>
      <c r="H283" s="24">
        <f>UTT!D605</f>
        <v>1520.49</v>
      </c>
      <c r="I283" s="24">
        <f>UTT!E605</f>
        <v>190.2</v>
      </c>
      <c r="J283" s="24">
        <f>UTT!F605</f>
        <v>183.76</v>
      </c>
      <c r="K283" s="24">
        <f>UTT!G605</f>
        <v>194</v>
      </c>
      <c r="L283" s="195">
        <f t="shared" si="31"/>
        <v>97.518571111821089</v>
      </c>
      <c r="M283" s="195">
        <f t="shared" si="32"/>
        <v>0.73905811061115512</v>
      </c>
      <c r="N283" s="195">
        <f t="shared" si="33"/>
        <v>6.3072222222222223</v>
      </c>
      <c r="O283" s="195">
        <f t="shared" si="34"/>
        <v>0.23537769059447608</v>
      </c>
      <c r="P283" s="195">
        <f>UTT!L605</f>
        <v>0.21117916666666664</v>
      </c>
      <c r="Q283" s="195">
        <f>UTT!M605</f>
        <v>0.98499999999999999</v>
      </c>
      <c r="R283" s="195">
        <f>UTT!N605</f>
        <v>0.9917324709675287</v>
      </c>
      <c r="S283" s="195">
        <f>UTT!O605</f>
        <v>0.99</v>
      </c>
      <c r="T283" s="198">
        <v>1.4999999999999999E-2</v>
      </c>
      <c r="U283" s="195">
        <f>UTT!U605</f>
        <v>9.7533333333332806E-3</v>
      </c>
      <c r="V283" s="198">
        <v>0</v>
      </c>
      <c r="W283" s="197">
        <v>0</v>
      </c>
      <c r="X283" s="199">
        <f t="shared" si="35"/>
        <v>-1.0184061019648092</v>
      </c>
    </row>
    <row r="284" spans="1:24">
      <c r="A284" s="189" t="s">
        <v>9</v>
      </c>
      <c r="B284" s="190" t="s">
        <v>63</v>
      </c>
      <c r="C284" s="200">
        <v>10</v>
      </c>
      <c r="D284" s="201">
        <v>12</v>
      </c>
      <c r="E284" s="192">
        <f>EOMONTH(E283,1)</f>
        <v>45443</v>
      </c>
      <c r="F284" s="24">
        <f>UTT!B606</f>
        <v>45443</v>
      </c>
      <c r="G284" s="24">
        <f>UTT!C606</f>
        <v>1716.9825730931364</v>
      </c>
      <c r="H284" s="24">
        <f>UTT!D606</f>
        <v>1404.2339999999999</v>
      </c>
      <c r="I284" s="24">
        <f>UTT!E606</f>
        <v>197</v>
      </c>
      <c r="J284" s="24">
        <f>UTT!F606</f>
        <v>195.99999999999994</v>
      </c>
      <c r="K284" s="24">
        <f>UTT!G606</f>
        <v>197.7</v>
      </c>
      <c r="L284" s="195">
        <f t="shared" si="31"/>
        <v>102.36774305858033</v>
      </c>
      <c r="M284" s="195">
        <f t="shared" si="32"/>
        <v>0.7347536316938944</v>
      </c>
      <c r="N284" s="195">
        <f t="shared" si="33"/>
        <v>6.1079301075268813</v>
      </c>
      <c r="O284" s="195">
        <f t="shared" si="34"/>
        <v>0.23077722756628175</v>
      </c>
      <c r="P284" s="195">
        <f>UTT!L606</f>
        <v>0.18874112903225806</v>
      </c>
      <c r="Q284" s="195">
        <f>UTT!M606</f>
        <v>0.98499999999999999</v>
      </c>
      <c r="R284" s="195">
        <f>UTT!N606</f>
        <v>0.96643565351540495</v>
      </c>
      <c r="S284" s="195">
        <f>UTT!O606</f>
        <v>0.99</v>
      </c>
      <c r="T284" s="198">
        <v>1.4999999999999999E-2</v>
      </c>
      <c r="U284" s="195">
        <f>UTT!U606</f>
        <v>8.8935483870967724E-3</v>
      </c>
      <c r="V284" s="198">
        <v>0</v>
      </c>
      <c r="W284" s="197">
        <v>0</v>
      </c>
      <c r="X284" s="199">
        <f t="shared" si="35"/>
        <v>-0.970890255843466</v>
      </c>
    </row>
    <row r="285" spans="1:24">
      <c r="A285" s="189" t="s">
        <v>9</v>
      </c>
      <c r="B285" s="190" t="s">
        <v>63</v>
      </c>
      <c r="C285" s="200">
        <v>10</v>
      </c>
      <c r="D285" s="201">
        <v>12</v>
      </c>
      <c r="E285" s="192">
        <f>EOMONTH(E284,1)</f>
        <v>45473</v>
      </c>
      <c r="F285" s="24">
        <f>UTT!B607</f>
        <v>45473</v>
      </c>
      <c r="G285" s="24">
        <f>UTT!C607</f>
        <v>1544.220134784965</v>
      </c>
      <c r="H285" s="24">
        <f>UTT!D607</f>
        <v>1453.848</v>
      </c>
      <c r="I285" s="24">
        <f>UTT!E607</f>
        <v>178.9</v>
      </c>
      <c r="J285" s="24">
        <f>UTT!F607</f>
        <v>188.72</v>
      </c>
      <c r="K285" s="24">
        <f>UTT!G607</f>
        <v>177.2</v>
      </c>
      <c r="L285" s="195">
        <f t="shared" si="31"/>
        <v>99.441559400263174</v>
      </c>
      <c r="M285" s="195">
        <f t="shared" si="32"/>
        <v>0.73727246870140384</v>
      </c>
      <c r="N285" s="195">
        <f t="shared" si="33"/>
        <v>6.3156944444444445</v>
      </c>
      <c r="O285" s="195">
        <f t="shared" si="34"/>
        <v>0.21447501872013403</v>
      </c>
      <c r="P285" s="195">
        <f>UTT!L607</f>
        <v>0.20192333333333332</v>
      </c>
      <c r="Q285" s="195">
        <f>UTT!M607</f>
        <v>0.98499999999999999</v>
      </c>
      <c r="R285" s="195">
        <f>UTT!N607</f>
        <v>0.9839</v>
      </c>
      <c r="S285" s="195">
        <f>UTT!O607</f>
        <v>0.99</v>
      </c>
      <c r="T285" s="198">
        <v>1.4999999999999999E-2</v>
      </c>
      <c r="U285" s="195">
        <f>UTT!U607</f>
        <v>1.0000000000000009E-2</v>
      </c>
      <c r="V285" s="198">
        <v>0</v>
      </c>
      <c r="W285" s="197">
        <v>0</v>
      </c>
      <c r="X285" s="199">
        <f t="shared" si="35"/>
        <v>-0.90499812965928617</v>
      </c>
    </row>
    <row r="286" spans="1:24">
      <c r="A286" s="189" t="s">
        <v>9</v>
      </c>
      <c r="B286" s="190" t="s">
        <v>63</v>
      </c>
      <c r="C286" s="200">
        <v>10</v>
      </c>
      <c r="D286" s="201">
        <v>12</v>
      </c>
      <c r="E286" s="192">
        <f>EOMONTH(E285,1)</f>
        <v>45504</v>
      </c>
      <c r="F286" s="24">
        <f>UTT!B608</f>
        <v>45504</v>
      </c>
      <c r="G286" s="24">
        <f>UTT!C608</f>
        <v>1369.6766404117618</v>
      </c>
      <c r="H286" s="24">
        <f>UTT!D608</f>
        <v>1149.954</v>
      </c>
      <c r="I286" s="24">
        <f>UTT!E608</f>
        <v>155.5</v>
      </c>
      <c r="J286" s="24">
        <f>UTT!F608</f>
        <v>141.75000000000003</v>
      </c>
      <c r="K286" s="24">
        <f>UTT!G608</f>
        <v>154.6</v>
      </c>
      <c r="L286" s="195">
        <f t="shared" si="31"/>
        <v>173.07635024517612</v>
      </c>
      <c r="M286" s="195">
        <f t="shared" si="32"/>
        <v>0.74953355989462567</v>
      </c>
      <c r="N286" s="195">
        <f t="shared" si="33"/>
        <v>6.1161290322580646</v>
      </c>
      <c r="O286" s="195">
        <f t="shared" si="34"/>
        <v>0.18409632263598949</v>
      </c>
      <c r="P286" s="195">
        <f>UTT!L608</f>
        <v>0.15456370967741934</v>
      </c>
      <c r="Q286" s="195">
        <f>UTT!M608</f>
        <v>0.98499999999999999</v>
      </c>
      <c r="R286" s="195">
        <f>UTT!N608</f>
        <v>0.94819157870967741</v>
      </c>
      <c r="S286" s="195">
        <f>UTT!O608</f>
        <v>0.99</v>
      </c>
      <c r="T286" s="198">
        <v>1.4999999999999999E-2</v>
      </c>
      <c r="U286" s="195">
        <f>UTT!U608</f>
        <v>1.0000000000000009E-2</v>
      </c>
      <c r="V286" s="198">
        <v>0</v>
      </c>
      <c r="W286" s="197">
        <v>0</v>
      </c>
      <c r="X286" s="199">
        <f t="shared" si="35"/>
        <v>-1.0605524201793732</v>
      </c>
    </row>
    <row r="287" spans="1:24">
      <c r="A287" s="189" t="s">
        <v>9</v>
      </c>
      <c r="B287" s="190" t="s">
        <v>63</v>
      </c>
      <c r="C287" s="200">
        <v>10</v>
      </c>
      <c r="D287" s="201">
        <v>12</v>
      </c>
      <c r="E287" s="192">
        <f t="shared" ref="E287:E291" si="36">EOMONTH(E286,1)</f>
        <v>45535</v>
      </c>
      <c r="F287" s="24">
        <f>UTT!B609</f>
        <v>45535</v>
      </c>
      <c r="G287" s="24">
        <f>UTT!C609</f>
        <v>1301.1059819080035</v>
      </c>
      <c r="H287" s="24">
        <f>UTT!D609</f>
        <v>1263.78</v>
      </c>
      <c r="I287" s="24">
        <f>UTT!E609</f>
        <v>145.4</v>
      </c>
      <c r="J287" s="24">
        <f>UTT!F609</f>
        <v>161.11999999999995</v>
      </c>
      <c r="K287" s="24">
        <f>UTT!G609</f>
        <v>146.30000000000001</v>
      </c>
      <c r="L287" s="195">
        <f t="shared" si="31"/>
        <v>138.64879487104179</v>
      </c>
      <c r="M287" s="195">
        <f t="shared" si="32"/>
        <v>0.7524036104960159</v>
      </c>
      <c r="N287" s="195">
        <f t="shared" si="33"/>
        <v>6.120295698924731</v>
      </c>
      <c r="O287" s="195">
        <f t="shared" si="34"/>
        <v>0.17487983627795747</v>
      </c>
      <c r="P287" s="195">
        <f>UTT!L609</f>
        <v>0.16986290322580644</v>
      </c>
      <c r="Q287" s="195">
        <f>UTT!M609</f>
        <v>0.98499999999999999</v>
      </c>
      <c r="R287" s="195">
        <f>UTT!N609</f>
        <v>0.94475904718174197</v>
      </c>
      <c r="S287" s="195">
        <f>UTT!O609</f>
        <v>0.99</v>
      </c>
      <c r="T287" s="198">
        <v>1.4999999999999999E-2</v>
      </c>
      <c r="U287" s="195">
        <f>UTT!U609</f>
        <v>1.0000000000000009E-2</v>
      </c>
      <c r="V287" s="198">
        <v>0</v>
      </c>
      <c r="W287" s="197">
        <v>0</v>
      </c>
      <c r="X287" s="199">
        <f t="shared" si="35"/>
        <v>-0.87944511187076779</v>
      </c>
    </row>
    <row r="288" spans="1:24">
      <c r="A288" s="189" t="s">
        <v>9</v>
      </c>
      <c r="B288" s="190" t="s">
        <v>63</v>
      </c>
      <c r="C288" s="200">
        <v>10</v>
      </c>
      <c r="D288" s="201">
        <v>12</v>
      </c>
      <c r="E288" s="192">
        <f t="shared" si="36"/>
        <v>45565</v>
      </c>
      <c r="F288" s="24">
        <f>UTT!B610</f>
        <v>45565</v>
      </c>
      <c r="G288" s="24">
        <f>UTT!C610</f>
        <v>1295.7628137129057</v>
      </c>
      <c r="H288" s="24">
        <f>UTT!D610</f>
        <v>1057.08</v>
      </c>
      <c r="I288" s="24">
        <f>UTT!E610</f>
        <v>141.6</v>
      </c>
      <c r="J288" s="24">
        <f>UTT!F610</f>
        <v>120.02</v>
      </c>
      <c r="K288" s="24">
        <f>UTT!G610</f>
        <v>145.5</v>
      </c>
      <c r="L288" s="195">
        <f t="shared" si="31"/>
        <v>215.4870355073262</v>
      </c>
      <c r="M288" s="195">
        <f t="shared" si="32"/>
        <v>0.75343370123031361</v>
      </c>
      <c r="N288" s="195">
        <f t="shared" si="33"/>
        <v>6.3284722222222225</v>
      </c>
      <c r="O288" s="195">
        <f t="shared" si="34"/>
        <v>0.17996705746012578</v>
      </c>
      <c r="P288" s="195">
        <f>UTT!L610</f>
        <v>0.14681666666666665</v>
      </c>
      <c r="Q288" s="195">
        <f>UTT!M610</f>
        <v>0.98499999999999999</v>
      </c>
      <c r="R288" s="195">
        <f>UTT!N610</f>
        <v>0.97105450900000001</v>
      </c>
      <c r="S288" s="195">
        <f>UTT!O610</f>
        <v>0.99</v>
      </c>
      <c r="T288" s="198">
        <v>1.4999999999999999E-2</v>
      </c>
      <c r="U288" s="195">
        <f>UTT!U610</f>
        <v>1.0000000000000009E-2</v>
      </c>
      <c r="V288" s="198">
        <v>0</v>
      </c>
      <c r="W288" s="197">
        <v>0</v>
      </c>
      <c r="X288" s="199">
        <f t="shared" si="35"/>
        <v>-1.1838602719983</v>
      </c>
    </row>
    <row r="289" spans="1:24">
      <c r="A289" s="189" t="s">
        <v>9</v>
      </c>
      <c r="B289" s="190" t="s">
        <v>63</v>
      </c>
      <c r="C289" s="200">
        <v>10</v>
      </c>
      <c r="D289" s="201">
        <v>12</v>
      </c>
      <c r="E289" s="192">
        <f t="shared" si="36"/>
        <v>45596</v>
      </c>
      <c r="F289" s="24">
        <f>UTT!B611</f>
        <v>45596</v>
      </c>
      <c r="G289" s="24">
        <f>UTT!C611</f>
        <v>1480.992644476305</v>
      </c>
      <c r="H289" s="24">
        <f>UTT!D611</f>
        <v>1271.25</v>
      </c>
      <c r="I289" s="24">
        <f>UTT!E611</f>
        <v>139.1</v>
      </c>
      <c r="J289" s="24">
        <f>UTT!F611</f>
        <v>126.35999999999997</v>
      </c>
      <c r="K289" s="24">
        <f>UTT!G611</f>
        <v>172.2</v>
      </c>
      <c r="L289" s="195">
        <f t="shared" si="31"/>
        <v>175.98589100828806</v>
      </c>
      <c r="M289" s="195">
        <f t="shared" si="32"/>
        <v>0.72761606269630263</v>
      </c>
      <c r="N289" s="195">
        <f t="shared" si="33"/>
        <v>6.1284946236559135</v>
      </c>
      <c r="O289" s="195">
        <f t="shared" si="34"/>
        <v>0.19905815113928832</v>
      </c>
      <c r="P289" s="195">
        <f>UTT!L611</f>
        <v>0.17086693548387097</v>
      </c>
      <c r="Q289" s="195">
        <f>UTT!M611</f>
        <v>0.98499999999999999</v>
      </c>
      <c r="R289" s="195">
        <f>UTT!N611</f>
        <v>0.98559231229215205</v>
      </c>
      <c r="S289" s="195">
        <f>UTT!O611</f>
        <v>0.99</v>
      </c>
      <c r="T289" s="198">
        <v>1.4999999999999999E-2</v>
      </c>
      <c r="U289" s="195">
        <f>UTT!U611</f>
        <v>3.7483870967741639E-3</v>
      </c>
      <c r="V289" s="198">
        <v>0</v>
      </c>
      <c r="W289" s="197">
        <v>0</v>
      </c>
      <c r="X289" s="199">
        <f t="shared" si="35"/>
        <v>-1.3302922713802983</v>
      </c>
    </row>
    <row r="290" spans="1:24">
      <c r="A290" s="189" t="s">
        <v>9</v>
      </c>
      <c r="B290" s="190" t="s">
        <v>63</v>
      </c>
      <c r="C290" s="200">
        <v>10</v>
      </c>
      <c r="D290" s="201">
        <v>12</v>
      </c>
      <c r="E290" s="192">
        <f t="shared" si="36"/>
        <v>45626</v>
      </c>
      <c r="F290" s="24">
        <f>UTT!B612</f>
        <v>45626</v>
      </c>
      <c r="G290" s="24">
        <f>UTT!C612</f>
        <v>1313.5733743632325</v>
      </c>
      <c r="H290" s="24">
        <f>UTT!D612</f>
        <v>926.42399999999998</v>
      </c>
      <c r="I290" s="24">
        <f>UTT!E612</f>
        <v>108.1</v>
      </c>
      <c r="J290" s="24">
        <f>UTT!F612</f>
        <v>82.050000000000011</v>
      </c>
      <c r="K290" s="24">
        <f>UTT!G612</f>
        <v>152.1</v>
      </c>
      <c r="L290" s="195">
        <f t="shared" si="31"/>
        <v>360.14323701502707</v>
      </c>
      <c r="M290" s="195">
        <f t="shared" si="32"/>
        <v>0.73064706871049101</v>
      </c>
      <c r="N290" s="195">
        <f t="shared" si="33"/>
        <v>6.3369444444444438</v>
      </c>
      <c r="O290" s="195">
        <f t="shared" si="34"/>
        <v>0.18244074643933783</v>
      </c>
      <c r="P290" s="195">
        <f>UTT!L612</f>
        <v>0.12867000000000001</v>
      </c>
      <c r="Q290" s="195">
        <f>UTT!M612</f>
        <v>0.98499999999999999</v>
      </c>
      <c r="R290" s="195">
        <f>UTT!N612</f>
        <v>0.9819108115614853</v>
      </c>
      <c r="S290" s="195">
        <f>UTT!O612</f>
        <v>0.99</v>
      </c>
      <c r="T290" s="198">
        <v>1.4999999999999999E-2</v>
      </c>
      <c r="U290" s="195">
        <f>UTT!U612</f>
        <v>1.0000000000000009E-2</v>
      </c>
      <c r="V290" s="198">
        <v>0</v>
      </c>
      <c r="W290" s="197">
        <v>0</v>
      </c>
      <c r="X290" s="199">
        <f t="shared" si="35"/>
        <v>-1.824957696521031</v>
      </c>
    </row>
    <row r="291" spans="1:24">
      <c r="A291" s="189" t="s">
        <v>9</v>
      </c>
      <c r="B291" s="190" t="s">
        <v>63</v>
      </c>
      <c r="C291" s="200">
        <v>10</v>
      </c>
      <c r="D291" s="201">
        <v>12</v>
      </c>
      <c r="E291" s="192">
        <f t="shared" si="36"/>
        <v>45657</v>
      </c>
      <c r="F291" s="24">
        <f>UTT!B613</f>
        <v>45657</v>
      </c>
      <c r="G291" s="24">
        <f>UTT!C613</f>
        <v>1105.1898147544075</v>
      </c>
      <c r="H291" s="24">
        <f>UTT!D613</f>
        <v>991.26599999999996</v>
      </c>
      <c r="I291" s="24">
        <f>UTT!E613</f>
        <v>89.9</v>
      </c>
      <c r="J291" s="24">
        <f>UTT!F613</f>
        <v>79.329999999999984</v>
      </c>
      <c r="K291" s="24">
        <f>UTT!G613</f>
        <v>129.6</v>
      </c>
      <c r="L291" s="195">
        <f t="shared" si="31"/>
        <v>359.97421776768687</v>
      </c>
      <c r="M291" s="195">
        <f t="shared" si="32"/>
        <v>0.72146355227747982</v>
      </c>
      <c r="N291" s="195">
        <f t="shared" si="33"/>
        <v>6.1366935483870968</v>
      </c>
      <c r="O291" s="195">
        <f t="shared" si="34"/>
        <v>0.14854701811215154</v>
      </c>
      <c r="P291" s="195">
        <f>UTT!L613</f>
        <v>0.13323467741935482</v>
      </c>
      <c r="Q291" s="195">
        <f>UTT!M613</f>
        <v>0.98499999999999999</v>
      </c>
      <c r="R291" s="195">
        <f>UTT!N613</f>
        <v>0.99364912000000005</v>
      </c>
      <c r="S291" s="195">
        <f>UTT!O613</f>
        <v>0.99</v>
      </c>
      <c r="T291" s="198">
        <v>1.4999999999999999E-2</v>
      </c>
      <c r="U291" s="195">
        <f>UTT!U613</f>
        <v>1.0000000000000009E-2</v>
      </c>
      <c r="V291" s="198">
        <v>0</v>
      </c>
      <c r="W291" s="197">
        <v>0</v>
      </c>
      <c r="X291" s="199">
        <f t="shared" si="35"/>
        <v>-1.6094757266890456</v>
      </c>
    </row>
    <row r="292" spans="1:24">
      <c r="A292" s="189"/>
      <c r="B292" s="190"/>
      <c r="C292" s="200"/>
      <c r="D292" s="201"/>
      <c r="E292" s="192"/>
      <c r="F292" s="24"/>
      <c r="G292" s="24"/>
      <c r="H292" s="24"/>
      <c r="I292" s="24"/>
      <c r="J292" s="24"/>
      <c r="K292" s="24"/>
      <c r="L292" s="195"/>
      <c r="M292" s="195"/>
      <c r="N292" s="195"/>
      <c r="O292" s="195"/>
      <c r="P292" s="195"/>
      <c r="Q292" s="195"/>
      <c r="R292" s="195"/>
      <c r="S292" s="204"/>
      <c r="T292" s="198"/>
      <c r="U292" s="204"/>
      <c r="V292" s="198"/>
      <c r="W292" s="197"/>
      <c r="X292" s="199"/>
    </row>
    <row r="293" spans="1:24">
      <c r="A293" s="189"/>
      <c r="B293" s="190"/>
      <c r="C293" s="200"/>
      <c r="D293" s="201"/>
      <c r="E293" s="192"/>
      <c r="F293" s="24"/>
      <c r="G293" s="24"/>
      <c r="H293" s="24"/>
      <c r="I293" s="24"/>
      <c r="J293" s="24"/>
      <c r="K293" s="24"/>
      <c r="L293" s="195"/>
      <c r="M293" s="195"/>
      <c r="N293" s="195"/>
      <c r="O293" s="195"/>
      <c r="P293" s="195"/>
      <c r="Q293" s="195"/>
      <c r="R293" s="195"/>
      <c r="S293" s="204"/>
      <c r="T293" s="198"/>
      <c r="U293" s="204"/>
      <c r="V293" s="198"/>
      <c r="W293" s="197"/>
      <c r="X293" s="199"/>
    </row>
    <row r="294" spans="1:24">
      <c r="A294" s="189"/>
      <c r="B294" s="190"/>
      <c r="C294" s="200"/>
      <c r="D294" s="201"/>
      <c r="E294" s="192"/>
      <c r="F294" s="24"/>
      <c r="G294" s="24"/>
      <c r="H294" s="24"/>
      <c r="I294" s="24"/>
      <c r="J294" s="24"/>
      <c r="K294" s="24"/>
      <c r="L294" s="195"/>
      <c r="M294" s="195"/>
      <c r="N294" s="195"/>
      <c r="O294" s="195"/>
      <c r="P294" s="195"/>
      <c r="Q294" s="195"/>
      <c r="R294" s="195"/>
      <c r="S294" s="204"/>
      <c r="T294" s="198"/>
      <c r="U294" s="204"/>
      <c r="V294" s="198"/>
      <c r="W294" s="197"/>
      <c r="X294" s="199"/>
    </row>
    <row r="295" spans="1:24">
      <c r="A295" s="189"/>
      <c r="B295" s="190"/>
      <c r="C295" s="200"/>
      <c r="D295" s="201"/>
      <c r="E295" s="192"/>
      <c r="F295" s="24"/>
      <c r="G295" s="24"/>
      <c r="H295" s="24"/>
      <c r="I295" s="24"/>
      <c r="J295" s="24"/>
      <c r="K295" s="24"/>
      <c r="L295" s="195"/>
      <c r="M295" s="195"/>
      <c r="N295" s="195"/>
      <c r="O295" s="195"/>
      <c r="P295" s="195"/>
      <c r="Q295" s="195"/>
      <c r="R295" s="195"/>
      <c r="S295" s="204"/>
      <c r="T295" s="198"/>
      <c r="U295" s="204"/>
      <c r="V295" s="198"/>
      <c r="W295" s="197"/>
      <c r="X295" s="199"/>
    </row>
    <row r="296" spans="1:24">
      <c r="A296" s="189" t="s">
        <v>14</v>
      </c>
      <c r="B296" s="190" t="s">
        <v>64</v>
      </c>
      <c r="C296" s="190">
        <v>10</v>
      </c>
      <c r="D296" s="191">
        <v>12</v>
      </c>
      <c r="E296" s="192">
        <v>42766</v>
      </c>
      <c r="F296" s="24"/>
      <c r="G296" s="24">
        <v>0</v>
      </c>
      <c r="H296" s="193">
        <v>79.599999999999994</v>
      </c>
      <c r="I296" s="194"/>
      <c r="J296" s="193">
        <v>103.2</v>
      </c>
      <c r="K296" s="194"/>
      <c r="L296" s="195">
        <v>0.82763481424572438</v>
      </c>
      <c r="M296" s="195"/>
      <c r="N296" s="195"/>
      <c r="O296" s="195"/>
      <c r="P296" s="195">
        <v>0.98499999999999999</v>
      </c>
      <c r="Q296" s="195"/>
      <c r="R296" s="196">
        <v>0.99</v>
      </c>
      <c r="S296" s="197"/>
      <c r="T296" s="198">
        <v>1.4999999999999999E-2</v>
      </c>
      <c r="U296" s="197">
        <v>0</v>
      </c>
      <c r="V296" s="198">
        <v>0</v>
      </c>
      <c r="W296" s="197">
        <v>0</v>
      </c>
      <c r="X296" s="199" t="e">
        <f t="shared" si="29"/>
        <v>#DIV/0!</v>
      </c>
    </row>
    <row r="297" spans="1:24">
      <c r="A297" s="189" t="s">
        <v>14</v>
      </c>
      <c r="B297" s="190" t="s">
        <v>64</v>
      </c>
      <c r="C297" s="190">
        <v>10</v>
      </c>
      <c r="D297" s="191">
        <v>12</v>
      </c>
      <c r="E297" s="192">
        <v>42794</v>
      </c>
      <c r="F297" s="24"/>
      <c r="G297" s="24">
        <v>0</v>
      </c>
      <c r="H297" s="193">
        <v>108.1</v>
      </c>
      <c r="I297" s="194"/>
      <c r="J297" s="193">
        <v>137.5</v>
      </c>
      <c r="K297" s="194"/>
      <c r="L297" s="195">
        <v>0.81555559393111998</v>
      </c>
      <c r="M297" s="195"/>
      <c r="N297" s="195"/>
      <c r="O297" s="195"/>
      <c r="P297" s="195">
        <v>0.98499999999999999</v>
      </c>
      <c r="Q297" s="195"/>
      <c r="R297" s="196">
        <v>0.99</v>
      </c>
      <c r="S297" s="197"/>
      <c r="T297" s="198">
        <v>1.4999999999999999E-2</v>
      </c>
      <c r="U297" s="197">
        <v>0</v>
      </c>
      <c r="V297" s="198">
        <v>0</v>
      </c>
      <c r="W297" s="197">
        <v>0</v>
      </c>
      <c r="X297" s="199" t="e">
        <f t="shared" si="29"/>
        <v>#DIV/0!</v>
      </c>
    </row>
    <row r="298" spans="1:24">
      <c r="A298" s="189" t="s">
        <v>14</v>
      </c>
      <c r="B298" s="190" t="s">
        <v>64</v>
      </c>
      <c r="C298" s="190">
        <v>10</v>
      </c>
      <c r="D298" s="191">
        <v>12</v>
      </c>
      <c r="E298" s="192">
        <v>42825</v>
      </c>
      <c r="F298" s="24"/>
      <c r="G298" s="24">
        <v>7.08</v>
      </c>
      <c r="H298" s="193">
        <v>161.4</v>
      </c>
      <c r="I298" s="194"/>
      <c r="J298" s="193">
        <v>187.8</v>
      </c>
      <c r="K298" s="194"/>
      <c r="L298" s="195">
        <v>0.80080060538540998</v>
      </c>
      <c r="M298" s="195"/>
      <c r="N298" s="195"/>
      <c r="O298" s="195"/>
      <c r="P298" s="195">
        <v>0.98499999999999999</v>
      </c>
      <c r="Q298" s="195"/>
      <c r="R298" s="196">
        <v>0.99</v>
      </c>
      <c r="S298" s="197"/>
      <c r="T298" s="198">
        <v>1.4999999999999999E-2</v>
      </c>
      <c r="U298" s="197">
        <v>0</v>
      </c>
      <c r="V298" s="198">
        <v>0</v>
      </c>
      <c r="W298" s="197">
        <v>0</v>
      </c>
      <c r="X298" s="199" t="e">
        <f t="shared" si="29"/>
        <v>#DIV/0!</v>
      </c>
    </row>
    <row r="299" spans="1:24">
      <c r="A299" s="189" t="s">
        <v>14</v>
      </c>
      <c r="B299" s="190" t="s">
        <v>64</v>
      </c>
      <c r="C299" s="190">
        <v>10</v>
      </c>
      <c r="D299" s="191">
        <v>12</v>
      </c>
      <c r="E299" s="192">
        <v>42855</v>
      </c>
      <c r="F299" s="24">
        <v>1866.4750635306268</v>
      </c>
      <c r="G299" s="24">
        <v>741.31200000000001</v>
      </c>
      <c r="H299" s="193">
        <v>190.2</v>
      </c>
      <c r="I299" s="194"/>
      <c r="J299" s="193">
        <v>194</v>
      </c>
      <c r="K299" s="194"/>
      <c r="L299" s="195">
        <v>0.80175045684305279</v>
      </c>
      <c r="M299" s="195"/>
      <c r="N299" s="195"/>
      <c r="O299" s="195"/>
      <c r="P299" s="195">
        <v>0.98499999999999999</v>
      </c>
      <c r="Q299" s="195"/>
      <c r="R299" s="196">
        <v>0.99</v>
      </c>
      <c r="S299" s="197"/>
      <c r="T299" s="198">
        <v>1.4999999999999999E-2</v>
      </c>
      <c r="U299" s="197">
        <v>0</v>
      </c>
      <c r="V299" s="198">
        <v>0</v>
      </c>
      <c r="W299" s="197">
        <v>0</v>
      </c>
      <c r="X299" s="199">
        <f t="shared" si="29"/>
        <v>0.39717219612767463</v>
      </c>
    </row>
    <row r="300" spans="1:24">
      <c r="A300" s="189" t="s">
        <v>14</v>
      </c>
      <c r="B300" s="190" t="s">
        <v>64</v>
      </c>
      <c r="C300" s="190">
        <v>10</v>
      </c>
      <c r="D300" s="191">
        <v>12</v>
      </c>
      <c r="E300" s="192">
        <v>42886</v>
      </c>
      <c r="F300" s="24">
        <v>1890.995229893352</v>
      </c>
      <c r="G300" s="24">
        <v>1113.192</v>
      </c>
      <c r="H300" s="193">
        <v>197</v>
      </c>
      <c r="I300" s="194"/>
      <c r="J300" s="193">
        <v>197.7</v>
      </c>
      <c r="K300" s="194"/>
      <c r="L300" s="195">
        <v>0.79708111190918562</v>
      </c>
      <c r="M300" s="195"/>
      <c r="N300" s="195"/>
      <c r="O300" s="195"/>
      <c r="P300" s="195">
        <v>0.98499999999999999</v>
      </c>
      <c r="Q300" s="195"/>
      <c r="R300" s="196">
        <v>0.99</v>
      </c>
      <c r="S300" s="197"/>
      <c r="T300" s="198">
        <v>1.4999999999999999E-2</v>
      </c>
      <c r="U300" s="197">
        <v>0</v>
      </c>
      <c r="V300" s="198">
        <v>0</v>
      </c>
      <c r="W300" s="197">
        <v>0</v>
      </c>
      <c r="X300" s="199">
        <f t="shared" si="29"/>
        <v>0.58868049078197915</v>
      </c>
    </row>
    <row r="301" spans="1:24">
      <c r="A301" s="189" t="s">
        <v>14</v>
      </c>
      <c r="B301" s="190" t="s">
        <v>64</v>
      </c>
      <c r="C301" s="190">
        <v>10</v>
      </c>
      <c r="D301" s="191">
        <v>12</v>
      </c>
      <c r="E301" s="192">
        <v>42916</v>
      </c>
      <c r="F301" s="24">
        <v>1697.7763189550788</v>
      </c>
      <c r="G301" s="24">
        <v>1325.7</v>
      </c>
      <c r="H301" s="193">
        <v>178.9</v>
      </c>
      <c r="I301" s="194">
        <v>155.33000000000001</v>
      </c>
      <c r="J301" s="193">
        <v>177.2</v>
      </c>
      <c r="K301" s="194">
        <v>148.03</v>
      </c>
      <c r="L301" s="195">
        <v>0.79842753901198216</v>
      </c>
      <c r="M301" s="195">
        <f>G301/12/K301</f>
        <v>0.74630142538674593</v>
      </c>
      <c r="N301" s="195">
        <f>F301/24/30/10</f>
        <v>0.23580226652153874</v>
      </c>
      <c r="O301" s="195">
        <f>G301/24/30/10</f>
        <v>0.18412500000000001</v>
      </c>
      <c r="P301" s="195">
        <v>0.98499999999999999</v>
      </c>
      <c r="Q301" s="195">
        <v>0.82015018000000006</v>
      </c>
      <c r="R301" s="196">
        <v>0.99</v>
      </c>
      <c r="S301" s="197">
        <v>0.99860000000000004</v>
      </c>
      <c r="T301" s="198">
        <v>1.4999999999999999E-2</v>
      </c>
      <c r="U301" s="197">
        <v>0</v>
      </c>
      <c r="V301" s="198">
        <v>0</v>
      </c>
      <c r="W301" s="197">
        <v>0</v>
      </c>
      <c r="X301" s="199">
        <f t="shared" si="29"/>
        <v>-5.4538835396357399E-2</v>
      </c>
    </row>
    <row r="302" spans="1:24">
      <c r="A302" s="189" t="s">
        <v>14</v>
      </c>
      <c r="B302" s="190" t="s">
        <v>64</v>
      </c>
      <c r="C302" s="190">
        <v>10</v>
      </c>
      <c r="D302" s="191">
        <v>12</v>
      </c>
      <c r="E302" s="192">
        <v>42947</v>
      </c>
      <c r="F302" s="24">
        <v>1502.5957947077879</v>
      </c>
      <c r="G302" s="24">
        <v>725.21400000000006</v>
      </c>
      <c r="H302" s="193">
        <v>155.5</v>
      </c>
      <c r="I302" s="194">
        <v>154.75</v>
      </c>
      <c r="J302" s="193">
        <v>154.6</v>
      </c>
      <c r="K302" s="194">
        <v>153.06</v>
      </c>
      <c r="L302" s="195">
        <v>0.80993736239100256</v>
      </c>
      <c r="M302" s="195">
        <f t="shared" ref="M302:M310" si="37">G302/12/K302</f>
        <v>0.39484189206846992</v>
      </c>
      <c r="N302" s="195">
        <f>F302/24/31/10</f>
        <v>0.20196180036394998</v>
      </c>
      <c r="O302" s="195">
        <f>G302/24/31/10</f>
        <v>9.7475000000000006E-2</v>
      </c>
      <c r="P302" s="195">
        <v>0.98499999999999999</v>
      </c>
      <c r="Q302" s="195">
        <v>0.57236025000000001</v>
      </c>
      <c r="R302" s="196">
        <v>0.99</v>
      </c>
      <c r="S302" s="197">
        <v>0.99109999999999998</v>
      </c>
      <c r="T302" s="198">
        <v>1.4999999999999999E-2</v>
      </c>
      <c r="U302" s="197">
        <v>0</v>
      </c>
      <c r="V302" s="198">
        <v>0</v>
      </c>
      <c r="W302" s="197">
        <v>0</v>
      </c>
      <c r="X302" s="199">
        <f t="shared" si="29"/>
        <v>-0.50739803407946449</v>
      </c>
    </row>
    <row r="303" spans="1:24">
      <c r="A303" s="189" t="s">
        <v>14</v>
      </c>
      <c r="B303" s="190" t="s">
        <v>64</v>
      </c>
      <c r="C303" s="190">
        <v>10</v>
      </c>
      <c r="D303" s="191">
        <v>12</v>
      </c>
      <c r="E303" s="192">
        <v>42978</v>
      </c>
      <c r="F303" s="24">
        <v>1427.0736823105949</v>
      </c>
      <c r="G303" s="24">
        <v>1092.096</v>
      </c>
      <c r="H303" s="193">
        <v>145.4</v>
      </c>
      <c r="I303" s="194">
        <v>126.11</v>
      </c>
      <c r="J303" s="193">
        <v>146.30000000000001</v>
      </c>
      <c r="K303" s="194">
        <v>126.87</v>
      </c>
      <c r="L303" s="195">
        <v>0.81286949322772539</v>
      </c>
      <c r="M303" s="195">
        <f t="shared" si="37"/>
        <v>0.71733270276661143</v>
      </c>
      <c r="N303" s="195">
        <f>F303/24/31/10</f>
        <v>0.19181097880518747</v>
      </c>
      <c r="O303" s="195">
        <f>G303/24/31/10</f>
        <v>0.14678709677419355</v>
      </c>
      <c r="P303" s="195">
        <v>0.98499999999999999</v>
      </c>
      <c r="Q303" s="195">
        <v>0.86335919999999999</v>
      </c>
      <c r="R303" s="196">
        <v>0.99</v>
      </c>
      <c r="S303" s="197">
        <v>0.99099999999999999</v>
      </c>
      <c r="T303" s="198">
        <v>1.4999999999999999E-2</v>
      </c>
      <c r="U303" s="197">
        <v>0</v>
      </c>
      <c r="V303" s="198">
        <v>0</v>
      </c>
      <c r="W303" s="197">
        <v>0</v>
      </c>
      <c r="X303" s="199">
        <f t="shared" si="29"/>
        <v>-0.1019211783333569</v>
      </c>
    </row>
    <row r="304" spans="1:24">
      <c r="A304" s="189" t="s">
        <v>14</v>
      </c>
      <c r="B304" s="190" t="s">
        <v>64</v>
      </c>
      <c r="C304" s="190">
        <v>10</v>
      </c>
      <c r="D304" s="191">
        <v>12</v>
      </c>
      <c r="E304" s="192">
        <v>43008</v>
      </c>
      <c r="F304" s="24">
        <v>1422.16964903805</v>
      </c>
      <c r="G304" s="24">
        <v>1188.57</v>
      </c>
      <c r="H304" s="193">
        <v>141.6</v>
      </c>
      <c r="I304" s="194">
        <v>125.76</v>
      </c>
      <c r="J304" s="193">
        <v>145.5</v>
      </c>
      <c r="K304" s="194">
        <v>127.05</v>
      </c>
      <c r="L304" s="195">
        <v>0.81453015408823026</v>
      </c>
      <c r="M304" s="195">
        <f t="shared" si="37"/>
        <v>0.77959464777646592</v>
      </c>
      <c r="N304" s="195">
        <f>F304/24/30/10</f>
        <v>0.19752356236639584</v>
      </c>
      <c r="O304" s="195">
        <f>G304/24/30/10</f>
        <v>0.16507916666666667</v>
      </c>
      <c r="P304" s="195">
        <v>0.98499999999999999</v>
      </c>
      <c r="Q304" s="195">
        <v>0.96185839000000006</v>
      </c>
      <c r="R304" s="196">
        <v>0.99</v>
      </c>
      <c r="S304" s="197">
        <v>0.99129999999999996</v>
      </c>
      <c r="T304" s="198">
        <v>1.4999999999999999E-2</v>
      </c>
      <c r="U304" s="197">
        <v>0</v>
      </c>
      <c r="V304" s="198">
        <v>0</v>
      </c>
      <c r="W304" s="197">
        <v>0</v>
      </c>
      <c r="X304" s="199">
        <f t="shared" si="29"/>
        <v>-3.7451701320543984E-2</v>
      </c>
    </row>
    <row r="305" spans="1:24">
      <c r="A305" s="189" t="s">
        <v>14</v>
      </c>
      <c r="B305" s="190" t="s">
        <v>64</v>
      </c>
      <c r="C305" s="190">
        <v>10</v>
      </c>
      <c r="D305" s="191">
        <v>12</v>
      </c>
      <c r="E305" s="192">
        <v>43039</v>
      </c>
      <c r="F305" s="24">
        <v>1630.1006597939579</v>
      </c>
      <c r="G305" s="24">
        <v>1407.702</v>
      </c>
      <c r="H305" s="193">
        <v>139.1</v>
      </c>
      <c r="I305" s="194">
        <v>125.88</v>
      </c>
      <c r="J305" s="193">
        <v>172.2</v>
      </c>
      <c r="K305" s="194">
        <v>153.46</v>
      </c>
      <c r="L305" s="195">
        <v>0.78886017218058357</v>
      </c>
      <c r="M305" s="195">
        <f t="shared" si="37"/>
        <v>0.76442395412485331</v>
      </c>
      <c r="N305" s="195">
        <f>F305/24/31/10</f>
        <v>0.21909955104757498</v>
      </c>
      <c r="O305" s="195">
        <f>G305/24/31/10</f>
        <v>0.18920725806451613</v>
      </c>
      <c r="P305" s="195">
        <v>0.98499999999999999</v>
      </c>
      <c r="Q305" s="195">
        <v>0.96874040000000006</v>
      </c>
      <c r="R305" s="196">
        <v>0.99</v>
      </c>
      <c r="S305" s="197">
        <v>0.97399999999999998</v>
      </c>
      <c r="T305" s="198">
        <v>1.4999999999999999E-2</v>
      </c>
      <c r="U305" s="197">
        <v>0</v>
      </c>
      <c r="V305" s="198">
        <v>0</v>
      </c>
      <c r="W305" s="197">
        <v>0</v>
      </c>
      <c r="X305" s="199">
        <f t="shared" si="29"/>
        <v>-2.7605524851254448E-2</v>
      </c>
    </row>
    <row r="306" spans="1:24">
      <c r="A306" s="189" t="s">
        <v>14</v>
      </c>
      <c r="B306" s="190" t="s">
        <v>64</v>
      </c>
      <c r="C306" s="190">
        <v>10</v>
      </c>
      <c r="D306" s="191">
        <v>12</v>
      </c>
      <c r="E306" s="192">
        <v>43069</v>
      </c>
      <c r="F306" s="24">
        <v>1442.7665887827388</v>
      </c>
      <c r="G306" s="24">
        <v>1127.742</v>
      </c>
      <c r="H306" s="193">
        <v>108.1</v>
      </c>
      <c r="I306" s="194">
        <v>89.02</v>
      </c>
      <c r="J306" s="193">
        <v>152.1</v>
      </c>
      <c r="K306" s="194">
        <v>116.47</v>
      </c>
      <c r="L306" s="195">
        <v>0.79047040805541247</v>
      </c>
      <c r="M306" s="195">
        <f t="shared" si="37"/>
        <v>0.80689018631407228</v>
      </c>
      <c r="N306" s="195">
        <f>F306/24/30/10</f>
        <v>0.20038424844204705</v>
      </c>
      <c r="O306" s="195">
        <f>G306/24/30/10</f>
        <v>0.15663083333333333</v>
      </c>
      <c r="P306" s="195">
        <v>0.98499999999999999</v>
      </c>
      <c r="Q306" s="195">
        <v>0.97470800000000002</v>
      </c>
      <c r="R306" s="196">
        <v>0.99</v>
      </c>
      <c r="S306" s="197">
        <v>0.98</v>
      </c>
      <c r="T306" s="198">
        <v>1.4999999999999999E-2</v>
      </c>
      <c r="U306" s="197">
        <v>0</v>
      </c>
      <c r="V306" s="198">
        <v>0</v>
      </c>
      <c r="W306" s="197">
        <v>0</v>
      </c>
      <c r="X306" s="199">
        <f t="shared" si="29"/>
        <v>1.5906203445420264E-2</v>
      </c>
    </row>
    <row r="307" spans="1:24">
      <c r="A307" s="189" t="s">
        <v>14</v>
      </c>
      <c r="B307" s="190" t="s">
        <v>64</v>
      </c>
      <c r="C307" s="190">
        <v>10</v>
      </c>
      <c r="D307" s="191">
        <v>12</v>
      </c>
      <c r="E307" s="192">
        <v>43100</v>
      </c>
      <c r="F307" s="24">
        <v>1212.2770249731238</v>
      </c>
      <c r="G307" s="24">
        <v>1098.876</v>
      </c>
      <c r="H307" s="193">
        <v>89.9</v>
      </c>
      <c r="I307" s="194">
        <v>76.150000000000006</v>
      </c>
      <c r="J307" s="193">
        <v>129.6</v>
      </c>
      <c r="K307" s="194">
        <v>105.62</v>
      </c>
      <c r="L307" s="195">
        <v>0.77949911585206011</v>
      </c>
      <c r="M307" s="195">
        <f t="shared" si="37"/>
        <v>0.8670043552357507</v>
      </c>
      <c r="N307" s="195">
        <f>F307/24/31/10</f>
        <v>0.16294046034584997</v>
      </c>
      <c r="O307" s="195">
        <f>G307/24/31/10</f>
        <v>0.14769838709677419</v>
      </c>
      <c r="P307" s="195">
        <v>0.98499999999999999</v>
      </c>
      <c r="Q307" s="195">
        <v>0.9919</v>
      </c>
      <c r="R307" s="196">
        <v>0.99</v>
      </c>
      <c r="S307" s="197">
        <v>0.9919</v>
      </c>
      <c r="T307" s="198">
        <v>1.4999999999999999E-2</v>
      </c>
      <c r="U307" s="197">
        <v>0</v>
      </c>
      <c r="V307" s="198">
        <v>0</v>
      </c>
      <c r="W307" s="197">
        <v>0</v>
      </c>
      <c r="X307" s="199">
        <f t="shared" si="29"/>
        <v>9.1487043241559096E-2</v>
      </c>
    </row>
    <row r="308" spans="1:24">
      <c r="A308" s="189" t="s">
        <v>14</v>
      </c>
      <c r="B308" s="190" t="s">
        <v>64</v>
      </c>
      <c r="C308" s="190">
        <v>10</v>
      </c>
      <c r="D308" s="191">
        <v>12</v>
      </c>
      <c r="E308" s="192">
        <v>43131</v>
      </c>
      <c r="F308" s="24">
        <v>1019.8182391920955</v>
      </c>
      <c r="G308" s="24">
        <v>941.35199999999998</v>
      </c>
      <c r="H308" s="193">
        <v>79.599999999999994</v>
      </c>
      <c r="I308" s="194">
        <v>71.47</v>
      </c>
      <c r="J308" s="193">
        <v>103.2</v>
      </c>
      <c r="K308" s="194">
        <v>95.2</v>
      </c>
      <c r="L308" s="195">
        <v>0.82763481424572438</v>
      </c>
      <c r="M308" s="195">
        <f t="shared" si="37"/>
        <v>0.82401260504201679</v>
      </c>
      <c r="N308" s="195">
        <f>F308/24/31/10</f>
        <v>0.1370723439774322</v>
      </c>
      <c r="O308" s="195">
        <f>G308/24/31/10</f>
        <v>0.1265258064516129</v>
      </c>
      <c r="P308" s="195">
        <v>0.98499999999999999</v>
      </c>
      <c r="Q308" s="195">
        <v>0.98019999999999996</v>
      </c>
      <c r="R308" s="196">
        <v>0.99</v>
      </c>
      <c r="S308" s="197">
        <v>0.98570000000000002</v>
      </c>
      <c r="T308" s="198">
        <v>1.4999999999999999E-2</v>
      </c>
      <c r="U308" s="197">
        <v>0</v>
      </c>
      <c r="V308" s="198">
        <v>0</v>
      </c>
      <c r="W308" s="197">
        <v>0</v>
      </c>
      <c r="X308" s="199">
        <f t="shared" si="29"/>
        <v>5.7798364650063494E-4</v>
      </c>
    </row>
    <row r="309" spans="1:24">
      <c r="A309" s="189" t="s">
        <v>14</v>
      </c>
      <c r="B309" s="190" t="s">
        <v>64</v>
      </c>
      <c r="C309" s="190">
        <v>10</v>
      </c>
      <c r="D309" s="191">
        <v>12</v>
      </c>
      <c r="E309" s="192">
        <v>43159</v>
      </c>
      <c r="F309" s="24">
        <v>1338.9383963364162</v>
      </c>
      <c r="G309" s="24">
        <f>1352974/1000</f>
        <v>1352.9739999999999</v>
      </c>
      <c r="H309" s="193">
        <v>108.1</v>
      </c>
      <c r="I309" s="194">
        <v>108.7</v>
      </c>
      <c r="J309" s="193">
        <v>137.5</v>
      </c>
      <c r="K309" s="194">
        <v>138.41</v>
      </c>
      <c r="L309" s="195">
        <v>0.81555559393111998</v>
      </c>
      <c r="M309" s="195">
        <f t="shared" si="37"/>
        <v>0.81459311706764925</v>
      </c>
      <c r="N309" s="195">
        <f>F309/24/28/10</f>
        <v>0.19924678516910957</v>
      </c>
      <c r="O309" s="195">
        <f>G309/24/28/10</f>
        <v>0.20133541666666668</v>
      </c>
      <c r="P309" s="195">
        <v>0.98499999999999999</v>
      </c>
      <c r="Q309" s="195">
        <v>0.93910000000000005</v>
      </c>
      <c r="R309" s="196">
        <v>0.99</v>
      </c>
      <c r="S309" s="197">
        <v>0.97389999999999999</v>
      </c>
      <c r="T309" s="198">
        <v>1.4999999999999999E-2</v>
      </c>
      <c r="U309" s="197">
        <v>0</v>
      </c>
      <c r="V309" s="198">
        <v>0</v>
      </c>
      <c r="W309" s="197">
        <v>0</v>
      </c>
      <c r="X309" s="199">
        <f t="shared" si="29"/>
        <v>3.8644540536310057E-3</v>
      </c>
    </row>
    <row r="310" spans="1:24">
      <c r="A310" s="189" t="s">
        <v>14</v>
      </c>
      <c r="B310" s="190" t="s">
        <v>64</v>
      </c>
      <c r="C310" s="190">
        <v>10</v>
      </c>
      <c r="D310" s="191">
        <v>12</v>
      </c>
      <c r="E310" s="192">
        <v>43190</v>
      </c>
      <c r="F310" s="24">
        <v>1795</v>
      </c>
      <c r="G310" s="24">
        <v>1683.57</v>
      </c>
      <c r="H310" s="193">
        <v>161.4</v>
      </c>
      <c r="I310" s="194">
        <v>161.56</v>
      </c>
      <c r="J310" s="193">
        <v>187.8</v>
      </c>
      <c r="K310" s="194">
        <v>184.76</v>
      </c>
      <c r="L310" s="195">
        <v>0.80080060538540998</v>
      </c>
      <c r="M310" s="195">
        <f t="shared" si="37"/>
        <v>0.75934996752543837</v>
      </c>
      <c r="N310" s="195">
        <f>F310/24/31/10</f>
        <v>0.24126344086021506</v>
      </c>
      <c r="O310" s="195">
        <f>G310/24/31/10</f>
        <v>0.22628629032258063</v>
      </c>
      <c r="P310" s="195">
        <v>0.98499999999999999</v>
      </c>
      <c r="Q310" s="195">
        <v>0.92793580000000009</v>
      </c>
      <c r="R310" s="196">
        <v>0.99</v>
      </c>
      <c r="S310" s="197">
        <v>0.99950000000000006</v>
      </c>
      <c r="T310" s="198">
        <v>1.4999999999999999E-2</v>
      </c>
      <c r="U310" s="197">
        <v>0</v>
      </c>
      <c r="V310" s="198">
        <v>0</v>
      </c>
      <c r="W310" s="197">
        <v>0</v>
      </c>
      <c r="X310" s="199">
        <f t="shared" si="29"/>
        <v>-4.5890560989139684E-2</v>
      </c>
    </row>
    <row r="311" spans="1:24">
      <c r="A311" s="189" t="s">
        <v>14</v>
      </c>
      <c r="B311" s="190" t="s">
        <v>64</v>
      </c>
      <c r="C311" s="190">
        <v>10</v>
      </c>
      <c r="D311" s="191">
        <v>12</v>
      </c>
      <c r="E311" s="192">
        <v>43220</v>
      </c>
      <c r="F311" s="24">
        <v>1746.1959679843237</v>
      </c>
      <c r="G311" s="24">
        <v>1446.8040000000001</v>
      </c>
      <c r="H311" s="193">
        <v>190.2</v>
      </c>
      <c r="I311" s="194">
        <v>153.19</v>
      </c>
      <c r="J311" s="193">
        <v>194</v>
      </c>
      <c r="K311" s="194">
        <v>158.58000000000001</v>
      </c>
      <c r="L311" s="195">
        <f>F311/D311/J311/P311</f>
        <v>0.7615067803933242</v>
      </c>
      <c r="M311" s="195">
        <f>G311/D311/K311/Q311</f>
        <v>0.79879709389985321</v>
      </c>
      <c r="N311" s="195">
        <f>F311/24/DAY(E311)/C311</f>
        <v>0.24252721777560052</v>
      </c>
      <c r="O311" s="195">
        <f>G311/24/DAY(E311)/C311</f>
        <v>0.20094500000000001</v>
      </c>
      <c r="P311" s="195">
        <v>0.98499999999999999</v>
      </c>
      <c r="Q311" s="195">
        <v>0.95179532</v>
      </c>
      <c r="R311" s="196">
        <v>0.99</v>
      </c>
      <c r="S311" s="197">
        <v>0.97540000000000004</v>
      </c>
      <c r="T311" s="198">
        <v>1.4999999999999999E-2</v>
      </c>
      <c r="U311" s="197">
        <v>0</v>
      </c>
      <c r="V311" s="198">
        <v>0</v>
      </c>
      <c r="W311" s="197">
        <v>0</v>
      </c>
      <c r="X311" s="199">
        <f t="shared" si="29"/>
        <v>1.11235002720802E-2</v>
      </c>
    </row>
    <row r="312" spans="1:24">
      <c r="A312" s="189" t="s">
        <v>14</v>
      </c>
      <c r="B312" s="190" t="s">
        <v>64</v>
      </c>
      <c r="C312" s="190">
        <v>10</v>
      </c>
      <c r="D312" s="191">
        <v>12</v>
      </c>
      <c r="E312" s="192">
        <v>43251</v>
      </c>
      <c r="F312" s="24">
        <v>1769.4373987065187</v>
      </c>
      <c r="G312" s="24">
        <f>1630950/1000</f>
        <v>1630.95</v>
      </c>
      <c r="H312" s="193">
        <v>197</v>
      </c>
      <c r="I312" s="194">
        <v>169.9</v>
      </c>
      <c r="J312" s="193">
        <v>197.7</v>
      </c>
      <c r="K312" s="194">
        <v>171.73</v>
      </c>
      <c r="L312" s="195">
        <f t="shared" ref="L312:L369" si="38">F312/D312/J312/P312</f>
        <v>0.75720078650098765</v>
      </c>
      <c r="M312" s="195">
        <f t="shared" ref="M312:M369" si="39">G312/D312/K312/Q312</f>
        <v>0.79381275486624081</v>
      </c>
      <c r="N312" s="195">
        <f t="shared" ref="N312:N369" si="40">F312/24/DAY(E312)/C312</f>
        <v>0.23782760735302672</v>
      </c>
      <c r="O312" s="195">
        <f t="shared" ref="O312:O369" si="41">G312/24/DAY(E312)/C312</f>
        <v>0.21921370967741932</v>
      </c>
      <c r="P312" s="195">
        <v>0.98499999999999999</v>
      </c>
      <c r="Q312" s="195">
        <v>0.997</v>
      </c>
      <c r="R312" s="196">
        <v>0.99</v>
      </c>
      <c r="S312" s="197">
        <v>0.999</v>
      </c>
      <c r="T312" s="198">
        <v>1.4999999999999999E-2</v>
      </c>
      <c r="U312" s="197">
        <v>0</v>
      </c>
      <c r="V312" s="198">
        <v>0</v>
      </c>
      <c r="W312" s="197">
        <v>0</v>
      </c>
      <c r="X312" s="199">
        <f t="shared" si="29"/>
        <v>5.309430199155285E-2</v>
      </c>
    </row>
    <row r="313" spans="1:24">
      <c r="A313" s="189" t="s">
        <v>14</v>
      </c>
      <c r="B313" s="190" t="s">
        <v>64</v>
      </c>
      <c r="C313" s="190">
        <v>10</v>
      </c>
      <c r="D313" s="191">
        <v>12</v>
      </c>
      <c r="E313" s="192">
        <v>43281</v>
      </c>
      <c r="F313" s="24">
        <v>1588.3988857125746</v>
      </c>
      <c r="G313" s="24">
        <f>1531740/1000</f>
        <v>1531.74</v>
      </c>
      <c r="H313" s="193">
        <v>178.9</v>
      </c>
      <c r="I313" s="194">
        <f>5.22*30</f>
        <v>156.6</v>
      </c>
      <c r="J313" s="193">
        <v>177.2</v>
      </c>
      <c r="K313" s="194">
        <f>5.25*30</f>
        <v>157.5</v>
      </c>
      <c r="L313" s="195">
        <f t="shared" si="38"/>
        <v>0.75836517176027107</v>
      </c>
      <c r="M313" s="195">
        <f t="shared" si="39"/>
        <v>0.81879616533081878</v>
      </c>
      <c r="N313" s="195">
        <f t="shared" si="40"/>
        <v>0.22061095634896871</v>
      </c>
      <c r="O313" s="195">
        <f t="shared" si="41"/>
        <v>0.21274166666666666</v>
      </c>
      <c r="P313" s="195">
        <v>0.98499999999999999</v>
      </c>
      <c r="Q313" s="195">
        <v>0.98980000000000001</v>
      </c>
      <c r="R313" s="196">
        <v>0.99</v>
      </c>
      <c r="S313" s="197">
        <v>0.99050000000000005</v>
      </c>
      <c r="T313" s="198">
        <v>1.4999999999999999E-2</v>
      </c>
      <c r="U313" s="197">
        <v>0</v>
      </c>
      <c r="V313" s="198">
        <v>0</v>
      </c>
      <c r="W313" s="197">
        <v>0</v>
      </c>
      <c r="X313" s="199">
        <f t="shared" si="29"/>
        <v>7.5503375802665418E-2</v>
      </c>
    </row>
    <row r="314" spans="1:24">
      <c r="A314" s="189" t="s">
        <v>14</v>
      </c>
      <c r="B314" s="190" t="s">
        <v>64</v>
      </c>
      <c r="C314" s="190">
        <v>10</v>
      </c>
      <c r="D314" s="191">
        <v>12</v>
      </c>
      <c r="E314" s="192">
        <v>43312</v>
      </c>
      <c r="F314" s="24">
        <v>1406.1371395227259</v>
      </c>
      <c r="G314" s="24">
        <f>1265856/1000</f>
        <v>1265.856</v>
      </c>
      <c r="H314" s="193">
        <v>155.5</v>
      </c>
      <c r="I314" s="194">
        <v>130.11000000000001</v>
      </c>
      <c r="J314" s="193">
        <v>154.6</v>
      </c>
      <c r="K314" s="194">
        <v>128.13999999999999</v>
      </c>
      <c r="L314" s="195">
        <f t="shared" si="38"/>
        <v>0.76948598288839154</v>
      </c>
      <c r="M314" s="195">
        <f t="shared" si="39"/>
        <v>0.84122685274456654</v>
      </c>
      <c r="N314" s="195">
        <f t="shared" si="40"/>
        <v>0.18899692735520507</v>
      </c>
      <c r="O314" s="195">
        <f t="shared" si="41"/>
        <v>0.17014193548387097</v>
      </c>
      <c r="P314" s="195">
        <v>0.98499999999999999</v>
      </c>
      <c r="Q314" s="195">
        <v>0.97860000000000003</v>
      </c>
      <c r="R314" s="196">
        <v>0.99</v>
      </c>
      <c r="S314" s="197">
        <v>0.99009999999999998</v>
      </c>
      <c r="T314" s="198">
        <v>1.4999999999999999E-2</v>
      </c>
      <c r="U314" s="197">
        <v>0</v>
      </c>
      <c r="V314" s="198">
        <v>0</v>
      </c>
      <c r="W314" s="197">
        <v>0</v>
      </c>
      <c r="X314" s="199">
        <f t="shared" si="29"/>
        <v>7.138787469817276E-2</v>
      </c>
    </row>
    <row r="315" spans="1:24">
      <c r="A315" s="189" t="s">
        <v>14</v>
      </c>
      <c r="B315" s="190" t="s">
        <v>64</v>
      </c>
      <c r="C315" s="190">
        <v>10</v>
      </c>
      <c r="D315" s="191">
        <v>12</v>
      </c>
      <c r="E315" s="192">
        <v>43343</v>
      </c>
      <c r="F315" s="24">
        <v>1334.577997562282</v>
      </c>
      <c r="G315" s="24">
        <f>1116492/1000</f>
        <v>1116.492</v>
      </c>
      <c r="H315" s="193">
        <v>145.4</v>
      </c>
      <c r="I315" s="194">
        <v>113.72</v>
      </c>
      <c r="J315" s="193">
        <v>146.30000000000001</v>
      </c>
      <c r="K315" s="194">
        <v>112.81</v>
      </c>
      <c r="L315" s="195">
        <f t="shared" si="38"/>
        <v>0.77175980882194062</v>
      </c>
      <c r="M315" s="195">
        <f t="shared" si="39"/>
        <v>0.84625327662672656</v>
      </c>
      <c r="N315" s="195">
        <f t="shared" si="40"/>
        <v>0.17937876311320994</v>
      </c>
      <c r="O315" s="195">
        <f t="shared" si="41"/>
        <v>0.15006612903225808</v>
      </c>
      <c r="P315" s="195">
        <v>0.98499999999999999</v>
      </c>
      <c r="Q315" s="195">
        <v>0.97460000000000002</v>
      </c>
      <c r="R315" s="196">
        <v>0.99</v>
      </c>
      <c r="S315" s="197">
        <v>0.99939999999999996</v>
      </c>
      <c r="T315" s="198">
        <v>1.4999999999999999E-2</v>
      </c>
      <c r="U315" s="197">
        <v>0</v>
      </c>
      <c r="V315" s="198">
        <v>0</v>
      </c>
      <c r="W315" s="197">
        <v>0</v>
      </c>
      <c r="X315" s="199">
        <f t="shared" si="29"/>
        <v>6.5501238659121164E-2</v>
      </c>
    </row>
    <row r="316" spans="1:24">
      <c r="A316" s="189" t="s">
        <v>14</v>
      </c>
      <c r="B316" s="190" t="s">
        <v>64</v>
      </c>
      <c r="C316" s="190">
        <v>10</v>
      </c>
      <c r="D316" s="191">
        <v>12</v>
      </c>
      <c r="E316" s="192">
        <v>43373</v>
      </c>
      <c r="F316" s="24">
        <v>1330.2966813766141</v>
      </c>
      <c r="G316" s="24">
        <f>1189860/1000</f>
        <v>1189.8599999999999</v>
      </c>
      <c r="H316" s="193">
        <v>141.6</v>
      </c>
      <c r="I316" s="194">
        <v>120.92</v>
      </c>
      <c r="J316" s="193">
        <v>145.5</v>
      </c>
      <c r="K316" s="194">
        <v>124.22</v>
      </c>
      <c r="L316" s="195">
        <f t="shared" si="38"/>
        <v>0.77351374941221074</v>
      </c>
      <c r="M316" s="195">
        <f t="shared" si="39"/>
        <v>0.82426775960972087</v>
      </c>
      <c r="N316" s="195">
        <f t="shared" si="40"/>
        <v>0.18476342796897419</v>
      </c>
      <c r="O316" s="195">
        <f t="shared" si="41"/>
        <v>0.16525833333333331</v>
      </c>
      <c r="P316" s="195">
        <v>0.98499999999999999</v>
      </c>
      <c r="Q316" s="195">
        <v>0.96840000000000004</v>
      </c>
      <c r="R316" s="196">
        <v>0.99</v>
      </c>
      <c r="S316" s="197">
        <v>0.98180000000000001</v>
      </c>
      <c r="T316" s="198">
        <v>1.4999999999999999E-2</v>
      </c>
      <c r="U316" s="197">
        <v>0</v>
      </c>
      <c r="V316" s="198">
        <v>0</v>
      </c>
      <c r="W316" s="197">
        <v>0</v>
      </c>
      <c r="X316" s="199">
        <f t="shared" si="29"/>
        <v>4.0686354679566605E-2</v>
      </c>
    </row>
    <row r="317" spans="1:24">
      <c r="A317" s="189" t="s">
        <v>14</v>
      </c>
      <c r="B317" s="190" t="s">
        <v>64</v>
      </c>
      <c r="C317" s="190">
        <v>10</v>
      </c>
      <c r="D317" s="191">
        <v>12</v>
      </c>
      <c r="E317" s="192">
        <v>43404</v>
      </c>
      <c r="F317" s="24">
        <v>1524.1791429275609</v>
      </c>
      <c r="G317" s="24">
        <f>1545108/1000</f>
        <v>1545.1079999999999</v>
      </c>
      <c r="H317" s="193">
        <v>139.1</v>
      </c>
      <c r="I317" s="194">
        <f>4.36*31</f>
        <v>135.16</v>
      </c>
      <c r="J317" s="193">
        <v>172.2</v>
      </c>
      <c r="K317" s="194">
        <f>5.35*31</f>
        <v>165.85</v>
      </c>
      <c r="L317" s="195">
        <f t="shared" si="38"/>
        <v>0.74883371700535173</v>
      </c>
      <c r="M317" s="195">
        <f t="shared" si="39"/>
        <v>0.79553043852782102</v>
      </c>
      <c r="N317" s="195">
        <f t="shared" si="40"/>
        <v>0.20486278802789798</v>
      </c>
      <c r="O317" s="195">
        <f t="shared" si="41"/>
        <v>0.20767580645161288</v>
      </c>
      <c r="P317" s="195">
        <v>0.98499999999999999</v>
      </c>
      <c r="Q317" s="195">
        <v>0.97589999999999999</v>
      </c>
      <c r="R317" s="196">
        <v>0.99</v>
      </c>
      <c r="S317" s="197">
        <v>0.97660000000000002</v>
      </c>
      <c r="T317" s="198">
        <v>1.4999999999999999E-2</v>
      </c>
      <c r="U317" s="197">
        <v>0</v>
      </c>
      <c r="V317" s="198">
        <v>0</v>
      </c>
      <c r="W317" s="197">
        <v>0</v>
      </c>
      <c r="X317" s="199">
        <f t="shared" si="29"/>
        <v>5.060695767136314E-2</v>
      </c>
    </row>
    <row r="318" spans="1:24">
      <c r="A318" s="189" t="s">
        <v>14</v>
      </c>
      <c r="B318" s="190" t="s">
        <v>64</v>
      </c>
      <c r="C318" s="190">
        <v>10</v>
      </c>
      <c r="D318" s="191">
        <v>12</v>
      </c>
      <c r="E318" s="192">
        <v>43434</v>
      </c>
      <c r="F318" s="24">
        <v>1349.2567959131422</v>
      </c>
      <c r="G318" s="24">
        <f>1248954/1000</f>
        <v>1248.954</v>
      </c>
      <c r="H318" s="193">
        <v>108.1</v>
      </c>
      <c r="I318" s="194">
        <f>3.23*30</f>
        <v>96.9</v>
      </c>
      <c r="J318" s="193">
        <v>152.1</v>
      </c>
      <c r="K318" s="194">
        <f>4.54*30</f>
        <v>136.19999999999999</v>
      </c>
      <c r="L318" s="195">
        <f t="shared" si="38"/>
        <v>0.7504952080423658</v>
      </c>
      <c r="M318" s="195">
        <f t="shared" si="39"/>
        <v>0.77336976689268966</v>
      </c>
      <c r="N318" s="195">
        <f t="shared" si="40"/>
        <v>0.18739677721015863</v>
      </c>
      <c r="O318" s="195">
        <f t="shared" si="41"/>
        <v>0.17346583333333332</v>
      </c>
      <c r="P318" s="195">
        <v>0.98499999999999999</v>
      </c>
      <c r="Q318" s="195">
        <v>0.98809999999999998</v>
      </c>
      <c r="R318" s="196">
        <v>0.99</v>
      </c>
      <c r="S318" s="197">
        <v>0.99990000000000001</v>
      </c>
      <c r="T318" s="198">
        <v>1.4999999999999999E-2</v>
      </c>
      <c r="U318" s="197">
        <v>0</v>
      </c>
      <c r="V318" s="198">
        <v>0</v>
      </c>
      <c r="W318" s="197">
        <v>0</v>
      </c>
      <c r="X318" s="199">
        <f t="shared" si="29"/>
        <v>3.0197196426459127E-2</v>
      </c>
    </row>
    <row r="319" spans="1:24">
      <c r="A319" s="189" t="s">
        <v>14</v>
      </c>
      <c r="B319" s="190" t="s">
        <v>64</v>
      </c>
      <c r="C319" s="190">
        <v>10</v>
      </c>
      <c r="D319" s="191">
        <v>12</v>
      </c>
      <c r="E319" s="192">
        <v>43465</v>
      </c>
      <c r="F319" s="24">
        <v>1132.7445202379524</v>
      </c>
      <c r="G319" s="24">
        <f>1132326/1000</f>
        <v>1132.326</v>
      </c>
      <c r="H319" s="193">
        <v>89.9</v>
      </c>
      <c r="I319" s="194">
        <v>84.63</v>
      </c>
      <c r="J319" s="193">
        <v>129.6</v>
      </c>
      <c r="K319" s="194">
        <v>126.48</v>
      </c>
      <c r="L319" s="195">
        <f t="shared" si="38"/>
        <v>0.73945115534323524</v>
      </c>
      <c r="M319" s="195">
        <f t="shared" si="39"/>
        <v>0.7860612780668873</v>
      </c>
      <c r="N319" s="195">
        <f t="shared" si="40"/>
        <v>0.15225060755886458</v>
      </c>
      <c r="O319" s="195">
        <f t="shared" si="41"/>
        <v>0.15219435483870969</v>
      </c>
      <c r="P319" s="195">
        <v>0.98499999999999999</v>
      </c>
      <c r="Q319" s="195">
        <v>0.94910000000000005</v>
      </c>
      <c r="R319" s="196">
        <v>0.99</v>
      </c>
      <c r="S319" s="197">
        <v>0.99829999999999997</v>
      </c>
      <c r="T319" s="198">
        <v>1.4999999999999999E-2</v>
      </c>
      <c r="U319" s="197">
        <v>0</v>
      </c>
      <c r="V319" s="198">
        <v>0</v>
      </c>
      <c r="W319" s="197">
        <v>0</v>
      </c>
      <c r="X319" s="199">
        <f t="shared" si="29"/>
        <v>2.3704599554025596E-2</v>
      </c>
    </row>
    <row r="320" spans="1:24">
      <c r="A320" s="189" t="s">
        <v>14</v>
      </c>
      <c r="B320" s="190" t="s">
        <v>64</v>
      </c>
      <c r="C320" s="190">
        <v>10</v>
      </c>
      <c r="D320" s="191">
        <v>12</v>
      </c>
      <c r="E320" s="192">
        <v>43496</v>
      </c>
      <c r="F320" s="24">
        <v>953.64162087237878</v>
      </c>
      <c r="G320" s="24">
        <f>1116102/1000</f>
        <v>1116.1020000000001</v>
      </c>
      <c r="H320" s="193">
        <v>79.599999999999994</v>
      </c>
      <c r="I320" s="194">
        <v>87.73</v>
      </c>
      <c r="J320" s="193">
        <v>103.2</v>
      </c>
      <c r="K320" s="194">
        <v>120.28</v>
      </c>
      <c r="L320" s="195">
        <f t="shared" si="38"/>
        <v>0.78178624200899371</v>
      </c>
      <c r="M320" s="195">
        <f t="shared" si="39"/>
        <v>0.78816282206601351</v>
      </c>
      <c r="N320" s="195">
        <f t="shared" si="40"/>
        <v>0.12817763721402939</v>
      </c>
      <c r="O320" s="195">
        <f t="shared" si="41"/>
        <v>0.15001370967741939</v>
      </c>
      <c r="P320" s="195">
        <v>0.98499999999999999</v>
      </c>
      <c r="Q320" s="195">
        <v>0.98109999999999997</v>
      </c>
      <c r="R320" s="196">
        <v>0.99</v>
      </c>
      <c r="S320" s="197">
        <v>0.99409999999999998</v>
      </c>
      <c r="T320" s="198">
        <v>1.4999999999999999E-2</v>
      </c>
      <c r="U320" s="197">
        <v>0</v>
      </c>
      <c r="V320" s="198">
        <v>0</v>
      </c>
      <c r="W320" s="197">
        <v>0</v>
      </c>
      <c r="X320" s="199">
        <f t="shared" si="29"/>
        <v>4.8540190429775532E-3</v>
      </c>
    </row>
    <row r="321" spans="1:24">
      <c r="A321" s="189" t="s">
        <v>14</v>
      </c>
      <c r="B321" s="190" t="s">
        <v>64</v>
      </c>
      <c r="C321" s="190">
        <v>10</v>
      </c>
      <c r="D321" s="191">
        <v>12</v>
      </c>
      <c r="E321" s="192">
        <v>43524</v>
      </c>
      <c r="F321" s="24">
        <v>1251.8352932041269</v>
      </c>
      <c r="G321" s="24">
        <v>1026.6300000000001</v>
      </c>
      <c r="H321" s="193">
        <v>108.1</v>
      </c>
      <c r="I321" s="194">
        <v>85.399999999999991</v>
      </c>
      <c r="J321" s="193">
        <v>137.5</v>
      </c>
      <c r="K321" s="194">
        <v>108.36</v>
      </c>
      <c r="L321" s="195">
        <f t="shared" si="38"/>
        <v>0.7702416817130453</v>
      </c>
      <c r="M321" s="195">
        <f t="shared" si="39"/>
        <v>0.84215577703949807</v>
      </c>
      <c r="N321" s="195">
        <f t="shared" si="40"/>
        <v>0.18628501386966173</v>
      </c>
      <c r="O321" s="195">
        <f t="shared" si="41"/>
        <v>0.15277232142857144</v>
      </c>
      <c r="P321" s="195">
        <v>0.98499999999999999</v>
      </c>
      <c r="Q321" s="195">
        <v>0.9375</v>
      </c>
      <c r="R321" s="196">
        <v>0.99</v>
      </c>
      <c r="S321" s="197">
        <v>0.96640000000000004</v>
      </c>
      <c r="T321" s="198">
        <v>1.4999999999999999E-2</v>
      </c>
      <c r="U321" s="197">
        <v>0</v>
      </c>
      <c r="V321" s="198">
        <v>0</v>
      </c>
      <c r="W321" s="197">
        <v>0</v>
      </c>
      <c r="X321" s="199">
        <f t="shared" si="29"/>
        <v>3.2027173707293799E-2</v>
      </c>
    </row>
    <row r="322" spans="1:24">
      <c r="A322" s="189" t="s">
        <v>14</v>
      </c>
      <c r="B322" s="190" t="s">
        <v>64</v>
      </c>
      <c r="C322" s="190">
        <v>10</v>
      </c>
      <c r="D322" s="191">
        <v>12</v>
      </c>
      <c r="E322" s="192">
        <v>43555</v>
      </c>
      <c r="F322" s="24">
        <v>1679.0433707079778</v>
      </c>
      <c r="G322" s="24">
        <f>1710192/1000</f>
        <v>1710.192</v>
      </c>
      <c r="H322" s="193">
        <v>161.4</v>
      </c>
      <c r="I322" s="194">
        <v>152.38999999999999</v>
      </c>
      <c r="J322" s="193">
        <v>187.8</v>
      </c>
      <c r="K322" s="194">
        <v>182</v>
      </c>
      <c r="L322" s="195">
        <f t="shared" si="38"/>
        <v>0.75639534926091301</v>
      </c>
      <c r="M322" s="195">
        <f t="shared" si="39"/>
        <v>0.79522183919462275</v>
      </c>
      <c r="N322" s="195">
        <f t="shared" si="40"/>
        <v>0.22567787240698625</v>
      </c>
      <c r="O322" s="195">
        <f t="shared" si="41"/>
        <v>0.22986451612903225</v>
      </c>
      <c r="P322" s="195">
        <v>0.98499999999999999</v>
      </c>
      <c r="Q322" s="195">
        <v>0.98470000000000002</v>
      </c>
      <c r="R322" s="196">
        <v>0.99</v>
      </c>
      <c r="S322" s="197">
        <v>0.99419999999999997</v>
      </c>
      <c r="T322" s="198">
        <v>1.4999999999999999E-2</v>
      </c>
      <c r="U322" s="197">
        <v>0</v>
      </c>
      <c r="V322" s="198">
        <v>0</v>
      </c>
      <c r="W322" s="197">
        <v>0</v>
      </c>
      <c r="X322" s="199">
        <f t="shared" si="29"/>
        <v>4.9435333419025507E-2</v>
      </c>
    </row>
    <row r="323" spans="1:24">
      <c r="A323" s="189" t="s">
        <v>14</v>
      </c>
      <c r="B323" s="190" t="s">
        <v>64</v>
      </c>
      <c r="C323" s="190">
        <v>10</v>
      </c>
      <c r="D323" s="191">
        <v>12</v>
      </c>
      <c r="E323" s="192">
        <v>43585</v>
      </c>
      <c r="F323" s="24">
        <v>1737.4649881444018</v>
      </c>
      <c r="G323" s="24">
        <f>1646268/1000</f>
        <v>1646.268</v>
      </c>
      <c r="H323" s="193">
        <v>190.2</v>
      </c>
      <c r="I323" s="194">
        <f>5.72*30</f>
        <v>171.6</v>
      </c>
      <c r="J323" s="193">
        <v>194</v>
      </c>
      <c r="K323" s="194">
        <f>6.07*30</f>
        <v>182.10000000000002</v>
      </c>
      <c r="L323" s="195">
        <f t="shared" si="38"/>
        <v>0.75769924649135745</v>
      </c>
      <c r="M323" s="195">
        <f t="shared" si="39"/>
        <v>0.76082788704371473</v>
      </c>
      <c r="N323" s="195">
        <f t="shared" si="40"/>
        <v>0.24131458168672251</v>
      </c>
      <c r="O323" s="195">
        <f t="shared" si="41"/>
        <v>0.22864833333333334</v>
      </c>
      <c r="P323" s="195">
        <v>0.98499999999999999</v>
      </c>
      <c r="Q323" s="195">
        <v>0.99019999999999997</v>
      </c>
      <c r="R323" s="196">
        <v>0.99</v>
      </c>
      <c r="S323" s="197">
        <v>0.99560000000000004</v>
      </c>
      <c r="T323" s="198">
        <v>1.4999999999999999E-2</v>
      </c>
      <c r="U323" s="197">
        <v>0</v>
      </c>
      <c r="V323" s="198">
        <v>0</v>
      </c>
      <c r="W323" s="197">
        <v>0</v>
      </c>
      <c r="X323" s="199">
        <f t="shared" si="29"/>
        <v>8.8516733134315073E-3</v>
      </c>
    </row>
    <row r="324" spans="1:24">
      <c r="A324" s="189" t="s">
        <v>14</v>
      </c>
      <c r="B324" s="190" t="s">
        <v>64</v>
      </c>
      <c r="C324" s="190">
        <v>10</v>
      </c>
      <c r="D324" s="191">
        <v>12</v>
      </c>
      <c r="E324" s="192">
        <v>43616</v>
      </c>
      <c r="F324" s="24">
        <v>1760.5902117129863</v>
      </c>
      <c r="G324" s="24">
        <f>1664004/1000</f>
        <v>1664.0039999999999</v>
      </c>
      <c r="H324" s="193">
        <v>197</v>
      </c>
      <c r="I324" s="194">
        <v>193.26</v>
      </c>
      <c r="J324" s="193">
        <v>197.7</v>
      </c>
      <c r="K324" s="194">
        <v>196.83</v>
      </c>
      <c r="L324" s="195">
        <f t="shared" si="38"/>
        <v>0.7534147825684826</v>
      </c>
      <c r="M324" s="195">
        <f t="shared" si="39"/>
        <v>0.72681455312027299</v>
      </c>
      <c r="N324" s="195">
        <f t="shared" si="40"/>
        <v>0.23663846931626159</v>
      </c>
      <c r="O324" s="195">
        <f t="shared" si="41"/>
        <v>0.22365645161290323</v>
      </c>
      <c r="P324" s="195">
        <v>0.98499999999999999</v>
      </c>
      <c r="Q324" s="195">
        <v>0.96930000000000005</v>
      </c>
      <c r="R324" s="196">
        <v>0.99</v>
      </c>
      <c r="S324" s="197">
        <v>0.9859</v>
      </c>
      <c r="T324" s="198">
        <v>1.4999999999999999E-2</v>
      </c>
      <c r="U324" s="197">
        <v>0</v>
      </c>
      <c r="V324" s="198">
        <v>0</v>
      </c>
      <c r="W324" s="197">
        <v>0</v>
      </c>
      <c r="X324" s="199">
        <f t="shared" si="29"/>
        <v>-5.0459525190410637E-2</v>
      </c>
    </row>
    <row r="325" spans="1:24">
      <c r="A325" s="189" t="s">
        <v>14</v>
      </c>
      <c r="B325" s="190" t="s">
        <v>64</v>
      </c>
      <c r="C325" s="190">
        <v>10</v>
      </c>
      <c r="D325" s="191">
        <v>12</v>
      </c>
      <c r="E325" s="192">
        <v>43646</v>
      </c>
      <c r="F325" s="24">
        <v>1580.456891284012</v>
      </c>
      <c r="G325" s="24">
        <f>1626438/1000</f>
        <v>1626.4380000000001</v>
      </c>
      <c r="H325" s="193">
        <v>178.9</v>
      </c>
      <c r="I325" s="194">
        <v>186.3</v>
      </c>
      <c r="J325" s="193">
        <v>177.2</v>
      </c>
      <c r="K325" s="194">
        <v>189.60000000000002</v>
      </c>
      <c r="L325" s="195">
        <f t="shared" si="38"/>
        <v>0.75457334590146985</v>
      </c>
      <c r="M325" s="195">
        <f t="shared" si="39"/>
        <v>0.71801422037555962</v>
      </c>
      <c r="N325" s="195">
        <f t="shared" si="40"/>
        <v>0.21950790156722394</v>
      </c>
      <c r="O325" s="195">
        <f t="shared" si="41"/>
        <v>0.22589416666666667</v>
      </c>
      <c r="P325" s="195">
        <v>0.98499999999999999</v>
      </c>
      <c r="Q325" s="195">
        <v>0.99560000000000004</v>
      </c>
      <c r="R325" s="196">
        <v>0.99</v>
      </c>
      <c r="S325" s="197">
        <v>0.99909999999999999</v>
      </c>
      <c r="T325" s="198">
        <v>1.4999999999999999E-2</v>
      </c>
      <c r="U325" s="197">
        <v>0</v>
      </c>
      <c r="V325" s="198">
        <v>0</v>
      </c>
      <c r="W325" s="197">
        <v>0</v>
      </c>
      <c r="X325" s="199">
        <f t="shared" si="29"/>
        <v>-4.0883872127384313E-2</v>
      </c>
    </row>
    <row r="326" spans="1:24">
      <c r="A326" s="189" t="s">
        <v>14</v>
      </c>
      <c r="B326" s="190" t="s">
        <v>64</v>
      </c>
      <c r="C326" s="190">
        <v>10</v>
      </c>
      <c r="D326" s="191">
        <v>12</v>
      </c>
      <c r="E326" s="192">
        <v>43677</v>
      </c>
      <c r="F326" s="24">
        <v>1399.1064538251123</v>
      </c>
      <c r="G326" s="24">
        <v>1268.5740000000001</v>
      </c>
      <c r="H326" s="193">
        <v>155.5</v>
      </c>
      <c r="I326" s="194">
        <v>142.6</v>
      </c>
      <c r="J326" s="193">
        <v>154.6</v>
      </c>
      <c r="K326" s="194">
        <v>141.97999999999999</v>
      </c>
      <c r="L326" s="195">
        <f t="shared" si="38"/>
        <v>0.76563855297394967</v>
      </c>
      <c r="M326" s="195">
        <f t="shared" si="39"/>
        <v>0.79787095940959185</v>
      </c>
      <c r="N326" s="195">
        <f t="shared" si="40"/>
        <v>0.18805194271842907</v>
      </c>
      <c r="O326" s="195">
        <f t="shared" si="41"/>
        <v>0.17050725806451611</v>
      </c>
      <c r="P326" s="195">
        <v>0.98499999999999999</v>
      </c>
      <c r="Q326" s="195">
        <v>0.93320000000000003</v>
      </c>
      <c r="R326" s="196">
        <v>0.99</v>
      </c>
      <c r="S326" s="197">
        <v>0.98119999999999996</v>
      </c>
      <c r="T326" s="198">
        <v>1.4999999999999999E-2</v>
      </c>
      <c r="U326" s="197">
        <v>0</v>
      </c>
      <c r="V326" s="198">
        <v>0</v>
      </c>
      <c r="W326" s="197">
        <v>0</v>
      </c>
      <c r="X326" s="199">
        <f t="shared" si="29"/>
        <v>-1.16670006453371E-2</v>
      </c>
    </row>
    <row r="327" spans="1:24">
      <c r="A327" s="189" t="s">
        <v>14</v>
      </c>
      <c r="B327" s="190" t="s">
        <v>64</v>
      </c>
      <c r="C327" s="190">
        <v>10</v>
      </c>
      <c r="D327" s="191">
        <v>12</v>
      </c>
      <c r="E327" s="192">
        <v>43708</v>
      </c>
      <c r="F327" s="24">
        <v>1327.9051075744708</v>
      </c>
      <c r="G327" s="24">
        <f>1281810/1000</f>
        <v>1281.81</v>
      </c>
      <c r="H327" s="193">
        <v>145.4</v>
      </c>
      <c r="I327" s="194">
        <v>142</v>
      </c>
      <c r="J327" s="193">
        <v>146.30000000000001</v>
      </c>
      <c r="K327" s="194">
        <v>142</v>
      </c>
      <c r="L327" s="195">
        <f t="shared" si="38"/>
        <v>0.76790100977783093</v>
      </c>
      <c r="M327" s="195">
        <f t="shared" si="39"/>
        <v>0.80608220691487109</v>
      </c>
      <c r="N327" s="195">
        <f t="shared" si="40"/>
        <v>0.17848186929764392</v>
      </c>
      <c r="O327" s="195">
        <f t="shared" si="41"/>
        <v>0.17228629032258064</v>
      </c>
      <c r="P327" s="195">
        <v>0.98499999999999999</v>
      </c>
      <c r="Q327" s="195">
        <v>0.93320000000000003</v>
      </c>
      <c r="R327" s="196">
        <v>0.99</v>
      </c>
      <c r="S327" s="197">
        <v>0.98119999999999996</v>
      </c>
      <c r="T327" s="198">
        <v>1.4999999999999999E-2</v>
      </c>
      <c r="U327" s="197">
        <v>0</v>
      </c>
      <c r="V327" s="198">
        <v>0</v>
      </c>
      <c r="W327" s="197">
        <v>0</v>
      </c>
      <c r="X327" s="199">
        <f t="shared" si="29"/>
        <v>-5.3209907930913403E-3</v>
      </c>
    </row>
    <row r="328" spans="1:24">
      <c r="A328" s="189" t="s">
        <v>14</v>
      </c>
      <c r="B328" s="190" t="s">
        <v>64</v>
      </c>
      <c r="C328" s="190">
        <v>10</v>
      </c>
      <c r="D328" s="191">
        <v>12</v>
      </c>
      <c r="E328" s="192">
        <v>43738</v>
      </c>
      <c r="F328" s="24">
        <v>1323.645197969731</v>
      </c>
      <c r="G328" s="24">
        <f>1301310/1000</f>
        <v>1301.31</v>
      </c>
      <c r="H328" s="193">
        <v>141.6</v>
      </c>
      <c r="I328" s="194">
        <v>144</v>
      </c>
      <c r="J328" s="193">
        <v>145.5</v>
      </c>
      <c r="K328" s="194">
        <v>150</v>
      </c>
      <c r="L328" s="195">
        <f t="shared" si="38"/>
        <v>0.76964618066514967</v>
      </c>
      <c r="M328" s="195">
        <f t="shared" si="39"/>
        <v>0.75244587843463784</v>
      </c>
      <c r="N328" s="195">
        <f t="shared" si="40"/>
        <v>0.18383961082912931</v>
      </c>
      <c r="O328" s="195">
        <f t="shared" si="41"/>
        <v>0.1807375</v>
      </c>
      <c r="P328" s="195">
        <v>0.98499999999999999</v>
      </c>
      <c r="Q328" s="195">
        <v>0.96079999999999999</v>
      </c>
      <c r="R328" s="196">
        <v>0.99</v>
      </c>
      <c r="S328" s="197">
        <v>0.99760000000000004</v>
      </c>
      <c r="T328" s="198">
        <v>1.4999999999999999E-2</v>
      </c>
      <c r="U328" s="197">
        <v>0</v>
      </c>
      <c r="V328" s="198">
        <v>0</v>
      </c>
      <c r="W328" s="197">
        <v>0</v>
      </c>
      <c r="X328" s="199">
        <f t="shared" si="29"/>
        <v>-4.780184177479041E-2</v>
      </c>
    </row>
    <row r="329" spans="1:24">
      <c r="A329" s="189" t="s">
        <v>14</v>
      </c>
      <c r="B329" s="190" t="s">
        <v>64</v>
      </c>
      <c r="C329" s="190">
        <v>10</v>
      </c>
      <c r="D329" s="191">
        <v>12</v>
      </c>
      <c r="E329" s="192">
        <v>43769</v>
      </c>
      <c r="F329" s="24">
        <v>1516.5582472129233</v>
      </c>
      <c r="G329" s="24">
        <f>1195944/1000</f>
        <v>1195.944</v>
      </c>
      <c r="H329" s="193">
        <v>139.1</v>
      </c>
      <c r="I329" s="194">
        <v>129.58000000000001</v>
      </c>
      <c r="J329" s="193">
        <v>172.2</v>
      </c>
      <c r="K329" s="194">
        <v>150.66</v>
      </c>
      <c r="L329" s="195">
        <f t="shared" si="38"/>
        <v>0.74508954842032515</v>
      </c>
      <c r="M329" s="195">
        <f t="shared" si="39"/>
        <v>0.73672204183021739</v>
      </c>
      <c r="N329" s="195">
        <f t="shared" si="40"/>
        <v>0.20383847408775851</v>
      </c>
      <c r="O329" s="195">
        <f t="shared" si="41"/>
        <v>0.16074516129032257</v>
      </c>
      <c r="P329" s="195">
        <v>0.98499999999999999</v>
      </c>
      <c r="Q329" s="195">
        <v>0.89790000000000003</v>
      </c>
      <c r="R329" s="196">
        <v>0.99</v>
      </c>
      <c r="S329" s="197">
        <v>0.98880000000000001</v>
      </c>
      <c r="T329" s="198">
        <v>1.4999999999999999E-2</v>
      </c>
      <c r="U329" s="197">
        <v>0</v>
      </c>
      <c r="V329" s="198">
        <v>0</v>
      </c>
      <c r="W329" s="197">
        <v>0</v>
      </c>
      <c r="X329" s="199">
        <f t="shared" si="29"/>
        <v>-8.6322013793376562E-2</v>
      </c>
    </row>
    <row r="330" spans="1:24">
      <c r="A330" s="189" t="s">
        <v>14</v>
      </c>
      <c r="B330" s="190" t="s">
        <v>64</v>
      </c>
      <c r="C330" s="190">
        <v>10</v>
      </c>
      <c r="D330" s="191">
        <v>12</v>
      </c>
      <c r="E330" s="192">
        <v>43799</v>
      </c>
      <c r="F330" s="24">
        <v>1342.5105119335763</v>
      </c>
      <c r="G330" s="24">
        <f>1126668/1000</f>
        <v>1126.6679999999999</v>
      </c>
      <c r="H330" s="193">
        <v>108.1</v>
      </c>
      <c r="I330" s="194">
        <v>95.7</v>
      </c>
      <c r="J330" s="193">
        <v>152.1</v>
      </c>
      <c r="K330" s="194">
        <v>125.4</v>
      </c>
      <c r="L330" s="195">
        <f t="shared" si="38"/>
        <v>0.74674273200215391</v>
      </c>
      <c r="M330" s="195">
        <f t="shared" si="39"/>
        <v>0.75757979201957959</v>
      </c>
      <c r="N330" s="195">
        <f t="shared" si="40"/>
        <v>0.18645979332410784</v>
      </c>
      <c r="O330" s="195">
        <f t="shared" si="41"/>
        <v>0.15648166666666666</v>
      </c>
      <c r="P330" s="195">
        <v>0.98499999999999999</v>
      </c>
      <c r="Q330" s="195">
        <v>0.98829999999999996</v>
      </c>
      <c r="R330" s="196">
        <v>0.99</v>
      </c>
      <c r="S330" s="197">
        <v>1</v>
      </c>
      <c r="T330" s="198">
        <v>1.4999999999999999E-2</v>
      </c>
      <c r="U330" s="197">
        <v>0</v>
      </c>
      <c r="V330" s="198">
        <v>0</v>
      </c>
      <c r="W330" s="197">
        <v>0</v>
      </c>
      <c r="X330" s="199">
        <f t="shared" si="29"/>
        <v>1.4767119999200551E-2</v>
      </c>
    </row>
    <row r="331" spans="1:24">
      <c r="A331" s="189" t="s">
        <v>14</v>
      </c>
      <c r="B331" s="190" t="s">
        <v>64</v>
      </c>
      <c r="C331" s="190">
        <v>10</v>
      </c>
      <c r="D331" s="191">
        <v>12</v>
      </c>
      <c r="E331" s="192">
        <v>43830</v>
      </c>
      <c r="F331" s="24">
        <v>1127.0807976367626</v>
      </c>
      <c r="G331" s="24">
        <f>815292/1000</f>
        <v>815.29200000000003</v>
      </c>
      <c r="H331" s="193">
        <v>89.9</v>
      </c>
      <c r="I331" s="194">
        <v>70.680000000000007</v>
      </c>
      <c r="J331" s="193">
        <v>129.6</v>
      </c>
      <c r="K331" s="194">
        <v>91.45</v>
      </c>
      <c r="L331" s="195">
        <f t="shared" si="38"/>
        <v>0.73575389956651904</v>
      </c>
      <c r="M331" s="195">
        <f t="shared" si="39"/>
        <v>0.78917629397627131</v>
      </c>
      <c r="N331" s="195">
        <f t="shared" si="40"/>
        <v>0.15148935452107024</v>
      </c>
      <c r="O331" s="195">
        <f t="shared" si="41"/>
        <v>0.10958225806451613</v>
      </c>
      <c r="P331" s="195">
        <v>0.98499999999999999</v>
      </c>
      <c r="Q331" s="195">
        <v>0.94140000000000001</v>
      </c>
      <c r="R331" s="196">
        <v>0.99</v>
      </c>
      <c r="S331" s="197">
        <v>0.99939999999999996</v>
      </c>
      <c r="T331" s="198">
        <v>1.4999999999999999E-2</v>
      </c>
      <c r="U331" s="197">
        <v>0</v>
      </c>
      <c r="V331" s="198">
        <v>0</v>
      </c>
      <c r="W331" s="197">
        <v>0</v>
      </c>
      <c r="X331" s="199">
        <f t="shared" ref="X331:X420" si="42">(G331/F331-1)-(K331/J331-1)</f>
        <v>1.773334759883638E-2</v>
      </c>
    </row>
    <row r="332" spans="1:24">
      <c r="A332" s="189" t="s">
        <v>14</v>
      </c>
      <c r="B332" s="190" t="s">
        <v>64</v>
      </c>
      <c r="C332" s="190">
        <v>10</v>
      </c>
      <c r="D332" s="191">
        <v>12</v>
      </c>
      <c r="E332" s="192">
        <v>43861</v>
      </c>
      <c r="F332" s="24">
        <v>948.87341276801669</v>
      </c>
      <c r="G332" s="24">
        <f>857376/1000</f>
        <v>857.37599999999998</v>
      </c>
      <c r="H332" s="193">
        <v>79.599999999999994</v>
      </c>
      <c r="I332" s="194">
        <v>73.040000000000006</v>
      </c>
      <c r="J332" s="193">
        <v>103.2</v>
      </c>
      <c r="K332" s="194">
        <v>95.66</v>
      </c>
      <c r="L332" s="195">
        <f t="shared" si="38"/>
        <v>0.77787731079894862</v>
      </c>
      <c r="M332" s="195">
        <f t="shared" si="39"/>
        <v>0.83025261674596573</v>
      </c>
      <c r="N332" s="195">
        <f t="shared" si="40"/>
        <v>0.12753674902795925</v>
      </c>
      <c r="O332" s="195">
        <f t="shared" si="41"/>
        <v>0.11523870967741934</v>
      </c>
      <c r="P332" s="195">
        <v>0.98499999999999999</v>
      </c>
      <c r="Q332" s="195">
        <v>0.89959999999999996</v>
      </c>
      <c r="R332" s="196">
        <v>0.99</v>
      </c>
      <c r="S332" s="197">
        <v>0.998</v>
      </c>
      <c r="T332" s="198">
        <v>1.4999999999999999E-2</v>
      </c>
      <c r="U332" s="197">
        <v>0</v>
      </c>
      <c r="V332" s="198">
        <v>0</v>
      </c>
      <c r="W332" s="197">
        <v>0</v>
      </c>
      <c r="X332" s="199">
        <f t="shared" si="42"/>
        <v>-2.3365402038685312E-2</v>
      </c>
    </row>
    <row r="333" spans="1:24">
      <c r="A333" s="189" t="s">
        <v>14</v>
      </c>
      <c r="B333" s="190" t="s">
        <v>64</v>
      </c>
      <c r="C333" s="190">
        <v>10</v>
      </c>
      <c r="D333" s="191">
        <v>12</v>
      </c>
      <c r="E333" s="192">
        <v>43890</v>
      </c>
      <c r="F333" s="24">
        <v>1245.5761167381061</v>
      </c>
      <c r="G333" s="24">
        <f>1293564/1000</f>
        <v>1293.5640000000001</v>
      </c>
      <c r="H333" s="193">
        <v>108.1</v>
      </c>
      <c r="I333" s="194">
        <v>113.97</v>
      </c>
      <c r="J333" s="193">
        <v>137.5</v>
      </c>
      <c r="K333" s="194">
        <v>144.41999999999999</v>
      </c>
      <c r="L333" s="195">
        <f t="shared" si="38"/>
        <v>0.76639047330447996</v>
      </c>
      <c r="M333" s="195">
        <f t="shared" si="39"/>
        <v>0.77791895691876067</v>
      </c>
      <c r="N333" s="195">
        <f t="shared" si="40"/>
        <v>0.17896208573823363</v>
      </c>
      <c r="O333" s="195">
        <f t="shared" si="41"/>
        <v>0.18585689655172416</v>
      </c>
      <c r="P333" s="195">
        <v>0.98499999999999999</v>
      </c>
      <c r="Q333" s="195">
        <v>0.95950000000000002</v>
      </c>
      <c r="R333" s="196">
        <v>0.99</v>
      </c>
      <c r="S333" s="197">
        <v>1</v>
      </c>
      <c r="T333" s="198">
        <v>1.4999999999999999E-2</v>
      </c>
      <c r="U333" s="197">
        <v>0</v>
      </c>
      <c r="V333" s="198">
        <v>0</v>
      </c>
      <c r="W333" s="197">
        <v>0</v>
      </c>
      <c r="X333" s="199">
        <f t="shared" si="42"/>
        <v>-1.1800616172903178E-2</v>
      </c>
    </row>
    <row r="334" spans="1:24">
      <c r="A334" s="189" t="s">
        <v>14</v>
      </c>
      <c r="B334" s="190" t="s">
        <v>64</v>
      </c>
      <c r="C334" s="190">
        <v>10</v>
      </c>
      <c r="D334" s="191">
        <v>12</v>
      </c>
      <c r="E334" s="192">
        <v>43921</v>
      </c>
      <c r="F334" s="24">
        <v>1670.6481538544376</v>
      </c>
      <c r="G334" s="24">
        <f>1568502/1000</f>
        <v>1568.502</v>
      </c>
      <c r="H334" s="193">
        <v>161.4</v>
      </c>
      <c r="I334" s="194">
        <v>153.18</v>
      </c>
      <c r="J334" s="193">
        <v>187.8</v>
      </c>
      <c r="K334" s="194">
        <v>172</v>
      </c>
      <c r="L334" s="195">
        <f t="shared" si="38"/>
        <v>0.75261337251460836</v>
      </c>
      <c r="M334" s="195">
        <f t="shared" si="39"/>
        <v>0.7935809727807891</v>
      </c>
      <c r="N334" s="195">
        <f t="shared" si="40"/>
        <v>0.22454948304495131</v>
      </c>
      <c r="O334" s="195">
        <f t="shared" si="41"/>
        <v>0.21082016129032258</v>
      </c>
      <c r="P334" s="195">
        <v>0.98499999999999999</v>
      </c>
      <c r="Q334" s="195">
        <v>0.95760000000000001</v>
      </c>
      <c r="R334" s="196">
        <v>0.99</v>
      </c>
      <c r="S334" s="197">
        <v>0.99939999999999996</v>
      </c>
      <c r="T334" s="198">
        <v>1.4999999999999999E-2</v>
      </c>
      <c r="U334" s="197">
        <v>0</v>
      </c>
      <c r="V334" s="198">
        <v>0</v>
      </c>
      <c r="W334" s="197">
        <v>0</v>
      </c>
      <c r="X334" s="199">
        <f t="shared" si="42"/>
        <v>2.2990423838966545E-2</v>
      </c>
    </row>
    <row r="335" spans="1:24">
      <c r="A335" s="189" t="s">
        <v>14</v>
      </c>
      <c r="B335" s="190" t="s">
        <v>64</v>
      </c>
      <c r="C335" s="190">
        <v>10</v>
      </c>
      <c r="D335" s="191">
        <v>12</v>
      </c>
      <c r="E335" s="192">
        <v>43951</v>
      </c>
      <c r="F335" s="24">
        <v>1728.77766320368</v>
      </c>
      <c r="G335" s="24">
        <f>1592076/1000</f>
        <v>1592.076</v>
      </c>
      <c r="H335" s="193">
        <v>190.2</v>
      </c>
      <c r="I335" s="194">
        <v>177.6</v>
      </c>
      <c r="J335" s="193">
        <v>194</v>
      </c>
      <c r="K335" s="194">
        <v>179.1</v>
      </c>
      <c r="L335" s="195">
        <f t="shared" si="38"/>
        <v>0.75391075025890075</v>
      </c>
      <c r="M335" s="195">
        <f t="shared" si="39"/>
        <v>0.75443130943670611</v>
      </c>
      <c r="N335" s="195">
        <f t="shared" si="40"/>
        <v>0.24010800877828889</v>
      </c>
      <c r="O335" s="195">
        <f t="shared" si="41"/>
        <v>0.22112166666666666</v>
      </c>
      <c r="P335" s="195">
        <v>0.98499999999999999</v>
      </c>
      <c r="Q335" s="195">
        <v>0.9819</v>
      </c>
      <c r="R335" s="196">
        <v>0.99</v>
      </c>
      <c r="S335" s="197">
        <v>0.99880000000000002</v>
      </c>
      <c r="T335" s="198">
        <v>1.4999999999999999E-2</v>
      </c>
      <c r="U335" s="197">
        <v>0</v>
      </c>
      <c r="V335" s="198">
        <v>0</v>
      </c>
      <c r="W335" s="197">
        <v>0</v>
      </c>
      <c r="X335" s="199">
        <f t="shared" si="42"/>
        <v>-2.2700488172148203E-3</v>
      </c>
    </row>
    <row r="336" spans="1:24">
      <c r="A336" s="189" t="s">
        <v>14</v>
      </c>
      <c r="B336" s="190" t="s">
        <v>64</v>
      </c>
      <c r="C336" s="190">
        <v>10</v>
      </c>
      <c r="D336" s="191">
        <v>12</v>
      </c>
      <c r="E336" s="192">
        <v>43982</v>
      </c>
      <c r="F336" s="24">
        <v>1751.7872606544213</v>
      </c>
      <c r="G336" s="24">
        <f>1662258/1000</f>
        <v>1662.258</v>
      </c>
      <c r="H336" s="193">
        <v>197</v>
      </c>
      <c r="I336" s="194">
        <v>193.75</v>
      </c>
      <c r="J336" s="193">
        <v>197.7</v>
      </c>
      <c r="K336" s="194">
        <v>190.96</v>
      </c>
      <c r="L336" s="195">
        <f t="shared" si="38"/>
        <v>0.74964770865564034</v>
      </c>
      <c r="M336" s="195">
        <f t="shared" si="39"/>
        <v>0.74675249203034177</v>
      </c>
      <c r="N336" s="195">
        <f t="shared" si="40"/>
        <v>0.23545527696968033</v>
      </c>
      <c r="O336" s="195">
        <f t="shared" si="41"/>
        <v>0.22342177419354839</v>
      </c>
      <c r="P336" s="195">
        <v>0.98499999999999999</v>
      </c>
      <c r="Q336" s="195">
        <v>0.97140000000000004</v>
      </c>
      <c r="R336" s="196">
        <v>0.99</v>
      </c>
      <c r="S336" s="197">
        <v>0.99729999999999996</v>
      </c>
      <c r="T336" s="198">
        <v>1.4999999999999999E-2</v>
      </c>
      <c r="U336" s="197">
        <v>0</v>
      </c>
      <c r="V336" s="198">
        <v>0</v>
      </c>
      <c r="W336" s="197">
        <v>0</v>
      </c>
      <c r="X336" s="199">
        <f t="shared" si="42"/>
        <v>-1.7015323291801443E-2</v>
      </c>
    </row>
    <row r="337" spans="1:24">
      <c r="A337" s="189" t="s">
        <v>14</v>
      </c>
      <c r="B337" s="190" t="s">
        <v>64</v>
      </c>
      <c r="C337" s="190">
        <v>10</v>
      </c>
      <c r="D337" s="191">
        <v>12</v>
      </c>
      <c r="E337" s="192">
        <v>44012</v>
      </c>
      <c r="F337" s="24">
        <v>1572.5546068275917</v>
      </c>
      <c r="G337" s="24">
        <f>1634364/1000</f>
        <v>1634.364</v>
      </c>
      <c r="H337" s="193">
        <v>178.9</v>
      </c>
      <c r="I337" s="194">
        <v>188.28</v>
      </c>
      <c r="J337" s="193">
        <v>177.2</v>
      </c>
      <c r="K337" s="194">
        <v>184.28</v>
      </c>
      <c r="L337" s="195">
        <f t="shared" si="38"/>
        <v>0.75080047917196235</v>
      </c>
      <c r="M337" s="195">
        <f t="shared" si="39"/>
        <v>0.76295695826358734</v>
      </c>
      <c r="N337" s="195">
        <f t="shared" si="40"/>
        <v>0.21841036205938774</v>
      </c>
      <c r="O337" s="195">
        <f t="shared" si="41"/>
        <v>0.226995</v>
      </c>
      <c r="P337" s="195">
        <v>0.98499999999999999</v>
      </c>
      <c r="Q337" s="195">
        <v>0.96870000000000001</v>
      </c>
      <c r="R337" s="196">
        <v>0.99</v>
      </c>
      <c r="S337" s="197">
        <v>0.99850000000000005</v>
      </c>
      <c r="T337" s="198">
        <v>1.4999999999999999E-2</v>
      </c>
      <c r="U337" s="197">
        <v>0</v>
      </c>
      <c r="V337" s="198">
        <v>0</v>
      </c>
      <c r="W337" s="197">
        <v>0</v>
      </c>
      <c r="X337" s="199">
        <f t="shared" si="42"/>
        <v>-6.4976783823511575E-4</v>
      </c>
    </row>
    <row r="338" spans="1:24">
      <c r="A338" s="189" t="s">
        <v>14</v>
      </c>
      <c r="B338" s="190" t="s">
        <v>64</v>
      </c>
      <c r="C338" s="190">
        <v>10</v>
      </c>
      <c r="D338" s="191">
        <v>12</v>
      </c>
      <c r="E338" s="192">
        <v>44043</v>
      </c>
      <c r="F338" s="24">
        <v>1392.1109215559866</v>
      </c>
      <c r="G338" s="24">
        <f>1397856/1000</f>
        <v>1397.856</v>
      </c>
      <c r="H338" s="193">
        <v>155.5</v>
      </c>
      <c r="I338" s="194">
        <v>155.22</v>
      </c>
      <c r="J338" s="193">
        <v>154.6</v>
      </c>
      <c r="K338" s="194">
        <v>153.15</v>
      </c>
      <c r="L338" s="195">
        <f t="shared" si="38"/>
        <v>0.76181036020907988</v>
      </c>
      <c r="M338" s="195">
        <f t="shared" si="39"/>
        <v>0.79131687197510892</v>
      </c>
      <c r="N338" s="195">
        <f t="shared" si="40"/>
        <v>0.18711168300483691</v>
      </c>
      <c r="O338" s="195">
        <f t="shared" si="41"/>
        <v>0.18788387096774192</v>
      </c>
      <c r="P338" s="195">
        <v>0.98499999999999999</v>
      </c>
      <c r="Q338" s="195">
        <v>0.96120000000000005</v>
      </c>
      <c r="R338" s="196">
        <v>0.99</v>
      </c>
      <c r="S338" s="197">
        <v>0.98670000000000002</v>
      </c>
      <c r="T338" s="198">
        <v>1.4999999999999999E-2</v>
      </c>
      <c r="U338" s="197">
        <v>0</v>
      </c>
      <c r="V338" s="198">
        <v>0</v>
      </c>
      <c r="W338" s="197">
        <v>0</v>
      </c>
      <c r="X338" s="199">
        <f t="shared" si="42"/>
        <v>1.350592536593398E-2</v>
      </c>
    </row>
    <row r="339" spans="1:24">
      <c r="A339" s="189" t="s">
        <v>14</v>
      </c>
      <c r="B339" s="190" t="s">
        <v>64</v>
      </c>
      <c r="C339" s="190">
        <v>10</v>
      </c>
      <c r="D339" s="191">
        <v>12</v>
      </c>
      <c r="E339" s="192">
        <v>44074</v>
      </c>
      <c r="F339" s="24">
        <v>1321.2655820365981</v>
      </c>
      <c r="G339" s="24">
        <v>1174.7460000000001</v>
      </c>
      <c r="H339" s="193">
        <v>145.4</v>
      </c>
      <c r="I339" s="194">
        <v>135.4</v>
      </c>
      <c r="J339" s="193">
        <v>146.30000000000001</v>
      </c>
      <c r="K339" s="194">
        <v>135.54</v>
      </c>
      <c r="L339" s="195">
        <f t="shared" si="38"/>
        <v>0.76406150472894163</v>
      </c>
      <c r="M339" s="195">
        <f t="shared" si="39"/>
        <v>0.79702361581246406</v>
      </c>
      <c r="N339" s="195">
        <f t="shared" si="40"/>
        <v>0.17758945995115566</v>
      </c>
      <c r="O339" s="195">
        <f t="shared" si="41"/>
        <v>0.15789596774193551</v>
      </c>
      <c r="P339" s="195">
        <v>0.98499999999999999</v>
      </c>
      <c r="Q339" s="195">
        <v>0.90620000000000001</v>
      </c>
      <c r="R339" s="196">
        <v>0.99</v>
      </c>
      <c r="S339" s="197">
        <v>0.99880000000000002</v>
      </c>
      <c r="T339" s="198">
        <v>1.4999999999999999E-2</v>
      </c>
      <c r="U339" s="197">
        <v>0</v>
      </c>
      <c r="V339" s="198">
        <v>0</v>
      </c>
      <c r="W339" s="197">
        <v>0</v>
      </c>
      <c r="X339" s="199">
        <f t="shared" si="42"/>
        <v>-3.734585653271727E-2</v>
      </c>
    </row>
    <row r="340" spans="1:24">
      <c r="A340" s="189" t="s">
        <v>14</v>
      </c>
      <c r="B340" s="190" t="s">
        <v>64</v>
      </c>
      <c r="C340" s="190">
        <v>10</v>
      </c>
      <c r="D340" s="191">
        <v>12</v>
      </c>
      <c r="E340" s="192">
        <v>44104</v>
      </c>
      <c r="F340" s="24">
        <v>1317.0269719798825</v>
      </c>
      <c r="G340" s="24">
        <f>1359738/1000</f>
        <v>1359.7380000000001</v>
      </c>
      <c r="H340" s="193">
        <v>141.6</v>
      </c>
      <c r="I340" s="194">
        <v>145.79</v>
      </c>
      <c r="J340" s="193">
        <v>145.5</v>
      </c>
      <c r="K340" s="194">
        <v>154.88999999999999</v>
      </c>
      <c r="L340" s="195">
        <f t="shared" si="38"/>
        <v>0.76579794976182392</v>
      </c>
      <c r="M340" s="195">
        <f t="shared" si="39"/>
        <v>0.76435180010763126</v>
      </c>
      <c r="N340" s="195">
        <f t="shared" si="40"/>
        <v>0.18292041277498367</v>
      </c>
      <c r="O340" s="195">
        <f t="shared" si="41"/>
        <v>0.18885250000000003</v>
      </c>
      <c r="P340" s="195">
        <v>0.98499999999999999</v>
      </c>
      <c r="Q340" s="195">
        <v>0.95709999999999995</v>
      </c>
      <c r="R340" s="196">
        <v>0.99</v>
      </c>
      <c r="S340" s="197">
        <v>0.99739999999999995</v>
      </c>
      <c r="T340" s="198">
        <v>1.4999999999999999E-2</v>
      </c>
      <c r="U340" s="197">
        <v>0</v>
      </c>
      <c r="V340" s="198">
        <v>0</v>
      </c>
      <c r="W340" s="197">
        <v>0</v>
      </c>
      <c r="X340" s="199">
        <f t="shared" si="42"/>
        <v>-3.2106201440043947E-2</v>
      </c>
    </row>
    <row r="341" spans="1:24">
      <c r="A341" s="189" t="s">
        <v>14</v>
      </c>
      <c r="B341" s="190" t="s">
        <v>64</v>
      </c>
      <c r="C341" s="190">
        <v>10</v>
      </c>
      <c r="D341" s="191">
        <v>12</v>
      </c>
      <c r="E341" s="192">
        <v>44135</v>
      </c>
      <c r="F341" s="24">
        <v>1508.9754559768585</v>
      </c>
      <c r="G341" s="24">
        <f>1479510/1000</f>
        <v>1479.51</v>
      </c>
      <c r="H341" s="193">
        <v>139.1</v>
      </c>
      <c r="I341" s="194">
        <v>139.43</v>
      </c>
      <c r="J341" s="193">
        <v>172.2</v>
      </c>
      <c r="K341" s="194">
        <v>173.46</v>
      </c>
      <c r="L341" s="195">
        <f t="shared" si="38"/>
        <v>0.74136410067822334</v>
      </c>
      <c r="M341" s="195">
        <f t="shared" si="39"/>
        <v>0.71500197759656414</v>
      </c>
      <c r="N341" s="195">
        <f t="shared" si="40"/>
        <v>0.20281928171731969</v>
      </c>
      <c r="O341" s="195">
        <f t="shared" si="41"/>
        <v>0.19885887096774196</v>
      </c>
      <c r="P341" s="195">
        <v>0.98499999999999999</v>
      </c>
      <c r="Q341" s="195">
        <v>0.99409999999999998</v>
      </c>
      <c r="R341" s="196">
        <v>0.99</v>
      </c>
      <c r="S341" s="197">
        <v>1</v>
      </c>
      <c r="T341" s="198">
        <v>1.4999999999999999E-2</v>
      </c>
      <c r="U341" s="197">
        <v>0</v>
      </c>
      <c r="V341" s="198">
        <v>0</v>
      </c>
      <c r="W341" s="197">
        <v>0</v>
      </c>
      <c r="X341" s="199">
        <f t="shared" si="42"/>
        <v>-2.6843869223079464E-2</v>
      </c>
    </row>
    <row r="342" spans="1:24">
      <c r="A342" s="189" t="s">
        <v>14</v>
      </c>
      <c r="B342" s="190" t="s">
        <v>64</v>
      </c>
      <c r="C342" s="190">
        <v>10</v>
      </c>
      <c r="D342" s="191">
        <v>12</v>
      </c>
      <c r="E342" s="192">
        <v>44165</v>
      </c>
      <c r="F342" s="24">
        <v>1335.7979593739085</v>
      </c>
      <c r="G342" s="24">
        <f>1178604/1000</f>
        <v>1178.604</v>
      </c>
      <c r="H342" s="193">
        <v>108.1</v>
      </c>
      <c r="I342" s="194">
        <v>101.92</v>
      </c>
      <c r="J342" s="193">
        <v>152.1</v>
      </c>
      <c r="K342" s="194">
        <v>143.38999999999999</v>
      </c>
      <c r="L342" s="195">
        <f t="shared" si="38"/>
        <v>0.74300901834214328</v>
      </c>
      <c r="M342" s="195">
        <f t="shared" si="39"/>
        <v>0.70995448172346998</v>
      </c>
      <c r="N342" s="195">
        <f t="shared" si="40"/>
        <v>0.1855274943574873</v>
      </c>
      <c r="O342" s="195">
        <f t="shared" si="41"/>
        <v>0.16369499999999998</v>
      </c>
      <c r="P342" s="195">
        <v>0.98499999999999999</v>
      </c>
      <c r="Q342" s="195">
        <v>0.96479999999999999</v>
      </c>
      <c r="R342" s="196">
        <v>0.99</v>
      </c>
      <c r="S342" s="197">
        <v>0.99629999999999996</v>
      </c>
      <c r="T342" s="198">
        <v>1.4999999999999999E-2</v>
      </c>
      <c r="U342" s="197">
        <v>0</v>
      </c>
      <c r="V342" s="198">
        <v>0</v>
      </c>
      <c r="W342" s="197">
        <v>0</v>
      </c>
      <c r="X342" s="199">
        <f t="shared" si="42"/>
        <v>-6.04129881689357E-2</v>
      </c>
    </row>
    <row r="343" spans="1:24">
      <c r="A343" s="189" t="s">
        <v>14</v>
      </c>
      <c r="B343" s="190" t="s">
        <v>64</v>
      </c>
      <c r="C343" s="190">
        <v>10</v>
      </c>
      <c r="D343" s="191">
        <v>12</v>
      </c>
      <c r="E343" s="192">
        <v>44196</v>
      </c>
      <c r="F343" s="24">
        <v>1121.4453936485791</v>
      </c>
      <c r="G343" s="24">
        <f>1043346/1000</f>
        <v>1043.346</v>
      </c>
      <c r="H343" s="193">
        <v>89.9</v>
      </c>
      <c r="I343" s="194">
        <v>82.04</v>
      </c>
      <c r="J343" s="193">
        <v>129.6</v>
      </c>
      <c r="K343" s="194">
        <v>121.14</v>
      </c>
      <c r="L343" s="195">
        <f t="shared" si="38"/>
        <v>0.73207513006868663</v>
      </c>
      <c r="M343" s="195">
        <f t="shared" si="39"/>
        <v>0.7238074050187332</v>
      </c>
      <c r="N343" s="195">
        <f t="shared" si="40"/>
        <v>0.15073190774846495</v>
      </c>
      <c r="O343" s="195">
        <f t="shared" si="41"/>
        <v>0.14023467741935483</v>
      </c>
      <c r="P343" s="195">
        <v>0.98499999999999999</v>
      </c>
      <c r="Q343" s="195">
        <v>0.99160000000000004</v>
      </c>
      <c r="R343" s="196">
        <v>0.99</v>
      </c>
      <c r="S343" s="197">
        <v>0.99790000000000001</v>
      </c>
      <c r="T343" s="198">
        <v>1.4999999999999999E-2</v>
      </c>
      <c r="U343" s="197">
        <v>0</v>
      </c>
      <c r="V343" s="198">
        <v>0</v>
      </c>
      <c r="W343" s="197">
        <v>0</v>
      </c>
      <c r="X343" s="199">
        <f t="shared" si="42"/>
        <v>-4.3639489535486353E-3</v>
      </c>
    </row>
    <row r="344" spans="1:24">
      <c r="A344" s="189" t="s">
        <v>14</v>
      </c>
      <c r="B344" s="190" t="s">
        <v>64</v>
      </c>
      <c r="C344" s="190">
        <v>10</v>
      </c>
      <c r="D344" s="191">
        <v>12</v>
      </c>
      <c r="E344" s="192">
        <v>44227</v>
      </c>
      <c r="F344" s="24">
        <v>944.12904570417686</v>
      </c>
      <c r="G344" s="24">
        <v>827.86800000000005</v>
      </c>
      <c r="H344" s="193">
        <v>79.599999999999994</v>
      </c>
      <c r="I344" s="194">
        <v>69.38</v>
      </c>
      <c r="J344" s="193">
        <v>103.2</v>
      </c>
      <c r="K344" s="194">
        <v>93.970000000000013</v>
      </c>
      <c r="L344" s="195">
        <f t="shared" si="38"/>
        <v>0.773987924244954</v>
      </c>
      <c r="M344" s="195">
        <f t="shared" si="39"/>
        <v>0.74112642665682282</v>
      </c>
      <c r="N344" s="195">
        <f t="shared" si="40"/>
        <v>0.12689906528281947</v>
      </c>
      <c r="O344" s="195">
        <f t="shared" si="41"/>
        <v>0.1112725806451613</v>
      </c>
      <c r="P344" s="195">
        <v>0.98499999999999999</v>
      </c>
      <c r="Q344" s="195">
        <v>0.99060000000000004</v>
      </c>
      <c r="R344" s="196">
        <v>0.99</v>
      </c>
      <c r="S344" s="197">
        <v>1</v>
      </c>
      <c r="T344" s="198">
        <v>1.4999999999999999E-2</v>
      </c>
      <c r="U344" s="197">
        <v>0</v>
      </c>
      <c r="V344" s="198">
        <v>0</v>
      </c>
      <c r="W344" s="197">
        <v>0</v>
      </c>
      <c r="X344" s="199">
        <f t="shared" si="42"/>
        <v>-3.3703069402354235E-2</v>
      </c>
    </row>
    <row r="345" spans="1:24">
      <c r="A345" s="189" t="s">
        <v>14</v>
      </c>
      <c r="B345" s="190" t="s">
        <v>64</v>
      </c>
      <c r="C345" s="190">
        <v>10</v>
      </c>
      <c r="D345" s="191">
        <v>12</v>
      </c>
      <c r="E345" s="192">
        <v>44255</v>
      </c>
      <c r="F345" s="24">
        <v>1239.3482361544156</v>
      </c>
      <c r="G345" s="24">
        <v>1140.3720000000001</v>
      </c>
      <c r="H345" s="193">
        <v>108.1</v>
      </c>
      <c r="I345" s="194">
        <v>108.91999999999997</v>
      </c>
      <c r="J345" s="193">
        <v>137.5</v>
      </c>
      <c r="K345" s="194">
        <v>144.48000000000002</v>
      </c>
      <c r="L345" s="195">
        <f t="shared" si="38"/>
        <v>0.76255852093795773</v>
      </c>
      <c r="M345" s="195">
        <f t="shared" si="39"/>
        <v>0.7541070565314959</v>
      </c>
      <c r="N345" s="195">
        <f t="shared" si="40"/>
        <v>0.18442682085631185</v>
      </c>
      <c r="O345" s="195">
        <f t="shared" si="41"/>
        <v>0.1696982142857143</v>
      </c>
      <c r="P345" s="195">
        <v>0.98499999999999999</v>
      </c>
      <c r="Q345" s="195">
        <v>0.87221702928571432</v>
      </c>
      <c r="R345" s="196">
        <v>0.99</v>
      </c>
      <c r="S345" s="197">
        <v>1</v>
      </c>
      <c r="T345" s="198">
        <v>1.4999999999999999E-2</v>
      </c>
      <c r="U345" s="197">
        <v>0</v>
      </c>
      <c r="V345" s="198">
        <v>0</v>
      </c>
      <c r="W345" s="197">
        <v>0</v>
      </c>
      <c r="X345" s="199">
        <f t="shared" si="42"/>
        <v>-0.13062515814344711</v>
      </c>
    </row>
    <row r="346" spans="1:24">
      <c r="A346" s="189" t="s">
        <v>14</v>
      </c>
      <c r="B346" s="190" t="s">
        <v>64</v>
      </c>
      <c r="C346" s="190">
        <v>10</v>
      </c>
      <c r="D346" s="191">
        <v>12</v>
      </c>
      <c r="E346" s="192">
        <v>44286</v>
      </c>
      <c r="F346" s="24">
        <v>1662.2949130851657</v>
      </c>
      <c r="G346" s="24">
        <v>1543.4760000000001</v>
      </c>
      <c r="H346" s="193">
        <v>161.4</v>
      </c>
      <c r="I346" s="194">
        <v>161.71999999999997</v>
      </c>
      <c r="J346" s="193">
        <v>187.8</v>
      </c>
      <c r="K346" s="194">
        <v>185.17999999999998</v>
      </c>
      <c r="L346" s="195">
        <f t="shared" si="38"/>
        <v>0.74885030565203548</v>
      </c>
      <c r="M346" s="195">
        <f t="shared" si="39"/>
        <v>0.7121861326927732</v>
      </c>
      <c r="N346" s="195">
        <f t="shared" si="40"/>
        <v>0.22342673562972659</v>
      </c>
      <c r="O346" s="195">
        <f t="shared" si="41"/>
        <v>0.20745645161290324</v>
      </c>
      <c r="P346" s="195">
        <v>0.98499999999999999</v>
      </c>
      <c r="Q346" s="195">
        <v>0.97528387096774194</v>
      </c>
      <c r="R346" s="196">
        <v>0.99</v>
      </c>
      <c r="S346" s="197">
        <v>1</v>
      </c>
      <c r="T346" s="198">
        <v>1.4999999999999999E-2</v>
      </c>
      <c r="U346" s="197">
        <v>0</v>
      </c>
      <c r="V346" s="198">
        <v>0</v>
      </c>
      <c r="W346" s="197">
        <v>0</v>
      </c>
      <c r="X346" s="199">
        <f t="shared" si="42"/>
        <v>-5.7527828862886876E-2</v>
      </c>
    </row>
    <row r="347" spans="1:24">
      <c r="A347" s="189" t="s">
        <v>14</v>
      </c>
      <c r="B347" s="190" t="s">
        <v>64</v>
      </c>
      <c r="C347" s="190">
        <v>10</v>
      </c>
      <c r="D347" s="191">
        <v>12</v>
      </c>
      <c r="E347" s="192">
        <v>44316</v>
      </c>
      <c r="F347" s="24">
        <v>1720.1337748876615</v>
      </c>
      <c r="G347" s="24">
        <v>1548.7619999999999</v>
      </c>
      <c r="H347" s="193">
        <v>190.2</v>
      </c>
      <c r="I347" s="194">
        <v>181.16</v>
      </c>
      <c r="J347" s="193">
        <v>194</v>
      </c>
      <c r="K347" s="194">
        <v>183.29</v>
      </c>
      <c r="L347" s="195">
        <f t="shared" si="38"/>
        <v>0.75014119650760613</v>
      </c>
      <c r="M347" s="195">
        <f t="shared" si="39"/>
        <v>0.73178024801567976</v>
      </c>
      <c r="N347" s="195">
        <f t="shared" si="40"/>
        <v>0.23890746873439742</v>
      </c>
      <c r="O347" s="195">
        <f t="shared" si="41"/>
        <v>0.21510583333333333</v>
      </c>
      <c r="P347" s="195">
        <v>0.98499999999999999</v>
      </c>
      <c r="Q347" s="195">
        <v>0.96224127999999998</v>
      </c>
      <c r="R347" s="196">
        <v>0.99</v>
      </c>
      <c r="S347" s="197">
        <v>0.98560000000000003</v>
      </c>
      <c r="T347" s="198">
        <v>1.4999999999999999E-2</v>
      </c>
      <c r="U347" s="197">
        <v>2.5237905310785239E-2</v>
      </c>
      <c r="V347" s="198">
        <v>0</v>
      </c>
      <c r="W347" s="197">
        <v>0</v>
      </c>
      <c r="X347" s="199">
        <f t="shared" si="42"/>
        <v>-4.4420818675059981E-2</v>
      </c>
    </row>
    <row r="348" spans="1:24">
      <c r="A348" s="189" t="s">
        <v>14</v>
      </c>
      <c r="B348" s="190" t="s">
        <v>64</v>
      </c>
      <c r="C348" s="190">
        <v>10</v>
      </c>
      <c r="D348" s="191">
        <v>12</v>
      </c>
      <c r="E348" s="192">
        <v>44347</v>
      </c>
      <c r="F348" s="24">
        <v>1743.0283243511492</v>
      </c>
      <c r="G348" s="24">
        <v>1489.758</v>
      </c>
      <c r="H348" s="193">
        <v>197</v>
      </c>
      <c r="I348" s="194">
        <v>180.35999999999996</v>
      </c>
      <c r="J348" s="193">
        <v>197.7</v>
      </c>
      <c r="K348" s="194">
        <v>181.3</v>
      </c>
      <c r="L348" s="195">
        <f t="shared" si="38"/>
        <v>0.74589947011236213</v>
      </c>
      <c r="M348" s="195">
        <f t="shared" si="39"/>
        <v>0.71988783466015227</v>
      </c>
      <c r="N348" s="195">
        <f t="shared" si="40"/>
        <v>0.23427800058483189</v>
      </c>
      <c r="O348" s="195">
        <f t="shared" si="41"/>
        <v>0.20023629032258064</v>
      </c>
      <c r="P348" s="195">
        <v>0.98499999999999999</v>
      </c>
      <c r="Q348" s="195">
        <v>0.95120000000000005</v>
      </c>
      <c r="R348" s="196">
        <v>0.99</v>
      </c>
      <c r="S348" s="197">
        <v>1</v>
      </c>
      <c r="T348" s="198">
        <v>1.4999999999999999E-2</v>
      </c>
      <c r="U348" s="197">
        <v>1.5411252411288946E-2</v>
      </c>
      <c r="V348" s="198">
        <v>0</v>
      </c>
      <c r="W348" s="197">
        <v>0</v>
      </c>
      <c r="X348" s="199">
        <f t="shared" si="42"/>
        <v>-6.235079622659867E-2</v>
      </c>
    </row>
    <row r="349" spans="1:24">
      <c r="A349" s="189" t="s">
        <v>14</v>
      </c>
      <c r="B349" s="190" t="s">
        <v>64</v>
      </c>
      <c r="C349" s="190">
        <v>10</v>
      </c>
      <c r="D349" s="191">
        <v>12</v>
      </c>
      <c r="E349" s="192">
        <v>44377</v>
      </c>
      <c r="F349" s="24">
        <v>1564.691833793454</v>
      </c>
      <c r="G349" s="24">
        <v>1608.894</v>
      </c>
      <c r="H349" s="193">
        <v>178.9</v>
      </c>
      <c r="I349" s="194">
        <v>182.75</v>
      </c>
      <c r="J349" s="193">
        <v>177.2</v>
      </c>
      <c r="K349" s="194">
        <v>182.90999999999994</v>
      </c>
      <c r="L349" s="195">
        <f t="shared" si="38"/>
        <v>0.7470464767761027</v>
      </c>
      <c r="M349" s="195">
        <f t="shared" si="39"/>
        <v>0.73884491154055065</v>
      </c>
      <c r="N349" s="195">
        <f t="shared" si="40"/>
        <v>0.21731831024909085</v>
      </c>
      <c r="O349" s="195">
        <f t="shared" si="41"/>
        <v>0.2234575</v>
      </c>
      <c r="P349" s="195">
        <v>0.98499999999999999</v>
      </c>
      <c r="Q349" s="195">
        <v>0.99209999999999998</v>
      </c>
      <c r="R349" s="196">
        <v>0.99</v>
      </c>
      <c r="S349" s="197">
        <v>1</v>
      </c>
      <c r="T349" s="198">
        <v>1.4999999999999999E-2</v>
      </c>
      <c r="U349" s="197">
        <v>1.6799999999999999E-2</v>
      </c>
      <c r="V349" s="198">
        <v>0</v>
      </c>
      <c r="W349" s="197">
        <v>0</v>
      </c>
      <c r="X349" s="199">
        <f t="shared" si="42"/>
        <v>-3.9737179417926871E-3</v>
      </c>
    </row>
    <row r="350" spans="1:24">
      <c r="A350" s="189" t="s">
        <v>14</v>
      </c>
      <c r="B350" s="190" t="s">
        <v>64</v>
      </c>
      <c r="C350" s="190">
        <v>10</v>
      </c>
      <c r="D350" s="191">
        <v>12</v>
      </c>
      <c r="E350" s="192">
        <v>44408</v>
      </c>
      <c r="F350" s="24">
        <v>1385.1503669482067</v>
      </c>
      <c r="G350" s="24">
        <v>1285.662</v>
      </c>
      <c r="H350" s="193">
        <v>155.5</v>
      </c>
      <c r="I350" s="194">
        <v>144.62</v>
      </c>
      <c r="J350" s="193">
        <v>154.6</v>
      </c>
      <c r="K350" s="194">
        <v>146.04</v>
      </c>
      <c r="L350" s="195">
        <f t="shared" si="38"/>
        <v>0.75800130840803448</v>
      </c>
      <c r="M350" s="195">
        <f t="shared" si="39"/>
        <v>0.78574456044983798</v>
      </c>
      <c r="N350" s="195">
        <f t="shared" si="40"/>
        <v>0.18617612458981275</v>
      </c>
      <c r="O350" s="195">
        <f t="shared" si="41"/>
        <v>0.17280403225806454</v>
      </c>
      <c r="P350" s="195">
        <v>0.98499999999999999</v>
      </c>
      <c r="Q350" s="195">
        <v>0.93366774193548396</v>
      </c>
      <c r="R350" s="196">
        <v>0.99</v>
      </c>
      <c r="S350" s="197">
        <v>1</v>
      </c>
      <c r="T350" s="198">
        <v>1.4999999999999999E-2</v>
      </c>
      <c r="U350" s="197">
        <v>8.3000000000000001E-3</v>
      </c>
      <c r="V350" s="198">
        <v>0</v>
      </c>
      <c r="W350" s="197">
        <v>0</v>
      </c>
      <c r="X350" s="199">
        <f t="shared" si="42"/>
        <v>-1.6456264611003579E-2</v>
      </c>
    </row>
    <row r="351" spans="1:24">
      <c r="A351" s="189" t="s">
        <v>14</v>
      </c>
      <c r="B351" s="190" t="s">
        <v>64</v>
      </c>
      <c r="C351" s="190">
        <v>10</v>
      </c>
      <c r="D351" s="191">
        <v>12</v>
      </c>
      <c r="E351" s="192">
        <v>44439</v>
      </c>
      <c r="F351" s="24">
        <v>1314.6592541264151</v>
      </c>
      <c r="G351" s="24">
        <v>1307.43</v>
      </c>
      <c r="H351" s="193">
        <v>145.4</v>
      </c>
      <c r="I351" s="194">
        <v>141.18000000000004</v>
      </c>
      <c r="J351" s="193">
        <v>146.30000000000001</v>
      </c>
      <c r="K351" s="194">
        <v>144.81</v>
      </c>
      <c r="L351" s="195">
        <f t="shared" si="38"/>
        <v>0.76024119720529693</v>
      </c>
      <c r="M351" s="195">
        <f t="shared" si="39"/>
        <v>0.76265424079461797</v>
      </c>
      <c r="N351" s="195">
        <f t="shared" si="40"/>
        <v>0.17670151265139988</v>
      </c>
      <c r="O351" s="195">
        <f t="shared" si="41"/>
        <v>0.17572983870967743</v>
      </c>
      <c r="P351" s="195">
        <v>0.98499999999999999</v>
      </c>
      <c r="Q351" s="195">
        <v>0.98653150000000001</v>
      </c>
      <c r="R351" s="196">
        <v>0.99</v>
      </c>
      <c r="S351" s="197">
        <v>0.997</v>
      </c>
      <c r="T351" s="198">
        <v>1.4999999999999999E-2</v>
      </c>
      <c r="U351" s="197">
        <v>7.1000000000000004E-3</v>
      </c>
      <c r="V351" s="198">
        <v>0</v>
      </c>
      <c r="W351" s="197">
        <v>0</v>
      </c>
      <c r="X351" s="199">
        <f t="shared" si="42"/>
        <v>4.6855957322710085E-3</v>
      </c>
    </row>
    <row r="352" spans="1:24">
      <c r="A352" s="189" t="s">
        <v>14</v>
      </c>
      <c r="B352" s="190" t="s">
        <v>64</v>
      </c>
      <c r="C352" s="190">
        <v>10</v>
      </c>
      <c r="D352" s="191">
        <v>12</v>
      </c>
      <c r="E352" s="192">
        <v>44469</v>
      </c>
      <c r="F352" s="24">
        <v>1310.4418371199831</v>
      </c>
      <c r="G352" s="24">
        <v>1257.144</v>
      </c>
      <c r="H352" s="193">
        <v>141.6</v>
      </c>
      <c r="I352" s="194">
        <v>133.11999999999998</v>
      </c>
      <c r="J352" s="193">
        <v>145.5</v>
      </c>
      <c r="K352" s="194">
        <v>143.69</v>
      </c>
      <c r="L352" s="195">
        <f t="shared" si="38"/>
        <v>0.76196896001301495</v>
      </c>
      <c r="M352" s="195">
        <f t="shared" si="39"/>
        <v>0.73876781133290503</v>
      </c>
      <c r="N352" s="195">
        <f t="shared" si="40"/>
        <v>0.18200581071110877</v>
      </c>
      <c r="O352" s="195">
        <f t="shared" si="41"/>
        <v>0.17460333333333333</v>
      </c>
      <c r="P352" s="195">
        <v>0.98499999999999999</v>
      </c>
      <c r="Q352" s="195">
        <v>0.98689118873333337</v>
      </c>
      <c r="R352" s="196">
        <v>0.99</v>
      </c>
      <c r="S352" s="197">
        <v>0.99878</v>
      </c>
      <c r="T352" s="198">
        <v>1.4999999999999999E-2</v>
      </c>
      <c r="U352" s="197">
        <v>4.0000000000000001E-3</v>
      </c>
      <c r="V352" s="198">
        <v>0</v>
      </c>
      <c r="W352" s="197">
        <v>0</v>
      </c>
      <c r="X352" s="199">
        <f t="shared" si="42"/>
        <v>-2.8231791558929964E-2</v>
      </c>
    </row>
    <row r="353" spans="1:24">
      <c r="A353" s="189" t="s">
        <v>14</v>
      </c>
      <c r="B353" s="190" t="s">
        <v>64</v>
      </c>
      <c r="C353" s="190">
        <v>10</v>
      </c>
      <c r="D353" s="191">
        <v>12</v>
      </c>
      <c r="E353" s="192">
        <v>44500</v>
      </c>
      <c r="F353" s="24">
        <v>1501.4305786969742</v>
      </c>
      <c r="G353" s="24">
        <v>1446.2339999999999</v>
      </c>
      <c r="H353" s="193">
        <v>139.1</v>
      </c>
      <c r="I353" s="194">
        <v>133.1</v>
      </c>
      <c r="J353" s="193">
        <v>172.2</v>
      </c>
      <c r="K353" s="194">
        <v>163.27999999999997</v>
      </c>
      <c r="L353" s="195">
        <f t="shared" si="38"/>
        <v>0.73765728017483223</v>
      </c>
      <c r="M353" s="195">
        <f t="shared" si="39"/>
        <v>0.75186282258588066</v>
      </c>
      <c r="N353" s="195">
        <f t="shared" si="40"/>
        <v>0.20180518530873309</v>
      </c>
      <c r="O353" s="195">
        <f t="shared" si="41"/>
        <v>0.19438629032258065</v>
      </c>
      <c r="P353" s="195">
        <v>0.98499999999999999</v>
      </c>
      <c r="Q353" s="195">
        <v>0.98171565999999999</v>
      </c>
      <c r="R353" s="196">
        <v>0.99</v>
      </c>
      <c r="S353" s="197">
        <v>0.99908064516129025</v>
      </c>
      <c r="T353" s="198">
        <v>1.4999999999999999E-2</v>
      </c>
      <c r="U353" s="197">
        <v>1.52E-2</v>
      </c>
      <c r="V353" s="198">
        <v>0</v>
      </c>
      <c r="W353" s="197">
        <v>0</v>
      </c>
      <c r="X353" s="199">
        <f t="shared" si="42"/>
        <v>1.5037574406860377E-2</v>
      </c>
    </row>
    <row r="354" spans="1:24">
      <c r="A354" s="189" t="s">
        <v>14</v>
      </c>
      <c r="B354" s="190" t="s">
        <v>64</v>
      </c>
      <c r="C354" s="190">
        <v>10</v>
      </c>
      <c r="D354" s="191">
        <v>12</v>
      </c>
      <c r="E354" s="192">
        <v>44530</v>
      </c>
      <c r="F354" s="24">
        <v>1329.118969577039</v>
      </c>
      <c r="G354" s="24">
        <v>1328.4960000000001</v>
      </c>
      <c r="H354" s="193">
        <v>108.1</v>
      </c>
      <c r="I354" s="194">
        <v>110.03999999999999</v>
      </c>
      <c r="J354" s="193">
        <v>152.1</v>
      </c>
      <c r="K354" s="194">
        <v>152.82</v>
      </c>
      <c r="L354" s="195">
        <f t="shared" si="38"/>
        <v>0.73929397325043256</v>
      </c>
      <c r="M354" s="195">
        <f t="shared" si="39"/>
        <v>0.72705135950487076</v>
      </c>
      <c r="N354" s="195">
        <f t="shared" si="40"/>
        <v>0.18459985688569985</v>
      </c>
      <c r="O354" s="195">
        <f t="shared" si="41"/>
        <v>0.18451333333333336</v>
      </c>
      <c r="P354" s="195">
        <v>0.98499999999999999</v>
      </c>
      <c r="Q354" s="195">
        <v>0.99639999999999995</v>
      </c>
      <c r="R354" s="196">
        <v>0.99</v>
      </c>
      <c r="S354" s="197">
        <v>1</v>
      </c>
      <c r="T354" s="198">
        <v>1.4999999999999999E-2</v>
      </c>
      <c r="U354" s="197">
        <v>1.3599999999999999E-2</v>
      </c>
      <c r="V354" s="198">
        <v>0</v>
      </c>
      <c r="W354" s="197">
        <v>0</v>
      </c>
      <c r="X354" s="199">
        <f t="shared" si="42"/>
        <v>-5.2024364750357099E-3</v>
      </c>
    </row>
    <row r="355" spans="1:24">
      <c r="A355" s="189" t="s">
        <v>14</v>
      </c>
      <c r="B355" s="190" t="s">
        <v>64</v>
      </c>
      <c r="C355" s="190">
        <v>10</v>
      </c>
      <c r="D355" s="191">
        <v>12</v>
      </c>
      <c r="E355" s="192">
        <v>44561</v>
      </c>
      <c r="F355" s="24">
        <v>1115.8381666803361</v>
      </c>
      <c r="G355" s="24">
        <v>1113.8040000000001</v>
      </c>
      <c r="H355" s="193">
        <v>89.9</v>
      </c>
      <c r="I355" s="194">
        <v>87.910000000000025</v>
      </c>
      <c r="J355" s="193">
        <v>129.6</v>
      </c>
      <c r="K355" s="194">
        <v>124.42</v>
      </c>
      <c r="L355" s="195">
        <f t="shared" si="38"/>
        <v>0.72841475441834314</v>
      </c>
      <c r="M355" s="195">
        <f t="shared" si="39"/>
        <v>0.74814048856249671</v>
      </c>
      <c r="N355" s="195">
        <f t="shared" si="40"/>
        <v>0.14997824820972258</v>
      </c>
      <c r="O355" s="195">
        <f t="shared" si="41"/>
        <v>0.14970483870967743</v>
      </c>
      <c r="P355" s="195">
        <v>0.98499999999999999</v>
      </c>
      <c r="Q355" s="195">
        <v>0.99713548387096773</v>
      </c>
      <c r="R355" s="196">
        <v>0.99</v>
      </c>
      <c r="S355" s="197">
        <v>1</v>
      </c>
      <c r="T355" s="198">
        <v>1.4999999999999999E-2</v>
      </c>
      <c r="U355" s="197">
        <v>1.8200000000000001E-2</v>
      </c>
      <c r="V355" s="198">
        <v>0</v>
      </c>
      <c r="W355" s="197">
        <v>0</v>
      </c>
      <c r="X355" s="199">
        <f t="shared" si="42"/>
        <v>3.8146141446228521E-2</v>
      </c>
    </row>
    <row r="356" spans="1:24">
      <c r="A356" s="189" t="s">
        <v>14</v>
      </c>
      <c r="B356" s="190" t="s">
        <v>64</v>
      </c>
      <c r="C356" s="190">
        <v>10</v>
      </c>
      <c r="D356" s="191">
        <v>12</v>
      </c>
      <c r="E356" s="192">
        <v>44592</v>
      </c>
      <c r="F356" s="24">
        <v>939.40840047565598</v>
      </c>
      <c r="G356" s="24">
        <v>690.40800000000002</v>
      </c>
      <c r="H356" s="193">
        <v>79.599999999999994</v>
      </c>
      <c r="I356" s="194">
        <v>58.81</v>
      </c>
      <c r="J356" s="193">
        <v>103.2</v>
      </c>
      <c r="K356" s="194">
        <v>74.639999999999986</v>
      </c>
      <c r="L356" s="195">
        <f t="shared" si="38"/>
        <v>0.77011798462372927</v>
      </c>
      <c r="M356" s="195">
        <f t="shared" si="39"/>
        <v>0.77508289159509147</v>
      </c>
      <c r="N356" s="195">
        <f t="shared" si="40"/>
        <v>0.12626456995640539</v>
      </c>
      <c r="O356" s="195">
        <f t="shared" si="41"/>
        <v>9.2796774193548384E-2</v>
      </c>
      <c r="P356" s="195">
        <v>0.98499999999999999</v>
      </c>
      <c r="Q356" s="195">
        <v>0.99450000000000005</v>
      </c>
      <c r="R356" s="196">
        <v>0.99</v>
      </c>
      <c r="S356" s="197">
        <v>1</v>
      </c>
      <c r="T356" s="198">
        <v>1.4999999999999999E-2</v>
      </c>
      <c r="U356" s="197">
        <v>0</v>
      </c>
      <c r="V356" s="198">
        <v>0</v>
      </c>
      <c r="W356" s="197">
        <v>0</v>
      </c>
      <c r="X356" s="199">
        <f t="shared" si="42"/>
        <v>1.1683323966102166E-2</v>
      </c>
    </row>
    <row r="357" spans="1:24">
      <c r="A357" s="189" t="s">
        <v>14</v>
      </c>
      <c r="B357" s="190" t="s">
        <v>64</v>
      </c>
      <c r="C357" s="190">
        <v>10</v>
      </c>
      <c r="D357" s="191">
        <v>12</v>
      </c>
      <c r="E357" s="192">
        <v>44620</v>
      </c>
      <c r="F357" s="24">
        <v>1233.1514949736434</v>
      </c>
      <c r="G357" s="24">
        <v>1282.5419999999999</v>
      </c>
      <c r="H357" s="193">
        <v>108.1</v>
      </c>
      <c r="I357" s="194">
        <v>113.94</v>
      </c>
      <c r="J357" s="193">
        <v>137.5</v>
      </c>
      <c r="K357" s="194">
        <v>144.71999999999997</v>
      </c>
      <c r="L357" s="195">
        <f t="shared" si="38"/>
        <v>0.7587457283332677</v>
      </c>
      <c r="M357" s="195">
        <f t="shared" si="39"/>
        <v>0.74959319717564643</v>
      </c>
      <c r="N357" s="195">
        <f t="shared" si="40"/>
        <v>0.18350468675203027</v>
      </c>
      <c r="O357" s="195">
        <f t="shared" si="41"/>
        <v>0.19085446428571426</v>
      </c>
      <c r="P357" s="195">
        <v>0.98499999999999999</v>
      </c>
      <c r="Q357" s="195">
        <v>0.98522666999999997</v>
      </c>
      <c r="R357" s="196">
        <v>0.99</v>
      </c>
      <c r="S357" s="197">
        <v>0.99790000000000001</v>
      </c>
      <c r="T357" s="198">
        <v>1.4999999999999999E-2</v>
      </c>
      <c r="U357" s="197">
        <v>1.18E-2</v>
      </c>
      <c r="V357" s="198">
        <v>0</v>
      </c>
      <c r="W357" s="197">
        <v>0</v>
      </c>
      <c r="X357" s="199">
        <f t="shared" si="42"/>
        <v>-1.2456830316881495E-2</v>
      </c>
    </row>
    <row r="358" spans="1:24">
      <c r="A358" s="189" t="s">
        <v>14</v>
      </c>
      <c r="B358" s="190" t="s">
        <v>64</v>
      </c>
      <c r="C358" s="190">
        <v>10</v>
      </c>
      <c r="D358" s="191">
        <v>12</v>
      </c>
      <c r="E358" s="192">
        <v>44651</v>
      </c>
      <c r="F358" s="24">
        <v>1653.9834385197398</v>
      </c>
      <c r="G358" s="24">
        <f>[1]Database!$I$428/1000</f>
        <v>1557.162</v>
      </c>
      <c r="H358" s="193">
        <v>161.4</v>
      </c>
      <c r="I358" s="194">
        <v>169.10000000000002</v>
      </c>
      <c r="J358" s="193">
        <v>187.8</v>
      </c>
      <c r="K358" s="194">
        <v>191.58999999999992</v>
      </c>
      <c r="L358" s="195">
        <f t="shared" si="38"/>
        <v>0.74510605412377517</v>
      </c>
      <c r="M358" s="195">
        <f t="shared" si="39"/>
        <v>0.71846597610269247</v>
      </c>
      <c r="N358" s="195">
        <f t="shared" si="40"/>
        <v>0.22230960195157792</v>
      </c>
      <c r="O358" s="195">
        <f t="shared" si="41"/>
        <v>0.20929596774193548</v>
      </c>
      <c r="P358" s="195">
        <v>0.98499999999999999</v>
      </c>
      <c r="Q358" s="195">
        <v>0.94269999999999998</v>
      </c>
      <c r="R358" s="196">
        <v>0.99</v>
      </c>
      <c r="S358" s="197">
        <v>1</v>
      </c>
      <c r="T358" s="198">
        <v>1.4999999999999999E-2</v>
      </c>
      <c r="U358" s="197">
        <v>1.3403058434342661E-2</v>
      </c>
      <c r="V358" s="198">
        <v>0</v>
      </c>
      <c r="W358" s="197">
        <v>0</v>
      </c>
      <c r="X358" s="199">
        <f t="shared" si="42"/>
        <v>-7.8719379818996349E-2</v>
      </c>
    </row>
    <row r="359" spans="1:24">
      <c r="A359" s="189" t="s">
        <v>14</v>
      </c>
      <c r="B359" s="190" t="s">
        <v>64</v>
      </c>
      <c r="C359" s="190">
        <v>10</v>
      </c>
      <c r="D359" s="191">
        <v>12</v>
      </c>
      <c r="E359" s="192">
        <v>44681</v>
      </c>
      <c r="F359" s="24">
        <v>1711.533106013223</v>
      </c>
      <c r="G359" s="24">
        <v>1496.94</v>
      </c>
      <c r="H359" s="193">
        <v>190.2</v>
      </c>
      <c r="I359" s="194">
        <v>180.85000000000002</v>
      </c>
      <c r="J359" s="193">
        <v>194</v>
      </c>
      <c r="K359" s="194">
        <v>185.76</v>
      </c>
      <c r="L359" s="195">
        <f t="shared" si="38"/>
        <v>0.7463904905250679</v>
      </c>
      <c r="M359" s="195">
        <f t="shared" si="39"/>
        <v>0.68503370841406908</v>
      </c>
      <c r="N359" s="195">
        <f t="shared" si="40"/>
        <v>0.23771293139072541</v>
      </c>
      <c r="O359" s="195">
        <f t="shared" si="41"/>
        <v>0.20790833333333336</v>
      </c>
      <c r="P359" s="195">
        <v>0.98499999999999999</v>
      </c>
      <c r="Q359" s="195">
        <v>0.98029999999999995</v>
      </c>
      <c r="R359" s="196">
        <v>0.99</v>
      </c>
      <c r="S359" s="197">
        <v>1</v>
      </c>
      <c r="T359" s="198">
        <v>1.4999999999999999E-2</v>
      </c>
      <c r="U359" s="197">
        <v>2.3199999999999998E-2</v>
      </c>
      <c r="V359" s="198">
        <v>0</v>
      </c>
      <c r="W359" s="197">
        <v>0</v>
      </c>
      <c r="X359" s="199">
        <f t="shared" si="42"/>
        <v>-8.2906407236363888E-2</v>
      </c>
    </row>
    <row r="360" spans="1:24">
      <c r="A360" s="189" t="s">
        <v>14</v>
      </c>
      <c r="B360" s="190" t="s">
        <v>64</v>
      </c>
      <c r="C360" s="190">
        <v>10</v>
      </c>
      <c r="D360" s="191">
        <v>12</v>
      </c>
      <c r="E360" s="192">
        <v>44712</v>
      </c>
      <c r="F360" s="24">
        <v>1734.3131827293935</v>
      </c>
      <c r="G360" s="24">
        <v>1578.3</v>
      </c>
      <c r="H360" s="193">
        <v>197</v>
      </c>
      <c r="I360" s="194">
        <v>187.55</v>
      </c>
      <c r="J360" s="193">
        <v>197.7</v>
      </c>
      <c r="K360" s="194">
        <v>188.78000000000003</v>
      </c>
      <c r="L360" s="195">
        <f t="shared" si="38"/>
        <v>0.74216997276180041</v>
      </c>
      <c r="M360" s="195">
        <f t="shared" si="39"/>
        <v>0.71340175642041603</v>
      </c>
      <c r="N360" s="195">
        <f t="shared" si="40"/>
        <v>0.23310661058190774</v>
      </c>
      <c r="O360" s="195">
        <f t="shared" si="41"/>
        <v>0.21213709677419357</v>
      </c>
      <c r="P360" s="195">
        <v>0.98499999999999999</v>
      </c>
      <c r="Q360" s="195">
        <v>0.97660322580645187</v>
      </c>
      <c r="R360" s="196">
        <v>0.99</v>
      </c>
      <c r="S360" s="197">
        <v>1</v>
      </c>
      <c r="T360" s="198">
        <v>1.4999999999999999E-2</v>
      </c>
      <c r="U360" s="197">
        <v>7.9000000000000008E-3</v>
      </c>
      <c r="V360" s="198">
        <v>0</v>
      </c>
      <c r="W360" s="197">
        <v>0</v>
      </c>
      <c r="X360" s="199">
        <f t="shared" si="42"/>
        <v>-4.4837886102472524E-2</v>
      </c>
    </row>
    <row r="361" spans="1:24">
      <c r="A361" s="189" t="s">
        <v>14</v>
      </c>
      <c r="B361" s="190" t="s">
        <v>64</v>
      </c>
      <c r="C361" s="190">
        <v>10</v>
      </c>
      <c r="D361" s="191">
        <v>12</v>
      </c>
      <c r="E361" s="192">
        <v>44742</v>
      </c>
      <c r="F361" s="24">
        <v>1556.8683746244865</v>
      </c>
      <c r="G361" s="24">
        <v>1423.62</v>
      </c>
      <c r="H361" s="193">
        <v>178.9</v>
      </c>
      <c r="I361" s="194">
        <v>169.21000000000006</v>
      </c>
      <c r="J361" s="193">
        <v>177.2</v>
      </c>
      <c r="K361" s="194">
        <v>169.51000000000002</v>
      </c>
      <c r="L361" s="195">
        <f t="shared" si="38"/>
        <v>0.74331124439222196</v>
      </c>
      <c r="M361" s="195">
        <f t="shared" si="39"/>
        <v>0.70244659003971577</v>
      </c>
      <c r="N361" s="195">
        <f t="shared" si="40"/>
        <v>0.21623171869784535</v>
      </c>
      <c r="O361" s="195">
        <f t="shared" si="41"/>
        <v>0.19772499999999998</v>
      </c>
      <c r="P361" s="195">
        <v>0.98499999999999999</v>
      </c>
      <c r="Q361" s="195">
        <v>0.99633228215555547</v>
      </c>
      <c r="R361" s="196">
        <v>0.99</v>
      </c>
      <c r="S361" s="197">
        <v>0.99920666666666658</v>
      </c>
      <c r="T361" s="198">
        <v>1.4999999999999999E-2</v>
      </c>
      <c r="U361" s="197">
        <v>1.32E-2</v>
      </c>
      <c r="V361" s="198">
        <v>0</v>
      </c>
      <c r="W361" s="197">
        <v>0</v>
      </c>
      <c r="X361" s="199">
        <f t="shared" si="42"/>
        <v>-4.2190146249391991E-2</v>
      </c>
    </row>
    <row r="362" spans="1:24">
      <c r="A362" s="189" t="s">
        <v>14</v>
      </c>
      <c r="B362" s="190" t="s">
        <v>64</v>
      </c>
      <c r="C362" s="190">
        <v>10</v>
      </c>
      <c r="D362" s="191">
        <v>12</v>
      </c>
      <c r="E362" s="192">
        <v>44773</v>
      </c>
      <c r="F362" s="24">
        <v>1378.2246151134657</v>
      </c>
      <c r="G362" s="24">
        <v>1275.42</v>
      </c>
      <c r="H362" s="193">
        <v>155.5</v>
      </c>
      <c r="I362" s="194">
        <v>150.62999999999997</v>
      </c>
      <c r="J362" s="193">
        <v>154.6</v>
      </c>
      <c r="K362" s="194">
        <v>152.83999999999997</v>
      </c>
      <c r="L362" s="195">
        <f t="shared" si="38"/>
        <v>0.75421130186599428</v>
      </c>
      <c r="M362" s="195">
        <f t="shared" si="39"/>
        <v>0.75300532619225791</v>
      </c>
      <c r="N362" s="195">
        <f t="shared" si="40"/>
        <v>0.18524524396686368</v>
      </c>
      <c r="O362" s="195">
        <f t="shared" si="41"/>
        <v>0.17142741935483871</v>
      </c>
      <c r="P362" s="195">
        <v>0.98499999999999999</v>
      </c>
      <c r="Q362" s="195">
        <v>0.9235000000000001</v>
      </c>
      <c r="R362" s="196">
        <v>0.99</v>
      </c>
      <c r="S362" s="197">
        <v>1</v>
      </c>
      <c r="T362" s="198">
        <v>1.4999999999999999E-2</v>
      </c>
      <c r="U362" s="197">
        <v>6.3E-3</v>
      </c>
      <c r="V362" s="198">
        <v>0</v>
      </c>
      <c r="W362" s="197">
        <v>0</v>
      </c>
      <c r="X362" s="199">
        <f t="shared" si="42"/>
        <v>-6.3207844064891328E-2</v>
      </c>
    </row>
    <row r="363" spans="1:24">
      <c r="A363" s="189" t="s">
        <v>14</v>
      </c>
      <c r="B363" s="190" t="s">
        <v>64</v>
      </c>
      <c r="C363" s="190">
        <v>10</v>
      </c>
      <c r="D363" s="191">
        <v>12</v>
      </c>
      <c r="E363" s="192">
        <v>44804</v>
      </c>
      <c r="F363" s="24">
        <v>1308.0859578557829</v>
      </c>
      <c r="G363" s="24">
        <v>1422.354</v>
      </c>
      <c r="H363" s="193">
        <v>145.4</v>
      </c>
      <c r="I363" s="194">
        <v>160.46</v>
      </c>
      <c r="J363" s="193">
        <v>146.30000000000001</v>
      </c>
      <c r="K363" s="194">
        <v>163.84</v>
      </c>
      <c r="L363" s="195">
        <f t="shared" si="38"/>
        <v>0.75643999121927052</v>
      </c>
      <c r="M363" s="195">
        <f t="shared" si="39"/>
        <v>0.74484534110532119</v>
      </c>
      <c r="N363" s="195">
        <f t="shared" si="40"/>
        <v>0.17581800508814288</v>
      </c>
      <c r="O363" s="195">
        <f t="shared" si="41"/>
        <v>0.1911766129032258</v>
      </c>
      <c r="P363" s="195">
        <v>0.98499999999999999</v>
      </c>
      <c r="Q363" s="195">
        <v>0.97127096774193566</v>
      </c>
      <c r="R363" s="196">
        <v>0.99</v>
      </c>
      <c r="S363" s="197">
        <v>1</v>
      </c>
      <c r="T363" s="198">
        <v>1.4999999999999999E-2</v>
      </c>
      <c r="U363" s="197">
        <v>1.2E-2</v>
      </c>
      <c r="V363" s="198">
        <v>0</v>
      </c>
      <c r="W363" s="197">
        <v>0</v>
      </c>
      <c r="X363" s="199">
        <f t="shared" si="42"/>
        <v>-3.2535487910213767E-2</v>
      </c>
    </row>
    <row r="364" spans="1:24">
      <c r="A364" s="189" t="s">
        <v>14</v>
      </c>
      <c r="B364" s="190" t="s">
        <v>64</v>
      </c>
      <c r="C364" s="190">
        <v>10</v>
      </c>
      <c r="D364" s="191">
        <v>12</v>
      </c>
      <c r="E364" s="192">
        <v>44834</v>
      </c>
      <c r="F364" s="24">
        <v>1303.8896279343833</v>
      </c>
      <c r="G364" s="24">
        <v>1194.492</v>
      </c>
      <c r="H364" s="193">
        <v>141.6</v>
      </c>
      <c r="I364" s="194">
        <v>130.42000000000002</v>
      </c>
      <c r="J364" s="193">
        <v>145.5</v>
      </c>
      <c r="K364" s="194">
        <v>138.44000000000003</v>
      </c>
      <c r="L364" s="195">
        <f t="shared" si="38"/>
        <v>0.75815911521294987</v>
      </c>
      <c r="M364" s="195">
        <f t="shared" si="39"/>
        <v>0.73223344249189082</v>
      </c>
      <c r="N364" s="195">
        <f t="shared" si="40"/>
        <v>0.18109578165755322</v>
      </c>
      <c r="O364" s="195">
        <f t="shared" si="41"/>
        <v>0.16590166666666667</v>
      </c>
      <c r="P364" s="195">
        <v>0.98499999999999999</v>
      </c>
      <c r="Q364" s="195">
        <v>0.98195333333333334</v>
      </c>
      <c r="R364" s="196">
        <v>0.99</v>
      </c>
      <c r="S364" s="197">
        <v>1</v>
      </c>
      <c r="T364" s="198">
        <v>1.4999999999999999E-2</v>
      </c>
      <c r="U364" s="197">
        <v>9.1999999999999998E-3</v>
      </c>
      <c r="V364" s="198">
        <v>0</v>
      </c>
      <c r="W364" s="197">
        <v>0</v>
      </c>
      <c r="X364" s="199">
        <f t="shared" si="42"/>
        <v>-3.5378651159480246E-2</v>
      </c>
    </row>
    <row r="365" spans="1:24">
      <c r="A365" s="189" t="s">
        <v>14</v>
      </c>
      <c r="B365" s="190" t="s">
        <v>64</v>
      </c>
      <c r="C365" s="190">
        <v>10</v>
      </c>
      <c r="D365" s="191">
        <v>12</v>
      </c>
      <c r="E365" s="192">
        <v>44865</v>
      </c>
      <c r="F365" s="24">
        <v>1493.9234258034892</v>
      </c>
      <c r="G365" s="24">
        <v>1396.3920000000001</v>
      </c>
      <c r="H365" s="193">
        <v>139.1</v>
      </c>
      <c r="I365" s="194">
        <v>131.51999999999998</v>
      </c>
      <c r="J365" s="193">
        <v>172.2</v>
      </c>
      <c r="K365" s="194">
        <v>161.66999999999999</v>
      </c>
      <c r="L365" s="195">
        <f t="shared" si="38"/>
        <v>0.73396899377395808</v>
      </c>
      <c r="M365" s="195">
        <f t="shared" si="39"/>
        <v>0.72460398494793932</v>
      </c>
      <c r="N365" s="195">
        <f t="shared" si="40"/>
        <v>0.20079615938218942</v>
      </c>
      <c r="O365" s="195">
        <f t="shared" si="41"/>
        <v>0.18768709677419354</v>
      </c>
      <c r="P365" s="195">
        <v>0.98499999999999999</v>
      </c>
      <c r="Q365" s="195">
        <v>0.99333548387096782</v>
      </c>
      <c r="R365" s="196">
        <v>0.99</v>
      </c>
      <c r="S365" s="197">
        <v>0.99724193548387097</v>
      </c>
      <c r="T365" s="198">
        <v>1.4999999999999999E-2</v>
      </c>
      <c r="U365" s="197">
        <v>1.59264847685519E-2</v>
      </c>
      <c r="V365" s="198">
        <v>0</v>
      </c>
      <c r="W365" s="197">
        <v>0</v>
      </c>
      <c r="X365" s="199">
        <f t="shared" si="42"/>
        <v>-4.1355992377508644E-3</v>
      </c>
    </row>
    <row r="366" spans="1:24">
      <c r="A366" s="189" t="s">
        <v>14</v>
      </c>
      <c r="B366" s="190" t="s">
        <v>64</v>
      </c>
      <c r="C366" s="190">
        <v>10</v>
      </c>
      <c r="D366" s="191">
        <v>12</v>
      </c>
      <c r="E366" s="192">
        <v>44895</v>
      </c>
      <c r="F366" s="24">
        <v>1322.4733747291539</v>
      </c>
      <c r="G366" s="24">
        <v>1157.7180000000001</v>
      </c>
      <c r="H366" s="193">
        <v>108.1</v>
      </c>
      <c r="I366" s="194">
        <v>100.87</v>
      </c>
      <c r="J366" s="193">
        <v>152.1</v>
      </c>
      <c r="K366" s="194">
        <v>138.27000000000001</v>
      </c>
      <c r="L366" s="195">
        <f t="shared" si="38"/>
        <v>0.7355975033841804</v>
      </c>
      <c r="M366" s="195">
        <f t="shared" si="39"/>
        <v>0.70040379823680465</v>
      </c>
      <c r="N366" s="195">
        <f t="shared" si="40"/>
        <v>0.18367685760127136</v>
      </c>
      <c r="O366" s="195">
        <f t="shared" si="41"/>
        <v>0.16079416666666665</v>
      </c>
      <c r="P366" s="195">
        <v>0.98499999999999999</v>
      </c>
      <c r="Q366" s="195">
        <v>0.99619666666666662</v>
      </c>
      <c r="R366" s="196">
        <v>0.99</v>
      </c>
      <c r="S366" s="197">
        <v>1</v>
      </c>
      <c r="T366" s="198">
        <v>1.4999999999999999E-2</v>
      </c>
      <c r="U366" s="197">
        <v>2.4799999999999999E-2</v>
      </c>
      <c r="V366" s="198">
        <v>0</v>
      </c>
      <c r="W366" s="197">
        <v>0</v>
      </c>
      <c r="X366" s="199">
        <f t="shared" si="42"/>
        <v>-3.3654219693878606E-2</v>
      </c>
    </row>
    <row r="367" spans="1:24">
      <c r="A367" s="189" t="s">
        <v>14</v>
      </c>
      <c r="B367" s="190" t="s">
        <v>64</v>
      </c>
      <c r="C367" s="190">
        <v>10</v>
      </c>
      <c r="D367" s="191">
        <v>12</v>
      </c>
      <c r="E367" s="192">
        <v>44926</v>
      </c>
      <c r="F367" s="24">
        <v>1110.2589758469346</v>
      </c>
      <c r="G367" s="24">
        <v>1017.876</v>
      </c>
      <c r="H367" s="193">
        <v>89.9</v>
      </c>
      <c r="I367" s="194">
        <v>84.870000000000033</v>
      </c>
      <c r="J367" s="193">
        <v>129.6</v>
      </c>
      <c r="K367" s="194">
        <v>120.86</v>
      </c>
      <c r="L367" s="195">
        <f t="shared" si="38"/>
        <v>0.72477268064625144</v>
      </c>
      <c r="M367" s="195">
        <f t="shared" si="39"/>
        <v>0.70595040141303855</v>
      </c>
      <c r="N367" s="195">
        <f t="shared" si="40"/>
        <v>0.14922835696867401</v>
      </c>
      <c r="O367" s="195">
        <f t="shared" si="41"/>
        <v>0.13681129032258063</v>
      </c>
      <c r="P367" s="195">
        <v>0.98499999999999999</v>
      </c>
      <c r="Q367" s="195">
        <v>0.9941612903225806</v>
      </c>
      <c r="R367" s="196">
        <v>0.99</v>
      </c>
      <c r="S367" s="197">
        <v>1</v>
      </c>
      <c r="T367" s="198">
        <v>1.4999999999999999E-2</v>
      </c>
      <c r="U367" s="197">
        <v>2.23E-2</v>
      </c>
      <c r="V367" s="198">
        <v>0</v>
      </c>
      <c r="W367" s="197">
        <v>0</v>
      </c>
      <c r="X367" s="199">
        <f t="shared" si="42"/>
        <v>-1.5770221059093203E-2</v>
      </c>
    </row>
    <row r="368" spans="1:24">
      <c r="A368" s="189" t="s">
        <v>14</v>
      </c>
      <c r="B368" s="190" t="s">
        <v>64</v>
      </c>
      <c r="C368" s="190">
        <v>10</v>
      </c>
      <c r="D368" s="191">
        <v>12</v>
      </c>
      <c r="E368" s="192">
        <v>44957</v>
      </c>
      <c r="F368" s="24">
        <v>934.71135847327776</v>
      </c>
      <c r="G368" s="24">
        <v>769.66800000000001</v>
      </c>
      <c r="H368" s="193">
        <v>79.599999999999994</v>
      </c>
      <c r="I368" s="194">
        <v>66.399999999999991</v>
      </c>
      <c r="J368" s="193">
        <v>103.2</v>
      </c>
      <c r="K368" s="194">
        <v>87.009999999999962</v>
      </c>
      <c r="L368" s="195">
        <f t="shared" si="38"/>
        <v>0.76626739470061067</v>
      </c>
      <c r="M368" s="195">
        <f t="shared" si="39"/>
        <v>0.74466871187631267</v>
      </c>
      <c r="N368" s="195">
        <f t="shared" si="40"/>
        <v>0.12563324710662332</v>
      </c>
      <c r="O368" s="195">
        <f t="shared" si="41"/>
        <v>0.10345</v>
      </c>
      <c r="P368" s="195">
        <v>0.98499999999999999</v>
      </c>
      <c r="Q368" s="195">
        <v>0.98989677419354838</v>
      </c>
      <c r="R368" s="196">
        <v>0.99</v>
      </c>
      <c r="S368" s="197">
        <v>0.99762580645161292</v>
      </c>
      <c r="T368" s="198">
        <v>1.4999999999999999E-2</v>
      </c>
      <c r="U368" s="197">
        <v>1.0800000000000001E-2</v>
      </c>
      <c r="V368" s="198">
        <v>0</v>
      </c>
      <c r="W368" s="197">
        <v>0</v>
      </c>
      <c r="X368" s="199">
        <f t="shared" si="42"/>
        <v>-1.9691624912468009E-2</v>
      </c>
    </row>
    <row r="369" spans="1:24">
      <c r="A369" s="189" t="s">
        <v>14</v>
      </c>
      <c r="B369" s="190" t="s">
        <v>64</v>
      </c>
      <c r="C369" s="190">
        <v>10</v>
      </c>
      <c r="D369" s="191">
        <v>12</v>
      </c>
      <c r="E369" s="192">
        <f>EOMONTH(E368,1)</f>
        <v>44985</v>
      </c>
      <c r="F369" s="24">
        <v>1226.9857374987751</v>
      </c>
      <c r="G369" s="24">
        <v>1270.92</v>
      </c>
      <c r="H369" s="193">
        <v>108.1</v>
      </c>
      <c r="I369" s="194">
        <v>117.49000000000004</v>
      </c>
      <c r="J369" s="193">
        <v>137.5</v>
      </c>
      <c r="K369" s="194">
        <v>150.66</v>
      </c>
      <c r="L369" s="195">
        <f t="shared" si="38"/>
        <v>0.75495199969160132</v>
      </c>
      <c r="M369" s="195">
        <f t="shared" si="39"/>
        <v>0.70675247896848492</v>
      </c>
      <c r="N369" s="195">
        <f t="shared" si="40"/>
        <v>0.1825871633182701</v>
      </c>
      <c r="O369" s="195">
        <f t="shared" si="41"/>
        <v>0.18912500000000002</v>
      </c>
      <c r="P369" s="195">
        <v>0.98499999999999999</v>
      </c>
      <c r="Q369" s="195">
        <v>0.99465315484693895</v>
      </c>
      <c r="R369" s="196">
        <v>0.99</v>
      </c>
      <c r="S369" s="197">
        <v>0.99800357142857143</v>
      </c>
      <c r="T369" s="198">
        <v>1.4999999999999999E-2</v>
      </c>
      <c r="U369" s="197">
        <v>1.6899999999999998E-2</v>
      </c>
      <c r="V369" s="198">
        <v>0</v>
      </c>
      <c r="W369" s="197">
        <v>0</v>
      </c>
      <c r="X369" s="199">
        <f t="shared" si="42"/>
        <v>-5.9902429789471467E-2</v>
      </c>
    </row>
    <row r="370" spans="1:24">
      <c r="A370" s="189" t="s">
        <v>14</v>
      </c>
      <c r="B370" s="190" t="s">
        <v>64</v>
      </c>
      <c r="C370" s="190">
        <v>10</v>
      </c>
      <c r="D370" s="191">
        <v>12</v>
      </c>
      <c r="E370" s="192">
        <f>EOMONTH(E369,1)</f>
        <v>45016</v>
      </c>
      <c r="F370" s="24">
        <f>UTT!X334</f>
        <v>45016</v>
      </c>
      <c r="G370" s="24">
        <f>UTT!Y334</f>
        <v>1645.7135213271411</v>
      </c>
      <c r="H370" s="24">
        <f>UTT!Z334</f>
        <v>1471.86</v>
      </c>
      <c r="I370" s="24">
        <f>UTT!AA334</f>
        <v>150.26999999999998</v>
      </c>
      <c r="J370" s="24">
        <f>UTT!AB334</f>
        <v>171.93999999999997</v>
      </c>
      <c r="K370" s="24">
        <f>UTT!AC334</f>
        <v>187.8</v>
      </c>
      <c r="L370" s="195">
        <f>F370/D370/J370/P370</f>
        <v>110.28467466759899</v>
      </c>
      <c r="M370" s="195">
        <f>G370/D370/K370/Q370</f>
        <v>0.74138052385315634</v>
      </c>
      <c r="N370" s="195">
        <f>F370/24/DAY(E370)/C370</f>
        <v>6.0505376344086024</v>
      </c>
      <c r="O370" s="195">
        <f>G370/24/DAY(E370)/C370</f>
        <v>0.22119805394182004</v>
      </c>
      <c r="P370" s="195">
        <f>UTT!AH334</f>
        <v>0.19783064516129029</v>
      </c>
      <c r="Q370" s="195">
        <f>UTT!AI334</f>
        <v>0.98499999999999999</v>
      </c>
      <c r="R370" s="195">
        <f>UTT!AJ334</f>
        <v>0.99543870967741943</v>
      </c>
      <c r="S370" s="195">
        <f>UTT!AK334</f>
        <v>0.99</v>
      </c>
      <c r="T370" s="198">
        <v>1.4999999999999999E-2</v>
      </c>
      <c r="U370" s="195">
        <f>UTT!AQ334</f>
        <v>1.0000000000000009E-2</v>
      </c>
      <c r="V370" s="198">
        <v>0</v>
      </c>
      <c r="W370" s="197">
        <v>0</v>
      </c>
      <c r="X370" s="199">
        <f>(G370/F370-1)-(K370/J370-1)</f>
        <v>-1.0556830665477128</v>
      </c>
    </row>
    <row r="371" spans="1:24">
      <c r="A371" s="189" t="s">
        <v>14</v>
      </c>
      <c r="B371" s="190" t="s">
        <v>64</v>
      </c>
      <c r="C371" s="200">
        <v>10</v>
      </c>
      <c r="D371" s="201">
        <v>12</v>
      </c>
      <c r="E371" s="192">
        <f>EOMONTH(E370,1)</f>
        <v>45046</v>
      </c>
      <c r="F371" s="24">
        <f>UTT!X335</f>
        <v>45046</v>
      </c>
      <c r="G371" s="24">
        <f>UTT!Y335</f>
        <v>1702.9754404831567</v>
      </c>
      <c r="H371" s="24">
        <f>UTT!Z335</f>
        <v>1568.556</v>
      </c>
      <c r="I371" s="24">
        <f>UTT!AA335</f>
        <v>190.2</v>
      </c>
      <c r="J371" s="24">
        <f>UTT!AB335</f>
        <v>184.35000000000002</v>
      </c>
      <c r="K371" s="24">
        <f>UTT!AC335</f>
        <v>194</v>
      </c>
      <c r="L371" s="195">
        <f>F371/D371/J371/P371</f>
        <v>93.468293282223613</v>
      </c>
      <c r="M371" s="195">
        <f>G371/D371/K371/Q371</f>
        <v>0.74265853807244264</v>
      </c>
      <c r="N371" s="195">
        <f>F371/24/DAY(E371)/C371</f>
        <v>6.256388888888889</v>
      </c>
      <c r="O371" s="195">
        <f>G371/24/DAY(E371)/C371</f>
        <v>0.23652436673377175</v>
      </c>
      <c r="P371" s="195">
        <f>UTT!AH335</f>
        <v>0.21785499999999999</v>
      </c>
      <c r="Q371" s="195">
        <f>UTT!AI335</f>
        <v>0.98499999999999999</v>
      </c>
      <c r="R371" s="195">
        <f>UTT!AJ335</f>
        <v>0.97820999999999991</v>
      </c>
      <c r="S371" s="195">
        <f>UTT!AK335</f>
        <v>0.99</v>
      </c>
      <c r="T371" s="198">
        <v>1.4999999999999999E-2</v>
      </c>
      <c r="U371" s="195">
        <f>UTT!AQ335</f>
        <v>1.0000000000000009E-2</v>
      </c>
      <c r="V371" s="198">
        <v>0</v>
      </c>
      <c r="W371" s="197">
        <v>0</v>
      </c>
      <c r="X371" s="199">
        <f>(G371/F371-1)-(K371/J371-1)</f>
        <v>-1.0145408275171626</v>
      </c>
    </row>
    <row r="372" spans="1:24">
      <c r="A372" s="189" t="s">
        <v>14</v>
      </c>
      <c r="B372" s="190" t="s">
        <v>64</v>
      </c>
      <c r="C372" s="200">
        <v>10</v>
      </c>
      <c r="D372" s="201">
        <v>12</v>
      </c>
      <c r="E372" s="192">
        <f t="shared" ref="E372:E391" si="43">EOMONTH(E371,1)</f>
        <v>45077</v>
      </c>
      <c r="F372" s="24">
        <f>UTT!X336</f>
        <v>45077</v>
      </c>
      <c r="G372" s="24">
        <f>UTT!Y336</f>
        <v>1725.6416168157466</v>
      </c>
      <c r="H372" s="24">
        <f>UTT!Z336</f>
        <v>1474.71</v>
      </c>
      <c r="I372" s="24">
        <f>UTT!AA336</f>
        <v>197</v>
      </c>
      <c r="J372" s="24">
        <f>UTT!AB336</f>
        <v>191.15000000000003</v>
      </c>
      <c r="K372" s="24">
        <f>UTT!AC336</f>
        <v>197.7</v>
      </c>
      <c r="L372" s="195">
        <f t="shared" ref="L372:L391" si="44">F372/D372/J372/P372</f>
        <v>99.143847064631103</v>
      </c>
      <c r="M372" s="195">
        <f t="shared" ref="M372:M391" si="45">G372/D372/K372/Q372</f>
        <v>0.73845912289799132</v>
      </c>
      <c r="N372" s="195">
        <f t="shared" ref="N372:N391" si="46">F372/24/DAY(E372)/C372</f>
        <v>6.0587365591397848</v>
      </c>
      <c r="O372" s="195">
        <f t="shared" ref="O372:O391" si="47">G372/24/DAY(E372)/C372</f>
        <v>0.2319410775289982</v>
      </c>
      <c r="P372" s="195">
        <f>UTT!AH336</f>
        <v>0.19821370967741936</v>
      </c>
      <c r="Q372" s="195">
        <f>UTT!AI336</f>
        <v>0.98499999999999999</v>
      </c>
      <c r="R372" s="195">
        <f>UTT!AJ336</f>
        <v>0.91930149222684709</v>
      </c>
      <c r="S372" s="195">
        <f>UTT!AK336</f>
        <v>0.99</v>
      </c>
      <c r="T372" s="198">
        <v>1.4999999999999999E-2</v>
      </c>
      <c r="U372" s="195">
        <f>UTT!AQ336</f>
        <v>3.6419354838710394E-3</v>
      </c>
      <c r="V372" s="198">
        <v>0</v>
      </c>
      <c r="W372" s="197">
        <v>0</v>
      </c>
      <c r="X372" s="199">
        <f t="shared" ref="X372:X391" si="48">(G372/F372-1)-(K372/J372-1)</f>
        <v>-0.99598419644271408</v>
      </c>
    </row>
    <row r="373" spans="1:24">
      <c r="A373" s="189" t="s">
        <v>14</v>
      </c>
      <c r="B373" s="190" t="s">
        <v>64</v>
      </c>
      <c r="C373" s="200">
        <v>10</v>
      </c>
      <c r="D373" s="201">
        <v>12</v>
      </c>
      <c r="E373" s="192">
        <f t="shared" si="43"/>
        <v>45107</v>
      </c>
      <c r="F373" s="24">
        <f>UTT!X337</f>
        <v>45107</v>
      </c>
      <c r="G373" s="24">
        <f>UTT!Y337</f>
        <v>1549.0840327513642</v>
      </c>
      <c r="H373" s="24">
        <f>UTT!Z337</f>
        <v>1414.59</v>
      </c>
      <c r="I373" s="24">
        <f>UTT!AA337</f>
        <v>178.9</v>
      </c>
      <c r="J373" s="24">
        <f>UTT!AB337</f>
        <v>171.63000000000002</v>
      </c>
      <c r="K373" s="24">
        <f>UTT!AC337</f>
        <v>177.2</v>
      </c>
      <c r="L373" s="195">
        <f t="shared" si="44"/>
        <v>111.47344118944194</v>
      </c>
      <c r="M373" s="195">
        <f t="shared" si="45"/>
        <v>0.73959468817026108</v>
      </c>
      <c r="N373" s="195">
        <f t="shared" si="46"/>
        <v>6.2648611111111112</v>
      </c>
      <c r="O373" s="195">
        <f t="shared" si="47"/>
        <v>0.21515056010435613</v>
      </c>
      <c r="P373" s="195">
        <f>UTT!AH337</f>
        <v>0.19647083333333332</v>
      </c>
      <c r="Q373" s="195">
        <f>UTT!AI337</f>
        <v>0.98499999999999999</v>
      </c>
      <c r="R373" s="195">
        <f>UTT!AJ337</f>
        <v>0.98819666666666661</v>
      </c>
      <c r="S373" s="195">
        <f>UTT!AK337</f>
        <v>0.99</v>
      </c>
      <c r="T373" s="198">
        <v>1.4999999999999999E-2</v>
      </c>
      <c r="U373" s="195">
        <f>UTT!AQ337</f>
        <v>1.0000000000000009E-2</v>
      </c>
      <c r="V373" s="198">
        <v>0</v>
      </c>
      <c r="W373" s="197">
        <v>0</v>
      </c>
      <c r="X373" s="199">
        <f t="shared" si="48"/>
        <v>-0.99811110281693805</v>
      </c>
    </row>
    <row r="374" spans="1:24">
      <c r="A374" s="189" t="s">
        <v>14</v>
      </c>
      <c r="B374" s="190" t="s">
        <v>64</v>
      </c>
      <c r="C374" s="200">
        <v>10</v>
      </c>
      <c r="D374" s="201">
        <v>12</v>
      </c>
      <c r="E374" s="192">
        <f t="shared" si="43"/>
        <v>45138</v>
      </c>
      <c r="F374" s="24">
        <f>UTT!X338</f>
        <v>45138</v>
      </c>
      <c r="G374" s="24">
        <f>UTT!Y338</f>
        <v>1371.3334920378982</v>
      </c>
      <c r="H374" s="24">
        <f>UTT!Z338</f>
        <v>1140.8520000000001</v>
      </c>
      <c r="I374" s="24">
        <f>UTT!AA338</f>
        <v>155.5</v>
      </c>
      <c r="J374" s="24">
        <f>UTT!AB338</f>
        <v>140.13</v>
      </c>
      <c r="K374" s="24">
        <f>UTT!AC338</f>
        <v>154.6</v>
      </c>
      <c r="L374" s="195">
        <f t="shared" si="44"/>
        <v>175.05461780563834</v>
      </c>
      <c r="M374" s="195">
        <f t="shared" si="45"/>
        <v>0.75044024535666431</v>
      </c>
      <c r="N374" s="195">
        <f t="shared" si="46"/>
        <v>6.0669354838709681</v>
      </c>
      <c r="O374" s="195">
        <f t="shared" si="47"/>
        <v>0.18431901774702933</v>
      </c>
      <c r="P374" s="195">
        <f>UTT!AH338</f>
        <v>0.15334032258064517</v>
      </c>
      <c r="Q374" s="195">
        <f>UTT!AI338</f>
        <v>0.98499999999999999</v>
      </c>
      <c r="R374" s="195">
        <f>UTT!AJ338</f>
        <v>0.95279677419354836</v>
      </c>
      <c r="S374" s="195">
        <f>UTT!AK338</f>
        <v>0.99</v>
      </c>
      <c r="T374" s="198">
        <v>1.4999999999999999E-2</v>
      </c>
      <c r="U374" s="195">
        <f>UTT!AQ338</f>
        <v>1.0000000000000009E-2</v>
      </c>
      <c r="V374" s="198">
        <v>0</v>
      </c>
      <c r="W374" s="197">
        <v>0</v>
      </c>
      <c r="X374" s="199">
        <f t="shared" si="48"/>
        <v>-1.0728803479253974</v>
      </c>
    </row>
    <row r="375" spans="1:24">
      <c r="A375" s="189" t="s">
        <v>14</v>
      </c>
      <c r="B375" s="190" t="s">
        <v>64</v>
      </c>
      <c r="C375" s="200">
        <v>10</v>
      </c>
      <c r="D375" s="201">
        <v>12</v>
      </c>
      <c r="E375" s="192">
        <f t="shared" si="43"/>
        <v>45169</v>
      </c>
      <c r="F375" s="24">
        <f>UTT!X339</f>
        <v>45169</v>
      </c>
      <c r="G375" s="24">
        <f>UTT!Y339</f>
        <v>1301.5455280665039</v>
      </c>
      <c r="H375" s="24">
        <f>UTT!Z339</f>
        <v>1127.3579999999999</v>
      </c>
      <c r="I375" s="24">
        <f>UTT!AA339</f>
        <v>145.4</v>
      </c>
      <c r="J375" s="24">
        <f>UTT!AB339</f>
        <v>134.40999999999997</v>
      </c>
      <c r="K375" s="24">
        <f>UTT!AC339</f>
        <v>146.30000000000001</v>
      </c>
      <c r="L375" s="195">
        <f t="shared" si="44"/>
        <v>184.81564536258961</v>
      </c>
      <c r="M375" s="195">
        <f t="shared" si="45"/>
        <v>0.752657791263174</v>
      </c>
      <c r="N375" s="195">
        <f t="shared" si="46"/>
        <v>6.0711021505376346</v>
      </c>
      <c r="O375" s="195">
        <f t="shared" si="47"/>
        <v>0.17493891506270215</v>
      </c>
      <c r="P375" s="195">
        <f>UTT!AH339</f>
        <v>0.1515266129032258</v>
      </c>
      <c r="Q375" s="195">
        <f>UTT!AI339</f>
        <v>0.98499999999999999</v>
      </c>
      <c r="R375" s="195">
        <f>UTT!AJ339</f>
        <v>0.96770967741935487</v>
      </c>
      <c r="S375" s="195">
        <f>UTT!AK339</f>
        <v>0.99</v>
      </c>
      <c r="T375" s="198">
        <v>1.4999999999999999E-2</v>
      </c>
      <c r="U375" s="195">
        <f>UTT!AQ339</f>
        <v>1.0000000000000009E-2</v>
      </c>
      <c r="V375" s="198">
        <v>0</v>
      </c>
      <c r="W375" s="197">
        <v>0</v>
      </c>
      <c r="X375" s="199">
        <f t="shared" si="48"/>
        <v>-1.0596456624511674</v>
      </c>
    </row>
    <row r="376" spans="1:24">
      <c r="A376" s="189" t="s">
        <v>14</v>
      </c>
      <c r="B376" s="190" t="s">
        <v>64</v>
      </c>
      <c r="C376" s="200">
        <v>10</v>
      </c>
      <c r="D376" s="201">
        <v>12</v>
      </c>
      <c r="E376" s="192">
        <f t="shared" si="43"/>
        <v>45199</v>
      </c>
      <c r="F376" s="24">
        <f>UTT!X340</f>
        <v>45199</v>
      </c>
      <c r="G376" s="24">
        <f>UTT!Y340</f>
        <v>1297.3701797947112</v>
      </c>
      <c r="H376" s="24">
        <f>UTT!Z340</f>
        <v>1276.674</v>
      </c>
      <c r="I376" s="24">
        <f>UTT!AA340</f>
        <v>141.6</v>
      </c>
      <c r="J376" s="24">
        <f>UTT!AB340</f>
        <v>140.84999999999997</v>
      </c>
      <c r="K376" s="24">
        <f>UTT!AC340</f>
        <v>145.5</v>
      </c>
      <c r="L376" s="195">
        <f t="shared" si="44"/>
        <v>150.81453923629897</v>
      </c>
      <c r="M376" s="195">
        <f t="shared" si="45"/>
        <v>0.75436831963688511</v>
      </c>
      <c r="N376" s="195">
        <f t="shared" si="46"/>
        <v>6.2776388888888892</v>
      </c>
      <c r="O376" s="195">
        <f t="shared" si="47"/>
        <v>0.18019030274926545</v>
      </c>
      <c r="P376" s="195">
        <f>UTT!AH340</f>
        <v>0.17731583333333334</v>
      </c>
      <c r="Q376" s="195">
        <f>UTT!AI340</f>
        <v>0.98499999999999999</v>
      </c>
      <c r="R376" s="195">
        <f>UTT!AJ340</f>
        <v>0.98692999999999997</v>
      </c>
      <c r="S376" s="195">
        <f>UTT!AK340</f>
        <v>0.99</v>
      </c>
      <c r="T376" s="198">
        <v>1.4999999999999999E-2</v>
      </c>
      <c r="U376" s="195">
        <f>UTT!AQ340</f>
        <v>1.0000000000000009E-2</v>
      </c>
      <c r="V376" s="198">
        <v>0</v>
      </c>
      <c r="W376" s="197">
        <v>0</v>
      </c>
      <c r="X376" s="199">
        <f t="shared" si="48"/>
        <v>-1.0043103293979683</v>
      </c>
    </row>
    <row r="377" spans="1:24">
      <c r="A377" s="189" t="s">
        <v>14</v>
      </c>
      <c r="B377" s="190" t="s">
        <v>64</v>
      </c>
      <c r="C377" s="200">
        <v>10</v>
      </c>
      <c r="D377" s="201">
        <v>12</v>
      </c>
      <c r="E377" s="192">
        <f t="shared" si="43"/>
        <v>45230</v>
      </c>
      <c r="F377" s="24">
        <f>UTT!X341</f>
        <v>45230</v>
      </c>
      <c r="G377" s="24">
        <f>UTT!Y341</f>
        <v>1486.4538086744719</v>
      </c>
      <c r="H377" s="24">
        <f>UTT!Z341</f>
        <v>1359.402</v>
      </c>
      <c r="I377" s="24">
        <f>UTT!AA341</f>
        <v>139.1</v>
      </c>
      <c r="J377" s="24">
        <f>UTT!AB341</f>
        <v>136.37000000000003</v>
      </c>
      <c r="K377" s="24">
        <f>UTT!AC341</f>
        <v>172.2</v>
      </c>
      <c r="L377" s="195">
        <f t="shared" si="44"/>
        <v>151.26955601085933</v>
      </c>
      <c r="M377" s="195">
        <f t="shared" si="45"/>
        <v>0.73029914880508839</v>
      </c>
      <c r="N377" s="195">
        <f t="shared" si="46"/>
        <v>6.079301075268817</v>
      </c>
      <c r="O377" s="195">
        <f t="shared" si="47"/>
        <v>0.19979217858527848</v>
      </c>
      <c r="P377" s="195">
        <f>UTT!AH341</f>
        <v>0.18271532258064516</v>
      </c>
      <c r="Q377" s="195">
        <f>UTT!AI341</f>
        <v>0.98499999999999999</v>
      </c>
      <c r="R377" s="195">
        <f>UTT!AJ341</f>
        <v>0.88917096774193549</v>
      </c>
      <c r="S377" s="195">
        <f>UTT!AK341</f>
        <v>0.99</v>
      </c>
      <c r="T377" s="198">
        <v>1.4999999999999999E-2</v>
      </c>
      <c r="U377" s="195">
        <f>UTT!AQ341</f>
        <v>1.0000000000000009E-2</v>
      </c>
      <c r="V377" s="198">
        <v>0</v>
      </c>
      <c r="W377" s="197">
        <v>0</v>
      </c>
      <c r="X377" s="199">
        <f t="shared" si="48"/>
        <v>-1.2298767384844858</v>
      </c>
    </row>
    <row r="378" spans="1:24">
      <c r="A378" s="189" t="s">
        <v>14</v>
      </c>
      <c r="B378" s="190" t="s">
        <v>64</v>
      </c>
      <c r="C378" s="200">
        <v>10</v>
      </c>
      <c r="D378" s="201">
        <v>12</v>
      </c>
      <c r="E378" s="192">
        <f t="shared" si="43"/>
        <v>45260</v>
      </c>
      <c r="F378" s="24">
        <f>UTT!X342</f>
        <v>45260</v>
      </c>
      <c r="G378" s="24">
        <f>UTT!Y342</f>
        <v>1315.8610078555082</v>
      </c>
      <c r="H378" s="24">
        <f>UTT!Z342</f>
        <v>1120.9380000000001</v>
      </c>
      <c r="I378" s="24">
        <f>UTT!AA342</f>
        <v>108.1</v>
      </c>
      <c r="J378" s="24">
        <f>UTT!AB342</f>
        <v>92.499999999999986</v>
      </c>
      <c r="K378" s="24">
        <f>UTT!AC342</f>
        <v>152.1</v>
      </c>
      <c r="L378" s="195">
        <f t="shared" si="44"/>
        <v>261.90420734989658</v>
      </c>
      <c r="M378" s="195">
        <f t="shared" si="45"/>
        <v>0.73191951586725956</v>
      </c>
      <c r="N378" s="195">
        <f t="shared" si="46"/>
        <v>6.2861111111111105</v>
      </c>
      <c r="O378" s="195">
        <f t="shared" si="47"/>
        <v>0.18275847331326503</v>
      </c>
      <c r="P378" s="195">
        <f>UTT!AH342</f>
        <v>0.15568583333333336</v>
      </c>
      <c r="Q378" s="195">
        <f>UTT!AI342</f>
        <v>0.98499999999999999</v>
      </c>
      <c r="R378" s="195">
        <f>UTT!AJ342</f>
        <v>0.99540666666666666</v>
      </c>
      <c r="S378" s="195">
        <f>UTT!AK342</f>
        <v>0.99</v>
      </c>
      <c r="T378" s="198">
        <v>1.4999999999999999E-2</v>
      </c>
      <c r="U378" s="195">
        <f>UTT!AQ342</f>
        <v>1.0000000000000009E-2</v>
      </c>
      <c r="V378" s="198">
        <v>0</v>
      </c>
      <c r="W378" s="197">
        <v>0</v>
      </c>
      <c r="X378" s="199">
        <f t="shared" si="48"/>
        <v>-1.6152509481012687</v>
      </c>
    </row>
    <row r="379" spans="1:24">
      <c r="A379" s="189" t="s">
        <v>14</v>
      </c>
      <c r="B379" s="190" t="s">
        <v>64</v>
      </c>
      <c r="C379" s="200">
        <v>10</v>
      </c>
      <c r="D379" s="201">
        <v>12</v>
      </c>
      <c r="E379" s="192">
        <f t="shared" si="43"/>
        <v>45291</v>
      </c>
      <c r="F379" s="24">
        <f>UTT!X343</f>
        <v>45291</v>
      </c>
      <c r="G379" s="24">
        <f>UTT!Y343</f>
        <v>1104.7076809677001</v>
      </c>
      <c r="H379" s="24">
        <f>UTT!Z343</f>
        <v>1017.504</v>
      </c>
      <c r="I379" s="24">
        <f>UTT!AA343</f>
        <v>89.9</v>
      </c>
      <c r="J379" s="24">
        <f>UTT!AB343</f>
        <v>80.960000000000008</v>
      </c>
      <c r="K379" s="24">
        <f>UTT!AC343</f>
        <v>129.6</v>
      </c>
      <c r="L379" s="195">
        <f t="shared" si="44"/>
        <v>340.87643135660119</v>
      </c>
      <c r="M379" s="195">
        <f t="shared" si="45"/>
        <v>0.72114881724302038</v>
      </c>
      <c r="N379" s="195">
        <f t="shared" si="46"/>
        <v>6.0875000000000004</v>
      </c>
      <c r="O379" s="195">
        <f t="shared" si="47"/>
        <v>0.14848221518383067</v>
      </c>
      <c r="P379" s="195">
        <f>UTT!AH343</f>
        <v>0.13676129032258064</v>
      </c>
      <c r="Q379" s="195">
        <f>UTT!AI343</f>
        <v>0.98499999999999999</v>
      </c>
      <c r="R379" s="195">
        <f>UTT!AJ343</f>
        <v>0.99761935483870967</v>
      </c>
      <c r="S379" s="195">
        <f>UTT!AK343</f>
        <v>0.99</v>
      </c>
      <c r="T379" s="198">
        <v>1.4999999999999999E-2</v>
      </c>
      <c r="U379" s="195">
        <f>UTT!AQ343</f>
        <v>1.0000000000000009E-2</v>
      </c>
      <c r="V379" s="198">
        <v>0</v>
      </c>
      <c r="W379" s="197">
        <v>0</v>
      </c>
      <c r="X379" s="199">
        <f t="shared" si="48"/>
        <v>-1.5763991848510219</v>
      </c>
    </row>
    <row r="380" spans="1:24">
      <c r="A380" s="189" t="s">
        <v>14</v>
      </c>
      <c r="B380" s="190" t="s">
        <v>64</v>
      </c>
      <c r="C380" s="200">
        <v>10</v>
      </c>
      <c r="D380" s="201">
        <v>12</v>
      </c>
      <c r="E380" s="192">
        <f t="shared" si="43"/>
        <v>45322</v>
      </c>
      <c r="F380" s="24">
        <f>UTT!X344</f>
        <v>45322</v>
      </c>
      <c r="G380" s="24">
        <f>UTT!Y344</f>
        <v>930.03780168091134</v>
      </c>
      <c r="H380" s="24">
        <f>UTT!Z344</f>
        <v>413.976</v>
      </c>
      <c r="I380" s="24">
        <f>UTT!AA344</f>
        <v>79.599999999999994</v>
      </c>
      <c r="J380" s="24">
        <f>UTT!AB344</f>
        <v>43.110000000000007</v>
      </c>
      <c r="K380" s="24">
        <f>UTT!AC344</f>
        <v>103.2</v>
      </c>
      <c r="L380" s="195">
        <f t="shared" si="44"/>
        <v>1574.5177799896169</v>
      </c>
      <c r="M380" s="195">
        <f t="shared" si="45"/>
        <v>0.76243605772710765</v>
      </c>
      <c r="N380" s="195">
        <f t="shared" si="46"/>
        <v>6.0916666666666668</v>
      </c>
      <c r="O380" s="195">
        <f t="shared" si="47"/>
        <v>0.12500508087109025</v>
      </c>
      <c r="P380" s="195">
        <f>UTT!AH344</f>
        <v>5.5641935483870961E-2</v>
      </c>
      <c r="Q380" s="195">
        <f>UTT!AI344</f>
        <v>0.98499999999999999</v>
      </c>
      <c r="R380" s="195">
        <f>UTT!AJ344</f>
        <v>0.99350000000000005</v>
      </c>
      <c r="S380" s="195">
        <f>UTT!AK344</f>
        <v>0.99</v>
      </c>
      <c r="T380" s="198">
        <v>1.4999999999999999E-2</v>
      </c>
      <c r="U380" s="195">
        <f>UTT!AQ344</f>
        <v>1.0000000000000009E-2</v>
      </c>
      <c r="V380" s="198">
        <v>0</v>
      </c>
      <c r="W380" s="197">
        <v>0</v>
      </c>
      <c r="X380" s="199">
        <f t="shared" si="48"/>
        <v>-2.3733554609176748</v>
      </c>
    </row>
    <row r="381" spans="1:24">
      <c r="A381" s="189" t="s">
        <v>14</v>
      </c>
      <c r="B381" s="190" t="s">
        <v>64</v>
      </c>
      <c r="C381" s="200">
        <v>10</v>
      </c>
      <c r="D381" s="201">
        <v>12</v>
      </c>
      <c r="E381" s="192">
        <f t="shared" si="43"/>
        <v>45351</v>
      </c>
      <c r="F381" s="24">
        <f>UTT!X345</f>
        <v>45351</v>
      </c>
      <c r="G381" s="24">
        <f>UTT!Y345</f>
        <v>1220.8508088112812</v>
      </c>
      <c r="H381" s="24">
        <f>UTT!Z345</f>
        <v>1173.288</v>
      </c>
      <c r="I381" s="24">
        <f>UTT!AA345</f>
        <v>108.1</v>
      </c>
      <c r="J381" s="24">
        <f>UTT!AB345</f>
        <v>109.59</v>
      </c>
      <c r="K381" s="24">
        <f>UTT!AC345</f>
        <v>137.5</v>
      </c>
      <c r="L381" s="195">
        <f t="shared" si="44"/>
        <v>204.56875664108961</v>
      </c>
      <c r="M381" s="195">
        <f t="shared" si="45"/>
        <v>0.75117723969314343</v>
      </c>
      <c r="N381" s="195">
        <f t="shared" si="46"/>
        <v>6.5159482758620682</v>
      </c>
      <c r="O381" s="195">
        <f t="shared" si="47"/>
        <v>0.17540959896713812</v>
      </c>
      <c r="P381" s="195">
        <f>UTT!AH345</f>
        <v>0.16857586206896552</v>
      </c>
      <c r="Q381" s="195">
        <f>UTT!AI345</f>
        <v>0.98499999999999999</v>
      </c>
      <c r="R381" s="195">
        <f>UTT!AJ345</f>
        <v>0.97050000000000003</v>
      </c>
      <c r="S381" s="195">
        <f>UTT!AK345</f>
        <v>0.99</v>
      </c>
      <c r="T381" s="198">
        <v>1.4999999999999999E-2</v>
      </c>
      <c r="U381" s="195">
        <f>UTT!AQ345</f>
        <v>5.8931034482758715E-3</v>
      </c>
      <c r="V381" s="198">
        <v>0</v>
      </c>
      <c r="W381" s="197">
        <v>0</v>
      </c>
      <c r="X381" s="199">
        <f t="shared" si="48"/>
        <v>-1.227756479931712</v>
      </c>
    </row>
    <row r="382" spans="1:24">
      <c r="A382" s="189" t="s">
        <v>14</v>
      </c>
      <c r="B382" s="190" t="s">
        <v>64</v>
      </c>
      <c r="C382" s="200">
        <v>10</v>
      </c>
      <c r="D382" s="201">
        <v>12</v>
      </c>
      <c r="E382" s="192">
        <f t="shared" si="43"/>
        <v>45382</v>
      </c>
      <c r="F382" s="24">
        <f>UTT!X346</f>
        <v>45382</v>
      </c>
      <c r="G382" s="24">
        <f>UTT!Y346</f>
        <v>1637.4849537205052</v>
      </c>
      <c r="H382" s="24">
        <f>UTT!Z346</f>
        <v>1482.3420000000001</v>
      </c>
      <c r="I382" s="24">
        <f>UTT!AA346</f>
        <v>161.4</v>
      </c>
      <c r="J382" s="24">
        <f>UTT!AB346</f>
        <v>151.69</v>
      </c>
      <c r="K382" s="24">
        <f>UTT!AC346</f>
        <v>187.8</v>
      </c>
      <c r="L382" s="195">
        <f t="shared" si="44"/>
        <v>125.13245228875145</v>
      </c>
      <c r="M382" s="195">
        <f t="shared" si="45"/>
        <v>0.73767362123389046</v>
      </c>
      <c r="N382" s="195">
        <f t="shared" si="46"/>
        <v>6.0997311827956988</v>
      </c>
      <c r="O382" s="195">
        <f t="shared" si="47"/>
        <v>0.22009206367211093</v>
      </c>
      <c r="P382" s="195">
        <f>UTT!AH346</f>
        <v>0.19923951612903229</v>
      </c>
      <c r="Q382" s="195">
        <f>UTT!AI346</f>
        <v>0.98499999999999999</v>
      </c>
      <c r="R382" s="195">
        <f>UTT!AJ346</f>
        <v>0.99800000000000011</v>
      </c>
      <c r="S382" s="195">
        <f>UTT!AK346</f>
        <v>0.99</v>
      </c>
      <c r="T382" s="198">
        <v>1.4999999999999999E-2</v>
      </c>
      <c r="U382" s="195">
        <f>UTT!AQ346</f>
        <v>1.0000000000000009E-2</v>
      </c>
      <c r="V382" s="198">
        <v>0</v>
      </c>
      <c r="W382" s="197">
        <v>0</v>
      </c>
      <c r="X382" s="199">
        <f t="shared" si="48"/>
        <v>-1.2019690325498635</v>
      </c>
    </row>
    <row r="383" spans="1:24">
      <c r="A383" s="189" t="s">
        <v>14</v>
      </c>
      <c r="B383" s="190" t="s">
        <v>64</v>
      </c>
      <c r="C383" s="200">
        <v>10</v>
      </c>
      <c r="D383" s="201">
        <v>12</v>
      </c>
      <c r="E383" s="192">
        <f t="shared" si="43"/>
        <v>45412</v>
      </c>
      <c r="F383" s="24">
        <f>UTT!X347</f>
        <v>45412</v>
      </c>
      <c r="G383" s="24">
        <f>UTT!Y347</f>
        <v>1694.4605632807411</v>
      </c>
      <c r="H383" s="24">
        <f>UTT!Z347</f>
        <v>1517.088</v>
      </c>
      <c r="I383" s="24">
        <f>UTT!AA347</f>
        <v>190.20000000000002</v>
      </c>
      <c r="J383" s="24">
        <f>UTT!AB347</f>
        <v>181.57</v>
      </c>
      <c r="K383" s="24">
        <f>UTT!AC347</f>
        <v>194</v>
      </c>
      <c r="L383" s="195">
        <f t="shared" si="44"/>
        <v>98.916106354946081</v>
      </c>
      <c r="M383" s="195">
        <f t="shared" si="45"/>
        <v>0.7389452453820804</v>
      </c>
      <c r="N383" s="195">
        <f t="shared" si="46"/>
        <v>6.3072222222222223</v>
      </c>
      <c r="O383" s="195">
        <f t="shared" si="47"/>
        <v>0.2353417449001029</v>
      </c>
      <c r="P383" s="195">
        <f>UTT!AH347</f>
        <v>0.21070666666666665</v>
      </c>
      <c r="Q383" s="195">
        <f>UTT!AI347</f>
        <v>0.98499999999999999</v>
      </c>
      <c r="R383" s="195">
        <f>UTT!AJ347</f>
        <v>0.97941632670282641</v>
      </c>
      <c r="S383" s="195">
        <f>UTT!AK347</f>
        <v>0.99</v>
      </c>
      <c r="T383" s="198">
        <v>1.4999999999999999E-2</v>
      </c>
      <c r="U383" s="195">
        <f>UTT!AQ347</f>
        <v>9.5633333333332571E-3</v>
      </c>
      <c r="V383" s="198">
        <v>0</v>
      </c>
      <c r="W383" s="197">
        <v>0</v>
      </c>
      <c r="X383" s="199">
        <f t="shared" si="48"/>
        <v>-1.0311453883645718</v>
      </c>
    </row>
    <row r="384" spans="1:24">
      <c r="A384" s="189" t="s">
        <v>14</v>
      </c>
      <c r="B384" s="190" t="s">
        <v>64</v>
      </c>
      <c r="C384" s="200">
        <v>10</v>
      </c>
      <c r="D384" s="201">
        <v>12</v>
      </c>
      <c r="E384" s="192">
        <f t="shared" si="43"/>
        <v>45443</v>
      </c>
      <c r="F384" s="24">
        <f>UTT!X348</f>
        <v>45443</v>
      </c>
      <c r="G384" s="24">
        <f>UTT!Y348</f>
        <v>1717.0134087316678</v>
      </c>
      <c r="H384" s="24">
        <f>UTT!Z348</f>
        <v>1416.672</v>
      </c>
      <c r="I384" s="24">
        <f>UTT!AA348</f>
        <v>197</v>
      </c>
      <c r="J384" s="24">
        <f>UTT!AB348</f>
        <v>192.53</v>
      </c>
      <c r="K384" s="24">
        <f>UTT!AC348</f>
        <v>197.7</v>
      </c>
      <c r="L384" s="195">
        <f t="shared" si="44"/>
        <v>103.29777396741623</v>
      </c>
      <c r="M384" s="195">
        <f t="shared" si="45"/>
        <v>0.7347668272835014</v>
      </c>
      <c r="N384" s="195">
        <f t="shared" si="46"/>
        <v>6.1079301075268813</v>
      </c>
      <c r="O384" s="195">
        <f t="shared" si="47"/>
        <v>0.23078137214135325</v>
      </c>
      <c r="P384" s="195">
        <f>UTT!AH348</f>
        <v>0.19041290322580645</v>
      </c>
      <c r="Q384" s="195">
        <f>UTT!AI348</f>
        <v>0.98499999999999999</v>
      </c>
      <c r="R384" s="195">
        <f>UTT!AJ348</f>
        <v>0.95906829502022051</v>
      </c>
      <c r="S384" s="195">
        <f>UTT!AK348</f>
        <v>0.99</v>
      </c>
      <c r="T384" s="198">
        <v>1.4999999999999999E-2</v>
      </c>
      <c r="U384" s="195">
        <f>UTT!AQ348</f>
        <v>9.5741935483870666E-3</v>
      </c>
      <c r="V384" s="198">
        <v>0</v>
      </c>
      <c r="W384" s="197">
        <v>0</v>
      </c>
      <c r="X384" s="199">
        <f t="shared" si="48"/>
        <v>-0.98906906587988408</v>
      </c>
    </row>
    <row r="385" spans="1:24">
      <c r="A385" s="189" t="s">
        <v>14</v>
      </c>
      <c r="B385" s="190" t="s">
        <v>64</v>
      </c>
      <c r="C385" s="200">
        <v>10</v>
      </c>
      <c r="D385" s="201">
        <v>12</v>
      </c>
      <c r="E385" s="192">
        <f t="shared" si="43"/>
        <v>45473</v>
      </c>
      <c r="F385" s="24">
        <f>UTT!X349</f>
        <v>45473</v>
      </c>
      <c r="G385" s="24">
        <f>UTT!Y349</f>
        <v>1541.3386125876073</v>
      </c>
      <c r="H385" s="24">
        <f>UTT!Z349</f>
        <v>1453.326</v>
      </c>
      <c r="I385" s="24">
        <f>UTT!AA349</f>
        <v>178.90000000000003</v>
      </c>
      <c r="J385" s="24">
        <f>UTT!AB349</f>
        <v>187.66000000000003</v>
      </c>
      <c r="K385" s="24">
        <f>UTT!AC349</f>
        <v>177.20000000000002</v>
      </c>
      <c r="L385" s="195">
        <f t="shared" si="44"/>
        <v>100.03917515003144</v>
      </c>
      <c r="M385" s="195">
        <f t="shared" si="45"/>
        <v>0.73589671472940954</v>
      </c>
      <c r="N385" s="195">
        <f t="shared" si="46"/>
        <v>6.3156944444444445</v>
      </c>
      <c r="O385" s="195">
        <f t="shared" si="47"/>
        <v>0.21407480730383438</v>
      </c>
      <c r="P385" s="195">
        <f>UTT!AH349</f>
        <v>0.20185083333333337</v>
      </c>
      <c r="Q385" s="195">
        <f>UTT!AI349</f>
        <v>0.98499999999999999</v>
      </c>
      <c r="R385" s="195">
        <f>UTT!AJ349</f>
        <v>0.95079999999999998</v>
      </c>
      <c r="S385" s="195">
        <f>UTT!AK349</f>
        <v>0.99</v>
      </c>
      <c r="T385" s="198">
        <v>1.4999999999999999E-2</v>
      </c>
      <c r="U385" s="195">
        <f>UTT!AQ349</f>
        <v>1.0000000000000009E-2</v>
      </c>
      <c r="V385" s="198">
        <v>0</v>
      </c>
      <c r="W385" s="197">
        <v>0</v>
      </c>
      <c r="X385" s="199">
        <f t="shared" si="48"/>
        <v>-0.9103652095399104</v>
      </c>
    </row>
    <row r="386" spans="1:24">
      <c r="A386" s="189" t="s">
        <v>14</v>
      </c>
      <c r="B386" s="190" t="s">
        <v>64</v>
      </c>
      <c r="C386" s="200">
        <v>10</v>
      </c>
      <c r="D386" s="201">
        <v>12</v>
      </c>
      <c r="E386" s="192">
        <f t="shared" si="43"/>
        <v>45504</v>
      </c>
      <c r="F386" s="24">
        <f>UTT!X350</f>
        <v>45504</v>
      </c>
      <c r="G386" s="24">
        <f>UTT!Y350</f>
        <v>1364.4768245777088</v>
      </c>
      <c r="H386" s="24">
        <f>UTT!Z350</f>
        <v>1195.6980000000001</v>
      </c>
      <c r="I386" s="24">
        <f>UTT!AA350</f>
        <v>155.5</v>
      </c>
      <c r="J386" s="24">
        <f>UTT!AB350</f>
        <v>143.95999999999998</v>
      </c>
      <c r="K386" s="24">
        <f>UTT!AC350</f>
        <v>154.6</v>
      </c>
      <c r="L386" s="195">
        <f t="shared" si="44"/>
        <v>163.8996112260007</v>
      </c>
      <c r="M386" s="195">
        <f t="shared" si="45"/>
        <v>0.74668804412988099</v>
      </c>
      <c r="N386" s="195">
        <f t="shared" si="46"/>
        <v>6.1161290322580646</v>
      </c>
      <c r="O386" s="195">
        <f t="shared" si="47"/>
        <v>0.1833974226582942</v>
      </c>
      <c r="P386" s="195">
        <f>UTT!AH350</f>
        <v>0.16071209677419357</v>
      </c>
      <c r="Q386" s="195">
        <f>UTT!AI350</f>
        <v>0.98499999999999999</v>
      </c>
      <c r="R386" s="195">
        <f>UTT!AJ350</f>
        <v>0.93258409514477403</v>
      </c>
      <c r="S386" s="195">
        <f>UTT!AK350</f>
        <v>0.99</v>
      </c>
      <c r="T386" s="198">
        <v>1.4999999999999999E-2</v>
      </c>
      <c r="U386" s="195">
        <f>UTT!AQ350</f>
        <v>1.0000000000000009E-2</v>
      </c>
      <c r="V386" s="198">
        <v>0</v>
      </c>
      <c r="W386" s="197">
        <v>0</v>
      </c>
      <c r="X386" s="199">
        <f t="shared" si="48"/>
        <v>-1.0439235537641092</v>
      </c>
    </row>
    <row r="387" spans="1:24">
      <c r="A387" s="189" t="s">
        <v>14</v>
      </c>
      <c r="B387" s="190" t="s">
        <v>64</v>
      </c>
      <c r="C387" s="200">
        <v>10</v>
      </c>
      <c r="D387" s="201">
        <v>12</v>
      </c>
      <c r="E387" s="192">
        <f t="shared" si="43"/>
        <v>45535</v>
      </c>
      <c r="F387" s="24">
        <f>UTT!X351</f>
        <v>45535</v>
      </c>
      <c r="G387" s="24">
        <f>UTT!Y351</f>
        <v>1295.0378004261715</v>
      </c>
      <c r="H387" s="24">
        <f>UTT!Z351</f>
        <v>1335.27</v>
      </c>
      <c r="I387" s="24">
        <f>UTT!AA351</f>
        <v>145.4</v>
      </c>
      <c r="J387" s="24">
        <f>UTT!AB351</f>
        <v>161.69</v>
      </c>
      <c r="K387" s="24">
        <f>UTT!AC351</f>
        <v>146.29999999999998</v>
      </c>
      <c r="L387" s="195">
        <f t="shared" si="44"/>
        <v>130.76297048998327</v>
      </c>
      <c r="M387" s="195">
        <f t="shared" si="45"/>
        <v>0.74889450230685828</v>
      </c>
      <c r="N387" s="195">
        <f t="shared" si="46"/>
        <v>6.120295698924731</v>
      </c>
      <c r="O387" s="195">
        <f t="shared" si="47"/>
        <v>0.17406422048738865</v>
      </c>
      <c r="P387" s="195">
        <f>UTT!AH351</f>
        <v>0.17947177419354837</v>
      </c>
      <c r="Q387" s="195">
        <f>UTT!AI351</f>
        <v>0.98499999999999999</v>
      </c>
      <c r="R387" s="195">
        <f>UTT!AJ351</f>
        <v>0.93781148161290329</v>
      </c>
      <c r="S387" s="195">
        <f>UTT!AK351</f>
        <v>0.99</v>
      </c>
      <c r="T387" s="198">
        <v>1.4999999999999999E-2</v>
      </c>
      <c r="U387" s="195">
        <f>UTT!AQ351</f>
        <v>1.0000000000000009E-2</v>
      </c>
      <c r="V387" s="198">
        <v>0</v>
      </c>
      <c r="W387" s="197">
        <v>0</v>
      </c>
      <c r="X387" s="199">
        <f t="shared" si="48"/>
        <v>-0.87637736940095601</v>
      </c>
    </row>
    <row r="388" spans="1:24">
      <c r="A388" s="189" t="s">
        <v>14</v>
      </c>
      <c r="B388" s="190" t="s">
        <v>64</v>
      </c>
      <c r="C388" s="200">
        <v>10</v>
      </c>
      <c r="D388" s="201">
        <v>12</v>
      </c>
      <c r="E388" s="192">
        <f t="shared" si="43"/>
        <v>45565</v>
      </c>
      <c r="F388" s="24">
        <f>UTT!X352</f>
        <v>45565</v>
      </c>
      <c r="G388" s="24">
        <f>UTT!Y352</f>
        <v>1290.8833288957376</v>
      </c>
      <c r="H388" s="24">
        <f>UTT!Z352</f>
        <v>1103.424</v>
      </c>
      <c r="I388" s="24">
        <f>UTT!AA352</f>
        <v>141.6</v>
      </c>
      <c r="J388" s="24">
        <f>UTT!AB352</f>
        <v>120.91000000000003</v>
      </c>
      <c r="K388" s="24">
        <f>UTT!AC352</f>
        <v>145.5</v>
      </c>
      <c r="L388" s="195">
        <f t="shared" si="44"/>
        <v>204.91699473413556</v>
      </c>
      <c r="M388" s="195">
        <f t="shared" si="45"/>
        <v>0.75059647803870055</v>
      </c>
      <c r="N388" s="195">
        <f t="shared" si="46"/>
        <v>6.3284722222222225</v>
      </c>
      <c r="O388" s="195">
        <f t="shared" si="47"/>
        <v>0.17928935123551912</v>
      </c>
      <c r="P388" s="195">
        <f>UTT!AH352</f>
        <v>0.15325333333333332</v>
      </c>
      <c r="Q388" s="195">
        <f>UTT!AI352</f>
        <v>0.98499999999999999</v>
      </c>
      <c r="R388" s="195">
        <f>UTT!AJ352</f>
        <v>0.93603085073223657</v>
      </c>
      <c r="S388" s="195">
        <f>UTT!AK352</f>
        <v>0.99</v>
      </c>
      <c r="T388" s="198">
        <v>1.4999999999999999E-2</v>
      </c>
      <c r="U388" s="195">
        <f>UTT!AQ352</f>
        <v>1.0000000000000009E-2</v>
      </c>
      <c r="V388" s="198">
        <v>0</v>
      </c>
      <c r="W388" s="197">
        <v>0</v>
      </c>
      <c r="X388" s="199">
        <f t="shared" si="48"/>
        <v>-1.1750438208164722</v>
      </c>
    </row>
    <row r="389" spans="1:24">
      <c r="A389" s="189" t="s">
        <v>14</v>
      </c>
      <c r="B389" s="190" t="s">
        <v>64</v>
      </c>
      <c r="C389" s="200">
        <v>10</v>
      </c>
      <c r="D389" s="201">
        <v>12</v>
      </c>
      <c r="E389" s="192">
        <f t="shared" si="43"/>
        <v>45596</v>
      </c>
      <c r="F389" s="24">
        <f>UTT!X353</f>
        <v>45596</v>
      </c>
      <c r="G389" s="24">
        <f>UTT!Y353</f>
        <v>1479.0215396310994</v>
      </c>
      <c r="H389" s="24">
        <f>UTT!Z353</f>
        <v>1283.7</v>
      </c>
      <c r="I389" s="24">
        <f>UTT!AA353</f>
        <v>139.1</v>
      </c>
      <c r="J389" s="24">
        <f>UTT!AB353</f>
        <v>123.08999999999997</v>
      </c>
      <c r="K389" s="24">
        <f>UTT!AC353</f>
        <v>172.20000000000002</v>
      </c>
      <c r="L389" s="195">
        <f t="shared" si="44"/>
        <v>178.90897253731021</v>
      </c>
      <c r="M389" s="195">
        <f t="shared" si="45"/>
        <v>0.72664765306106271</v>
      </c>
      <c r="N389" s="195">
        <f t="shared" si="46"/>
        <v>6.1284946236559135</v>
      </c>
      <c r="O389" s="195">
        <f t="shared" si="47"/>
        <v>0.19879321769235209</v>
      </c>
      <c r="P389" s="195">
        <f>UTT!AH353</f>
        <v>0.17254032258064517</v>
      </c>
      <c r="Q389" s="195">
        <f>UTT!AI353</f>
        <v>0.98499999999999999</v>
      </c>
      <c r="R389" s="195">
        <f>UTT!AJ353</f>
        <v>0.96309991595844113</v>
      </c>
      <c r="S389" s="195">
        <f>UTT!AK353</f>
        <v>0.99</v>
      </c>
      <c r="T389" s="198">
        <v>1.4999999999999999E-2</v>
      </c>
      <c r="U389" s="195">
        <f>UTT!AQ353</f>
        <v>5.2870967741935893E-3</v>
      </c>
      <c r="V389" s="198">
        <v>0</v>
      </c>
      <c r="W389" s="197">
        <v>0</v>
      </c>
      <c r="X389" s="199">
        <f t="shared" si="48"/>
        <v>-1.3665388304780173</v>
      </c>
    </row>
    <row r="390" spans="1:24">
      <c r="A390" s="189" t="s">
        <v>14</v>
      </c>
      <c r="B390" s="190" t="s">
        <v>64</v>
      </c>
      <c r="C390" s="200">
        <v>10</v>
      </c>
      <c r="D390" s="201">
        <v>12</v>
      </c>
      <c r="E390" s="192">
        <f t="shared" si="43"/>
        <v>45626</v>
      </c>
      <c r="F390" s="24">
        <f>UTT!X354</f>
        <v>45626</v>
      </c>
      <c r="G390" s="24">
        <f>UTT!Y354</f>
        <v>1309.2817028162308</v>
      </c>
      <c r="H390" s="24">
        <f>UTT!Z354</f>
        <v>975.78</v>
      </c>
      <c r="I390" s="24">
        <f>UTT!AA354</f>
        <v>108.10000000000001</v>
      </c>
      <c r="J390" s="24">
        <f>UTT!AB354</f>
        <v>80.53</v>
      </c>
      <c r="K390" s="24">
        <f>UTT!AC354</f>
        <v>152.1</v>
      </c>
      <c r="L390" s="195">
        <f t="shared" si="44"/>
        <v>348.38065796634339</v>
      </c>
      <c r="M390" s="195">
        <f t="shared" si="45"/>
        <v>0.72825991828792336</v>
      </c>
      <c r="N390" s="195">
        <f t="shared" si="46"/>
        <v>6.3369444444444438</v>
      </c>
      <c r="O390" s="195">
        <f t="shared" si="47"/>
        <v>0.18184468094669873</v>
      </c>
      <c r="P390" s="195">
        <f>UTT!AH354</f>
        <v>0.13552500000000001</v>
      </c>
      <c r="Q390" s="195">
        <f>UTT!AI354</f>
        <v>0.98499999999999999</v>
      </c>
      <c r="R390" s="195">
        <f>UTT!AJ354</f>
        <v>0.98282666400000029</v>
      </c>
      <c r="S390" s="195">
        <f>UTT!AK354</f>
        <v>0.99</v>
      </c>
      <c r="T390" s="198">
        <v>1.4999999999999999E-2</v>
      </c>
      <c r="U390" s="195">
        <f>UTT!AQ354</f>
        <v>1.0000000000000009E-2</v>
      </c>
      <c r="V390" s="198">
        <v>0</v>
      </c>
      <c r="W390" s="197">
        <v>0</v>
      </c>
      <c r="X390" s="199">
        <f t="shared" si="48"/>
        <v>-1.8600411602877704</v>
      </c>
    </row>
    <row r="391" spans="1:24">
      <c r="A391" s="189" t="s">
        <v>14</v>
      </c>
      <c r="B391" s="190" t="s">
        <v>64</v>
      </c>
      <c r="C391" s="200">
        <v>10</v>
      </c>
      <c r="D391" s="201">
        <v>12</v>
      </c>
      <c r="E391" s="192">
        <f t="shared" si="43"/>
        <v>45657</v>
      </c>
      <c r="F391" s="24">
        <f>UTT!X355</f>
        <v>45657</v>
      </c>
      <c r="G391" s="24">
        <f>UTT!Y355</f>
        <v>1099.1841425628616</v>
      </c>
      <c r="H391" s="24">
        <f>UTT!Z355</f>
        <v>1055.424</v>
      </c>
      <c r="I391" s="24">
        <f>UTT!AA355</f>
        <v>89.9</v>
      </c>
      <c r="J391" s="24">
        <f>UTT!AB355</f>
        <v>75.180000000000007</v>
      </c>
      <c r="K391" s="24">
        <f>UTT!AC355</f>
        <v>129.6</v>
      </c>
      <c r="L391" s="195">
        <f t="shared" si="44"/>
        <v>356.75475820011229</v>
      </c>
      <c r="M391" s="195">
        <f t="shared" si="45"/>
        <v>0.71754307315680532</v>
      </c>
      <c r="N391" s="195">
        <f t="shared" si="46"/>
        <v>6.1366935483870968</v>
      </c>
      <c r="O391" s="195">
        <f t="shared" si="47"/>
        <v>0.14773980410791149</v>
      </c>
      <c r="P391" s="195">
        <f>UTT!AH355</f>
        <v>0.14185806451612903</v>
      </c>
      <c r="Q391" s="195">
        <f>UTT!AI355</f>
        <v>0.98499999999999999</v>
      </c>
      <c r="R391" s="195">
        <f>UTT!AJ355</f>
        <v>0.99376451612903238</v>
      </c>
      <c r="S391" s="195">
        <f>UTT!AK355</f>
        <v>0.99</v>
      </c>
      <c r="T391" s="198">
        <v>1.4999999999999999E-2</v>
      </c>
      <c r="U391" s="195">
        <f>UTT!AQ355</f>
        <v>1.0000000000000009E-2</v>
      </c>
      <c r="V391" s="198">
        <v>0</v>
      </c>
      <c r="W391" s="197">
        <v>0</v>
      </c>
      <c r="X391" s="199">
        <f t="shared" si="48"/>
        <v>-1.6997879075695908</v>
      </c>
    </row>
    <row r="392" spans="1:24">
      <c r="A392" s="189"/>
      <c r="B392" s="190"/>
      <c r="C392" s="200"/>
      <c r="D392" s="201"/>
      <c r="E392" s="192"/>
      <c r="F392" s="24"/>
      <c r="G392" s="24"/>
      <c r="H392" s="24"/>
      <c r="I392" s="24"/>
      <c r="J392" s="24"/>
      <c r="K392" s="24"/>
      <c r="L392" s="195"/>
      <c r="M392" s="195"/>
      <c r="N392" s="195"/>
      <c r="O392" s="195"/>
      <c r="P392" s="195"/>
      <c r="Q392" s="195"/>
      <c r="R392" s="195"/>
      <c r="S392" s="204"/>
      <c r="T392" s="198"/>
      <c r="U392" s="204"/>
      <c r="V392" s="198"/>
      <c r="W392" s="197"/>
      <c r="X392" s="199"/>
    </row>
    <row r="393" spans="1:24">
      <c r="A393" s="189"/>
      <c r="B393" s="190"/>
      <c r="C393" s="200"/>
      <c r="D393" s="201"/>
      <c r="E393" s="192"/>
      <c r="F393" s="24"/>
      <c r="G393" s="24"/>
      <c r="H393" s="24"/>
      <c r="I393" s="24"/>
      <c r="J393" s="24"/>
      <c r="K393" s="24"/>
      <c r="L393" s="195"/>
      <c r="M393" s="195"/>
      <c r="N393" s="195"/>
      <c r="O393" s="195"/>
      <c r="P393" s="195"/>
      <c r="Q393" s="195"/>
      <c r="R393" s="195"/>
      <c r="S393" s="204"/>
      <c r="T393" s="198"/>
      <c r="U393" s="204"/>
      <c r="V393" s="198"/>
      <c r="W393" s="197"/>
      <c r="X393" s="199"/>
    </row>
    <row r="394" spans="1:24">
      <c r="A394" s="189"/>
      <c r="B394" s="190"/>
      <c r="C394" s="200"/>
      <c r="D394" s="201"/>
      <c r="E394" s="192"/>
      <c r="F394" s="24"/>
      <c r="G394" s="24"/>
      <c r="H394" s="24"/>
      <c r="I394" s="24"/>
      <c r="J394" s="24"/>
      <c r="K394" s="24"/>
      <c r="L394" s="195"/>
      <c r="M394" s="195"/>
      <c r="N394" s="195"/>
      <c r="O394" s="195"/>
      <c r="P394" s="195"/>
      <c r="Q394" s="195"/>
      <c r="R394" s="195"/>
      <c r="S394" s="204"/>
      <c r="T394" s="198"/>
      <c r="U394" s="204"/>
      <c r="V394" s="198"/>
      <c r="W394" s="197"/>
      <c r="X394" s="199"/>
    </row>
    <row r="395" spans="1:24">
      <c r="A395" s="189"/>
      <c r="B395" s="190"/>
      <c r="C395" s="200"/>
      <c r="D395" s="201"/>
      <c r="E395" s="192"/>
      <c r="F395" s="24"/>
      <c r="G395" s="24"/>
      <c r="H395" s="24"/>
      <c r="I395" s="24"/>
      <c r="J395" s="24"/>
      <c r="K395" s="24"/>
      <c r="L395" s="195"/>
      <c r="M395" s="195"/>
      <c r="N395" s="195"/>
      <c r="O395" s="195"/>
      <c r="P395" s="195"/>
      <c r="Q395" s="195"/>
      <c r="R395" s="195"/>
      <c r="S395" s="204"/>
      <c r="T395" s="198"/>
      <c r="U395" s="204"/>
      <c r="V395" s="198"/>
      <c r="W395" s="197"/>
      <c r="X395" s="199"/>
    </row>
    <row r="396" spans="1:24">
      <c r="A396" s="189" t="s">
        <v>14</v>
      </c>
      <c r="B396" s="190" t="s">
        <v>65</v>
      </c>
      <c r="C396" s="190">
        <v>10</v>
      </c>
      <c r="D396" s="191">
        <v>12</v>
      </c>
      <c r="E396" s="192">
        <v>42766</v>
      </c>
      <c r="F396" s="24"/>
      <c r="G396" s="24">
        <v>0</v>
      </c>
      <c r="H396" s="193">
        <v>79.599999999999994</v>
      </c>
      <c r="I396" s="194"/>
      <c r="J396" s="193">
        <v>103.2</v>
      </c>
      <c r="K396" s="194"/>
      <c r="L396" s="195">
        <v>0.82763481424572438</v>
      </c>
      <c r="M396" s="195"/>
      <c r="N396" s="195"/>
      <c r="O396" s="195"/>
      <c r="P396" s="195">
        <v>0.98499999999999999</v>
      </c>
      <c r="Q396" s="195"/>
      <c r="R396" s="196">
        <v>0.99</v>
      </c>
      <c r="S396" s="197"/>
      <c r="T396" s="198">
        <v>1.4999999999999999E-2</v>
      </c>
      <c r="U396" s="197">
        <v>0</v>
      </c>
      <c r="V396" s="198">
        <v>0</v>
      </c>
      <c r="W396" s="197">
        <v>0</v>
      </c>
      <c r="X396" s="199" t="e">
        <f t="shared" si="42"/>
        <v>#DIV/0!</v>
      </c>
    </row>
    <row r="397" spans="1:24">
      <c r="A397" s="189" t="s">
        <v>14</v>
      </c>
      <c r="B397" s="190" t="s">
        <v>65</v>
      </c>
      <c r="C397" s="190">
        <v>10</v>
      </c>
      <c r="D397" s="191">
        <v>12</v>
      </c>
      <c r="E397" s="192">
        <v>42794</v>
      </c>
      <c r="F397" s="24"/>
      <c r="G397" s="24">
        <v>0</v>
      </c>
      <c r="H397" s="193">
        <v>108.1</v>
      </c>
      <c r="I397" s="194"/>
      <c r="J397" s="193">
        <v>137.5</v>
      </c>
      <c r="K397" s="194"/>
      <c r="L397" s="195">
        <v>0.81555559393111998</v>
      </c>
      <c r="M397" s="195"/>
      <c r="N397" s="195"/>
      <c r="O397" s="195"/>
      <c r="P397" s="195">
        <v>0.98499999999999999</v>
      </c>
      <c r="Q397" s="195"/>
      <c r="R397" s="196">
        <v>0.99</v>
      </c>
      <c r="S397" s="197"/>
      <c r="T397" s="198">
        <v>1.4999999999999999E-2</v>
      </c>
      <c r="U397" s="197">
        <v>0</v>
      </c>
      <c r="V397" s="198">
        <v>0</v>
      </c>
      <c r="W397" s="197">
        <v>0</v>
      </c>
      <c r="X397" s="199" t="e">
        <f t="shared" si="42"/>
        <v>#DIV/0!</v>
      </c>
    </row>
    <row r="398" spans="1:24">
      <c r="A398" s="189" t="s">
        <v>14</v>
      </c>
      <c r="B398" s="190" t="s">
        <v>65</v>
      </c>
      <c r="C398" s="190">
        <v>10</v>
      </c>
      <c r="D398" s="191">
        <v>12</v>
      </c>
      <c r="E398" s="192">
        <v>42825</v>
      </c>
      <c r="F398" s="24"/>
      <c r="G398" s="24">
        <v>51.893999999999998</v>
      </c>
      <c r="H398" s="193">
        <v>161.4</v>
      </c>
      <c r="I398" s="194"/>
      <c r="J398" s="193">
        <v>187.8</v>
      </c>
      <c r="K398" s="194"/>
      <c r="L398" s="195">
        <v>0.80080060538540998</v>
      </c>
      <c r="M398" s="195"/>
      <c r="N398" s="195"/>
      <c r="O398" s="195"/>
      <c r="P398" s="195">
        <v>0.98499999999999999</v>
      </c>
      <c r="Q398" s="195"/>
      <c r="R398" s="196">
        <v>0.99</v>
      </c>
      <c r="S398" s="197"/>
      <c r="T398" s="198">
        <v>1.4999999999999999E-2</v>
      </c>
      <c r="U398" s="197">
        <v>0</v>
      </c>
      <c r="V398" s="198">
        <v>0</v>
      </c>
      <c r="W398" s="197">
        <v>0</v>
      </c>
      <c r="X398" s="199" t="e">
        <f t="shared" si="42"/>
        <v>#DIV/0!</v>
      </c>
    </row>
    <row r="399" spans="1:24">
      <c r="A399" s="189" t="s">
        <v>14</v>
      </c>
      <c r="B399" s="190" t="s">
        <v>65</v>
      </c>
      <c r="C399" s="190">
        <v>10</v>
      </c>
      <c r="D399" s="191">
        <v>12</v>
      </c>
      <c r="E399" s="192">
        <v>42855</v>
      </c>
      <c r="F399" s="24">
        <v>1866.4750635306268</v>
      </c>
      <c r="G399" s="24">
        <v>716.32799999999997</v>
      </c>
      <c r="H399" s="193">
        <v>190.2</v>
      </c>
      <c r="I399" s="194"/>
      <c r="J399" s="193">
        <v>194</v>
      </c>
      <c r="K399" s="194"/>
      <c r="L399" s="195">
        <v>0.80175045684305279</v>
      </c>
      <c r="M399" s="195"/>
      <c r="N399" s="195"/>
      <c r="O399" s="195"/>
      <c r="P399" s="195">
        <v>0.98499999999999999</v>
      </c>
      <c r="Q399" s="195"/>
      <c r="R399" s="196">
        <v>0.99</v>
      </c>
      <c r="S399" s="197"/>
      <c r="T399" s="198">
        <v>1.4999999999999999E-2</v>
      </c>
      <c r="U399" s="197">
        <v>0</v>
      </c>
      <c r="V399" s="198">
        <v>0</v>
      </c>
      <c r="W399" s="197">
        <v>0</v>
      </c>
      <c r="X399" s="199">
        <f t="shared" si="42"/>
        <v>0.38378653644854643</v>
      </c>
    </row>
    <row r="400" spans="1:24">
      <c r="A400" s="189" t="s">
        <v>14</v>
      </c>
      <c r="B400" s="190" t="s">
        <v>65</v>
      </c>
      <c r="C400" s="190">
        <v>10</v>
      </c>
      <c r="D400" s="191">
        <v>12</v>
      </c>
      <c r="E400" s="192">
        <v>42886</v>
      </c>
      <c r="F400" s="24">
        <v>1890.995229893352</v>
      </c>
      <c r="G400" s="24">
        <v>1126.944</v>
      </c>
      <c r="H400" s="193">
        <v>197</v>
      </c>
      <c r="I400" s="194"/>
      <c r="J400" s="193">
        <v>197.7</v>
      </c>
      <c r="K400" s="194"/>
      <c r="L400" s="195">
        <v>0.79708111190918562</v>
      </c>
      <c r="M400" s="195"/>
      <c r="N400" s="195"/>
      <c r="O400" s="195"/>
      <c r="P400" s="195">
        <v>0.98499999999999999</v>
      </c>
      <c r="Q400" s="195"/>
      <c r="R400" s="196">
        <v>0.99</v>
      </c>
      <c r="S400" s="197"/>
      <c r="T400" s="198">
        <v>1.4999999999999999E-2</v>
      </c>
      <c r="U400" s="197">
        <v>0</v>
      </c>
      <c r="V400" s="198">
        <v>0</v>
      </c>
      <c r="W400" s="197">
        <v>0</v>
      </c>
      <c r="X400" s="199">
        <f t="shared" si="42"/>
        <v>0.59595285180257018</v>
      </c>
    </row>
    <row r="401" spans="1:24">
      <c r="A401" s="189" t="s">
        <v>14</v>
      </c>
      <c r="B401" s="190" t="s">
        <v>65</v>
      </c>
      <c r="C401" s="190">
        <v>10</v>
      </c>
      <c r="D401" s="191">
        <v>12</v>
      </c>
      <c r="E401" s="192">
        <v>42916</v>
      </c>
      <c r="F401" s="24">
        <v>1697.7763189550788</v>
      </c>
      <c r="G401" s="24">
        <v>1235.1780000000001</v>
      </c>
      <c r="H401" s="193">
        <v>178.9</v>
      </c>
      <c r="I401" s="194">
        <v>155.33000000000001</v>
      </c>
      <c r="J401" s="193">
        <v>177.2</v>
      </c>
      <c r="K401" s="194">
        <v>147.88999999999999</v>
      </c>
      <c r="L401" s="195">
        <v>0.79842753901198216</v>
      </c>
      <c r="M401" s="195">
        <f>G401/12/K401</f>
        <v>0.69600040570694455</v>
      </c>
      <c r="N401" s="195">
        <f>F401/24/30/10</f>
        <v>0.23580226652153874</v>
      </c>
      <c r="O401" s="195">
        <f>G401/24/30/10</f>
        <v>0.17155250000000002</v>
      </c>
      <c r="P401" s="195">
        <v>0.98499999999999999</v>
      </c>
      <c r="Q401" s="195">
        <v>0.78849455999999996</v>
      </c>
      <c r="R401" s="196">
        <v>0.99</v>
      </c>
      <c r="S401" s="197">
        <v>0.99860000000000004</v>
      </c>
      <c r="T401" s="198">
        <v>1.4999999999999999E-2</v>
      </c>
      <c r="U401" s="197">
        <v>0</v>
      </c>
      <c r="V401" s="198">
        <v>0</v>
      </c>
      <c r="W401" s="197">
        <v>0</v>
      </c>
      <c r="X401" s="199">
        <f t="shared" si="42"/>
        <v>-0.10706674542713646</v>
      </c>
    </row>
    <row r="402" spans="1:24">
      <c r="A402" s="189" t="s">
        <v>14</v>
      </c>
      <c r="B402" s="190" t="s">
        <v>65</v>
      </c>
      <c r="C402" s="190">
        <v>10</v>
      </c>
      <c r="D402" s="191">
        <v>12</v>
      </c>
      <c r="E402" s="192">
        <v>42947</v>
      </c>
      <c r="F402" s="24">
        <v>1502.5957947077879</v>
      </c>
      <c r="G402" s="24">
        <v>830.04</v>
      </c>
      <c r="H402" s="193">
        <v>155.5</v>
      </c>
      <c r="I402" s="194">
        <v>154.75</v>
      </c>
      <c r="J402" s="193">
        <v>154.6</v>
      </c>
      <c r="K402" s="194">
        <v>153.06</v>
      </c>
      <c r="L402" s="195">
        <v>0.80993736239100256</v>
      </c>
      <c r="M402" s="195">
        <f t="shared" ref="M402:M410" si="49">G402/12/K402</f>
        <v>0.45191428198092254</v>
      </c>
      <c r="N402" s="195">
        <f>F402/24/31/10</f>
        <v>0.20196180036394998</v>
      </c>
      <c r="O402" s="195">
        <f>G402/24/31/10</f>
        <v>0.11156451612903226</v>
      </c>
      <c r="P402" s="195">
        <v>0.98499999999999999</v>
      </c>
      <c r="Q402" s="195">
        <v>0.64580075999999997</v>
      </c>
      <c r="R402" s="196">
        <v>0.99</v>
      </c>
      <c r="S402" s="197">
        <v>0.99109999999999998</v>
      </c>
      <c r="T402" s="198">
        <v>1.4999999999999999E-2</v>
      </c>
      <c r="U402" s="197">
        <v>0</v>
      </c>
      <c r="V402" s="198">
        <v>0</v>
      </c>
      <c r="W402" s="197">
        <v>0</v>
      </c>
      <c r="X402" s="199">
        <f t="shared" si="42"/>
        <v>-0.43763476150196767</v>
      </c>
    </row>
    <row r="403" spans="1:24">
      <c r="A403" s="189" t="s">
        <v>14</v>
      </c>
      <c r="B403" s="190" t="s">
        <v>65</v>
      </c>
      <c r="C403" s="190">
        <v>10</v>
      </c>
      <c r="D403" s="191">
        <v>12</v>
      </c>
      <c r="E403" s="192">
        <v>42978</v>
      </c>
      <c r="F403" s="24">
        <v>1427.0736823105949</v>
      </c>
      <c r="G403" s="24">
        <v>1067.2380000000001</v>
      </c>
      <c r="H403" s="193">
        <v>145.4</v>
      </c>
      <c r="I403" s="194">
        <v>126.7</v>
      </c>
      <c r="J403" s="193">
        <v>146.30000000000001</v>
      </c>
      <c r="K403" s="194">
        <v>127.36</v>
      </c>
      <c r="L403" s="195">
        <v>0.81286949322772539</v>
      </c>
      <c r="M403" s="195">
        <f t="shared" si="49"/>
        <v>0.69830794597989954</v>
      </c>
      <c r="N403" s="195">
        <f>F403/24/31/10</f>
        <v>0.19181097880518747</v>
      </c>
      <c r="O403" s="195">
        <f>G403/24/31/10</f>
        <v>0.14344596774193549</v>
      </c>
      <c r="P403" s="195">
        <v>0.98499999999999999</v>
      </c>
      <c r="Q403" s="195">
        <v>0.86742229999999998</v>
      </c>
      <c r="R403" s="196">
        <v>0.99</v>
      </c>
      <c r="S403" s="197">
        <v>0.99099999999999999</v>
      </c>
      <c r="T403" s="198">
        <v>1.4999999999999999E-2</v>
      </c>
      <c r="U403" s="197">
        <v>0</v>
      </c>
      <c r="V403" s="198">
        <v>0</v>
      </c>
      <c r="W403" s="197">
        <v>0</v>
      </c>
      <c r="X403" s="199">
        <f t="shared" si="42"/>
        <v>-0.12268932295514834</v>
      </c>
    </row>
    <row r="404" spans="1:24">
      <c r="A404" s="189" t="s">
        <v>14</v>
      </c>
      <c r="B404" s="190" t="s">
        <v>65</v>
      </c>
      <c r="C404" s="190">
        <v>10</v>
      </c>
      <c r="D404" s="191">
        <v>12</v>
      </c>
      <c r="E404" s="192">
        <v>43008</v>
      </c>
      <c r="F404" s="24">
        <v>1422.16964903805</v>
      </c>
      <c r="G404" s="24">
        <v>1167.6959999999999</v>
      </c>
      <c r="H404" s="193">
        <v>141.6</v>
      </c>
      <c r="I404" s="194">
        <v>124.77</v>
      </c>
      <c r="J404" s="193">
        <v>145.5</v>
      </c>
      <c r="K404" s="194">
        <v>126.34</v>
      </c>
      <c r="L404" s="195">
        <v>0.81453015408823026</v>
      </c>
      <c r="M404" s="195">
        <f t="shared" si="49"/>
        <v>0.77020737691942365</v>
      </c>
      <c r="N404" s="195">
        <f>F404/24/30/10</f>
        <v>0.19752356236639584</v>
      </c>
      <c r="O404" s="195">
        <f>G404/24/30/10</f>
        <v>0.16217999999999999</v>
      </c>
      <c r="P404" s="195">
        <v>0.98499999999999999</v>
      </c>
      <c r="Q404" s="195">
        <v>0.96691402000000004</v>
      </c>
      <c r="R404" s="196">
        <v>0.99</v>
      </c>
      <c r="S404" s="197">
        <v>0.99129999999999996</v>
      </c>
      <c r="T404" s="198">
        <v>1.4999999999999999E-2</v>
      </c>
      <c r="U404" s="197">
        <v>0</v>
      </c>
      <c r="V404" s="198">
        <v>0</v>
      </c>
      <c r="W404" s="197">
        <v>0</v>
      </c>
      <c r="X404" s="199">
        <f t="shared" si="42"/>
        <v>-4.7249550048783506E-2</v>
      </c>
    </row>
    <row r="405" spans="1:24">
      <c r="A405" s="189" t="s">
        <v>14</v>
      </c>
      <c r="B405" s="190" t="s">
        <v>65</v>
      </c>
      <c r="C405" s="190">
        <v>10</v>
      </c>
      <c r="D405" s="191">
        <v>12</v>
      </c>
      <c r="E405" s="192">
        <v>43039</v>
      </c>
      <c r="F405" s="24">
        <v>1630.1006597939579</v>
      </c>
      <c r="G405" s="24">
        <v>1411.59</v>
      </c>
      <c r="H405" s="193">
        <v>139.1</v>
      </c>
      <c r="I405" s="194">
        <v>125.93</v>
      </c>
      <c r="J405" s="193">
        <v>172.2</v>
      </c>
      <c r="K405" s="194">
        <v>150.22999999999999</v>
      </c>
      <c r="L405" s="195">
        <v>0.78886017218058357</v>
      </c>
      <c r="M405" s="195">
        <f t="shared" si="49"/>
        <v>0.7830160420688278</v>
      </c>
      <c r="N405" s="195">
        <f>F405/24/31/10</f>
        <v>0.21909955104757498</v>
      </c>
      <c r="O405" s="195">
        <f>G405/24/31/10</f>
        <v>0.18972983870967741</v>
      </c>
      <c r="P405" s="195">
        <v>0.98499999999999999</v>
      </c>
      <c r="Q405" s="195">
        <v>0.971078</v>
      </c>
      <c r="R405" s="196">
        <v>0.99</v>
      </c>
      <c r="S405" s="197">
        <v>0.97399999999999998</v>
      </c>
      <c r="T405" s="198">
        <v>1.4999999999999999E-2</v>
      </c>
      <c r="U405" s="197">
        <v>0</v>
      </c>
      <c r="V405" s="198">
        <v>0</v>
      </c>
      <c r="W405" s="197">
        <v>0</v>
      </c>
      <c r="X405" s="199">
        <f t="shared" si="42"/>
        <v>-6.4631370688486012E-3</v>
      </c>
    </row>
    <row r="406" spans="1:24">
      <c r="A406" s="189" t="s">
        <v>14</v>
      </c>
      <c r="B406" s="190" t="s">
        <v>65</v>
      </c>
      <c r="C406" s="190">
        <v>10</v>
      </c>
      <c r="D406" s="191">
        <v>12</v>
      </c>
      <c r="E406" s="192">
        <v>43069</v>
      </c>
      <c r="F406" s="24">
        <v>1442.7665887827388</v>
      </c>
      <c r="G406" s="24">
        <v>1105.3499999999999</v>
      </c>
      <c r="H406" s="193">
        <v>108.1</v>
      </c>
      <c r="I406" s="194">
        <v>86.1</v>
      </c>
      <c r="J406" s="193">
        <v>152.1</v>
      </c>
      <c r="K406" s="194">
        <v>114.52</v>
      </c>
      <c r="L406" s="195">
        <v>0.79047040805541247</v>
      </c>
      <c r="M406" s="195">
        <f t="shared" si="49"/>
        <v>0.80433548725113513</v>
      </c>
      <c r="N406" s="195">
        <f>F406/24/30/10</f>
        <v>0.20038424844204705</v>
      </c>
      <c r="O406" s="195">
        <f>G406/24/30/10</f>
        <v>0.15352083333333333</v>
      </c>
      <c r="P406" s="195">
        <v>0.98499999999999999</v>
      </c>
      <c r="Q406" s="195">
        <v>0.97705999999999993</v>
      </c>
      <c r="R406" s="196">
        <v>0.99</v>
      </c>
      <c r="S406" s="197">
        <v>0.98</v>
      </c>
      <c r="T406" s="198">
        <v>1.4999999999999999E-2</v>
      </c>
      <c r="U406" s="197">
        <v>0</v>
      </c>
      <c r="V406" s="198">
        <v>0</v>
      </c>
      <c r="W406" s="197">
        <v>0</v>
      </c>
      <c r="X406" s="199">
        <f t="shared" si="42"/>
        <v>1.3206534294646799E-2</v>
      </c>
    </row>
    <row r="407" spans="1:24">
      <c r="A407" s="189" t="s">
        <v>14</v>
      </c>
      <c r="B407" s="190" t="s">
        <v>65</v>
      </c>
      <c r="C407" s="190">
        <v>10</v>
      </c>
      <c r="D407" s="191">
        <v>12</v>
      </c>
      <c r="E407" s="192">
        <v>43100</v>
      </c>
      <c r="F407" s="24">
        <v>1212.2770249731238</v>
      </c>
      <c r="G407" s="24">
        <v>1063.1220000000001</v>
      </c>
      <c r="H407" s="193">
        <v>89.9</v>
      </c>
      <c r="I407" s="194">
        <v>73.45</v>
      </c>
      <c r="J407" s="193">
        <v>129.6</v>
      </c>
      <c r="K407" s="194">
        <v>102.7</v>
      </c>
      <c r="L407" s="195">
        <v>0.77949911585206011</v>
      </c>
      <c r="M407" s="195">
        <f t="shared" si="49"/>
        <v>0.86264362220058421</v>
      </c>
      <c r="N407" s="195">
        <f>F407/24/31/10</f>
        <v>0.16294046034584997</v>
      </c>
      <c r="O407" s="195">
        <f>G407/24/31/10</f>
        <v>0.1428927419354839</v>
      </c>
      <c r="P407" s="195">
        <v>0.98499999999999999</v>
      </c>
      <c r="Q407" s="195">
        <v>0.99129999999999996</v>
      </c>
      <c r="R407" s="196">
        <v>0.99</v>
      </c>
      <c r="S407" s="197">
        <v>0.99129999999999996</v>
      </c>
      <c r="T407" s="198">
        <v>1.4999999999999999E-2</v>
      </c>
      <c r="U407" s="197">
        <v>0</v>
      </c>
      <c r="V407" s="198">
        <v>0</v>
      </c>
      <c r="W407" s="197">
        <v>0</v>
      </c>
      <c r="X407" s="199">
        <f t="shared" si="42"/>
        <v>8.4524648667818281E-2</v>
      </c>
    </row>
    <row r="408" spans="1:24">
      <c r="A408" s="189" t="s">
        <v>14</v>
      </c>
      <c r="B408" s="190" t="s">
        <v>65</v>
      </c>
      <c r="C408" s="190">
        <v>10</v>
      </c>
      <c r="D408" s="191">
        <v>12</v>
      </c>
      <c r="E408" s="192">
        <v>43131</v>
      </c>
      <c r="F408" s="24">
        <v>1019.8182391920955</v>
      </c>
      <c r="G408" s="24">
        <v>936.97799999999995</v>
      </c>
      <c r="H408" s="193">
        <v>79.599999999999994</v>
      </c>
      <c r="I408" s="194">
        <v>68.25</v>
      </c>
      <c r="J408" s="193">
        <v>103.2</v>
      </c>
      <c r="K408" s="194">
        <v>93.83</v>
      </c>
      <c r="L408" s="195">
        <v>0.82763481424572438</v>
      </c>
      <c r="M408" s="195">
        <f t="shared" si="49"/>
        <v>0.83215922412874344</v>
      </c>
      <c r="N408" s="195">
        <f>F408/24/31/10</f>
        <v>0.1370723439774322</v>
      </c>
      <c r="O408" s="195">
        <f>G408/24/31/10</f>
        <v>0.12593790322580645</v>
      </c>
      <c r="P408" s="195">
        <v>0.98499999999999999</v>
      </c>
      <c r="Q408" s="195">
        <v>0.97989999999999999</v>
      </c>
      <c r="R408" s="196">
        <v>0.99</v>
      </c>
      <c r="S408" s="197">
        <v>0.98509999999999998</v>
      </c>
      <c r="T408" s="198">
        <v>1.4999999999999999E-2</v>
      </c>
      <c r="U408" s="197">
        <v>0</v>
      </c>
      <c r="V408" s="198">
        <v>0</v>
      </c>
      <c r="W408" s="197">
        <v>0</v>
      </c>
      <c r="X408" s="199">
        <f t="shared" si="42"/>
        <v>9.5641778645298992E-3</v>
      </c>
    </row>
    <row r="409" spans="1:24">
      <c r="A409" s="189" t="s">
        <v>14</v>
      </c>
      <c r="B409" s="190" t="s">
        <v>65</v>
      </c>
      <c r="C409" s="190">
        <v>10</v>
      </c>
      <c r="D409" s="191">
        <v>12</v>
      </c>
      <c r="E409" s="192">
        <v>43159</v>
      </c>
      <c r="F409" s="24">
        <v>1338.9383963364162</v>
      </c>
      <c r="G409" s="24">
        <f>1360578/1000</f>
        <v>1360.578</v>
      </c>
      <c r="H409" s="193">
        <v>108.1</v>
      </c>
      <c r="I409" s="194">
        <v>107.74</v>
      </c>
      <c r="J409" s="193">
        <v>137.5</v>
      </c>
      <c r="K409" s="194">
        <v>136.29</v>
      </c>
      <c r="L409" s="195">
        <v>0.81555559393111998</v>
      </c>
      <c r="M409" s="195">
        <f t="shared" si="49"/>
        <v>0.83191356665932947</v>
      </c>
      <c r="N409" s="195">
        <f>F409/24/28/10</f>
        <v>0.19924678516910957</v>
      </c>
      <c r="O409" s="195">
        <f>G409/24/28/10</f>
        <v>0.20246696428571428</v>
      </c>
      <c r="P409" s="195">
        <v>0.98499999999999999</v>
      </c>
      <c r="Q409" s="195">
        <v>0.93530000000000002</v>
      </c>
      <c r="R409" s="196">
        <v>0.99</v>
      </c>
      <c r="S409" s="197">
        <v>0.97399999999999998</v>
      </c>
      <c r="T409" s="198">
        <v>1.4999999999999999E-2</v>
      </c>
      <c r="U409" s="197">
        <v>0</v>
      </c>
      <c r="V409" s="198">
        <v>0</v>
      </c>
      <c r="W409" s="197">
        <v>0</v>
      </c>
      <c r="X409" s="199">
        <f t="shared" si="42"/>
        <v>2.4961761977095986E-2</v>
      </c>
    </row>
    <row r="410" spans="1:24">
      <c r="A410" s="189" t="s">
        <v>14</v>
      </c>
      <c r="B410" s="190" t="s">
        <v>65</v>
      </c>
      <c r="C410" s="190">
        <v>10</v>
      </c>
      <c r="D410" s="191">
        <v>12</v>
      </c>
      <c r="E410" s="192">
        <v>43190</v>
      </c>
      <c r="F410" s="24">
        <v>1796</v>
      </c>
      <c r="G410" s="24">
        <v>1700.17</v>
      </c>
      <c r="H410" s="193">
        <v>161.4</v>
      </c>
      <c r="I410" s="194">
        <v>160.63</v>
      </c>
      <c r="J410" s="193">
        <v>187.8</v>
      </c>
      <c r="K410" s="194">
        <v>186.57</v>
      </c>
      <c r="L410" s="195">
        <v>0.80080060538540998</v>
      </c>
      <c r="M410" s="195">
        <f t="shared" si="49"/>
        <v>0.75939772382126469</v>
      </c>
      <c r="N410" s="195">
        <f>F410/24/31/10</f>
        <v>0.24139784946236556</v>
      </c>
      <c r="O410" s="195">
        <f>G410/24/31/10</f>
        <v>0.22851747311827958</v>
      </c>
      <c r="P410" s="195">
        <v>0.98499999999999999</v>
      </c>
      <c r="Q410" s="195">
        <v>0.92643655000000003</v>
      </c>
      <c r="R410" s="196">
        <v>0.99</v>
      </c>
      <c r="S410" s="197">
        <v>0.99950000000000006</v>
      </c>
      <c r="T410" s="198">
        <v>1.4999999999999999E-2</v>
      </c>
      <c r="U410" s="197">
        <v>0</v>
      </c>
      <c r="V410" s="198">
        <v>0</v>
      </c>
      <c r="W410" s="197">
        <v>0</v>
      </c>
      <c r="X410" s="199">
        <f t="shared" si="42"/>
        <v>-4.6807940257725611E-2</v>
      </c>
    </row>
    <row r="411" spans="1:24">
      <c r="A411" s="189" t="s">
        <v>14</v>
      </c>
      <c r="B411" s="190" t="s">
        <v>65</v>
      </c>
      <c r="C411" s="190">
        <v>10</v>
      </c>
      <c r="D411" s="191">
        <v>12</v>
      </c>
      <c r="E411" s="192">
        <v>43220</v>
      </c>
      <c r="F411" s="24">
        <v>1745.714126920195</v>
      </c>
      <c r="G411" s="24">
        <v>1423.5239999999999</v>
      </c>
      <c r="H411" s="193">
        <v>190.2</v>
      </c>
      <c r="I411" s="194">
        <v>152.47999999999999</v>
      </c>
      <c r="J411" s="193">
        <v>194</v>
      </c>
      <c r="K411" s="194">
        <v>157.5</v>
      </c>
      <c r="L411" s="195">
        <f>F411/D411/J411/P411</f>
        <v>0.76129665206630159</v>
      </c>
      <c r="M411" s="195">
        <f>G411/D411/K411/Q411</f>
        <v>0.78187829432232747</v>
      </c>
      <c r="N411" s="195">
        <f>F411/24/DAY(E411)/C411</f>
        <v>0.24246029540558264</v>
      </c>
      <c r="O411" s="195">
        <f>G411/24/DAY(E411)/C411</f>
        <v>0.19771166666666667</v>
      </c>
      <c r="P411" s="195">
        <v>0.98499999999999999</v>
      </c>
      <c r="Q411" s="195">
        <v>0.96330504000000006</v>
      </c>
      <c r="R411" s="196">
        <v>0.99</v>
      </c>
      <c r="S411" s="197">
        <v>0.97540000000000004</v>
      </c>
      <c r="T411" s="198">
        <v>1.4999999999999999E-2</v>
      </c>
      <c r="U411" s="197">
        <v>0</v>
      </c>
      <c r="V411" s="198">
        <v>0</v>
      </c>
      <c r="W411" s="197">
        <v>0</v>
      </c>
      <c r="X411" s="199">
        <f t="shared" si="42"/>
        <v>3.5836839401686138E-3</v>
      </c>
    </row>
    <row r="412" spans="1:24">
      <c r="A412" s="189" t="s">
        <v>14</v>
      </c>
      <c r="B412" s="190" t="s">
        <v>65</v>
      </c>
      <c r="C412" s="190">
        <v>10</v>
      </c>
      <c r="D412" s="191">
        <v>12</v>
      </c>
      <c r="E412" s="192">
        <v>43251</v>
      </c>
      <c r="F412" s="24">
        <v>1768.647838519252</v>
      </c>
      <c r="G412" s="24">
        <f>1618200/1000</f>
        <v>1618.2</v>
      </c>
      <c r="H412" s="193">
        <v>197</v>
      </c>
      <c r="I412" s="194">
        <v>170.16</v>
      </c>
      <c r="J412" s="193">
        <v>197.7</v>
      </c>
      <c r="K412" s="194">
        <v>171.85</v>
      </c>
      <c r="L412" s="195">
        <f t="shared" ref="L412:L469" si="50">F412/D412/J412/P412</f>
        <v>0.75686290758239727</v>
      </c>
      <c r="M412" s="195">
        <f t="shared" ref="M412:M469" si="51">G412/D412/K412/Q412</f>
        <v>0.79014797681541193</v>
      </c>
      <c r="N412" s="195">
        <f t="shared" ref="N412:N469" si="52">F412/24/DAY(E412)/C412</f>
        <v>0.23772148367194243</v>
      </c>
      <c r="O412" s="195">
        <f t="shared" ref="O412:O469" si="53">G412/24/DAY(E412)/C412</f>
        <v>0.21749999999999997</v>
      </c>
      <c r="P412" s="195">
        <v>0.98499999999999999</v>
      </c>
      <c r="Q412" s="195">
        <v>0.99309999999999998</v>
      </c>
      <c r="R412" s="196">
        <v>0.99</v>
      </c>
      <c r="S412" s="197">
        <v>0.999</v>
      </c>
      <c r="T412" s="198">
        <v>1.4999999999999999E-2</v>
      </c>
      <c r="U412" s="197">
        <v>0</v>
      </c>
      <c r="V412" s="198">
        <v>0</v>
      </c>
      <c r="W412" s="197">
        <v>0</v>
      </c>
      <c r="X412" s="199">
        <f t="shared" si="42"/>
        <v>4.5689905329871605E-2</v>
      </c>
    </row>
    <row r="413" spans="1:24">
      <c r="A413" s="189" t="s">
        <v>14</v>
      </c>
      <c r="B413" s="190" t="s">
        <v>65</v>
      </c>
      <c r="C413" s="190">
        <v>10</v>
      </c>
      <c r="D413" s="191">
        <v>12</v>
      </c>
      <c r="E413" s="192">
        <v>43281</v>
      </c>
      <c r="F413" s="24">
        <v>1587.9301911186853</v>
      </c>
      <c r="G413" s="24">
        <f>1566774/1000</f>
        <v>1566.7739999999999</v>
      </c>
      <c r="H413" s="193">
        <v>178.9</v>
      </c>
      <c r="I413" s="194">
        <f>5.27*30</f>
        <v>158.1</v>
      </c>
      <c r="J413" s="193">
        <v>177.2</v>
      </c>
      <c r="K413" s="194">
        <f>5.29*30</f>
        <v>158.69999999999999</v>
      </c>
      <c r="L413" s="195">
        <f t="shared" si="50"/>
        <v>0.75814139821107307</v>
      </c>
      <c r="M413" s="195">
        <f t="shared" si="51"/>
        <v>0.83110684453624328</v>
      </c>
      <c r="N413" s="195">
        <f t="shared" si="52"/>
        <v>0.2205458598775952</v>
      </c>
      <c r="O413" s="195">
        <f t="shared" si="53"/>
        <v>0.21760749999999995</v>
      </c>
      <c r="P413" s="195">
        <v>0.98499999999999999</v>
      </c>
      <c r="Q413" s="195">
        <v>0.9899</v>
      </c>
      <c r="R413" s="196">
        <v>0.99</v>
      </c>
      <c r="S413" s="197">
        <v>0.99050000000000005</v>
      </c>
      <c r="T413" s="198">
        <v>1.4999999999999999E-2</v>
      </c>
      <c r="U413" s="197">
        <v>0</v>
      </c>
      <c r="V413" s="198">
        <v>0</v>
      </c>
      <c r="W413" s="197">
        <v>0</v>
      </c>
      <c r="X413" s="199">
        <f t="shared" si="42"/>
        <v>9.1078681693331665E-2</v>
      </c>
    </row>
    <row r="414" spans="1:24">
      <c r="A414" s="189" t="s">
        <v>14</v>
      </c>
      <c r="B414" s="190" t="s">
        <v>65</v>
      </c>
      <c r="C414" s="190">
        <v>10</v>
      </c>
      <c r="D414" s="191">
        <v>12</v>
      </c>
      <c r="E414" s="192">
        <v>43312</v>
      </c>
      <c r="F414" s="24">
        <v>1405.3778467901941</v>
      </c>
      <c r="G414" s="24">
        <f>1264512/1000</f>
        <v>1264.5119999999999</v>
      </c>
      <c r="H414" s="193">
        <v>155.5</v>
      </c>
      <c r="I414" s="194">
        <v>129.63</v>
      </c>
      <c r="J414" s="193">
        <v>154.6</v>
      </c>
      <c r="K414" s="194">
        <v>127.09</v>
      </c>
      <c r="L414" s="195">
        <f t="shared" si="50"/>
        <v>0.76907047212619772</v>
      </c>
      <c r="M414" s="195">
        <f t="shared" si="51"/>
        <v>0.84108815236951684</v>
      </c>
      <c r="N414" s="195">
        <f t="shared" si="52"/>
        <v>0.18889487188040244</v>
      </c>
      <c r="O414" s="195">
        <f t="shared" si="53"/>
        <v>0.16996129032258062</v>
      </c>
      <c r="P414" s="195">
        <v>0.98499999999999999</v>
      </c>
      <c r="Q414" s="195">
        <v>0.98580000000000001</v>
      </c>
      <c r="R414" s="196">
        <v>0.99</v>
      </c>
      <c r="S414" s="197">
        <v>0.99009999999999998</v>
      </c>
      <c r="T414" s="198">
        <v>1.4999999999999999E-2</v>
      </c>
      <c r="U414" s="197">
        <v>0</v>
      </c>
      <c r="V414" s="198">
        <v>0</v>
      </c>
      <c r="W414" s="197">
        <v>0</v>
      </c>
      <c r="X414" s="199">
        <f t="shared" si="42"/>
        <v>7.770964552605153E-2</v>
      </c>
    </row>
    <row r="415" spans="1:24">
      <c r="A415" s="189" t="s">
        <v>14</v>
      </c>
      <c r="B415" s="190" t="s">
        <v>65</v>
      </c>
      <c r="C415" s="190">
        <v>10</v>
      </c>
      <c r="D415" s="191">
        <v>12</v>
      </c>
      <c r="E415" s="192">
        <v>43343</v>
      </c>
      <c r="F415" s="24">
        <v>1334.7420150650994</v>
      </c>
      <c r="G415" s="24">
        <f>1100610/1000</f>
        <v>1100.6099999999999</v>
      </c>
      <c r="H415" s="193">
        <v>145.4</v>
      </c>
      <c r="I415" s="194">
        <v>113.41</v>
      </c>
      <c r="J415" s="193">
        <v>146.30000000000001</v>
      </c>
      <c r="K415" s="194">
        <v>111.84</v>
      </c>
      <c r="L415" s="195">
        <f t="shared" si="50"/>
        <v>0.7718546568689254</v>
      </c>
      <c r="M415" s="195">
        <f t="shared" si="51"/>
        <v>0.84084670327034838</v>
      </c>
      <c r="N415" s="195">
        <f t="shared" si="52"/>
        <v>0.17940080847649184</v>
      </c>
      <c r="O415" s="195">
        <f t="shared" si="53"/>
        <v>0.14793145161290319</v>
      </c>
      <c r="P415" s="195">
        <v>0.98499999999999999</v>
      </c>
      <c r="Q415" s="195">
        <v>0.97529999999999994</v>
      </c>
      <c r="R415" s="196">
        <v>0.99</v>
      </c>
      <c r="S415" s="197">
        <v>0.99939999999999996</v>
      </c>
      <c r="T415" s="198">
        <v>1.4999999999999999E-2</v>
      </c>
      <c r="U415" s="197">
        <v>0</v>
      </c>
      <c r="V415" s="198">
        <v>0</v>
      </c>
      <c r="W415" s="197">
        <v>0</v>
      </c>
      <c r="X415" s="199">
        <f t="shared" si="42"/>
        <v>6.0129719205548215E-2</v>
      </c>
    </row>
    <row r="416" spans="1:24">
      <c r="A416" s="189" t="s">
        <v>14</v>
      </c>
      <c r="B416" s="190" t="s">
        <v>65</v>
      </c>
      <c r="C416" s="190">
        <v>10</v>
      </c>
      <c r="D416" s="191">
        <v>12</v>
      </c>
      <c r="E416" s="192">
        <v>43373</v>
      </c>
      <c r="F416" s="24">
        <v>1330.1552727452881</v>
      </c>
      <c r="G416" s="24">
        <f>1165686/1000</f>
        <v>1165.6859999999999</v>
      </c>
      <c r="H416" s="193">
        <v>141.6</v>
      </c>
      <c r="I416" s="194">
        <v>118.87</v>
      </c>
      <c r="J416" s="193">
        <v>145.5</v>
      </c>
      <c r="K416" s="194">
        <v>121.68</v>
      </c>
      <c r="L416" s="195">
        <f t="shared" si="50"/>
        <v>0.77343152600885456</v>
      </c>
      <c r="M416" s="195">
        <f t="shared" si="51"/>
        <v>0.82591307732166241</v>
      </c>
      <c r="N416" s="195">
        <f t="shared" si="52"/>
        <v>0.18474378788129003</v>
      </c>
      <c r="O416" s="195">
        <f t="shared" si="53"/>
        <v>0.16190083333333333</v>
      </c>
      <c r="P416" s="195">
        <v>0.98499999999999999</v>
      </c>
      <c r="Q416" s="195">
        <v>0.96660000000000001</v>
      </c>
      <c r="R416" s="196">
        <v>0.99</v>
      </c>
      <c r="S416" s="197">
        <v>0.98180000000000001</v>
      </c>
      <c r="T416" s="198">
        <v>1.4999999999999999E-2</v>
      </c>
      <c r="U416" s="197">
        <v>0</v>
      </c>
      <c r="V416" s="198">
        <v>0</v>
      </c>
      <c r="W416" s="197">
        <v>0</v>
      </c>
      <c r="X416" s="199">
        <f t="shared" si="42"/>
        <v>4.0064668185826213E-2</v>
      </c>
    </row>
    <row r="417" spans="1:24">
      <c r="A417" s="189" t="s">
        <v>14</v>
      </c>
      <c r="B417" s="190" t="s">
        <v>65</v>
      </c>
      <c r="C417" s="190">
        <v>10</v>
      </c>
      <c r="D417" s="191">
        <v>12</v>
      </c>
      <c r="E417" s="192">
        <v>43404</v>
      </c>
      <c r="F417" s="24">
        <v>1524.633147105289</v>
      </c>
      <c r="G417" s="24">
        <f>1567104/1000</f>
        <v>1567.104</v>
      </c>
      <c r="H417" s="193">
        <v>139.1</v>
      </c>
      <c r="I417" s="194">
        <f>4.43*31</f>
        <v>137.32999999999998</v>
      </c>
      <c r="J417" s="193">
        <v>172.2</v>
      </c>
      <c r="K417" s="194">
        <f>5.32*31</f>
        <v>164.92000000000002</v>
      </c>
      <c r="L417" s="195">
        <f t="shared" si="50"/>
        <v>0.74905677059949238</v>
      </c>
      <c r="M417" s="195">
        <f t="shared" si="51"/>
        <v>0.81082387285224677</v>
      </c>
      <c r="N417" s="195">
        <f t="shared" si="52"/>
        <v>0.2049238100947969</v>
      </c>
      <c r="O417" s="195">
        <f t="shared" si="53"/>
        <v>0.21063225806451613</v>
      </c>
      <c r="P417" s="195">
        <v>0.98499999999999999</v>
      </c>
      <c r="Q417" s="195">
        <v>0.97660000000000002</v>
      </c>
      <c r="R417" s="196">
        <v>0.99</v>
      </c>
      <c r="S417" s="197">
        <v>0.97660000000000002</v>
      </c>
      <c r="T417" s="198">
        <v>1.4999999999999999E-2</v>
      </c>
      <c r="U417" s="197">
        <v>0</v>
      </c>
      <c r="V417" s="198">
        <v>0</v>
      </c>
      <c r="W417" s="197">
        <v>0</v>
      </c>
      <c r="X417" s="199">
        <f t="shared" si="42"/>
        <v>7.0132863492508579E-2</v>
      </c>
    </row>
    <row r="418" spans="1:24">
      <c r="A418" s="189" t="s">
        <v>14</v>
      </c>
      <c r="B418" s="190" t="s">
        <v>65</v>
      </c>
      <c r="C418" s="190">
        <v>10</v>
      </c>
      <c r="D418" s="191">
        <v>12</v>
      </c>
      <c r="E418" s="192">
        <v>43434</v>
      </c>
      <c r="F418" s="24">
        <v>1349.4195904884955</v>
      </c>
      <c r="G418" s="24">
        <f>1213506/1000</f>
        <v>1213.5060000000001</v>
      </c>
      <c r="H418" s="193">
        <v>108.1</v>
      </c>
      <c r="I418" s="194">
        <f>3.3*30</f>
        <v>99</v>
      </c>
      <c r="J418" s="193">
        <v>152.1</v>
      </c>
      <c r="K418" s="194">
        <f>4.47*30</f>
        <v>134.1</v>
      </c>
      <c r="L418" s="195">
        <f t="shared" si="50"/>
        <v>0.75058575903982472</v>
      </c>
      <c r="M418" s="195">
        <f t="shared" si="51"/>
        <v>0.75926816896281746</v>
      </c>
      <c r="N418" s="195">
        <f t="shared" si="52"/>
        <v>0.1874193875678466</v>
      </c>
      <c r="O418" s="195">
        <f t="shared" si="53"/>
        <v>0.16854249999999998</v>
      </c>
      <c r="P418" s="195">
        <v>0.98499999999999999</v>
      </c>
      <c r="Q418" s="195">
        <v>0.99319999999999997</v>
      </c>
      <c r="R418" s="196">
        <v>0.99</v>
      </c>
      <c r="S418" s="197">
        <v>0.99990000000000001</v>
      </c>
      <c r="T418" s="198">
        <v>1.4999999999999999E-2</v>
      </c>
      <c r="U418" s="197">
        <v>0</v>
      </c>
      <c r="V418" s="198">
        <v>0</v>
      </c>
      <c r="W418" s="197">
        <v>0</v>
      </c>
      <c r="X418" s="199">
        <f t="shared" si="42"/>
        <v>1.7623158706484232E-2</v>
      </c>
    </row>
    <row r="419" spans="1:24">
      <c r="A419" s="189" t="s">
        <v>14</v>
      </c>
      <c r="B419" s="190" t="s">
        <v>65</v>
      </c>
      <c r="C419" s="190">
        <v>10</v>
      </c>
      <c r="D419" s="191">
        <v>12</v>
      </c>
      <c r="E419" s="192">
        <v>43465</v>
      </c>
      <c r="F419" s="24">
        <v>1133.8427014573629</v>
      </c>
      <c r="G419" s="24">
        <f>1111938/1000</f>
        <v>1111.9380000000001</v>
      </c>
      <c r="H419" s="193">
        <v>89.9</v>
      </c>
      <c r="I419" s="194">
        <v>86.8</v>
      </c>
      <c r="J419" s="193">
        <v>129.6</v>
      </c>
      <c r="K419" s="194">
        <v>125.55</v>
      </c>
      <c r="L419" s="195">
        <f t="shared" si="50"/>
        <v>0.74016804371211364</v>
      </c>
      <c r="M419" s="195">
        <f t="shared" si="51"/>
        <v>0.77648038268651076</v>
      </c>
      <c r="N419" s="195">
        <f t="shared" si="52"/>
        <v>0.15239821256147351</v>
      </c>
      <c r="O419" s="195">
        <f t="shared" si="53"/>
        <v>0.14945403225806453</v>
      </c>
      <c r="P419" s="195">
        <v>0.98499999999999999</v>
      </c>
      <c r="Q419" s="195">
        <v>0.95050000000000001</v>
      </c>
      <c r="R419" s="196">
        <v>0.99</v>
      </c>
      <c r="S419" s="197">
        <v>0.99829999999999997</v>
      </c>
      <c r="T419" s="198">
        <v>1.4999999999999999E-2</v>
      </c>
      <c r="U419" s="197">
        <v>0</v>
      </c>
      <c r="V419" s="198">
        <v>0</v>
      </c>
      <c r="W419" s="197">
        <v>0</v>
      </c>
      <c r="X419" s="199">
        <f t="shared" si="42"/>
        <v>1.1931005020177854E-2</v>
      </c>
    </row>
    <row r="420" spans="1:24">
      <c r="A420" s="189" t="s">
        <v>14</v>
      </c>
      <c r="B420" s="190" t="s">
        <v>65</v>
      </c>
      <c r="C420" s="190">
        <v>10</v>
      </c>
      <c r="D420" s="191">
        <v>12</v>
      </c>
      <c r="E420" s="192">
        <v>43496</v>
      </c>
      <c r="F420" s="24">
        <v>953.83599911636691</v>
      </c>
      <c r="G420" s="24">
        <f>1119978/1000</f>
        <v>1119.9780000000001</v>
      </c>
      <c r="H420" s="193">
        <v>79.599999999999994</v>
      </c>
      <c r="I420" s="194">
        <v>84.01</v>
      </c>
      <c r="J420" s="193">
        <v>103.2</v>
      </c>
      <c r="K420" s="194">
        <v>119.97</v>
      </c>
      <c r="L420" s="195">
        <f t="shared" si="50"/>
        <v>0.78194559142660491</v>
      </c>
      <c r="M420" s="195">
        <f t="shared" si="51"/>
        <v>0.79205557854542041</v>
      </c>
      <c r="N420" s="195">
        <f t="shared" si="52"/>
        <v>0.12820376332209232</v>
      </c>
      <c r="O420" s="195">
        <f t="shared" si="53"/>
        <v>0.15053467741935483</v>
      </c>
      <c r="P420" s="195">
        <v>0.98499999999999999</v>
      </c>
      <c r="Q420" s="195">
        <v>0.98219999999999996</v>
      </c>
      <c r="R420" s="196">
        <v>0.99</v>
      </c>
      <c r="S420" s="197">
        <v>0.99409999999999998</v>
      </c>
      <c r="T420" s="198">
        <v>1.4999999999999999E-2</v>
      </c>
      <c r="U420" s="197">
        <v>0</v>
      </c>
      <c r="V420" s="198">
        <v>0</v>
      </c>
      <c r="W420" s="197">
        <v>0</v>
      </c>
      <c r="X420" s="199">
        <f t="shared" si="42"/>
        <v>1.1682984325971368E-2</v>
      </c>
    </row>
    <row r="421" spans="1:24">
      <c r="A421" s="189" t="s">
        <v>14</v>
      </c>
      <c r="B421" s="190" t="s">
        <v>65</v>
      </c>
      <c r="C421" s="190">
        <v>10</v>
      </c>
      <c r="D421" s="191">
        <v>12</v>
      </c>
      <c r="E421" s="192">
        <v>43524</v>
      </c>
      <c r="F421" s="24">
        <v>1252.3090820934501</v>
      </c>
      <c r="G421" s="24">
        <v>1006.722</v>
      </c>
      <c r="H421" s="193">
        <v>108.1</v>
      </c>
      <c r="I421" s="194">
        <v>88.2</v>
      </c>
      <c r="J421" s="193">
        <v>137.5</v>
      </c>
      <c r="K421" s="194">
        <v>107.24000000000001</v>
      </c>
      <c r="L421" s="195">
        <f t="shared" si="50"/>
        <v>0.77053319925762209</v>
      </c>
      <c r="M421" s="195">
        <f t="shared" si="51"/>
        <v>0.83444983215218194</v>
      </c>
      <c r="N421" s="195">
        <f t="shared" si="52"/>
        <v>0.18635551816866819</v>
      </c>
      <c r="O421" s="195">
        <f t="shared" si="53"/>
        <v>0.14980982142857144</v>
      </c>
      <c r="P421" s="195">
        <v>0.98499999999999999</v>
      </c>
      <c r="Q421" s="195">
        <v>0.9375</v>
      </c>
      <c r="R421" s="196">
        <v>0.99</v>
      </c>
      <c r="S421" s="197">
        <v>0.96640000000000004</v>
      </c>
      <c r="T421" s="198">
        <v>1.4999999999999999E-2</v>
      </c>
      <c r="U421" s="197">
        <v>0</v>
      </c>
      <c r="V421" s="198">
        <v>0</v>
      </c>
      <c r="W421" s="197">
        <v>0</v>
      </c>
      <c r="X421" s="199">
        <f t="shared" ref="X421:X511" si="54">(G421/F421-1)-(K421/J421-1)</f>
        <v>2.3965324072465322E-2</v>
      </c>
    </row>
    <row r="422" spans="1:24">
      <c r="A422" s="189" t="s">
        <v>14</v>
      </c>
      <c r="B422" s="190" t="s">
        <v>65</v>
      </c>
      <c r="C422" s="190">
        <v>10</v>
      </c>
      <c r="D422" s="191">
        <v>12</v>
      </c>
      <c r="E422" s="192">
        <v>43555</v>
      </c>
      <c r="F422" s="24">
        <v>1679.4815678221196</v>
      </c>
      <c r="G422" s="24">
        <f>1664346/1000</f>
        <v>1664.346</v>
      </c>
      <c r="H422" s="193">
        <v>161.4</v>
      </c>
      <c r="I422" s="194">
        <v>154.11000000000001</v>
      </c>
      <c r="J422" s="193">
        <v>187.8</v>
      </c>
      <c r="K422" s="194">
        <v>178.6</v>
      </c>
      <c r="L422" s="195">
        <f t="shared" si="50"/>
        <v>0.7565927534882122</v>
      </c>
      <c r="M422" s="195">
        <f t="shared" si="51"/>
        <v>0.78520783489606283</v>
      </c>
      <c r="N422" s="195">
        <f t="shared" si="52"/>
        <v>0.22573676986856445</v>
      </c>
      <c r="O422" s="195">
        <f t="shared" si="53"/>
        <v>0.22370241935483876</v>
      </c>
      <c r="P422" s="195">
        <v>0.98499999999999999</v>
      </c>
      <c r="Q422" s="195">
        <v>0.98899999999999999</v>
      </c>
      <c r="R422" s="196">
        <v>0.99</v>
      </c>
      <c r="S422" s="197">
        <v>0.99419999999999997</v>
      </c>
      <c r="T422" s="198">
        <v>1.4999999999999999E-2</v>
      </c>
      <c r="U422" s="197">
        <v>0</v>
      </c>
      <c r="V422" s="198">
        <v>0</v>
      </c>
      <c r="W422" s="197">
        <v>0</v>
      </c>
      <c r="X422" s="199">
        <f t="shared" si="54"/>
        <v>3.9976237816212623E-2</v>
      </c>
    </row>
    <row r="423" spans="1:24">
      <c r="A423" s="189" t="s">
        <v>14</v>
      </c>
      <c r="B423" s="190" t="s">
        <v>65</v>
      </c>
      <c r="C423" s="190">
        <v>10</v>
      </c>
      <c r="D423" s="191">
        <v>12</v>
      </c>
      <c r="E423" s="192">
        <v>43585</v>
      </c>
      <c r="F423" s="24">
        <v>1736.9855562855939</v>
      </c>
      <c r="G423" s="24">
        <f>1634376/1000</f>
        <v>1634.376</v>
      </c>
      <c r="H423" s="193">
        <v>190.2</v>
      </c>
      <c r="I423" s="194">
        <f>5.75*30</f>
        <v>172.5</v>
      </c>
      <c r="J423" s="193">
        <v>194</v>
      </c>
      <c r="K423" s="194">
        <f>6.01*30</f>
        <v>180.29999999999998</v>
      </c>
      <c r="L423" s="195">
        <f t="shared" si="50"/>
        <v>0.75749016880597009</v>
      </c>
      <c r="M423" s="195">
        <f t="shared" si="51"/>
        <v>0.76087486028076601</v>
      </c>
      <c r="N423" s="195">
        <f t="shared" si="52"/>
        <v>0.2412479939285547</v>
      </c>
      <c r="O423" s="195">
        <f t="shared" si="53"/>
        <v>0.22699666666666668</v>
      </c>
      <c r="P423" s="195">
        <v>0.98499999999999999</v>
      </c>
      <c r="Q423" s="195">
        <v>0.99280000000000002</v>
      </c>
      <c r="R423" s="196">
        <v>0.99</v>
      </c>
      <c r="S423" s="197">
        <v>0.99560000000000004</v>
      </c>
      <c r="T423" s="198">
        <v>1.4999999999999999E-2</v>
      </c>
      <c r="U423" s="197">
        <v>0</v>
      </c>
      <c r="V423" s="198">
        <v>0</v>
      </c>
      <c r="W423" s="197">
        <v>0</v>
      </c>
      <c r="X423" s="199">
        <f t="shared" si="54"/>
        <v>1.1545206370463856E-2</v>
      </c>
    </row>
    <row r="424" spans="1:24">
      <c r="A424" s="189" t="s">
        <v>14</v>
      </c>
      <c r="B424" s="190" t="s">
        <v>65</v>
      </c>
      <c r="C424" s="190">
        <v>10</v>
      </c>
      <c r="D424" s="191">
        <v>12</v>
      </c>
      <c r="E424" s="192">
        <v>43616</v>
      </c>
      <c r="F424" s="24">
        <v>1759.8045993266555</v>
      </c>
      <c r="G424" s="24">
        <f>1627170/1000</f>
        <v>1627.17</v>
      </c>
      <c r="H424" s="193">
        <v>197</v>
      </c>
      <c r="I424" s="194">
        <v>189.86</v>
      </c>
      <c r="J424" s="193">
        <v>197.7</v>
      </c>
      <c r="K424" s="194">
        <v>190.94</v>
      </c>
      <c r="L424" s="195">
        <f t="shared" si="50"/>
        <v>0.75307859304448521</v>
      </c>
      <c r="M424" s="195">
        <f t="shared" si="51"/>
        <v>0.73249885625973676</v>
      </c>
      <c r="N424" s="195">
        <f t="shared" si="52"/>
        <v>0.23653287625358271</v>
      </c>
      <c r="O424" s="195">
        <f t="shared" si="53"/>
        <v>0.21870564516129032</v>
      </c>
      <c r="P424" s="195">
        <v>0.98499999999999999</v>
      </c>
      <c r="Q424" s="195">
        <v>0.96950000000000003</v>
      </c>
      <c r="R424" s="196">
        <v>0.99</v>
      </c>
      <c r="S424" s="197">
        <v>0.9859</v>
      </c>
      <c r="T424" s="198">
        <v>1.4999999999999999E-2</v>
      </c>
      <c r="U424" s="197">
        <v>0</v>
      </c>
      <c r="V424" s="198">
        <v>0</v>
      </c>
      <c r="W424" s="197">
        <v>0</v>
      </c>
      <c r="X424" s="199">
        <f t="shared" si="54"/>
        <v>-4.1175713439224437E-2</v>
      </c>
    </row>
    <row r="425" spans="1:24">
      <c r="A425" s="189" t="s">
        <v>14</v>
      </c>
      <c r="B425" s="190" t="s">
        <v>65</v>
      </c>
      <c r="C425" s="190">
        <v>10</v>
      </c>
      <c r="D425" s="191">
        <v>12</v>
      </c>
      <c r="E425" s="192">
        <v>43646</v>
      </c>
      <c r="F425" s="24">
        <v>1579.9905401630917</v>
      </c>
      <c r="G425" s="24">
        <f>1613106/1000</f>
        <v>1613.106</v>
      </c>
      <c r="H425" s="193">
        <v>178.9</v>
      </c>
      <c r="I425" s="194">
        <v>188.4</v>
      </c>
      <c r="J425" s="193">
        <v>177.2</v>
      </c>
      <c r="K425" s="194">
        <v>185.1</v>
      </c>
      <c r="L425" s="195">
        <f t="shared" si="50"/>
        <v>0.75435069122001763</v>
      </c>
      <c r="M425" s="195">
        <f t="shared" si="51"/>
        <v>0.72914836005285333</v>
      </c>
      <c r="N425" s="195">
        <f t="shared" si="52"/>
        <v>0.21944313057820719</v>
      </c>
      <c r="O425" s="195">
        <f t="shared" si="53"/>
        <v>0.22404250000000001</v>
      </c>
      <c r="P425" s="195">
        <v>0.98499999999999999</v>
      </c>
      <c r="Q425" s="195">
        <v>0.996</v>
      </c>
      <c r="R425" s="196">
        <v>0.99</v>
      </c>
      <c r="S425" s="197">
        <v>0.99909999999999999</v>
      </c>
      <c r="T425" s="198">
        <v>1.4999999999999999E-2</v>
      </c>
      <c r="U425" s="197">
        <v>0</v>
      </c>
      <c r="V425" s="198">
        <v>0</v>
      </c>
      <c r="W425" s="197">
        <v>0</v>
      </c>
      <c r="X425" s="199">
        <f t="shared" si="54"/>
        <v>-2.3623115492819258E-2</v>
      </c>
    </row>
    <row r="426" spans="1:24">
      <c r="A426" s="189" t="s">
        <v>14</v>
      </c>
      <c r="B426" s="190" t="s">
        <v>65</v>
      </c>
      <c r="C426" s="190">
        <v>10</v>
      </c>
      <c r="D426" s="191">
        <v>12</v>
      </c>
      <c r="E426" s="192">
        <v>43677</v>
      </c>
      <c r="F426" s="24">
        <v>1398.3509575562432</v>
      </c>
      <c r="G426" s="24">
        <v>1209.5340000000001</v>
      </c>
      <c r="H426" s="193">
        <v>155.5</v>
      </c>
      <c r="I426" s="194">
        <v>141.97999999999999</v>
      </c>
      <c r="J426" s="193">
        <v>154.6</v>
      </c>
      <c r="K426" s="194">
        <v>139.81</v>
      </c>
      <c r="L426" s="195">
        <f t="shared" si="50"/>
        <v>0.76522511976556684</v>
      </c>
      <c r="M426" s="195">
        <f t="shared" si="51"/>
        <v>0.76386854384266467</v>
      </c>
      <c r="N426" s="195">
        <f t="shared" si="52"/>
        <v>0.18795039752100046</v>
      </c>
      <c r="O426" s="195">
        <f t="shared" si="53"/>
        <v>0.1625717741935484</v>
      </c>
      <c r="P426" s="195">
        <v>0.98499999999999999</v>
      </c>
      <c r="Q426" s="195">
        <v>0.94379999999999997</v>
      </c>
      <c r="R426" s="196">
        <v>0.99</v>
      </c>
      <c r="S426" s="197">
        <v>0.98119999999999996</v>
      </c>
      <c r="T426" s="198">
        <v>1.4999999999999999E-2</v>
      </c>
      <c r="U426" s="197">
        <v>0</v>
      </c>
      <c r="V426" s="198">
        <v>0</v>
      </c>
      <c r="W426" s="197">
        <v>0</v>
      </c>
      <c r="X426" s="199">
        <f t="shared" si="54"/>
        <v>-3.9362068096468139E-2</v>
      </c>
    </row>
    <row r="427" spans="1:24">
      <c r="A427" s="189" t="s">
        <v>14</v>
      </c>
      <c r="B427" s="190" t="s">
        <v>65</v>
      </c>
      <c r="C427" s="190">
        <v>10</v>
      </c>
      <c r="D427" s="191">
        <v>12</v>
      </c>
      <c r="E427" s="192">
        <v>43708</v>
      </c>
      <c r="F427" s="24">
        <v>1328.0683049897737</v>
      </c>
      <c r="G427" s="24">
        <f>1145082/1000</f>
        <v>1145.0820000000001</v>
      </c>
      <c r="H427" s="193">
        <v>145.4</v>
      </c>
      <c r="I427" s="194">
        <v>132</v>
      </c>
      <c r="J427" s="193">
        <v>146.30000000000001</v>
      </c>
      <c r="K427" s="194">
        <v>140</v>
      </c>
      <c r="L427" s="195">
        <f t="shared" si="50"/>
        <v>0.76799538358458064</v>
      </c>
      <c r="M427" s="195">
        <f t="shared" si="51"/>
        <v>0.72218311991039263</v>
      </c>
      <c r="N427" s="195">
        <f t="shared" si="52"/>
        <v>0.17850380443410935</v>
      </c>
      <c r="O427" s="195">
        <f t="shared" si="53"/>
        <v>0.15390887096774195</v>
      </c>
      <c r="P427" s="195">
        <v>0.98499999999999999</v>
      </c>
      <c r="Q427" s="195">
        <v>0.94379999999999997</v>
      </c>
      <c r="R427" s="196">
        <v>0.99</v>
      </c>
      <c r="S427" s="197">
        <v>0.98119999999999996</v>
      </c>
      <c r="T427" s="198">
        <v>1.4999999999999999E-2</v>
      </c>
      <c r="U427" s="197">
        <v>0</v>
      </c>
      <c r="V427" s="198">
        <v>0</v>
      </c>
      <c r="W427" s="197">
        <v>0</v>
      </c>
      <c r="X427" s="199">
        <f t="shared" si="54"/>
        <v>-9.4721604516217028E-2</v>
      </c>
    </row>
    <row r="428" spans="1:24">
      <c r="A428" s="189" t="s">
        <v>14</v>
      </c>
      <c r="B428" s="190" t="s">
        <v>65</v>
      </c>
      <c r="C428" s="190">
        <v>10</v>
      </c>
      <c r="D428" s="191">
        <v>12</v>
      </c>
      <c r="E428" s="192">
        <v>43738</v>
      </c>
      <c r="F428" s="24">
        <v>1323.5044963815615</v>
      </c>
      <c r="G428" s="24">
        <f>1224456/1000</f>
        <v>1224.4559999999999</v>
      </c>
      <c r="H428" s="193">
        <v>141.6</v>
      </c>
      <c r="I428" s="194">
        <v>143</v>
      </c>
      <c r="J428" s="193">
        <v>145.5</v>
      </c>
      <c r="K428" s="194">
        <v>151</v>
      </c>
      <c r="L428" s="195">
        <f t="shared" si="50"/>
        <v>0.76956436837881015</v>
      </c>
      <c r="M428" s="195">
        <f t="shared" si="51"/>
        <v>0.70273330321428962</v>
      </c>
      <c r="N428" s="195">
        <f t="shared" si="52"/>
        <v>0.18382006894188352</v>
      </c>
      <c r="O428" s="195">
        <f t="shared" si="53"/>
        <v>0.17006333333333332</v>
      </c>
      <c r="P428" s="195">
        <v>0.98499999999999999</v>
      </c>
      <c r="Q428" s="195">
        <v>0.96160000000000001</v>
      </c>
      <c r="R428" s="196">
        <v>0.99</v>
      </c>
      <c r="S428" s="197">
        <v>0.99760000000000004</v>
      </c>
      <c r="T428" s="198">
        <v>1.4999999999999999E-2</v>
      </c>
      <c r="U428" s="197">
        <v>0</v>
      </c>
      <c r="V428" s="198">
        <v>0</v>
      </c>
      <c r="W428" s="197">
        <v>0</v>
      </c>
      <c r="X428" s="199">
        <f t="shared" si="54"/>
        <v>-0.11263873781875655</v>
      </c>
    </row>
    <row r="429" spans="1:24">
      <c r="A429" s="189" t="s">
        <v>14</v>
      </c>
      <c r="B429" s="190" t="s">
        <v>65</v>
      </c>
      <c r="C429" s="190">
        <v>10</v>
      </c>
      <c r="D429" s="191">
        <v>12</v>
      </c>
      <c r="E429" s="192">
        <v>43769</v>
      </c>
      <c r="F429" s="24">
        <v>1517.0099813697625</v>
      </c>
      <c r="G429" s="24">
        <f>1169736/1000</f>
        <v>1169.7360000000001</v>
      </c>
      <c r="H429" s="193">
        <v>139.1</v>
      </c>
      <c r="I429" s="194">
        <v>124.93</v>
      </c>
      <c r="J429" s="193">
        <v>172.2</v>
      </c>
      <c r="K429" s="194">
        <v>150.97</v>
      </c>
      <c r="L429" s="195">
        <f t="shared" si="50"/>
        <v>0.74531148674649483</v>
      </c>
      <c r="M429" s="195">
        <f t="shared" si="51"/>
        <v>0.71773893870769534</v>
      </c>
      <c r="N429" s="195">
        <f t="shared" si="52"/>
        <v>0.20389919104432291</v>
      </c>
      <c r="O429" s="195">
        <f t="shared" si="53"/>
        <v>0.15722258064516131</v>
      </c>
      <c r="P429" s="195">
        <v>0.98499999999999999</v>
      </c>
      <c r="Q429" s="195">
        <v>0.89959999999999996</v>
      </c>
      <c r="R429" s="196">
        <v>0.99</v>
      </c>
      <c r="S429" s="197">
        <v>0.98880000000000001</v>
      </c>
      <c r="T429" s="198">
        <v>1.4999999999999999E-2</v>
      </c>
      <c r="U429" s="197">
        <v>0</v>
      </c>
      <c r="V429" s="198">
        <v>0</v>
      </c>
      <c r="W429" s="197">
        <v>0</v>
      </c>
      <c r="X429" s="199">
        <f t="shared" si="54"/>
        <v>-0.10563316147530299</v>
      </c>
    </row>
    <row r="430" spans="1:24">
      <c r="A430" s="189" t="s">
        <v>14</v>
      </c>
      <c r="B430" s="190" t="s">
        <v>65</v>
      </c>
      <c r="C430" s="190">
        <v>10</v>
      </c>
      <c r="D430" s="191">
        <v>12</v>
      </c>
      <c r="E430" s="192">
        <v>43799</v>
      </c>
      <c r="F430" s="24">
        <v>1342.6724925360531</v>
      </c>
      <c r="G430" s="24">
        <f>1116108/1000</f>
        <v>1116.1079999999999</v>
      </c>
      <c r="H430" s="193">
        <v>108.1</v>
      </c>
      <c r="I430" s="194">
        <v>93.6</v>
      </c>
      <c r="J430" s="193">
        <v>152.1</v>
      </c>
      <c r="K430" s="194">
        <v>126</v>
      </c>
      <c r="L430" s="195">
        <f t="shared" si="50"/>
        <v>0.74683283024462566</v>
      </c>
      <c r="M430" s="195">
        <f t="shared" si="51"/>
        <v>0.74607506232733645</v>
      </c>
      <c r="N430" s="195">
        <f t="shared" si="52"/>
        <v>0.18648229063000737</v>
      </c>
      <c r="O430" s="195">
        <f t="shared" si="53"/>
        <v>0.15501499999999999</v>
      </c>
      <c r="P430" s="195">
        <v>0.98499999999999999</v>
      </c>
      <c r="Q430" s="195">
        <v>0.98939999999999995</v>
      </c>
      <c r="R430" s="196">
        <v>0.99</v>
      </c>
      <c r="S430" s="197">
        <v>1</v>
      </c>
      <c r="T430" s="198">
        <v>1.4999999999999999E-2</v>
      </c>
      <c r="U430" s="197">
        <v>0</v>
      </c>
      <c r="V430" s="198">
        <v>0</v>
      </c>
      <c r="W430" s="197">
        <v>0</v>
      </c>
      <c r="X430" s="199">
        <f t="shared" si="54"/>
        <v>2.8561911273171647E-3</v>
      </c>
    </row>
    <row r="431" spans="1:24">
      <c r="A431" s="189" t="s">
        <v>14</v>
      </c>
      <c r="B431" s="190" t="s">
        <v>65</v>
      </c>
      <c r="C431" s="190">
        <v>10</v>
      </c>
      <c r="D431" s="191">
        <v>12</v>
      </c>
      <c r="E431" s="192">
        <v>43830</v>
      </c>
      <c r="F431" s="24">
        <v>1128.1734879500757</v>
      </c>
      <c r="G431" s="24">
        <f>792996/1000</f>
        <v>792.99599999999998</v>
      </c>
      <c r="H431" s="193">
        <v>89.9</v>
      </c>
      <c r="I431" s="194">
        <v>66.650000000000006</v>
      </c>
      <c r="J431" s="193">
        <v>129.6</v>
      </c>
      <c r="K431" s="194">
        <v>91.76</v>
      </c>
      <c r="L431" s="195">
        <f t="shared" si="50"/>
        <v>0.73646720349355277</v>
      </c>
      <c r="M431" s="195">
        <f t="shared" si="51"/>
        <v>0.76362229701765405</v>
      </c>
      <c r="N431" s="195">
        <f t="shared" si="52"/>
        <v>0.1516362214986661</v>
      </c>
      <c r="O431" s="195">
        <f t="shared" si="53"/>
        <v>0.10658548387096774</v>
      </c>
      <c r="P431" s="195">
        <v>0.98499999999999999</v>
      </c>
      <c r="Q431" s="195">
        <v>0.94310000000000005</v>
      </c>
      <c r="R431" s="196">
        <v>0.99</v>
      </c>
      <c r="S431" s="197">
        <v>0.99939999999999996</v>
      </c>
      <c r="T431" s="198">
        <v>1.4999999999999999E-2</v>
      </c>
      <c r="U431" s="197">
        <v>0</v>
      </c>
      <c r="V431" s="198">
        <v>0</v>
      </c>
      <c r="W431" s="197">
        <v>0</v>
      </c>
      <c r="X431" s="199">
        <f t="shared" si="54"/>
        <v>-5.1221604353234307E-3</v>
      </c>
    </row>
    <row r="432" spans="1:24">
      <c r="A432" s="189" t="s">
        <v>14</v>
      </c>
      <c r="B432" s="190" t="s">
        <v>65</v>
      </c>
      <c r="C432" s="190">
        <v>10</v>
      </c>
      <c r="D432" s="191">
        <v>12</v>
      </c>
      <c r="E432" s="192">
        <v>43861</v>
      </c>
      <c r="F432" s="24">
        <v>949.066819120785</v>
      </c>
      <c r="G432" s="24">
        <f>841440/1000</f>
        <v>841.44</v>
      </c>
      <c r="H432" s="193">
        <v>79.599999999999994</v>
      </c>
      <c r="I432" s="194">
        <v>72.989999999999995</v>
      </c>
      <c r="J432" s="193">
        <v>103.2</v>
      </c>
      <c r="K432" s="194">
        <v>95.66</v>
      </c>
      <c r="L432" s="195">
        <f t="shared" si="50"/>
        <v>0.77803586346947173</v>
      </c>
      <c r="M432" s="195">
        <f t="shared" si="51"/>
        <v>0.81319364710670761</v>
      </c>
      <c r="N432" s="195">
        <f t="shared" si="52"/>
        <v>0.12756274450548183</v>
      </c>
      <c r="O432" s="195">
        <f t="shared" si="53"/>
        <v>0.1130967741935484</v>
      </c>
      <c r="P432" s="195">
        <v>0.98499999999999999</v>
      </c>
      <c r="Q432" s="195">
        <v>0.90139999999999998</v>
      </c>
      <c r="R432" s="196">
        <v>0.99</v>
      </c>
      <c r="S432" s="197">
        <v>0.998</v>
      </c>
      <c r="T432" s="198">
        <v>1.4999999999999999E-2</v>
      </c>
      <c r="U432" s="197">
        <v>0</v>
      </c>
      <c r="V432" s="198">
        <v>0</v>
      </c>
      <c r="W432" s="197">
        <v>0</v>
      </c>
      <c r="X432" s="199">
        <f t="shared" si="54"/>
        <v>-4.0340768106755687E-2</v>
      </c>
    </row>
    <row r="433" spans="1:24">
      <c r="A433" s="189" t="s">
        <v>14</v>
      </c>
      <c r="B433" s="190" t="s">
        <v>65</v>
      </c>
      <c r="C433" s="190">
        <v>10</v>
      </c>
      <c r="D433" s="191">
        <v>12</v>
      </c>
      <c r="E433" s="192">
        <v>43890</v>
      </c>
      <c r="F433" s="24">
        <v>1246.0475366829828</v>
      </c>
      <c r="G433" s="24">
        <f>1288116/1000</f>
        <v>1288.116</v>
      </c>
      <c r="H433" s="193">
        <v>108.1</v>
      </c>
      <c r="I433" s="194">
        <v>113.97</v>
      </c>
      <c r="J433" s="193">
        <v>137.5</v>
      </c>
      <c r="K433" s="194">
        <v>144.41999999999999</v>
      </c>
      <c r="L433" s="195">
        <f t="shared" si="50"/>
        <v>0.7666805332613339</v>
      </c>
      <c r="M433" s="195">
        <f t="shared" si="51"/>
        <v>0.77351402877002651</v>
      </c>
      <c r="N433" s="195">
        <f t="shared" si="52"/>
        <v>0.17902981848893432</v>
      </c>
      <c r="O433" s="195">
        <f t="shared" si="53"/>
        <v>0.1850741379310345</v>
      </c>
      <c r="P433" s="195">
        <v>0.98499999999999999</v>
      </c>
      <c r="Q433" s="195">
        <v>0.96089999999999998</v>
      </c>
      <c r="R433" s="196">
        <v>0.99</v>
      </c>
      <c r="S433" s="197">
        <v>1</v>
      </c>
      <c r="T433" s="198">
        <v>1.4999999999999999E-2</v>
      </c>
      <c r="U433" s="197">
        <v>0</v>
      </c>
      <c r="V433" s="198">
        <v>0</v>
      </c>
      <c r="W433" s="197">
        <v>0</v>
      </c>
      <c r="X433" s="199">
        <f t="shared" si="54"/>
        <v>-1.6565749126812968E-2</v>
      </c>
    </row>
    <row r="434" spans="1:24">
      <c r="A434" s="189" t="s">
        <v>14</v>
      </c>
      <c r="B434" s="190" t="s">
        <v>65</v>
      </c>
      <c r="C434" s="190">
        <v>10</v>
      </c>
      <c r="D434" s="191">
        <v>12</v>
      </c>
      <c r="E434" s="192">
        <v>43921</v>
      </c>
      <c r="F434" s="24">
        <v>1671.0841599830092</v>
      </c>
      <c r="G434" s="24">
        <f>1557624/1000</f>
        <v>1557.624</v>
      </c>
      <c r="H434" s="193">
        <v>161.4</v>
      </c>
      <c r="I434" s="194">
        <v>153.18</v>
      </c>
      <c r="J434" s="193">
        <v>187.8</v>
      </c>
      <c r="K434" s="194">
        <v>172</v>
      </c>
      <c r="L434" s="195">
        <f t="shared" si="50"/>
        <v>0.75280978972077117</v>
      </c>
      <c r="M434" s="195">
        <f t="shared" si="51"/>
        <v>0.78774821575957665</v>
      </c>
      <c r="N434" s="195">
        <f t="shared" si="52"/>
        <v>0.22460808601922166</v>
      </c>
      <c r="O434" s="195">
        <f t="shared" si="53"/>
        <v>0.20935806451612904</v>
      </c>
      <c r="P434" s="195">
        <v>0.98499999999999999</v>
      </c>
      <c r="Q434" s="195">
        <v>0.95799999999999996</v>
      </c>
      <c r="R434" s="196">
        <v>0.99</v>
      </c>
      <c r="S434" s="197">
        <v>0.99939999999999996</v>
      </c>
      <c r="T434" s="198">
        <v>1.4999999999999999E-2</v>
      </c>
      <c r="U434" s="197">
        <v>0</v>
      </c>
      <c r="V434" s="198">
        <v>0</v>
      </c>
      <c r="W434" s="197">
        <v>0</v>
      </c>
      <c r="X434" s="199">
        <f t="shared" si="54"/>
        <v>1.6235917828554602E-2</v>
      </c>
    </row>
    <row r="435" spans="1:24">
      <c r="A435" s="189" t="s">
        <v>14</v>
      </c>
      <c r="B435" s="190" t="s">
        <v>65</v>
      </c>
      <c r="C435" s="190">
        <v>10</v>
      </c>
      <c r="D435" s="191">
        <v>12</v>
      </c>
      <c r="E435" s="192">
        <v>43951</v>
      </c>
      <c r="F435" s="24">
        <v>1728.3006285041661</v>
      </c>
      <c r="G435" s="24">
        <f>1542498/1000</f>
        <v>1542.498</v>
      </c>
      <c r="H435" s="193">
        <v>190.2</v>
      </c>
      <c r="I435" s="194">
        <v>177.6</v>
      </c>
      <c r="J435" s="193">
        <v>194</v>
      </c>
      <c r="K435" s="194">
        <v>179.1</v>
      </c>
      <c r="L435" s="195">
        <f t="shared" si="50"/>
        <v>0.75370271796194033</v>
      </c>
      <c r="M435" s="195">
        <f t="shared" si="51"/>
        <v>0.73168313219112646</v>
      </c>
      <c r="N435" s="195">
        <f t="shared" si="52"/>
        <v>0.24004175395891197</v>
      </c>
      <c r="O435" s="195">
        <f t="shared" si="53"/>
        <v>0.21423583333333335</v>
      </c>
      <c r="P435" s="195">
        <v>0.98499999999999999</v>
      </c>
      <c r="Q435" s="195">
        <v>0.98089999999999999</v>
      </c>
      <c r="R435" s="196">
        <v>0.99</v>
      </c>
      <c r="S435" s="197">
        <v>0.99880000000000002</v>
      </c>
      <c r="T435" s="198">
        <v>1.4999999999999999E-2</v>
      </c>
      <c r="U435" s="197">
        <v>0</v>
      </c>
      <c r="V435" s="198">
        <v>0</v>
      </c>
      <c r="W435" s="197">
        <v>0</v>
      </c>
      <c r="X435" s="199">
        <f t="shared" si="54"/>
        <v>-3.0701842229884369E-2</v>
      </c>
    </row>
    <row r="436" spans="1:24">
      <c r="A436" s="189" t="s">
        <v>14</v>
      </c>
      <c r="B436" s="190" t="s">
        <v>65</v>
      </c>
      <c r="C436" s="190">
        <v>10</v>
      </c>
      <c r="D436" s="191">
        <v>12</v>
      </c>
      <c r="E436" s="192">
        <v>43982</v>
      </c>
      <c r="F436" s="24">
        <v>1751.0055763300224</v>
      </c>
      <c r="G436" s="24">
        <f>1565664/1000</f>
        <v>1565.664</v>
      </c>
      <c r="H436" s="193">
        <v>197</v>
      </c>
      <c r="I436" s="194">
        <v>193.75</v>
      </c>
      <c r="J436" s="193">
        <v>197.7</v>
      </c>
      <c r="K436" s="194">
        <v>190.65</v>
      </c>
      <c r="L436" s="195">
        <f t="shared" si="50"/>
        <v>0.74931320007926294</v>
      </c>
      <c r="M436" s="195">
        <f t="shared" si="51"/>
        <v>0.70602860559810354</v>
      </c>
      <c r="N436" s="195">
        <f t="shared" si="52"/>
        <v>0.23535021187231484</v>
      </c>
      <c r="O436" s="195">
        <f t="shared" si="53"/>
        <v>0.21043870967741934</v>
      </c>
      <c r="P436" s="195">
        <v>0.98499999999999999</v>
      </c>
      <c r="Q436" s="195">
        <v>0.96930000000000005</v>
      </c>
      <c r="R436" s="196">
        <v>0.99</v>
      </c>
      <c r="S436" s="197">
        <v>0.99729999999999996</v>
      </c>
      <c r="T436" s="198">
        <v>1.4999999999999999E-2</v>
      </c>
      <c r="U436" s="197">
        <v>0</v>
      </c>
      <c r="V436" s="198">
        <v>0</v>
      </c>
      <c r="W436" s="197">
        <v>0</v>
      </c>
      <c r="X436" s="199">
        <f t="shared" si="54"/>
        <v>-7.0188558914705435E-2</v>
      </c>
    </row>
    <row r="437" spans="1:24">
      <c r="A437" s="189" t="s">
        <v>14</v>
      </c>
      <c r="B437" s="190" t="s">
        <v>65</v>
      </c>
      <c r="C437" s="190">
        <v>10</v>
      </c>
      <c r="D437" s="191">
        <v>12</v>
      </c>
      <c r="E437" s="192">
        <v>44012</v>
      </c>
      <c r="F437" s="24">
        <v>1572.0905874622765</v>
      </c>
      <c r="G437" s="24">
        <f>1639872/1000</f>
        <v>1639.8720000000001</v>
      </c>
      <c r="H437" s="193">
        <v>178.9</v>
      </c>
      <c r="I437" s="194">
        <v>188.28</v>
      </c>
      <c r="J437" s="193">
        <v>177.2</v>
      </c>
      <c r="K437" s="194">
        <v>184.28</v>
      </c>
      <c r="L437" s="195">
        <f t="shared" si="50"/>
        <v>0.75057893776391771</v>
      </c>
      <c r="M437" s="195">
        <f t="shared" si="51"/>
        <v>0.75933563421839667</v>
      </c>
      <c r="N437" s="195">
        <f t="shared" si="52"/>
        <v>0.21834591492531619</v>
      </c>
      <c r="O437" s="195">
        <f t="shared" si="53"/>
        <v>0.22776000000000002</v>
      </c>
      <c r="P437" s="195">
        <v>0.98499999999999999</v>
      </c>
      <c r="Q437" s="195">
        <v>0.97660000000000002</v>
      </c>
      <c r="R437" s="196">
        <v>0.99</v>
      </c>
      <c r="S437" s="197">
        <v>0.99850000000000005</v>
      </c>
      <c r="T437" s="198">
        <v>1.4999999999999999E-2</v>
      </c>
      <c r="U437" s="197">
        <v>0</v>
      </c>
      <c r="V437" s="198">
        <v>0</v>
      </c>
      <c r="W437" s="197">
        <v>0</v>
      </c>
      <c r="X437" s="199">
        <f t="shared" si="54"/>
        <v>3.1606090789004782E-3</v>
      </c>
    </row>
    <row r="438" spans="1:24">
      <c r="A438" s="189" t="s">
        <v>14</v>
      </c>
      <c r="B438" s="190" t="s">
        <v>65</v>
      </c>
      <c r="C438" s="190">
        <v>10</v>
      </c>
      <c r="D438" s="191">
        <v>12</v>
      </c>
      <c r="E438" s="192">
        <v>44043</v>
      </c>
      <c r="F438" s="24">
        <v>1391.3592027684617</v>
      </c>
      <c r="G438" s="24">
        <f>1408782/1000</f>
        <v>1408.7819999999999</v>
      </c>
      <c r="H438" s="193">
        <v>155.5</v>
      </c>
      <c r="I438" s="194">
        <v>155.22</v>
      </c>
      <c r="J438" s="193">
        <v>154.6</v>
      </c>
      <c r="K438" s="194">
        <v>153.15</v>
      </c>
      <c r="L438" s="195">
        <f t="shared" si="50"/>
        <v>0.76139899416673884</v>
      </c>
      <c r="M438" s="195">
        <f t="shared" si="51"/>
        <v>0.79741904624406912</v>
      </c>
      <c r="N438" s="195">
        <f t="shared" si="52"/>
        <v>0.18701064553339539</v>
      </c>
      <c r="O438" s="195">
        <f t="shared" si="53"/>
        <v>0.18935241935483871</v>
      </c>
      <c r="P438" s="195">
        <v>0.98499999999999999</v>
      </c>
      <c r="Q438" s="195">
        <v>0.96130000000000004</v>
      </c>
      <c r="R438" s="196">
        <v>0.99</v>
      </c>
      <c r="S438" s="197">
        <v>0.98670000000000002</v>
      </c>
      <c r="T438" s="198">
        <v>1.4999999999999999E-2</v>
      </c>
      <c r="U438" s="197">
        <v>0</v>
      </c>
      <c r="V438" s="198">
        <v>0</v>
      </c>
      <c r="W438" s="197">
        <v>0</v>
      </c>
      <c r="X438" s="199">
        <f t="shared" si="54"/>
        <v>2.1901184490625614E-2</v>
      </c>
    </row>
    <row r="439" spans="1:24">
      <c r="A439" s="189" t="s">
        <v>14</v>
      </c>
      <c r="B439" s="190" t="s">
        <v>65</v>
      </c>
      <c r="C439" s="190">
        <v>10</v>
      </c>
      <c r="D439" s="191">
        <v>12</v>
      </c>
      <c r="E439" s="192">
        <v>44074</v>
      </c>
      <c r="F439" s="24">
        <v>1321.4279634648249</v>
      </c>
      <c r="G439" s="24">
        <v>1109.106</v>
      </c>
      <c r="H439" s="193">
        <v>145.4</v>
      </c>
      <c r="I439" s="194">
        <v>135.4</v>
      </c>
      <c r="J439" s="193">
        <v>146.30000000000001</v>
      </c>
      <c r="K439" s="194">
        <v>135.54</v>
      </c>
      <c r="L439" s="195">
        <f t="shared" si="50"/>
        <v>0.76415540666665782</v>
      </c>
      <c r="M439" s="195">
        <f t="shared" si="51"/>
        <v>0.79717759000627531</v>
      </c>
      <c r="N439" s="195">
        <f t="shared" si="52"/>
        <v>0.17761128541193882</v>
      </c>
      <c r="O439" s="195">
        <f t="shared" si="53"/>
        <v>0.1490733870967742</v>
      </c>
      <c r="P439" s="195">
        <v>0.98499999999999999</v>
      </c>
      <c r="Q439" s="195">
        <v>0.85540000000000005</v>
      </c>
      <c r="R439" s="196">
        <v>0.99</v>
      </c>
      <c r="S439" s="197">
        <v>0.99880000000000002</v>
      </c>
      <c r="T439" s="198">
        <v>1.4999999999999999E-2</v>
      </c>
      <c r="U439" s="197">
        <v>0</v>
      </c>
      <c r="V439" s="198">
        <v>0</v>
      </c>
      <c r="W439" s="197">
        <v>0</v>
      </c>
      <c r="X439" s="199">
        <f t="shared" si="54"/>
        <v>-8.7128649257408153E-2</v>
      </c>
    </row>
    <row r="440" spans="1:24">
      <c r="A440" s="189" t="s">
        <v>14</v>
      </c>
      <c r="B440" s="190" t="s">
        <v>65</v>
      </c>
      <c r="C440" s="190">
        <v>10</v>
      </c>
      <c r="D440" s="191">
        <v>12</v>
      </c>
      <c r="E440" s="192">
        <v>44104</v>
      </c>
      <c r="F440" s="24">
        <v>1316.8869738996539</v>
      </c>
      <c r="G440" s="24">
        <f>1352820/1000</f>
        <v>1352.82</v>
      </c>
      <c r="H440" s="193">
        <v>141.6</v>
      </c>
      <c r="I440" s="194">
        <v>145.79</v>
      </c>
      <c r="J440" s="193">
        <v>145.5</v>
      </c>
      <c r="K440" s="194">
        <v>154.88999999999999</v>
      </c>
      <c r="L440" s="195">
        <f t="shared" si="50"/>
        <v>0.76571654653691623</v>
      </c>
      <c r="M440" s="195">
        <f t="shared" si="51"/>
        <v>0.76038352656457031</v>
      </c>
      <c r="N440" s="195">
        <f t="shared" si="52"/>
        <v>0.18290096859717414</v>
      </c>
      <c r="O440" s="195">
        <f t="shared" si="53"/>
        <v>0.18789166666666665</v>
      </c>
      <c r="P440" s="195">
        <v>0.98499999999999999</v>
      </c>
      <c r="Q440" s="195">
        <v>0.95720000000000005</v>
      </c>
      <c r="R440" s="196">
        <v>0.99</v>
      </c>
      <c r="S440" s="197">
        <v>0.99739999999999995</v>
      </c>
      <c r="T440" s="198">
        <v>1.4999999999999999E-2</v>
      </c>
      <c r="U440" s="197">
        <v>0</v>
      </c>
      <c r="V440" s="198">
        <v>0</v>
      </c>
      <c r="W440" s="197">
        <v>0</v>
      </c>
      <c r="X440" s="199">
        <f t="shared" si="54"/>
        <v>-3.7249742178871781E-2</v>
      </c>
    </row>
    <row r="441" spans="1:24">
      <c r="A441" s="189" t="s">
        <v>14</v>
      </c>
      <c r="B441" s="190" t="s">
        <v>65</v>
      </c>
      <c r="C441" s="190">
        <v>10</v>
      </c>
      <c r="D441" s="191">
        <v>12</v>
      </c>
      <c r="E441" s="192">
        <v>44135</v>
      </c>
      <c r="F441" s="24">
        <v>1509.4249314629135</v>
      </c>
      <c r="G441" s="24">
        <f>1466598/1000</f>
        <v>1466.598</v>
      </c>
      <c r="H441" s="193">
        <v>139.1</v>
      </c>
      <c r="I441" s="194">
        <v>139.43</v>
      </c>
      <c r="J441" s="193">
        <v>172.2</v>
      </c>
      <c r="K441" s="194">
        <v>173.46</v>
      </c>
      <c r="L441" s="195">
        <f t="shared" si="50"/>
        <v>0.74158492931276232</v>
      </c>
      <c r="M441" s="195">
        <f t="shared" si="51"/>
        <v>0.70733892852017932</v>
      </c>
      <c r="N441" s="195">
        <f t="shared" si="52"/>
        <v>0.20287969508910128</v>
      </c>
      <c r="O441" s="195">
        <f t="shared" si="53"/>
        <v>0.19712338709677418</v>
      </c>
      <c r="P441" s="195">
        <v>0.98499999999999999</v>
      </c>
      <c r="Q441" s="195">
        <v>0.99609999999999999</v>
      </c>
      <c r="R441" s="196">
        <v>0.99</v>
      </c>
      <c r="S441" s="197">
        <v>1</v>
      </c>
      <c r="T441" s="198">
        <v>1.4999999999999999E-2</v>
      </c>
      <c r="U441" s="197">
        <v>0</v>
      </c>
      <c r="V441" s="198">
        <v>0</v>
      </c>
      <c r="W441" s="197">
        <v>0</v>
      </c>
      <c r="X441" s="199">
        <f t="shared" si="54"/>
        <v>-3.5690085017969664E-2</v>
      </c>
    </row>
    <row r="442" spans="1:24">
      <c r="A442" s="189" t="s">
        <v>14</v>
      </c>
      <c r="B442" s="190" t="s">
        <v>65</v>
      </c>
      <c r="C442" s="190">
        <v>10</v>
      </c>
      <c r="D442" s="191">
        <v>12</v>
      </c>
      <c r="E442" s="192">
        <v>44165</v>
      </c>
      <c r="F442" s="24">
        <v>1335.9591300733728</v>
      </c>
      <c r="G442" s="24">
        <f>1147902/1000</f>
        <v>1147.902</v>
      </c>
      <c r="H442" s="193">
        <v>108.1</v>
      </c>
      <c r="I442" s="194">
        <v>101.92</v>
      </c>
      <c r="J442" s="193">
        <v>152.1</v>
      </c>
      <c r="K442" s="194">
        <v>143.38999999999999</v>
      </c>
      <c r="L442" s="195">
        <f t="shared" si="50"/>
        <v>0.74309866609340236</v>
      </c>
      <c r="M442" s="195">
        <f t="shared" si="51"/>
        <v>0.6901729134643938</v>
      </c>
      <c r="N442" s="195">
        <f t="shared" si="52"/>
        <v>0.18554987917685734</v>
      </c>
      <c r="O442" s="195">
        <f t="shared" si="53"/>
        <v>0.15943083333333335</v>
      </c>
      <c r="P442" s="195">
        <v>0.98499999999999999</v>
      </c>
      <c r="Q442" s="195">
        <v>0.96660000000000001</v>
      </c>
      <c r="R442" s="196">
        <v>0.99</v>
      </c>
      <c r="S442" s="197">
        <v>0.99629999999999996</v>
      </c>
      <c r="T442" s="198">
        <v>1.4999999999999999E-2</v>
      </c>
      <c r="U442" s="197">
        <v>0</v>
      </c>
      <c r="V442" s="198">
        <v>0</v>
      </c>
      <c r="W442" s="197">
        <v>0</v>
      </c>
      <c r="X442" s="199">
        <f t="shared" si="54"/>
        <v>-8.3500673838626249E-2</v>
      </c>
    </row>
    <row r="443" spans="1:24">
      <c r="A443" s="189" t="s">
        <v>14</v>
      </c>
      <c r="B443" s="190" t="s">
        <v>65</v>
      </c>
      <c r="C443" s="190">
        <v>10</v>
      </c>
      <c r="D443" s="191">
        <v>12</v>
      </c>
      <c r="E443" s="192">
        <v>44196</v>
      </c>
      <c r="F443" s="24">
        <v>1122.5326205103258</v>
      </c>
      <c r="G443" s="24">
        <f>992136/1000</f>
        <v>992.13599999999997</v>
      </c>
      <c r="H443" s="193">
        <v>89.9</v>
      </c>
      <c r="I443" s="194">
        <v>82.35</v>
      </c>
      <c r="J443" s="193">
        <v>129.6</v>
      </c>
      <c r="K443" s="194">
        <v>118.73</v>
      </c>
      <c r="L443" s="195">
        <f t="shared" si="50"/>
        <v>0.7327848674760854</v>
      </c>
      <c r="M443" s="195">
        <f t="shared" si="51"/>
        <v>0.70232281390896134</v>
      </c>
      <c r="N443" s="195">
        <f t="shared" si="52"/>
        <v>0.15087804039117284</v>
      </c>
      <c r="O443" s="195">
        <f t="shared" si="53"/>
        <v>0.13335161290322578</v>
      </c>
      <c r="P443" s="195">
        <v>0.98499999999999999</v>
      </c>
      <c r="Q443" s="195">
        <v>0.99150000000000005</v>
      </c>
      <c r="R443" s="196">
        <v>0.99</v>
      </c>
      <c r="S443" s="197">
        <v>0.99790000000000001</v>
      </c>
      <c r="T443" s="198">
        <v>1.4999999999999999E-2</v>
      </c>
      <c r="U443" s="197">
        <v>0</v>
      </c>
      <c r="V443" s="198">
        <v>0</v>
      </c>
      <c r="W443" s="197">
        <v>0</v>
      </c>
      <c r="X443" s="199">
        <f t="shared" si="54"/>
        <v>-3.2289421800473783E-2</v>
      </c>
    </row>
    <row r="444" spans="1:24">
      <c r="A444" s="189" t="s">
        <v>14</v>
      </c>
      <c r="B444" s="190" t="s">
        <v>65</v>
      </c>
      <c r="C444" s="190">
        <v>10</v>
      </c>
      <c r="D444" s="191">
        <v>12</v>
      </c>
      <c r="E444" s="192">
        <v>44227</v>
      </c>
      <c r="F444" s="24">
        <v>944.32148502518123</v>
      </c>
      <c r="G444" s="24">
        <v>786.84</v>
      </c>
      <c r="H444" s="193">
        <v>79.599999999999994</v>
      </c>
      <c r="I444" s="194">
        <v>70.179999999999993</v>
      </c>
      <c r="J444" s="193">
        <v>103.2</v>
      </c>
      <c r="K444" s="194">
        <v>90.98</v>
      </c>
      <c r="L444" s="195">
        <f t="shared" si="50"/>
        <v>0.7741456841521247</v>
      </c>
      <c r="M444" s="195">
        <f t="shared" si="51"/>
        <v>0.72717974763258475</v>
      </c>
      <c r="N444" s="195">
        <f t="shared" si="52"/>
        <v>0.12692493078295447</v>
      </c>
      <c r="O444" s="195">
        <f t="shared" si="53"/>
        <v>0.10575806451612904</v>
      </c>
      <c r="P444" s="195">
        <v>0.98499999999999999</v>
      </c>
      <c r="Q444" s="195">
        <v>0.99109999999999998</v>
      </c>
      <c r="R444" s="196">
        <v>0.99</v>
      </c>
      <c r="S444" s="197">
        <v>1</v>
      </c>
      <c r="T444" s="198">
        <v>1.4999999999999999E-2</v>
      </c>
      <c r="U444" s="197">
        <v>0</v>
      </c>
      <c r="V444" s="198">
        <v>0</v>
      </c>
      <c r="W444" s="197">
        <v>0</v>
      </c>
      <c r="X444" s="199">
        <f t="shared" si="54"/>
        <v>-4.8355960837592304E-2</v>
      </c>
    </row>
    <row r="445" spans="1:24">
      <c r="A445" s="189" t="s">
        <v>14</v>
      </c>
      <c r="B445" s="190" t="s">
        <v>65</v>
      </c>
      <c r="C445" s="190">
        <v>10</v>
      </c>
      <c r="D445" s="191">
        <v>12</v>
      </c>
      <c r="E445" s="192">
        <v>44255</v>
      </c>
      <c r="F445" s="24">
        <v>1239.8172989995678</v>
      </c>
      <c r="G445" s="24">
        <v>1097.67</v>
      </c>
      <c r="H445" s="193">
        <v>108.1</v>
      </c>
      <c r="I445" s="194">
        <v>105.23</v>
      </c>
      <c r="J445" s="193">
        <v>137.5</v>
      </c>
      <c r="K445" s="194">
        <v>139.1</v>
      </c>
      <c r="L445" s="195">
        <f t="shared" si="50"/>
        <v>0.76284713059502718</v>
      </c>
      <c r="M445" s="195">
        <f t="shared" si="51"/>
        <v>0.75241476644333027</v>
      </c>
      <c r="N445" s="195">
        <f t="shared" si="52"/>
        <v>0.18449662187493571</v>
      </c>
      <c r="O445" s="195">
        <f t="shared" si="53"/>
        <v>0.16334375000000001</v>
      </c>
      <c r="P445" s="195">
        <v>0.98499999999999999</v>
      </c>
      <c r="Q445" s="195">
        <v>0.8739892857142858</v>
      </c>
      <c r="R445" s="196">
        <v>0.99</v>
      </c>
      <c r="S445" s="197">
        <v>1</v>
      </c>
      <c r="T445" s="198">
        <v>1.4999999999999999E-2</v>
      </c>
      <c r="U445" s="197">
        <v>0</v>
      </c>
      <c r="V445" s="198">
        <v>0</v>
      </c>
      <c r="W445" s="197">
        <v>0</v>
      </c>
      <c r="X445" s="199">
        <f t="shared" si="54"/>
        <v>-0.12628817492684097</v>
      </c>
    </row>
    <row r="446" spans="1:24">
      <c r="A446" s="189" t="s">
        <v>14</v>
      </c>
      <c r="B446" s="190" t="s">
        <v>65</v>
      </c>
      <c r="C446" s="190">
        <v>10</v>
      </c>
      <c r="D446" s="191">
        <v>12</v>
      </c>
      <c r="E446" s="192">
        <v>44286</v>
      </c>
      <c r="F446" s="24">
        <v>1662.7287391830941</v>
      </c>
      <c r="G446" s="24">
        <v>1511.85</v>
      </c>
      <c r="H446" s="193">
        <v>161.4</v>
      </c>
      <c r="I446" s="194">
        <v>152.74999999999997</v>
      </c>
      <c r="J446" s="193">
        <v>187.8</v>
      </c>
      <c r="K446" s="194">
        <v>177.18000000000004</v>
      </c>
      <c r="L446" s="195">
        <f t="shared" si="50"/>
        <v>0.74904574077216735</v>
      </c>
      <c r="M446" s="195">
        <f t="shared" si="51"/>
        <v>0.72919226654315883</v>
      </c>
      <c r="N446" s="195">
        <f t="shared" si="52"/>
        <v>0.22348504558912557</v>
      </c>
      <c r="O446" s="195">
        <f t="shared" si="53"/>
        <v>0.20320564516129033</v>
      </c>
      <c r="P446" s="195">
        <v>0.98499999999999999</v>
      </c>
      <c r="Q446" s="195">
        <v>0.97514838709677432</v>
      </c>
      <c r="R446" s="196">
        <v>0.99</v>
      </c>
      <c r="S446" s="197">
        <v>1</v>
      </c>
      <c r="T446" s="198">
        <v>1.4999999999999999E-2</v>
      </c>
      <c r="U446" s="197">
        <v>0</v>
      </c>
      <c r="V446" s="198">
        <v>0</v>
      </c>
      <c r="W446" s="197">
        <v>0</v>
      </c>
      <c r="X446" s="199">
        <f t="shared" si="54"/>
        <v>-3.4192123151176923E-2</v>
      </c>
    </row>
    <row r="447" spans="1:24">
      <c r="A447" s="189" t="s">
        <v>14</v>
      </c>
      <c r="B447" s="190" t="s">
        <v>65</v>
      </c>
      <c r="C447" s="190">
        <v>10</v>
      </c>
      <c r="D447" s="191">
        <v>12</v>
      </c>
      <c r="E447" s="192">
        <v>44316</v>
      </c>
      <c r="F447" s="24">
        <v>1719.6591253616455</v>
      </c>
      <c r="G447" s="24">
        <v>1544.34</v>
      </c>
      <c r="H447" s="193">
        <v>190.2</v>
      </c>
      <c r="I447" s="194">
        <v>180.36999999999998</v>
      </c>
      <c r="J447" s="193">
        <v>194</v>
      </c>
      <c r="K447" s="194">
        <v>183.48999999999998</v>
      </c>
      <c r="L447" s="195">
        <f t="shared" si="50"/>
        <v>0.74993420437213076</v>
      </c>
      <c r="M447" s="195">
        <f t="shared" si="51"/>
        <v>0.7228979175852277</v>
      </c>
      <c r="N447" s="195">
        <f t="shared" si="52"/>
        <v>0.23884154518911743</v>
      </c>
      <c r="O447" s="195">
        <f t="shared" si="53"/>
        <v>0.21449166666666666</v>
      </c>
      <c r="P447" s="195">
        <v>0.98499999999999999</v>
      </c>
      <c r="Q447" s="195">
        <v>0.97022464000000008</v>
      </c>
      <c r="R447" s="196">
        <v>0.99</v>
      </c>
      <c r="S447" s="197">
        <v>0.98560000000000003</v>
      </c>
      <c r="T447" s="198">
        <v>1.4999999999999999E-2</v>
      </c>
      <c r="U447" s="197">
        <v>2.4238969287494694E-2</v>
      </c>
      <c r="V447" s="198">
        <v>0</v>
      </c>
      <c r="W447" s="197">
        <v>0</v>
      </c>
      <c r="X447" s="199">
        <f t="shared" si="54"/>
        <v>-4.7774671051035167E-2</v>
      </c>
    </row>
    <row r="448" spans="1:24">
      <c r="A448" s="189" t="s">
        <v>14</v>
      </c>
      <c r="B448" s="190" t="s">
        <v>65</v>
      </c>
      <c r="C448" s="190">
        <v>10</v>
      </c>
      <c r="D448" s="191">
        <v>12</v>
      </c>
      <c r="E448" s="192">
        <v>44347</v>
      </c>
      <c r="F448" s="24">
        <v>1742.2505484483725</v>
      </c>
      <c r="G448" s="24">
        <v>1471.3920000000001</v>
      </c>
      <c r="H448" s="193">
        <v>197</v>
      </c>
      <c r="I448" s="194">
        <v>177.45000000000007</v>
      </c>
      <c r="J448" s="193">
        <v>197.7</v>
      </c>
      <c r="K448" s="194">
        <v>177.23</v>
      </c>
      <c r="L448" s="195">
        <f t="shared" si="50"/>
        <v>0.74556663407886659</v>
      </c>
      <c r="M448" s="195">
        <f t="shared" si="51"/>
        <v>0.72818308894546557</v>
      </c>
      <c r="N448" s="195">
        <f t="shared" si="52"/>
        <v>0.23417346081295326</v>
      </c>
      <c r="O448" s="195">
        <f t="shared" si="53"/>
        <v>0.19776774193548388</v>
      </c>
      <c r="P448" s="195">
        <v>0.98499999999999999</v>
      </c>
      <c r="Q448" s="195">
        <v>0.95009999999999994</v>
      </c>
      <c r="R448" s="196">
        <v>0.99</v>
      </c>
      <c r="S448" s="197">
        <v>1</v>
      </c>
      <c r="T448" s="198">
        <v>1.4999999999999999E-2</v>
      </c>
      <c r="U448" s="197">
        <v>1.6306045439805256E-2</v>
      </c>
      <c r="V448" s="198">
        <v>0</v>
      </c>
      <c r="W448" s="197">
        <v>0</v>
      </c>
      <c r="X448" s="199">
        <f t="shared" si="54"/>
        <v>-5.1924033172917272E-2</v>
      </c>
    </row>
    <row r="449" spans="1:24">
      <c r="A449" s="189" t="s">
        <v>14</v>
      </c>
      <c r="B449" s="190" t="s">
        <v>65</v>
      </c>
      <c r="C449" s="190">
        <v>10</v>
      </c>
      <c r="D449" s="191">
        <v>12</v>
      </c>
      <c r="E449" s="192">
        <v>44377</v>
      </c>
      <c r="F449" s="24">
        <v>1564.230134524965</v>
      </c>
      <c r="G449" s="24">
        <v>1603.41</v>
      </c>
      <c r="H449" s="193">
        <v>178.9</v>
      </c>
      <c r="I449" s="194">
        <v>183.81</v>
      </c>
      <c r="J449" s="193">
        <v>177.2</v>
      </c>
      <c r="K449" s="194">
        <v>180.86</v>
      </c>
      <c r="L449" s="195">
        <f t="shared" si="50"/>
        <v>0.74682604307509803</v>
      </c>
      <c r="M449" s="195">
        <f t="shared" si="51"/>
        <v>0.74354838120890654</v>
      </c>
      <c r="N449" s="195">
        <f t="shared" si="52"/>
        <v>0.21725418535068958</v>
      </c>
      <c r="O449" s="195">
        <f t="shared" si="53"/>
        <v>0.22269583333333337</v>
      </c>
      <c r="P449" s="195">
        <v>0.98499999999999999</v>
      </c>
      <c r="Q449" s="195">
        <v>0.99360000000000004</v>
      </c>
      <c r="R449" s="196">
        <v>0.99</v>
      </c>
      <c r="S449" s="197">
        <v>1</v>
      </c>
      <c r="T449" s="198">
        <v>1.4999999999999999E-2</v>
      </c>
      <c r="U449" s="197">
        <v>1.95E-2</v>
      </c>
      <c r="V449" s="198">
        <v>0</v>
      </c>
      <c r="W449" s="197">
        <v>0</v>
      </c>
      <c r="X449" s="199">
        <f t="shared" si="54"/>
        <v>4.3927517496913371E-3</v>
      </c>
    </row>
    <row r="450" spans="1:24">
      <c r="A450" s="189" t="s">
        <v>14</v>
      </c>
      <c r="B450" s="190" t="s">
        <v>65</v>
      </c>
      <c r="C450" s="190">
        <v>10</v>
      </c>
      <c r="D450" s="191">
        <v>12</v>
      </c>
      <c r="E450" s="192">
        <v>44408</v>
      </c>
      <c r="F450" s="24">
        <v>1384.4024067546195</v>
      </c>
      <c r="G450" s="24">
        <v>1266.384</v>
      </c>
      <c r="H450" s="193">
        <v>155.5</v>
      </c>
      <c r="I450" s="194">
        <v>145.43</v>
      </c>
      <c r="J450" s="193">
        <v>154.6</v>
      </c>
      <c r="K450" s="194">
        <v>143.36000000000001</v>
      </c>
      <c r="L450" s="195">
        <f t="shared" si="50"/>
        <v>0.75759199919590525</v>
      </c>
      <c r="M450" s="195">
        <f t="shared" si="51"/>
        <v>0.79180706611312146</v>
      </c>
      <c r="N450" s="195">
        <f t="shared" si="52"/>
        <v>0.18607559230572843</v>
      </c>
      <c r="O450" s="195">
        <f t="shared" si="53"/>
        <v>0.17021290322580646</v>
      </c>
      <c r="P450" s="195">
        <v>0.98499999999999999</v>
      </c>
      <c r="Q450" s="195">
        <v>0.9296870967741937</v>
      </c>
      <c r="R450" s="196">
        <v>0.99</v>
      </c>
      <c r="S450" s="197">
        <v>1</v>
      </c>
      <c r="T450" s="198">
        <v>1.4999999999999999E-2</v>
      </c>
      <c r="U450" s="197">
        <v>8.3000000000000001E-3</v>
      </c>
      <c r="V450" s="198">
        <v>0</v>
      </c>
      <c r="W450" s="197">
        <v>0</v>
      </c>
      <c r="X450" s="199">
        <f t="shared" si="54"/>
        <v>-1.2544877090008844E-2</v>
      </c>
    </row>
    <row r="451" spans="1:24">
      <c r="A451" s="189" t="s">
        <v>14</v>
      </c>
      <c r="B451" s="190" t="s">
        <v>65</v>
      </c>
      <c r="C451" s="190">
        <v>10</v>
      </c>
      <c r="D451" s="191">
        <v>12</v>
      </c>
      <c r="E451" s="192">
        <v>44439</v>
      </c>
      <c r="F451" s="24">
        <v>1314.8208236475007</v>
      </c>
      <c r="G451" s="24">
        <v>1290.018</v>
      </c>
      <c r="H451" s="193">
        <v>145.4</v>
      </c>
      <c r="I451" s="194">
        <v>140.93999999999997</v>
      </c>
      <c r="J451" s="193">
        <v>146.30000000000001</v>
      </c>
      <c r="K451" s="194">
        <v>141.97200000000001</v>
      </c>
      <c r="L451" s="195">
        <f t="shared" si="50"/>
        <v>0.76033462963332454</v>
      </c>
      <c r="M451" s="195">
        <f t="shared" si="51"/>
        <v>0.76831620238819676</v>
      </c>
      <c r="N451" s="195">
        <f t="shared" si="52"/>
        <v>0.17672322898487913</v>
      </c>
      <c r="O451" s="195">
        <f t="shared" si="53"/>
        <v>0.17338951612903225</v>
      </c>
      <c r="P451" s="195">
        <v>0.98499999999999999</v>
      </c>
      <c r="Q451" s="195">
        <v>0.98553450000000009</v>
      </c>
      <c r="R451" s="196">
        <v>0.99</v>
      </c>
      <c r="S451" s="197">
        <v>0.997</v>
      </c>
      <c r="T451" s="198">
        <v>1.4999999999999999E-2</v>
      </c>
      <c r="U451" s="197">
        <v>8.0999999999999996E-3</v>
      </c>
      <c r="V451" s="198">
        <v>0</v>
      </c>
      <c r="W451" s="197">
        <v>0</v>
      </c>
      <c r="X451" s="199">
        <f t="shared" si="54"/>
        <v>1.0719015347025351E-2</v>
      </c>
    </row>
    <row r="452" spans="1:24">
      <c r="A452" s="189" t="s">
        <v>14</v>
      </c>
      <c r="B452" s="190" t="s">
        <v>65</v>
      </c>
      <c r="C452" s="190">
        <v>10</v>
      </c>
      <c r="D452" s="191">
        <v>12</v>
      </c>
      <c r="E452" s="192">
        <v>44469</v>
      </c>
      <c r="F452" s="24">
        <v>1310.3025390301557</v>
      </c>
      <c r="G452" s="24">
        <v>1217.454</v>
      </c>
      <c r="H452" s="193">
        <v>141.6</v>
      </c>
      <c r="I452" s="194">
        <v>129.89999999999998</v>
      </c>
      <c r="J452" s="193">
        <v>145.5</v>
      </c>
      <c r="K452" s="194">
        <v>139.48999999999998</v>
      </c>
      <c r="L452" s="195">
        <f t="shared" si="50"/>
        <v>0.76188796380423174</v>
      </c>
      <c r="M452" s="195">
        <f t="shared" si="51"/>
        <v>0.73665088076062246</v>
      </c>
      <c r="N452" s="195">
        <f t="shared" si="52"/>
        <v>0.18198646375418831</v>
      </c>
      <c r="O452" s="195">
        <f t="shared" si="53"/>
        <v>0.16909083333333333</v>
      </c>
      <c r="P452" s="195">
        <v>0.98499999999999999</v>
      </c>
      <c r="Q452" s="195">
        <v>0.98733953679999997</v>
      </c>
      <c r="R452" s="196">
        <v>0.99</v>
      </c>
      <c r="S452" s="197">
        <v>0.9988866666666667</v>
      </c>
      <c r="T452" s="198">
        <v>1.4999999999999999E-2</v>
      </c>
      <c r="U452" s="197">
        <v>4.1999999999999997E-3</v>
      </c>
      <c r="V452" s="198">
        <v>0</v>
      </c>
      <c r="W452" s="197">
        <v>0</v>
      </c>
      <c r="X452" s="199">
        <f t="shared" si="54"/>
        <v>-2.9554540517414463E-2</v>
      </c>
    </row>
    <row r="453" spans="1:24">
      <c r="A453" s="189" t="s">
        <v>14</v>
      </c>
      <c r="B453" s="190" t="s">
        <v>65</v>
      </c>
      <c r="C453" s="190">
        <v>10</v>
      </c>
      <c r="D453" s="191">
        <v>12</v>
      </c>
      <c r="E453" s="192">
        <v>44500</v>
      </c>
      <c r="F453" s="24">
        <v>1501.877806805599</v>
      </c>
      <c r="G453" s="24">
        <v>1394.232</v>
      </c>
      <c r="H453" s="193">
        <v>139.1</v>
      </c>
      <c r="I453" s="194">
        <v>127.04000000000002</v>
      </c>
      <c r="J453" s="193">
        <v>172.2</v>
      </c>
      <c r="K453" s="194">
        <v>159.08000000000004</v>
      </c>
      <c r="L453" s="195">
        <f t="shared" si="50"/>
        <v>0.73787700466619854</v>
      </c>
      <c r="M453" s="195">
        <f t="shared" si="51"/>
        <v>0.74510243601193471</v>
      </c>
      <c r="N453" s="195">
        <f t="shared" si="52"/>
        <v>0.20186529661365576</v>
      </c>
      <c r="O453" s="195">
        <f t="shared" si="53"/>
        <v>0.18739677419354836</v>
      </c>
      <c r="P453" s="195">
        <v>0.98499999999999999</v>
      </c>
      <c r="Q453" s="195">
        <v>0.98021700999999994</v>
      </c>
      <c r="R453" s="196">
        <v>0.99</v>
      </c>
      <c r="S453" s="197">
        <v>0.99913548387096773</v>
      </c>
      <c r="T453" s="198">
        <v>1.4999999999999999E-2</v>
      </c>
      <c r="U453" s="197">
        <v>2.1399999999999999E-2</v>
      </c>
      <c r="V453" s="198">
        <v>0</v>
      </c>
      <c r="W453" s="197">
        <v>0</v>
      </c>
      <c r="X453" s="199">
        <f t="shared" si="54"/>
        <v>4.5163317841776518E-3</v>
      </c>
    </row>
    <row r="454" spans="1:24">
      <c r="A454" s="189" t="s">
        <v>14</v>
      </c>
      <c r="B454" s="190" t="s">
        <v>65</v>
      </c>
      <c r="C454" s="190">
        <v>10</v>
      </c>
      <c r="D454" s="191">
        <v>12</v>
      </c>
      <c r="E454" s="192">
        <v>44530</v>
      </c>
      <c r="F454" s="24">
        <v>1329.2793344230058</v>
      </c>
      <c r="G454" s="24">
        <v>1263.5820000000001</v>
      </c>
      <c r="H454" s="193">
        <v>108.1</v>
      </c>
      <c r="I454" s="194">
        <v>103.76999999999998</v>
      </c>
      <c r="J454" s="193">
        <v>152.1</v>
      </c>
      <c r="K454" s="194">
        <v>148.66</v>
      </c>
      <c r="L454" s="195">
        <f t="shared" si="50"/>
        <v>0.7393831727629353</v>
      </c>
      <c r="M454" s="195">
        <f t="shared" si="51"/>
        <v>0.71016406412895783</v>
      </c>
      <c r="N454" s="195">
        <f t="shared" si="52"/>
        <v>0.18462212978097303</v>
      </c>
      <c r="O454" s="195">
        <f t="shared" si="53"/>
        <v>0.17549750000000003</v>
      </c>
      <c r="P454" s="195">
        <v>0.98499999999999999</v>
      </c>
      <c r="Q454" s="195">
        <v>0.99739999999999995</v>
      </c>
      <c r="R454" s="196">
        <v>0.99</v>
      </c>
      <c r="S454" s="197">
        <v>1</v>
      </c>
      <c r="T454" s="198">
        <v>1.4999999999999999E-2</v>
      </c>
      <c r="U454" s="197">
        <v>1.7000000000000001E-2</v>
      </c>
      <c r="V454" s="198">
        <v>0</v>
      </c>
      <c r="W454" s="197">
        <v>0</v>
      </c>
      <c r="X454" s="199">
        <f t="shared" si="54"/>
        <v>-2.6806572696320363E-2</v>
      </c>
    </row>
    <row r="455" spans="1:24">
      <c r="A455" s="189" t="s">
        <v>14</v>
      </c>
      <c r="B455" s="190" t="s">
        <v>65</v>
      </c>
      <c r="C455" s="190">
        <v>10</v>
      </c>
      <c r="D455" s="191">
        <v>12</v>
      </c>
      <c r="E455" s="192">
        <v>44561</v>
      </c>
      <c r="F455" s="24">
        <v>1116.9199574077741</v>
      </c>
      <c r="G455" s="24">
        <v>1040.568</v>
      </c>
      <c r="H455" s="193">
        <v>89.9</v>
      </c>
      <c r="I455" s="194">
        <v>84.149999999999977</v>
      </c>
      <c r="J455" s="193">
        <v>129.6</v>
      </c>
      <c r="K455" s="194">
        <v>121.52999999999999</v>
      </c>
      <c r="L455" s="195">
        <f t="shared" si="50"/>
        <v>0.7291209431387049</v>
      </c>
      <c r="M455" s="195">
        <f t="shared" si="51"/>
        <v>0.71489835764029075</v>
      </c>
      <c r="N455" s="195">
        <f t="shared" si="52"/>
        <v>0.15012365018921697</v>
      </c>
      <c r="O455" s="195">
        <f t="shared" si="53"/>
        <v>0.13986129032258063</v>
      </c>
      <c r="P455" s="195">
        <v>0.98499999999999999</v>
      </c>
      <c r="Q455" s="195">
        <v>0.99807096774193549</v>
      </c>
      <c r="R455" s="196">
        <v>0.99</v>
      </c>
      <c r="S455" s="197">
        <v>1</v>
      </c>
      <c r="T455" s="198">
        <v>1.4999999999999999E-2</v>
      </c>
      <c r="U455" s="197">
        <v>1.3100000000000001E-2</v>
      </c>
      <c r="V455" s="198">
        <v>0</v>
      </c>
      <c r="W455" s="197">
        <v>0</v>
      </c>
      <c r="X455" s="199">
        <f t="shared" si="54"/>
        <v>-6.0908629227236499E-3</v>
      </c>
    </row>
    <row r="456" spans="1:24">
      <c r="A456" s="189" t="s">
        <v>14</v>
      </c>
      <c r="B456" s="190" t="s">
        <v>65</v>
      </c>
      <c r="C456" s="190">
        <v>10</v>
      </c>
      <c r="D456" s="191">
        <v>12</v>
      </c>
      <c r="E456" s="192">
        <v>44592</v>
      </c>
      <c r="F456" s="24">
        <v>939.59987760005527</v>
      </c>
      <c r="G456" s="24">
        <v>663.92399999999998</v>
      </c>
      <c r="H456" s="193">
        <v>79.599999999999994</v>
      </c>
      <c r="I456" s="194">
        <v>58.210000000000022</v>
      </c>
      <c r="J456" s="193">
        <v>103.2</v>
      </c>
      <c r="K456" s="194">
        <v>72.67</v>
      </c>
      <c r="L456" s="195">
        <f t="shared" si="50"/>
        <v>0.77027495573136395</v>
      </c>
      <c r="M456" s="195">
        <f t="shared" si="51"/>
        <v>0.76501789572471601</v>
      </c>
      <c r="N456" s="195">
        <f t="shared" si="52"/>
        <v>0.12629030612903969</v>
      </c>
      <c r="O456" s="195">
        <f t="shared" si="53"/>
        <v>8.9237096774193544E-2</v>
      </c>
      <c r="P456" s="195">
        <v>0.98499999999999999</v>
      </c>
      <c r="Q456" s="195">
        <v>0.99519999999999997</v>
      </c>
      <c r="R456" s="196">
        <v>0.99</v>
      </c>
      <c r="S456" s="197">
        <v>1</v>
      </c>
      <c r="T456" s="198">
        <v>1.4999999999999999E-2</v>
      </c>
      <c r="U456" s="197">
        <v>0</v>
      </c>
      <c r="V456" s="198">
        <v>0</v>
      </c>
      <c r="W456" s="197">
        <v>0</v>
      </c>
      <c r="X456" s="199">
        <f t="shared" si="54"/>
        <v>2.4362350874372884E-3</v>
      </c>
    </row>
    <row r="457" spans="1:24">
      <c r="A457" s="189" t="s">
        <v>14</v>
      </c>
      <c r="B457" s="190" t="s">
        <v>65</v>
      </c>
      <c r="C457" s="190">
        <v>10</v>
      </c>
      <c r="D457" s="191">
        <v>12</v>
      </c>
      <c r="E457" s="192">
        <v>44620</v>
      </c>
      <c r="F457" s="24">
        <v>1233.61821250457</v>
      </c>
      <c r="G457" s="24">
        <v>1252.896</v>
      </c>
      <c r="H457" s="193">
        <v>108.1</v>
      </c>
      <c r="I457" s="194">
        <v>108.97</v>
      </c>
      <c r="J457" s="193">
        <v>137.5</v>
      </c>
      <c r="K457" s="194">
        <v>141.71999999999997</v>
      </c>
      <c r="L457" s="195">
        <f t="shared" si="50"/>
        <v>0.75903289494205206</v>
      </c>
      <c r="M457" s="195">
        <f t="shared" si="51"/>
        <v>0.74867727606388501</v>
      </c>
      <c r="N457" s="195">
        <f t="shared" si="52"/>
        <v>0.183574138765561</v>
      </c>
      <c r="O457" s="195">
        <f t="shared" si="53"/>
        <v>0.18644285714285716</v>
      </c>
      <c r="P457" s="195">
        <v>0.98499999999999999</v>
      </c>
      <c r="Q457" s="195">
        <v>0.98402919</v>
      </c>
      <c r="R457" s="196">
        <v>0.99</v>
      </c>
      <c r="S457" s="197">
        <v>0.99790000000000001</v>
      </c>
      <c r="T457" s="198">
        <v>1.4999999999999999E-2</v>
      </c>
      <c r="U457" s="197">
        <v>1.34E-2</v>
      </c>
      <c r="V457" s="198">
        <v>0</v>
      </c>
      <c r="W457" s="197">
        <v>0</v>
      </c>
      <c r="X457" s="199">
        <f t="shared" si="54"/>
        <v>-1.5063880160871568E-2</v>
      </c>
    </row>
    <row r="458" spans="1:24">
      <c r="A458" s="189" t="s">
        <v>14</v>
      </c>
      <c r="B458" s="190" t="s">
        <v>65</v>
      </c>
      <c r="C458" s="190">
        <v>10</v>
      </c>
      <c r="D458" s="191">
        <v>12</v>
      </c>
      <c r="E458" s="192">
        <v>44651</v>
      </c>
      <c r="F458" s="24">
        <v>1654.4150954871786</v>
      </c>
      <c r="G458" s="24">
        <f>[1]Database!$I$429/1000</f>
        <v>1553.7360000000001</v>
      </c>
      <c r="H458" s="193">
        <v>161.4</v>
      </c>
      <c r="I458" s="194">
        <v>162.41999999999999</v>
      </c>
      <c r="J458" s="193">
        <v>187.8</v>
      </c>
      <c r="K458" s="194">
        <v>188.44</v>
      </c>
      <c r="L458" s="195">
        <f t="shared" si="50"/>
        <v>0.7453005120683065</v>
      </c>
      <c r="M458" s="195">
        <f t="shared" si="51"/>
        <v>0.72801933534069152</v>
      </c>
      <c r="N458" s="195">
        <f t="shared" si="52"/>
        <v>0.22236762036117991</v>
      </c>
      <c r="O458" s="195">
        <f t="shared" si="53"/>
        <v>0.20883548387096776</v>
      </c>
      <c r="P458" s="195">
        <v>0.98499999999999999</v>
      </c>
      <c r="Q458" s="195">
        <v>0.94379999999999997</v>
      </c>
      <c r="R458" s="196">
        <v>0.99</v>
      </c>
      <c r="S458" s="197">
        <v>1</v>
      </c>
      <c r="T458" s="198">
        <v>1.4999999999999999E-2</v>
      </c>
      <c r="U458" s="197">
        <v>1.3817073295916311E-2</v>
      </c>
      <c r="V458" s="198">
        <v>0</v>
      </c>
      <c r="W458" s="197">
        <v>0</v>
      </c>
      <c r="X458" s="199">
        <f t="shared" si="54"/>
        <v>-6.4262678145816543E-2</v>
      </c>
    </row>
    <row r="459" spans="1:24">
      <c r="A459" s="189" t="s">
        <v>14</v>
      </c>
      <c r="B459" s="190" t="s">
        <v>65</v>
      </c>
      <c r="C459" s="190">
        <v>10</v>
      </c>
      <c r="D459" s="191">
        <v>12</v>
      </c>
      <c r="E459" s="192">
        <v>44681</v>
      </c>
      <c r="F459" s="24">
        <v>1711.0608297348372</v>
      </c>
      <c r="G459" s="24">
        <v>1503.876</v>
      </c>
      <c r="H459" s="193">
        <v>190.2</v>
      </c>
      <c r="I459" s="194">
        <v>174.14000000000001</v>
      </c>
      <c r="J459" s="193">
        <v>194</v>
      </c>
      <c r="K459" s="194">
        <v>182.27000000000004</v>
      </c>
      <c r="L459" s="195">
        <f t="shared" si="50"/>
        <v>0.74618453335026991</v>
      </c>
      <c r="M459" s="195">
        <f t="shared" si="51"/>
        <v>0.6952855635392321</v>
      </c>
      <c r="N459" s="195">
        <f t="shared" si="52"/>
        <v>0.23764733746317179</v>
      </c>
      <c r="O459" s="195">
        <f t="shared" si="53"/>
        <v>0.20887166666666665</v>
      </c>
      <c r="P459" s="195">
        <v>0.98499999999999999</v>
      </c>
      <c r="Q459" s="195">
        <v>0.9889</v>
      </c>
      <c r="R459" s="196">
        <v>0.99</v>
      </c>
      <c r="S459" s="197">
        <v>1</v>
      </c>
      <c r="T459" s="198">
        <v>1.4999999999999999E-2</v>
      </c>
      <c r="U459" s="197">
        <v>2.0899999999999998E-2</v>
      </c>
      <c r="V459" s="198">
        <v>0</v>
      </c>
      <c r="W459" s="197">
        <v>0</v>
      </c>
      <c r="X459" s="199">
        <f t="shared" si="54"/>
        <v>-6.0621683952781447E-2</v>
      </c>
    </row>
    <row r="460" spans="1:24">
      <c r="A460" s="189" t="s">
        <v>14</v>
      </c>
      <c r="B460" s="190" t="s">
        <v>65</v>
      </c>
      <c r="C460" s="190">
        <v>10</v>
      </c>
      <c r="D460" s="191">
        <v>12</v>
      </c>
      <c r="E460" s="192">
        <v>44712</v>
      </c>
      <c r="F460" s="24">
        <v>1733.5392957061306</v>
      </c>
      <c r="G460" s="24">
        <v>1577.232</v>
      </c>
      <c r="H460" s="193">
        <v>197</v>
      </c>
      <c r="I460" s="194">
        <v>187.18</v>
      </c>
      <c r="J460" s="193">
        <v>197.7</v>
      </c>
      <c r="K460" s="194">
        <v>186.75000000000006</v>
      </c>
      <c r="L460" s="195">
        <f t="shared" si="50"/>
        <v>0.74183880090847221</v>
      </c>
      <c r="M460" s="195">
        <f t="shared" si="51"/>
        <v>0.72059714233199812</v>
      </c>
      <c r="N460" s="195">
        <f t="shared" si="52"/>
        <v>0.23300259350888849</v>
      </c>
      <c r="O460" s="195">
        <f t="shared" si="53"/>
        <v>0.21199354838709678</v>
      </c>
      <c r="P460" s="195">
        <v>0.98499999999999999</v>
      </c>
      <c r="Q460" s="195">
        <v>0.9766999999999999</v>
      </c>
      <c r="R460" s="196">
        <v>0.99</v>
      </c>
      <c r="S460" s="197">
        <v>1</v>
      </c>
      <c r="T460" s="198">
        <v>1.4999999999999999E-2</v>
      </c>
      <c r="U460" s="197">
        <v>7.1000000000000004E-3</v>
      </c>
      <c r="V460" s="198">
        <v>0</v>
      </c>
      <c r="W460" s="197">
        <v>0</v>
      </c>
      <c r="X460" s="199">
        <f t="shared" si="54"/>
        <v>-3.4779622067228511E-2</v>
      </c>
    </row>
    <row r="461" spans="1:24">
      <c r="A461" s="189" t="s">
        <v>14</v>
      </c>
      <c r="B461" s="190" t="s">
        <v>65</v>
      </c>
      <c r="C461" s="190">
        <v>10</v>
      </c>
      <c r="D461" s="191">
        <v>12</v>
      </c>
      <c r="E461" s="192">
        <v>44742</v>
      </c>
      <c r="F461" s="24">
        <v>1556.40898385234</v>
      </c>
      <c r="G461" s="24">
        <v>1401.9960000000001</v>
      </c>
      <c r="H461" s="193">
        <v>178.9</v>
      </c>
      <c r="I461" s="194">
        <v>171.11999999999995</v>
      </c>
      <c r="J461" s="193">
        <v>177.2</v>
      </c>
      <c r="K461" s="194">
        <v>170.06999999999996</v>
      </c>
      <c r="L461" s="195">
        <f t="shared" si="50"/>
        <v>0.74309191285972243</v>
      </c>
      <c r="M461" s="195">
        <f t="shared" si="51"/>
        <v>0.68846558261460411</v>
      </c>
      <c r="N461" s="195">
        <f t="shared" si="52"/>
        <v>0.21616791442393607</v>
      </c>
      <c r="O461" s="195">
        <f t="shared" si="53"/>
        <v>0.19472166666666668</v>
      </c>
      <c r="P461" s="195">
        <v>0.98499999999999999</v>
      </c>
      <c r="Q461" s="195">
        <v>0.99782776146666674</v>
      </c>
      <c r="R461" s="196">
        <v>0.99</v>
      </c>
      <c r="S461" s="197">
        <v>0.99920666666666658</v>
      </c>
      <c r="T461" s="198">
        <v>1.4999999999999999E-2</v>
      </c>
      <c r="U461" s="197">
        <v>1.5100000000000001E-2</v>
      </c>
      <c r="V461" s="198">
        <v>0</v>
      </c>
      <c r="W461" s="197">
        <v>0</v>
      </c>
      <c r="X461" s="199">
        <f t="shared" si="54"/>
        <v>-5.8974038894223035E-2</v>
      </c>
    </row>
    <row r="462" spans="1:24">
      <c r="A462" s="189" t="s">
        <v>14</v>
      </c>
      <c r="B462" s="190" t="s">
        <v>65</v>
      </c>
      <c r="C462" s="190">
        <v>10</v>
      </c>
      <c r="D462" s="191">
        <v>12</v>
      </c>
      <c r="E462" s="192">
        <v>44773</v>
      </c>
      <c r="F462" s="24">
        <v>1377.4803947208463</v>
      </c>
      <c r="G462" s="24">
        <v>1336.806</v>
      </c>
      <c r="H462" s="193">
        <v>155.5</v>
      </c>
      <c r="I462" s="194">
        <v>154.21999999999994</v>
      </c>
      <c r="J462" s="193">
        <v>154.6</v>
      </c>
      <c r="K462" s="194">
        <v>152.39999999999998</v>
      </c>
      <c r="L462" s="195">
        <f t="shared" si="50"/>
        <v>0.75380403919992556</v>
      </c>
      <c r="M462" s="195">
        <f t="shared" si="51"/>
        <v>0.75211864822056829</v>
      </c>
      <c r="N462" s="195">
        <f t="shared" si="52"/>
        <v>0.18514521434419978</v>
      </c>
      <c r="O462" s="195">
        <f t="shared" si="53"/>
        <v>0.17967822580645162</v>
      </c>
      <c r="P462" s="195">
        <v>0.98499999999999999</v>
      </c>
      <c r="Q462" s="195">
        <v>0.97188709677419349</v>
      </c>
      <c r="R462" s="196">
        <v>0.99</v>
      </c>
      <c r="S462" s="197">
        <v>1</v>
      </c>
      <c r="T462" s="198">
        <v>1.4999999999999999E-2</v>
      </c>
      <c r="U462" s="197">
        <v>6.1999999999999998E-3</v>
      </c>
      <c r="V462" s="198">
        <v>0</v>
      </c>
      <c r="W462" s="197">
        <v>0</v>
      </c>
      <c r="X462" s="199">
        <f t="shared" si="54"/>
        <v>-1.5297839857649542E-2</v>
      </c>
    </row>
    <row r="463" spans="1:24">
      <c r="A463" s="189" t="s">
        <v>14</v>
      </c>
      <c r="B463" s="190" t="s">
        <v>65</v>
      </c>
      <c r="C463" s="190">
        <v>10</v>
      </c>
      <c r="D463" s="191">
        <v>12</v>
      </c>
      <c r="E463" s="192">
        <v>44804</v>
      </c>
      <c r="F463" s="24">
        <v>1308.2467195292631</v>
      </c>
      <c r="G463" s="24">
        <v>1403.85</v>
      </c>
      <c r="H463" s="193">
        <v>145.4</v>
      </c>
      <c r="I463" s="194">
        <v>161.01</v>
      </c>
      <c r="J463" s="193">
        <v>146.30000000000001</v>
      </c>
      <c r="K463" s="194">
        <v>161.92999999999995</v>
      </c>
      <c r="L463" s="195">
        <f t="shared" si="50"/>
        <v>0.75653295648515795</v>
      </c>
      <c r="M463" s="195">
        <f t="shared" si="51"/>
        <v>0.74208170498651249</v>
      </c>
      <c r="N463" s="195">
        <f t="shared" si="52"/>
        <v>0.17583961283995472</v>
      </c>
      <c r="O463" s="195">
        <f t="shared" si="53"/>
        <v>0.18868951612903226</v>
      </c>
      <c r="P463" s="195">
        <v>0.98499999999999999</v>
      </c>
      <c r="Q463" s="195">
        <v>0.97355483870967752</v>
      </c>
      <c r="R463" s="196">
        <v>0.99</v>
      </c>
      <c r="S463" s="197">
        <v>1</v>
      </c>
      <c r="T463" s="198">
        <v>1.4999999999999999E-2</v>
      </c>
      <c r="U463" s="197">
        <v>1.2200000000000001E-2</v>
      </c>
      <c r="V463" s="198">
        <v>0</v>
      </c>
      <c r="W463" s="197">
        <v>0</v>
      </c>
      <c r="X463" s="199">
        <f t="shared" si="54"/>
        <v>-3.3757861088873575E-2</v>
      </c>
    </row>
    <row r="464" spans="1:24">
      <c r="A464" s="189" t="s">
        <v>14</v>
      </c>
      <c r="B464" s="190" t="s">
        <v>65</v>
      </c>
      <c r="C464" s="190">
        <v>10</v>
      </c>
      <c r="D464" s="191">
        <v>12</v>
      </c>
      <c r="E464" s="192">
        <v>44834</v>
      </c>
      <c r="F464" s="24">
        <v>1303.751026335005</v>
      </c>
      <c r="G464" s="24">
        <v>1181.106</v>
      </c>
      <c r="H464" s="193">
        <v>141.6</v>
      </c>
      <c r="I464" s="194">
        <v>129.53000000000003</v>
      </c>
      <c r="J464" s="193">
        <v>145.5</v>
      </c>
      <c r="K464" s="194">
        <v>135.13000000000002</v>
      </c>
      <c r="L464" s="195">
        <f t="shared" si="50"/>
        <v>0.75807852398521058</v>
      </c>
      <c r="M464" s="195">
        <f t="shared" si="51"/>
        <v>0.73843634274503867</v>
      </c>
      <c r="N464" s="195">
        <f t="shared" si="52"/>
        <v>0.18107653143541738</v>
      </c>
      <c r="O464" s="195">
        <f t="shared" si="53"/>
        <v>0.16404250000000001</v>
      </c>
      <c r="P464" s="195">
        <v>0.98499999999999999</v>
      </c>
      <c r="Q464" s="195">
        <v>0.98637666666666657</v>
      </c>
      <c r="R464" s="196">
        <v>0.99</v>
      </c>
      <c r="S464" s="197">
        <v>1</v>
      </c>
      <c r="T464" s="198">
        <v>1.4999999999999999E-2</v>
      </c>
      <c r="U464" s="197">
        <v>9.1000000000000004E-3</v>
      </c>
      <c r="V464" s="198">
        <v>0</v>
      </c>
      <c r="W464" s="197">
        <v>0</v>
      </c>
      <c r="X464" s="199">
        <f t="shared" si="54"/>
        <v>-2.279941766697291E-2</v>
      </c>
    </row>
    <row r="465" spans="1:24">
      <c r="A465" s="189" t="s">
        <v>14</v>
      </c>
      <c r="B465" s="190" t="s">
        <v>65</v>
      </c>
      <c r="C465" s="190">
        <v>10</v>
      </c>
      <c r="D465" s="191">
        <v>12</v>
      </c>
      <c r="E465" s="192">
        <v>44865</v>
      </c>
      <c r="F465" s="24">
        <v>1494.3684177715711</v>
      </c>
      <c r="G465" s="24">
        <v>1378.3679999999999</v>
      </c>
      <c r="H465" s="193">
        <v>139.1</v>
      </c>
      <c r="I465" s="194">
        <v>130.94999999999999</v>
      </c>
      <c r="J465" s="193">
        <v>172.2</v>
      </c>
      <c r="K465" s="194">
        <v>160.17999999999998</v>
      </c>
      <c r="L465" s="195">
        <f t="shared" si="50"/>
        <v>0.73418761964286761</v>
      </c>
      <c r="M465" s="195">
        <f t="shared" si="51"/>
        <v>0.72056593298691984</v>
      </c>
      <c r="N465" s="195">
        <f t="shared" si="52"/>
        <v>0.20085597013058751</v>
      </c>
      <c r="O465" s="195">
        <f t="shared" si="53"/>
        <v>0.18526451612903225</v>
      </c>
      <c r="P465" s="195">
        <v>0.98499999999999999</v>
      </c>
      <c r="Q465" s="195">
        <v>0.99518064516129034</v>
      </c>
      <c r="R465" s="196">
        <v>0.99</v>
      </c>
      <c r="S465" s="197">
        <v>0.99724193548387097</v>
      </c>
      <c r="T465" s="198">
        <v>1.4999999999999999E-2</v>
      </c>
      <c r="U465" s="197">
        <v>1.5878271959664399E-2</v>
      </c>
      <c r="V465" s="198">
        <v>0</v>
      </c>
      <c r="W465" s="197">
        <v>0</v>
      </c>
      <c r="X465" s="199">
        <f t="shared" si="54"/>
        <v>-7.8224912338383801E-3</v>
      </c>
    </row>
    <row r="466" spans="1:24">
      <c r="A466" s="189" t="s">
        <v>14</v>
      </c>
      <c r="B466" s="190" t="s">
        <v>65</v>
      </c>
      <c r="C466" s="190">
        <v>10</v>
      </c>
      <c r="D466" s="191">
        <v>12</v>
      </c>
      <c r="E466" s="192">
        <v>44895</v>
      </c>
      <c r="F466" s="24">
        <v>1322.632937750891</v>
      </c>
      <c r="G466" s="24">
        <v>1135.152</v>
      </c>
      <c r="H466" s="193">
        <v>108.1</v>
      </c>
      <c r="I466" s="194">
        <v>98.27</v>
      </c>
      <c r="J466" s="193">
        <v>152.1</v>
      </c>
      <c r="K466" s="194">
        <v>134.56</v>
      </c>
      <c r="L466" s="195">
        <f t="shared" si="50"/>
        <v>0.73568625689912071</v>
      </c>
      <c r="M466" s="195">
        <f t="shared" si="51"/>
        <v>0.70304456079493183</v>
      </c>
      <c r="N466" s="195">
        <f t="shared" si="52"/>
        <v>0.18369901913206818</v>
      </c>
      <c r="O466" s="195">
        <f t="shared" si="53"/>
        <v>0.15765999999999999</v>
      </c>
      <c r="P466" s="195">
        <v>0.98499999999999999</v>
      </c>
      <c r="Q466" s="195">
        <v>0.99994000000000005</v>
      </c>
      <c r="R466" s="196">
        <v>0.99</v>
      </c>
      <c r="S466" s="197">
        <v>1</v>
      </c>
      <c r="T466" s="198">
        <v>1.4999999999999999E-2</v>
      </c>
      <c r="U466" s="197">
        <v>2.53E-2</v>
      </c>
      <c r="V466" s="198">
        <v>0</v>
      </c>
      <c r="W466" s="197">
        <v>0</v>
      </c>
      <c r="X466" s="199">
        <f t="shared" si="54"/>
        <v>-2.642940611209077E-2</v>
      </c>
    </row>
    <row r="467" spans="1:24">
      <c r="A467" s="189" t="s">
        <v>14</v>
      </c>
      <c r="B467" s="190" t="s">
        <v>65</v>
      </c>
      <c r="C467" s="190">
        <v>10</v>
      </c>
      <c r="D467" s="191">
        <v>12</v>
      </c>
      <c r="E467" s="192">
        <v>44926</v>
      </c>
      <c r="F467" s="24">
        <v>1111.3353576207353</v>
      </c>
      <c r="G467" s="24">
        <v>967.27800000000002</v>
      </c>
      <c r="H467" s="193">
        <v>89.9</v>
      </c>
      <c r="I467" s="194">
        <v>81.760000000000005</v>
      </c>
      <c r="J467" s="193">
        <v>129.6</v>
      </c>
      <c r="K467" s="194">
        <v>117.48</v>
      </c>
      <c r="L467" s="195">
        <f t="shared" si="50"/>
        <v>0.72547533842301148</v>
      </c>
      <c r="M467" s="195">
        <f t="shared" si="51"/>
        <v>0.70546170500491467</v>
      </c>
      <c r="N467" s="195">
        <f t="shared" si="52"/>
        <v>0.14937303193827087</v>
      </c>
      <c r="O467" s="195">
        <f t="shared" si="53"/>
        <v>0.13001048387096775</v>
      </c>
      <c r="P467" s="195">
        <v>0.98499999999999999</v>
      </c>
      <c r="Q467" s="195">
        <v>0.97259645576630216</v>
      </c>
      <c r="R467" s="196">
        <v>0.99</v>
      </c>
      <c r="S467" s="197">
        <v>1</v>
      </c>
      <c r="T467" s="198">
        <v>1.4999999999999999E-2</v>
      </c>
      <c r="U467" s="197">
        <v>1.95E-2</v>
      </c>
      <c r="V467" s="198">
        <v>0</v>
      </c>
      <c r="W467" s="197">
        <v>0</v>
      </c>
      <c r="X467" s="199">
        <f t="shared" si="54"/>
        <v>-3.6106942088753646E-2</v>
      </c>
    </row>
    <row r="468" spans="1:24">
      <c r="A468" s="189" t="s">
        <v>14</v>
      </c>
      <c r="B468" s="190" t="s">
        <v>65</v>
      </c>
      <c r="C468" s="190">
        <v>10</v>
      </c>
      <c r="D468" s="191">
        <v>12</v>
      </c>
      <c r="E468" s="192">
        <v>44957</v>
      </c>
      <c r="F468" s="24">
        <v>934.90187821205507</v>
      </c>
      <c r="G468" s="24">
        <v>754.59</v>
      </c>
      <c r="H468" s="193">
        <v>79.599999999999994</v>
      </c>
      <c r="I468" s="194">
        <v>68.47</v>
      </c>
      <c r="J468" s="193">
        <v>103.2</v>
      </c>
      <c r="K468" s="194">
        <v>87.930000000000021</v>
      </c>
      <c r="L468" s="195">
        <f t="shared" si="50"/>
        <v>0.76642358095270713</v>
      </c>
      <c r="M468" s="195">
        <f t="shared" si="51"/>
        <v>0.72349323946222888</v>
      </c>
      <c r="N468" s="195">
        <f t="shared" si="52"/>
        <v>0.12565885459839449</v>
      </c>
      <c r="O468" s="195">
        <f t="shared" si="53"/>
        <v>0.10142338709677419</v>
      </c>
      <c r="P468" s="195">
        <v>0.98499999999999999</v>
      </c>
      <c r="Q468" s="195">
        <v>0.98845806451612916</v>
      </c>
      <c r="R468" s="196">
        <v>0.99</v>
      </c>
      <c r="S468" s="197">
        <v>0.99762580645161292</v>
      </c>
      <c r="T468" s="198">
        <v>1.4999999999999999E-2</v>
      </c>
      <c r="U468" s="197">
        <v>1.09E-2</v>
      </c>
      <c r="V468" s="198">
        <v>0</v>
      </c>
      <c r="W468" s="197">
        <v>0</v>
      </c>
      <c r="X468" s="199">
        <f t="shared" si="54"/>
        <v>-4.49020523663618E-2</v>
      </c>
    </row>
    <row r="469" spans="1:24">
      <c r="A469" s="189" t="s">
        <v>14</v>
      </c>
      <c r="B469" s="190" t="s">
        <v>65</v>
      </c>
      <c r="C469" s="190">
        <v>10</v>
      </c>
      <c r="D469" s="191">
        <v>12</v>
      </c>
      <c r="E469" s="192">
        <f>EOMONTH(E468,1)</f>
        <v>44985</v>
      </c>
      <c r="F469" s="24">
        <v>1227.450121442047</v>
      </c>
      <c r="G469" s="24">
        <v>1257.0540000000001</v>
      </c>
      <c r="H469" s="193">
        <v>108.1</v>
      </c>
      <c r="I469" s="194">
        <v>113.5</v>
      </c>
      <c r="J469" s="193">
        <v>137.5</v>
      </c>
      <c r="K469" s="194">
        <v>148.63999999999999</v>
      </c>
      <c r="L469" s="195">
        <f t="shared" si="50"/>
        <v>0.75523773046734166</v>
      </c>
      <c r="M469" s="195">
        <f t="shared" si="51"/>
        <v>0.70777307896512098</v>
      </c>
      <c r="N469" s="195">
        <f t="shared" si="52"/>
        <v>0.18265626807173319</v>
      </c>
      <c r="O469" s="195">
        <f t="shared" si="53"/>
        <v>0.18706160714285716</v>
      </c>
      <c r="P469" s="195">
        <v>0.98499999999999999</v>
      </c>
      <c r="Q469" s="195">
        <v>0.99573311795918362</v>
      </c>
      <c r="R469" s="196">
        <v>0.99</v>
      </c>
      <c r="S469" s="197">
        <v>0.99800357142857143</v>
      </c>
      <c r="T469" s="198">
        <v>1.4999999999999999E-2</v>
      </c>
      <c r="U469" s="197">
        <v>1.6899999999999998E-2</v>
      </c>
      <c r="V469" s="198">
        <v>0</v>
      </c>
      <c r="W469" s="197">
        <v>0</v>
      </c>
      <c r="X469" s="199">
        <f t="shared" si="54"/>
        <v>-5.6899989118690542E-2</v>
      </c>
    </row>
    <row r="470" spans="1:24">
      <c r="A470" s="189" t="s">
        <v>14</v>
      </c>
      <c r="B470" s="190" t="s">
        <v>65</v>
      </c>
      <c r="C470" s="190">
        <v>10</v>
      </c>
      <c r="D470" s="191">
        <v>12</v>
      </c>
      <c r="E470" s="192">
        <f t="shared" ref="E470:E491" si="55">EOMONTH(E469,1)</f>
        <v>45016</v>
      </c>
      <c r="F470" s="24">
        <f>UTT!X463</f>
        <v>45016</v>
      </c>
      <c r="G470" s="24">
        <f>UTT!Y463</f>
        <v>1646.1430200097425</v>
      </c>
      <c r="H470" s="24">
        <f>UTT!Z463</f>
        <v>1438.752</v>
      </c>
      <c r="I470" s="24">
        <f>UTT!AA463</f>
        <v>161.4</v>
      </c>
      <c r="J470" s="24">
        <f>UTT!AB463</f>
        <v>149.16000000000003</v>
      </c>
      <c r="K470" s="24">
        <f>UTT!AC463</f>
        <v>187.8</v>
      </c>
      <c r="L470" s="195">
        <f>F470/D470/J470/P470</f>
        <v>130.05297061213366</v>
      </c>
      <c r="M470" s="195">
        <f>G470/D470/K470/Q470</f>
        <v>0.74157400950796493</v>
      </c>
      <c r="N470" s="195">
        <f>F470/24/DAY(E470)/C470</f>
        <v>6.0505376344086024</v>
      </c>
      <c r="O470" s="195">
        <f>G470/24/DAY(E470)/C470</f>
        <v>0.22125578225937398</v>
      </c>
      <c r="P470" s="195">
        <f>UTT!AH463</f>
        <v>0.19338064516129033</v>
      </c>
      <c r="Q470" s="195">
        <f>UTT!AI463</f>
        <v>0.98499999999999999</v>
      </c>
      <c r="R470" s="195">
        <f>UTT!AJ463</f>
        <v>0.99151290322580643</v>
      </c>
      <c r="S470" s="195">
        <f>UTT!AK463</f>
        <v>0.99</v>
      </c>
      <c r="T470" s="198">
        <v>1.4999999999999999E-2</v>
      </c>
      <c r="U470" s="195">
        <f>UTT!AQ463</f>
        <v>1.0000000000000009E-2</v>
      </c>
      <c r="V470" s="198">
        <v>0</v>
      </c>
      <c r="W470" s="197">
        <v>0</v>
      </c>
      <c r="X470" s="199">
        <f>(G470/F470-1)-(K470/J470-1)</f>
        <v>-1.22248272976845</v>
      </c>
    </row>
    <row r="471" spans="1:24">
      <c r="A471" s="189" t="s">
        <v>14</v>
      </c>
      <c r="B471" s="190" t="s">
        <v>65</v>
      </c>
      <c r="C471" s="190">
        <v>10</v>
      </c>
      <c r="D471" s="191">
        <v>12</v>
      </c>
      <c r="E471" s="192">
        <f t="shared" si="55"/>
        <v>45046</v>
      </c>
      <c r="F471" s="24">
        <f>UTT!X464</f>
        <v>45046</v>
      </c>
      <c r="G471" s="24">
        <f>UTT!Y464</f>
        <v>1702.505525586163</v>
      </c>
      <c r="H471" s="24">
        <f>UTT!Z464</f>
        <v>1546.9380000000001</v>
      </c>
      <c r="I471" s="24">
        <f>UTT!AA464</f>
        <v>190.2</v>
      </c>
      <c r="J471" s="24">
        <f>UTT!AB464</f>
        <v>182.11</v>
      </c>
      <c r="K471" s="24">
        <f>UTT!AC464</f>
        <v>194</v>
      </c>
      <c r="L471" s="195">
        <f>F471/D471/J471/P471</f>
        <v>95.940235599703456</v>
      </c>
      <c r="M471" s="195">
        <f>G471/D471/K471/Q471</f>
        <v>0.74245361068351867</v>
      </c>
      <c r="N471" s="195">
        <f>F471/24/DAY(E471)/C471</f>
        <v>6.256388888888889</v>
      </c>
      <c r="O471" s="195">
        <f>G471/24/DAY(E471)/C471</f>
        <v>0.236459100775856</v>
      </c>
      <c r="P471" s="195">
        <f>UTT!AH464</f>
        <v>0.21485250000000003</v>
      </c>
      <c r="Q471" s="195">
        <f>UTT!AI464</f>
        <v>0.98499999999999999</v>
      </c>
      <c r="R471" s="195">
        <f>UTT!AJ464</f>
        <v>0.98107</v>
      </c>
      <c r="S471" s="195">
        <f>UTT!AK464</f>
        <v>0.99</v>
      </c>
      <c r="T471" s="198">
        <v>1.4999999999999999E-2</v>
      </c>
      <c r="U471" s="195">
        <f>UTT!AQ464</f>
        <v>1.0000000000000009E-2</v>
      </c>
      <c r="V471" s="198">
        <v>0</v>
      </c>
      <c r="W471" s="197">
        <v>0</v>
      </c>
      <c r="X471" s="199">
        <f>(G471/F471-1)-(K471/J471-1)</f>
        <v>-1.0274953877964124</v>
      </c>
    </row>
    <row r="472" spans="1:24">
      <c r="A472" s="189" t="s">
        <v>14</v>
      </c>
      <c r="B472" s="190" t="s">
        <v>65</v>
      </c>
      <c r="C472" s="190">
        <v>10</v>
      </c>
      <c r="D472" s="191">
        <v>12</v>
      </c>
      <c r="E472" s="192">
        <f t="shared" si="55"/>
        <v>45077</v>
      </c>
      <c r="F472" s="24">
        <f>UTT!X465</f>
        <v>45077</v>
      </c>
      <c r="G472" s="24">
        <f>UTT!Y465</f>
        <v>1724.8715992275997</v>
      </c>
      <c r="H472" s="24">
        <f>UTT!Z465</f>
        <v>1469.502</v>
      </c>
      <c r="I472" s="24">
        <f>UTT!AA465</f>
        <v>197</v>
      </c>
      <c r="J472" s="24">
        <f>UTT!AB465</f>
        <v>190.73</v>
      </c>
      <c r="K472" s="24">
        <f>UTT!AC465</f>
        <v>197.7</v>
      </c>
      <c r="L472" s="195">
        <f t="shared" ref="L472:L491" si="56">F472/D472/J472/P472</f>
        <v>99.714313600321958</v>
      </c>
      <c r="M472" s="195">
        <f t="shared" ref="M472:M491" si="57">G472/D472/K472/Q472</f>
        <v>0.73812960690392981</v>
      </c>
      <c r="N472" s="195">
        <f t="shared" ref="N472:N491" si="58">F472/24/DAY(E472)/C472</f>
        <v>6.0587365591397848</v>
      </c>
      <c r="O472" s="195">
        <f t="shared" ref="O472:O491" si="59">G472/24/DAY(E472)/C472</f>
        <v>0.23183758054134404</v>
      </c>
      <c r="P472" s="195">
        <f>UTT!AH465</f>
        <v>0.19751370967741935</v>
      </c>
      <c r="Q472" s="195">
        <f>UTT!AI465</f>
        <v>0.98499999999999999</v>
      </c>
      <c r="R472" s="195">
        <f>UTT!AJ465</f>
        <v>0.9217214911342354</v>
      </c>
      <c r="S472" s="195">
        <f>UTT!AK465</f>
        <v>0.99</v>
      </c>
      <c r="T472" s="198">
        <v>1.4999999999999999E-2</v>
      </c>
      <c r="U472" s="195">
        <f>UTT!AQ465</f>
        <v>3.6419354838710394E-3</v>
      </c>
      <c r="V472" s="198">
        <v>0</v>
      </c>
      <c r="W472" s="197">
        <v>0</v>
      </c>
      <c r="X472" s="199">
        <f t="shared" ref="X472:X491" si="60">(G472/F472-1)-(K472/J472-1)</f>
        <v>-0.99827880107053601</v>
      </c>
    </row>
    <row r="473" spans="1:24">
      <c r="A473" s="189" t="s">
        <v>14</v>
      </c>
      <c r="B473" s="190" t="s">
        <v>65</v>
      </c>
      <c r="C473" s="190">
        <v>10</v>
      </c>
      <c r="D473" s="191">
        <v>12</v>
      </c>
      <c r="E473" s="192">
        <f t="shared" si="55"/>
        <v>45107</v>
      </c>
      <c r="F473" s="24">
        <f>UTT!X466</f>
        <v>45107</v>
      </c>
      <c r="G473" s="24">
        <f>UTT!Y466</f>
        <v>1548.6269389330785</v>
      </c>
      <c r="H473" s="24">
        <f>UTT!Z466</f>
        <v>1402.212</v>
      </c>
      <c r="I473" s="24">
        <f>UTT!AA466</f>
        <v>178.9</v>
      </c>
      <c r="J473" s="24">
        <f>UTT!AB466</f>
        <v>169.89000000000001</v>
      </c>
      <c r="K473" s="24">
        <f>UTT!AC466</f>
        <v>177.2</v>
      </c>
      <c r="L473" s="195">
        <f t="shared" si="56"/>
        <v>113.60925145046639</v>
      </c>
      <c r="M473" s="195">
        <f t="shared" si="57"/>
        <v>0.7393764532954239</v>
      </c>
      <c r="N473" s="195">
        <f t="shared" si="58"/>
        <v>6.2648611111111112</v>
      </c>
      <c r="O473" s="195">
        <f t="shared" si="59"/>
        <v>0.21508707485181647</v>
      </c>
      <c r="P473" s="195">
        <f>UTT!AH466</f>
        <v>0.19475166666666666</v>
      </c>
      <c r="Q473" s="195">
        <f>UTT!AI466</f>
        <v>0.98499999999999999</v>
      </c>
      <c r="R473" s="195">
        <f>UTT!AJ466</f>
        <v>0.98842000000000008</v>
      </c>
      <c r="S473" s="195">
        <f>UTT!AK466</f>
        <v>0.99</v>
      </c>
      <c r="T473" s="198">
        <v>1.4999999999999999E-2</v>
      </c>
      <c r="U473" s="195">
        <f>UTT!AQ466</f>
        <v>1.0000000000000009E-2</v>
      </c>
      <c r="V473" s="198">
        <v>0</v>
      </c>
      <c r="W473" s="197">
        <v>0</v>
      </c>
      <c r="X473" s="199">
        <f t="shared" si="60"/>
        <v>-1.0086955441420615</v>
      </c>
    </row>
    <row r="474" spans="1:24">
      <c r="A474" s="189" t="s">
        <v>14</v>
      </c>
      <c r="B474" s="190" t="s">
        <v>65</v>
      </c>
      <c r="C474" s="190">
        <v>10</v>
      </c>
      <c r="D474" s="191">
        <v>12</v>
      </c>
      <c r="E474" s="192">
        <f t="shared" si="55"/>
        <v>45138</v>
      </c>
      <c r="F474" s="24">
        <f>UTT!X467</f>
        <v>45138</v>
      </c>
      <c r="G474" s="24">
        <f>UTT!Y467</f>
        <v>1370.5929927472421</v>
      </c>
      <c r="H474" s="24">
        <f>UTT!Z467</f>
        <v>1109.682</v>
      </c>
      <c r="I474" s="24">
        <f>UTT!AA467</f>
        <v>155.5</v>
      </c>
      <c r="J474" s="24">
        <f>UTT!AB467</f>
        <v>138.42000000000002</v>
      </c>
      <c r="K474" s="24">
        <f>UTT!AC467</f>
        <v>154.6</v>
      </c>
      <c r="L474" s="195">
        <f t="shared" si="56"/>
        <v>182.19506751430242</v>
      </c>
      <c r="M474" s="195">
        <f t="shared" si="57"/>
        <v>0.75003501900392588</v>
      </c>
      <c r="N474" s="195">
        <f t="shared" si="58"/>
        <v>6.0669354838709681</v>
      </c>
      <c r="O474" s="195">
        <f t="shared" si="59"/>
        <v>0.18421948827247878</v>
      </c>
      <c r="P474" s="195">
        <f>UTT!AH467</f>
        <v>0.14915080645161291</v>
      </c>
      <c r="Q474" s="195">
        <f>UTT!AI467</f>
        <v>0.98499999999999999</v>
      </c>
      <c r="R474" s="195">
        <f>UTT!AJ467</f>
        <v>0.94352903225806439</v>
      </c>
      <c r="S474" s="195">
        <f>UTT!AK467</f>
        <v>0.99</v>
      </c>
      <c r="T474" s="198">
        <v>1.4999999999999999E-2</v>
      </c>
      <c r="U474" s="195">
        <f>UTT!AQ467</f>
        <v>1.0000000000000009E-2</v>
      </c>
      <c r="V474" s="198">
        <v>0</v>
      </c>
      <c r="W474" s="197">
        <v>0</v>
      </c>
      <c r="X474" s="199">
        <f t="shared" si="60"/>
        <v>-1.0865261184943555</v>
      </c>
    </row>
    <row r="475" spans="1:24">
      <c r="A475" s="189" t="s">
        <v>14</v>
      </c>
      <c r="B475" s="190" t="s">
        <v>65</v>
      </c>
      <c r="C475" s="190">
        <v>10</v>
      </c>
      <c r="D475" s="191">
        <v>12</v>
      </c>
      <c r="E475" s="192">
        <f t="shared" si="55"/>
        <v>45169</v>
      </c>
      <c r="F475" s="24">
        <f>UTT!X468</f>
        <v>45169</v>
      </c>
      <c r="G475" s="24">
        <f>UTT!Y468</f>
        <v>1301.705485931617</v>
      </c>
      <c r="H475" s="24">
        <f>UTT!Z468</f>
        <v>1135.3140000000001</v>
      </c>
      <c r="I475" s="24">
        <f>UTT!AA468</f>
        <v>145.4</v>
      </c>
      <c r="J475" s="24">
        <f>UTT!AB468</f>
        <v>132.81</v>
      </c>
      <c r="K475" s="24">
        <f>UTT!AC468</f>
        <v>146.30000000000001</v>
      </c>
      <c r="L475" s="195">
        <f t="shared" si="56"/>
        <v>185.73142689607519</v>
      </c>
      <c r="M475" s="195">
        <f t="shared" si="57"/>
        <v>0.75275029170273222</v>
      </c>
      <c r="N475" s="195">
        <f t="shared" si="58"/>
        <v>6.0711021505376346</v>
      </c>
      <c r="O475" s="195">
        <f t="shared" si="59"/>
        <v>0.17496041477575497</v>
      </c>
      <c r="P475" s="195">
        <f>UTT!AH468</f>
        <v>0.15259596774193551</v>
      </c>
      <c r="Q475" s="195">
        <f>UTT!AI468</f>
        <v>0.98499999999999999</v>
      </c>
      <c r="R475" s="195">
        <f>UTT!AJ468</f>
        <v>0.97178064516129026</v>
      </c>
      <c r="S475" s="195">
        <f>UTT!AK468</f>
        <v>0.99</v>
      </c>
      <c r="T475" s="198">
        <v>1.4999999999999999E-2</v>
      </c>
      <c r="U475" s="195">
        <f>UTT!AQ468</f>
        <v>1.0000000000000009E-2</v>
      </c>
      <c r="V475" s="198">
        <v>0</v>
      </c>
      <c r="W475" s="197">
        <v>0</v>
      </c>
      <c r="X475" s="199">
        <f t="shared" si="60"/>
        <v>-1.0727551178036099</v>
      </c>
    </row>
    <row r="476" spans="1:24">
      <c r="A476" s="189" t="s">
        <v>14</v>
      </c>
      <c r="B476" s="190" t="s">
        <v>65</v>
      </c>
      <c r="C476" s="190">
        <v>10</v>
      </c>
      <c r="D476" s="191">
        <v>12</v>
      </c>
      <c r="E476" s="192">
        <f t="shared" si="55"/>
        <v>45199</v>
      </c>
      <c r="F476" s="24">
        <f>UTT!X469</f>
        <v>45199</v>
      </c>
      <c r="G476" s="24">
        <f>UTT!Y469</f>
        <v>1297.2322712033301</v>
      </c>
      <c r="H476" s="24">
        <f>UTT!Z469</f>
        <v>1281.336</v>
      </c>
      <c r="I476" s="24">
        <f>UTT!AA469</f>
        <v>141.6</v>
      </c>
      <c r="J476" s="24">
        <f>UTT!AB469</f>
        <v>141.79</v>
      </c>
      <c r="K476" s="24">
        <f>UTT!AC469</f>
        <v>145.5</v>
      </c>
      <c r="L476" s="195">
        <f t="shared" si="56"/>
        <v>149.26962651467986</v>
      </c>
      <c r="M476" s="195">
        <f t="shared" si="57"/>
        <v>0.75428813136528472</v>
      </c>
      <c r="N476" s="195">
        <f t="shared" si="58"/>
        <v>6.2776388888888892</v>
      </c>
      <c r="O476" s="195">
        <f t="shared" si="59"/>
        <v>0.18017114877824031</v>
      </c>
      <c r="P476" s="195">
        <f>UTT!AH469</f>
        <v>0.17796333333333333</v>
      </c>
      <c r="Q476" s="195">
        <f>UTT!AI469</f>
        <v>0.98499999999999999</v>
      </c>
      <c r="R476" s="195">
        <f>UTT!AJ469</f>
        <v>0.98609000000000013</v>
      </c>
      <c r="S476" s="195">
        <f>UTT!AK469</f>
        <v>0.99</v>
      </c>
      <c r="T476" s="198">
        <v>1.4999999999999999E-2</v>
      </c>
      <c r="U476" s="195">
        <f>UTT!AQ469</f>
        <v>1.0000000000000009E-2</v>
      </c>
      <c r="V476" s="198">
        <v>0</v>
      </c>
      <c r="W476" s="197">
        <v>0</v>
      </c>
      <c r="X476" s="199">
        <f t="shared" si="60"/>
        <v>-0.99746499198105099</v>
      </c>
    </row>
    <row r="477" spans="1:24">
      <c r="A477" s="189" t="s">
        <v>14</v>
      </c>
      <c r="B477" s="190" t="s">
        <v>65</v>
      </c>
      <c r="C477" s="190">
        <v>10</v>
      </c>
      <c r="D477" s="191">
        <v>12</v>
      </c>
      <c r="E477" s="192">
        <f t="shared" si="55"/>
        <v>45230</v>
      </c>
      <c r="F477" s="24">
        <f>UTT!X470</f>
        <v>45230</v>
      </c>
      <c r="G477" s="24">
        <f>UTT!Y470</f>
        <v>1486.8965756827131</v>
      </c>
      <c r="H477" s="24">
        <f>UTT!Z470</f>
        <v>1353.306</v>
      </c>
      <c r="I477" s="24">
        <f>UTT!AA470</f>
        <v>139.1</v>
      </c>
      <c r="J477" s="24">
        <f>UTT!AB470</f>
        <v>139.17999999999998</v>
      </c>
      <c r="K477" s="24">
        <f>UTT!AC470</f>
        <v>172.2</v>
      </c>
      <c r="L477" s="195">
        <f t="shared" si="56"/>
        <v>148.8831119343356</v>
      </c>
      <c r="M477" s="195">
        <f t="shared" si="57"/>
        <v>0.7305166815446531</v>
      </c>
      <c r="N477" s="195">
        <f t="shared" si="58"/>
        <v>6.079301075268817</v>
      </c>
      <c r="O477" s="195">
        <f t="shared" si="59"/>
        <v>0.19985169027993455</v>
      </c>
      <c r="P477" s="195">
        <f>UTT!AH470</f>
        <v>0.1818959677419355</v>
      </c>
      <c r="Q477" s="195">
        <f>UTT!AI470</f>
        <v>0.98499999999999999</v>
      </c>
      <c r="R477" s="195">
        <f>UTT!AJ470</f>
        <v>0.90113870967741927</v>
      </c>
      <c r="S477" s="195">
        <f>UTT!AK470</f>
        <v>0.99</v>
      </c>
      <c r="T477" s="198">
        <v>1.4999999999999999E-2</v>
      </c>
      <c r="U477" s="195">
        <f>UTT!AQ470</f>
        <v>1.0000000000000009E-2</v>
      </c>
      <c r="V477" s="198">
        <v>0</v>
      </c>
      <c r="W477" s="197">
        <v>0</v>
      </c>
      <c r="X477" s="199">
        <f t="shared" si="60"/>
        <v>-1.2043726080203252</v>
      </c>
    </row>
    <row r="478" spans="1:24">
      <c r="A478" s="189" t="s">
        <v>14</v>
      </c>
      <c r="B478" s="190" t="s">
        <v>65</v>
      </c>
      <c r="C478" s="190">
        <v>10</v>
      </c>
      <c r="D478" s="191">
        <v>12</v>
      </c>
      <c r="E478" s="192">
        <f t="shared" si="55"/>
        <v>45260</v>
      </c>
      <c r="F478" s="24">
        <f>UTT!X471</f>
        <v>45260</v>
      </c>
      <c r="G478" s="24">
        <f>UTT!Y471</f>
        <v>1316.0197730621364</v>
      </c>
      <c r="H478" s="24">
        <f>UTT!Z471</f>
        <v>1100.1540000000041</v>
      </c>
      <c r="I478" s="24">
        <f>UTT!AA471</f>
        <v>108.1</v>
      </c>
      <c r="J478" s="24">
        <f>UTT!AB471</f>
        <v>95.649999999999991</v>
      </c>
      <c r="K478" s="24">
        <f>UTT!AC471</f>
        <v>152.1</v>
      </c>
      <c r="L478" s="195">
        <f t="shared" si="56"/>
        <v>258.06395183370239</v>
      </c>
      <c r="M478" s="195">
        <f t="shared" si="57"/>
        <v>0.73200782561462496</v>
      </c>
      <c r="N478" s="195">
        <f t="shared" si="58"/>
        <v>6.2861111111111105</v>
      </c>
      <c r="O478" s="195">
        <f t="shared" si="59"/>
        <v>0.18278052403640782</v>
      </c>
      <c r="P478" s="195">
        <f>UTT!AH471</f>
        <v>0.15279916666666724</v>
      </c>
      <c r="Q478" s="195">
        <f>UTT!AI471</f>
        <v>0.98499999999999999</v>
      </c>
      <c r="R478" s="195">
        <f>UTT!AJ471</f>
        <v>0.99723000000000006</v>
      </c>
      <c r="S478" s="195">
        <f>UTT!AK471</f>
        <v>0.99</v>
      </c>
      <c r="T478" s="198">
        <v>1.4999999999999999E-2</v>
      </c>
      <c r="U478" s="195">
        <f>UTT!AQ471</f>
        <v>1.0000000000000009E-2</v>
      </c>
      <c r="V478" s="198">
        <v>0</v>
      </c>
      <c r="W478" s="197">
        <v>0</v>
      </c>
      <c r="X478" s="199">
        <f t="shared" si="60"/>
        <v>-1.561095619849352</v>
      </c>
    </row>
    <row r="479" spans="1:24">
      <c r="A479" s="189" t="s">
        <v>14</v>
      </c>
      <c r="B479" s="190" t="s">
        <v>65</v>
      </c>
      <c r="C479" s="190">
        <v>10</v>
      </c>
      <c r="D479" s="191">
        <v>12</v>
      </c>
      <c r="E479" s="192">
        <f t="shared" si="55"/>
        <v>45291</v>
      </c>
      <c r="F479" s="24">
        <f>UTT!X472</f>
        <v>45291</v>
      </c>
      <c r="G479" s="24">
        <f>UTT!Y472</f>
        <v>1105.7786808326314</v>
      </c>
      <c r="H479" s="24">
        <f>UTT!Z472</f>
        <v>993.31799999999998</v>
      </c>
      <c r="I479" s="24">
        <f>UTT!AA472</f>
        <v>89.9</v>
      </c>
      <c r="J479" s="24">
        <f>UTT!AB472</f>
        <v>82.71</v>
      </c>
      <c r="K479" s="24">
        <f>UTT!AC472</f>
        <v>129.6</v>
      </c>
      <c r="L479" s="195">
        <f t="shared" si="56"/>
        <v>341.78836376032081</v>
      </c>
      <c r="M479" s="195">
        <f t="shared" si="57"/>
        <v>0.72184796173089627</v>
      </c>
      <c r="N479" s="195">
        <f t="shared" si="58"/>
        <v>6.0875000000000004</v>
      </c>
      <c r="O479" s="195">
        <f t="shared" si="59"/>
        <v>0.14862616677857948</v>
      </c>
      <c r="P479" s="195">
        <f>UTT!AH472</f>
        <v>0.13351048387096773</v>
      </c>
      <c r="Q479" s="195">
        <f>UTT!AI472</f>
        <v>0.98499999999999999</v>
      </c>
      <c r="R479" s="195">
        <f>UTT!AJ472</f>
        <v>0.99764838709677428</v>
      </c>
      <c r="S479" s="195">
        <f>UTT!AK472</f>
        <v>0.99</v>
      </c>
      <c r="T479" s="198">
        <v>1.4999999999999999E-2</v>
      </c>
      <c r="U479" s="195">
        <f>UTT!AQ472</f>
        <v>1.0000000000000009E-2</v>
      </c>
      <c r="V479" s="198">
        <v>0</v>
      </c>
      <c r="W479" s="197">
        <v>0</v>
      </c>
      <c r="X479" s="199">
        <f t="shared" si="60"/>
        <v>-1.5425055897702369</v>
      </c>
    </row>
    <row r="480" spans="1:24">
      <c r="A480" s="189" t="s">
        <v>14</v>
      </c>
      <c r="B480" s="190" t="s">
        <v>65</v>
      </c>
      <c r="C480" s="190">
        <v>10</v>
      </c>
      <c r="D480" s="191">
        <v>12</v>
      </c>
      <c r="E480" s="192">
        <f t="shared" si="55"/>
        <v>45322</v>
      </c>
      <c r="F480" s="24">
        <f>UTT!X473</f>
        <v>45322</v>
      </c>
      <c r="G480" s="24">
        <f>UTT!Y473</f>
        <v>930.2273688209948</v>
      </c>
      <c r="H480" s="24">
        <f>UTT!Z473</f>
        <v>414.74400000000003</v>
      </c>
      <c r="I480" s="24">
        <f>UTT!AA473</f>
        <v>79.599999999999994</v>
      </c>
      <c r="J480" s="24">
        <f>UTT!AB473</f>
        <v>43.78</v>
      </c>
      <c r="K480" s="24">
        <f>UTT!AC473</f>
        <v>103.2</v>
      </c>
      <c r="L480" s="195">
        <f t="shared" si="56"/>
        <v>1547.5507027503452</v>
      </c>
      <c r="M480" s="195">
        <f t="shared" si="57"/>
        <v>0.76259146304794367</v>
      </c>
      <c r="N480" s="195">
        <f t="shared" si="58"/>
        <v>6.0916666666666668</v>
      </c>
      <c r="O480" s="195">
        <f t="shared" si="59"/>
        <v>0.12503056032540255</v>
      </c>
      <c r="P480" s="195">
        <f>UTT!AH473</f>
        <v>5.5745161290322587E-2</v>
      </c>
      <c r="Q480" s="195">
        <f>UTT!AI473</f>
        <v>0.98499999999999999</v>
      </c>
      <c r="R480" s="195">
        <f>UTT!AJ473</f>
        <v>0.99199999999999999</v>
      </c>
      <c r="S480" s="195">
        <f>UTT!AK473</f>
        <v>0.99</v>
      </c>
      <c r="T480" s="198">
        <v>1.4999999999999999E-2</v>
      </c>
      <c r="U480" s="195">
        <f>UTT!AQ473</f>
        <v>1.0000000000000009E-2</v>
      </c>
      <c r="V480" s="198">
        <v>0</v>
      </c>
      <c r="W480" s="197">
        <v>0</v>
      </c>
      <c r="X480" s="199">
        <f t="shared" si="60"/>
        <v>-2.3367158966163508</v>
      </c>
    </row>
    <row r="481" spans="1:24">
      <c r="A481" s="189" t="s">
        <v>14</v>
      </c>
      <c r="B481" s="190" t="s">
        <v>65</v>
      </c>
      <c r="C481" s="190">
        <v>10</v>
      </c>
      <c r="D481" s="191">
        <v>12</v>
      </c>
      <c r="E481" s="192">
        <f t="shared" si="55"/>
        <v>45351</v>
      </c>
      <c r="F481" s="24">
        <f>UTT!X474</f>
        <v>45351</v>
      </c>
      <c r="G481" s="24">
        <f>UTT!Y474</f>
        <v>1221.3128708348368</v>
      </c>
      <c r="H481" s="24">
        <f>UTT!Z474</f>
        <v>1160.9939999999986</v>
      </c>
      <c r="I481" s="24">
        <f>UTT!AA474</f>
        <v>108.1</v>
      </c>
      <c r="J481" s="24">
        <f>UTT!AB474</f>
        <v>113.08999999999997</v>
      </c>
      <c r="K481" s="24">
        <f>UTT!AC474</f>
        <v>137.5</v>
      </c>
      <c r="L481" s="195">
        <f t="shared" si="56"/>
        <v>200.33677670849997</v>
      </c>
      <c r="M481" s="195">
        <f t="shared" si="57"/>
        <v>0.75146154181500502</v>
      </c>
      <c r="N481" s="195">
        <f t="shared" si="58"/>
        <v>6.5159482758620682</v>
      </c>
      <c r="O481" s="195">
        <f t="shared" si="59"/>
        <v>0.17547598718891333</v>
      </c>
      <c r="P481" s="195">
        <f>UTT!AH474</f>
        <v>0.16680948275862048</v>
      </c>
      <c r="Q481" s="195">
        <f>UTT!AI474</f>
        <v>0.98499999999999999</v>
      </c>
      <c r="R481" s="195">
        <f>UTT!AJ474</f>
        <v>0.97250000000000003</v>
      </c>
      <c r="S481" s="195">
        <f>UTT!AK474</f>
        <v>0.99</v>
      </c>
      <c r="T481" s="198">
        <v>1.4999999999999999E-2</v>
      </c>
      <c r="U481" s="195">
        <f>UTT!AQ474</f>
        <v>5.8931034482758715E-3</v>
      </c>
      <c r="V481" s="198">
        <v>0</v>
      </c>
      <c r="W481" s="197">
        <v>0</v>
      </c>
      <c r="X481" s="199">
        <f t="shared" si="60"/>
        <v>-1.1889155563188787</v>
      </c>
    </row>
    <row r="482" spans="1:24">
      <c r="A482" s="189" t="s">
        <v>14</v>
      </c>
      <c r="B482" s="190" t="s">
        <v>65</v>
      </c>
      <c r="C482" s="190">
        <v>10</v>
      </c>
      <c r="D482" s="191">
        <v>12</v>
      </c>
      <c r="E482" s="192">
        <f t="shared" si="55"/>
        <v>45382</v>
      </c>
      <c r="F482" s="24">
        <f>UTT!X475</f>
        <v>45382</v>
      </c>
      <c r="G482" s="24">
        <f>UTT!Y475</f>
        <v>1637.9123049096938</v>
      </c>
      <c r="H482" s="24">
        <f>UTT!Z475</f>
        <v>1479.4739999999999</v>
      </c>
      <c r="I482" s="24">
        <f>UTT!AA475</f>
        <v>161.4</v>
      </c>
      <c r="J482" s="24">
        <f>UTT!AB475</f>
        <v>157.08999999999997</v>
      </c>
      <c r="K482" s="24">
        <f>UTT!AC475</f>
        <v>187.8</v>
      </c>
      <c r="L482" s="195">
        <f t="shared" si="56"/>
        <v>121.06523347925594</v>
      </c>
      <c r="M482" s="195">
        <f t="shared" si="57"/>
        <v>0.73786613946042501</v>
      </c>
      <c r="N482" s="195">
        <f t="shared" si="58"/>
        <v>6.0997311827956988</v>
      </c>
      <c r="O482" s="195">
        <f t="shared" si="59"/>
        <v>0.22014950334807709</v>
      </c>
      <c r="P482" s="195">
        <f>UTT!AH475</f>
        <v>0.1988540322580645</v>
      </c>
      <c r="Q482" s="195">
        <f>UTT!AI475</f>
        <v>0.98499999999999999</v>
      </c>
      <c r="R482" s="195">
        <f>UTT!AJ475</f>
        <v>0.99608847741935502</v>
      </c>
      <c r="S482" s="195">
        <f>UTT!AK475</f>
        <v>0.99</v>
      </c>
      <c r="T482" s="198">
        <v>1.4999999999999999E-2</v>
      </c>
      <c r="U482" s="195">
        <f>UTT!AQ475</f>
        <v>1.0000000000000009E-2</v>
      </c>
      <c r="V482" s="198">
        <v>0</v>
      </c>
      <c r="W482" s="197">
        <v>0</v>
      </c>
      <c r="X482" s="199">
        <f t="shared" si="60"/>
        <v>-1.1594013564554002</v>
      </c>
    </row>
    <row r="483" spans="1:24">
      <c r="A483" s="189" t="s">
        <v>14</v>
      </c>
      <c r="B483" s="190" t="s">
        <v>65</v>
      </c>
      <c r="C483" s="190">
        <v>10</v>
      </c>
      <c r="D483" s="191">
        <v>12</v>
      </c>
      <c r="E483" s="192">
        <f t="shared" si="55"/>
        <v>45412</v>
      </c>
      <c r="F483" s="24">
        <f>UTT!X476</f>
        <v>45412</v>
      </c>
      <c r="G483" s="24">
        <f>UTT!Y476</f>
        <v>1693.9929979582321</v>
      </c>
      <c r="H483" s="24">
        <f>UTT!Z476</f>
        <v>1519.626</v>
      </c>
      <c r="I483" s="24">
        <f>UTT!AA476</f>
        <v>190.2</v>
      </c>
      <c r="J483" s="24">
        <f>UTT!AB476</f>
        <v>183.76</v>
      </c>
      <c r="K483" s="24">
        <f>UTT!AC476</f>
        <v>194</v>
      </c>
      <c r="L483" s="195">
        <f t="shared" si="56"/>
        <v>97.574016363113572</v>
      </c>
      <c r="M483" s="195">
        <f t="shared" si="57"/>
        <v>0.73874134263010105</v>
      </c>
      <c r="N483" s="195">
        <f t="shared" si="58"/>
        <v>6.3072222222222223</v>
      </c>
      <c r="O483" s="195">
        <f t="shared" si="59"/>
        <v>0.2352768052719767</v>
      </c>
      <c r="P483" s="195">
        <f>UTT!AH476</f>
        <v>0.21105916666666666</v>
      </c>
      <c r="Q483" s="195">
        <f>UTT!AI476</f>
        <v>0.98499999999999999</v>
      </c>
      <c r="R483" s="195">
        <f>UTT!AJ476</f>
        <v>0.98209540965887099</v>
      </c>
      <c r="S483" s="195">
        <f>UTT!AK476</f>
        <v>0.99</v>
      </c>
      <c r="T483" s="198">
        <v>1.4999999999999999E-2</v>
      </c>
      <c r="U483" s="195">
        <f>UTT!AQ476</f>
        <v>9.5633333333332571E-3</v>
      </c>
      <c r="V483" s="198">
        <v>0</v>
      </c>
      <c r="W483" s="197">
        <v>0</v>
      </c>
      <c r="X483" s="199">
        <f t="shared" si="60"/>
        <v>-1.0184220971714064</v>
      </c>
    </row>
    <row r="484" spans="1:24">
      <c r="A484" s="189" t="s">
        <v>14</v>
      </c>
      <c r="B484" s="190" t="s">
        <v>65</v>
      </c>
      <c r="C484" s="190">
        <v>10</v>
      </c>
      <c r="D484" s="191">
        <v>12</v>
      </c>
      <c r="E484" s="192">
        <f t="shared" si="55"/>
        <v>45443</v>
      </c>
      <c r="F484" s="24">
        <f>UTT!X477</f>
        <v>45443</v>
      </c>
      <c r="G484" s="24">
        <f>UTT!Y477</f>
        <v>1716.2472412314617</v>
      </c>
      <c r="H484" s="24">
        <f>UTT!Z477</f>
        <v>1411.374</v>
      </c>
      <c r="I484" s="24">
        <f>UTT!AA477</f>
        <v>197</v>
      </c>
      <c r="J484" s="24">
        <f>UTT!AB477</f>
        <v>195.99999999999994</v>
      </c>
      <c r="K484" s="24">
        <f>UTT!AC477</f>
        <v>197.7</v>
      </c>
      <c r="L484" s="195">
        <f t="shared" si="56"/>
        <v>101.84987487804258</v>
      </c>
      <c r="M484" s="195">
        <f t="shared" si="57"/>
        <v>0.73443895886941013</v>
      </c>
      <c r="N484" s="195">
        <f t="shared" si="58"/>
        <v>6.1079301075268813</v>
      </c>
      <c r="O484" s="195">
        <f t="shared" si="59"/>
        <v>0.23067839263863732</v>
      </c>
      <c r="P484" s="195">
        <f>UTT!AH477</f>
        <v>0.18970080645161291</v>
      </c>
      <c r="Q484" s="195">
        <f>UTT!AI477</f>
        <v>0.98499999999999999</v>
      </c>
      <c r="R484" s="195">
        <f>UTT!AJ477</f>
        <v>0.96048984429622475</v>
      </c>
      <c r="S484" s="195">
        <f>UTT!AK477</f>
        <v>0.99</v>
      </c>
      <c r="T484" s="198">
        <v>1.4999999999999999E-2</v>
      </c>
      <c r="U484" s="195">
        <f>UTT!AQ477</f>
        <v>9.5741935483870666E-3</v>
      </c>
      <c r="V484" s="198">
        <v>0</v>
      </c>
      <c r="W484" s="197">
        <v>0</v>
      </c>
      <c r="X484" s="199">
        <f t="shared" si="60"/>
        <v>-0.97090643725450121</v>
      </c>
    </row>
    <row r="485" spans="1:24">
      <c r="A485" s="189" t="s">
        <v>14</v>
      </c>
      <c r="B485" s="190" t="s">
        <v>65</v>
      </c>
      <c r="C485" s="190">
        <v>10</v>
      </c>
      <c r="D485" s="191">
        <v>12</v>
      </c>
      <c r="E485" s="192">
        <f t="shared" si="55"/>
        <v>45473</v>
      </c>
      <c r="F485" s="24">
        <f>UTT!X478</f>
        <v>45473</v>
      </c>
      <c r="G485" s="24">
        <f>UTT!Y478</f>
        <v>1540.8838042384129</v>
      </c>
      <c r="H485" s="24">
        <f>UTT!Z478</f>
        <v>1440.366</v>
      </c>
      <c r="I485" s="24">
        <f>UTT!AA478</f>
        <v>178.9</v>
      </c>
      <c r="J485" s="24">
        <f>UTT!AB478</f>
        <v>188.72</v>
      </c>
      <c r="K485" s="24">
        <f>UTT!AC478</f>
        <v>177.2</v>
      </c>
      <c r="L485" s="195">
        <f t="shared" si="56"/>
        <v>100.37234442562084</v>
      </c>
      <c r="M485" s="195">
        <f t="shared" si="57"/>
        <v>0.73567957102894677</v>
      </c>
      <c r="N485" s="195">
        <f t="shared" si="58"/>
        <v>6.3156944444444445</v>
      </c>
      <c r="O485" s="195">
        <f t="shared" si="59"/>
        <v>0.21401163947755736</v>
      </c>
      <c r="P485" s="195">
        <f>UTT!AH478</f>
        <v>0.20005083333333334</v>
      </c>
      <c r="Q485" s="195">
        <f>UTT!AI478</f>
        <v>0.98499999999999999</v>
      </c>
      <c r="R485" s="195">
        <f>UTT!AJ478</f>
        <v>0.95689999999999997</v>
      </c>
      <c r="S485" s="195">
        <f>UTT!AK478</f>
        <v>0.99</v>
      </c>
      <c r="T485" s="198">
        <v>1.4999999999999999E-2</v>
      </c>
      <c r="U485" s="195">
        <f>UTT!AQ478</f>
        <v>1.0000000000000009E-2</v>
      </c>
      <c r="V485" s="198">
        <v>0</v>
      </c>
      <c r="W485" s="197">
        <v>0</v>
      </c>
      <c r="X485" s="199">
        <f t="shared" si="60"/>
        <v>-0.90507149914329976</v>
      </c>
    </row>
    <row r="486" spans="1:24">
      <c r="A486" s="189" t="s">
        <v>14</v>
      </c>
      <c r="B486" s="190" t="s">
        <v>65</v>
      </c>
      <c r="C486" s="190">
        <v>10</v>
      </c>
      <c r="D486" s="191">
        <v>12</v>
      </c>
      <c r="E486" s="192">
        <f t="shared" si="55"/>
        <v>45504</v>
      </c>
      <c r="F486" s="24">
        <f>UTT!X479</f>
        <v>45504</v>
      </c>
      <c r="G486" s="24">
        <f>UTT!Y479</f>
        <v>1363.7400277835059</v>
      </c>
      <c r="H486" s="24">
        <f>UTT!Z479</f>
        <v>1184.046</v>
      </c>
      <c r="I486" s="24">
        <f>UTT!AA479</f>
        <v>155.5</v>
      </c>
      <c r="J486" s="24">
        <f>UTT!AB479</f>
        <v>141.75000000000003</v>
      </c>
      <c r="K486" s="24">
        <f>UTT!AC479</f>
        <v>154.6</v>
      </c>
      <c r="L486" s="195">
        <f t="shared" si="56"/>
        <v>168.09299745942403</v>
      </c>
      <c r="M486" s="195">
        <f t="shared" si="57"/>
        <v>0.74628484390890637</v>
      </c>
      <c r="N486" s="195">
        <f t="shared" si="58"/>
        <v>6.1161290322580646</v>
      </c>
      <c r="O486" s="195">
        <f t="shared" si="59"/>
        <v>0.18329839083111638</v>
      </c>
      <c r="P486" s="195">
        <f>UTT!AH479</f>
        <v>0.15914596774193551</v>
      </c>
      <c r="Q486" s="195">
        <f>UTT!AI479</f>
        <v>0.98499999999999999</v>
      </c>
      <c r="R486" s="195">
        <f>UTT!AJ479</f>
        <v>0.93979604180145149</v>
      </c>
      <c r="S486" s="195">
        <f>UTT!AK479</f>
        <v>0.99</v>
      </c>
      <c r="T486" s="198">
        <v>1.4999999999999999E-2</v>
      </c>
      <c r="U486" s="195">
        <f>UTT!AQ479</f>
        <v>1.0000000000000009E-2</v>
      </c>
      <c r="V486" s="198">
        <v>0</v>
      </c>
      <c r="W486" s="197">
        <v>0</v>
      </c>
      <c r="X486" s="199">
        <f t="shared" si="60"/>
        <v>-1.0606828837128703</v>
      </c>
    </row>
    <row r="487" spans="1:24">
      <c r="A487" s="189" t="s">
        <v>14</v>
      </c>
      <c r="B487" s="190" t="s">
        <v>65</v>
      </c>
      <c r="C487" s="190">
        <v>10</v>
      </c>
      <c r="D487" s="191">
        <v>12</v>
      </c>
      <c r="E487" s="192">
        <f t="shared" si="55"/>
        <v>45535</v>
      </c>
      <c r="F487" s="24">
        <f>UTT!X480</f>
        <v>45535</v>
      </c>
      <c r="G487" s="24">
        <f>UTT!Y480</f>
        <v>1295.196958501959</v>
      </c>
      <c r="H487" s="24">
        <f>UTT!Z480</f>
        <v>1348.566</v>
      </c>
      <c r="I487" s="24">
        <f>UTT!AA480</f>
        <v>145.4</v>
      </c>
      <c r="J487" s="24">
        <f>UTT!AB480</f>
        <v>161.11999999999995</v>
      </c>
      <c r="K487" s="24">
        <f>UTT!AC480</f>
        <v>146.30000000000001</v>
      </c>
      <c r="L487" s="195">
        <f t="shared" si="56"/>
        <v>129.93177492397493</v>
      </c>
      <c r="M487" s="195">
        <f t="shared" si="57"/>
        <v>0.74898654024421851</v>
      </c>
      <c r="N487" s="195">
        <f t="shared" si="58"/>
        <v>6.120295698924731</v>
      </c>
      <c r="O487" s="195">
        <f t="shared" si="59"/>
        <v>0.1740856127018762</v>
      </c>
      <c r="P487" s="195">
        <f>UTT!AH480</f>
        <v>0.18125887096774193</v>
      </c>
      <c r="Q487" s="195">
        <f>UTT!AI480</f>
        <v>0.98499999999999999</v>
      </c>
      <c r="R487" s="195">
        <f>UTT!AJ480</f>
        <v>0.94827003709677415</v>
      </c>
      <c r="S487" s="195">
        <f>UTT!AK480</f>
        <v>0.99</v>
      </c>
      <c r="T487" s="198">
        <v>1.4999999999999999E-2</v>
      </c>
      <c r="U487" s="195">
        <f>UTT!AQ480</f>
        <v>1.0000000000000009E-2</v>
      </c>
      <c r="V487" s="198">
        <v>0</v>
      </c>
      <c r="W487" s="197">
        <v>0</v>
      </c>
      <c r="X487" s="199">
        <f t="shared" si="60"/>
        <v>-0.8795748806948821</v>
      </c>
    </row>
    <row r="488" spans="1:24">
      <c r="A488" s="189" t="s">
        <v>14</v>
      </c>
      <c r="B488" s="190" t="s">
        <v>65</v>
      </c>
      <c r="C488" s="190">
        <v>10</v>
      </c>
      <c r="D488" s="191">
        <v>12</v>
      </c>
      <c r="E488" s="192">
        <f t="shared" si="55"/>
        <v>45565</v>
      </c>
      <c r="F488" s="24">
        <f>UTT!X481</f>
        <v>45565</v>
      </c>
      <c r="G488" s="24">
        <f>UTT!Y481</f>
        <v>1290.7461098473132</v>
      </c>
      <c r="H488" s="24">
        <f>UTT!Z481</f>
        <v>1065.3119999999999</v>
      </c>
      <c r="I488" s="24">
        <f>UTT!AA481</f>
        <v>141.6</v>
      </c>
      <c r="J488" s="24">
        <f>UTT!AB481</f>
        <v>120.02</v>
      </c>
      <c r="K488" s="24">
        <f>UTT!AC481</f>
        <v>145.5</v>
      </c>
      <c r="L488" s="195">
        <f t="shared" si="56"/>
        <v>213.82189958818105</v>
      </c>
      <c r="M488" s="195">
        <f t="shared" si="57"/>
        <v>0.75051669070845806</v>
      </c>
      <c r="N488" s="195">
        <f t="shared" si="58"/>
        <v>6.3284722222222225</v>
      </c>
      <c r="O488" s="195">
        <f t="shared" si="59"/>
        <v>0.17927029303434905</v>
      </c>
      <c r="P488" s="195">
        <f>UTT!AH481</f>
        <v>0.14796000000000001</v>
      </c>
      <c r="Q488" s="195">
        <f>UTT!AI481</f>
        <v>0.98499999999999999</v>
      </c>
      <c r="R488" s="195">
        <f>UTT!AJ481</f>
        <v>0.93935566300000006</v>
      </c>
      <c r="S488" s="195">
        <f>UTT!AK481</f>
        <v>0.99</v>
      </c>
      <c r="T488" s="198">
        <v>1.4999999999999999E-2</v>
      </c>
      <c r="U488" s="195">
        <f>UTT!AQ481</f>
        <v>1.0000000000000009E-2</v>
      </c>
      <c r="V488" s="198">
        <v>0</v>
      </c>
      <c r="W488" s="197">
        <v>0</v>
      </c>
      <c r="X488" s="199">
        <f t="shared" si="60"/>
        <v>-1.1839703719404837</v>
      </c>
    </row>
    <row r="489" spans="1:24">
      <c r="A489" s="189" t="s">
        <v>14</v>
      </c>
      <c r="B489" s="190" t="s">
        <v>65</v>
      </c>
      <c r="C489" s="190">
        <v>10</v>
      </c>
      <c r="D489" s="191">
        <v>12</v>
      </c>
      <c r="E489" s="192">
        <f t="shared" si="55"/>
        <v>45596</v>
      </c>
      <c r="F489" s="24">
        <f>UTT!X482</f>
        <v>45596</v>
      </c>
      <c r="G489" s="24">
        <f>UTT!Y482</f>
        <v>1479.4620928042996</v>
      </c>
      <c r="H489" s="24">
        <f>UTT!Z482</f>
        <v>1252.9380000000001</v>
      </c>
      <c r="I489" s="24">
        <f>UTT!AA482</f>
        <v>139.1</v>
      </c>
      <c r="J489" s="24">
        <f>UTT!AB482</f>
        <v>126.35999999999997</v>
      </c>
      <c r="K489" s="24">
        <f>UTT!AC482</f>
        <v>172.2</v>
      </c>
      <c r="L489" s="195">
        <f t="shared" si="56"/>
        <v>178.55796850625185</v>
      </c>
      <c r="M489" s="195">
        <f t="shared" si="57"/>
        <v>0.72686409813692987</v>
      </c>
      <c r="N489" s="195">
        <f t="shared" si="58"/>
        <v>6.1284946236559135</v>
      </c>
      <c r="O489" s="195">
        <f t="shared" si="59"/>
        <v>0.1988524318285349</v>
      </c>
      <c r="P489" s="195">
        <f>UTT!AH482</f>
        <v>0.16840564516129033</v>
      </c>
      <c r="Q489" s="195">
        <f>UTT!AI482</f>
        <v>0.98499999999999999</v>
      </c>
      <c r="R489" s="195">
        <f>UTT!AJ482</f>
        <v>0.97062213081083881</v>
      </c>
      <c r="S489" s="195">
        <f>UTT!AK482</f>
        <v>0.99</v>
      </c>
      <c r="T489" s="198">
        <v>1.4999999999999999E-2</v>
      </c>
      <c r="U489" s="195">
        <f>UTT!AQ482</f>
        <v>5.2870967741935893E-3</v>
      </c>
      <c r="V489" s="198">
        <v>0</v>
      </c>
      <c r="W489" s="197">
        <v>0</v>
      </c>
      <c r="X489" s="199">
        <f t="shared" si="60"/>
        <v>-1.3303258390544803</v>
      </c>
    </row>
    <row r="490" spans="1:24">
      <c r="A490" s="189" t="s">
        <v>14</v>
      </c>
      <c r="B490" s="190" t="s">
        <v>65</v>
      </c>
      <c r="C490" s="190">
        <v>10</v>
      </c>
      <c r="D490" s="191">
        <v>12</v>
      </c>
      <c r="E490" s="192">
        <f t="shared" si="55"/>
        <v>45626</v>
      </c>
      <c r="F490" s="24">
        <f>UTT!X483</f>
        <v>45626</v>
      </c>
      <c r="G490" s="24">
        <f>UTT!Y483</f>
        <v>1309.4396741968258</v>
      </c>
      <c r="H490" s="24">
        <f>UTT!Z483</f>
        <v>929.72400000000005</v>
      </c>
      <c r="I490" s="24">
        <f>UTT!AA483</f>
        <v>108.1</v>
      </c>
      <c r="J490" s="24">
        <f>UTT!AB483</f>
        <v>82.050000000000011</v>
      </c>
      <c r="K490" s="24">
        <f>UTT!AC483</f>
        <v>152.1</v>
      </c>
      <c r="L490" s="195">
        <f t="shared" si="56"/>
        <v>358.86493003128822</v>
      </c>
      <c r="M490" s="195">
        <f t="shared" si="57"/>
        <v>0.72834778648655196</v>
      </c>
      <c r="N490" s="195">
        <f t="shared" si="58"/>
        <v>6.3369444444444438</v>
      </c>
      <c r="O490" s="195">
        <f t="shared" si="59"/>
        <v>0.18186662141622578</v>
      </c>
      <c r="P490" s="195">
        <f>UTT!AH483</f>
        <v>0.12912833333333334</v>
      </c>
      <c r="Q490" s="195">
        <f>UTT!AI483</f>
        <v>0.98499999999999999</v>
      </c>
      <c r="R490" s="195">
        <f>UTT!AJ483</f>
        <v>0.98036069900000011</v>
      </c>
      <c r="S490" s="195">
        <f>UTT!AK483</f>
        <v>0.99</v>
      </c>
      <c r="T490" s="198">
        <v>1.4999999999999999E-2</v>
      </c>
      <c r="U490" s="195">
        <f>UTT!AQ483</f>
        <v>1.0000000000000009E-2</v>
      </c>
      <c r="V490" s="198">
        <v>0</v>
      </c>
      <c r="W490" s="197">
        <v>0</v>
      </c>
      <c r="X490" s="199">
        <f t="shared" si="60"/>
        <v>-1.8250482961827679</v>
      </c>
    </row>
    <row r="491" spans="1:24">
      <c r="A491" s="189" t="s">
        <v>14</v>
      </c>
      <c r="B491" s="190" t="s">
        <v>65</v>
      </c>
      <c r="C491" s="190">
        <v>10</v>
      </c>
      <c r="D491" s="191">
        <v>12</v>
      </c>
      <c r="E491" s="192">
        <f t="shared" si="55"/>
        <v>45657</v>
      </c>
      <c r="F491" s="24">
        <f>UTT!X484</f>
        <v>45657</v>
      </c>
      <c r="G491" s="24">
        <f>UTT!Y484</f>
        <v>1100.2497874284682</v>
      </c>
      <c r="H491" s="24">
        <f>UTT!Z484</f>
        <v>988.63800000000003</v>
      </c>
      <c r="I491" s="24">
        <f>UTT!AA484</f>
        <v>89.9</v>
      </c>
      <c r="J491" s="24">
        <f>UTT!AB484</f>
        <v>79.329999999999984</v>
      </c>
      <c r="K491" s="24">
        <f>UTT!AC484</f>
        <v>129.6</v>
      </c>
      <c r="L491" s="195">
        <f t="shared" si="56"/>
        <v>360.93110213212913</v>
      </c>
      <c r="M491" s="195">
        <f t="shared" si="57"/>
        <v>0.7182387219222417</v>
      </c>
      <c r="N491" s="195">
        <f t="shared" si="58"/>
        <v>6.1366935483870968</v>
      </c>
      <c r="O491" s="195">
        <f t="shared" si="59"/>
        <v>0.1478830359446866</v>
      </c>
      <c r="P491" s="195">
        <f>UTT!AH484</f>
        <v>0.13288145161290321</v>
      </c>
      <c r="Q491" s="195">
        <f>UTT!AI484</f>
        <v>0.98499999999999999</v>
      </c>
      <c r="R491" s="195">
        <f>UTT!AJ484</f>
        <v>0.99183870967741938</v>
      </c>
      <c r="S491" s="195">
        <f>UTT!AK484</f>
        <v>0.99</v>
      </c>
      <c r="T491" s="198">
        <v>1.4999999999999999E-2</v>
      </c>
      <c r="U491" s="195">
        <f>UTT!AQ484</f>
        <v>1.0000000000000009E-2</v>
      </c>
      <c r="V491" s="198">
        <v>0</v>
      </c>
      <c r="W491" s="197">
        <v>0</v>
      </c>
      <c r="X491" s="199">
        <f t="shared" si="60"/>
        <v>-1.6095839253732764</v>
      </c>
    </row>
    <row r="492" spans="1:24">
      <c r="A492" s="189"/>
      <c r="B492" s="190"/>
      <c r="C492" s="190"/>
      <c r="D492" s="191"/>
      <c r="E492" s="192"/>
      <c r="F492" s="24"/>
      <c r="G492" s="24"/>
      <c r="H492" s="24"/>
      <c r="I492" s="24"/>
      <c r="J492" s="24"/>
      <c r="K492" s="24"/>
      <c r="L492" s="195"/>
      <c r="M492" s="195"/>
      <c r="N492" s="195"/>
      <c r="O492" s="195"/>
      <c r="P492" s="195"/>
      <c r="Q492" s="195"/>
      <c r="R492" s="195"/>
      <c r="S492" s="204"/>
      <c r="T492" s="198"/>
      <c r="U492" s="204"/>
      <c r="V492" s="198"/>
      <c r="W492" s="197"/>
      <c r="X492" s="199"/>
    </row>
    <row r="493" spans="1:24">
      <c r="A493" s="189"/>
      <c r="B493" s="190"/>
      <c r="C493" s="190"/>
      <c r="D493" s="191"/>
      <c r="E493" s="192"/>
      <c r="F493" s="24"/>
      <c r="G493" s="24"/>
      <c r="H493" s="24"/>
      <c r="I493" s="24"/>
      <c r="J493" s="24"/>
      <c r="K493" s="24"/>
      <c r="L493" s="195"/>
      <c r="M493" s="195"/>
      <c r="N493" s="195"/>
      <c r="O493" s="195"/>
      <c r="P493" s="195"/>
      <c r="Q493" s="195"/>
      <c r="R493" s="195"/>
      <c r="S493" s="204"/>
      <c r="T493" s="198"/>
      <c r="U493" s="204"/>
      <c r="V493" s="198"/>
      <c r="W493" s="197"/>
      <c r="X493" s="199"/>
    </row>
    <row r="494" spans="1:24">
      <c r="A494" s="189"/>
      <c r="B494" s="190"/>
      <c r="C494" s="190"/>
      <c r="D494" s="191"/>
      <c r="E494" s="192"/>
      <c r="F494" s="24"/>
      <c r="G494" s="24"/>
      <c r="H494" s="24"/>
      <c r="I494" s="24"/>
      <c r="J494" s="24"/>
      <c r="K494" s="24"/>
      <c r="L494" s="195"/>
      <c r="M494" s="195"/>
      <c r="N494" s="195"/>
      <c r="O494" s="195"/>
      <c r="P494" s="195"/>
      <c r="Q494" s="195"/>
      <c r="R494" s="195"/>
      <c r="S494" s="204"/>
      <c r="T494" s="198"/>
      <c r="U494" s="204"/>
      <c r="V494" s="198"/>
      <c r="W494" s="197"/>
      <c r="X494" s="199"/>
    </row>
    <row r="495" spans="1:24">
      <c r="A495" s="189"/>
      <c r="B495" s="190"/>
      <c r="C495" s="190"/>
      <c r="D495" s="191"/>
      <c r="E495" s="192"/>
      <c r="F495" s="24"/>
      <c r="G495" s="24"/>
      <c r="H495" s="24"/>
      <c r="I495" s="24"/>
      <c r="J495" s="24"/>
      <c r="K495" s="24"/>
      <c r="L495" s="195"/>
      <c r="M495" s="195"/>
      <c r="N495" s="195"/>
      <c r="O495" s="195"/>
      <c r="P495" s="195"/>
      <c r="Q495" s="195"/>
      <c r="R495" s="195"/>
      <c r="S495" s="204"/>
      <c r="T495" s="198"/>
      <c r="U495" s="204"/>
      <c r="V495" s="198"/>
      <c r="W495" s="197"/>
      <c r="X495" s="199"/>
    </row>
    <row r="496" spans="1:24">
      <c r="A496" s="189"/>
      <c r="B496" s="190"/>
      <c r="C496" s="190"/>
      <c r="D496" s="191"/>
      <c r="E496" s="192"/>
      <c r="F496" s="24"/>
      <c r="G496" s="24"/>
      <c r="H496" s="24"/>
      <c r="I496" s="24"/>
      <c r="J496" s="24"/>
      <c r="K496" s="24"/>
      <c r="L496" s="195"/>
      <c r="M496" s="195"/>
      <c r="N496" s="195"/>
      <c r="O496" s="195"/>
      <c r="P496" s="195"/>
      <c r="Q496" s="195"/>
      <c r="R496" s="195"/>
      <c r="S496" s="204"/>
      <c r="T496" s="198"/>
      <c r="U496" s="204"/>
      <c r="V496" s="198"/>
      <c r="W496" s="197"/>
      <c r="X496" s="199"/>
    </row>
    <row r="497" spans="1:24">
      <c r="A497" s="189" t="s">
        <v>14</v>
      </c>
      <c r="B497" s="190" t="s">
        <v>66</v>
      </c>
      <c r="C497" s="190">
        <v>5</v>
      </c>
      <c r="D497" s="191">
        <v>6</v>
      </c>
      <c r="E497" s="192">
        <v>42766</v>
      </c>
      <c r="F497" s="24"/>
      <c r="G497" s="24">
        <v>0</v>
      </c>
      <c r="H497" s="193">
        <v>79.599999999999994</v>
      </c>
      <c r="I497" s="194"/>
      <c r="J497" s="193">
        <v>103.2</v>
      </c>
      <c r="K497" s="194"/>
      <c r="L497" s="195">
        <v>0.82763481424572438</v>
      </c>
      <c r="M497" s="195"/>
      <c r="N497" s="195"/>
      <c r="O497" s="195"/>
      <c r="P497" s="195">
        <v>0.98499999999999999</v>
      </c>
      <c r="Q497" s="195"/>
      <c r="R497" s="196">
        <v>0.99</v>
      </c>
      <c r="S497" s="197"/>
      <c r="T497" s="198">
        <v>1.4999999999999999E-2</v>
      </c>
      <c r="U497" s="197">
        <v>0</v>
      </c>
      <c r="V497" s="198">
        <v>0</v>
      </c>
      <c r="W497" s="197">
        <v>0</v>
      </c>
      <c r="X497" s="199" t="e">
        <f t="shared" si="54"/>
        <v>#DIV/0!</v>
      </c>
    </row>
    <row r="498" spans="1:24">
      <c r="A498" s="189" t="s">
        <v>14</v>
      </c>
      <c r="B498" s="190" t="s">
        <v>66</v>
      </c>
      <c r="C498" s="190">
        <v>5</v>
      </c>
      <c r="D498" s="191">
        <v>6</v>
      </c>
      <c r="E498" s="192">
        <v>42794</v>
      </c>
      <c r="F498" s="24"/>
      <c r="G498" s="24">
        <v>0</v>
      </c>
      <c r="H498" s="193">
        <v>108.1</v>
      </c>
      <c r="I498" s="194"/>
      <c r="J498" s="193">
        <v>137.5</v>
      </c>
      <c r="K498" s="194"/>
      <c r="L498" s="195">
        <v>0.81555559393111998</v>
      </c>
      <c r="M498" s="195"/>
      <c r="N498" s="195"/>
      <c r="O498" s="195"/>
      <c r="P498" s="195">
        <v>0.98499999999999999</v>
      </c>
      <c r="Q498" s="195"/>
      <c r="R498" s="196">
        <v>0.99</v>
      </c>
      <c r="S498" s="197"/>
      <c r="T498" s="198">
        <v>1.4999999999999999E-2</v>
      </c>
      <c r="U498" s="197">
        <v>0</v>
      </c>
      <c r="V498" s="198">
        <v>0</v>
      </c>
      <c r="W498" s="197">
        <v>0</v>
      </c>
      <c r="X498" s="199" t="e">
        <f t="shared" si="54"/>
        <v>#DIV/0!</v>
      </c>
    </row>
    <row r="499" spans="1:24">
      <c r="A499" s="189" t="s">
        <v>14</v>
      </c>
      <c r="B499" s="190" t="s">
        <v>66</v>
      </c>
      <c r="C499" s="190">
        <v>5</v>
      </c>
      <c r="D499" s="191">
        <v>6</v>
      </c>
      <c r="E499" s="192">
        <v>42825</v>
      </c>
      <c r="F499" s="24"/>
      <c r="G499" s="24">
        <v>3.0630000000000002</v>
      </c>
      <c r="H499" s="193">
        <v>161.4</v>
      </c>
      <c r="I499" s="194"/>
      <c r="J499" s="193">
        <v>187.8</v>
      </c>
      <c r="K499" s="194"/>
      <c r="L499" s="195">
        <v>0.80080060538540998</v>
      </c>
      <c r="M499" s="195"/>
      <c r="N499" s="195"/>
      <c r="O499" s="195"/>
      <c r="P499" s="195">
        <v>0.98499999999999999</v>
      </c>
      <c r="Q499" s="195"/>
      <c r="R499" s="196">
        <v>0.99</v>
      </c>
      <c r="S499" s="197"/>
      <c r="T499" s="198">
        <v>1.4999999999999999E-2</v>
      </c>
      <c r="U499" s="197">
        <v>0</v>
      </c>
      <c r="V499" s="198">
        <v>0</v>
      </c>
      <c r="W499" s="197">
        <v>0</v>
      </c>
      <c r="X499" s="199" t="e">
        <f t="shared" si="54"/>
        <v>#DIV/0!</v>
      </c>
    </row>
    <row r="500" spans="1:24">
      <c r="A500" s="189" t="s">
        <v>14</v>
      </c>
      <c r="B500" s="190" t="s">
        <v>66</v>
      </c>
      <c r="C500" s="190">
        <v>5</v>
      </c>
      <c r="D500" s="191">
        <v>6</v>
      </c>
      <c r="E500" s="192">
        <v>42855</v>
      </c>
      <c r="F500" s="24">
        <v>933.23753176531341</v>
      </c>
      <c r="G500" s="24">
        <v>206.358</v>
      </c>
      <c r="H500" s="193">
        <v>190.2</v>
      </c>
      <c r="I500" s="194"/>
      <c r="J500" s="193">
        <v>194</v>
      </c>
      <c r="K500" s="194"/>
      <c r="L500" s="195">
        <v>0.80175045684305279</v>
      </c>
      <c r="M500" s="195"/>
      <c r="N500" s="195"/>
      <c r="O500" s="195"/>
      <c r="P500" s="195">
        <v>0.98499999999999999</v>
      </c>
      <c r="Q500" s="195"/>
      <c r="R500" s="196">
        <v>0.99</v>
      </c>
      <c r="S500" s="197"/>
      <c r="T500" s="198">
        <v>1.4999999999999999E-2</v>
      </c>
      <c r="U500" s="197">
        <v>0</v>
      </c>
      <c r="V500" s="198">
        <v>0</v>
      </c>
      <c r="W500" s="197">
        <v>0</v>
      </c>
      <c r="X500" s="199">
        <f t="shared" si="54"/>
        <v>0.22112055395977581</v>
      </c>
    </row>
    <row r="501" spans="1:24">
      <c r="A501" s="189" t="s">
        <v>14</v>
      </c>
      <c r="B501" s="190" t="s">
        <v>66</v>
      </c>
      <c r="C501" s="190">
        <v>5</v>
      </c>
      <c r="D501" s="191">
        <v>6</v>
      </c>
      <c r="E501" s="192">
        <v>42886</v>
      </c>
      <c r="F501" s="24">
        <v>945.49761494667598</v>
      </c>
      <c r="G501" s="24">
        <v>522.51599999999996</v>
      </c>
      <c r="H501" s="193">
        <v>197</v>
      </c>
      <c r="I501" s="194"/>
      <c r="J501" s="193">
        <v>197.7</v>
      </c>
      <c r="K501" s="194"/>
      <c r="L501" s="195">
        <v>0.79708111190918562</v>
      </c>
      <c r="M501" s="195"/>
      <c r="N501" s="195"/>
      <c r="O501" s="195"/>
      <c r="P501" s="195">
        <v>0.98499999999999999</v>
      </c>
      <c r="Q501" s="195"/>
      <c r="R501" s="196">
        <v>0.99</v>
      </c>
      <c r="S501" s="197"/>
      <c r="T501" s="198">
        <v>1.4999999999999999E-2</v>
      </c>
      <c r="U501" s="197">
        <v>0</v>
      </c>
      <c r="V501" s="198">
        <v>0</v>
      </c>
      <c r="W501" s="197">
        <v>0</v>
      </c>
      <c r="X501" s="199">
        <f t="shared" si="54"/>
        <v>0.55263597891726968</v>
      </c>
    </row>
    <row r="502" spans="1:24">
      <c r="A502" s="189" t="s">
        <v>14</v>
      </c>
      <c r="B502" s="190" t="s">
        <v>66</v>
      </c>
      <c r="C502" s="190">
        <v>5</v>
      </c>
      <c r="D502" s="191">
        <v>6</v>
      </c>
      <c r="E502" s="192">
        <v>42916</v>
      </c>
      <c r="F502" s="24">
        <v>848.88815947753938</v>
      </c>
      <c r="G502" s="24">
        <v>602.82899999999995</v>
      </c>
      <c r="H502" s="193">
        <v>178.9</v>
      </c>
      <c r="I502" s="194">
        <v>155.33000000000001</v>
      </c>
      <c r="J502" s="193">
        <v>177.2</v>
      </c>
      <c r="K502" s="194">
        <v>148.03</v>
      </c>
      <c r="L502" s="195">
        <v>0.79842753901198216</v>
      </c>
      <c r="M502" s="195">
        <f>G502/6/K502</f>
        <v>0.67872390731608456</v>
      </c>
      <c r="N502" s="195">
        <f>F502/24/30/5</f>
        <v>0.23580226652153874</v>
      </c>
      <c r="O502" s="195">
        <f>G502/24/30/5</f>
        <v>0.16745249999999998</v>
      </c>
      <c r="P502" s="195">
        <v>0.98499999999999999</v>
      </c>
      <c r="Q502" s="195">
        <v>0.80541645999999989</v>
      </c>
      <c r="R502" s="196">
        <v>0.99</v>
      </c>
      <c r="S502" s="197">
        <v>0.99939999999999996</v>
      </c>
      <c r="T502" s="198">
        <v>1.4999999999999999E-2</v>
      </c>
      <c r="U502" s="197">
        <v>0</v>
      </c>
      <c r="V502" s="198">
        <v>0</v>
      </c>
      <c r="W502" s="197">
        <v>0</v>
      </c>
      <c r="X502" s="199">
        <f t="shared" si="54"/>
        <v>-0.12524426264243993</v>
      </c>
    </row>
    <row r="503" spans="1:24">
      <c r="A503" s="189" t="s">
        <v>14</v>
      </c>
      <c r="B503" s="190" t="s">
        <v>66</v>
      </c>
      <c r="C503" s="190">
        <v>5</v>
      </c>
      <c r="D503" s="191">
        <v>6</v>
      </c>
      <c r="E503" s="192">
        <v>42947</v>
      </c>
      <c r="F503" s="24">
        <v>751.29789735389397</v>
      </c>
      <c r="G503" s="24">
        <v>290.50799999999998</v>
      </c>
      <c r="H503" s="193">
        <v>155.5</v>
      </c>
      <c r="I503" s="194">
        <v>155.74</v>
      </c>
      <c r="J503" s="193">
        <v>154.6</v>
      </c>
      <c r="K503" s="194">
        <v>153.06</v>
      </c>
      <c r="L503" s="195">
        <v>0.80993736239100256</v>
      </c>
      <c r="M503" s="195">
        <f t="shared" ref="M503:M511" si="61">G503/6/K503</f>
        <v>0.31633346400104534</v>
      </c>
      <c r="N503" s="195">
        <f>F503/24/31/5</f>
        <v>0.20196180036394998</v>
      </c>
      <c r="O503" s="195">
        <f>G503/24/31/5</f>
        <v>7.8093548387096784E-2</v>
      </c>
      <c r="P503" s="195">
        <v>0.98499999999999999</v>
      </c>
      <c r="Q503" s="195">
        <v>0.53697797999999997</v>
      </c>
      <c r="R503" s="196">
        <v>0.99</v>
      </c>
      <c r="S503" s="197">
        <v>0.99109999999999998</v>
      </c>
      <c r="T503" s="198">
        <v>1.4999999999999999E-2</v>
      </c>
      <c r="U503" s="197">
        <v>0</v>
      </c>
      <c r="V503" s="198">
        <v>0</v>
      </c>
      <c r="W503" s="197">
        <v>0</v>
      </c>
      <c r="X503" s="199">
        <f t="shared" si="54"/>
        <v>-0.60336396218060273</v>
      </c>
    </row>
    <row r="504" spans="1:24">
      <c r="A504" s="189" t="s">
        <v>14</v>
      </c>
      <c r="B504" s="190" t="s">
        <v>66</v>
      </c>
      <c r="C504" s="190">
        <v>5</v>
      </c>
      <c r="D504" s="191">
        <v>6</v>
      </c>
      <c r="E504" s="192">
        <v>42978</v>
      </c>
      <c r="F504" s="24">
        <v>713.53684115529745</v>
      </c>
      <c r="G504" s="24">
        <v>498.834</v>
      </c>
      <c r="H504" s="193">
        <v>145.4</v>
      </c>
      <c r="I504" s="194">
        <v>126.11</v>
      </c>
      <c r="J504" s="193">
        <v>146.30000000000001</v>
      </c>
      <c r="K504" s="194">
        <v>126.87</v>
      </c>
      <c r="L504" s="195">
        <v>0.81286949322772539</v>
      </c>
      <c r="M504" s="195">
        <f t="shared" si="61"/>
        <v>0.65530858358950106</v>
      </c>
      <c r="N504" s="195">
        <f>F504/24/31/5</f>
        <v>0.19181097880518747</v>
      </c>
      <c r="O504" s="195">
        <f>G504/24/31/5</f>
        <v>0.13409516129032256</v>
      </c>
      <c r="P504" s="195">
        <v>0.98499999999999999</v>
      </c>
      <c r="Q504" s="195">
        <v>0.86266550000000009</v>
      </c>
      <c r="R504" s="196">
        <v>0.99</v>
      </c>
      <c r="S504" s="197">
        <v>0.99099999999999999</v>
      </c>
      <c r="T504" s="198">
        <v>1.4999999999999999E-2</v>
      </c>
      <c r="U504" s="197">
        <v>0</v>
      </c>
      <c r="V504" s="198">
        <v>0</v>
      </c>
      <c r="W504" s="197">
        <v>0</v>
      </c>
      <c r="X504" s="199">
        <f t="shared" si="54"/>
        <v>-0.16809015136571659</v>
      </c>
    </row>
    <row r="505" spans="1:24">
      <c r="A505" s="189" t="s">
        <v>14</v>
      </c>
      <c r="B505" s="190" t="s">
        <v>66</v>
      </c>
      <c r="C505" s="190">
        <v>5</v>
      </c>
      <c r="D505" s="191">
        <v>6</v>
      </c>
      <c r="E505" s="192">
        <v>43008</v>
      </c>
      <c r="F505" s="24">
        <v>711.08482451902501</v>
      </c>
      <c r="G505" s="24">
        <v>575.24099999999999</v>
      </c>
      <c r="H505" s="193">
        <v>141.6</v>
      </c>
      <c r="I505" s="194">
        <v>125.7</v>
      </c>
      <c r="J505" s="193">
        <v>145.5</v>
      </c>
      <c r="K505" s="194">
        <v>126.99</v>
      </c>
      <c r="L505" s="195">
        <v>0.81453015408823026</v>
      </c>
      <c r="M505" s="195">
        <f t="shared" si="61"/>
        <v>0.75496889518859756</v>
      </c>
      <c r="N505" s="195">
        <f>F505/24/30/5</f>
        <v>0.19752356236639584</v>
      </c>
      <c r="O505" s="195">
        <f>G505/24/30/5</f>
        <v>0.15978916666666665</v>
      </c>
      <c r="P505" s="195">
        <v>0.98499999999999999</v>
      </c>
      <c r="Q505" s="195">
        <v>0.91903422999999995</v>
      </c>
      <c r="R505" s="196">
        <v>0.99</v>
      </c>
      <c r="S505" s="197">
        <v>0.99129999999999996</v>
      </c>
      <c r="T505" s="198">
        <v>1.4999999999999999E-2</v>
      </c>
      <c r="U505" s="197">
        <v>0</v>
      </c>
      <c r="V505" s="198">
        <v>0</v>
      </c>
      <c r="W505" s="197">
        <v>0</v>
      </c>
      <c r="X505" s="199">
        <f t="shared" si="54"/>
        <v>-6.3820945182851307E-2</v>
      </c>
    </row>
    <row r="506" spans="1:24">
      <c r="A506" s="189" t="s">
        <v>14</v>
      </c>
      <c r="B506" s="190" t="s">
        <v>66</v>
      </c>
      <c r="C506" s="190">
        <v>5</v>
      </c>
      <c r="D506" s="191">
        <v>6</v>
      </c>
      <c r="E506" s="192">
        <v>43039</v>
      </c>
      <c r="F506" s="24">
        <v>815.05032989697895</v>
      </c>
      <c r="G506" s="24">
        <v>663.75300000000004</v>
      </c>
      <c r="H506" s="193">
        <v>139.1</v>
      </c>
      <c r="I506" s="194">
        <v>110.21</v>
      </c>
      <c r="J506" s="193">
        <v>172.2</v>
      </c>
      <c r="K506" s="194">
        <v>152.38999999999999</v>
      </c>
      <c r="L506" s="195">
        <v>0.78886017218058357</v>
      </c>
      <c r="M506" s="195">
        <f t="shared" si="61"/>
        <v>0.72593674125598806</v>
      </c>
      <c r="N506" s="195">
        <f>F506/24/31/5</f>
        <v>0.21909955104757498</v>
      </c>
      <c r="O506" s="195">
        <f>G506/24/31/5</f>
        <v>0.17842822580645162</v>
      </c>
      <c r="P506" s="195">
        <v>0.98499999999999999</v>
      </c>
      <c r="Q506" s="195">
        <v>0.96455219999999997</v>
      </c>
      <c r="R506" s="196">
        <v>0.99</v>
      </c>
      <c r="S506" s="197">
        <v>0.97399999999999998</v>
      </c>
      <c r="T506" s="198">
        <v>1.4999999999999999E-2</v>
      </c>
      <c r="U506" s="197">
        <v>0</v>
      </c>
      <c r="V506" s="198">
        <v>0</v>
      </c>
      <c r="W506" s="197">
        <v>0</v>
      </c>
      <c r="X506" s="199">
        <f t="shared" si="54"/>
        <v>-7.0588781724518546E-2</v>
      </c>
    </row>
    <row r="507" spans="1:24">
      <c r="A507" s="189" t="s">
        <v>14</v>
      </c>
      <c r="B507" s="190" t="s">
        <v>66</v>
      </c>
      <c r="C507" s="190">
        <v>5</v>
      </c>
      <c r="D507" s="191">
        <v>6</v>
      </c>
      <c r="E507" s="192">
        <v>43069</v>
      </c>
      <c r="F507" s="24">
        <v>721.38329439136942</v>
      </c>
      <c r="G507" s="24">
        <v>548.15099999999995</v>
      </c>
      <c r="H507" s="193">
        <v>108.1</v>
      </c>
      <c r="I507" s="194"/>
      <c r="J507" s="193">
        <v>152.1</v>
      </c>
      <c r="K507" s="194">
        <v>114</v>
      </c>
      <c r="L507" s="195">
        <v>0.79047040805541247</v>
      </c>
      <c r="M507" s="195">
        <f t="shared" si="61"/>
        <v>0.8013903508771929</v>
      </c>
      <c r="N507" s="195">
        <f>F507/24/30/5</f>
        <v>0.20038424844204705</v>
      </c>
      <c r="O507" s="195">
        <f>G507/24/30/5</f>
        <v>0.15226416666666664</v>
      </c>
      <c r="P507" s="195">
        <v>0.98499999999999999</v>
      </c>
      <c r="Q507" s="195">
        <v>0.97049399999999997</v>
      </c>
      <c r="R507" s="196">
        <v>0.99</v>
      </c>
      <c r="S507" s="197">
        <v>0.98</v>
      </c>
      <c r="T507" s="198">
        <v>1.4999999999999999E-2</v>
      </c>
      <c r="U507" s="197">
        <v>0</v>
      </c>
      <c r="V507" s="198">
        <v>0</v>
      </c>
      <c r="W507" s="197">
        <v>0</v>
      </c>
      <c r="X507" s="199">
        <f t="shared" si="54"/>
        <v>1.0354053036949806E-2</v>
      </c>
    </row>
    <row r="508" spans="1:24">
      <c r="A508" s="189" t="s">
        <v>14</v>
      </c>
      <c r="B508" s="190" t="s">
        <v>66</v>
      </c>
      <c r="C508" s="190">
        <v>5</v>
      </c>
      <c r="D508" s="191">
        <v>6</v>
      </c>
      <c r="E508" s="192">
        <v>43100</v>
      </c>
      <c r="F508" s="24">
        <v>606.13851248656192</v>
      </c>
      <c r="G508" s="24">
        <v>544.52700000000004</v>
      </c>
      <c r="H508" s="193">
        <v>89.9</v>
      </c>
      <c r="I508" s="194">
        <v>80.599999999999994</v>
      </c>
      <c r="J508" s="193">
        <v>129.6</v>
      </c>
      <c r="K508" s="194">
        <v>105.39</v>
      </c>
      <c r="L508" s="195">
        <v>0.77949911585206011</v>
      </c>
      <c r="M508" s="195">
        <f t="shared" si="61"/>
        <v>0.86113008824366644</v>
      </c>
      <c r="N508" s="195">
        <f>F508/24/31/5</f>
        <v>0.16294046034584997</v>
      </c>
      <c r="O508" s="195">
        <f>G508/24/31/5</f>
        <v>0.14637822580645163</v>
      </c>
      <c r="P508" s="195">
        <v>0.98499999999999999</v>
      </c>
      <c r="Q508" s="195">
        <v>0.99180000000000001</v>
      </c>
      <c r="R508" s="196">
        <v>0.99</v>
      </c>
      <c r="S508" s="197">
        <v>0.99180000000000001</v>
      </c>
      <c r="T508" s="198">
        <v>1.4999999999999999E-2</v>
      </c>
      <c r="U508" s="197">
        <v>0</v>
      </c>
      <c r="V508" s="198">
        <v>0</v>
      </c>
      <c r="W508" s="197">
        <v>0</v>
      </c>
      <c r="X508" s="199">
        <f t="shared" si="54"/>
        <v>8.5159626090006491E-2</v>
      </c>
    </row>
    <row r="509" spans="1:24">
      <c r="A509" s="189" t="s">
        <v>14</v>
      </c>
      <c r="B509" s="190" t="s">
        <v>66</v>
      </c>
      <c r="C509" s="190">
        <v>5</v>
      </c>
      <c r="D509" s="191">
        <v>6</v>
      </c>
      <c r="E509" s="192">
        <v>43131</v>
      </c>
      <c r="F509" s="24">
        <v>509.90911959604773</v>
      </c>
      <c r="G509" s="24">
        <v>468.75599999999997</v>
      </c>
      <c r="H509" s="193">
        <v>79.599999999999994</v>
      </c>
      <c r="I509" s="194">
        <v>75.45</v>
      </c>
      <c r="J509" s="193">
        <v>103.2</v>
      </c>
      <c r="K509" s="194">
        <v>94.85</v>
      </c>
      <c r="L509" s="195">
        <v>0.82763481424572438</v>
      </c>
      <c r="M509" s="195">
        <f t="shared" si="61"/>
        <v>0.82367949393779649</v>
      </c>
      <c r="N509" s="195">
        <f>F509/24/31/5</f>
        <v>0.1370723439774322</v>
      </c>
      <c r="O509" s="195">
        <f>G509/24/31/5</f>
        <v>0.12600967741935482</v>
      </c>
      <c r="P509" s="195">
        <v>0.98499999999999999</v>
      </c>
      <c r="Q509" s="195">
        <v>0.98180000000000001</v>
      </c>
      <c r="R509" s="196">
        <v>0.99</v>
      </c>
      <c r="S509" s="197">
        <v>0.98570000000000002</v>
      </c>
      <c r="T509" s="198">
        <v>1.4999999999999999E-2</v>
      </c>
      <c r="U509" s="197">
        <v>0</v>
      </c>
      <c r="V509" s="198">
        <v>0</v>
      </c>
      <c r="W509" s="197">
        <v>0</v>
      </c>
      <c r="X509" s="199">
        <f t="shared" si="54"/>
        <v>2.0407965399193984E-4</v>
      </c>
    </row>
    <row r="510" spans="1:24">
      <c r="A510" s="189" t="s">
        <v>14</v>
      </c>
      <c r="B510" s="190" t="s">
        <v>66</v>
      </c>
      <c r="C510" s="190">
        <v>5</v>
      </c>
      <c r="D510" s="191">
        <v>6</v>
      </c>
      <c r="E510" s="192">
        <v>43159</v>
      </c>
      <c r="F510" s="24">
        <v>669.4691981682081</v>
      </c>
      <c r="G510" s="24">
        <f>654729/1000</f>
        <v>654.72900000000004</v>
      </c>
      <c r="H510" s="193">
        <v>108.1</v>
      </c>
      <c r="I510" s="194">
        <v>115.56</v>
      </c>
      <c r="J510" s="193">
        <v>137.5</v>
      </c>
      <c r="K510" s="194">
        <v>138.28</v>
      </c>
      <c r="L510" s="195">
        <v>0.81555559393111998</v>
      </c>
      <c r="M510" s="195">
        <f t="shared" si="61"/>
        <v>0.78913436505640733</v>
      </c>
      <c r="N510" s="195">
        <f>F510/24/28/5</f>
        <v>0.19924678516910957</v>
      </c>
      <c r="O510" s="195">
        <f>G510/24/28/5</f>
        <v>0.19485982142857144</v>
      </c>
      <c r="P510" s="195">
        <v>0.98499999999999999</v>
      </c>
      <c r="Q510" s="195">
        <v>0.92310000000000003</v>
      </c>
      <c r="R510" s="196">
        <v>0.99</v>
      </c>
      <c r="S510" s="197">
        <v>0.97399999999999998</v>
      </c>
      <c r="T510" s="198">
        <v>1.4999999999999999E-2</v>
      </c>
      <c r="U510" s="197">
        <v>0</v>
      </c>
      <c r="V510" s="198">
        <v>0</v>
      </c>
      <c r="W510" s="197">
        <v>0</v>
      </c>
      <c r="X510" s="199">
        <f t="shared" si="54"/>
        <v>-2.7690466413736292E-2</v>
      </c>
    </row>
    <row r="511" spans="1:24">
      <c r="A511" s="189" t="s">
        <v>14</v>
      </c>
      <c r="B511" s="190" t="s">
        <v>66</v>
      </c>
      <c r="C511" s="190">
        <v>5</v>
      </c>
      <c r="D511" s="191">
        <v>6</v>
      </c>
      <c r="E511" s="192">
        <v>43190</v>
      </c>
      <c r="F511" s="24">
        <v>898</v>
      </c>
      <c r="G511" s="24">
        <v>832.76</v>
      </c>
      <c r="H511" s="193">
        <v>161.4</v>
      </c>
      <c r="I511" s="194">
        <v>165.96</v>
      </c>
      <c r="J511" s="193">
        <v>187.8</v>
      </c>
      <c r="K511" s="194">
        <v>185.63</v>
      </c>
      <c r="L511" s="195">
        <v>0.80080060538540998</v>
      </c>
      <c r="M511" s="195">
        <f t="shared" si="61"/>
        <v>0.74768805329598298</v>
      </c>
      <c r="N511" s="195">
        <f>F511/24/31/5</f>
        <v>0.24139784946236556</v>
      </c>
      <c r="O511" s="195">
        <f>G511/24/31/5</f>
        <v>0.22386021505376341</v>
      </c>
      <c r="P511" s="195">
        <v>0.98499999999999999</v>
      </c>
      <c r="Q511" s="195">
        <v>0.92623664999999999</v>
      </c>
      <c r="R511" s="196">
        <v>0.99</v>
      </c>
      <c r="S511" s="197">
        <v>0.99950000000000006</v>
      </c>
      <c r="T511" s="198">
        <v>1.4999999999999999E-2</v>
      </c>
      <c r="U511" s="197">
        <v>0</v>
      </c>
      <c r="V511" s="198">
        <v>0</v>
      </c>
      <c r="W511" s="197">
        <v>0</v>
      </c>
      <c r="X511" s="199">
        <f t="shared" si="54"/>
        <v>-6.1095488495319095E-2</v>
      </c>
    </row>
    <row r="512" spans="1:24">
      <c r="A512" s="189" t="s">
        <v>14</v>
      </c>
      <c r="B512" s="190" t="s">
        <v>66</v>
      </c>
      <c r="C512" s="190">
        <v>5</v>
      </c>
      <c r="D512" s="191">
        <v>6</v>
      </c>
      <c r="E512" s="192">
        <v>43220</v>
      </c>
      <c r="F512" s="24">
        <v>873.31620393317462</v>
      </c>
      <c r="G512" s="24">
        <v>728.03700000000003</v>
      </c>
      <c r="H512" s="193">
        <v>190.2</v>
      </c>
      <c r="I512" s="194">
        <v>154.46</v>
      </c>
      <c r="J512" s="193">
        <v>194</v>
      </c>
      <c r="K512" s="194">
        <v>158.1</v>
      </c>
      <c r="L512" s="195">
        <f>F512/D512/J512/P512</f>
        <v>0.76169710950614422</v>
      </c>
      <c r="M512" s="195">
        <f>G512/D512/K512/Q512</f>
        <v>0.79712499621262412</v>
      </c>
      <c r="N512" s="195">
        <f>F512/24/DAY(E512)/C512</f>
        <v>0.24258783442588183</v>
      </c>
      <c r="O512" s="195">
        <f>G512/24/DAY(E512)/C512</f>
        <v>0.20223249999999998</v>
      </c>
      <c r="P512" s="195">
        <v>0.98499999999999999</v>
      </c>
      <c r="Q512" s="195">
        <v>0.96281734000000008</v>
      </c>
      <c r="R512" s="196">
        <v>0.99</v>
      </c>
      <c r="S512" s="197">
        <v>0.97540000000000004</v>
      </c>
      <c r="T512" s="198">
        <v>1.4999999999999999E-2</v>
      </c>
      <c r="U512" s="197">
        <v>0</v>
      </c>
      <c r="V512" s="198">
        <v>0</v>
      </c>
      <c r="W512" s="197">
        <v>0</v>
      </c>
      <c r="X512" s="199">
        <f t="shared" ref="X512:X602" si="62">(G512/F512-1)-(K512/J512-1)</f>
        <v>1.8698050053453596E-2</v>
      </c>
    </row>
    <row r="513" spans="1:24">
      <c r="A513" s="189" t="s">
        <v>14</v>
      </c>
      <c r="B513" s="190" t="s">
        <v>66</v>
      </c>
      <c r="C513" s="190">
        <v>5</v>
      </c>
      <c r="D513" s="191">
        <v>6</v>
      </c>
      <c r="E513" s="192">
        <v>43251</v>
      </c>
      <c r="F513" s="24">
        <v>884.93982374699954</v>
      </c>
      <c r="G513" s="24">
        <f>825462/1000</f>
        <v>825.46199999999999</v>
      </c>
      <c r="H513" s="193">
        <v>197</v>
      </c>
      <c r="I513" s="194">
        <v>170.15</v>
      </c>
      <c r="J513" s="193">
        <v>197.7</v>
      </c>
      <c r="K513" s="194">
        <v>171.98</v>
      </c>
      <c r="L513" s="195">
        <f t="shared" ref="L513:L570" si="63">F513/D513/J513/P513</f>
        <v>0.75739003938439231</v>
      </c>
      <c r="M513" s="195">
        <f t="shared" ref="M513:M570" si="64">G513/D513/K513/Q513</f>
        <v>0.80236639678309274</v>
      </c>
      <c r="N513" s="195">
        <f t="shared" ref="N513:N570" si="65">F513/24/DAY(E513)/C513</f>
        <v>0.23788704939435473</v>
      </c>
      <c r="O513" s="195">
        <f t="shared" ref="O513:O570" si="66">G513/24/DAY(E513)/C513</f>
        <v>0.2218983870967742</v>
      </c>
      <c r="P513" s="195">
        <v>0.98499999999999999</v>
      </c>
      <c r="Q513" s="195">
        <v>0.997</v>
      </c>
      <c r="R513" s="196">
        <v>0.99</v>
      </c>
      <c r="S513" s="197">
        <v>0.999</v>
      </c>
      <c r="T513" s="198">
        <v>1.4999999999999999E-2</v>
      </c>
      <c r="U513" s="197">
        <v>0</v>
      </c>
      <c r="V513" s="198">
        <v>0</v>
      </c>
      <c r="W513" s="197">
        <v>0</v>
      </c>
      <c r="X513" s="199">
        <f t="shared" si="62"/>
        <v>6.288495463115551E-2</v>
      </c>
    </row>
    <row r="514" spans="1:24">
      <c r="A514" s="189" t="s">
        <v>14</v>
      </c>
      <c r="B514" s="190" t="s">
        <v>66</v>
      </c>
      <c r="C514" s="190">
        <v>5</v>
      </c>
      <c r="D514" s="191">
        <v>6</v>
      </c>
      <c r="E514" s="192">
        <v>43281</v>
      </c>
      <c r="F514" s="24">
        <v>794.39794309194258</v>
      </c>
      <c r="G514" s="24">
        <f>771639/1000</f>
        <v>771.63900000000001</v>
      </c>
      <c r="H514" s="193">
        <v>178.9</v>
      </c>
      <c r="I514" s="194">
        <f>5.24*30</f>
        <v>157.20000000000002</v>
      </c>
      <c r="J514" s="193">
        <v>177.2</v>
      </c>
      <c r="K514" s="194">
        <f>5.25*30</f>
        <v>157.5</v>
      </c>
      <c r="L514" s="195">
        <f t="shared" si="63"/>
        <v>0.75855471566723442</v>
      </c>
      <c r="M514" s="195">
        <f t="shared" si="64"/>
        <v>0.82671783572866908</v>
      </c>
      <c r="N514" s="195">
        <f t="shared" si="65"/>
        <v>0.22066609530331735</v>
      </c>
      <c r="O514" s="195">
        <f t="shared" si="66"/>
        <v>0.2143441666666667</v>
      </c>
      <c r="P514" s="195">
        <v>0.98499999999999999</v>
      </c>
      <c r="Q514" s="195">
        <v>0.98770000000000002</v>
      </c>
      <c r="R514" s="196">
        <v>0.99</v>
      </c>
      <c r="S514" s="197">
        <v>0.99060000000000004</v>
      </c>
      <c r="T514" s="198">
        <v>1.4999999999999999E-2</v>
      </c>
      <c r="U514" s="197">
        <v>0</v>
      </c>
      <c r="V514" s="198">
        <v>0</v>
      </c>
      <c r="W514" s="197">
        <v>0</v>
      </c>
      <c r="X514" s="199">
        <f t="shared" si="62"/>
        <v>8.2524517289011889E-2</v>
      </c>
    </row>
    <row r="515" spans="1:24">
      <c r="A515" s="189" t="s">
        <v>14</v>
      </c>
      <c r="B515" s="190" t="s">
        <v>66</v>
      </c>
      <c r="C515" s="190">
        <v>5</v>
      </c>
      <c r="D515" s="191">
        <v>6</v>
      </c>
      <c r="E515" s="192">
        <v>43312</v>
      </c>
      <c r="F515" s="24">
        <v>703.24429297300048</v>
      </c>
      <c r="G515" s="24">
        <f>637464/1000</f>
        <v>637.46400000000006</v>
      </c>
      <c r="H515" s="193">
        <v>155.5</v>
      </c>
      <c r="I515" s="194">
        <v>130.1</v>
      </c>
      <c r="J515" s="193">
        <v>154.6</v>
      </c>
      <c r="K515" s="194">
        <v>127.81</v>
      </c>
      <c r="L515" s="195">
        <f t="shared" si="63"/>
        <v>0.76967830630326017</v>
      </c>
      <c r="M515" s="195">
        <f t="shared" si="64"/>
        <v>0.85022518075147624</v>
      </c>
      <c r="N515" s="195">
        <f t="shared" si="65"/>
        <v>0.18904416477768832</v>
      </c>
      <c r="O515" s="195">
        <f t="shared" si="66"/>
        <v>0.17136129032258068</v>
      </c>
      <c r="P515" s="195">
        <v>0.98499999999999999</v>
      </c>
      <c r="Q515" s="195">
        <v>0.97770000000000001</v>
      </c>
      <c r="R515" s="196">
        <v>0.99</v>
      </c>
      <c r="S515" s="197">
        <v>0.99009999999999998</v>
      </c>
      <c r="T515" s="198">
        <v>1.4999999999999999E-2</v>
      </c>
      <c r="U515" s="197">
        <v>0</v>
      </c>
      <c r="V515" s="198">
        <v>0</v>
      </c>
      <c r="W515" s="197">
        <v>0</v>
      </c>
      <c r="X515" s="199">
        <f t="shared" si="62"/>
        <v>7.97475744606021E-2</v>
      </c>
    </row>
    <row r="516" spans="1:24">
      <c r="A516" s="189" t="s">
        <v>14</v>
      </c>
      <c r="B516" s="190" t="s">
        <v>66</v>
      </c>
      <c r="C516" s="190">
        <v>5</v>
      </c>
      <c r="D516" s="191">
        <v>6</v>
      </c>
      <c r="E516" s="192">
        <v>43343</v>
      </c>
      <c r="F516" s="24">
        <v>667.45577933569768</v>
      </c>
      <c r="G516" s="24">
        <f>560079/1000</f>
        <v>560.07899999999995</v>
      </c>
      <c r="H516" s="193">
        <v>145.4</v>
      </c>
      <c r="I516" s="194">
        <v>114.19</v>
      </c>
      <c r="J516" s="193">
        <v>146.30000000000001</v>
      </c>
      <c r="K516" s="194">
        <v>112.03</v>
      </c>
      <c r="L516" s="195">
        <f t="shared" si="63"/>
        <v>0.77195270055121379</v>
      </c>
      <c r="M516" s="195">
        <f t="shared" si="64"/>
        <v>0.854242061579078</v>
      </c>
      <c r="N516" s="195">
        <f t="shared" si="65"/>
        <v>0.17942359659561766</v>
      </c>
      <c r="O516" s="195">
        <f t="shared" si="66"/>
        <v>0.15055887096774193</v>
      </c>
      <c r="P516" s="195">
        <v>0.98499999999999999</v>
      </c>
      <c r="Q516" s="195">
        <v>0.97540000000000004</v>
      </c>
      <c r="R516" s="196">
        <v>0.99</v>
      </c>
      <c r="S516" s="197">
        <v>0.99939999999999996</v>
      </c>
      <c r="T516" s="198">
        <v>1.4999999999999999E-2</v>
      </c>
      <c r="U516" s="197">
        <v>0</v>
      </c>
      <c r="V516" s="198">
        <v>0</v>
      </c>
      <c r="W516" s="197">
        <v>0</v>
      </c>
      <c r="X516" s="199">
        <f t="shared" si="62"/>
        <v>7.3369956113156443E-2</v>
      </c>
    </row>
    <row r="517" spans="1:24">
      <c r="A517" s="189" t="s">
        <v>14</v>
      </c>
      <c r="B517" s="190" t="s">
        <v>66</v>
      </c>
      <c r="C517" s="190">
        <v>5</v>
      </c>
      <c r="D517" s="191">
        <v>6</v>
      </c>
      <c r="E517" s="192">
        <v>43373</v>
      </c>
      <c r="F517" s="24">
        <v>665.31458621209811</v>
      </c>
      <c r="G517" s="24">
        <f>601002/1000</f>
        <v>601.00199999999995</v>
      </c>
      <c r="H517" s="193">
        <v>141.6</v>
      </c>
      <c r="I517" s="194">
        <v>121.65</v>
      </c>
      <c r="J517" s="193">
        <v>145.5</v>
      </c>
      <c r="K517" s="194">
        <v>122.9</v>
      </c>
      <c r="L517" s="195">
        <f t="shared" si="63"/>
        <v>0.77370707951703743</v>
      </c>
      <c r="M517" s="195">
        <f t="shared" si="64"/>
        <v>0.84162379020833755</v>
      </c>
      <c r="N517" s="195">
        <f t="shared" si="65"/>
        <v>0.18480960728113835</v>
      </c>
      <c r="O517" s="195">
        <f t="shared" si="66"/>
        <v>0.16694499999999998</v>
      </c>
      <c r="P517" s="195">
        <v>0.98499999999999999</v>
      </c>
      <c r="Q517" s="195">
        <v>0.96840000000000004</v>
      </c>
      <c r="R517" s="196">
        <v>0.99</v>
      </c>
      <c r="S517" s="197">
        <v>0.98180000000000001</v>
      </c>
      <c r="T517" s="198">
        <v>1.4999999999999999E-2</v>
      </c>
      <c r="U517" s="197">
        <v>0</v>
      </c>
      <c r="V517" s="198">
        <v>0</v>
      </c>
      <c r="W517" s="197">
        <v>0</v>
      </c>
      <c r="X517" s="199">
        <f t="shared" si="62"/>
        <v>5.8661533024367607E-2</v>
      </c>
    </row>
    <row r="518" spans="1:24">
      <c r="A518" s="189" t="s">
        <v>14</v>
      </c>
      <c r="B518" s="190" t="s">
        <v>66</v>
      </c>
      <c r="C518" s="190">
        <v>5</v>
      </c>
      <c r="D518" s="191">
        <v>6</v>
      </c>
      <c r="E518" s="192">
        <v>43404</v>
      </c>
      <c r="F518" s="24">
        <v>762.280046237953</v>
      </c>
      <c r="G518" s="24">
        <f>766167/1000</f>
        <v>766.16700000000003</v>
      </c>
      <c r="H518" s="193">
        <v>139.1</v>
      </c>
      <c r="I518" s="194">
        <f>4.45*31</f>
        <v>137.95000000000002</v>
      </c>
      <c r="J518" s="193">
        <v>172.2</v>
      </c>
      <c r="K518" s="194">
        <f>5.12*31</f>
        <v>158.72</v>
      </c>
      <c r="L518" s="195">
        <f t="shared" si="63"/>
        <v>0.74902087864419353</v>
      </c>
      <c r="M518" s="195">
        <f t="shared" si="64"/>
        <v>0.82464825719325741</v>
      </c>
      <c r="N518" s="195">
        <f t="shared" si="65"/>
        <v>0.20491399092418092</v>
      </c>
      <c r="O518" s="195">
        <f t="shared" si="66"/>
        <v>0.20595887096774193</v>
      </c>
      <c r="P518" s="195">
        <v>0.98499999999999999</v>
      </c>
      <c r="Q518" s="195">
        <v>0.97560000000000002</v>
      </c>
      <c r="R518" s="196">
        <v>0.99</v>
      </c>
      <c r="S518" s="197">
        <v>0.97660000000000002</v>
      </c>
      <c r="T518" s="198">
        <v>1.4999999999999999E-2</v>
      </c>
      <c r="U518" s="197">
        <v>0</v>
      </c>
      <c r="V518" s="198">
        <v>0</v>
      </c>
      <c r="W518" s="197">
        <v>0</v>
      </c>
      <c r="X518" s="199">
        <f t="shared" si="62"/>
        <v>8.3380183713975486E-2</v>
      </c>
    </row>
    <row r="519" spans="1:24">
      <c r="A519" s="189" t="s">
        <v>14</v>
      </c>
      <c r="B519" s="190" t="s">
        <v>66</v>
      </c>
      <c r="C519" s="190">
        <v>5</v>
      </c>
      <c r="D519" s="191">
        <v>6</v>
      </c>
      <c r="E519" s="192">
        <v>43434</v>
      </c>
      <c r="F519" s="24">
        <v>674.7970129023239</v>
      </c>
      <c r="G519" s="24">
        <f>626118/1000</f>
        <v>626.11800000000005</v>
      </c>
      <c r="H519" s="193">
        <v>108.1</v>
      </c>
      <c r="I519" s="194">
        <f>3.31*30</f>
        <v>99.3</v>
      </c>
      <c r="J519" s="193">
        <v>152.1</v>
      </c>
      <c r="K519" s="194">
        <f>4.41*30</f>
        <v>132.30000000000001</v>
      </c>
      <c r="L519" s="195">
        <f t="shared" si="63"/>
        <v>0.75068278495014962</v>
      </c>
      <c r="M519" s="195">
        <f t="shared" si="64"/>
        <v>0.79352152217918248</v>
      </c>
      <c r="N519" s="195">
        <f t="shared" si="65"/>
        <v>0.18744361469508997</v>
      </c>
      <c r="O519" s="195">
        <f t="shared" si="66"/>
        <v>0.1739216666666667</v>
      </c>
      <c r="P519" s="195">
        <v>0.98499999999999999</v>
      </c>
      <c r="Q519" s="195">
        <v>0.99399999999999999</v>
      </c>
      <c r="R519" s="196">
        <v>0.99</v>
      </c>
      <c r="S519" s="197">
        <v>0.99990000000000001</v>
      </c>
      <c r="T519" s="198">
        <v>1.4999999999999999E-2</v>
      </c>
      <c r="U519" s="197">
        <v>0</v>
      </c>
      <c r="V519" s="198">
        <v>0</v>
      </c>
      <c r="W519" s="197">
        <v>0</v>
      </c>
      <c r="X519" s="199">
        <f t="shared" si="62"/>
        <v>5.8038764959147282E-2</v>
      </c>
    </row>
    <row r="520" spans="1:24">
      <c r="A520" s="189" t="s">
        <v>14</v>
      </c>
      <c r="B520" s="190" t="s">
        <v>66</v>
      </c>
      <c r="C520" s="190">
        <v>5</v>
      </c>
      <c r="D520" s="191">
        <v>6</v>
      </c>
      <c r="E520" s="192">
        <v>43465</v>
      </c>
      <c r="F520" s="24">
        <v>566.51381779458711</v>
      </c>
      <c r="G520" s="24">
        <f>567960/1000</f>
        <v>567.96</v>
      </c>
      <c r="H520" s="193">
        <v>89.9</v>
      </c>
      <c r="I520" s="194">
        <v>87.42</v>
      </c>
      <c r="J520" s="193">
        <v>129.6</v>
      </c>
      <c r="K520" s="194">
        <v>124</v>
      </c>
      <c r="L520" s="195">
        <f t="shared" si="63"/>
        <v>0.73963597192792507</v>
      </c>
      <c r="M520" s="195">
        <f t="shared" si="64"/>
        <v>0.80449688773758421</v>
      </c>
      <c r="N520" s="195">
        <f t="shared" si="65"/>
        <v>0.15228866069746966</v>
      </c>
      <c r="O520" s="195">
        <f t="shared" si="66"/>
        <v>0.15267741935483872</v>
      </c>
      <c r="P520" s="195">
        <v>0.98499999999999999</v>
      </c>
      <c r="Q520" s="195">
        <v>0.94889999999999997</v>
      </c>
      <c r="R520" s="196">
        <v>0.99</v>
      </c>
      <c r="S520" s="197">
        <v>0.99829999999999997</v>
      </c>
      <c r="T520" s="198">
        <v>1.4999999999999999E-2</v>
      </c>
      <c r="U520" s="197">
        <v>0</v>
      </c>
      <c r="V520" s="198">
        <v>0</v>
      </c>
      <c r="W520" s="197">
        <v>0</v>
      </c>
      <c r="X520" s="199">
        <f t="shared" si="62"/>
        <v>4.5762651356439976E-2</v>
      </c>
    </row>
    <row r="521" spans="1:24">
      <c r="A521" s="189" t="s">
        <v>14</v>
      </c>
      <c r="B521" s="190" t="s">
        <v>66</v>
      </c>
      <c r="C521" s="190">
        <v>5</v>
      </c>
      <c r="D521" s="191">
        <v>6</v>
      </c>
      <c r="E521" s="192">
        <v>43496</v>
      </c>
      <c r="F521" s="24">
        <v>476.93998584494619</v>
      </c>
      <c r="G521" s="24">
        <f>569886/1000</f>
        <v>569.88599999999997</v>
      </c>
      <c r="H521" s="193">
        <v>79.599999999999994</v>
      </c>
      <c r="I521" s="194">
        <v>87.42</v>
      </c>
      <c r="J521" s="193">
        <v>103.2</v>
      </c>
      <c r="K521" s="194">
        <v>117.49</v>
      </c>
      <c r="L521" s="195">
        <f t="shared" si="63"/>
        <v>0.78198163972006818</v>
      </c>
      <c r="M521" s="195">
        <f t="shared" si="64"/>
        <v>0.82290079161217677</v>
      </c>
      <c r="N521" s="195">
        <f t="shared" si="65"/>
        <v>0.12820967361423286</v>
      </c>
      <c r="O521" s="195">
        <f t="shared" si="66"/>
        <v>0.15319516129032257</v>
      </c>
      <c r="P521" s="195">
        <v>0.98499999999999999</v>
      </c>
      <c r="Q521" s="195">
        <v>0.98240000000000005</v>
      </c>
      <c r="R521" s="196">
        <v>0.99</v>
      </c>
      <c r="S521" s="197">
        <v>0.99409999999999998</v>
      </c>
      <c r="T521" s="198">
        <v>1.4999999999999999E-2</v>
      </c>
      <c r="U521" s="197">
        <v>0</v>
      </c>
      <c r="V521" s="198">
        <v>0</v>
      </c>
      <c r="W521" s="197">
        <v>0</v>
      </c>
      <c r="X521" s="199">
        <f t="shared" si="62"/>
        <v>5.6410902316430755E-2</v>
      </c>
    </row>
    <row r="522" spans="1:24">
      <c r="A522" s="189" t="s">
        <v>14</v>
      </c>
      <c r="B522" s="190" t="s">
        <v>66</v>
      </c>
      <c r="C522" s="190">
        <v>5</v>
      </c>
      <c r="D522" s="191">
        <v>6</v>
      </c>
      <c r="E522" s="192">
        <v>43524</v>
      </c>
      <c r="F522" s="24">
        <v>626.07408690363854</v>
      </c>
      <c r="G522" s="24">
        <v>504.74400000000003</v>
      </c>
      <c r="H522" s="193">
        <v>108.1</v>
      </c>
      <c r="I522" s="194">
        <v>88.48</v>
      </c>
      <c r="J522" s="193">
        <v>137.5</v>
      </c>
      <c r="K522" s="194">
        <v>105.56</v>
      </c>
      <c r="L522" s="195">
        <f t="shared" si="63"/>
        <v>0.77043419400540047</v>
      </c>
      <c r="M522" s="195">
        <f t="shared" si="64"/>
        <v>0.85978061878449163</v>
      </c>
      <c r="N522" s="195">
        <f t="shared" si="65"/>
        <v>0.18633157348322577</v>
      </c>
      <c r="O522" s="195">
        <f t="shared" si="66"/>
        <v>0.15022142857142859</v>
      </c>
      <c r="P522" s="195">
        <v>0.98499999999999999</v>
      </c>
      <c r="Q522" s="195">
        <v>0.92689999999999995</v>
      </c>
      <c r="R522" s="196">
        <v>0.99</v>
      </c>
      <c r="S522" s="197">
        <v>0.96640000000000004</v>
      </c>
      <c r="T522" s="198">
        <v>1.4999999999999999E-2</v>
      </c>
      <c r="U522" s="197">
        <v>0</v>
      </c>
      <c r="V522" s="198">
        <v>0</v>
      </c>
      <c r="W522" s="197">
        <v>0</v>
      </c>
      <c r="X522" s="199">
        <f t="shared" si="62"/>
        <v>3.8495814482061519E-2</v>
      </c>
    </row>
    <row r="523" spans="1:24">
      <c r="A523" s="189" t="s">
        <v>14</v>
      </c>
      <c r="B523" s="190" t="s">
        <v>66</v>
      </c>
      <c r="C523" s="190">
        <v>5</v>
      </c>
      <c r="D523" s="191">
        <v>6</v>
      </c>
      <c r="E523" s="192">
        <v>43555</v>
      </c>
      <c r="F523" s="24">
        <v>839.73151331833628</v>
      </c>
      <c r="G523" s="24">
        <f>856032/1000</f>
        <v>856.03200000000004</v>
      </c>
      <c r="H523" s="193">
        <v>161.4</v>
      </c>
      <c r="I523" s="194">
        <v>158.09</v>
      </c>
      <c r="J523" s="193">
        <v>187.8</v>
      </c>
      <c r="K523" s="194">
        <v>178.31</v>
      </c>
      <c r="L523" s="195">
        <f t="shared" si="63"/>
        <v>0.75658440083533463</v>
      </c>
      <c r="M523" s="195">
        <f t="shared" si="64"/>
        <v>0.81042702020670654</v>
      </c>
      <c r="N523" s="195">
        <f t="shared" si="65"/>
        <v>0.22573427777374633</v>
      </c>
      <c r="O523" s="195">
        <f t="shared" si="66"/>
        <v>0.23011612903225806</v>
      </c>
      <c r="P523" s="195">
        <v>0.98499999999999999</v>
      </c>
      <c r="Q523" s="195">
        <v>0.98729999999999996</v>
      </c>
      <c r="R523" s="196">
        <v>0.99</v>
      </c>
      <c r="S523" s="197">
        <v>0.99419999999999997</v>
      </c>
      <c r="T523" s="198">
        <v>1.4999999999999999E-2</v>
      </c>
      <c r="U523" s="197">
        <v>0</v>
      </c>
      <c r="V523" s="198">
        <v>0</v>
      </c>
      <c r="W523" s="197">
        <v>0</v>
      </c>
      <c r="X523" s="199">
        <f t="shared" si="62"/>
        <v>6.9944027105016571E-2</v>
      </c>
    </row>
    <row r="524" spans="1:24">
      <c r="A524" s="189" t="s">
        <v>14</v>
      </c>
      <c r="B524" s="190" t="s">
        <v>66</v>
      </c>
      <c r="C524" s="190">
        <v>5</v>
      </c>
      <c r="D524" s="191">
        <v>6</v>
      </c>
      <c r="E524" s="192">
        <v>43585</v>
      </c>
      <c r="F524" s="24">
        <v>868.94962291350873</v>
      </c>
      <c r="G524" s="24">
        <f>823044/1000</f>
        <v>823.04399999999998</v>
      </c>
      <c r="H524" s="193">
        <v>190.2</v>
      </c>
      <c r="I524" s="194">
        <f>5.84*30</f>
        <v>175.2</v>
      </c>
      <c r="J524" s="193">
        <v>194</v>
      </c>
      <c r="K524" s="194">
        <f>6.02*30</f>
        <v>180.6</v>
      </c>
      <c r="L524" s="195">
        <f t="shared" si="63"/>
        <v>0.75788862395861356</v>
      </c>
      <c r="M524" s="195">
        <f t="shared" si="64"/>
        <v>0.76543984472241366</v>
      </c>
      <c r="N524" s="195">
        <f t="shared" si="65"/>
        <v>0.24137489525375244</v>
      </c>
      <c r="O524" s="195">
        <f t="shared" si="66"/>
        <v>0.22862333333333335</v>
      </c>
      <c r="P524" s="195">
        <v>0.98499999999999999</v>
      </c>
      <c r="Q524" s="195">
        <v>0.99229999999999996</v>
      </c>
      <c r="R524" s="196">
        <v>0.99</v>
      </c>
      <c r="S524" s="197">
        <v>0.99560000000000004</v>
      </c>
      <c r="T524" s="198">
        <v>1.4999999999999999E-2</v>
      </c>
      <c r="U524" s="197">
        <v>0</v>
      </c>
      <c r="V524" s="198">
        <v>0</v>
      </c>
      <c r="W524" s="197">
        <v>0</v>
      </c>
      <c r="X524" s="199">
        <f t="shared" si="62"/>
        <v>1.624329926623902E-2</v>
      </c>
    </row>
    <row r="525" spans="1:24">
      <c r="A525" s="189" t="s">
        <v>14</v>
      </c>
      <c r="B525" s="190" t="s">
        <v>66</v>
      </c>
      <c r="C525" s="190">
        <v>5</v>
      </c>
      <c r="D525" s="191">
        <v>6</v>
      </c>
      <c r="E525" s="192">
        <v>43616</v>
      </c>
      <c r="F525" s="24">
        <v>880.5151246282644</v>
      </c>
      <c r="G525" s="24">
        <f>846183/1000</f>
        <v>846.18299999999999</v>
      </c>
      <c r="H525" s="193">
        <v>197</v>
      </c>
      <c r="I525" s="194">
        <v>193.82</v>
      </c>
      <c r="J525" s="193">
        <v>197.7</v>
      </c>
      <c r="K525" s="194">
        <v>196.34</v>
      </c>
      <c r="L525" s="195">
        <f t="shared" si="63"/>
        <v>0.7536030891874701</v>
      </c>
      <c r="M525" s="195">
        <f t="shared" si="64"/>
        <v>0.7408182150852346</v>
      </c>
      <c r="N525" s="195">
        <f t="shared" si="65"/>
        <v>0.23669761414738288</v>
      </c>
      <c r="O525" s="195">
        <f t="shared" si="66"/>
        <v>0.22746854838709676</v>
      </c>
      <c r="P525" s="195">
        <v>0.98499999999999999</v>
      </c>
      <c r="Q525" s="195">
        <v>0.96960000000000002</v>
      </c>
      <c r="R525" s="196">
        <v>0.99</v>
      </c>
      <c r="S525" s="197">
        <v>0.9859</v>
      </c>
      <c r="T525" s="198">
        <v>1.4999999999999999E-2</v>
      </c>
      <c r="U525" s="197">
        <v>0</v>
      </c>
      <c r="V525" s="198">
        <v>0</v>
      </c>
      <c r="W525" s="197">
        <v>0</v>
      </c>
      <c r="X525" s="199">
        <f t="shared" si="62"/>
        <v>-3.2111844132772127E-2</v>
      </c>
    </row>
    <row r="526" spans="1:24">
      <c r="A526" s="189" t="s">
        <v>14</v>
      </c>
      <c r="B526" s="190" t="s">
        <v>66</v>
      </c>
      <c r="C526" s="190">
        <v>5</v>
      </c>
      <c r="D526" s="191">
        <v>6</v>
      </c>
      <c r="E526" s="192">
        <v>43646</v>
      </c>
      <c r="F526" s="24">
        <v>790.42595337648277</v>
      </c>
      <c r="G526" s="24">
        <f>815484/1000</f>
        <v>815.48400000000004</v>
      </c>
      <c r="H526" s="193">
        <v>178.9</v>
      </c>
      <c r="I526" s="194">
        <v>188.7</v>
      </c>
      <c r="J526" s="193">
        <v>177.2</v>
      </c>
      <c r="K526" s="194">
        <v>187.20000000000002</v>
      </c>
      <c r="L526" s="195">
        <f t="shared" si="63"/>
        <v>0.75476194208889824</v>
      </c>
      <c r="M526" s="195">
        <f t="shared" si="64"/>
        <v>0.72734554677051177</v>
      </c>
      <c r="N526" s="195">
        <f t="shared" si="65"/>
        <v>0.21956276482680076</v>
      </c>
      <c r="O526" s="195">
        <f t="shared" si="66"/>
        <v>0.22652333333333335</v>
      </c>
      <c r="P526" s="195">
        <v>0.98499999999999999</v>
      </c>
      <c r="Q526" s="195">
        <v>0.99819999999999998</v>
      </c>
      <c r="R526" s="196">
        <v>0.99</v>
      </c>
      <c r="S526" s="197">
        <v>0.99909999999999999</v>
      </c>
      <c r="T526" s="198">
        <v>1.4999999999999999E-2</v>
      </c>
      <c r="U526" s="197">
        <v>0</v>
      </c>
      <c r="V526" s="198">
        <v>0</v>
      </c>
      <c r="W526" s="197">
        <v>0</v>
      </c>
      <c r="X526" s="199">
        <f t="shared" si="62"/>
        <v>-2.4731455325361695E-2</v>
      </c>
    </row>
    <row r="527" spans="1:24">
      <c r="A527" s="189" t="s">
        <v>14</v>
      </c>
      <c r="B527" s="190" t="s">
        <v>66</v>
      </c>
      <c r="C527" s="190">
        <v>5</v>
      </c>
      <c r="D527" s="191">
        <v>6</v>
      </c>
      <c r="E527" s="192">
        <v>43677</v>
      </c>
      <c r="F527" s="24">
        <v>699.72807150813537</v>
      </c>
      <c r="G527" s="24">
        <v>628.55399999999997</v>
      </c>
      <c r="H527" s="193">
        <v>155.5</v>
      </c>
      <c r="I527" s="194">
        <v>143.22</v>
      </c>
      <c r="J527" s="193">
        <v>154.6</v>
      </c>
      <c r="K527" s="194">
        <v>140.74</v>
      </c>
      <c r="L527" s="195">
        <f t="shared" si="63"/>
        <v>0.76582991477174367</v>
      </c>
      <c r="M527" s="195">
        <f t="shared" si="64"/>
        <v>0.7913503941727047</v>
      </c>
      <c r="N527" s="195">
        <f t="shared" si="65"/>
        <v>0.18809894395379984</v>
      </c>
      <c r="O527" s="195">
        <f t="shared" si="66"/>
        <v>0.16896612903225808</v>
      </c>
      <c r="P527" s="195">
        <v>0.98499999999999999</v>
      </c>
      <c r="Q527" s="195">
        <v>0.94059999999999999</v>
      </c>
      <c r="R527" s="196">
        <v>0.99</v>
      </c>
      <c r="S527" s="197">
        <v>0.98119999999999996</v>
      </c>
      <c r="T527" s="198">
        <v>1.4999999999999999E-2</v>
      </c>
      <c r="U527" s="197">
        <v>0</v>
      </c>
      <c r="V527" s="198">
        <v>0</v>
      </c>
      <c r="W527" s="197">
        <v>0</v>
      </c>
      <c r="X527" s="199">
        <f t="shared" si="62"/>
        <v>-1.206604733351091E-2</v>
      </c>
    </row>
    <row r="528" spans="1:24">
      <c r="A528" s="189" t="s">
        <v>14</v>
      </c>
      <c r="B528" s="190" t="s">
        <v>66</v>
      </c>
      <c r="C528" s="190">
        <v>5</v>
      </c>
      <c r="D528" s="191">
        <v>6</v>
      </c>
      <c r="E528" s="192">
        <v>43708</v>
      </c>
      <c r="F528" s="24">
        <v>664.11850043901916</v>
      </c>
      <c r="G528" s="24">
        <f>640962/1000</f>
        <v>640.96199999999999</v>
      </c>
      <c r="H528" s="193">
        <v>145.4</v>
      </c>
      <c r="I528" s="194">
        <v>142</v>
      </c>
      <c r="J528" s="193">
        <v>146.30000000000001</v>
      </c>
      <c r="K528" s="194">
        <v>142</v>
      </c>
      <c r="L528" s="195">
        <f t="shared" si="63"/>
        <v>0.76809293704845771</v>
      </c>
      <c r="M528" s="195">
        <f t="shared" si="64"/>
        <v>0.79981162757963897</v>
      </c>
      <c r="N528" s="195">
        <f t="shared" si="65"/>
        <v>0.17852647861263957</v>
      </c>
      <c r="O528" s="195">
        <f t="shared" si="66"/>
        <v>0.17230161290322582</v>
      </c>
      <c r="P528" s="195">
        <v>0.98499999999999999</v>
      </c>
      <c r="Q528" s="195">
        <v>0.94059999999999999</v>
      </c>
      <c r="R528" s="196">
        <v>0.99</v>
      </c>
      <c r="S528" s="197">
        <v>0.98119999999999996</v>
      </c>
      <c r="T528" s="198">
        <v>1.4999999999999999E-2</v>
      </c>
      <c r="U528" s="197">
        <v>0</v>
      </c>
      <c r="V528" s="198">
        <v>0</v>
      </c>
      <c r="W528" s="197">
        <v>0</v>
      </c>
      <c r="X528" s="199">
        <f t="shared" si="62"/>
        <v>-5.4763639733006464E-3</v>
      </c>
    </row>
    <row r="529" spans="1:24">
      <c r="A529" s="189" t="s">
        <v>14</v>
      </c>
      <c r="B529" s="190" t="s">
        <v>66</v>
      </c>
      <c r="C529" s="190">
        <v>5</v>
      </c>
      <c r="D529" s="191">
        <v>6</v>
      </c>
      <c r="E529" s="192">
        <v>43738</v>
      </c>
      <c r="F529" s="24">
        <v>661.98801328103764</v>
      </c>
      <c r="G529" s="24">
        <f>642987/1000</f>
        <v>642.98699999999997</v>
      </c>
      <c r="H529" s="193">
        <v>141.6</v>
      </c>
      <c r="I529" s="194">
        <v>144</v>
      </c>
      <c r="J529" s="193">
        <v>145.5</v>
      </c>
      <c r="K529" s="194">
        <v>150</v>
      </c>
      <c r="L529" s="195">
        <f t="shared" si="63"/>
        <v>0.76983854411945229</v>
      </c>
      <c r="M529" s="195">
        <f t="shared" si="64"/>
        <v>0.74512932832707546</v>
      </c>
      <c r="N529" s="195">
        <f t="shared" si="65"/>
        <v>0.18388555924473268</v>
      </c>
      <c r="O529" s="195">
        <f t="shared" si="66"/>
        <v>0.17860749999999997</v>
      </c>
      <c r="P529" s="195">
        <v>0.98499999999999999</v>
      </c>
      <c r="Q529" s="195">
        <v>0.95879999999999999</v>
      </c>
      <c r="R529" s="196">
        <v>0.99</v>
      </c>
      <c r="S529" s="197">
        <v>0.99760000000000004</v>
      </c>
      <c r="T529" s="198">
        <v>1.4999999999999999E-2</v>
      </c>
      <c r="U529" s="197">
        <v>0</v>
      </c>
      <c r="V529" s="198">
        <v>0</v>
      </c>
      <c r="W529" s="197">
        <v>0</v>
      </c>
      <c r="X529" s="199">
        <f t="shared" si="62"/>
        <v>-5.9630791751414947E-2</v>
      </c>
    </row>
    <row r="530" spans="1:24">
      <c r="A530" s="189" t="s">
        <v>14</v>
      </c>
      <c r="B530" s="190" t="s">
        <v>66</v>
      </c>
      <c r="C530" s="190">
        <v>5</v>
      </c>
      <c r="D530" s="191">
        <v>6</v>
      </c>
      <c r="E530" s="192">
        <v>43769</v>
      </c>
      <c r="F530" s="24">
        <v>758.46864600676315</v>
      </c>
      <c r="G530" s="24">
        <f>588549/1000</f>
        <v>588.54899999999998</v>
      </c>
      <c r="H530" s="193">
        <v>139.1</v>
      </c>
      <c r="I530" s="194">
        <v>127.72</v>
      </c>
      <c r="J530" s="193">
        <v>172.2</v>
      </c>
      <c r="K530" s="194">
        <v>147.56</v>
      </c>
      <c r="L530" s="195">
        <f t="shared" si="63"/>
        <v>0.74527577425097247</v>
      </c>
      <c r="M530" s="195">
        <f t="shared" si="64"/>
        <v>0.74532650424404856</v>
      </c>
      <c r="N530" s="195">
        <f t="shared" si="65"/>
        <v>0.20388942096956</v>
      </c>
      <c r="O530" s="195">
        <f t="shared" si="66"/>
        <v>0.15821209677419354</v>
      </c>
      <c r="P530" s="195">
        <v>0.98499999999999999</v>
      </c>
      <c r="Q530" s="195">
        <v>0.89190000000000003</v>
      </c>
      <c r="R530" s="196">
        <v>0.99</v>
      </c>
      <c r="S530" s="197">
        <v>0.98880000000000001</v>
      </c>
      <c r="T530" s="198">
        <v>1.4999999999999999E-2</v>
      </c>
      <c r="U530" s="197">
        <v>0</v>
      </c>
      <c r="V530" s="198">
        <v>0</v>
      </c>
      <c r="W530" s="197">
        <v>0</v>
      </c>
      <c r="X530" s="199">
        <f t="shared" si="62"/>
        <v>-8.0940457356665663E-2</v>
      </c>
    </row>
    <row r="531" spans="1:24">
      <c r="A531" s="189" t="s">
        <v>14</v>
      </c>
      <c r="B531" s="190" t="s">
        <v>66</v>
      </c>
      <c r="C531" s="190">
        <v>5</v>
      </c>
      <c r="D531" s="191">
        <v>6</v>
      </c>
      <c r="E531" s="192">
        <v>43799</v>
      </c>
      <c r="F531" s="24">
        <v>671.42302783781213</v>
      </c>
      <c r="G531" s="24">
        <f>590718/1000</f>
        <v>590.71799999999996</v>
      </c>
      <c r="H531" s="193">
        <v>108.1</v>
      </c>
      <c r="I531" s="194">
        <v>95.7</v>
      </c>
      <c r="J531" s="193">
        <v>152.1</v>
      </c>
      <c r="K531" s="194">
        <v>125.4</v>
      </c>
      <c r="L531" s="195">
        <f t="shared" si="63"/>
        <v>0.74692937102539869</v>
      </c>
      <c r="M531" s="195">
        <f t="shared" si="64"/>
        <v>0.79424546559759379</v>
      </c>
      <c r="N531" s="195">
        <f t="shared" si="65"/>
        <v>0.18650639662161447</v>
      </c>
      <c r="O531" s="195">
        <f t="shared" si="66"/>
        <v>0.16408833333333334</v>
      </c>
      <c r="P531" s="195">
        <v>0.98499999999999999</v>
      </c>
      <c r="Q531" s="195">
        <v>0.98850000000000005</v>
      </c>
      <c r="R531" s="196">
        <v>0.99</v>
      </c>
      <c r="S531" s="197">
        <v>1</v>
      </c>
      <c r="T531" s="198">
        <v>1.4999999999999999E-2</v>
      </c>
      <c r="U531" s="197">
        <v>0</v>
      </c>
      <c r="V531" s="198">
        <v>0</v>
      </c>
      <c r="W531" s="197">
        <v>0</v>
      </c>
      <c r="X531" s="199">
        <f t="shared" si="62"/>
        <v>5.534243626040547E-2</v>
      </c>
    </row>
    <row r="532" spans="1:24">
      <c r="A532" s="189" t="s">
        <v>14</v>
      </c>
      <c r="B532" s="190" t="s">
        <v>66</v>
      </c>
      <c r="C532" s="190">
        <v>5</v>
      </c>
      <c r="D532" s="191">
        <v>6</v>
      </c>
      <c r="E532" s="192">
        <v>43830</v>
      </c>
      <c r="F532" s="24">
        <v>563.68124870561405</v>
      </c>
      <c r="G532" s="24">
        <f>409797/1000</f>
        <v>409.79700000000003</v>
      </c>
      <c r="H532" s="193">
        <v>89.9</v>
      </c>
      <c r="I532" s="194">
        <v>70.06</v>
      </c>
      <c r="J532" s="193">
        <v>129.6</v>
      </c>
      <c r="K532" s="194">
        <v>91.45</v>
      </c>
      <c r="L532" s="195">
        <f t="shared" si="63"/>
        <v>0.73593779206828525</v>
      </c>
      <c r="M532" s="195">
        <f t="shared" si="64"/>
        <v>0.79174254013384493</v>
      </c>
      <c r="N532" s="195">
        <f t="shared" si="65"/>
        <v>0.15152721739398228</v>
      </c>
      <c r="O532" s="195">
        <f t="shared" si="66"/>
        <v>0.11016048387096775</v>
      </c>
      <c r="P532" s="195">
        <v>0.98499999999999999</v>
      </c>
      <c r="Q532" s="195">
        <v>0.94330000000000003</v>
      </c>
      <c r="R532" s="196">
        <v>0.99</v>
      </c>
      <c r="S532" s="197">
        <v>0.99939999999999996</v>
      </c>
      <c r="T532" s="198">
        <v>1.4999999999999999E-2</v>
      </c>
      <c r="U532" s="197">
        <v>0</v>
      </c>
      <c r="V532" s="198">
        <v>0</v>
      </c>
      <c r="W532" s="197">
        <v>0</v>
      </c>
      <c r="X532" s="199">
        <f t="shared" si="62"/>
        <v>2.1368582895757382E-2</v>
      </c>
    </row>
    <row r="533" spans="1:24">
      <c r="A533" s="189" t="s">
        <v>14</v>
      </c>
      <c r="B533" s="190" t="s">
        <v>66</v>
      </c>
      <c r="C533" s="190">
        <v>5</v>
      </c>
      <c r="D533" s="191">
        <v>6</v>
      </c>
      <c r="E533" s="192">
        <v>43861</v>
      </c>
      <c r="F533" s="24">
        <v>474.55528591572136</v>
      </c>
      <c r="G533" s="24">
        <f>431172/1000</f>
        <v>431.17200000000003</v>
      </c>
      <c r="H533" s="193">
        <v>79.599999999999994</v>
      </c>
      <c r="I533" s="194">
        <v>73.040000000000006</v>
      </c>
      <c r="J533" s="193">
        <v>103.2</v>
      </c>
      <c r="K533" s="194">
        <v>95.77</v>
      </c>
      <c r="L533" s="195">
        <f t="shared" si="63"/>
        <v>0.77807173152146758</v>
      </c>
      <c r="M533" s="195">
        <f t="shared" si="64"/>
        <v>0.83243869322207353</v>
      </c>
      <c r="N533" s="195">
        <f t="shared" si="65"/>
        <v>0.12756862524616167</v>
      </c>
      <c r="O533" s="195">
        <f t="shared" si="66"/>
        <v>0.11590645161290325</v>
      </c>
      <c r="P533" s="195">
        <v>0.98499999999999999</v>
      </c>
      <c r="Q533" s="195">
        <v>0.90139999999999998</v>
      </c>
      <c r="R533" s="196">
        <v>0.99</v>
      </c>
      <c r="S533" s="197">
        <v>0.998</v>
      </c>
      <c r="T533" s="198">
        <v>1.4999999999999999E-2</v>
      </c>
      <c r="U533" s="197">
        <v>0</v>
      </c>
      <c r="V533" s="198">
        <v>0</v>
      </c>
      <c r="W533" s="197">
        <v>0</v>
      </c>
      <c r="X533" s="199">
        <f t="shared" si="62"/>
        <v>-1.942269945129127E-2</v>
      </c>
    </row>
    <row r="534" spans="1:24">
      <c r="A534" s="189" t="s">
        <v>14</v>
      </c>
      <c r="B534" s="190" t="s">
        <v>66</v>
      </c>
      <c r="C534" s="190">
        <v>5</v>
      </c>
      <c r="D534" s="191">
        <v>6</v>
      </c>
      <c r="E534" s="192">
        <v>43890</v>
      </c>
      <c r="F534" s="24">
        <v>622.94371646912032</v>
      </c>
      <c r="G534" s="24">
        <f>650781/1000</f>
        <v>650.78099999999995</v>
      </c>
      <c r="H534" s="193">
        <v>108.1</v>
      </c>
      <c r="I534" s="194">
        <v>113.97</v>
      </c>
      <c r="J534" s="193">
        <v>137.5</v>
      </c>
      <c r="K534" s="194">
        <v>144.41999999999999</v>
      </c>
      <c r="L534" s="195">
        <f t="shared" si="63"/>
        <v>0.76658202303537337</v>
      </c>
      <c r="M534" s="195">
        <f t="shared" si="64"/>
        <v>0.78158835564030982</v>
      </c>
      <c r="N534" s="195">
        <f t="shared" si="65"/>
        <v>0.17900681507733343</v>
      </c>
      <c r="O534" s="195">
        <f t="shared" si="66"/>
        <v>0.1870060344827586</v>
      </c>
      <c r="P534" s="195">
        <v>0.98499999999999999</v>
      </c>
      <c r="Q534" s="195">
        <v>0.96089999999999998</v>
      </c>
      <c r="R534" s="196">
        <v>0.99</v>
      </c>
      <c r="S534" s="197">
        <v>1</v>
      </c>
      <c r="T534" s="198">
        <v>1.4999999999999999E-2</v>
      </c>
      <c r="U534" s="197">
        <v>0</v>
      </c>
      <c r="V534" s="198">
        <v>0</v>
      </c>
      <c r="W534" s="197">
        <v>0</v>
      </c>
      <c r="X534" s="199">
        <f t="shared" si="62"/>
        <v>-5.6405975190163549E-3</v>
      </c>
    </row>
    <row r="535" spans="1:24">
      <c r="A535" s="189" t="s">
        <v>14</v>
      </c>
      <c r="B535" s="190" t="s">
        <v>66</v>
      </c>
      <c r="C535" s="190">
        <v>5</v>
      </c>
      <c r="D535" s="191">
        <v>6</v>
      </c>
      <c r="E535" s="192">
        <v>43921</v>
      </c>
      <c r="F535" s="24">
        <v>835.53285575174448</v>
      </c>
      <c r="G535" s="24">
        <f>786693/1000</f>
        <v>786.69299999999998</v>
      </c>
      <c r="H535" s="193">
        <v>161.4</v>
      </c>
      <c r="I535" s="194">
        <v>153.18</v>
      </c>
      <c r="J535" s="193">
        <v>187.8</v>
      </c>
      <c r="K535" s="194">
        <v>172</v>
      </c>
      <c r="L535" s="195">
        <f t="shared" si="63"/>
        <v>0.75280147883115789</v>
      </c>
      <c r="M535" s="195">
        <f t="shared" si="64"/>
        <v>0.79472416451694228</v>
      </c>
      <c r="N535" s="195">
        <f t="shared" si="65"/>
        <v>0.22460560638487753</v>
      </c>
      <c r="O535" s="195">
        <f t="shared" si="66"/>
        <v>0.21147661290322581</v>
      </c>
      <c r="P535" s="195">
        <v>0.98499999999999999</v>
      </c>
      <c r="Q535" s="195">
        <v>0.95920000000000005</v>
      </c>
      <c r="R535" s="196">
        <v>0.99</v>
      </c>
      <c r="S535" s="197">
        <v>0.99939999999999996</v>
      </c>
      <c r="T535" s="198">
        <v>1.4999999999999999E-2</v>
      </c>
      <c r="U535" s="197">
        <v>0</v>
      </c>
      <c r="V535" s="198">
        <v>0</v>
      </c>
      <c r="W535" s="197">
        <v>0</v>
      </c>
      <c r="X535" s="199">
        <f t="shared" si="62"/>
        <v>2.567851233001206E-2</v>
      </c>
    </row>
    <row r="536" spans="1:24">
      <c r="A536" s="189" t="s">
        <v>14</v>
      </c>
      <c r="B536" s="190" t="s">
        <v>66</v>
      </c>
      <c r="C536" s="190">
        <v>5</v>
      </c>
      <c r="D536" s="191">
        <v>6</v>
      </c>
      <c r="E536" s="192">
        <v>43951</v>
      </c>
      <c r="F536" s="24">
        <v>864.60487479894107</v>
      </c>
      <c r="G536" s="24">
        <f>785445/1000</f>
        <v>785.44500000000005</v>
      </c>
      <c r="H536" s="193">
        <v>190.2</v>
      </c>
      <c r="I536" s="194">
        <v>177.6</v>
      </c>
      <c r="J536" s="193">
        <v>194</v>
      </c>
      <c r="K536" s="194">
        <v>179.1</v>
      </c>
      <c r="L536" s="195">
        <f t="shared" si="63"/>
        <v>0.75409918083882022</v>
      </c>
      <c r="M536" s="195">
        <f t="shared" si="64"/>
        <v>0.74401311206775822</v>
      </c>
      <c r="N536" s="195">
        <f t="shared" si="65"/>
        <v>0.24016802077748362</v>
      </c>
      <c r="O536" s="195">
        <f t="shared" si="66"/>
        <v>0.21817916666666667</v>
      </c>
      <c r="P536" s="195">
        <v>0.98499999999999999</v>
      </c>
      <c r="Q536" s="195">
        <v>0.98240000000000005</v>
      </c>
      <c r="R536" s="196">
        <v>0.99</v>
      </c>
      <c r="S536" s="197">
        <v>0.99880000000000002</v>
      </c>
      <c r="T536" s="198">
        <v>1.4999999999999999E-2</v>
      </c>
      <c r="U536" s="197">
        <v>0</v>
      </c>
      <c r="V536" s="198">
        <v>0</v>
      </c>
      <c r="W536" s="197">
        <v>0</v>
      </c>
      <c r="X536" s="199">
        <f t="shared" si="62"/>
        <v>-1.4752004534350216E-2</v>
      </c>
    </row>
    <row r="537" spans="1:24">
      <c r="A537" s="189" t="s">
        <v>14</v>
      </c>
      <c r="B537" s="190" t="s">
        <v>66</v>
      </c>
      <c r="C537" s="190">
        <v>5</v>
      </c>
      <c r="D537" s="191">
        <v>6</v>
      </c>
      <c r="E537" s="192">
        <v>43982</v>
      </c>
      <c r="F537" s="24">
        <v>876.11254900512313</v>
      </c>
      <c r="G537" s="24">
        <f>831420/1000</f>
        <v>831.42</v>
      </c>
      <c r="H537" s="193">
        <v>197</v>
      </c>
      <c r="I537" s="194">
        <v>193.75</v>
      </c>
      <c r="J537" s="193">
        <v>197.7</v>
      </c>
      <c r="K537" s="194">
        <v>190.96</v>
      </c>
      <c r="L537" s="195">
        <f t="shared" si="63"/>
        <v>0.74983507374153291</v>
      </c>
      <c r="M537" s="195">
        <f t="shared" si="64"/>
        <v>0.74662964363550832</v>
      </c>
      <c r="N537" s="195">
        <f t="shared" si="65"/>
        <v>0.23551412607664601</v>
      </c>
      <c r="O537" s="195">
        <f t="shared" si="66"/>
        <v>0.22349999999999998</v>
      </c>
      <c r="P537" s="195">
        <v>0.98499999999999999</v>
      </c>
      <c r="Q537" s="195">
        <v>0.97189999999999999</v>
      </c>
      <c r="R537" s="196">
        <v>0.99</v>
      </c>
      <c r="S537" s="197">
        <v>0.99729999999999996</v>
      </c>
      <c r="T537" s="198">
        <v>1.4999999999999999E-2</v>
      </c>
      <c r="U537" s="197">
        <v>0</v>
      </c>
      <c r="V537" s="198">
        <v>0</v>
      </c>
      <c r="W537" s="197">
        <v>0</v>
      </c>
      <c r="X537" s="199">
        <f t="shared" si="62"/>
        <v>-1.6920278787903364E-2</v>
      </c>
    </row>
    <row r="538" spans="1:24">
      <c r="A538" s="189" t="s">
        <v>14</v>
      </c>
      <c r="B538" s="190" t="s">
        <v>66</v>
      </c>
      <c r="C538" s="190">
        <v>5</v>
      </c>
      <c r="D538" s="191">
        <v>6</v>
      </c>
      <c r="E538" s="192">
        <v>44012</v>
      </c>
      <c r="F538" s="24">
        <v>786.47382360960046</v>
      </c>
      <c r="G538" s="24">
        <f>817701/1000</f>
        <v>817.70100000000002</v>
      </c>
      <c r="H538" s="193">
        <v>178.9</v>
      </c>
      <c r="I538" s="194">
        <v>188.28</v>
      </c>
      <c r="J538" s="193">
        <v>177.2</v>
      </c>
      <c r="K538" s="194">
        <v>184.28</v>
      </c>
      <c r="L538" s="195">
        <f t="shared" si="63"/>
        <v>0.75098813237845385</v>
      </c>
      <c r="M538" s="195">
        <f t="shared" si="64"/>
        <v>0.76296894652817848</v>
      </c>
      <c r="N538" s="195">
        <f t="shared" si="65"/>
        <v>0.21846495100266677</v>
      </c>
      <c r="O538" s="195">
        <f t="shared" si="66"/>
        <v>0.22713916666666667</v>
      </c>
      <c r="P538" s="195">
        <v>0.98499999999999999</v>
      </c>
      <c r="Q538" s="195">
        <v>0.96930000000000005</v>
      </c>
      <c r="R538" s="196">
        <v>0.99</v>
      </c>
      <c r="S538" s="197">
        <v>0.99850000000000005</v>
      </c>
      <c r="T538" s="198">
        <v>1.4999999999999999E-2</v>
      </c>
      <c r="U538" s="197">
        <v>0</v>
      </c>
      <c r="V538" s="198">
        <v>0</v>
      </c>
      <c r="W538" s="197">
        <v>0</v>
      </c>
      <c r="X538" s="199">
        <f t="shared" si="62"/>
        <v>-2.4955672928173023E-4</v>
      </c>
    </row>
    <row r="539" spans="1:24">
      <c r="A539" s="189" t="s">
        <v>14</v>
      </c>
      <c r="B539" s="190" t="s">
        <v>66</v>
      </c>
      <c r="C539" s="190">
        <v>5</v>
      </c>
      <c r="D539" s="191">
        <v>6</v>
      </c>
      <c r="E539" s="192">
        <v>44043</v>
      </c>
      <c r="F539" s="24">
        <v>696.22943115059468</v>
      </c>
      <c r="G539" s="24">
        <f>711324/1000</f>
        <v>711.32399999999996</v>
      </c>
      <c r="H539" s="193">
        <v>155.5</v>
      </c>
      <c r="I539" s="194">
        <v>155.22000000000003</v>
      </c>
      <c r="J539" s="193">
        <v>154.6</v>
      </c>
      <c r="K539" s="194">
        <v>153.15</v>
      </c>
      <c r="L539" s="195">
        <f t="shared" si="63"/>
        <v>0.76200076519788495</v>
      </c>
      <c r="M539" s="195">
        <f t="shared" si="64"/>
        <v>0.80068661541634767</v>
      </c>
      <c r="N539" s="195">
        <f t="shared" si="65"/>
        <v>0.18715844923403085</v>
      </c>
      <c r="O539" s="195">
        <f t="shared" si="66"/>
        <v>0.19121612903225804</v>
      </c>
      <c r="P539" s="195">
        <v>0.98499999999999999</v>
      </c>
      <c r="Q539" s="195">
        <v>0.96679999999999999</v>
      </c>
      <c r="R539" s="196">
        <v>0.99</v>
      </c>
      <c r="S539" s="197">
        <v>0.98670000000000002</v>
      </c>
      <c r="T539" s="198">
        <v>1.4999999999999999E-2</v>
      </c>
      <c r="U539" s="197">
        <v>0</v>
      </c>
      <c r="V539" s="198">
        <v>0</v>
      </c>
      <c r="W539" s="197">
        <v>0</v>
      </c>
      <c r="X539" s="199">
        <f t="shared" si="62"/>
        <v>3.1059494814850819E-2</v>
      </c>
    </row>
    <row r="540" spans="1:24">
      <c r="A540" s="189" t="s">
        <v>14</v>
      </c>
      <c r="B540" s="190" t="s">
        <v>66</v>
      </c>
      <c r="C540" s="190">
        <v>5</v>
      </c>
      <c r="D540" s="191">
        <v>6</v>
      </c>
      <c r="E540" s="192">
        <v>44074</v>
      </c>
      <c r="F540" s="24">
        <v>660.797907936824</v>
      </c>
      <c r="G540" s="24">
        <v>587.81399999999996</v>
      </c>
      <c r="H540" s="193">
        <v>145.4</v>
      </c>
      <c r="I540" s="194">
        <v>135.4</v>
      </c>
      <c r="J540" s="193">
        <v>146.30000000000001</v>
      </c>
      <c r="K540" s="194">
        <v>135.54</v>
      </c>
      <c r="L540" s="195">
        <f t="shared" si="63"/>
        <v>0.76425247236321536</v>
      </c>
      <c r="M540" s="195">
        <f t="shared" si="64"/>
        <v>0.79832679036042309</v>
      </c>
      <c r="N540" s="195">
        <f t="shared" si="65"/>
        <v>0.17763384621957637</v>
      </c>
      <c r="O540" s="195">
        <f t="shared" si="66"/>
        <v>0.15801451612903225</v>
      </c>
      <c r="P540" s="195">
        <v>0.98499999999999999</v>
      </c>
      <c r="Q540" s="195">
        <v>0.90539999999999998</v>
      </c>
      <c r="R540" s="196">
        <v>0.99</v>
      </c>
      <c r="S540" s="197">
        <v>0.99880000000000002</v>
      </c>
      <c r="T540" s="198">
        <v>1.4999999999999999E-2</v>
      </c>
      <c r="U540" s="197">
        <v>0</v>
      </c>
      <c r="V540" s="198">
        <v>0</v>
      </c>
      <c r="W540" s="197">
        <v>0</v>
      </c>
      <c r="X540" s="199">
        <f t="shared" si="62"/>
        <v>-3.6900647115278962E-2</v>
      </c>
    </row>
    <row r="541" spans="1:24">
      <c r="A541" s="189" t="s">
        <v>14</v>
      </c>
      <c r="B541" s="190" t="s">
        <v>66</v>
      </c>
      <c r="C541" s="190">
        <v>5</v>
      </c>
      <c r="D541" s="191">
        <v>6</v>
      </c>
      <c r="E541" s="192">
        <v>44104</v>
      </c>
      <c r="F541" s="24">
        <v>658.67807321463249</v>
      </c>
      <c r="G541" s="24">
        <f>683826/1000</f>
        <v>683.82600000000002</v>
      </c>
      <c r="H541" s="193">
        <v>141.6</v>
      </c>
      <c r="I541" s="194">
        <v>145.79</v>
      </c>
      <c r="J541" s="193">
        <v>145.5</v>
      </c>
      <c r="K541" s="194">
        <v>154.88999999999999</v>
      </c>
      <c r="L541" s="195">
        <f t="shared" si="63"/>
        <v>0.76598935139885516</v>
      </c>
      <c r="M541" s="195">
        <f t="shared" si="64"/>
        <v>0.77024910321373807</v>
      </c>
      <c r="N541" s="195">
        <f t="shared" si="65"/>
        <v>0.18296613144850901</v>
      </c>
      <c r="O541" s="195">
        <f t="shared" si="66"/>
        <v>0.18995166666666669</v>
      </c>
      <c r="P541" s="195">
        <v>0.98499999999999999</v>
      </c>
      <c r="Q541" s="195">
        <v>0.95530000000000004</v>
      </c>
      <c r="R541" s="196">
        <v>0.99</v>
      </c>
      <c r="S541" s="197">
        <v>0.99739999999999995</v>
      </c>
      <c r="T541" s="198">
        <v>1.4999999999999999E-2</v>
      </c>
      <c r="U541" s="197">
        <v>0</v>
      </c>
      <c r="V541" s="198">
        <v>0</v>
      </c>
      <c r="W541" s="197">
        <v>0</v>
      </c>
      <c r="X541" s="199">
        <f t="shared" si="62"/>
        <v>-2.6356692863403808E-2</v>
      </c>
    </row>
    <row r="542" spans="1:24">
      <c r="A542" s="189" t="s">
        <v>14</v>
      </c>
      <c r="B542" s="190" t="s">
        <v>66</v>
      </c>
      <c r="C542" s="190">
        <v>5</v>
      </c>
      <c r="D542" s="191">
        <v>6</v>
      </c>
      <c r="E542" s="192">
        <v>44135</v>
      </c>
      <c r="F542" s="24">
        <v>754.67630277672936</v>
      </c>
      <c r="G542" s="24">
        <f>758979/1000</f>
        <v>758.97900000000004</v>
      </c>
      <c r="H542" s="193">
        <v>139.1</v>
      </c>
      <c r="I542" s="194">
        <v>139.43</v>
      </c>
      <c r="J542" s="193">
        <v>172.2</v>
      </c>
      <c r="K542" s="194">
        <v>173.46</v>
      </c>
      <c r="L542" s="195">
        <f t="shared" si="63"/>
        <v>0.74154939537971765</v>
      </c>
      <c r="M542" s="195">
        <f t="shared" si="64"/>
        <v>0.73483936234301483</v>
      </c>
      <c r="N542" s="195">
        <f t="shared" si="65"/>
        <v>0.20286997386471223</v>
      </c>
      <c r="O542" s="195">
        <f t="shared" si="66"/>
        <v>0.20402661290322582</v>
      </c>
      <c r="P542" s="195">
        <v>0.98499999999999999</v>
      </c>
      <c r="Q542" s="195">
        <v>0.99239999999999995</v>
      </c>
      <c r="R542" s="196">
        <v>0.99</v>
      </c>
      <c r="S542" s="197">
        <v>1</v>
      </c>
      <c r="T542" s="198">
        <v>1.4999999999999999E-2</v>
      </c>
      <c r="U542" s="197">
        <v>0</v>
      </c>
      <c r="V542" s="198">
        <v>0</v>
      </c>
      <c r="W542" s="197">
        <v>0</v>
      </c>
      <c r="X542" s="199">
        <f t="shared" si="62"/>
        <v>-1.6156920521785967E-3</v>
      </c>
    </row>
    <row r="543" spans="1:24">
      <c r="A543" s="189" t="s">
        <v>14</v>
      </c>
      <c r="B543" s="190" t="s">
        <v>66</v>
      </c>
      <c r="C543" s="190">
        <v>5</v>
      </c>
      <c r="D543" s="191">
        <v>6</v>
      </c>
      <c r="E543" s="192">
        <v>44165</v>
      </c>
      <c r="F543" s="24">
        <v>668.06591269862315</v>
      </c>
      <c r="G543" s="24">
        <f>594657/1000</f>
        <v>594.65700000000004</v>
      </c>
      <c r="H543" s="193">
        <v>108.1</v>
      </c>
      <c r="I543" s="194">
        <v>101.92</v>
      </c>
      <c r="J543" s="193">
        <v>152.1</v>
      </c>
      <c r="K543" s="194">
        <v>143.38999999999999</v>
      </c>
      <c r="L543" s="195">
        <f t="shared" si="63"/>
        <v>0.74319472417027177</v>
      </c>
      <c r="M543" s="195">
        <f t="shared" si="64"/>
        <v>0.71819240169330512</v>
      </c>
      <c r="N543" s="195">
        <f t="shared" si="65"/>
        <v>0.18557386463850642</v>
      </c>
      <c r="O543" s="195">
        <f t="shared" si="66"/>
        <v>0.16518250000000001</v>
      </c>
      <c r="P543" s="195">
        <v>0.98499999999999999</v>
      </c>
      <c r="Q543" s="195">
        <v>0.96240000000000003</v>
      </c>
      <c r="R543" s="196">
        <v>0.99</v>
      </c>
      <c r="S543" s="197">
        <v>0.99629999999999996</v>
      </c>
      <c r="T543" s="198">
        <v>1.4999999999999999E-2</v>
      </c>
      <c r="U543" s="197">
        <v>0</v>
      </c>
      <c r="V543" s="198">
        <v>0</v>
      </c>
      <c r="W543" s="197">
        <v>0</v>
      </c>
      <c r="X543" s="199">
        <f t="shared" si="62"/>
        <v>-5.2617782301997984E-2</v>
      </c>
    </row>
    <row r="544" spans="1:24">
      <c r="A544" s="189" t="s">
        <v>14</v>
      </c>
      <c r="B544" s="190" t="s">
        <v>66</v>
      </c>
      <c r="C544" s="190">
        <v>5</v>
      </c>
      <c r="D544" s="191">
        <v>6</v>
      </c>
      <c r="E544" s="192">
        <v>44196</v>
      </c>
      <c r="F544" s="24">
        <v>560.86284246208595</v>
      </c>
      <c r="G544" s="24">
        <f>517617/1000</f>
        <v>517.61699999999996</v>
      </c>
      <c r="H544" s="193">
        <v>89.9</v>
      </c>
      <c r="I544" s="194">
        <v>82.04</v>
      </c>
      <c r="J544" s="193">
        <v>129.6</v>
      </c>
      <c r="K544" s="194">
        <v>121.14</v>
      </c>
      <c r="L544" s="195">
        <f t="shared" si="63"/>
        <v>0.7322581031079437</v>
      </c>
      <c r="M544" s="195">
        <f t="shared" si="64"/>
        <v>0.71817981295482336</v>
      </c>
      <c r="N544" s="195">
        <f t="shared" si="65"/>
        <v>0.15076958130701235</v>
      </c>
      <c r="O544" s="195">
        <f t="shared" si="66"/>
        <v>0.13914435483870966</v>
      </c>
      <c r="P544" s="195">
        <v>0.98499999999999999</v>
      </c>
      <c r="Q544" s="195">
        <v>0.99160000000000004</v>
      </c>
      <c r="R544" s="196">
        <v>0.99</v>
      </c>
      <c r="S544" s="197">
        <v>0.99790000000000001</v>
      </c>
      <c r="T544" s="198">
        <v>1.4999999999999999E-2</v>
      </c>
      <c r="U544" s="197">
        <v>0</v>
      </c>
      <c r="V544" s="198">
        <v>0</v>
      </c>
      <c r="W544" s="197">
        <v>0</v>
      </c>
      <c r="X544" s="199">
        <f t="shared" si="62"/>
        <v>-1.1828136873734185E-2</v>
      </c>
    </row>
    <row r="545" spans="1:24">
      <c r="A545" s="189" t="s">
        <v>14</v>
      </c>
      <c r="B545" s="190" t="s">
        <v>66</v>
      </c>
      <c r="C545" s="190">
        <v>5</v>
      </c>
      <c r="D545" s="191">
        <v>6</v>
      </c>
      <c r="E545" s="192">
        <v>44227</v>
      </c>
      <c r="F545" s="24">
        <v>472.18250948614286</v>
      </c>
      <c r="G545" s="24">
        <v>412.62299999999999</v>
      </c>
      <c r="H545" s="193">
        <v>79.599999999999994</v>
      </c>
      <c r="I545" s="194">
        <v>69.38</v>
      </c>
      <c r="J545" s="193">
        <v>103.2</v>
      </c>
      <c r="K545" s="194">
        <v>93.970000000000013</v>
      </c>
      <c r="L545" s="195">
        <f t="shared" si="63"/>
        <v>0.77418137286386046</v>
      </c>
      <c r="M545" s="195">
        <f t="shared" si="64"/>
        <v>0.73751348188329047</v>
      </c>
      <c r="N545" s="195">
        <f t="shared" si="65"/>
        <v>0.12693078211993086</v>
      </c>
      <c r="O545" s="195">
        <f t="shared" si="66"/>
        <v>0.11092016129032259</v>
      </c>
      <c r="P545" s="195">
        <v>0.98499999999999999</v>
      </c>
      <c r="Q545" s="195">
        <v>0.99229999999999996</v>
      </c>
      <c r="R545" s="196">
        <v>0.99</v>
      </c>
      <c r="S545" s="197">
        <v>1</v>
      </c>
      <c r="T545" s="198">
        <v>1.4999999999999999E-2</v>
      </c>
      <c r="U545" s="197">
        <v>0</v>
      </c>
      <c r="V545" s="198">
        <v>0</v>
      </c>
      <c r="W545" s="197">
        <v>0</v>
      </c>
      <c r="X545" s="199">
        <f t="shared" si="62"/>
        <v>-3.669864337465234E-2</v>
      </c>
    </row>
    <row r="546" spans="1:24">
      <c r="A546" s="189" t="s">
        <v>14</v>
      </c>
      <c r="B546" s="190" t="s">
        <v>66</v>
      </c>
      <c r="C546" s="190">
        <v>5</v>
      </c>
      <c r="D546" s="191">
        <v>6</v>
      </c>
      <c r="E546" s="192">
        <v>44255</v>
      </c>
      <c r="F546" s="24">
        <v>619.82899788677469</v>
      </c>
      <c r="G546" s="24">
        <v>576.55799999999999</v>
      </c>
      <c r="H546" s="193">
        <v>108.1</v>
      </c>
      <c r="I546" s="194">
        <v>108.91999999999997</v>
      </c>
      <c r="J546" s="193">
        <v>137.5</v>
      </c>
      <c r="K546" s="194">
        <v>144.48000000000002</v>
      </c>
      <c r="L546" s="195">
        <f t="shared" si="63"/>
        <v>0.76274911292019643</v>
      </c>
      <c r="M546" s="195">
        <f t="shared" si="64"/>
        <v>0.76036364900107989</v>
      </c>
      <c r="N546" s="195">
        <f t="shared" si="65"/>
        <v>0.18447291603773056</v>
      </c>
      <c r="O546" s="195">
        <f t="shared" si="66"/>
        <v>0.17159464285714285</v>
      </c>
      <c r="P546" s="195">
        <v>0.98499999999999999</v>
      </c>
      <c r="Q546" s="195">
        <v>0.87470714285714291</v>
      </c>
      <c r="R546" s="196">
        <v>0.99</v>
      </c>
      <c r="S546" s="197">
        <v>1</v>
      </c>
      <c r="T546" s="198">
        <v>1.4999999999999999E-2</v>
      </c>
      <c r="U546" s="197">
        <v>0</v>
      </c>
      <c r="V546" s="198">
        <v>0</v>
      </c>
      <c r="W546" s="197">
        <v>0</v>
      </c>
      <c r="X546" s="199">
        <f t="shared" si="62"/>
        <v>-0.12057482305270961</v>
      </c>
    </row>
    <row r="547" spans="1:24">
      <c r="A547" s="189" t="s">
        <v>14</v>
      </c>
      <c r="B547" s="190" t="s">
        <v>66</v>
      </c>
      <c r="C547" s="190">
        <v>5</v>
      </c>
      <c r="D547" s="191">
        <v>6</v>
      </c>
      <c r="E547" s="192">
        <v>44286</v>
      </c>
      <c r="F547" s="24">
        <v>831.35519147298601</v>
      </c>
      <c r="G547" s="24">
        <v>781.10699999999997</v>
      </c>
      <c r="H547" s="193">
        <v>161.4</v>
      </c>
      <c r="I547" s="194">
        <v>161.71999999999997</v>
      </c>
      <c r="J547" s="193">
        <v>187.8</v>
      </c>
      <c r="K547" s="194">
        <v>185.17999999999998</v>
      </c>
      <c r="L547" s="195">
        <f t="shared" si="63"/>
        <v>0.74903747143700228</v>
      </c>
      <c r="M547" s="195">
        <f t="shared" si="64"/>
        <v>0.7208798522706058</v>
      </c>
      <c r="N547" s="195">
        <f t="shared" si="65"/>
        <v>0.22348257835295321</v>
      </c>
      <c r="O547" s="195">
        <f t="shared" si="66"/>
        <v>0.20997499999999997</v>
      </c>
      <c r="P547" s="195">
        <v>0.98499999999999999</v>
      </c>
      <c r="Q547" s="195">
        <v>0.9752193548387097</v>
      </c>
      <c r="R547" s="196">
        <v>0.99</v>
      </c>
      <c r="S547" s="197">
        <v>1</v>
      </c>
      <c r="T547" s="198">
        <v>1.4999999999999999E-2</v>
      </c>
      <c r="U547" s="197">
        <v>0</v>
      </c>
      <c r="V547" s="198">
        <v>0</v>
      </c>
      <c r="W547" s="197">
        <v>0</v>
      </c>
      <c r="X547" s="199">
        <f t="shared" si="62"/>
        <v>-4.6490291820132312E-2</v>
      </c>
    </row>
    <row r="548" spans="1:24">
      <c r="A548" s="189" t="s">
        <v>14</v>
      </c>
      <c r="B548" s="190" t="s">
        <v>66</v>
      </c>
      <c r="C548" s="190">
        <v>5</v>
      </c>
      <c r="D548" s="191">
        <v>6</v>
      </c>
      <c r="E548" s="192">
        <v>44316</v>
      </c>
      <c r="F548" s="24">
        <v>860.28185042494636</v>
      </c>
      <c r="G548" s="24">
        <v>776.28300000000002</v>
      </c>
      <c r="H548" s="193">
        <v>190.2</v>
      </c>
      <c r="I548" s="194">
        <v>181.16</v>
      </c>
      <c r="J548" s="193">
        <v>194</v>
      </c>
      <c r="K548" s="194">
        <v>183.29</v>
      </c>
      <c r="L548" s="195">
        <f t="shared" si="63"/>
        <v>0.75032868493462612</v>
      </c>
      <c r="M548" s="195">
        <f t="shared" si="64"/>
        <v>0.73380309887508643</v>
      </c>
      <c r="N548" s="195">
        <f t="shared" si="65"/>
        <v>0.23896718067359618</v>
      </c>
      <c r="O548" s="195">
        <f t="shared" si="66"/>
        <v>0.21563416666666671</v>
      </c>
      <c r="P548" s="195">
        <v>0.98499999999999999</v>
      </c>
      <c r="Q548" s="195">
        <v>0.96194559999999996</v>
      </c>
      <c r="R548" s="196">
        <v>0.99</v>
      </c>
      <c r="S548" s="197">
        <v>0.98560000000000003</v>
      </c>
      <c r="T548" s="198">
        <v>1.4999999999999999E-2</v>
      </c>
      <c r="U548" s="197">
        <v>2.6750028682413086E-2</v>
      </c>
      <c r="V548" s="198">
        <v>0</v>
      </c>
      <c r="W548" s="197">
        <v>0</v>
      </c>
      <c r="X548" s="199">
        <f t="shared" si="62"/>
        <v>-4.2434896112736875E-2</v>
      </c>
    </row>
    <row r="549" spans="1:24">
      <c r="A549" s="189" t="s">
        <v>14</v>
      </c>
      <c r="B549" s="190" t="s">
        <v>66</v>
      </c>
      <c r="C549" s="190">
        <v>5</v>
      </c>
      <c r="D549" s="191">
        <v>6</v>
      </c>
      <c r="E549" s="192">
        <v>44347</v>
      </c>
      <c r="F549" s="24">
        <v>871.73198626009753</v>
      </c>
      <c r="G549" s="24">
        <v>748.18200000000002</v>
      </c>
      <c r="H549" s="193">
        <v>197</v>
      </c>
      <c r="I549" s="194">
        <v>180.35999999999996</v>
      </c>
      <c r="J549" s="193">
        <v>197.7</v>
      </c>
      <c r="K549" s="194">
        <v>181.3</v>
      </c>
      <c r="L549" s="195">
        <f t="shared" si="63"/>
        <v>0.74608589837282524</v>
      </c>
      <c r="M549" s="195">
        <f t="shared" si="64"/>
        <v>0.72422208284661083</v>
      </c>
      <c r="N549" s="195">
        <f t="shared" si="65"/>
        <v>0.23433655544626278</v>
      </c>
      <c r="O549" s="195">
        <f t="shared" si="66"/>
        <v>0.20112419354838709</v>
      </c>
      <c r="P549" s="195">
        <v>0.98499999999999999</v>
      </c>
      <c r="Q549" s="195">
        <v>0.94969999999999999</v>
      </c>
      <c r="R549" s="196">
        <v>0.99</v>
      </c>
      <c r="S549" s="197">
        <v>1</v>
      </c>
      <c r="T549" s="198">
        <v>1.4999999999999999E-2</v>
      </c>
      <c r="U549" s="197">
        <v>1.549292953974871E-2</v>
      </c>
      <c r="V549" s="198">
        <v>0</v>
      </c>
      <c r="W549" s="197">
        <v>0</v>
      </c>
      <c r="X549" s="199">
        <f t="shared" si="62"/>
        <v>-5.8775354643144428E-2</v>
      </c>
    </row>
    <row r="550" spans="1:24">
      <c r="A550" s="189" t="s">
        <v>14</v>
      </c>
      <c r="B550" s="190" t="s">
        <v>66</v>
      </c>
      <c r="C550" s="190">
        <v>5</v>
      </c>
      <c r="D550" s="191">
        <v>6</v>
      </c>
      <c r="E550" s="192">
        <v>44377</v>
      </c>
      <c r="F550" s="24">
        <v>782.54145449155249</v>
      </c>
      <c r="G550" s="24">
        <v>803.298</v>
      </c>
      <c r="H550" s="193">
        <v>178.9</v>
      </c>
      <c r="I550" s="194">
        <v>182.75</v>
      </c>
      <c r="J550" s="193">
        <v>177.2</v>
      </c>
      <c r="K550" s="194">
        <v>182.90999999999994</v>
      </c>
      <c r="L550" s="195">
        <f t="shared" si="63"/>
        <v>0.74723319171656144</v>
      </c>
      <c r="M550" s="195">
        <f t="shared" si="64"/>
        <v>0.73637934985122622</v>
      </c>
      <c r="N550" s="195">
        <f t="shared" si="65"/>
        <v>0.21737262624765347</v>
      </c>
      <c r="O550" s="195">
        <f t="shared" si="66"/>
        <v>0.22313833333333336</v>
      </c>
      <c r="P550" s="195">
        <v>0.98499999999999999</v>
      </c>
      <c r="Q550" s="195">
        <v>0.99399999999999999</v>
      </c>
      <c r="R550" s="196">
        <v>0.99</v>
      </c>
      <c r="S550" s="197">
        <v>1</v>
      </c>
      <c r="T550" s="198">
        <v>1.4999999999999999E-2</v>
      </c>
      <c r="U550" s="197">
        <v>1.6799999999999999E-2</v>
      </c>
      <c r="V550" s="198">
        <v>0</v>
      </c>
      <c r="W550" s="197">
        <v>0</v>
      </c>
      <c r="X550" s="199">
        <f t="shared" si="62"/>
        <v>-5.6989447356958767E-3</v>
      </c>
    </row>
    <row r="551" spans="1:24">
      <c r="A551" s="189" t="s">
        <v>14</v>
      </c>
      <c r="B551" s="190" t="s">
        <v>66</v>
      </c>
      <c r="C551" s="190">
        <v>5</v>
      </c>
      <c r="D551" s="191">
        <v>6</v>
      </c>
      <c r="E551" s="192">
        <v>44408</v>
      </c>
      <c r="F551" s="24">
        <v>692.7482839948417</v>
      </c>
      <c r="G551" s="24">
        <v>641.42700000000002</v>
      </c>
      <c r="H551" s="193">
        <v>155.5</v>
      </c>
      <c r="I551" s="194">
        <v>144.62</v>
      </c>
      <c r="J551" s="193">
        <v>154.6</v>
      </c>
      <c r="K551" s="194">
        <v>146.04</v>
      </c>
      <c r="L551" s="195">
        <f t="shared" si="63"/>
        <v>0.75819076137189556</v>
      </c>
      <c r="M551" s="195">
        <f t="shared" si="64"/>
        <v>0.78591285369227115</v>
      </c>
      <c r="N551" s="195">
        <f t="shared" si="65"/>
        <v>0.18622265698786067</v>
      </c>
      <c r="O551" s="195">
        <f t="shared" si="66"/>
        <v>0.17242661290322581</v>
      </c>
      <c r="P551" s="195">
        <v>0.98499999999999999</v>
      </c>
      <c r="Q551" s="195">
        <v>0.93142903225806462</v>
      </c>
      <c r="R551" s="196">
        <v>0.99</v>
      </c>
      <c r="S551" s="197">
        <v>1</v>
      </c>
      <c r="T551" s="198">
        <v>1.4999999999999999E-2</v>
      </c>
      <c r="U551" s="197">
        <v>8.3000000000000001E-3</v>
      </c>
      <c r="V551" s="198">
        <v>0</v>
      </c>
      <c r="W551" s="197">
        <v>0</v>
      </c>
      <c r="X551" s="199">
        <f t="shared" si="62"/>
        <v>-1.8714902588540472E-2</v>
      </c>
    </row>
    <row r="552" spans="1:24">
      <c r="A552" s="189" t="s">
        <v>14</v>
      </c>
      <c r="B552" s="190" t="s">
        <v>66</v>
      </c>
      <c r="C552" s="190">
        <v>5</v>
      </c>
      <c r="D552" s="191">
        <v>6</v>
      </c>
      <c r="E552" s="192">
        <v>44439</v>
      </c>
      <c r="F552" s="24">
        <v>657.49391839713985</v>
      </c>
      <c r="G552" s="24">
        <v>654.69600000000003</v>
      </c>
      <c r="H552" s="193">
        <v>145.4</v>
      </c>
      <c r="I552" s="194">
        <v>141.18000000000004</v>
      </c>
      <c r="J552" s="193">
        <v>146.30000000000001</v>
      </c>
      <c r="K552" s="194">
        <v>144.81</v>
      </c>
      <c r="L552" s="195">
        <f t="shared" si="63"/>
        <v>0.76043121000139924</v>
      </c>
      <c r="M552" s="195">
        <f t="shared" si="64"/>
        <v>0.76433943601104271</v>
      </c>
      <c r="N552" s="195">
        <f t="shared" si="65"/>
        <v>0.17674567698847848</v>
      </c>
      <c r="O552" s="195">
        <f t="shared" si="66"/>
        <v>0.17599354838709677</v>
      </c>
      <c r="P552" s="195">
        <v>0.98499999999999999</v>
      </c>
      <c r="Q552" s="195">
        <v>0.98583359999999998</v>
      </c>
      <c r="R552" s="196">
        <v>0.99</v>
      </c>
      <c r="S552" s="197">
        <v>0.997</v>
      </c>
      <c r="T552" s="198">
        <v>1.4999999999999999E-2</v>
      </c>
      <c r="U552" s="197">
        <v>8.3000000000000001E-3</v>
      </c>
      <c r="V552" s="198">
        <v>0</v>
      </c>
      <c r="W552" s="197">
        <v>0</v>
      </c>
      <c r="X552" s="199">
        <f t="shared" si="62"/>
        <v>5.9291237316918544E-3</v>
      </c>
    </row>
    <row r="553" spans="1:24">
      <c r="A553" s="189" t="s">
        <v>14</v>
      </c>
      <c r="B553" s="190" t="s">
        <v>66</v>
      </c>
      <c r="C553" s="190">
        <v>5</v>
      </c>
      <c r="D553" s="191">
        <v>6</v>
      </c>
      <c r="E553" s="192">
        <v>44469</v>
      </c>
      <c r="F553" s="24">
        <v>655.38468284855935</v>
      </c>
      <c r="G553" s="24">
        <v>626.16899999999998</v>
      </c>
      <c r="H553" s="193">
        <v>141.6</v>
      </c>
      <c r="I553" s="194">
        <v>133.11999999999998</v>
      </c>
      <c r="J553" s="193">
        <v>145.5</v>
      </c>
      <c r="K553" s="194">
        <v>143.69</v>
      </c>
      <c r="L553" s="195">
        <f t="shared" si="63"/>
        <v>0.76215940464186083</v>
      </c>
      <c r="M553" s="195">
        <f t="shared" si="64"/>
        <v>0.73374117019348528</v>
      </c>
      <c r="N553" s="195">
        <f t="shared" si="65"/>
        <v>0.1820513007912665</v>
      </c>
      <c r="O553" s="195">
        <f t="shared" si="66"/>
        <v>0.17393583333333332</v>
      </c>
      <c r="P553" s="195">
        <v>0.98499999999999999</v>
      </c>
      <c r="Q553" s="195">
        <v>0.98985340157777801</v>
      </c>
      <c r="R553" s="196">
        <v>0.99</v>
      </c>
      <c r="S553" s="197">
        <v>0.9988866666666667</v>
      </c>
      <c r="T553" s="198">
        <v>1.4999999999999999E-2</v>
      </c>
      <c r="U553" s="197">
        <v>4.3E-3</v>
      </c>
      <c r="V553" s="198">
        <v>0</v>
      </c>
      <c r="W553" s="197">
        <v>0</v>
      </c>
      <c r="X553" s="199">
        <f t="shared" si="62"/>
        <v>-3.2138052707636922E-2</v>
      </c>
    </row>
    <row r="554" spans="1:24">
      <c r="A554" s="189" t="s">
        <v>14</v>
      </c>
      <c r="B554" s="190" t="s">
        <v>66</v>
      </c>
      <c r="C554" s="190">
        <v>5</v>
      </c>
      <c r="D554" s="191">
        <v>6</v>
      </c>
      <c r="E554" s="192">
        <v>44500</v>
      </c>
      <c r="F554" s="24">
        <v>750.90292126284578</v>
      </c>
      <c r="G554" s="24">
        <v>719.39700000000005</v>
      </c>
      <c r="H554" s="193">
        <v>139.1</v>
      </c>
      <c r="I554" s="194">
        <v>133.1</v>
      </c>
      <c r="J554" s="193">
        <v>172.2</v>
      </c>
      <c r="K554" s="194">
        <v>163.27999999999997</v>
      </c>
      <c r="L554" s="195">
        <f t="shared" si="63"/>
        <v>0.73784164840281907</v>
      </c>
      <c r="M554" s="195">
        <f t="shared" si="64"/>
        <v>0.74769057039290987</v>
      </c>
      <c r="N554" s="195">
        <f t="shared" si="65"/>
        <v>0.20185562399538864</v>
      </c>
      <c r="O554" s="195">
        <f t="shared" si="66"/>
        <v>0.19338629032258065</v>
      </c>
      <c r="P554" s="195">
        <v>0.98499999999999999</v>
      </c>
      <c r="Q554" s="195">
        <v>0.98211530000000002</v>
      </c>
      <c r="R554" s="196">
        <v>0.99</v>
      </c>
      <c r="S554" s="197">
        <v>0.99908064516129025</v>
      </c>
      <c r="T554" s="198">
        <v>1.4999999999999999E-2</v>
      </c>
      <c r="U554" s="197">
        <v>1.5299999999999999E-2</v>
      </c>
      <c r="V554" s="198">
        <v>0</v>
      </c>
      <c r="W554" s="197">
        <v>0</v>
      </c>
      <c r="X554" s="199">
        <f t="shared" si="62"/>
        <v>9.8428495549136574E-3</v>
      </c>
    </row>
    <row r="555" spans="1:24">
      <c r="A555" s="189" t="s">
        <v>14</v>
      </c>
      <c r="B555" s="190" t="s">
        <v>66</v>
      </c>
      <c r="C555" s="190">
        <v>5</v>
      </c>
      <c r="D555" s="191">
        <v>6</v>
      </c>
      <c r="E555" s="192">
        <v>44530</v>
      </c>
      <c r="F555" s="24">
        <v>664.72558313513002</v>
      </c>
      <c r="G555" s="24">
        <v>665.34900000000005</v>
      </c>
      <c r="H555" s="193">
        <v>108.1</v>
      </c>
      <c r="I555" s="194">
        <v>110.03999999999999</v>
      </c>
      <c r="J555" s="193">
        <v>152.1</v>
      </c>
      <c r="K555" s="194">
        <v>152.82</v>
      </c>
      <c r="L555" s="195">
        <f t="shared" si="63"/>
        <v>0.73947875054942036</v>
      </c>
      <c r="M555" s="195">
        <f t="shared" si="64"/>
        <v>0.7278181882383179</v>
      </c>
      <c r="N555" s="195">
        <f t="shared" si="65"/>
        <v>0.18464599531531389</v>
      </c>
      <c r="O555" s="195">
        <f t="shared" si="66"/>
        <v>0.1848191666666667</v>
      </c>
      <c r="P555" s="195">
        <v>0.98499999999999999</v>
      </c>
      <c r="Q555" s="195">
        <v>0.997</v>
      </c>
      <c r="R555" s="196">
        <v>0.99</v>
      </c>
      <c r="S555" s="197">
        <v>1</v>
      </c>
      <c r="T555" s="198">
        <v>1.4999999999999999E-2</v>
      </c>
      <c r="U555" s="197">
        <v>1.4E-2</v>
      </c>
      <c r="V555" s="198">
        <v>0</v>
      </c>
      <c r="W555" s="197">
        <v>0</v>
      </c>
      <c r="X555" s="199">
        <f t="shared" si="62"/>
        <v>-3.7958718281421167E-3</v>
      </c>
    </row>
    <row r="556" spans="1:24">
      <c r="A556" s="189" t="s">
        <v>14</v>
      </c>
      <c r="B556" s="190" t="s">
        <v>66</v>
      </c>
      <c r="C556" s="190">
        <v>5</v>
      </c>
      <c r="D556" s="191">
        <v>6</v>
      </c>
      <c r="E556" s="192">
        <v>44561</v>
      </c>
      <c r="F556" s="24">
        <v>558.05852824977558</v>
      </c>
      <c r="G556" s="24">
        <v>550.42200000000003</v>
      </c>
      <c r="H556" s="193">
        <v>89.9</v>
      </c>
      <c r="I556" s="194">
        <v>87.910000000000025</v>
      </c>
      <c r="J556" s="193">
        <v>129.6</v>
      </c>
      <c r="K556" s="194">
        <v>124.42</v>
      </c>
      <c r="L556" s="195">
        <f t="shared" si="63"/>
        <v>0.72859681259240416</v>
      </c>
      <c r="M556" s="195">
        <f t="shared" si="64"/>
        <v>0.7387589230299052</v>
      </c>
      <c r="N556" s="195">
        <f t="shared" si="65"/>
        <v>0.1500157334004773</v>
      </c>
      <c r="O556" s="195">
        <f t="shared" si="66"/>
        <v>0.14796290322580646</v>
      </c>
      <c r="P556" s="195">
        <v>0.98499999999999999</v>
      </c>
      <c r="Q556" s="195">
        <v>0.99804838709677413</v>
      </c>
      <c r="R556" s="196">
        <v>0.99</v>
      </c>
      <c r="S556" s="197">
        <v>1</v>
      </c>
      <c r="T556" s="198">
        <v>1.4999999999999999E-2</v>
      </c>
      <c r="U556" s="197">
        <v>1.83E-2</v>
      </c>
      <c r="V556" s="198">
        <v>0</v>
      </c>
      <c r="W556" s="197">
        <v>0</v>
      </c>
      <c r="X556" s="199">
        <f t="shared" si="62"/>
        <v>2.6285036620747437E-2</v>
      </c>
    </row>
    <row r="557" spans="1:24">
      <c r="A557" s="189" t="s">
        <v>14</v>
      </c>
      <c r="B557" s="190" t="s">
        <v>66</v>
      </c>
      <c r="C557" s="190">
        <v>5</v>
      </c>
      <c r="D557" s="191">
        <v>6</v>
      </c>
      <c r="E557" s="192">
        <v>44592</v>
      </c>
      <c r="F557" s="24">
        <v>469.8215969387121</v>
      </c>
      <c r="G557" s="24">
        <v>341.62799999999999</v>
      </c>
      <c r="H557" s="193">
        <v>79.599999999999994</v>
      </c>
      <c r="I557" s="194">
        <v>58.81</v>
      </c>
      <c r="J557" s="193">
        <v>103.2</v>
      </c>
      <c r="K557" s="194">
        <v>74.639999999999986</v>
      </c>
      <c r="L557" s="195">
        <f t="shared" si="63"/>
        <v>0.77031046599954112</v>
      </c>
      <c r="M557" s="195">
        <f t="shared" si="64"/>
        <v>0.76720802680315314</v>
      </c>
      <c r="N557" s="195">
        <f t="shared" si="65"/>
        <v>0.12629612820933123</v>
      </c>
      <c r="O557" s="195">
        <f t="shared" si="66"/>
        <v>9.1835483870967738E-2</v>
      </c>
      <c r="P557" s="195">
        <v>0.98499999999999999</v>
      </c>
      <c r="Q557" s="195">
        <v>0.99429999999999996</v>
      </c>
      <c r="R557" s="196">
        <v>0.99</v>
      </c>
      <c r="S557" s="197">
        <v>1</v>
      </c>
      <c r="T557" s="198">
        <v>1.4999999999999999E-2</v>
      </c>
      <c r="U557" s="197">
        <v>0</v>
      </c>
      <c r="V557" s="198">
        <v>0</v>
      </c>
      <c r="W557" s="197">
        <v>0</v>
      </c>
      <c r="X557" s="199">
        <f t="shared" si="62"/>
        <v>3.8882812222069685E-3</v>
      </c>
    </row>
    <row r="558" spans="1:24">
      <c r="A558" s="189" t="s">
        <v>14</v>
      </c>
      <c r="B558" s="190" t="s">
        <v>66</v>
      </c>
      <c r="C558" s="190">
        <v>5</v>
      </c>
      <c r="D558" s="191">
        <v>6</v>
      </c>
      <c r="E558" s="192">
        <v>44620</v>
      </c>
      <c r="F558" s="24">
        <v>616.72985289734083</v>
      </c>
      <c r="G558" s="24">
        <v>637.90499999999997</v>
      </c>
      <c r="H558" s="193">
        <v>108.1</v>
      </c>
      <c r="I558" s="194">
        <v>113.94</v>
      </c>
      <c r="J558" s="193">
        <v>137.5</v>
      </c>
      <c r="K558" s="194">
        <v>144.71999999999997</v>
      </c>
      <c r="L558" s="195">
        <f t="shared" si="63"/>
        <v>0.75893536735559564</v>
      </c>
      <c r="M558" s="195">
        <f t="shared" si="64"/>
        <v>0.74603643576731238</v>
      </c>
      <c r="N558" s="195">
        <f t="shared" si="65"/>
        <v>0.18355055145754193</v>
      </c>
      <c r="O558" s="195">
        <f t="shared" si="66"/>
        <v>0.18985267857142857</v>
      </c>
      <c r="P558" s="195">
        <v>0.98499999999999999</v>
      </c>
      <c r="Q558" s="195">
        <v>0.98472771999999997</v>
      </c>
      <c r="R558" s="196">
        <v>0.99</v>
      </c>
      <c r="S558" s="197">
        <v>0.99790000000000001</v>
      </c>
      <c r="T558" s="198">
        <v>1.4999999999999999E-2</v>
      </c>
      <c r="U558" s="197">
        <v>1.17E-2</v>
      </c>
      <c r="V558" s="198">
        <v>0</v>
      </c>
      <c r="W558" s="197">
        <v>0</v>
      </c>
      <c r="X558" s="199">
        <f t="shared" si="62"/>
        <v>-1.8174532588003611E-2</v>
      </c>
    </row>
    <row r="559" spans="1:24">
      <c r="A559" s="189" t="s">
        <v>14</v>
      </c>
      <c r="B559" s="190" t="s">
        <v>66</v>
      </c>
      <c r="C559" s="190">
        <v>5</v>
      </c>
      <c r="D559" s="191">
        <v>6</v>
      </c>
      <c r="E559" s="192">
        <v>44651</v>
      </c>
      <c r="F559" s="24">
        <v>827.19841551562104</v>
      </c>
      <c r="G559" s="24">
        <f>[1]Database!$I$426/1000</f>
        <v>777.89400000000001</v>
      </c>
      <c r="H559" s="193">
        <v>161.4</v>
      </c>
      <c r="I559" s="194">
        <v>169.10000000000002</v>
      </c>
      <c r="J559" s="193">
        <v>187.8</v>
      </c>
      <c r="K559" s="194">
        <v>191.58999999999992</v>
      </c>
      <c r="L559" s="195">
        <f t="shared" si="63"/>
        <v>0.74529228407981718</v>
      </c>
      <c r="M559" s="195">
        <f t="shared" si="64"/>
        <v>0.7177558817517159</v>
      </c>
      <c r="N559" s="195">
        <f t="shared" si="65"/>
        <v>0.22236516546118845</v>
      </c>
      <c r="O559" s="195">
        <f t="shared" si="66"/>
        <v>0.20911129032258063</v>
      </c>
      <c r="P559" s="195">
        <v>0.98499999999999999</v>
      </c>
      <c r="Q559" s="195">
        <v>0.94279999999999997</v>
      </c>
      <c r="R559" s="196">
        <v>0.99</v>
      </c>
      <c r="S559" s="197">
        <v>1</v>
      </c>
      <c r="T559" s="198">
        <v>1.4999999999999999E-2</v>
      </c>
      <c r="U559" s="197">
        <v>1.2835015978325461E-2</v>
      </c>
      <c r="V559" s="198">
        <v>0</v>
      </c>
      <c r="W559" s="197">
        <v>0</v>
      </c>
      <c r="X559" s="199">
        <f t="shared" si="62"/>
        <v>-7.978514177442797E-2</v>
      </c>
    </row>
    <row r="560" spans="1:24">
      <c r="A560" s="189" t="s">
        <v>14</v>
      </c>
      <c r="B560" s="190" t="s">
        <v>66</v>
      </c>
      <c r="C560" s="190">
        <v>5</v>
      </c>
      <c r="D560" s="191">
        <v>6</v>
      </c>
      <c r="E560" s="192">
        <v>44681</v>
      </c>
      <c r="F560" s="24">
        <v>855.98044117282166</v>
      </c>
      <c r="G560" s="24">
        <v>758.02800000000002</v>
      </c>
      <c r="H560" s="193">
        <v>190.2</v>
      </c>
      <c r="I560" s="194">
        <v>180.85000000000002</v>
      </c>
      <c r="J560" s="193">
        <v>194</v>
      </c>
      <c r="K560" s="194">
        <v>185.76</v>
      </c>
      <c r="L560" s="195">
        <f t="shared" si="63"/>
        <v>0.74657704150995319</v>
      </c>
      <c r="M560" s="195">
        <f t="shared" si="64"/>
        <v>0.68879291650158059</v>
      </c>
      <c r="N560" s="195">
        <f t="shared" si="65"/>
        <v>0.23777234477022824</v>
      </c>
      <c r="O560" s="195">
        <f t="shared" si="66"/>
        <v>0.21056333333333335</v>
      </c>
      <c r="P560" s="195">
        <v>0.98499999999999999</v>
      </c>
      <c r="Q560" s="195">
        <v>0.98740000000000006</v>
      </c>
      <c r="R560" s="196">
        <v>0.99</v>
      </c>
      <c r="S560" s="197">
        <v>1</v>
      </c>
      <c r="T560" s="198">
        <v>1.4999999999999999E-2</v>
      </c>
      <c r="U560" s="197">
        <v>2.3199999999999998E-2</v>
      </c>
      <c r="V560" s="198">
        <v>0</v>
      </c>
      <c r="W560" s="197">
        <v>0</v>
      </c>
      <c r="X560" s="199">
        <f t="shared" si="62"/>
        <v>-7.1958809818316039E-2</v>
      </c>
    </row>
    <row r="561" spans="1:24">
      <c r="A561" s="189" t="s">
        <v>14</v>
      </c>
      <c r="B561" s="190" t="s">
        <v>66</v>
      </c>
      <c r="C561" s="190">
        <v>5</v>
      </c>
      <c r="D561" s="191">
        <v>6</v>
      </c>
      <c r="E561" s="192">
        <v>44712</v>
      </c>
      <c r="F561" s="24">
        <v>867.37332632879702</v>
      </c>
      <c r="G561" s="24">
        <v>786.24900000000002</v>
      </c>
      <c r="H561" s="193">
        <v>197</v>
      </c>
      <c r="I561" s="194">
        <v>187.55</v>
      </c>
      <c r="J561" s="193">
        <v>197.7</v>
      </c>
      <c r="K561" s="194">
        <v>188.78000000000003</v>
      </c>
      <c r="L561" s="195">
        <f t="shared" si="63"/>
        <v>0.74235546888096093</v>
      </c>
      <c r="M561" s="195">
        <f t="shared" si="64"/>
        <v>0.71004512317407242</v>
      </c>
      <c r="N561" s="195">
        <f t="shared" si="65"/>
        <v>0.23316487266903146</v>
      </c>
      <c r="O561" s="195">
        <f t="shared" si="66"/>
        <v>0.21135725806451613</v>
      </c>
      <c r="P561" s="195">
        <v>0.98499999999999999</v>
      </c>
      <c r="Q561" s="195">
        <v>0.97761290322580663</v>
      </c>
      <c r="R561" s="196">
        <v>0.99</v>
      </c>
      <c r="S561" s="197">
        <v>1</v>
      </c>
      <c r="T561" s="198">
        <v>1.4999999999999999E-2</v>
      </c>
      <c r="U561" s="197">
        <v>7.9000000000000008E-3</v>
      </c>
      <c r="V561" s="198">
        <v>0</v>
      </c>
      <c r="W561" s="197">
        <v>0</v>
      </c>
      <c r="X561" s="199">
        <f t="shared" si="62"/>
        <v>-4.8409863815421006E-2</v>
      </c>
    </row>
    <row r="562" spans="1:24">
      <c r="A562" s="189" t="s">
        <v>14</v>
      </c>
      <c r="B562" s="190" t="s">
        <v>66</v>
      </c>
      <c r="C562" s="190">
        <v>5</v>
      </c>
      <c r="D562" s="191">
        <v>6</v>
      </c>
      <c r="E562" s="192">
        <v>44742</v>
      </c>
      <c r="F562" s="24">
        <v>778.62874721909463</v>
      </c>
      <c r="G562" s="24">
        <v>719.577</v>
      </c>
      <c r="H562" s="193">
        <v>178.9</v>
      </c>
      <c r="I562" s="194">
        <v>169.21000000000006</v>
      </c>
      <c r="J562" s="193">
        <v>177.2</v>
      </c>
      <c r="K562" s="194">
        <v>169.51000000000002</v>
      </c>
      <c r="L562" s="195">
        <f t="shared" si="63"/>
        <v>0.74349702575797871</v>
      </c>
      <c r="M562" s="195">
        <f t="shared" si="64"/>
        <v>0.70875143009730124</v>
      </c>
      <c r="N562" s="195">
        <f t="shared" si="65"/>
        <v>0.21628576311641518</v>
      </c>
      <c r="O562" s="195">
        <f t="shared" si="66"/>
        <v>0.19988250000000002</v>
      </c>
      <c r="P562" s="195">
        <v>0.98499999999999999</v>
      </c>
      <c r="Q562" s="195">
        <v>0.99824409757777766</v>
      </c>
      <c r="R562" s="196">
        <v>0.99</v>
      </c>
      <c r="S562" s="197">
        <v>0.99920666666666658</v>
      </c>
      <c r="T562" s="198">
        <v>1.4999999999999999E-2</v>
      </c>
      <c r="U562" s="197">
        <v>1.3899999999999999E-2</v>
      </c>
      <c r="V562" s="198">
        <v>0</v>
      </c>
      <c r="W562" s="197">
        <v>0</v>
      </c>
      <c r="X562" s="199">
        <f t="shared" si="62"/>
        <v>-3.2443406221990601E-2</v>
      </c>
    </row>
    <row r="563" spans="1:24">
      <c r="A563" s="189" t="s">
        <v>14</v>
      </c>
      <c r="B563" s="190" t="s">
        <v>66</v>
      </c>
      <c r="C563" s="190">
        <v>5</v>
      </c>
      <c r="D563" s="191">
        <v>6</v>
      </c>
      <c r="E563" s="192">
        <v>44773</v>
      </c>
      <c r="F563" s="24">
        <v>689.28454257486749</v>
      </c>
      <c r="G563" s="24">
        <v>670.21500000000003</v>
      </c>
      <c r="H563" s="193">
        <v>155.5</v>
      </c>
      <c r="I563" s="194">
        <v>150.62999999999997</v>
      </c>
      <c r="J563" s="193">
        <v>154.6</v>
      </c>
      <c r="K563" s="194">
        <v>152.83999999999997</v>
      </c>
      <c r="L563" s="195">
        <f t="shared" si="63"/>
        <v>0.754399807565036</v>
      </c>
      <c r="M563" s="195">
        <f t="shared" si="64"/>
        <v>0.75429733003968824</v>
      </c>
      <c r="N563" s="195">
        <f t="shared" si="65"/>
        <v>0.18529154370292136</v>
      </c>
      <c r="O563" s="195">
        <f t="shared" si="66"/>
        <v>0.18016532258064516</v>
      </c>
      <c r="P563" s="195">
        <v>0.98499999999999999</v>
      </c>
      <c r="Q563" s="195">
        <v>0.96890967741935474</v>
      </c>
      <c r="R563" s="196">
        <v>0.99</v>
      </c>
      <c r="S563" s="197">
        <v>1</v>
      </c>
      <c r="T563" s="198">
        <v>1.4999999999999999E-2</v>
      </c>
      <c r="U563" s="197">
        <v>6.1999999999999998E-3</v>
      </c>
      <c r="V563" s="198">
        <v>0</v>
      </c>
      <c r="W563" s="197">
        <v>0</v>
      </c>
      <c r="X563" s="199">
        <f t="shared" si="62"/>
        <v>-1.6281487315203957E-2</v>
      </c>
    </row>
    <row r="564" spans="1:24">
      <c r="A564" s="189" t="s">
        <v>14</v>
      </c>
      <c r="B564" s="190" t="s">
        <v>66</v>
      </c>
      <c r="C564" s="190">
        <v>5</v>
      </c>
      <c r="D564" s="191">
        <v>6</v>
      </c>
      <c r="E564" s="192">
        <v>44804</v>
      </c>
      <c r="F564" s="24">
        <v>654.2064488051542</v>
      </c>
      <c r="G564" s="24">
        <v>713.78099999999995</v>
      </c>
      <c r="H564" s="193">
        <v>145.4</v>
      </c>
      <c r="I564" s="194">
        <v>160.46</v>
      </c>
      <c r="J564" s="193">
        <v>146.30000000000001</v>
      </c>
      <c r="K564" s="194">
        <v>163.84</v>
      </c>
      <c r="L564" s="195">
        <f t="shared" si="63"/>
        <v>0.75662905395139224</v>
      </c>
      <c r="M564" s="195">
        <f t="shared" si="64"/>
        <v>0.74603641238707208</v>
      </c>
      <c r="N564" s="195">
        <f t="shared" si="65"/>
        <v>0.17586194860353604</v>
      </c>
      <c r="O564" s="195">
        <f t="shared" si="66"/>
        <v>0.1918766129032258</v>
      </c>
      <c r="P564" s="195">
        <v>0.98499999999999999</v>
      </c>
      <c r="Q564" s="195">
        <v>0.97327096774193556</v>
      </c>
      <c r="R564" s="196">
        <v>0.99</v>
      </c>
      <c r="S564" s="197">
        <v>1</v>
      </c>
      <c r="T564" s="198">
        <v>1.4999999999999999E-2</v>
      </c>
      <c r="U564" s="197">
        <v>1.2E-2</v>
      </c>
      <c r="V564" s="198">
        <v>0</v>
      </c>
      <c r="W564" s="197">
        <v>0</v>
      </c>
      <c r="X564" s="199">
        <f t="shared" si="62"/>
        <v>-2.8826795964598917E-2</v>
      </c>
    </row>
    <row r="565" spans="1:24">
      <c r="A565" s="189" t="s">
        <v>14</v>
      </c>
      <c r="B565" s="190" t="s">
        <v>66</v>
      </c>
      <c r="C565" s="190">
        <v>5</v>
      </c>
      <c r="D565" s="191">
        <v>6</v>
      </c>
      <c r="E565" s="192">
        <v>44834</v>
      </c>
      <c r="F565" s="24">
        <v>652.10775943431656</v>
      </c>
      <c r="G565" s="24">
        <v>597.06299999999999</v>
      </c>
      <c r="H565" s="193">
        <v>141.6</v>
      </c>
      <c r="I565" s="194">
        <v>130.42000000000002</v>
      </c>
      <c r="J565" s="193">
        <v>145.5</v>
      </c>
      <c r="K565" s="194">
        <v>138.44000000000003</v>
      </c>
      <c r="L565" s="195">
        <f t="shared" si="63"/>
        <v>0.75834860761865153</v>
      </c>
      <c r="M565" s="195">
        <f t="shared" si="64"/>
        <v>0.72696989925210653</v>
      </c>
      <c r="N565" s="195">
        <f t="shared" si="65"/>
        <v>0.18114104428731015</v>
      </c>
      <c r="O565" s="195">
        <f t="shared" si="66"/>
        <v>0.16585083333333334</v>
      </c>
      <c r="P565" s="195">
        <v>0.98499999999999999</v>
      </c>
      <c r="Q565" s="195">
        <v>0.98876000000000019</v>
      </c>
      <c r="R565" s="196">
        <v>0.99</v>
      </c>
      <c r="S565" s="197">
        <v>1</v>
      </c>
      <c r="T565" s="198">
        <v>1.4999999999999999E-2</v>
      </c>
      <c r="U565" s="197">
        <v>9.2999999999999992E-3</v>
      </c>
      <c r="V565" s="198">
        <v>0</v>
      </c>
      <c r="W565" s="197">
        <v>0</v>
      </c>
      <c r="X565" s="199">
        <f t="shared" si="62"/>
        <v>-3.5888189923047209E-2</v>
      </c>
    </row>
    <row r="566" spans="1:24">
      <c r="A566" s="189" t="s">
        <v>14</v>
      </c>
      <c r="B566" s="190" t="s">
        <v>66</v>
      </c>
      <c r="C566" s="190">
        <v>5</v>
      </c>
      <c r="D566" s="191">
        <v>6</v>
      </c>
      <c r="E566" s="192">
        <v>44865</v>
      </c>
      <c r="F566" s="24">
        <v>747.14840665653151</v>
      </c>
      <c r="G566" s="24">
        <v>691.43100000000004</v>
      </c>
      <c r="H566" s="193">
        <v>139.1</v>
      </c>
      <c r="I566" s="194">
        <v>131.51999999999998</v>
      </c>
      <c r="J566" s="193">
        <v>172.2</v>
      </c>
      <c r="K566" s="194">
        <v>161.66999999999999</v>
      </c>
      <c r="L566" s="195">
        <f t="shared" si="63"/>
        <v>0.73415244016080494</v>
      </c>
      <c r="M566" s="195">
        <f t="shared" si="64"/>
        <v>0.7171941596044592</v>
      </c>
      <c r="N566" s="195">
        <f t="shared" si="65"/>
        <v>0.20084634587541167</v>
      </c>
      <c r="O566" s="195">
        <f t="shared" si="66"/>
        <v>0.18586854838709679</v>
      </c>
      <c r="P566" s="195">
        <v>0.98499999999999999</v>
      </c>
      <c r="Q566" s="195">
        <v>0.99387419354838702</v>
      </c>
      <c r="R566" s="196">
        <v>0.99</v>
      </c>
      <c r="S566" s="197">
        <v>0.99724193548387097</v>
      </c>
      <c r="T566" s="198">
        <v>1.4999999999999999E-2</v>
      </c>
      <c r="U566" s="197">
        <v>1.6071568214886801E-2</v>
      </c>
      <c r="V566" s="198">
        <v>0</v>
      </c>
      <c r="W566" s="197">
        <v>0</v>
      </c>
      <c r="X566" s="199">
        <f t="shared" si="62"/>
        <v>-1.3423587155319772E-2</v>
      </c>
    </row>
    <row r="567" spans="1:24">
      <c r="A567" s="189" t="s">
        <v>14</v>
      </c>
      <c r="B567" s="190" t="s">
        <v>66</v>
      </c>
      <c r="C567" s="190">
        <v>5</v>
      </c>
      <c r="D567" s="191">
        <v>6</v>
      </c>
      <c r="E567" s="192">
        <v>44895</v>
      </c>
      <c r="F567" s="24">
        <v>661.40195521945441</v>
      </c>
      <c r="G567" s="24">
        <v>590.12099999999998</v>
      </c>
      <c r="H567" s="193">
        <v>108.1</v>
      </c>
      <c r="I567" s="194">
        <v>100.87</v>
      </c>
      <c r="J567" s="193">
        <v>152.1</v>
      </c>
      <c r="K567" s="194">
        <v>138.27000000000001</v>
      </c>
      <c r="L567" s="195">
        <f t="shared" si="63"/>
        <v>0.73578135679667334</v>
      </c>
      <c r="M567" s="195">
        <f t="shared" si="64"/>
        <v>0.71203634899970492</v>
      </c>
      <c r="N567" s="195">
        <f t="shared" si="65"/>
        <v>0.18372276533873733</v>
      </c>
      <c r="O567" s="195">
        <f t="shared" si="66"/>
        <v>0.1639225</v>
      </c>
      <c r="P567" s="195">
        <v>0.98499999999999999</v>
      </c>
      <c r="Q567" s="195">
        <v>0.99898666666666669</v>
      </c>
      <c r="R567" s="196">
        <v>0.99</v>
      </c>
      <c r="S567" s="197">
        <v>1</v>
      </c>
      <c r="T567" s="198">
        <v>1.4999999999999999E-2</v>
      </c>
      <c r="U567" s="197">
        <v>2.47E-2</v>
      </c>
      <c r="V567" s="198">
        <v>0</v>
      </c>
      <c r="W567" s="197">
        <v>0</v>
      </c>
      <c r="X567" s="199">
        <f t="shared" si="62"/>
        <v>-1.6845497959821709E-2</v>
      </c>
    </row>
    <row r="568" spans="1:24">
      <c r="A568" s="189" t="s">
        <v>14</v>
      </c>
      <c r="B568" s="190" t="s">
        <v>66</v>
      </c>
      <c r="C568" s="190">
        <v>5</v>
      </c>
      <c r="D568" s="191">
        <v>6</v>
      </c>
      <c r="E568" s="192">
        <v>44926</v>
      </c>
      <c r="F568" s="24">
        <v>555.26823560852665</v>
      </c>
      <c r="G568" s="24">
        <v>515.71199999999999</v>
      </c>
      <c r="H568" s="193">
        <v>89.9</v>
      </c>
      <c r="I568" s="194">
        <v>84.870000000000033</v>
      </c>
      <c r="J568" s="193">
        <v>129.6</v>
      </c>
      <c r="K568" s="194">
        <v>120.86</v>
      </c>
      <c r="L568" s="195">
        <f t="shared" si="63"/>
        <v>0.72495382852944201</v>
      </c>
      <c r="M568" s="195">
        <f t="shared" si="64"/>
        <v>0.71908451765007964</v>
      </c>
      <c r="N568" s="195">
        <f t="shared" si="65"/>
        <v>0.14926565473347492</v>
      </c>
      <c r="O568" s="195">
        <f t="shared" si="66"/>
        <v>0.13863225806451612</v>
      </c>
      <c r="P568" s="195">
        <v>0.98499999999999999</v>
      </c>
      <c r="Q568" s="195">
        <v>0.98899354838709685</v>
      </c>
      <c r="R568" s="196">
        <v>0.99</v>
      </c>
      <c r="S568" s="197">
        <v>1</v>
      </c>
      <c r="T568" s="198">
        <v>1.4999999999999999E-2</v>
      </c>
      <c r="U568" s="197">
        <v>1.84E-2</v>
      </c>
      <c r="V568" s="198">
        <v>0</v>
      </c>
      <c r="W568" s="197">
        <v>0</v>
      </c>
      <c r="X568" s="199">
        <f t="shared" si="62"/>
        <v>-3.7997951020045662E-3</v>
      </c>
    </row>
    <row r="569" spans="1:24">
      <c r="A569" s="189" t="s">
        <v>14</v>
      </c>
      <c r="B569" s="190" t="s">
        <v>66</v>
      </c>
      <c r="C569" s="190">
        <v>5</v>
      </c>
      <c r="D569" s="191">
        <v>6</v>
      </c>
      <c r="E569" s="192">
        <v>44957</v>
      </c>
      <c r="F569" s="24">
        <v>467.47248895401856</v>
      </c>
      <c r="G569" s="24">
        <v>383.50799999999998</v>
      </c>
      <c r="H569" s="193">
        <v>79.599999999999994</v>
      </c>
      <c r="I569" s="194">
        <v>66.399999999999991</v>
      </c>
      <c r="J569" s="193">
        <v>103.2</v>
      </c>
      <c r="K569" s="194">
        <v>87.009999999999962</v>
      </c>
      <c r="L569" s="195">
        <f t="shared" si="63"/>
        <v>0.76645891366954344</v>
      </c>
      <c r="M569" s="195">
        <f t="shared" si="64"/>
        <v>0.74531857118853018</v>
      </c>
      <c r="N569" s="195">
        <f t="shared" si="65"/>
        <v>0.12566464756828455</v>
      </c>
      <c r="O569" s="195">
        <f t="shared" si="66"/>
        <v>0.10309354838709676</v>
      </c>
      <c r="P569" s="195">
        <v>0.98499999999999999</v>
      </c>
      <c r="Q569" s="195">
        <v>0.9856258064516128</v>
      </c>
      <c r="R569" s="196">
        <v>0.99</v>
      </c>
      <c r="S569" s="197">
        <v>0.99762580645161292</v>
      </c>
      <c r="T569" s="198">
        <v>1.4999999999999999E-2</v>
      </c>
      <c r="U569" s="197">
        <v>1.11E-2</v>
      </c>
      <c r="V569" s="198">
        <v>0</v>
      </c>
      <c r="W569" s="197">
        <v>0</v>
      </c>
      <c r="X569" s="199">
        <f t="shared" si="62"/>
        <v>-2.2733909725994983E-2</v>
      </c>
    </row>
    <row r="570" spans="1:24">
      <c r="A570" s="189" t="s">
        <v>14</v>
      </c>
      <c r="B570" s="190" t="s">
        <v>66</v>
      </c>
      <c r="C570" s="190">
        <v>5</v>
      </c>
      <c r="D570" s="191">
        <v>6</v>
      </c>
      <c r="E570" s="192">
        <f>EOMONTH(E569,1)</f>
        <v>44985</v>
      </c>
      <c r="F570" s="24">
        <v>613.64620363285405</v>
      </c>
      <c r="G570" s="24">
        <v>636.99300000000005</v>
      </c>
      <c r="H570" s="193">
        <v>108.1</v>
      </c>
      <c r="I570" s="194">
        <v>117.49000000000004</v>
      </c>
      <c r="J570" s="193">
        <v>137.5</v>
      </c>
      <c r="K570" s="194">
        <v>150.66</v>
      </c>
      <c r="L570" s="195">
        <f t="shared" si="63"/>
        <v>0.75514069051881749</v>
      </c>
      <c r="M570" s="195">
        <f t="shared" si="64"/>
        <v>0.70787151611554744</v>
      </c>
      <c r="N570" s="195">
        <f t="shared" si="65"/>
        <v>0.18263279870025417</v>
      </c>
      <c r="O570" s="195">
        <f t="shared" si="66"/>
        <v>0.18958125000000001</v>
      </c>
      <c r="P570" s="195">
        <v>0.98499999999999999</v>
      </c>
      <c r="Q570" s="195">
        <v>0.99547649306122443</v>
      </c>
      <c r="R570" s="196">
        <v>0.99</v>
      </c>
      <c r="S570" s="197">
        <v>0.99800357142857143</v>
      </c>
      <c r="T570" s="198">
        <v>1.4999999999999999E-2</v>
      </c>
      <c r="U570" s="197">
        <v>1.72E-2</v>
      </c>
      <c r="V570" s="198">
        <v>0</v>
      </c>
      <c r="W570" s="197">
        <v>0</v>
      </c>
      <c r="X570" s="199">
        <f t="shared" si="62"/>
        <v>-5.7663069881126683E-2</v>
      </c>
    </row>
    <row r="571" spans="1:24">
      <c r="A571" s="189" t="s">
        <v>14</v>
      </c>
      <c r="B571" s="190" t="s">
        <v>66</v>
      </c>
      <c r="C571" s="190">
        <v>5</v>
      </c>
      <c r="D571" s="191">
        <v>6</v>
      </c>
      <c r="E571" s="192">
        <f>EOMONTH(E570,1)</f>
        <v>45016</v>
      </c>
      <c r="F571" s="24">
        <f>UTT!X592</f>
        <v>45016</v>
      </c>
      <c r="G571" s="24">
        <f>UTT!Y592</f>
        <v>823.06242343804297</v>
      </c>
      <c r="H571" s="24">
        <f>UTT!Z592</f>
        <v>743.43</v>
      </c>
      <c r="I571" s="24">
        <f>UTT!AA592</f>
        <v>161.4</v>
      </c>
      <c r="J571" s="24">
        <f>UTT!AB592</f>
        <v>150.26999999999998</v>
      </c>
      <c r="K571" s="24">
        <f>UTT!AC592</f>
        <v>187.8</v>
      </c>
      <c r="L571" s="195">
        <f>F571/D571/J571/P571</f>
        <v>249.83094045763207</v>
      </c>
      <c r="M571" s="195">
        <f>G571/D571/K571/Q571</f>
        <v>0.74156582265941828</v>
      </c>
      <c r="N571" s="195">
        <f>F571/24/DAY(E571)/C571</f>
        <v>12.101075268817205</v>
      </c>
      <c r="O571" s="195">
        <f>G571/24/DAY(E571)/C571</f>
        <v>0.22125333963388255</v>
      </c>
      <c r="P571" s="195">
        <f>UTT!AH592</f>
        <v>0.19984677419354838</v>
      </c>
      <c r="Q571" s="195">
        <f>UTT!AI592</f>
        <v>0.98499999999999999</v>
      </c>
      <c r="R571" s="195">
        <f>UTT!AJ592</f>
        <v>0.99637419354838708</v>
      </c>
      <c r="S571" s="195">
        <f>UTT!AK592</f>
        <v>0.99</v>
      </c>
      <c r="T571" s="198">
        <v>1.4999999999999999E-2</v>
      </c>
      <c r="U571" s="195">
        <f>UTT!AQ592</f>
        <v>1.0000000000000009E-2</v>
      </c>
      <c r="V571" s="198">
        <v>0</v>
      </c>
      <c r="W571" s="197">
        <v>0</v>
      </c>
      <c r="X571" s="199">
        <f>(G571/F571-1)-(K571/J571-1)</f>
        <v>-1.2314666740128959</v>
      </c>
    </row>
    <row r="572" spans="1:24">
      <c r="A572" s="189" t="s">
        <v>14</v>
      </c>
      <c r="B572" s="190" t="s">
        <v>66</v>
      </c>
      <c r="C572" s="190">
        <v>5</v>
      </c>
      <c r="D572" s="191">
        <v>6</v>
      </c>
      <c r="E572" s="192">
        <f t="shared" ref="E572:E584" si="67">E471</f>
        <v>45046</v>
      </c>
      <c r="F572" s="24">
        <f>UTT!X593</f>
        <v>45046</v>
      </c>
      <c r="G572" s="24">
        <f>UTT!Y593</f>
        <v>851.70053896695765</v>
      </c>
      <c r="H572" s="24">
        <f>UTT!Z593</f>
        <v>790.79100000000005</v>
      </c>
      <c r="I572" s="24">
        <f>UTT!AA593</f>
        <v>190.2</v>
      </c>
      <c r="J572" s="24">
        <f>UTT!AB593</f>
        <v>184.35000000000002</v>
      </c>
      <c r="K572" s="24">
        <f>UTT!AC593</f>
        <v>194</v>
      </c>
      <c r="L572" s="195">
        <f>F572/D572/J572/P572</f>
        <v>185.39696612327597</v>
      </c>
      <c r="M572" s="195">
        <f>G572/D572/K572/Q572</f>
        <v>0.74284415630240352</v>
      </c>
      <c r="N572" s="195">
        <f>F572/24/DAY(E572)/C572</f>
        <v>12.512777777777778</v>
      </c>
      <c r="O572" s="195">
        <f>G572/24/DAY(E572)/C572</f>
        <v>0.23658348304637711</v>
      </c>
      <c r="P572" s="195">
        <f>UTT!AH593</f>
        <v>0.21966416666666669</v>
      </c>
      <c r="Q572" s="195">
        <f>UTT!AI593</f>
        <v>0.98499999999999999</v>
      </c>
      <c r="R572" s="195">
        <f>UTT!AJ593</f>
        <v>0.97860666666666662</v>
      </c>
      <c r="S572" s="195">
        <f>UTT!AK593</f>
        <v>0.99</v>
      </c>
      <c r="T572" s="198">
        <v>1.4999999999999999E-2</v>
      </c>
      <c r="U572" s="195">
        <f>UTT!AQ593</f>
        <v>1.0000000000000009E-2</v>
      </c>
      <c r="V572" s="198">
        <v>0</v>
      </c>
      <c r="W572" s="197">
        <v>0</v>
      </c>
      <c r="X572" s="199">
        <f>(G572/F572-1)-(K572/J572-1)</f>
        <v>-1.033438729695296</v>
      </c>
    </row>
    <row r="573" spans="1:24">
      <c r="A573" s="189" t="s">
        <v>14</v>
      </c>
      <c r="B573" s="190" t="s">
        <v>66</v>
      </c>
      <c r="C573" s="190">
        <v>5</v>
      </c>
      <c r="D573" s="191">
        <v>6</v>
      </c>
      <c r="E573" s="192">
        <f t="shared" si="67"/>
        <v>45077</v>
      </c>
      <c r="F573" s="24">
        <f>UTT!X594</f>
        <v>45077</v>
      </c>
      <c r="G573" s="24">
        <f>UTT!Y594</f>
        <v>863.03645969715308</v>
      </c>
      <c r="H573" s="24">
        <f>UTT!Z594</f>
        <v>741.34799999999996</v>
      </c>
      <c r="I573" s="24">
        <f>UTT!AA594</f>
        <v>197</v>
      </c>
      <c r="J573" s="24">
        <f>UTT!AB594</f>
        <v>191.15000000000003</v>
      </c>
      <c r="K573" s="24">
        <f>UTT!AC594</f>
        <v>197.7</v>
      </c>
      <c r="L573" s="195">
        <f t="shared" ref="L573:L592" si="68">F573/D573/J573/P573</f>
        <v>197.21968994950029</v>
      </c>
      <c r="M573" s="195">
        <f t="shared" ref="M573:M592" si="69">G573/D573/K573/Q573</f>
        <v>0.73864369153655629</v>
      </c>
      <c r="N573" s="195">
        <f t="shared" ref="N573:N592" si="70">F573/24/DAY(E573)/C573</f>
        <v>12.11747311827957</v>
      </c>
      <c r="O573" s="195">
        <f t="shared" ref="O573:O592" si="71">G573/24/DAY(E573)/C573</f>
        <v>0.23199904830568632</v>
      </c>
      <c r="P573" s="195">
        <f>UTT!AH594</f>
        <v>0.19928709677419354</v>
      </c>
      <c r="Q573" s="195">
        <f>UTT!AI594</f>
        <v>0.98499999999999999</v>
      </c>
      <c r="R573" s="195">
        <f>UTT!AJ594</f>
        <v>0.9191252009157127</v>
      </c>
      <c r="S573" s="195">
        <f>UTT!AK594</f>
        <v>0.99</v>
      </c>
      <c r="T573" s="198">
        <v>1.4999999999999999E-2</v>
      </c>
      <c r="U573" s="195">
        <f>UTT!AQ594</f>
        <v>3.6419354838710394E-3</v>
      </c>
      <c r="V573" s="198">
        <v>0</v>
      </c>
      <c r="W573" s="197">
        <v>0</v>
      </c>
      <c r="X573" s="199">
        <f t="shared" ref="X573:X592" si="72">(G573/F573-1)-(K573/J573-1)</f>
        <v>-1.0151204556684521</v>
      </c>
    </row>
    <row r="574" spans="1:24">
      <c r="A574" s="189" t="s">
        <v>14</v>
      </c>
      <c r="B574" s="190" t="s">
        <v>66</v>
      </c>
      <c r="C574" s="190">
        <v>5</v>
      </c>
      <c r="D574" s="191">
        <v>6</v>
      </c>
      <c r="E574" s="192">
        <f t="shared" si="67"/>
        <v>45107</v>
      </c>
      <c r="F574" s="24">
        <f>UTT!X595</f>
        <v>45107</v>
      </c>
      <c r="G574" s="24">
        <f>UTT!Y595</f>
        <v>774.73560348299918</v>
      </c>
      <c r="H574" s="24">
        <f>UTT!Z595</f>
        <v>717.77099999999996</v>
      </c>
      <c r="I574" s="24">
        <f>UTT!AA595</f>
        <v>178.9</v>
      </c>
      <c r="J574" s="24">
        <f>UTT!AB595</f>
        <v>171.63000000000002</v>
      </c>
      <c r="K574" s="24">
        <f>UTT!AC595</f>
        <v>177.2</v>
      </c>
      <c r="L574" s="195">
        <f t="shared" si="68"/>
        <v>219.69293155083264</v>
      </c>
      <c r="M574" s="195">
        <f t="shared" si="69"/>
        <v>0.73977954062918883</v>
      </c>
      <c r="N574" s="195">
        <f t="shared" si="70"/>
        <v>12.529722222222222</v>
      </c>
      <c r="O574" s="195">
        <f t="shared" si="71"/>
        <v>0.21520433430083311</v>
      </c>
      <c r="P574" s="195">
        <f>UTT!AH595</f>
        <v>0.19938083333333331</v>
      </c>
      <c r="Q574" s="195">
        <f>UTT!AI595</f>
        <v>0.98499999999999999</v>
      </c>
      <c r="R574" s="195">
        <f>UTT!AJ595</f>
        <v>0.99017000000000011</v>
      </c>
      <c r="S574" s="195">
        <f>UTT!AK595</f>
        <v>0.99</v>
      </c>
      <c r="T574" s="198">
        <v>1.4999999999999999E-2</v>
      </c>
      <c r="U574" s="195">
        <f>UTT!AQ595</f>
        <v>1.0000000000000009E-2</v>
      </c>
      <c r="V574" s="198">
        <v>0</v>
      </c>
      <c r="W574" s="197">
        <v>0</v>
      </c>
      <c r="X574" s="199">
        <f t="shared" si="72"/>
        <v>-1.0152780265597801</v>
      </c>
    </row>
    <row r="575" spans="1:24">
      <c r="A575" s="189" t="s">
        <v>14</v>
      </c>
      <c r="B575" s="190" t="s">
        <v>66</v>
      </c>
      <c r="C575" s="190">
        <v>5</v>
      </c>
      <c r="D575" s="191">
        <v>6</v>
      </c>
      <c r="E575" s="192">
        <f t="shared" si="67"/>
        <v>45138</v>
      </c>
      <c r="F575" s="24">
        <f>UTT!X596</f>
        <v>45138</v>
      </c>
      <c r="G575" s="24">
        <f>UTT!Y596</f>
        <v>685.83811986199316</v>
      </c>
      <c r="H575" s="24">
        <f>UTT!Z596</f>
        <v>565.95599999999865</v>
      </c>
      <c r="I575" s="24">
        <f>UTT!AA596</f>
        <v>155.5</v>
      </c>
      <c r="J575" s="24">
        <f>UTT!AB596</f>
        <v>140.13</v>
      </c>
      <c r="K575" s="24">
        <f>UTT!AC596</f>
        <v>154.6</v>
      </c>
      <c r="L575" s="195">
        <f t="shared" si="68"/>
        <v>352.87444754150249</v>
      </c>
      <c r="M575" s="195">
        <f t="shared" si="69"/>
        <v>0.75062780852721089</v>
      </c>
      <c r="N575" s="195">
        <f t="shared" si="70"/>
        <v>12.133870967741936</v>
      </c>
      <c r="O575" s="195">
        <f t="shared" si="71"/>
        <v>0.18436508598440676</v>
      </c>
      <c r="P575" s="195">
        <f>UTT!AH596</f>
        <v>0.15213870967741899</v>
      </c>
      <c r="Q575" s="195">
        <f>UTT!AI596</f>
        <v>0.98499999999999999</v>
      </c>
      <c r="R575" s="195">
        <f>UTT!AJ596</f>
        <v>0.95131935483870966</v>
      </c>
      <c r="S575" s="195">
        <f>UTT!AK596</f>
        <v>0.99</v>
      </c>
      <c r="T575" s="198">
        <v>1.4999999999999999E-2</v>
      </c>
      <c r="U575" s="195">
        <f>UTT!AQ596</f>
        <v>1.0000000000000009E-2</v>
      </c>
      <c r="V575" s="198">
        <v>0</v>
      </c>
      <c r="W575" s="197">
        <v>0</v>
      </c>
      <c r="X575" s="199">
        <f t="shared" si="72"/>
        <v>-1.0880670060000996</v>
      </c>
    </row>
    <row r="576" spans="1:24">
      <c r="A576" s="189" t="s">
        <v>14</v>
      </c>
      <c r="B576" s="190" t="s">
        <v>66</v>
      </c>
      <c r="C576" s="190">
        <v>5</v>
      </c>
      <c r="D576" s="191">
        <v>6</v>
      </c>
      <c r="E576" s="192">
        <f t="shared" si="67"/>
        <v>45169</v>
      </c>
      <c r="F576" s="24">
        <f>UTT!X597</f>
        <v>45169</v>
      </c>
      <c r="G576" s="24">
        <f>UTT!Y597</f>
        <v>650.93541656112848</v>
      </c>
      <c r="H576" s="24">
        <f>UTT!Z597</f>
        <v>558.75599999999997</v>
      </c>
      <c r="I576" s="24">
        <f>UTT!AA597</f>
        <v>145.4</v>
      </c>
      <c r="J576" s="24">
        <f>UTT!AB597</f>
        <v>134.40999999999997</v>
      </c>
      <c r="K576" s="24">
        <f>UTT!AC597</f>
        <v>146.30000000000001</v>
      </c>
      <c r="L576" s="195">
        <f t="shared" si="68"/>
        <v>372.88798030746568</v>
      </c>
      <c r="M576" s="195">
        <f t="shared" si="69"/>
        <v>0.75284590868163537</v>
      </c>
      <c r="N576" s="195">
        <f t="shared" si="70"/>
        <v>12.142204301075269</v>
      </c>
      <c r="O576" s="195">
        <f t="shared" si="71"/>
        <v>0.1749826388605184</v>
      </c>
      <c r="P576" s="195">
        <f>UTT!AH597</f>
        <v>0.1502032258064516</v>
      </c>
      <c r="Q576" s="195">
        <f>UTT!AI597</f>
        <v>0.98499999999999999</v>
      </c>
      <c r="R576" s="195">
        <f>UTT!AJ597</f>
        <v>0.94970645161290301</v>
      </c>
      <c r="S576" s="195">
        <f>UTT!AK597</f>
        <v>0.99</v>
      </c>
      <c r="T576" s="198">
        <v>1.4999999999999999E-2</v>
      </c>
      <c r="U576" s="195">
        <f>UTT!AQ597</f>
        <v>1.0000000000000009E-2</v>
      </c>
      <c r="V576" s="198">
        <v>0</v>
      </c>
      <c r="W576" s="197">
        <v>0</v>
      </c>
      <c r="X576" s="199">
        <f t="shared" si="72"/>
        <v>-1.0740495702530972</v>
      </c>
    </row>
    <row r="577" spans="1:24">
      <c r="A577" s="189" t="s">
        <v>14</v>
      </c>
      <c r="B577" s="190" t="s">
        <v>66</v>
      </c>
      <c r="C577" s="190">
        <v>5</v>
      </c>
      <c r="D577" s="191">
        <v>6</v>
      </c>
      <c r="E577" s="192">
        <f t="shared" si="67"/>
        <v>45199</v>
      </c>
      <c r="F577" s="24">
        <f>UTT!X598</f>
        <v>45199</v>
      </c>
      <c r="G577" s="24">
        <f>UTT!Y598</f>
        <v>648.84722063714503</v>
      </c>
      <c r="H577" s="24">
        <f>UTT!Z598</f>
        <v>646.21500000000003</v>
      </c>
      <c r="I577" s="24">
        <f>UTT!AA598</f>
        <v>141.6</v>
      </c>
      <c r="J577" s="24">
        <f>UTT!AB598</f>
        <v>140.84999999999997</v>
      </c>
      <c r="K577" s="24">
        <f>UTT!AC598</f>
        <v>145.5</v>
      </c>
      <c r="L577" s="195">
        <f t="shared" si="68"/>
        <v>297.95192167461721</v>
      </c>
      <c r="M577" s="195">
        <f t="shared" si="69"/>
        <v>0.75455686458055848</v>
      </c>
      <c r="N577" s="195">
        <f t="shared" si="70"/>
        <v>12.555277777777778</v>
      </c>
      <c r="O577" s="195">
        <f t="shared" si="71"/>
        <v>0.18023533906587363</v>
      </c>
      <c r="P577" s="195">
        <f>UTT!AH598</f>
        <v>0.17950416666666666</v>
      </c>
      <c r="Q577" s="195">
        <f>UTT!AI598</f>
        <v>0.98499999999999999</v>
      </c>
      <c r="R577" s="195">
        <f>UTT!AJ598</f>
        <v>0.98567000000000016</v>
      </c>
      <c r="S577" s="195">
        <f>UTT!AK598</f>
        <v>0.99</v>
      </c>
      <c r="T577" s="198">
        <v>1.4999999999999999E-2</v>
      </c>
      <c r="U577" s="195">
        <f>UTT!AQ598</f>
        <v>1.0000000000000009E-2</v>
      </c>
      <c r="V577" s="198">
        <v>0</v>
      </c>
      <c r="W577" s="197">
        <v>0</v>
      </c>
      <c r="X577" s="199">
        <f t="shared" si="72"/>
        <v>-1.0186584999140762</v>
      </c>
    </row>
    <row r="578" spans="1:24">
      <c r="A578" s="189" t="s">
        <v>14</v>
      </c>
      <c r="B578" s="190" t="s">
        <v>66</v>
      </c>
      <c r="C578" s="190">
        <v>5</v>
      </c>
      <c r="D578" s="191">
        <v>6</v>
      </c>
      <c r="E578" s="192">
        <f t="shared" si="67"/>
        <v>45230</v>
      </c>
      <c r="F578" s="24">
        <f>UTT!X599</f>
        <v>45230</v>
      </c>
      <c r="G578" s="24">
        <f>UTT!Y599</f>
        <v>743.41266462324882</v>
      </c>
      <c r="H578" s="24">
        <f>UTT!Z599</f>
        <v>700.74300000000005</v>
      </c>
      <c r="I578" s="24">
        <f>UTT!AA599</f>
        <v>139.1</v>
      </c>
      <c r="J578" s="24">
        <f>UTT!AB599</f>
        <v>136.37000000000003</v>
      </c>
      <c r="K578" s="24">
        <f>UTT!AC599</f>
        <v>172.2</v>
      </c>
      <c r="L578" s="195">
        <f t="shared" si="68"/>
        <v>293.45442905640755</v>
      </c>
      <c r="M578" s="195">
        <f t="shared" si="69"/>
        <v>0.73048167796000096</v>
      </c>
      <c r="N578" s="195">
        <f t="shared" si="70"/>
        <v>12.158602150537634</v>
      </c>
      <c r="O578" s="195">
        <f t="shared" si="71"/>
        <v>0.19984211414603464</v>
      </c>
      <c r="P578" s="195">
        <f>UTT!AH599</f>
        <v>0.18837177419354839</v>
      </c>
      <c r="Q578" s="195">
        <f>UTT!AI599</f>
        <v>0.98499999999999999</v>
      </c>
      <c r="R578" s="195">
        <f>UTT!AJ599</f>
        <v>0.90038709677419348</v>
      </c>
      <c r="S578" s="195">
        <f>UTT!AK599</f>
        <v>0.99</v>
      </c>
      <c r="T578" s="198">
        <v>1.4999999999999999E-2</v>
      </c>
      <c r="U578" s="195">
        <f>UTT!AQ599</f>
        <v>1.0000000000000009E-2</v>
      </c>
      <c r="V578" s="198">
        <v>0</v>
      </c>
      <c r="W578" s="197">
        <v>0</v>
      </c>
      <c r="X578" s="199">
        <f t="shared" si="72"/>
        <v>-1.2463047982689479</v>
      </c>
    </row>
    <row r="579" spans="1:24">
      <c r="A579" s="189" t="s">
        <v>14</v>
      </c>
      <c r="B579" s="190" t="s">
        <v>66</v>
      </c>
      <c r="C579" s="190">
        <v>5</v>
      </c>
      <c r="D579" s="191">
        <v>6</v>
      </c>
      <c r="E579" s="192">
        <f t="shared" si="67"/>
        <v>45260</v>
      </c>
      <c r="F579" s="24">
        <f>UTT!X600</f>
        <v>45260</v>
      </c>
      <c r="G579" s="24">
        <f>UTT!Y600</f>
        <v>658.09494544335712</v>
      </c>
      <c r="H579" s="24">
        <f>UTT!Z600</f>
        <v>569.68200000000002</v>
      </c>
      <c r="I579" s="24">
        <f>UTT!AA600</f>
        <v>108.1</v>
      </c>
      <c r="J579" s="24">
        <f>UTT!AB600</f>
        <v>92.499999999999986</v>
      </c>
      <c r="K579" s="24">
        <f>UTT!AC600</f>
        <v>152.1</v>
      </c>
      <c r="L579" s="195">
        <f t="shared" si="68"/>
        <v>515.33729059085306</v>
      </c>
      <c r="M579" s="195">
        <f t="shared" si="69"/>
        <v>0.73210245001268992</v>
      </c>
      <c r="N579" s="195">
        <f t="shared" si="70"/>
        <v>12.572222222222221</v>
      </c>
      <c r="O579" s="195">
        <f t="shared" si="71"/>
        <v>0.18280415151204363</v>
      </c>
      <c r="P579" s="195">
        <f>UTT!AH600</f>
        <v>0.15824500000000002</v>
      </c>
      <c r="Q579" s="195">
        <f>UTT!AI600</f>
        <v>0.98499999999999999</v>
      </c>
      <c r="R579" s="195">
        <f>UTT!AJ600</f>
        <v>0.99719333333333338</v>
      </c>
      <c r="S579" s="195">
        <f>UTT!AK600</f>
        <v>0.99</v>
      </c>
      <c r="T579" s="198">
        <v>1.4999999999999999E-2</v>
      </c>
      <c r="U579" s="195">
        <f>UTT!AQ600</f>
        <v>1.0000000000000009E-2</v>
      </c>
      <c r="V579" s="198">
        <v>0</v>
      </c>
      <c r="W579" s="197">
        <v>0</v>
      </c>
      <c r="X579" s="199">
        <f t="shared" si="72"/>
        <v>-1.6297840029490844</v>
      </c>
    </row>
    <row r="580" spans="1:24">
      <c r="A580" s="189" t="s">
        <v>14</v>
      </c>
      <c r="B580" s="190" t="s">
        <v>66</v>
      </c>
      <c r="C580" s="190">
        <v>5</v>
      </c>
      <c r="D580" s="191">
        <v>6</v>
      </c>
      <c r="E580" s="192">
        <f t="shared" si="67"/>
        <v>45291</v>
      </c>
      <c r="F580" s="24">
        <f>UTT!X601</f>
        <v>45291</v>
      </c>
      <c r="G580" s="24">
        <f>UTT!Y601</f>
        <v>552.49189443048408</v>
      </c>
      <c r="H580" s="24">
        <f>UTT!Z601</f>
        <v>516.48299999999995</v>
      </c>
      <c r="I580" s="24">
        <f>UTT!AA601</f>
        <v>89.9</v>
      </c>
      <c r="J580" s="24">
        <f>UTT!AB601</f>
        <v>80.960000000000008</v>
      </c>
      <c r="K580" s="24">
        <f>UTT!AC601</f>
        <v>129.6</v>
      </c>
      <c r="L580" s="195">
        <f t="shared" si="68"/>
        <v>671.54801302476017</v>
      </c>
      <c r="M580" s="195">
        <f t="shared" si="69"/>
        <v>0.72132905938679481</v>
      </c>
      <c r="N580" s="195">
        <f t="shared" si="70"/>
        <v>12.175000000000001</v>
      </c>
      <c r="O580" s="195">
        <f t="shared" si="71"/>
        <v>0.14851932645980753</v>
      </c>
      <c r="P580" s="195">
        <f>UTT!AH601</f>
        <v>0.13883951612903223</v>
      </c>
      <c r="Q580" s="195">
        <f>UTT!AI601</f>
        <v>0.98499999999999999</v>
      </c>
      <c r="R580" s="195">
        <f>UTT!AJ601</f>
        <v>0.99759032258064517</v>
      </c>
      <c r="S580" s="195">
        <f>UTT!AK601</f>
        <v>0.99</v>
      </c>
      <c r="T580" s="198">
        <v>1.4999999999999999E-2</v>
      </c>
      <c r="U580" s="195">
        <f>UTT!AQ601</f>
        <v>1.0000000000000009E-2</v>
      </c>
      <c r="V580" s="198">
        <v>0</v>
      </c>
      <c r="W580" s="197">
        <v>0</v>
      </c>
      <c r="X580" s="199">
        <f t="shared" si="72"/>
        <v>-1.5885918011884226</v>
      </c>
    </row>
    <row r="581" spans="1:24">
      <c r="A581" s="189" t="s">
        <v>14</v>
      </c>
      <c r="B581" s="190" t="s">
        <v>66</v>
      </c>
      <c r="C581" s="190">
        <v>5</v>
      </c>
      <c r="D581" s="191">
        <v>6</v>
      </c>
      <c r="E581" s="192">
        <f t="shared" si="67"/>
        <v>45322</v>
      </c>
      <c r="F581" s="24">
        <f>UTT!X602</f>
        <v>45322</v>
      </c>
      <c r="G581" s="24">
        <f>UTT!Y602</f>
        <v>465.13512650924844</v>
      </c>
      <c r="H581" s="24">
        <f>UTT!Z602</f>
        <v>211.542</v>
      </c>
      <c r="I581" s="24">
        <f>UTT!AA602</f>
        <v>79.599999999999994</v>
      </c>
      <c r="J581" s="24">
        <f>UTT!AB602</f>
        <v>43.110000000000007</v>
      </c>
      <c r="K581" s="24">
        <f>UTT!AC602</f>
        <v>103.2</v>
      </c>
      <c r="L581" s="195">
        <f t="shared" si="68"/>
        <v>3081.2442564076241</v>
      </c>
      <c r="M581" s="195">
        <f t="shared" si="69"/>
        <v>0.76262661910119567</v>
      </c>
      <c r="N581" s="195">
        <f t="shared" si="70"/>
        <v>12.183333333333334</v>
      </c>
      <c r="O581" s="195">
        <f t="shared" si="71"/>
        <v>0.12503632433044315</v>
      </c>
      <c r="P581" s="195">
        <f>UTT!AH602</f>
        <v>5.6866129032258059E-2</v>
      </c>
      <c r="Q581" s="195">
        <f>UTT!AI602</f>
        <v>0.98499999999999999</v>
      </c>
      <c r="R581" s="195">
        <f>UTT!AJ602</f>
        <v>0.99360000000000004</v>
      </c>
      <c r="S581" s="195">
        <f>UTT!AK602</f>
        <v>0.99</v>
      </c>
      <c r="T581" s="198">
        <v>1.4999999999999999E-2</v>
      </c>
      <c r="U581" s="195">
        <f>UTT!AQ602</f>
        <v>1.0000000000000009E-2</v>
      </c>
      <c r="V581" s="198">
        <v>0</v>
      </c>
      <c r="W581" s="197">
        <v>0</v>
      </c>
      <c r="X581" s="199">
        <f t="shared" si="72"/>
        <v>-2.383613231430266</v>
      </c>
    </row>
    <row r="582" spans="1:24">
      <c r="A582" s="189" t="s">
        <v>14</v>
      </c>
      <c r="B582" s="190" t="s">
        <v>66</v>
      </c>
      <c r="C582" s="190">
        <v>5</v>
      </c>
      <c r="D582" s="191">
        <v>6</v>
      </c>
      <c r="E582" s="192">
        <f t="shared" si="67"/>
        <v>45351</v>
      </c>
      <c r="F582" s="24">
        <f>UTT!X603</f>
        <v>45351</v>
      </c>
      <c r="G582" s="24">
        <f>UTT!Y603</f>
        <v>610.57797261468977</v>
      </c>
      <c r="H582" s="24">
        <f>UTT!Z603</f>
        <v>593.976</v>
      </c>
      <c r="I582" s="24">
        <f>UTT!AA603</f>
        <v>108.1</v>
      </c>
      <c r="J582" s="24">
        <f>UTT!AB603</f>
        <v>109.59</v>
      </c>
      <c r="K582" s="24">
        <f>UTT!AC603</f>
        <v>137.5</v>
      </c>
      <c r="L582" s="195">
        <f t="shared" si="68"/>
        <v>404.08714719434914</v>
      </c>
      <c r="M582" s="195">
        <f t="shared" si="69"/>
        <v>0.75136498706622346</v>
      </c>
      <c r="N582" s="195">
        <f t="shared" si="70"/>
        <v>13.031896551724136</v>
      </c>
      <c r="O582" s="195">
        <f t="shared" si="71"/>
        <v>0.17545344040652006</v>
      </c>
      <c r="P582" s="195">
        <f>UTT!AH603</f>
        <v>0.17068275862068966</v>
      </c>
      <c r="Q582" s="195">
        <f>UTT!AI603</f>
        <v>0.98499999999999999</v>
      </c>
      <c r="R582" s="195">
        <f>UTT!AJ603</f>
        <v>0.97289999999999999</v>
      </c>
      <c r="S582" s="195">
        <f>UTT!AK603</f>
        <v>0.99</v>
      </c>
      <c r="T582" s="198">
        <v>1.4999999999999999E-2</v>
      </c>
      <c r="U582" s="195">
        <f>UTT!AQ603</f>
        <v>5.8931034482758715E-3</v>
      </c>
      <c r="V582" s="198">
        <v>0</v>
      </c>
      <c r="W582" s="197">
        <v>0</v>
      </c>
      <c r="X582" s="199">
        <f t="shared" si="72"/>
        <v>-1.241213136591909</v>
      </c>
    </row>
    <row r="583" spans="1:24">
      <c r="A583" s="189" t="s">
        <v>14</v>
      </c>
      <c r="B583" s="190" t="s">
        <v>66</v>
      </c>
      <c r="C583" s="190">
        <v>5</v>
      </c>
      <c r="D583" s="191">
        <v>6</v>
      </c>
      <c r="E583" s="192">
        <f t="shared" si="67"/>
        <v>45382</v>
      </c>
      <c r="F583" s="24">
        <f>UTT!X604</f>
        <v>45382</v>
      </c>
      <c r="G583" s="24">
        <f>UTT!Y604</f>
        <v>818.94711132085274</v>
      </c>
      <c r="H583" s="24">
        <f>UTT!Z604</f>
        <v>750.471</v>
      </c>
      <c r="I583" s="24">
        <f>UTT!AA604</f>
        <v>161.4</v>
      </c>
      <c r="J583" s="24">
        <f>UTT!AB604</f>
        <v>151.69</v>
      </c>
      <c r="K583" s="24">
        <f>UTT!AC604</f>
        <v>187.8</v>
      </c>
      <c r="L583" s="195">
        <f t="shared" si="68"/>
        <v>247.16356740048909</v>
      </c>
      <c r="M583" s="195">
        <f t="shared" si="69"/>
        <v>0.73785799354612103</v>
      </c>
      <c r="N583" s="195">
        <f t="shared" si="70"/>
        <v>12.199462365591398</v>
      </c>
      <c r="O583" s="195">
        <f t="shared" si="71"/>
        <v>0.22014707293571306</v>
      </c>
      <c r="P583" s="195">
        <f>UTT!AH604</f>
        <v>0.20173951612903224</v>
      </c>
      <c r="Q583" s="195">
        <f>UTT!AI604</f>
        <v>0.98499999999999999</v>
      </c>
      <c r="R583" s="195">
        <f>UTT!AJ604</f>
        <v>0.99835510967741947</v>
      </c>
      <c r="S583" s="195">
        <f>UTT!AK604</f>
        <v>0.99</v>
      </c>
      <c r="T583" s="198">
        <v>1.4999999999999999E-2</v>
      </c>
      <c r="U583" s="195">
        <f>UTT!AQ604</f>
        <v>1.0000000000000009E-2</v>
      </c>
      <c r="V583" s="198">
        <v>0</v>
      </c>
      <c r="W583" s="197">
        <v>0</v>
      </c>
      <c r="X583" s="199">
        <f t="shared" si="72"/>
        <v>-1.2200056515265427</v>
      </c>
    </row>
    <row r="584" spans="1:24">
      <c r="A584" s="189" t="s">
        <v>14</v>
      </c>
      <c r="B584" s="190" t="s">
        <v>66</v>
      </c>
      <c r="C584" s="190">
        <v>5</v>
      </c>
      <c r="D584" s="191">
        <v>6</v>
      </c>
      <c r="E584" s="192">
        <f t="shared" si="67"/>
        <v>45412</v>
      </c>
      <c r="F584" s="24">
        <f>UTT!X605</f>
        <v>45412</v>
      </c>
      <c r="G584" s="24">
        <f>UTT!Y605</f>
        <v>847.44203627212278</v>
      </c>
      <c r="H584" s="24">
        <f>UTT!Z605</f>
        <v>774.38699999999994</v>
      </c>
      <c r="I584" s="24">
        <f>UTT!AA605</f>
        <v>190.2</v>
      </c>
      <c r="J584" s="24">
        <f>UTT!AB605</f>
        <v>181.57</v>
      </c>
      <c r="K584" s="24">
        <f>UTT!AC605</f>
        <v>194</v>
      </c>
      <c r="L584" s="195">
        <f t="shared" si="68"/>
        <v>193.78481038268006</v>
      </c>
      <c r="M584" s="195">
        <f t="shared" si="69"/>
        <v>0.73912993552089146</v>
      </c>
      <c r="N584" s="195">
        <f t="shared" si="70"/>
        <v>12.614444444444445</v>
      </c>
      <c r="O584" s="195">
        <f t="shared" si="71"/>
        <v>0.23540056563114523</v>
      </c>
      <c r="P584" s="195">
        <f>UTT!AH605</f>
        <v>0.21510749999999995</v>
      </c>
      <c r="Q584" s="195">
        <f>UTT!AI605</f>
        <v>0.98499999999999999</v>
      </c>
      <c r="R584" s="195">
        <f>UTT!AJ605</f>
        <v>0.97991858195555537</v>
      </c>
      <c r="S584" s="195">
        <f>UTT!AK605</f>
        <v>0.99</v>
      </c>
      <c r="T584" s="198">
        <v>1.4999999999999999E-2</v>
      </c>
      <c r="U584" s="195">
        <f>UTT!AQ605</f>
        <v>9.5633333333332571E-3</v>
      </c>
      <c r="V584" s="198">
        <v>0</v>
      </c>
      <c r="W584" s="197">
        <v>0</v>
      </c>
      <c r="X584" s="199">
        <f t="shared" si="72"/>
        <v>-1.0497972541050946</v>
      </c>
    </row>
    <row r="585" spans="1:24">
      <c r="A585" s="189" t="s">
        <v>14</v>
      </c>
      <c r="B585" s="190" t="s">
        <v>66</v>
      </c>
      <c r="C585" s="190">
        <v>5</v>
      </c>
      <c r="D585" s="191">
        <v>6</v>
      </c>
      <c r="E585" s="192">
        <f t="shared" ref="E585:E592" si="73">EOMONTH(E584,1)</f>
        <v>45443</v>
      </c>
      <c r="F585" s="24">
        <f>UTT!X606</f>
        <v>45443</v>
      </c>
      <c r="G585" s="24">
        <f>UTT!Y606</f>
        <v>858.72127739866733</v>
      </c>
      <c r="H585" s="24">
        <f>UTT!Z606</f>
        <v>736.476</v>
      </c>
      <c r="I585" s="24">
        <f>UTT!AA606</f>
        <v>197</v>
      </c>
      <c r="J585" s="24">
        <f>UTT!AB606</f>
        <v>192.53</v>
      </c>
      <c r="K585" s="24">
        <f>UTT!AC606</f>
        <v>197.7</v>
      </c>
      <c r="L585" s="195">
        <f t="shared" si="68"/>
        <v>198.70174186527123</v>
      </c>
      <c r="M585" s="195">
        <f t="shared" si="69"/>
        <v>0.73495047307887362</v>
      </c>
      <c r="N585" s="195">
        <f t="shared" si="70"/>
        <v>12.215860215053763</v>
      </c>
      <c r="O585" s="195">
        <f t="shared" si="71"/>
        <v>0.23083905306415789</v>
      </c>
      <c r="P585" s="195">
        <f>UTT!AH606</f>
        <v>0.1979774193548387</v>
      </c>
      <c r="Q585" s="195">
        <f>UTT!AI606</f>
        <v>0.98499999999999999</v>
      </c>
      <c r="R585" s="195">
        <f>UTT!AJ606</f>
        <v>0.96074414951368148</v>
      </c>
      <c r="S585" s="195">
        <f>UTT!AK606</f>
        <v>0.99</v>
      </c>
      <c r="T585" s="198">
        <v>1.4999999999999999E-2</v>
      </c>
      <c r="U585" s="195">
        <f>UTT!AQ606</f>
        <v>9.5741935483870666E-3</v>
      </c>
      <c r="V585" s="198">
        <v>0</v>
      </c>
      <c r="W585" s="197">
        <v>0</v>
      </c>
      <c r="X585" s="199">
        <f t="shared" si="72"/>
        <v>-1.0079562901241681</v>
      </c>
    </row>
    <row r="586" spans="1:24">
      <c r="A586" s="189" t="s">
        <v>14</v>
      </c>
      <c r="B586" s="190" t="s">
        <v>66</v>
      </c>
      <c r="C586" s="190">
        <v>5</v>
      </c>
      <c r="D586" s="191">
        <v>6</v>
      </c>
      <c r="E586" s="192">
        <f t="shared" si="73"/>
        <v>45473</v>
      </c>
      <c r="F586" s="24">
        <f>UTT!X607</f>
        <v>45473</v>
      </c>
      <c r="G586" s="24">
        <f>UTT!Y607</f>
        <v>770.86192546558414</v>
      </c>
      <c r="H586" s="24">
        <f>UTT!Z607</f>
        <v>731.89200000000005</v>
      </c>
      <c r="I586" s="24">
        <f>UTT!AA607</f>
        <v>178.9</v>
      </c>
      <c r="J586" s="24">
        <f>UTT!AB607</f>
        <v>187.66000000000003</v>
      </c>
      <c r="K586" s="24">
        <f>UTT!AC607</f>
        <v>177.2</v>
      </c>
      <c r="L586" s="195">
        <f t="shared" si="68"/>
        <v>198.64889118079526</v>
      </c>
      <c r="M586" s="195">
        <f t="shared" si="69"/>
        <v>0.73608064292604281</v>
      </c>
      <c r="N586" s="195">
        <f t="shared" si="70"/>
        <v>12.631388888888889</v>
      </c>
      <c r="O586" s="195">
        <f t="shared" si="71"/>
        <v>0.21412831262932891</v>
      </c>
      <c r="P586" s="195">
        <f>UTT!AH607</f>
        <v>0.20330333333333334</v>
      </c>
      <c r="Q586" s="195">
        <f>UTT!AI607</f>
        <v>0.98499999999999999</v>
      </c>
      <c r="R586" s="195">
        <f>UTT!AJ607</f>
        <v>0.95230000000000004</v>
      </c>
      <c r="S586" s="195">
        <f>UTT!AK607</f>
        <v>0.99</v>
      </c>
      <c r="T586" s="198">
        <v>1.4999999999999999E-2</v>
      </c>
      <c r="U586" s="195">
        <f>UTT!AQ607</f>
        <v>1.0000000000000009E-2</v>
      </c>
      <c r="V586" s="198">
        <v>0</v>
      </c>
      <c r="W586" s="197">
        <v>0</v>
      </c>
      <c r="X586" s="199">
        <f t="shared" si="72"/>
        <v>-0.92730881755174188</v>
      </c>
    </row>
    <row r="587" spans="1:24">
      <c r="A587" s="189" t="s">
        <v>14</v>
      </c>
      <c r="B587" s="190" t="s">
        <v>66</v>
      </c>
      <c r="C587" s="190">
        <v>5</v>
      </c>
      <c r="D587" s="191">
        <v>6</v>
      </c>
      <c r="E587" s="192">
        <f t="shared" si="73"/>
        <v>45504</v>
      </c>
      <c r="F587" s="24">
        <f>UTT!X608</f>
        <v>45504</v>
      </c>
      <c r="G587" s="24">
        <f>UTT!Y608</f>
        <v>682.40892926268316</v>
      </c>
      <c r="H587" s="24">
        <f>UTT!Z608</f>
        <v>601.55999999999995</v>
      </c>
      <c r="I587" s="24">
        <f>UTT!AA608</f>
        <v>155.5</v>
      </c>
      <c r="J587" s="24">
        <f>UTT!AB608</f>
        <v>143.95999999999998</v>
      </c>
      <c r="K587" s="24">
        <f>UTT!AC608</f>
        <v>154.6</v>
      </c>
      <c r="L587" s="195">
        <f t="shared" si="68"/>
        <v>325.77704193049175</v>
      </c>
      <c r="M587" s="195">
        <f t="shared" si="69"/>
        <v>0.74687466948457482</v>
      </c>
      <c r="N587" s="195">
        <f t="shared" si="70"/>
        <v>12.232258064516129</v>
      </c>
      <c r="O587" s="195">
        <f t="shared" si="71"/>
        <v>0.18344326055448473</v>
      </c>
      <c r="P587" s="195">
        <f>UTT!AH608</f>
        <v>0.16170967741935482</v>
      </c>
      <c r="Q587" s="195">
        <f>UTT!AI608</f>
        <v>0.98499999999999999</v>
      </c>
      <c r="R587" s="195">
        <f>UTT!AJ608</f>
        <v>0.92910000000000004</v>
      </c>
      <c r="S587" s="195">
        <f>UTT!AK608</f>
        <v>0.99</v>
      </c>
      <c r="T587" s="198">
        <v>1.4999999999999999E-2</v>
      </c>
      <c r="U587" s="195">
        <f>UTT!AQ608</f>
        <v>1.0000000000000009E-2</v>
      </c>
      <c r="V587" s="198">
        <v>0</v>
      </c>
      <c r="W587" s="197">
        <v>0</v>
      </c>
      <c r="X587" s="199">
        <f t="shared" si="72"/>
        <v>-1.0589127392272559</v>
      </c>
    </row>
    <row r="588" spans="1:24">
      <c r="A588" s="189" t="s">
        <v>14</v>
      </c>
      <c r="B588" s="190" t="s">
        <v>66</v>
      </c>
      <c r="C588" s="190">
        <v>5</v>
      </c>
      <c r="D588" s="191">
        <v>6</v>
      </c>
      <c r="E588" s="192">
        <f t="shared" si="73"/>
        <v>45535</v>
      </c>
      <c r="F588" s="24">
        <f>UTT!X609</f>
        <v>45535</v>
      </c>
      <c r="G588" s="24">
        <f>UTT!Y609</f>
        <v>647.68073947832283</v>
      </c>
      <c r="H588" s="24">
        <f>UTT!Z609</f>
        <v>672.01499999999999</v>
      </c>
      <c r="I588" s="24">
        <f>UTT!AA609</f>
        <v>145.4</v>
      </c>
      <c r="J588" s="24">
        <f>UTT!AB609</f>
        <v>161.69</v>
      </c>
      <c r="K588" s="24">
        <f>UTT!AC609</f>
        <v>146.30000000000001</v>
      </c>
      <c r="L588" s="195">
        <f t="shared" si="68"/>
        <v>259.82139030551394</v>
      </c>
      <c r="M588" s="195">
        <f t="shared" si="69"/>
        <v>0.74908167913822721</v>
      </c>
      <c r="N588" s="195">
        <f t="shared" si="70"/>
        <v>12.240591397849462</v>
      </c>
      <c r="O588" s="195">
        <f t="shared" si="71"/>
        <v>0.17410772566621582</v>
      </c>
      <c r="P588" s="195">
        <f>UTT!AH609</f>
        <v>0.1806491935483871</v>
      </c>
      <c r="Q588" s="195">
        <f>UTT!AI609</f>
        <v>0.98499999999999999</v>
      </c>
      <c r="R588" s="195">
        <f>UTT!AJ609</f>
        <v>0.93907096774193533</v>
      </c>
      <c r="S588" s="195">
        <f>UTT!AK609</f>
        <v>0.99</v>
      </c>
      <c r="T588" s="198">
        <v>1.4999999999999999E-2</v>
      </c>
      <c r="U588" s="195">
        <f>UTT!AQ609</f>
        <v>1.0000000000000009E-2</v>
      </c>
      <c r="V588" s="198">
        <v>0</v>
      </c>
      <c r="W588" s="197">
        <v>0</v>
      </c>
      <c r="X588" s="199">
        <f t="shared" si="72"/>
        <v>-0.8905940611973292</v>
      </c>
    </row>
    <row r="589" spans="1:24">
      <c r="A589" s="189" t="s">
        <v>14</v>
      </c>
      <c r="B589" s="190" t="s">
        <v>66</v>
      </c>
      <c r="C589" s="190">
        <v>5</v>
      </c>
      <c r="D589" s="191">
        <v>6</v>
      </c>
      <c r="E589" s="192">
        <f t="shared" si="73"/>
        <v>45565</v>
      </c>
      <c r="F589" s="24">
        <f>UTT!X610</f>
        <v>45565</v>
      </c>
      <c r="G589" s="24">
        <f>UTT!Y610</f>
        <v>645.60298453395933</v>
      </c>
      <c r="H589" s="24">
        <f>UTT!Z610</f>
        <v>552.36</v>
      </c>
      <c r="I589" s="24">
        <f>UTT!AA610</f>
        <v>141.6</v>
      </c>
      <c r="J589" s="24">
        <f>UTT!AB610</f>
        <v>120.91000000000003</v>
      </c>
      <c r="K589" s="24">
        <f>UTT!AC610</f>
        <v>145.5</v>
      </c>
      <c r="L589" s="195">
        <f t="shared" si="68"/>
        <v>409.3531935649192</v>
      </c>
      <c r="M589" s="195">
        <f t="shared" si="69"/>
        <v>0.75078408025765553</v>
      </c>
      <c r="N589" s="195">
        <f t="shared" si="70"/>
        <v>12.656944444444445</v>
      </c>
      <c r="O589" s="195">
        <f t="shared" si="71"/>
        <v>0.17933416237054425</v>
      </c>
      <c r="P589" s="195">
        <f>UTT!AH610</f>
        <v>0.15343333333333334</v>
      </c>
      <c r="Q589" s="195">
        <f>UTT!AI610</f>
        <v>0.98499999999999999</v>
      </c>
      <c r="R589" s="195">
        <f>UTT!AJ610</f>
        <v>0.94538608666666657</v>
      </c>
      <c r="S589" s="195">
        <f>UTT!AK610</f>
        <v>0.99</v>
      </c>
      <c r="T589" s="198">
        <v>1.4999999999999999E-2</v>
      </c>
      <c r="U589" s="195">
        <f>UTT!AQ610</f>
        <v>1.0000000000000009E-2</v>
      </c>
      <c r="V589" s="198">
        <v>0</v>
      </c>
      <c r="W589" s="197">
        <v>0</v>
      </c>
      <c r="X589" s="199">
        <f t="shared" si="72"/>
        <v>-1.1892055753289661</v>
      </c>
    </row>
    <row r="590" spans="1:24">
      <c r="A590" s="189" t="s">
        <v>14</v>
      </c>
      <c r="B590" s="190" t="s">
        <v>66</v>
      </c>
      <c r="C590" s="190">
        <v>5</v>
      </c>
      <c r="D590" s="191">
        <v>6</v>
      </c>
      <c r="E590" s="192">
        <f t="shared" si="73"/>
        <v>45596</v>
      </c>
      <c r="F590" s="24">
        <f>UTT!X611</f>
        <v>45596</v>
      </c>
      <c r="G590" s="24">
        <f>UTT!Y611</f>
        <v>739.69560130013258</v>
      </c>
      <c r="H590" s="24">
        <f>UTT!Z611</f>
        <v>651.28200000000004</v>
      </c>
      <c r="I590" s="24">
        <f>UTT!AA611</f>
        <v>139.1</v>
      </c>
      <c r="J590" s="24">
        <f>UTT!AB611</f>
        <v>123.08999999999997</v>
      </c>
      <c r="K590" s="24">
        <f>UTT!AC611</f>
        <v>172.2</v>
      </c>
      <c r="L590" s="195">
        <f t="shared" si="68"/>
        <v>352.6359519319513</v>
      </c>
      <c r="M590" s="195">
        <f t="shared" si="69"/>
        <v>0.726829269570201</v>
      </c>
      <c r="N590" s="195">
        <f t="shared" si="70"/>
        <v>12.256989247311827</v>
      </c>
      <c r="O590" s="195">
        <f t="shared" si="71"/>
        <v>0.19884290357530446</v>
      </c>
      <c r="P590" s="195">
        <f>UTT!AH611</f>
        <v>0.17507580645161291</v>
      </c>
      <c r="Q590" s="195">
        <f>UTT!AI611</f>
        <v>0.98499999999999999</v>
      </c>
      <c r="R590" s="195">
        <f>UTT!AJ611</f>
        <v>0.96687831216363163</v>
      </c>
      <c r="S590" s="195">
        <f>UTT!AK611</f>
        <v>0.99</v>
      </c>
      <c r="T590" s="198">
        <v>1.4999999999999999E-2</v>
      </c>
      <c r="U590" s="195">
        <f>UTT!AQ611</f>
        <v>5.2870967741935893E-3</v>
      </c>
      <c r="V590" s="198">
        <v>0</v>
      </c>
      <c r="W590" s="197">
        <v>0</v>
      </c>
      <c r="X590" s="199">
        <f t="shared" si="72"/>
        <v>-1.3827535409423333</v>
      </c>
    </row>
    <row r="591" spans="1:24">
      <c r="A591" s="189" t="s">
        <v>14</v>
      </c>
      <c r="B591" s="190" t="s">
        <v>66</v>
      </c>
      <c r="C591" s="190">
        <v>5</v>
      </c>
      <c r="D591" s="191">
        <v>6</v>
      </c>
      <c r="E591" s="192">
        <f t="shared" si="73"/>
        <v>45626</v>
      </c>
      <c r="F591" s="24">
        <f>UTT!X612</f>
        <v>45626</v>
      </c>
      <c r="G591" s="24">
        <f>UTT!Y612</f>
        <v>654.80447071614037</v>
      </c>
      <c r="H591" s="24">
        <f>UTT!Z612</f>
        <v>489.07799999999997</v>
      </c>
      <c r="I591" s="24">
        <f>UTT!AA612</f>
        <v>108.1</v>
      </c>
      <c r="J591" s="24">
        <f>UTT!AB612</f>
        <v>80.53</v>
      </c>
      <c r="K591" s="24">
        <f>UTT!AC612</f>
        <v>152.1</v>
      </c>
      <c r="L591" s="195">
        <f t="shared" si="68"/>
        <v>695.06884061519543</v>
      </c>
      <c r="M591" s="195">
        <f t="shared" si="69"/>
        <v>0.72844193776262656</v>
      </c>
      <c r="N591" s="195">
        <f t="shared" si="70"/>
        <v>12.673888888888888</v>
      </c>
      <c r="O591" s="195">
        <f t="shared" si="71"/>
        <v>0.18189013075448343</v>
      </c>
      <c r="P591" s="195">
        <f>UTT!AH612</f>
        <v>0.135855</v>
      </c>
      <c r="Q591" s="195">
        <f>UTT!AI612</f>
        <v>0.98499999999999999</v>
      </c>
      <c r="R591" s="195">
        <f>UTT!AJ612</f>
        <v>0.98350000000000004</v>
      </c>
      <c r="S591" s="195">
        <f>UTT!AK612</f>
        <v>0.99</v>
      </c>
      <c r="T591" s="198">
        <v>1.4999999999999999E-2</v>
      </c>
      <c r="U591" s="195">
        <f>UTT!AQ612</f>
        <v>1.0000000000000009E-2</v>
      </c>
      <c r="V591" s="198">
        <v>0</v>
      </c>
      <c r="W591" s="197">
        <v>0</v>
      </c>
      <c r="X591" s="199">
        <f t="shared" si="72"/>
        <v>-1.8743855523471245</v>
      </c>
    </row>
    <row r="592" spans="1:24">
      <c r="A592" s="189" t="s">
        <v>14</v>
      </c>
      <c r="B592" s="190" t="s">
        <v>66</v>
      </c>
      <c r="C592" s="190">
        <v>5</v>
      </c>
      <c r="D592" s="191">
        <v>6</v>
      </c>
      <c r="E592" s="192">
        <f t="shared" si="73"/>
        <v>45657</v>
      </c>
      <c r="F592" s="24">
        <f>UTT!X613</f>
        <v>45657</v>
      </c>
      <c r="G592" s="24">
        <f>UTT!Y613</f>
        <v>549.72943495833158</v>
      </c>
      <c r="H592" s="24">
        <f>UTT!Z613</f>
        <v>519.71100000000001</v>
      </c>
      <c r="I592" s="24">
        <f>UTT!AA613</f>
        <v>89.9</v>
      </c>
      <c r="J592" s="24">
        <f>UTT!AB613</f>
        <v>75.180000000000007</v>
      </c>
      <c r="K592" s="24">
        <f>UTT!AC613</f>
        <v>129.6</v>
      </c>
      <c r="L592" s="195">
        <f t="shared" si="68"/>
        <v>724.49406288994339</v>
      </c>
      <c r="M592" s="195">
        <f t="shared" si="69"/>
        <v>0.71772241408986082</v>
      </c>
      <c r="N592" s="195">
        <f t="shared" si="70"/>
        <v>12.273387096774194</v>
      </c>
      <c r="O592" s="195">
        <f t="shared" si="71"/>
        <v>0.1477767298275085</v>
      </c>
      <c r="P592" s="195">
        <f>UTT!AH613</f>
        <v>0.13970725806451612</v>
      </c>
      <c r="Q592" s="195">
        <f>UTT!AI613</f>
        <v>0.98499999999999999</v>
      </c>
      <c r="R592" s="195">
        <f>UTT!AJ613</f>
        <v>0.99344911419354831</v>
      </c>
      <c r="S592" s="195">
        <f>UTT!AK613</f>
        <v>0.99</v>
      </c>
      <c r="T592" s="198">
        <v>1.4999999999999999E-2</v>
      </c>
      <c r="U592" s="195">
        <f>UTT!AQ613</f>
        <v>1.0000000000000009E-2</v>
      </c>
      <c r="V592" s="198">
        <v>0</v>
      </c>
      <c r="W592" s="197">
        <v>0</v>
      </c>
      <c r="X592" s="199">
        <f t="shared" si="72"/>
        <v>-1.7118223099088712</v>
      </c>
    </row>
    <row r="593" spans="1:24">
      <c r="A593" s="189"/>
      <c r="B593" s="190"/>
      <c r="C593" s="190"/>
      <c r="D593" s="191"/>
      <c r="E593" s="192"/>
      <c r="F593" s="24"/>
      <c r="G593" s="24"/>
      <c r="H593" s="24"/>
      <c r="I593" s="24"/>
      <c r="J593" s="24"/>
      <c r="K593" s="24"/>
      <c r="L593" s="195"/>
      <c r="M593" s="195"/>
      <c r="N593" s="195"/>
      <c r="O593" s="195"/>
      <c r="P593" s="195"/>
      <c r="Q593" s="195"/>
      <c r="R593" s="195"/>
      <c r="S593" s="204"/>
      <c r="T593" s="198"/>
      <c r="U593" s="204"/>
      <c r="V593" s="198"/>
      <c r="W593" s="197"/>
      <c r="X593" s="199"/>
    </row>
    <row r="594" spans="1:24">
      <c r="A594" s="189"/>
      <c r="B594" s="190"/>
      <c r="C594" s="190"/>
      <c r="D594" s="191"/>
      <c r="E594" s="192"/>
      <c r="F594" s="24"/>
      <c r="G594" s="24"/>
      <c r="H594" s="24"/>
      <c r="I594" s="24"/>
      <c r="J594" s="24"/>
      <c r="K594" s="24"/>
      <c r="L594" s="195"/>
      <c r="M594" s="195"/>
      <c r="N594" s="195"/>
      <c r="O594" s="195"/>
      <c r="P594" s="195"/>
      <c r="Q594" s="195"/>
      <c r="R594" s="195"/>
      <c r="S594" s="204"/>
      <c r="T594" s="198"/>
      <c r="U594" s="204"/>
      <c r="V594" s="198"/>
      <c r="W594" s="197"/>
      <c r="X594" s="199"/>
    </row>
    <row r="595" spans="1:24">
      <c r="A595" s="189"/>
      <c r="B595" s="190"/>
      <c r="C595" s="190"/>
      <c r="D595" s="191"/>
      <c r="E595" s="192"/>
      <c r="F595" s="24"/>
      <c r="G595" s="24"/>
      <c r="H595" s="24"/>
      <c r="I595" s="24"/>
      <c r="J595" s="24"/>
      <c r="K595" s="24"/>
      <c r="L595" s="195"/>
      <c r="M595" s="195"/>
      <c r="N595" s="195"/>
      <c r="O595" s="195"/>
      <c r="P595" s="195"/>
      <c r="Q595" s="195"/>
      <c r="R595" s="195"/>
      <c r="S595" s="204"/>
      <c r="T595" s="198"/>
      <c r="U595" s="204"/>
      <c r="V595" s="198"/>
      <c r="W595" s="197"/>
      <c r="X595" s="199"/>
    </row>
    <row r="596" spans="1:24">
      <c r="A596" s="189"/>
      <c r="B596" s="190"/>
      <c r="C596" s="190"/>
      <c r="D596" s="191"/>
      <c r="E596" s="192"/>
      <c r="F596" s="24"/>
      <c r="G596" s="24"/>
      <c r="H596" s="24"/>
      <c r="I596" s="24"/>
      <c r="J596" s="24"/>
      <c r="K596" s="24"/>
      <c r="L596" s="195"/>
      <c r="M596" s="195"/>
      <c r="N596" s="195"/>
      <c r="O596" s="195"/>
      <c r="P596" s="195"/>
      <c r="Q596" s="195"/>
      <c r="R596" s="195"/>
      <c r="S596" s="204"/>
      <c r="T596" s="198"/>
      <c r="U596" s="204"/>
      <c r="V596" s="198"/>
      <c r="W596" s="197"/>
      <c r="X596" s="199"/>
    </row>
    <row r="597" spans="1:24">
      <c r="A597" s="189"/>
      <c r="B597" s="190"/>
      <c r="C597" s="190"/>
      <c r="D597" s="191"/>
      <c r="E597" s="192"/>
      <c r="F597" s="24"/>
      <c r="G597" s="24"/>
      <c r="H597" s="24"/>
      <c r="I597" s="24"/>
      <c r="J597" s="24"/>
      <c r="K597" s="24"/>
      <c r="L597" s="195"/>
      <c r="M597" s="195"/>
      <c r="N597" s="195"/>
      <c r="O597" s="195"/>
      <c r="P597" s="195"/>
      <c r="Q597" s="195"/>
      <c r="R597" s="195"/>
      <c r="S597" s="204"/>
      <c r="T597" s="198"/>
      <c r="U597" s="204"/>
      <c r="V597" s="198"/>
      <c r="W597" s="197"/>
      <c r="X597" s="199"/>
    </row>
    <row r="598" spans="1:24">
      <c r="A598" s="189" t="s">
        <v>14</v>
      </c>
      <c r="B598" s="190" t="s">
        <v>67</v>
      </c>
      <c r="C598" s="190">
        <v>5</v>
      </c>
      <c r="D598" s="191">
        <v>6</v>
      </c>
      <c r="E598" s="192">
        <v>42766</v>
      </c>
      <c r="F598" s="24"/>
      <c r="G598" s="24">
        <v>0</v>
      </c>
      <c r="H598" s="193">
        <v>79.599999999999994</v>
      </c>
      <c r="I598" s="194"/>
      <c r="J598" s="193">
        <v>103.2</v>
      </c>
      <c r="K598" s="194"/>
      <c r="L598" s="195">
        <v>0.82763481424572438</v>
      </c>
      <c r="M598" s="195"/>
      <c r="N598" s="195"/>
      <c r="O598" s="195"/>
      <c r="P598" s="195">
        <v>0.98499999999999999</v>
      </c>
      <c r="Q598" s="195"/>
      <c r="R598" s="196">
        <v>0.99</v>
      </c>
      <c r="S598" s="197"/>
      <c r="T598" s="198">
        <v>1.4999999999999999E-2</v>
      </c>
      <c r="U598" s="197">
        <v>0</v>
      </c>
      <c r="V598" s="198">
        <v>0</v>
      </c>
      <c r="W598" s="197">
        <v>0</v>
      </c>
      <c r="X598" s="199" t="e">
        <f t="shared" si="62"/>
        <v>#DIV/0!</v>
      </c>
    </row>
    <row r="599" spans="1:24">
      <c r="A599" s="189" t="s">
        <v>14</v>
      </c>
      <c r="B599" s="190" t="s">
        <v>67</v>
      </c>
      <c r="C599" s="190">
        <v>5</v>
      </c>
      <c r="D599" s="191">
        <v>6</v>
      </c>
      <c r="E599" s="192">
        <v>42794</v>
      </c>
      <c r="F599" s="24"/>
      <c r="G599" s="24">
        <v>0</v>
      </c>
      <c r="H599" s="193">
        <v>108.1</v>
      </c>
      <c r="I599" s="194"/>
      <c r="J599" s="193">
        <v>137.5</v>
      </c>
      <c r="K599" s="194"/>
      <c r="L599" s="195">
        <v>0.81555559393111998</v>
      </c>
      <c r="M599" s="195"/>
      <c r="N599" s="195"/>
      <c r="O599" s="195"/>
      <c r="P599" s="195">
        <v>0.98499999999999999</v>
      </c>
      <c r="Q599" s="195"/>
      <c r="R599" s="196">
        <v>0.99</v>
      </c>
      <c r="S599" s="197"/>
      <c r="T599" s="198">
        <v>1.4999999999999999E-2</v>
      </c>
      <c r="U599" s="197">
        <v>0</v>
      </c>
      <c r="V599" s="198">
        <v>0</v>
      </c>
      <c r="W599" s="197">
        <v>0</v>
      </c>
      <c r="X599" s="199" t="e">
        <f t="shared" si="62"/>
        <v>#DIV/0!</v>
      </c>
    </row>
    <row r="600" spans="1:24">
      <c r="A600" s="189" t="s">
        <v>14</v>
      </c>
      <c r="B600" s="190" t="s">
        <v>67</v>
      </c>
      <c r="C600" s="190">
        <v>5</v>
      </c>
      <c r="D600" s="191">
        <v>6</v>
      </c>
      <c r="E600" s="192">
        <v>42825</v>
      </c>
      <c r="F600" s="24"/>
      <c r="G600" s="24">
        <v>44.795999999999999</v>
      </c>
      <c r="H600" s="193">
        <v>161.4</v>
      </c>
      <c r="I600" s="194"/>
      <c r="J600" s="193">
        <v>187.8</v>
      </c>
      <c r="K600" s="194"/>
      <c r="L600" s="195">
        <v>0.80080060538540998</v>
      </c>
      <c r="M600" s="195"/>
      <c r="N600" s="195"/>
      <c r="O600" s="195"/>
      <c r="P600" s="195">
        <v>0.98499999999999999</v>
      </c>
      <c r="Q600" s="195"/>
      <c r="R600" s="196">
        <v>0.99</v>
      </c>
      <c r="S600" s="197"/>
      <c r="T600" s="198">
        <v>1.4999999999999999E-2</v>
      </c>
      <c r="U600" s="197">
        <v>0</v>
      </c>
      <c r="V600" s="198">
        <v>0</v>
      </c>
      <c r="W600" s="197">
        <v>0</v>
      </c>
      <c r="X600" s="199" t="e">
        <f t="shared" si="62"/>
        <v>#DIV/0!</v>
      </c>
    </row>
    <row r="601" spans="1:24">
      <c r="A601" s="189" t="s">
        <v>14</v>
      </c>
      <c r="B601" s="190" t="s">
        <v>67</v>
      </c>
      <c r="C601" s="190">
        <v>5</v>
      </c>
      <c r="D601" s="191">
        <v>6</v>
      </c>
      <c r="E601" s="192">
        <v>42855</v>
      </c>
      <c r="F601" s="24">
        <v>933.23753176531341</v>
      </c>
      <c r="G601" s="24">
        <v>393.66899999999998</v>
      </c>
      <c r="H601" s="193">
        <v>190.2</v>
      </c>
      <c r="I601" s="194"/>
      <c r="J601" s="193">
        <v>194</v>
      </c>
      <c r="K601" s="194"/>
      <c r="L601" s="195">
        <v>0.80175045684305279</v>
      </c>
      <c r="M601" s="195"/>
      <c r="N601" s="195"/>
      <c r="O601" s="195"/>
      <c r="P601" s="195">
        <v>0.98499999999999999</v>
      </c>
      <c r="Q601" s="195"/>
      <c r="R601" s="196">
        <v>0.99</v>
      </c>
      <c r="S601" s="197"/>
      <c r="T601" s="198">
        <v>1.4999999999999999E-2</v>
      </c>
      <c r="U601" s="197">
        <v>0</v>
      </c>
      <c r="V601" s="198">
        <v>0</v>
      </c>
      <c r="W601" s="197">
        <v>0</v>
      </c>
      <c r="X601" s="199">
        <f t="shared" si="62"/>
        <v>0.42183151298612598</v>
      </c>
    </row>
    <row r="602" spans="1:24">
      <c r="A602" s="189" t="s">
        <v>14</v>
      </c>
      <c r="B602" s="190" t="s">
        <v>67</v>
      </c>
      <c r="C602" s="190">
        <v>5</v>
      </c>
      <c r="D602" s="191">
        <v>6</v>
      </c>
      <c r="E602" s="192">
        <v>42886</v>
      </c>
      <c r="F602" s="24">
        <v>945.49761494667598</v>
      </c>
      <c r="G602" s="24">
        <v>624.29399999999998</v>
      </c>
      <c r="H602" s="193">
        <v>197</v>
      </c>
      <c r="I602" s="194"/>
      <c r="J602" s="193">
        <v>197.7</v>
      </c>
      <c r="K602" s="194"/>
      <c r="L602" s="195">
        <v>0.79708111190918562</v>
      </c>
      <c r="M602" s="195"/>
      <c r="N602" s="195"/>
      <c r="O602" s="195"/>
      <c r="P602" s="195">
        <v>0.98499999999999999</v>
      </c>
      <c r="Q602" s="195"/>
      <c r="R602" s="196">
        <v>0.99</v>
      </c>
      <c r="S602" s="197"/>
      <c r="T602" s="198">
        <v>1.4999999999999999E-2</v>
      </c>
      <c r="U602" s="197">
        <v>0</v>
      </c>
      <c r="V602" s="198">
        <v>0</v>
      </c>
      <c r="W602" s="197">
        <v>0</v>
      </c>
      <c r="X602" s="199">
        <f t="shared" si="62"/>
        <v>0.66028088292449982</v>
      </c>
    </row>
    <row r="603" spans="1:24">
      <c r="A603" s="189" t="s">
        <v>14</v>
      </c>
      <c r="B603" s="190" t="s">
        <v>67</v>
      </c>
      <c r="C603" s="190">
        <v>5</v>
      </c>
      <c r="D603" s="191">
        <v>6</v>
      </c>
      <c r="E603" s="192">
        <v>42916</v>
      </c>
      <c r="F603" s="24">
        <v>848.88815947753938</v>
      </c>
      <c r="G603" s="24">
        <v>654.59100000000001</v>
      </c>
      <c r="H603" s="193">
        <v>178.9</v>
      </c>
      <c r="I603" s="194">
        <v>155.32</v>
      </c>
      <c r="J603" s="193">
        <v>177.2</v>
      </c>
      <c r="K603" s="194">
        <v>148.03</v>
      </c>
      <c r="L603" s="195">
        <v>0.79842753901198216</v>
      </c>
      <c r="M603" s="195">
        <f>G603/6/K603</f>
        <v>0.73700263460109439</v>
      </c>
      <c r="N603" s="195">
        <f>F603/24/30/5</f>
        <v>0.23580226652153874</v>
      </c>
      <c r="O603" s="195">
        <f>G603/24/30/5</f>
        <v>0.18183083333333333</v>
      </c>
      <c r="P603" s="195">
        <v>0.98499999999999999</v>
      </c>
      <c r="Q603" s="195">
        <v>0.82414458000000002</v>
      </c>
      <c r="R603" s="196">
        <v>0.99</v>
      </c>
      <c r="S603" s="197">
        <v>0.99860000000000004</v>
      </c>
      <c r="T603" s="198">
        <v>1.4999999999999999E-2</v>
      </c>
      <c r="U603" s="197">
        <v>0</v>
      </c>
      <c r="V603" s="198">
        <v>0</v>
      </c>
      <c r="W603" s="197">
        <v>0</v>
      </c>
      <c r="X603" s="199">
        <f t="shared" ref="X603:X666" si="74">(G603/F603-1)-(K603/J603-1)</f>
        <v>-6.426803223788613E-2</v>
      </c>
    </row>
    <row r="604" spans="1:24">
      <c r="A604" s="189" t="s">
        <v>14</v>
      </c>
      <c r="B604" s="190" t="s">
        <v>67</v>
      </c>
      <c r="C604" s="190">
        <v>5</v>
      </c>
      <c r="D604" s="191">
        <v>6</v>
      </c>
      <c r="E604" s="192">
        <v>42947</v>
      </c>
      <c r="F604" s="24">
        <v>751.29789735389397</v>
      </c>
      <c r="G604" s="24">
        <v>501.654</v>
      </c>
      <c r="H604" s="193">
        <v>155.5</v>
      </c>
      <c r="I604" s="194">
        <v>155.74</v>
      </c>
      <c r="J604" s="193">
        <v>154.6</v>
      </c>
      <c r="K604" s="194">
        <v>153.06</v>
      </c>
      <c r="L604" s="195">
        <v>0.80993736239100256</v>
      </c>
      <c r="M604" s="195">
        <f t="shared" ref="M604:M612" si="75">G604/6/K604</f>
        <v>0.54624983666535998</v>
      </c>
      <c r="N604" s="195">
        <f>F604/24/31/5</f>
        <v>0.20196180036394998</v>
      </c>
      <c r="O604" s="195">
        <f>G604/24/31/5</f>
        <v>0.13485322580645159</v>
      </c>
      <c r="P604" s="195">
        <v>0.98499999999999999</v>
      </c>
      <c r="Q604" s="195">
        <v>0.75889202999999994</v>
      </c>
      <c r="R604" s="196">
        <v>0.99</v>
      </c>
      <c r="S604" s="197">
        <v>0.98929999999999996</v>
      </c>
      <c r="T604" s="198">
        <v>1.4999999999999999E-2</v>
      </c>
      <c r="U604" s="197">
        <v>0</v>
      </c>
      <c r="V604" s="198">
        <v>0</v>
      </c>
      <c r="W604" s="197">
        <v>0</v>
      </c>
      <c r="X604" s="199">
        <f t="shared" si="74"/>
        <v>-0.32232231313078363</v>
      </c>
    </row>
    <row r="605" spans="1:24">
      <c r="A605" s="189" t="s">
        <v>14</v>
      </c>
      <c r="B605" s="190" t="s">
        <v>67</v>
      </c>
      <c r="C605" s="190">
        <v>5</v>
      </c>
      <c r="D605" s="191">
        <v>6</v>
      </c>
      <c r="E605" s="192">
        <v>42978</v>
      </c>
      <c r="F605" s="24">
        <v>713.53684115529745</v>
      </c>
      <c r="G605" s="24">
        <v>518.77800000000002</v>
      </c>
      <c r="H605" s="193">
        <v>145.4</v>
      </c>
      <c r="I605" s="194">
        <v>126.64</v>
      </c>
      <c r="J605" s="193">
        <v>146.30000000000001</v>
      </c>
      <c r="K605" s="194">
        <v>127.41</v>
      </c>
      <c r="L605" s="195">
        <v>0.81286949322772539</v>
      </c>
      <c r="M605" s="195">
        <f t="shared" si="75"/>
        <v>0.67862020249587951</v>
      </c>
      <c r="N605" s="195">
        <f>F605/24/31/5</f>
        <v>0.19181097880518747</v>
      </c>
      <c r="O605" s="195">
        <f>G605/24/31/5</f>
        <v>0.13945645161290324</v>
      </c>
      <c r="P605" s="195">
        <v>0.98499999999999999</v>
      </c>
      <c r="Q605" s="195">
        <v>0.83907969999999998</v>
      </c>
      <c r="R605" s="196">
        <v>0.99</v>
      </c>
      <c r="S605" s="197">
        <v>0.99099999999999999</v>
      </c>
      <c r="T605" s="198">
        <v>1.4999999999999999E-2</v>
      </c>
      <c r="U605" s="197">
        <v>0</v>
      </c>
      <c r="V605" s="198">
        <v>0</v>
      </c>
      <c r="W605" s="197">
        <v>0</v>
      </c>
      <c r="X605" s="199">
        <f t="shared" si="74"/>
        <v>-0.14383029280828752</v>
      </c>
    </row>
    <row r="606" spans="1:24">
      <c r="A606" s="189" t="s">
        <v>14</v>
      </c>
      <c r="B606" s="190" t="s">
        <v>67</v>
      </c>
      <c r="C606" s="190">
        <v>5</v>
      </c>
      <c r="D606" s="191">
        <v>6</v>
      </c>
      <c r="E606" s="192">
        <v>43008</v>
      </c>
      <c r="F606" s="24">
        <v>711.08482451902501</v>
      </c>
      <c r="G606" s="24">
        <v>603.79499999999996</v>
      </c>
      <c r="H606" s="193">
        <v>141.6</v>
      </c>
      <c r="I606" s="194">
        <v>124.99</v>
      </c>
      <c r="J606" s="193">
        <v>145.5</v>
      </c>
      <c r="K606" s="194">
        <v>127.09</v>
      </c>
      <c r="L606" s="195">
        <v>0.81453015408823026</v>
      </c>
      <c r="M606" s="195">
        <f t="shared" si="75"/>
        <v>0.79182075694389797</v>
      </c>
      <c r="N606" s="195">
        <f>F606/24/30/5</f>
        <v>0.19752356236639584</v>
      </c>
      <c r="O606" s="195">
        <f>G606/24/30/5</f>
        <v>0.16772083333333332</v>
      </c>
      <c r="P606" s="195">
        <v>0.98499999999999999</v>
      </c>
      <c r="Q606" s="195">
        <v>0.96731053999999994</v>
      </c>
      <c r="R606" s="196">
        <v>0.99</v>
      </c>
      <c r="S606" s="197">
        <v>0.99129999999999996</v>
      </c>
      <c r="T606" s="198">
        <v>1.4999999999999999E-2</v>
      </c>
      <c r="U606" s="197">
        <v>0</v>
      </c>
      <c r="V606" s="198">
        <v>0</v>
      </c>
      <c r="W606" s="197">
        <v>0</v>
      </c>
      <c r="X606" s="199">
        <f t="shared" si="74"/>
        <v>-2.4352683535543318E-2</v>
      </c>
    </row>
    <row r="607" spans="1:24">
      <c r="A607" s="189" t="s">
        <v>14</v>
      </c>
      <c r="B607" s="190" t="s">
        <v>67</v>
      </c>
      <c r="C607" s="190">
        <v>5</v>
      </c>
      <c r="D607" s="191">
        <v>6</v>
      </c>
      <c r="E607" s="192">
        <v>43039</v>
      </c>
      <c r="F607" s="24">
        <v>815.05032989697895</v>
      </c>
      <c r="G607" s="24">
        <v>706.67100000000005</v>
      </c>
      <c r="H607" s="193">
        <v>139.1</v>
      </c>
      <c r="I607" s="194">
        <v>128.03</v>
      </c>
      <c r="J607" s="193">
        <v>172.2</v>
      </c>
      <c r="K607" s="194">
        <v>150.87</v>
      </c>
      <c r="L607" s="195">
        <v>0.78886017218058357</v>
      </c>
      <c r="M607" s="195">
        <f t="shared" si="75"/>
        <v>0.7806621594750448</v>
      </c>
      <c r="N607" s="195">
        <f>F607/24/31/5</f>
        <v>0.21909955104757498</v>
      </c>
      <c r="O607" s="195">
        <f>G607/24/31/5</f>
        <v>0.18996532258064519</v>
      </c>
      <c r="P607" s="195">
        <v>0.98499999999999999</v>
      </c>
      <c r="Q607" s="195">
        <v>0.9719546</v>
      </c>
      <c r="R607" s="196">
        <v>0.99</v>
      </c>
      <c r="S607" s="197">
        <v>0.97399999999999998</v>
      </c>
      <c r="T607" s="198">
        <v>1.4999999999999999E-2</v>
      </c>
      <c r="U607" s="197">
        <v>0</v>
      </c>
      <c r="V607" s="198">
        <v>0</v>
      </c>
      <c r="W607" s="197">
        <v>0</v>
      </c>
      <c r="X607" s="199">
        <f t="shared" si="74"/>
        <v>-9.1049654102292044E-3</v>
      </c>
    </row>
    <row r="608" spans="1:24">
      <c r="A608" s="189" t="s">
        <v>14</v>
      </c>
      <c r="B608" s="190" t="s">
        <v>67</v>
      </c>
      <c r="C608" s="190">
        <v>5</v>
      </c>
      <c r="D608" s="191">
        <v>6</v>
      </c>
      <c r="E608" s="192">
        <v>43069</v>
      </c>
      <c r="F608" s="24">
        <v>721.38329439136942</v>
      </c>
      <c r="G608" s="24">
        <v>566.02499999999998</v>
      </c>
      <c r="H608" s="193">
        <v>108.1</v>
      </c>
      <c r="I608" s="194">
        <v>87.17</v>
      </c>
      <c r="J608" s="193">
        <v>152.1</v>
      </c>
      <c r="K608" s="194">
        <v>114.62</v>
      </c>
      <c r="L608" s="195">
        <v>0.79047040805541247</v>
      </c>
      <c r="M608" s="195">
        <f t="shared" si="75"/>
        <v>0.82304571627988121</v>
      </c>
      <c r="N608" s="195">
        <f>F608/24/30/5</f>
        <v>0.20038424844204705</v>
      </c>
      <c r="O608" s="195">
        <f>G608/24/30/5</f>
        <v>0.15722916666666664</v>
      </c>
      <c r="P608" s="195">
        <v>0.98499999999999999</v>
      </c>
      <c r="Q608" s="195">
        <v>0.97794199999999998</v>
      </c>
      <c r="R608" s="196">
        <v>0.99</v>
      </c>
      <c r="S608" s="197">
        <v>0.98</v>
      </c>
      <c r="T608" s="198">
        <v>1.4999999999999999E-2</v>
      </c>
      <c r="U608" s="197">
        <v>0</v>
      </c>
      <c r="V608" s="198">
        <v>0</v>
      </c>
      <c r="W608" s="197">
        <v>0</v>
      </c>
      <c r="X608" s="199">
        <f t="shared" si="74"/>
        <v>3.1055184041977046E-2</v>
      </c>
    </row>
    <row r="609" spans="1:24">
      <c r="A609" s="189" t="s">
        <v>14</v>
      </c>
      <c r="B609" s="190" t="s">
        <v>67</v>
      </c>
      <c r="C609" s="190">
        <v>5</v>
      </c>
      <c r="D609" s="191">
        <v>6</v>
      </c>
      <c r="E609" s="192">
        <v>43100</v>
      </c>
      <c r="F609" s="24">
        <v>606.13851248656192</v>
      </c>
      <c r="G609" s="24">
        <v>547.58100000000002</v>
      </c>
      <c r="H609" s="193">
        <v>89.9</v>
      </c>
      <c r="I609" s="194">
        <v>78.14</v>
      </c>
      <c r="J609" s="193">
        <v>129.6</v>
      </c>
      <c r="K609" s="194">
        <v>107.15</v>
      </c>
      <c r="L609" s="195">
        <v>0.77949911585206011</v>
      </c>
      <c r="M609" s="195">
        <f t="shared" si="75"/>
        <v>0.85173588427438174</v>
      </c>
      <c r="N609" s="195">
        <f>F609/24/31/5</f>
        <v>0.16294046034584997</v>
      </c>
      <c r="O609" s="195">
        <f>G609/24/31/5</f>
        <v>0.14719919354838712</v>
      </c>
      <c r="P609" s="195">
        <v>0.98499999999999999</v>
      </c>
      <c r="Q609" s="195">
        <v>0.99160000000000004</v>
      </c>
      <c r="R609" s="196">
        <v>0.99</v>
      </c>
      <c r="S609" s="197">
        <v>0.99160000000000004</v>
      </c>
      <c r="T609" s="198">
        <v>1.4999999999999999E-2</v>
      </c>
      <c r="U609" s="197">
        <v>0</v>
      </c>
      <c r="V609" s="198">
        <v>0</v>
      </c>
      <c r="W609" s="197">
        <v>0</v>
      </c>
      <c r="X609" s="199">
        <f t="shared" si="74"/>
        <v>7.6617831505534251E-2</v>
      </c>
    </row>
    <row r="610" spans="1:24">
      <c r="A610" s="189" t="s">
        <v>14</v>
      </c>
      <c r="B610" s="190" t="s">
        <v>67</v>
      </c>
      <c r="C610" s="190">
        <v>5</v>
      </c>
      <c r="D610" s="191">
        <v>6</v>
      </c>
      <c r="E610" s="192">
        <v>43131</v>
      </c>
      <c r="F610" s="24">
        <v>509.90911959604773</v>
      </c>
      <c r="G610" s="24">
        <v>484.30799999999999</v>
      </c>
      <c r="H610" s="193">
        <v>79.599999999999994</v>
      </c>
      <c r="I610" s="194">
        <v>71.33</v>
      </c>
      <c r="J610" s="193">
        <v>103.2</v>
      </c>
      <c r="K610" s="194">
        <v>96.31</v>
      </c>
      <c r="L610" s="195">
        <v>0.82763481424572438</v>
      </c>
      <c r="M610" s="195">
        <f t="shared" si="75"/>
        <v>0.83810611566815496</v>
      </c>
      <c r="N610" s="195">
        <f>F610/24/31/5</f>
        <v>0.1370723439774322</v>
      </c>
      <c r="O610" s="195">
        <f>G610/24/31/5</f>
        <v>0.13019032258064517</v>
      </c>
      <c r="P610" s="195">
        <v>0.98499999999999999</v>
      </c>
      <c r="Q610" s="195">
        <v>0.98080000000000001</v>
      </c>
      <c r="R610" s="196">
        <v>0.99</v>
      </c>
      <c r="S610" s="197">
        <v>0.9849</v>
      </c>
      <c r="T610" s="198">
        <v>1.4999999999999999E-2</v>
      </c>
      <c r="U610" s="197">
        <v>0</v>
      </c>
      <c r="V610" s="198">
        <v>0</v>
      </c>
      <c r="W610" s="197">
        <v>0</v>
      </c>
      <c r="X610" s="199">
        <f t="shared" si="74"/>
        <v>1.6556345404165174E-2</v>
      </c>
    </row>
    <row r="611" spans="1:24">
      <c r="A611" s="189" t="s">
        <v>14</v>
      </c>
      <c r="B611" s="190" t="s">
        <v>67</v>
      </c>
      <c r="C611" s="190">
        <v>5</v>
      </c>
      <c r="D611" s="191">
        <v>6</v>
      </c>
      <c r="E611" s="192">
        <v>43159</v>
      </c>
      <c r="F611" s="24">
        <v>669.4691981682081</v>
      </c>
      <c r="G611" s="24">
        <f>686193/1000</f>
        <v>686.19299999999998</v>
      </c>
      <c r="H611" s="193">
        <v>108.1</v>
      </c>
      <c r="I611" s="194">
        <v>108.25</v>
      </c>
      <c r="J611" s="193">
        <v>137.5</v>
      </c>
      <c r="K611" s="194">
        <v>138.13</v>
      </c>
      <c r="L611" s="195">
        <v>0.81555559393111998</v>
      </c>
      <c r="M611" s="195">
        <f t="shared" si="75"/>
        <v>0.82795554912039382</v>
      </c>
      <c r="N611" s="195">
        <f>F611/24/28/5</f>
        <v>0.19924678516910957</v>
      </c>
      <c r="O611" s="195">
        <f>G611/24/28/5</f>
        <v>0.20422410714285713</v>
      </c>
      <c r="P611" s="195">
        <v>0.98499999999999999</v>
      </c>
      <c r="Q611" s="195">
        <v>0.9385</v>
      </c>
      <c r="R611" s="196">
        <v>0.99</v>
      </c>
      <c r="S611" s="197">
        <v>0.97330000000000005</v>
      </c>
      <c r="T611" s="198">
        <v>1.4999999999999999E-2</v>
      </c>
      <c r="U611" s="197">
        <v>0</v>
      </c>
      <c r="V611" s="198">
        <v>0</v>
      </c>
      <c r="W611" s="197">
        <v>0</v>
      </c>
      <c r="X611" s="199">
        <f t="shared" si="74"/>
        <v>2.0398870814107628E-2</v>
      </c>
    </row>
    <row r="612" spans="1:24">
      <c r="A612" s="189" t="s">
        <v>14</v>
      </c>
      <c r="B612" s="190" t="s">
        <v>67</v>
      </c>
      <c r="C612" s="190">
        <v>5</v>
      </c>
      <c r="D612" s="191">
        <v>6</v>
      </c>
      <c r="E612" s="192">
        <v>43190</v>
      </c>
      <c r="F612" s="24">
        <v>898</v>
      </c>
      <c r="G612" s="24">
        <v>849.06</v>
      </c>
      <c r="H612" s="193">
        <v>161.4</v>
      </c>
      <c r="I612" s="194">
        <v>162.26</v>
      </c>
      <c r="J612" s="193">
        <v>187.8</v>
      </c>
      <c r="K612" s="194">
        <v>186.97</v>
      </c>
      <c r="L612" s="195">
        <v>0.80080060538540998</v>
      </c>
      <c r="M612" s="195">
        <f t="shared" si="75"/>
        <v>0.75685938920682461</v>
      </c>
      <c r="N612" s="195">
        <f>F612/24/31/5</f>
        <v>0.24139784946236556</v>
      </c>
      <c r="O612" s="195">
        <f>G612/24/31/5</f>
        <v>0.22824193548387095</v>
      </c>
      <c r="P612" s="195">
        <v>0.98499999999999999</v>
      </c>
      <c r="Q612" s="195">
        <v>0.92633659999999995</v>
      </c>
      <c r="R612" s="196">
        <v>0.99</v>
      </c>
      <c r="S612" s="197">
        <v>0.99950000000000006</v>
      </c>
      <c r="T612" s="198">
        <v>1.4999999999999999E-2</v>
      </c>
      <c r="U612" s="197">
        <v>0</v>
      </c>
      <c r="V612" s="198">
        <v>0</v>
      </c>
      <c r="W612" s="197">
        <v>0</v>
      </c>
      <c r="X612" s="199">
        <f t="shared" si="74"/>
        <v>-5.0079291100089907E-2</v>
      </c>
    </row>
    <row r="613" spans="1:24">
      <c r="A613" s="189" t="s">
        <v>14</v>
      </c>
      <c r="B613" s="190" t="s">
        <v>67</v>
      </c>
      <c r="C613" s="190">
        <v>5</v>
      </c>
      <c r="D613" s="191">
        <v>6</v>
      </c>
      <c r="E613" s="192">
        <v>43220</v>
      </c>
      <c r="F613" s="24">
        <v>873.50033665575188</v>
      </c>
      <c r="G613" s="24">
        <v>727.28899999999999</v>
      </c>
      <c r="H613" s="193">
        <v>190.2</v>
      </c>
      <c r="I613" s="194">
        <v>153.721</v>
      </c>
      <c r="J613" s="193">
        <v>194</v>
      </c>
      <c r="K613" s="194">
        <v>157.76</v>
      </c>
      <c r="L613" s="195">
        <f>F613/D613/J613/P613</f>
        <v>0.76185770810940034</v>
      </c>
      <c r="M613" s="195">
        <f>G613/D613/K613/Q613</f>
        <v>0.79737292469892351</v>
      </c>
      <c r="N613" s="195">
        <f>F613/24/DAY(E613)/C613</f>
        <v>0.24263898240437548</v>
      </c>
      <c r="O613" s="195">
        <f>G613/24/DAY(E613)/C613</f>
        <v>0.20202472222222223</v>
      </c>
      <c r="P613" s="195">
        <v>0.98499999999999999</v>
      </c>
      <c r="Q613" s="195">
        <v>0.96360132000000009</v>
      </c>
      <c r="R613" s="196">
        <v>0.99</v>
      </c>
      <c r="S613" s="197">
        <v>0.97570000000000001</v>
      </c>
      <c r="T613" s="198">
        <v>1.4999999999999999E-2</v>
      </c>
      <c r="U613" s="197">
        <v>0</v>
      </c>
      <c r="V613" s="198">
        <v>0</v>
      </c>
      <c r="W613" s="197">
        <v>0</v>
      </c>
      <c r="X613" s="199">
        <f t="shared" si="74"/>
        <v>1.941857098730726E-2</v>
      </c>
    </row>
    <row r="614" spans="1:24">
      <c r="A614" s="189" t="s">
        <v>14</v>
      </c>
      <c r="B614" s="190" t="s">
        <v>67</v>
      </c>
      <c r="C614" s="190">
        <v>5</v>
      </c>
      <c r="D614" s="191">
        <v>6</v>
      </c>
      <c r="E614" s="192">
        <v>43251</v>
      </c>
      <c r="F614" s="24">
        <v>884.87786204916699</v>
      </c>
      <c r="G614" s="24">
        <f>819111/1000</f>
        <v>819.11099999999999</v>
      </c>
      <c r="H614" s="193">
        <v>197</v>
      </c>
      <c r="I614" s="194">
        <v>170.5</v>
      </c>
      <c r="J614" s="193">
        <v>197.7</v>
      </c>
      <c r="K614" s="194">
        <v>172.13</v>
      </c>
      <c r="L614" s="195">
        <f t="shared" ref="L614:L677" si="76">F614/D614/J614/P614</f>
        <v>0.75733700846465923</v>
      </c>
      <c r="M614" s="195">
        <f t="shared" ref="M614:M677" si="77">G614/D614/K614/Q614</f>
        <v>0.79549926139307936</v>
      </c>
      <c r="N614" s="195">
        <f t="shared" ref="N614:N677" si="78">F614/24/DAY(E614)/C614</f>
        <v>0.23787039302396962</v>
      </c>
      <c r="O614" s="195">
        <f t="shared" ref="O614:O677" si="79">G614/24/DAY(E614)/C614</f>
        <v>0.22019112903225807</v>
      </c>
      <c r="P614" s="195">
        <v>0.98499999999999999</v>
      </c>
      <c r="Q614" s="195">
        <v>0.997</v>
      </c>
      <c r="R614" s="196">
        <v>0.99</v>
      </c>
      <c r="S614" s="197">
        <v>0.999</v>
      </c>
      <c r="T614" s="198">
        <v>1.4999999999999999E-2</v>
      </c>
      <c r="U614" s="197">
        <v>0</v>
      </c>
      <c r="V614" s="198">
        <v>0</v>
      </c>
      <c r="W614" s="197">
        <v>0</v>
      </c>
      <c r="X614" s="199">
        <f t="shared" si="74"/>
        <v>5.501428413992393E-2</v>
      </c>
    </row>
    <row r="615" spans="1:24">
      <c r="A615" s="189" t="s">
        <v>14</v>
      </c>
      <c r="B615" s="190" t="s">
        <v>67</v>
      </c>
      <c r="C615" s="190">
        <v>5</v>
      </c>
      <c r="D615" s="191">
        <v>6</v>
      </c>
      <c r="E615" s="192">
        <v>43281</v>
      </c>
      <c r="F615" s="24">
        <v>794.59169279819457</v>
      </c>
      <c r="G615" s="24">
        <f>783786/1000</f>
        <v>783.78599999999994</v>
      </c>
      <c r="H615" s="193">
        <v>178.9</v>
      </c>
      <c r="I615" s="194">
        <f>5.29*30</f>
        <v>158.69999999999999</v>
      </c>
      <c r="J615" s="193">
        <v>177.2</v>
      </c>
      <c r="K615" s="194">
        <f>5.31*30</f>
        <v>159.29999999999998</v>
      </c>
      <c r="L615" s="195">
        <f t="shared" si="76"/>
        <v>0.75873972338863482</v>
      </c>
      <c r="M615" s="195">
        <f t="shared" si="77"/>
        <v>0.82789640314944268</v>
      </c>
      <c r="N615" s="195">
        <f t="shared" si="78"/>
        <v>0.22071991466616514</v>
      </c>
      <c r="O615" s="195">
        <f t="shared" si="79"/>
        <v>0.21771833333333332</v>
      </c>
      <c r="P615" s="195">
        <v>0.98499999999999999</v>
      </c>
      <c r="Q615" s="195">
        <v>0.99050000000000005</v>
      </c>
      <c r="R615" s="196">
        <v>0.99</v>
      </c>
      <c r="S615" s="197">
        <v>0.99109999999999998</v>
      </c>
      <c r="T615" s="198">
        <v>1.4999999999999999E-2</v>
      </c>
      <c r="U615" s="197">
        <v>0</v>
      </c>
      <c r="V615" s="198">
        <v>0</v>
      </c>
      <c r="W615" s="197">
        <v>0</v>
      </c>
      <c r="X615" s="199">
        <f t="shared" si="74"/>
        <v>8.7416750551162381E-2</v>
      </c>
    </row>
    <row r="616" spans="1:24">
      <c r="A616" s="189" t="s">
        <v>14</v>
      </c>
      <c r="B616" s="190" t="s">
        <v>67</v>
      </c>
      <c r="C616" s="190">
        <v>5</v>
      </c>
      <c r="D616" s="191">
        <v>6</v>
      </c>
      <c r="E616" s="192">
        <v>43312</v>
      </c>
      <c r="F616" s="24">
        <v>703.20447270269779</v>
      </c>
      <c r="G616" s="24">
        <f>639015/1000</f>
        <v>639.01499999999999</v>
      </c>
      <c r="H616" s="193">
        <v>155.5</v>
      </c>
      <c r="I616" s="194">
        <v>129.88999999999999</v>
      </c>
      <c r="J616" s="193">
        <v>154.6</v>
      </c>
      <c r="K616" s="194">
        <v>127.76</v>
      </c>
      <c r="L616" s="195">
        <f t="shared" si="76"/>
        <v>0.76963472429554336</v>
      </c>
      <c r="M616" s="195">
        <f t="shared" si="77"/>
        <v>0.84536437190790426</v>
      </c>
      <c r="N616" s="195">
        <f t="shared" si="78"/>
        <v>0.18903346040395103</v>
      </c>
      <c r="O616" s="195">
        <f t="shared" si="79"/>
        <v>0.17177822580645161</v>
      </c>
      <c r="P616" s="195">
        <v>0.98499999999999999</v>
      </c>
      <c r="Q616" s="195">
        <v>0.98609999999999998</v>
      </c>
      <c r="R616" s="196">
        <v>0.99</v>
      </c>
      <c r="S616" s="197">
        <v>0.99009999999999998</v>
      </c>
      <c r="T616" s="198">
        <v>1.4999999999999999E-2</v>
      </c>
      <c r="U616" s="197">
        <v>0</v>
      </c>
      <c r="V616" s="198">
        <v>0</v>
      </c>
      <c r="W616" s="197">
        <v>0</v>
      </c>
      <c r="X616" s="199">
        <f t="shared" si="74"/>
        <v>8.232793718637843E-2</v>
      </c>
    </row>
    <row r="617" spans="1:24">
      <c r="A617" s="189" t="s">
        <v>14</v>
      </c>
      <c r="B617" s="190" t="s">
        <v>67</v>
      </c>
      <c r="C617" s="190">
        <v>5</v>
      </c>
      <c r="D617" s="191">
        <v>6</v>
      </c>
      <c r="E617" s="192">
        <v>43343</v>
      </c>
      <c r="F617" s="24">
        <v>667.69558296679691</v>
      </c>
      <c r="G617" s="24">
        <f>555228/1000</f>
        <v>555.22799999999995</v>
      </c>
      <c r="H617" s="193">
        <v>145.4</v>
      </c>
      <c r="I617" s="194">
        <v>112.6</v>
      </c>
      <c r="J617" s="193">
        <v>146.30000000000001</v>
      </c>
      <c r="K617" s="194">
        <v>111.44</v>
      </c>
      <c r="L617" s="195">
        <f t="shared" si="76"/>
        <v>0.77223004785475091</v>
      </c>
      <c r="M617" s="195">
        <f t="shared" si="77"/>
        <v>0.8513266999928315</v>
      </c>
      <c r="N617" s="195">
        <f t="shared" si="78"/>
        <v>0.17948805993731098</v>
      </c>
      <c r="O617" s="195">
        <f t="shared" si="79"/>
        <v>0.14925483870967743</v>
      </c>
      <c r="P617" s="195">
        <v>0.98499999999999999</v>
      </c>
      <c r="Q617" s="195">
        <v>0.97540000000000004</v>
      </c>
      <c r="R617" s="196">
        <v>0.99</v>
      </c>
      <c r="S617" s="197">
        <v>0.99939999999999996</v>
      </c>
      <c r="T617" s="198">
        <v>1.4999999999999999E-2</v>
      </c>
      <c r="U617" s="197">
        <v>0</v>
      </c>
      <c r="V617" s="198">
        <v>0</v>
      </c>
      <c r="W617" s="197">
        <v>0</v>
      </c>
      <c r="X617" s="199">
        <f t="shared" si="74"/>
        <v>6.9836105674346061E-2</v>
      </c>
    </row>
    <row r="618" spans="1:24">
      <c r="A618" s="189" t="s">
        <v>14</v>
      </c>
      <c r="B618" s="190" t="s">
        <v>67</v>
      </c>
      <c r="C618" s="190">
        <v>5</v>
      </c>
      <c r="D618" s="191">
        <v>6</v>
      </c>
      <c r="E618" s="192">
        <v>43373</v>
      </c>
      <c r="F618" s="24">
        <v>665.30997280366148</v>
      </c>
      <c r="G618" s="24">
        <f>596019/1000</f>
        <v>596.01900000000001</v>
      </c>
      <c r="H618" s="193">
        <v>141.6</v>
      </c>
      <c r="I618" s="194">
        <v>118.77</v>
      </c>
      <c r="J618" s="193">
        <v>145.5</v>
      </c>
      <c r="K618" s="194">
        <v>121.43</v>
      </c>
      <c r="L618" s="195">
        <f t="shared" si="76"/>
        <v>0.77370171449597513</v>
      </c>
      <c r="M618" s="195">
        <f t="shared" si="77"/>
        <v>0.84474976242595501</v>
      </c>
      <c r="N618" s="195">
        <f t="shared" si="78"/>
        <v>0.18480832577879486</v>
      </c>
      <c r="O618" s="195">
        <f t="shared" si="79"/>
        <v>0.16556083333333332</v>
      </c>
      <c r="P618" s="195">
        <v>0.98499999999999999</v>
      </c>
      <c r="Q618" s="195">
        <v>0.96840000000000004</v>
      </c>
      <c r="R618" s="196">
        <v>0.99</v>
      </c>
      <c r="S618" s="197">
        <v>0.98180000000000001</v>
      </c>
      <c r="T618" s="198">
        <v>1.4999999999999999E-2</v>
      </c>
      <c r="U618" s="197">
        <v>0</v>
      </c>
      <c r="V618" s="198">
        <v>0</v>
      </c>
      <c r="W618" s="197">
        <v>0</v>
      </c>
      <c r="X618" s="199">
        <f t="shared" si="74"/>
        <v>6.1281147805319902E-2</v>
      </c>
    </row>
    <row r="619" spans="1:24">
      <c r="A619" s="189" t="s">
        <v>14</v>
      </c>
      <c r="B619" s="190" t="s">
        <v>67</v>
      </c>
      <c r="C619" s="190">
        <v>5</v>
      </c>
      <c r="D619" s="191">
        <v>6</v>
      </c>
      <c r="E619" s="192">
        <v>43404</v>
      </c>
      <c r="F619" s="24">
        <v>762.84472678108409</v>
      </c>
      <c r="G619" s="24">
        <f>801405/1000</f>
        <v>801.40499999999997</v>
      </c>
      <c r="H619" s="193">
        <v>139.1</v>
      </c>
      <c r="I619" s="194">
        <f>4.44*31</f>
        <v>137.64000000000001</v>
      </c>
      <c r="J619" s="193">
        <v>172.2</v>
      </c>
      <c r="K619" s="194">
        <f>5.5*31</f>
        <v>170.5</v>
      </c>
      <c r="L619" s="195">
        <f t="shared" si="76"/>
        <v>0.74957573708323666</v>
      </c>
      <c r="M619" s="195">
        <f t="shared" si="77"/>
        <v>0.80215758424553907</v>
      </c>
      <c r="N619" s="195">
        <f t="shared" si="78"/>
        <v>0.20506578676910864</v>
      </c>
      <c r="O619" s="195">
        <f t="shared" si="79"/>
        <v>0.21543145161290322</v>
      </c>
      <c r="P619" s="195">
        <v>0.98499999999999999</v>
      </c>
      <c r="Q619" s="195">
        <v>0.97660000000000002</v>
      </c>
      <c r="R619" s="196">
        <v>0.99</v>
      </c>
      <c r="S619" s="197">
        <v>0.97660000000000002</v>
      </c>
      <c r="T619" s="198">
        <v>1.4999999999999999E-2</v>
      </c>
      <c r="U619" s="197">
        <v>0</v>
      </c>
      <c r="V619" s="198">
        <v>0</v>
      </c>
      <c r="W619" s="197">
        <v>0</v>
      </c>
      <c r="X619" s="199">
        <f t="shared" si="74"/>
        <v>6.0420238917923474E-2</v>
      </c>
    </row>
    <row r="620" spans="1:24">
      <c r="A620" s="189" t="s">
        <v>14</v>
      </c>
      <c r="B620" s="190" t="s">
        <v>67</v>
      </c>
      <c r="C620" s="190">
        <v>5</v>
      </c>
      <c r="D620" s="191">
        <v>6</v>
      </c>
      <c r="E620" s="192">
        <v>43434</v>
      </c>
      <c r="F620" s="24">
        <v>675.03592193029067</v>
      </c>
      <c r="G620" s="24">
        <f>621432/1000</f>
        <v>621.43200000000002</v>
      </c>
      <c r="H620" s="193">
        <v>108.1</v>
      </c>
      <c r="I620" s="194">
        <f>3.29*30</f>
        <v>98.7</v>
      </c>
      <c r="J620" s="193">
        <v>152.1</v>
      </c>
      <c r="K620" s="194">
        <f>4.5*30</f>
        <v>135</v>
      </c>
      <c r="L620" s="195">
        <f t="shared" si="76"/>
        <v>0.75094856101470631</v>
      </c>
      <c r="M620" s="195">
        <f t="shared" si="77"/>
        <v>0.77237491190979568</v>
      </c>
      <c r="N620" s="195">
        <f t="shared" si="78"/>
        <v>0.18750997831396962</v>
      </c>
      <c r="O620" s="195">
        <f t="shared" si="79"/>
        <v>0.17262</v>
      </c>
      <c r="P620" s="195">
        <v>0.98499999999999999</v>
      </c>
      <c r="Q620" s="195">
        <v>0.99329999999999996</v>
      </c>
      <c r="R620" s="196">
        <v>0.99</v>
      </c>
      <c r="S620" s="197">
        <v>0.99990000000000001</v>
      </c>
      <c r="T620" s="198">
        <v>1.4999999999999999E-2</v>
      </c>
      <c r="U620" s="197">
        <v>0</v>
      </c>
      <c r="V620" s="198">
        <v>0</v>
      </c>
      <c r="W620" s="197">
        <v>0</v>
      </c>
      <c r="X620" s="199">
        <f t="shared" si="74"/>
        <v>3.301704379032766E-2</v>
      </c>
    </row>
    <row r="621" spans="1:24">
      <c r="A621" s="189" t="s">
        <v>14</v>
      </c>
      <c r="B621" s="190" t="s">
        <v>67</v>
      </c>
      <c r="C621" s="190">
        <v>5</v>
      </c>
      <c r="D621" s="191">
        <v>6</v>
      </c>
      <c r="E621" s="192">
        <v>43465</v>
      </c>
      <c r="F621" s="24">
        <v>567.27057052249859</v>
      </c>
      <c r="G621" s="24">
        <f>570207/1000</f>
        <v>570.20699999999999</v>
      </c>
      <c r="H621" s="193">
        <v>89.9</v>
      </c>
      <c r="I621" s="194">
        <v>88.04</v>
      </c>
      <c r="J621" s="193">
        <v>129.6</v>
      </c>
      <c r="K621" s="194">
        <v>126.17</v>
      </c>
      <c r="L621" s="195">
        <f t="shared" si="76"/>
        <v>0.74062398232032267</v>
      </c>
      <c r="M621" s="195">
        <f t="shared" si="77"/>
        <v>0.79286926994906615</v>
      </c>
      <c r="N621" s="195">
        <f t="shared" si="78"/>
        <v>0.15249208885013404</v>
      </c>
      <c r="O621" s="195">
        <f t="shared" si="79"/>
        <v>0.15328145161290321</v>
      </c>
      <c r="P621" s="195">
        <v>0.98499999999999999</v>
      </c>
      <c r="Q621" s="195">
        <v>0.95</v>
      </c>
      <c r="R621" s="196">
        <v>0.99</v>
      </c>
      <c r="S621" s="197">
        <v>0.99829999999999997</v>
      </c>
      <c r="T621" s="198">
        <v>1.4999999999999999E-2</v>
      </c>
      <c r="U621" s="197">
        <v>0</v>
      </c>
      <c r="V621" s="198">
        <v>0</v>
      </c>
      <c r="W621" s="197">
        <v>0</v>
      </c>
      <c r="X621" s="199">
        <f t="shared" si="74"/>
        <v>3.1642467180658107E-2</v>
      </c>
    </row>
    <row r="622" spans="1:24">
      <c r="A622" s="189" t="s">
        <v>14</v>
      </c>
      <c r="B622" s="190" t="s">
        <v>67</v>
      </c>
      <c r="C622" s="190">
        <v>5</v>
      </c>
      <c r="D622" s="191">
        <v>6</v>
      </c>
      <c r="E622" s="192">
        <v>43496</v>
      </c>
      <c r="F622" s="24">
        <v>477.20140004213414</v>
      </c>
      <c r="G622" s="24">
        <f>565827/1000</f>
        <v>565.827</v>
      </c>
      <c r="H622" s="193">
        <v>79.599999999999994</v>
      </c>
      <c r="I622" s="194">
        <v>87.11</v>
      </c>
      <c r="J622" s="193">
        <v>103.2</v>
      </c>
      <c r="K622" s="194">
        <v>121.52</v>
      </c>
      <c r="L622" s="195">
        <f t="shared" si="76"/>
        <v>0.78241024941652915</v>
      </c>
      <c r="M622" s="195">
        <f t="shared" si="77"/>
        <v>0.7899439952244427</v>
      </c>
      <c r="N622" s="195">
        <f t="shared" si="78"/>
        <v>0.12827994624788552</v>
      </c>
      <c r="O622" s="195">
        <f t="shared" si="79"/>
        <v>0.15210403225806451</v>
      </c>
      <c r="P622" s="195">
        <v>0.98499999999999999</v>
      </c>
      <c r="Q622" s="195">
        <v>0.98240000000000005</v>
      </c>
      <c r="R622" s="196">
        <v>0.99</v>
      </c>
      <c r="S622" s="197">
        <v>0.99409999999999998</v>
      </c>
      <c r="T622" s="198">
        <v>1.4999999999999999E-2</v>
      </c>
      <c r="U622" s="197">
        <v>0</v>
      </c>
      <c r="V622" s="198">
        <v>0</v>
      </c>
      <c r="W622" s="197">
        <v>0</v>
      </c>
      <c r="X622" s="199">
        <f t="shared" si="74"/>
        <v>8.2001087190721744E-3</v>
      </c>
    </row>
    <row r="623" spans="1:24">
      <c r="A623" s="189" t="s">
        <v>14</v>
      </c>
      <c r="B623" s="190" t="s">
        <v>67</v>
      </c>
      <c r="C623" s="190">
        <v>5</v>
      </c>
      <c r="D623" s="191">
        <v>6</v>
      </c>
      <c r="E623" s="192">
        <v>43524</v>
      </c>
      <c r="F623" s="24">
        <v>626.65207765242167</v>
      </c>
      <c r="G623" s="24">
        <v>514.51199999999994</v>
      </c>
      <c r="H623" s="193">
        <v>108.1</v>
      </c>
      <c r="I623" s="194">
        <v>88.759999999999991</v>
      </c>
      <c r="J623" s="193">
        <v>137.5</v>
      </c>
      <c r="K623" s="194">
        <v>108.64</v>
      </c>
      <c r="L623" s="195">
        <f t="shared" si="76"/>
        <v>0.77114545780947141</v>
      </c>
      <c r="M623" s="195">
        <f t="shared" si="77"/>
        <v>0.84212368839962237</v>
      </c>
      <c r="N623" s="195">
        <f t="shared" si="78"/>
        <v>0.1865035945394112</v>
      </c>
      <c r="O623" s="195">
        <f t="shared" si="79"/>
        <v>0.15312857142857142</v>
      </c>
      <c r="P623" s="195">
        <v>0.98499999999999999</v>
      </c>
      <c r="Q623" s="195">
        <v>0.93730000000000002</v>
      </c>
      <c r="R623" s="196">
        <v>0.99</v>
      </c>
      <c r="S623" s="197">
        <v>0.96640000000000004</v>
      </c>
      <c r="T623" s="198">
        <v>1.4999999999999999E-2</v>
      </c>
      <c r="U623" s="197">
        <v>0</v>
      </c>
      <c r="V623" s="198">
        <v>0</v>
      </c>
      <c r="W623" s="197">
        <v>0</v>
      </c>
      <c r="X623" s="199">
        <f t="shared" si="74"/>
        <v>3.0939810624079689E-2</v>
      </c>
    </row>
    <row r="624" spans="1:24">
      <c r="A624" s="189" t="s">
        <v>14</v>
      </c>
      <c r="B624" s="190" t="s">
        <v>67</v>
      </c>
      <c r="C624" s="190">
        <v>5</v>
      </c>
      <c r="D624" s="191">
        <v>6</v>
      </c>
      <c r="E624" s="192">
        <v>43555</v>
      </c>
      <c r="F624" s="24">
        <v>840.28346776120202</v>
      </c>
      <c r="G624" s="24">
        <f>850725/1000</f>
        <v>850.72500000000002</v>
      </c>
      <c r="H624" s="193">
        <v>161.4</v>
      </c>
      <c r="I624" s="194">
        <v>155.55000000000001</v>
      </c>
      <c r="J624" s="193">
        <v>187.8</v>
      </c>
      <c r="K624" s="194">
        <v>178.62</v>
      </c>
      <c r="L624" s="195">
        <f t="shared" si="76"/>
        <v>0.75708170278818598</v>
      </c>
      <c r="M624" s="195">
        <f t="shared" si="77"/>
        <v>0.80367934393850538</v>
      </c>
      <c r="N624" s="195">
        <f t="shared" si="78"/>
        <v>0.22588265262397905</v>
      </c>
      <c r="O624" s="195">
        <f t="shared" si="79"/>
        <v>0.22868951612903224</v>
      </c>
      <c r="P624" s="195">
        <v>0.98499999999999999</v>
      </c>
      <c r="Q624" s="195">
        <v>0.98770000000000002</v>
      </c>
      <c r="R624" s="196">
        <v>0.99</v>
      </c>
      <c r="S624" s="197">
        <v>0.99419999999999997</v>
      </c>
      <c r="T624" s="198">
        <v>1.4999999999999999E-2</v>
      </c>
      <c r="U624" s="197">
        <v>0</v>
      </c>
      <c r="V624" s="198">
        <v>0</v>
      </c>
      <c r="W624" s="197">
        <v>0</v>
      </c>
      <c r="X624" s="199">
        <f t="shared" si="74"/>
        <v>6.1307991293442776E-2</v>
      </c>
    </row>
    <row r="625" spans="1:24">
      <c r="A625" s="189" t="s">
        <v>14</v>
      </c>
      <c r="B625" s="190" t="s">
        <v>67</v>
      </c>
      <c r="C625" s="190">
        <v>5</v>
      </c>
      <c r="D625" s="191">
        <v>6</v>
      </c>
      <c r="E625" s="192">
        <v>43585</v>
      </c>
      <c r="F625" s="24">
        <v>869.13283497247312</v>
      </c>
      <c r="G625" s="24">
        <f>827004/1000</f>
        <v>827.00400000000002</v>
      </c>
      <c r="H625" s="193">
        <v>190.2</v>
      </c>
      <c r="I625" s="194">
        <f>5.8*30</f>
        <v>174</v>
      </c>
      <c r="J625" s="193">
        <v>194</v>
      </c>
      <c r="K625" s="194">
        <f>6*30</f>
        <v>180</v>
      </c>
      <c r="L625" s="195">
        <f t="shared" si="76"/>
        <v>0.75804841956885338</v>
      </c>
      <c r="M625" s="195">
        <f t="shared" si="77"/>
        <v>0.77122010720560419</v>
      </c>
      <c r="N625" s="195">
        <f t="shared" si="78"/>
        <v>0.24142578749235363</v>
      </c>
      <c r="O625" s="195">
        <f t="shared" si="79"/>
        <v>0.22972333333333333</v>
      </c>
      <c r="P625" s="195">
        <v>0.98499999999999999</v>
      </c>
      <c r="Q625" s="195">
        <v>0.9929</v>
      </c>
      <c r="R625" s="196">
        <v>0.99</v>
      </c>
      <c r="S625" s="197">
        <v>0.99560000000000004</v>
      </c>
      <c r="T625" s="198">
        <v>1.4999999999999999E-2</v>
      </c>
      <c r="U625" s="197">
        <v>0</v>
      </c>
      <c r="V625" s="198">
        <v>0</v>
      </c>
      <c r="W625" s="197">
        <v>0</v>
      </c>
      <c r="X625" s="199">
        <f t="shared" si="74"/>
        <v>2.3692685898014654E-2</v>
      </c>
    </row>
    <row r="626" spans="1:24">
      <c r="A626" s="189" t="s">
        <v>14</v>
      </c>
      <c r="B626" s="190" t="s">
        <v>67</v>
      </c>
      <c r="C626" s="190">
        <v>5</v>
      </c>
      <c r="D626" s="191">
        <v>6</v>
      </c>
      <c r="E626" s="192">
        <v>43616</v>
      </c>
      <c r="F626" s="24">
        <v>880.45347273892116</v>
      </c>
      <c r="G626" s="24">
        <f>844821/1000</f>
        <v>844.82100000000003</v>
      </c>
      <c r="H626" s="193">
        <v>197</v>
      </c>
      <c r="I626" s="194">
        <v>192.85</v>
      </c>
      <c r="J626" s="193">
        <v>197.7</v>
      </c>
      <c r="K626" s="194">
        <v>194.47</v>
      </c>
      <c r="L626" s="195">
        <f t="shared" si="76"/>
        <v>0.75355032342233597</v>
      </c>
      <c r="M626" s="195">
        <f t="shared" si="77"/>
        <v>0.74673796054979591</v>
      </c>
      <c r="N626" s="195">
        <f t="shared" si="78"/>
        <v>0.23668104105884979</v>
      </c>
      <c r="O626" s="195">
        <f t="shared" si="79"/>
        <v>0.22710241935483871</v>
      </c>
      <c r="P626" s="195">
        <v>0.98499999999999999</v>
      </c>
      <c r="Q626" s="195">
        <v>0.96960000000000002</v>
      </c>
      <c r="R626" s="196">
        <v>0.99</v>
      </c>
      <c r="S626" s="197">
        <v>0.9859</v>
      </c>
      <c r="T626" s="198">
        <v>1.4999999999999999E-2</v>
      </c>
      <c r="U626" s="197">
        <v>0</v>
      </c>
      <c r="V626" s="198">
        <v>0</v>
      </c>
      <c r="W626" s="197">
        <v>0</v>
      </c>
      <c r="X626" s="199">
        <f t="shared" si="74"/>
        <v>-2.4132705711203073E-2</v>
      </c>
    </row>
    <row r="627" spans="1:24">
      <c r="A627" s="189" t="s">
        <v>14</v>
      </c>
      <c r="B627" s="190" t="s">
        <v>67</v>
      </c>
      <c r="C627" s="190">
        <v>5</v>
      </c>
      <c r="D627" s="191">
        <v>6</v>
      </c>
      <c r="E627" s="192">
        <v>43646</v>
      </c>
      <c r="F627" s="24">
        <v>790.61873433420351</v>
      </c>
      <c r="G627" s="24">
        <f>827802/1000</f>
        <v>827.80200000000002</v>
      </c>
      <c r="H627" s="193">
        <v>178.9</v>
      </c>
      <c r="I627" s="194">
        <v>190.2</v>
      </c>
      <c r="J627" s="193">
        <v>177.2</v>
      </c>
      <c r="K627" s="194">
        <v>187.5</v>
      </c>
      <c r="L627" s="195">
        <f t="shared" si="76"/>
        <v>0.75494602477169159</v>
      </c>
      <c r="M627" s="195">
        <f t="shared" si="77"/>
        <v>0.73707703095261956</v>
      </c>
      <c r="N627" s="195">
        <f t="shared" si="78"/>
        <v>0.2196163150928343</v>
      </c>
      <c r="O627" s="195">
        <f t="shared" si="79"/>
        <v>0.22994500000000001</v>
      </c>
      <c r="P627" s="195">
        <v>0.98499999999999999</v>
      </c>
      <c r="Q627" s="195">
        <v>0.99829999999999997</v>
      </c>
      <c r="R627" s="196">
        <v>0.99</v>
      </c>
      <c r="S627" s="197">
        <v>0.99909999999999999</v>
      </c>
      <c r="T627" s="198">
        <v>1.4999999999999999E-2</v>
      </c>
      <c r="U627" s="197">
        <v>0</v>
      </c>
      <c r="V627" s="198">
        <v>0</v>
      </c>
      <c r="W627" s="197">
        <v>0</v>
      </c>
      <c r="X627" s="199">
        <f t="shared" si="74"/>
        <v>-1.1095820677103241E-2</v>
      </c>
    </row>
    <row r="628" spans="1:24">
      <c r="A628" s="189" t="s">
        <v>14</v>
      </c>
      <c r="B628" s="190" t="s">
        <v>67</v>
      </c>
      <c r="C628" s="190">
        <v>5</v>
      </c>
      <c r="D628" s="191">
        <v>6</v>
      </c>
      <c r="E628" s="192">
        <v>43677</v>
      </c>
      <c r="F628" s="24">
        <v>699.68845033918421</v>
      </c>
      <c r="G628" s="24">
        <v>636.17999999999995</v>
      </c>
      <c r="H628" s="193">
        <v>155.5</v>
      </c>
      <c r="I628" s="194">
        <v>142.29</v>
      </c>
      <c r="J628" s="193">
        <v>154.6</v>
      </c>
      <c r="K628" s="194">
        <v>141.04999999999998</v>
      </c>
      <c r="L628" s="195">
        <f t="shared" si="76"/>
        <v>0.76578655067406554</v>
      </c>
      <c r="M628" s="195">
        <f t="shared" si="77"/>
        <v>0.79412555302497578</v>
      </c>
      <c r="N628" s="195">
        <f t="shared" si="78"/>
        <v>0.18808829310193126</v>
      </c>
      <c r="O628" s="195">
        <f t="shared" si="79"/>
        <v>0.17101612903225805</v>
      </c>
      <c r="P628" s="195">
        <v>0.98499999999999999</v>
      </c>
      <c r="Q628" s="195">
        <v>0.9466</v>
      </c>
      <c r="R628" s="196">
        <v>0.99</v>
      </c>
      <c r="S628" s="197">
        <v>0.98119999999999996</v>
      </c>
      <c r="T628" s="198">
        <v>1.4999999999999999E-2</v>
      </c>
      <c r="U628" s="197">
        <v>0</v>
      </c>
      <c r="V628" s="198">
        <v>0</v>
      </c>
      <c r="W628" s="197">
        <v>0</v>
      </c>
      <c r="X628" s="199">
        <f t="shared" si="74"/>
        <v>-3.1212184035209756E-3</v>
      </c>
    </row>
    <row r="629" spans="1:24">
      <c r="A629" s="189" t="s">
        <v>14</v>
      </c>
      <c r="B629" s="190" t="s">
        <v>67</v>
      </c>
      <c r="C629" s="190">
        <v>5</v>
      </c>
      <c r="D629" s="191">
        <v>6</v>
      </c>
      <c r="E629" s="192">
        <v>43708</v>
      </c>
      <c r="F629" s="24">
        <v>664.35710505196289</v>
      </c>
      <c r="G629" s="24">
        <f>626253/1000</f>
        <v>626.25300000000004</v>
      </c>
      <c r="H629" s="193">
        <v>145.4</v>
      </c>
      <c r="I629" s="194">
        <v>139</v>
      </c>
      <c r="J629" s="193">
        <v>146.30000000000001</v>
      </c>
      <c r="K629" s="194">
        <v>140</v>
      </c>
      <c r="L629" s="195">
        <f t="shared" si="76"/>
        <v>0.76836889761547711</v>
      </c>
      <c r="M629" s="195">
        <f t="shared" si="77"/>
        <v>0.79262097141642118</v>
      </c>
      <c r="N629" s="195">
        <f t="shared" si="78"/>
        <v>0.17859061963762443</v>
      </c>
      <c r="O629" s="195">
        <f t="shared" si="79"/>
        <v>0.16834758064516128</v>
      </c>
      <c r="P629" s="195">
        <v>0.98499999999999999</v>
      </c>
      <c r="Q629" s="195">
        <v>0.94059999999999999</v>
      </c>
      <c r="R629" s="196">
        <v>0.99</v>
      </c>
      <c r="S629" s="197">
        <v>0.98119999999999996</v>
      </c>
      <c r="T629" s="198">
        <v>1.4999999999999999E-2</v>
      </c>
      <c r="U629" s="197">
        <v>0</v>
      </c>
      <c r="V629" s="198">
        <v>0</v>
      </c>
      <c r="W629" s="197">
        <v>0</v>
      </c>
      <c r="X629" s="199">
        <f t="shared" si="74"/>
        <v>-1.4292653476330353E-2</v>
      </c>
    </row>
    <row r="630" spans="1:24">
      <c r="A630" s="189" t="s">
        <v>14</v>
      </c>
      <c r="B630" s="190" t="s">
        <v>67</v>
      </c>
      <c r="C630" s="190">
        <v>5</v>
      </c>
      <c r="D630" s="191">
        <v>6</v>
      </c>
      <c r="E630" s="192">
        <v>43738</v>
      </c>
      <c r="F630" s="24">
        <v>661.98342293964322</v>
      </c>
      <c r="G630" s="24">
        <f>634866/1000</f>
        <v>634.86599999999999</v>
      </c>
      <c r="H630" s="193">
        <v>141.6</v>
      </c>
      <c r="I630" s="194">
        <v>143</v>
      </c>
      <c r="J630" s="193">
        <v>145.5</v>
      </c>
      <c r="K630" s="194">
        <v>153</v>
      </c>
      <c r="L630" s="195">
        <f t="shared" si="76"/>
        <v>0.76983320592349536</v>
      </c>
      <c r="M630" s="195">
        <f t="shared" si="77"/>
        <v>0.71994083218685478</v>
      </c>
      <c r="N630" s="195">
        <f t="shared" si="78"/>
        <v>0.18388428414990091</v>
      </c>
      <c r="O630" s="195">
        <f t="shared" si="79"/>
        <v>0.17635166666666666</v>
      </c>
      <c r="P630" s="195">
        <v>0.98499999999999999</v>
      </c>
      <c r="Q630" s="195">
        <v>0.96060000000000001</v>
      </c>
      <c r="R630" s="196">
        <v>0.99</v>
      </c>
      <c r="S630" s="197">
        <v>0.99760000000000004</v>
      </c>
      <c r="T630" s="198">
        <v>1.4999999999999999E-2</v>
      </c>
      <c r="U630" s="197">
        <v>0</v>
      </c>
      <c r="V630" s="198">
        <v>0</v>
      </c>
      <c r="W630" s="197">
        <v>0</v>
      </c>
      <c r="X630" s="199">
        <f t="shared" si="74"/>
        <v>-9.2510292055736021E-2</v>
      </c>
    </row>
    <row r="631" spans="1:24">
      <c r="A631" s="189" t="s">
        <v>14</v>
      </c>
      <c r="B631" s="190" t="s">
        <v>67</v>
      </c>
      <c r="C631" s="190">
        <v>5</v>
      </c>
      <c r="D631" s="191">
        <v>6</v>
      </c>
      <c r="E631" s="192">
        <v>43769</v>
      </c>
      <c r="F631" s="24">
        <v>759.03050314717859</v>
      </c>
      <c r="G631" s="24">
        <f>579075/1000</f>
        <v>579.07500000000005</v>
      </c>
      <c r="H631" s="193">
        <v>139.1</v>
      </c>
      <c r="I631" s="194">
        <v>124.62</v>
      </c>
      <c r="J631" s="193">
        <v>172.2</v>
      </c>
      <c r="K631" s="194">
        <v>150.97</v>
      </c>
      <c r="L631" s="195">
        <f t="shared" si="76"/>
        <v>0.7458278583978204</v>
      </c>
      <c r="M631" s="195">
        <f t="shared" si="77"/>
        <v>0.71062987876265882</v>
      </c>
      <c r="N631" s="195">
        <f t="shared" si="78"/>
        <v>0.20404045783526309</v>
      </c>
      <c r="O631" s="195">
        <f t="shared" si="79"/>
        <v>0.15566532258064517</v>
      </c>
      <c r="P631" s="195">
        <v>0.98499999999999999</v>
      </c>
      <c r="Q631" s="195">
        <v>0.89959999999999996</v>
      </c>
      <c r="R631" s="196">
        <v>0.99</v>
      </c>
      <c r="S631" s="197">
        <v>0.98880000000000001</v>
      </c>
      <c r="T631" s="198">
        <v>1.4999999999999999E-2</v>
      </c>
      <c r="U631" s="197">
        <v>0</v>
      </c>
      <c r="V631" s="198">
        <v>0</v>
      </c>
      <c r="W631" s="197">
        <v>0</v>
      </c>
      <c r="X631" s="199">
        <f t="shared" si="74"/>
        <v>-0.11379912068798137</v>
      </c>
    </row>
    <row r="632" spans="1:24">
      <c r="A632" s="189" t="s">
        <v>14</v>
      </c>
      <c r="B632" s="190" t="s">
        <v>67</v>
      </c>
      <c r="C632" s="190">
        <v>5</v>
      </c>
      <c r="D632" s="191">
        <v>6</v>
      </c>
      <c r="E632" s="192">
        <v>43799</v>
      </c>
      <c r="F632" s="24">
        <v>671.66074232063897</v>
      </c>
      <c r="G632" s="24">
        <f>568200/1000</f>
        <v>568.20000000000005</v>
      </c>
      <c r="H632" s="193">
        <v>108.1</v>
      </c>
      <c r="I632" s="194">
        <v>94.2</v>
      </c>
      <c r="J632" s="193">
        <v>152.1</v>
      </c>
      <c r="K632" s="194">
        <v>126.6</v>
      </c>
      <c r="L632" s="195">
        <f t="shared" si="76"/>
        <v>0.74719381820963249</v>
      </c>
      <c r="M632" s="195">
        <f t="shared" si="77"/>
        <v>0.75634507225611269</v>
      </c>
      <c r="N632" s="195">
        <f t="shared" si="78"/>
        <v>0.18657242842239971</v>
      </c>
      <c r="O632" s="195">
        <f t="shared" si="79"/>
        <v>0.15783333333333333</v>
      </c>
      <c r="P632" s="195">
        <v>0.98499999999999999</v>
      </c>
      <c r="Q632" s="195">
        <v>0.98899999999999999</v>
      </c>
      <c r="R632" s="196">
        <v>0.99</v>
      </c>
      <c r="S632" s="197">
        <v>1</v>
      </c>
      <c r="T632" s="198">
        <v>1.4999999999999999E-2</v>
      </c>
      <c r="U632" s="197">
        <v>0</v>
      </c>
      <c r="V632" s="198">
        <v>0</v>
      </c>
      <c r="W632" s="197">
        <v>0</v>
      </c>
      <c r="X632" s="199">
        <f t="shared" si="74"/>
        <v>1.3615656649883512E-2</v>
      </c>
    </row>
    <row r="633" spans="1:24">
      <c r="A633" s="189" t="s">
        <v>14</v>
      </c>
      <c r="B633" s="190" t="s">
        <v>67</v>
      </c>
      <c r="C633" s="190">
        <v>5</v>
      </c>
      <c r="D633" s="191">
        <v>6</v>
      </c>
      <c r="E633" s="192">
        <v>43830</v>
      </c>
      <c r="F633" s="24">
        <v>564.43421766988615</v>
      </c>
      <c r="G633" s="24">
        <f>399000/1000</f>
        <v>399</v>
      </c>
      <c r="H633" s="193">
        <v>89.9</v>
      </c>
      <c r="I633" s="194">
        <v>67.27</v>
      </c>
      <c r="J633" s="193">
        <v>129.6</v>
      </c>
      <c r="K633" s="194">
        <v>93.31</v>
      </c>
      <c r="L633" s="195">
        <f t="shared" si="76"/>
        <v>0.73692086240872101</v>
      </c>
      <c r="M633" s="195">
        <f t="shared" si="77"/>
        <v>0.75567614202352407</v>
      </c>
      <c r="N633" s="195">
        <f t="shared" si="78"/>
        <v>0.15172962840588339</v>
      </c>
      <c r="O633" s="195">
        <f t="shared" si="79"/>
        <v>0.10725806451612903</v>
      </c>
      <c r="P633" s="195">
        <v>0.98499999999999999</v>
      </c>
      <c r="Q633" s="195">
        <v>0.94310000000000005</v>
      </c>
      <c r="R633" s="196">
        <v>0.99</v>
      </c>
      <c r="S633" s="197">
        <v>0.99939999999999996</v>
      </c>
      <c r="T633" s="198">
        <v>1.4999999999999999E-2</v>
      </c>
      <c r="U633" s="197">
        <v>0</v>
      </c>
      <c r="V633" s="198">
        <v>0</v>
      </c>
      <c r="W633" s="197">
        <v>0</v>
      </c>
      <c r="X633" s="199">
        <f t="shared" si="74"/>
        <v>-1.3081996247865657E-2</v>
      </c>
    </row>
    <row r="634" spans="1:24">
      <c r="A634" s="189" t="s">
        <v>14</v>
      </c>
      <c r="B634" s="190" t="s">
        <v>67</v>
      </c>
      <c r="C634" s="190">
        <v>5</v>
      </c>
      <c r="D634" s="191">
        <v>6</v>
      </c>
      <c r="E634" s="192">
        <v>43861</v>
      </c>
      <c r="F634" s="24">
        <v>474.81539304192353</v>
      </c>
      <c r="G634" s="24">
        <f>421485/1000</f>
        <v>421.48500000000001</v>
      </c>
      <c r="H634" s="193">
        <v>79.599999999999994</v>
      </c>
      <c r="I634" s="194">
        <v>72.260000000000005</v>
      </c>
      <c r="J634" s="193">
        <v>103.2</v>
      </c>
      <c r="K634" s="194">
        <v>96.53</v>
      </c>
      <c r="L634" s="195">
        <f t="shared" si="76"/>
        <v>0.77849819816944665</v>
      </c>
      <c r="M634" s="195">
        <f t="shared" si="77"/>
        <v>0.80706125259146255</v>
      </c>
      <c r="N634" s="195">
        <f t="shared" si="78"/>
        <v>0.12763854651664613</v>
      </c>
      <c r="O634" s="195">
        <f t="shared" si="79"/>
        <v>0.11330241935483872</v>
      </c>
      <c r="P634" s="195">
        <v>0.98499999999999999</v>
      </c>
      <c r="Q634" s="195">
        <v>0.90169999999999995</v>
      </c>
      <c r="R634" s="196">
        <v>0.99</v>
      </c>
      <c r="S634" s="197">
        <v>0.998</v>
      </c>
      <c r="T634" s="198">
        <v>1.4999999999999999E-2</v>
      </c>
      <c r="U634" s="197">
        <v>0</v>
      </c>
      <c r="V634" s="198">
        <v>0</v>
      </c>
      <c r="W634" s="197">
        <v>0</v>
      </c>
      <c r="X634" s="199">
        <f t="shared" si="74"/>
        <v>-4.7686380752075097E-2</v>
      </c>
    </row>
    <row r="635" spans="1:24">
      <c r="A635" s="189" t="s">
        <v>14</v>
      </c>
      <c r="B635" s="190" t="s">
        <v>67</v>
      </c>
      <c r="C635" s="190">
        <v>5</v>
      </c>
      <c r="D635" s="191">
        <v>6</v>
      </c>
      <c r="E635" s="192">
        <v>43890</v>
      </c>
      <c r="F635" s="24">
        <v>623.51881726415968</v>
      </c>
      <c r="G635" s="24">
        <f>645537/1000</f>
        <v>645.53700000000003</v>
      </c>
      <c r="H635" s="193">
        <v>108.1</v>
      </c>
      <c r="I635" s="194">
        <v>110.78</v>
      </c>
      <c r="J635" s="193">
        <v>137.5</v>
      </c>
      <c r="K635" s="194">
        <v>144.13</v>
      </c>
      <c r="L635" s="195">
        <f t="shared" si="76"/>
        <v>0.76728973052042415</v>
      </c>
      <c r="M635" s="195">
        <f t="shared" si="77"/>
        <v>0.78034225815286651</v>
      </c>
      <c r="N635" s="195">
        <f t="shared" si="78"/>
        <v>0.17917207392648266</v>
      </c>
      <c r="O635" s="195">
        <f t="shared" si="79"/>
        <v>0.18549913793103448</v>
      </c>
      <c r="P635" s="195">
        <v>0.98499999999999999</v>
      </c>
      <c r="Q635" s="195">
        <v>0.95660000000000001</v>
      </c>
      <c r="R635" s="196">
        <v>0.99</v>
      </c>
      <c r="S635" s="197">
        <v>1</v>
      </c>
      <c r="T635" s="198">
        <v>1.4999999999999999E-2</v>
      </c>
      <c r="U635" s="197">
        <v>0</v>
      </c>
      <c r="V635" s="198">
        <v>0</v>
      </c>
      <c r="W635" s="197">
        <v>0</v>
      </c>
      <c r="X635" s="199">
        <f t="shared" si="74"/>
        <v>-1.290540195301193E-2</v>
      </c>
    </row>
    <row r="636" spans="1:24">
      <c r="A636" s="189" t="s">
        <v>14</v>
      </c>
      <c r="B636" s="190" t="s">
        <v>67</v>
      </c>
      <c r="C636" s="190">
        <v>5</v>
      </c>
      <c r="D636" s="191">
        <v>6</v>
      </c>
      <c r="E636" s="192">
        <v>43921</v>
      </c>
      <c r="F636" s="24">
        <v>836.08205042239581</v>
      </c>
      <c r="G636" s="24">
        <f>781503/1000</f>
        <v>781.50300000000004</v>
      </c>
      <c r="H636" s="193">
        <v>161.4</v>
      </c>
      <c r="I636" s="194">
        <v>149.93</v>
      </c>
      <c r="J636" s="193">
        <v>187.8</v>
      </c>
      <c r="K636" s="194">
        <v>171.35</v>
      </c>
      <c r="L636" s="195">
        <f t="shared" si="76"/>
        <v>0.75329629427424483</v>
      </c>
      <c r="M636" s="195">
        <f t="shared" si="77"/>
        <v>0.7945468612942147</v>
      </c>
      <c r="N636" s="195">
        <f t="shared" si="78"/>
        <v>0.22475323936085911</v>
      </c>
      <c r="O636" s="195">
        <f t="shared" si="79"/>
        <v>0.21008145161290326</v>
      </c>
      <c r="P636" s="195">
        <v>0.98499999999999999</v>
      </c>
      <c r="Q636" s="195">
        <v>0.95669999999999999</v>
      </c>
      <c r="R636" s="196">
        <v>0.99</v>
      </c>
      <c r="S636" s="197">
        <v>0.99939999999999996</v>
      </c>
      <c r="T636" s="198">
        <v>1.4999999999999999E-2</v>
      </c>
      <c r="U636" s="197">
        <v>0</v>
      </c>
      <c r="V636" s="198">
        <v>0</v>
      </c>
      <c r="W636" s="197">
        <v>0</v>
      </c>
      <c r="X636" s="199">
        <f t="shared" si="74"/>
        <v>2.2313645711415586E-2</v>
      </c>
    </row>
    <row r="637" spans="1:24">
      <c r="A637" s="189" t="s">
        <v>14</v>
      </c>
      <c r="B637" s="190" t="s">
        <v>67</v>
      </c>
      <c r="C637" s="190">
        <v>5</v>
      </c>
      <c r="D637" s="191">
        <v>6</v>
      </c>
      <c r="E637" s="192">
        <v>43951</v>
      </c>
      <c r="F637" s="24">
        <v>864.78717079761088</v>
      </c>
      <c r="G637" s="24">
        <f>782745/1000</f>
        <v>782.745</v>
      </c>
      <c r="H637" s="193">
        <v>190.2</v>
      </c>
      <c r="I637" s="194">
        <v>173.7</v>
      </c>
      <c r="J637" s="193">
        <v>194</v>
      </c>
      <c r="K637" s="194">
        <v>176.1</v>
      </c>
      <c r="L637" s="195">
        <f t="shared" si="76"/>
        <v>0.75425817747100921</v>
      </c>
      <c r="M637" s="195">
        <f t="shared" si="77"/>
        <v>0.75439396935873559</v>
      </c>
      <c r="N637" s="195">
        <f t="shared" si="78"/>
        <v>0.24021865855489191</v>
      </c>
      <c r="O637" s="195">
        <f t="shared" si="79"/>
        <v>0.2174291666666667</v>
      </c>
      <c r="P637" s="195">
        <v>0.98499999999999999</v>
      </c>
      <c r="Q637" s="195">
        <v>0.98199999999999998</v>
      </c>
      <c r="R637" s="196">
        <v>0.99</v>
      </c>
      <c r="S637" s="197">
        <v>0.99880000000000002</v>
      </c>
      <c r="T637" s="198">
        <v>1.4999999999999999E-2</v>
      </c>
      <c r="U637" s="197">
        <v>0</v>
      </c>
      <c r="V637" s="198">
        <v>0</v>
      </c>
      <c r="W637" s="197">
        <v>0</v>
      </c>
      <c r="X637" s="199">
        <f t="shared" si="74"/>
        <v>-2.601741257395318E-3</v>
      </c>
    </row>
    <row r="638" spans="1:24">
      <c r="A638" s="189" t="s">
        <v>14</v>
      </c>
      <c r="B638" s="190" t="s">
        <v>67</v>
      </c>
      <c r="C638" s="190">
        <v>5</v>
      </c>
      <c r="D638" s="191">
        <v>6</v>
      </c>
      <c r="E638" s="192">
        <v>43982</v>
      </c>
      <c r="F638" s="24">
        <v>876.05120537522657</v>
      </c>
      <c r="G638" s="24">
        <f>800832/1000</f>
        <v>800.83199999999999</v>
      </c>
      <c r="H638" s="193">
        <v>197</v>
      </c>
      <c r="I638" s="194">
        <v>190.03</v>
      </c>
      <c r="J638" s="193">
        <v>197.7</v>
      </c>
      <c r="K638" s="194">
        <v>188.79</v>
      </c>
      <c r="L638" s="195">
        <f t="shared" si="76"/>
        <v>0.74978257180522423</v>
      </c>
      <c r="M638" s="195">
        <f t="shared" si="77"/>
        <v>0.72930327921030058</v>
      </c>
      <c r="N638" s="195">
        <f t="shared" si="78"/>
        <v>0.23549763585355551</v>
      </c>
      <c r="O638" s="195">
        <f t="shared" si="79"/>
        <v>0.21527741935483871</v>
      </c>
      <c r="P638" s="195">
        <v>0.98499999999999999</v>
      </c>
      <c r="Q638" s="195">
        <v>0.96940000000000004</v>
      </c>
      <c r="R638" s="196">
        <v>0.99</v>
      </c>
      <c r="S638" s="197">
        <v>0.99729999999999996</v>
      </c>
      <c r="T638" s="198">
        <v>1.4999999999999999E-2</v>
      </c>
      <c r="U638" s="197">
        <v>0</v>
      </c>
      <c r="V638" s="198">
        <v>0</v>
      </c>
      <c r="W638" s="197">
        <v>0</v>
      </c>
      <c r="X638" s="199">
        <f t="shared" si="74"/>
        <v>-4.0793368597150881E-2</v>
      </c>
    </row>
    <row r="639" spans="1:24">
      <c r="A639" s="189" t="s">
        <v>14</v>
      </c>
      <c r="B639" s="190" t="s">
        <v>67</v>
      </c>
      <c r="C639" s="190">
        <v>5</v>
      </c>
      <c r="D639" s="191">
        <v>6</v>
      </c>
      <c r="E639" s="192">
        <v>44012</v>
      </c>
      <c r="F639" s="24">
        <v>786.66564066253261</v>
      </c>
      <c r="G639" s="24">
        <f>815898/1000</f>
        <v>815.89800000000002</v>
      </c>
      <c r="H639" s="193">
        <v>178.9</v>
      </c>
      <c r="I639" s="194">
        <v>185.88</v>
      </c>
      <c r="J639" s="193">
        <v>177.2</v>
      </c>
      <c r="K639" s="194">
        <v>184.46</v>
      </c>
      <c r="L639" s="195">
        <f t="shared" si="76"/>
        <v>0.75117129464783317</v>
      </c>
      <c r="M639" s="195">
        <f t="shared" si="77"/>
        <v>0.75362406035438989</v>
      </c>
      <c r="N639" s="195">
        <f t="shared" si="78"/>
        <v>0.21851823351737015</v>
      </c>
      <c r="O639" s="195">
        <f t="shared" si="79"/>
        <v>0.22663833333333333</v>
      </c>
      <c r="P639" s="195">
        <v>0.98499999999999999</v>
      </c>
      <c r="Q639" s="195">
        <v>0.97819999999999996</v>
      </c>
      <c r="R639" s="196">
        <v>0.99</v>
      </c>
      <c r="S639" s="197">
        <v>0.99850000000000005</v>
      </c>
      <c r="T639" s="198">
        <v>1.4999999999999999E-2</v>
      </c>
      <c r="U639" s="197">
        <v>0</v>
      </c>
      <c r="V639" s="198">
        <v>0</v>
      </c>
      <c r="W639" s="197">
        <v>0</v>
      </c>
      <c r="X639" s="199">
        <f t="shared" si="74"/>
        <v>-3.8108273432975182E-3</v>
      </c>
    </row>
    <row r="640" spans="1:24">
      <c r="A640" s="189" t="s">
        <v>14</v>
      </c>
      <c r="B640" s="190" t="s">
        <v>67</v>
      </c>
      <c r="C640" s="190">
        <v>5</v>
      </c>
      <c r="D640" s="191">
        <v>6</v>
      </c>
      <c r="E640" s="192">
        <v>44043</v>
      </c>
      <c r="F640" s="24">
        <v>696.19000808748831</v>
      </c>
      <c r="G640" s="24">
        <f>699828/1000</f>
        <v>699.82799999999997</v>
      </c>
      <c r="H640" s="193">
        <v>155.5</v>
      </c>
      <c r="I640" s="194">
        <v>154.16999999999996</v>
      </c>
      <c r="J640" s="193">
        <v>154.6</v>
      </c>
      <c r="K640" s="194">
        <v>153.65</v>
      </c>
      <c r="L640" s="195">
        <f t="shared" si="76"/>
        <v>0.76195761792069527</v>
      </c>
      <c r="M640" s="195">
        <f t="shared" si="77"/>
        <v>0.78852692579319916</v>
      </c>
      <c r="N640" s="195">
        <f t="shared" si="78"/>
        <v>0.18714785163642159</v>
      </c>
      <c r="O640" s="195">
        <f t="shared" si="79"/>
        <v>0.18812580645161289</v>
      </c>
      <c r="P640" s="195">
        <v>0.98499999999999999</v>
      </c>
      <c r="Q640" s="195">
        <v>0.9627</v>
      </c>
      <c r="R640" s="196">
        <v>0.99</v>
      </c>
      <c r="S640" s="197">
        <v>0.98670000000000002</v>
      </c>
      <c r="T640" s="198">
        <v>1.4999999999999999E-2</v>
      </c>
      <c r="U640" s="197">
        <v>0</v>
      </c>
      <c r="V640" s="198">
        <v>0</v>
      </c>
      <c r="W640" s="197">
        <v>0</v>
      </c>
      <c r="X640" s="199">
        <f t="shared" si="74"/>
        <v>1.1370463330942493E-2</v>
      </c>
    </row>
    <row r="641" spans="1:24">
      <c r="A641" s="189" t="s">
        <v>14</v>
      </c>
      <c r="B641" s="190" t="s">
        <v>67</v>
      </c>
      <c r="C641" s="190">
        <v>5</v>
      </c>
      <c r="D641" s="191">
        <v>6</v>
      </c>
      <c r="E641" s="192">
        <v>44074</v>
      </c>
      <c r="F641" s="24">
        <v>661.03531952670312</v>
      </c>
      <c r="G641" s="24">
        <v>581.65200000000004</v>
      </c>
      <c r="H641" s="193">
        <v>145.4</v>
      </c>
      <c r="I641" s="194">
        <v>134.54</v>
      </c>
      <c r="J641" s="193">
        <v>146.30000000000001</v>
      </c>
      <c r="K641" s="194">
        <v>136.63</v>
      </c>
      <c r="L641" s="195">
        <f t="shared" si="76"/>
        <v>0.76452705312739988</v>
      </c>
      <c r="M641" s="195">
        <f t="shared" si="77"/>
        <v>0.77755842947506482</v>
      </c>
      <c r="N641" s="195">
        <f t="shared" si="78"/>
        <v>0.17769766653943633</v>
      </c>
      <c r="O641" s="195">
        <f t="shared" si="79"/>
        <v>0.15635806451612905</v>
      </c>
      <c r="P641" s="195">
        <v>0.98499999999999999</v>
      </c>
      <c r="Q641" s="195">
        <v>0.91249999999999998</v>
      </c>
      <c r="R641" s="196">
        <v>0.99</v>
      </c>
      <c r="S641" s="197">
        <v>0.99880000000000002</v>
      </c>
      <c r="T641" s="198">
        <v>1.4999999999999999E-2</v>
      </c>
      <c r="U641" s="197">
        <v>0</v>
      </c>
      <c r="V641" s="198">
        <v>0</v>
      </c>
      <c r="W641" s="197">
        <v>0</v>
      </c>
      <c r="X641" s="199">
        <f t="shared" si="74"/>
        <v>-5.3992315908539479E-2</v>
      </c>
    </row>
    <row r="642" spans="1:24">
      <c r="A642" s="189" t="s">
        <v>14</v>
      </c>
      <c r="B642" s="190" t="s">
        <v>67</v>
      </c>
      <c r="C642" s="190">
        <v>5</v>
      </c>
      <c r="D642" s="191">
        <v>6</v>
      </c>
      <c r="E642" s="192">
        <v>44104</v>
      </c>
      <c r="F642" s="24">
        <v>658.67350582494498</v>
      </c>
      <c r="G642" s="24">
        <f>667884/1000</f>
        <v>667.88400000000001</v>
      </c>
      <c r="H642" s="193">
        <v>141.6</v>
      </c>
      <c r="I642" s="194">
        <v>145.53</v>
      </c>
      <c r="J642" s="193">
        <v>145.5</v>
      </c>
      <c r="K642" s="194">
        <v>159.03</v>
      </c>
      <c r="L642" s="195">
        <f t="shared" si="76"/>
        <v>0.76598403989387787</v>
      </c>
      <c r="M642" s="195">
        <f t="shared" si="77"/>
        <v>0.72965285431860083</v>
      </c>
      <c r="N642" s="195">
        <f t="shared" si="78"/>
        <v>0.18296486272915141</v>
      </c>
      <c r="O642" s="195">
        <f t="shared" si="79"/>
        <v>0.18552333333333335</v>
      </c>
      <c r="P642" s="195">
        <v>0.98499999999999999</v>
      </c>
      <c r="Q642" s="195">
        <v>0.95930000000000004</v>
      </c>
      <c r="R642" s="196">
        <v>0.99</v>
      </c>
      <c r="S642" s="197">
        <v>0.99739999999999995</v>
      </c>
      <c r="T642" s="198">
        <v>1.4999999999999999E-2</v>
      </c>
      <c r="U642" s="197">
        <v>0</v>
      </c>
      <c r="V642" s="198">
        <v>0</v>
      </c>
      <c r="W642" s="197">
        <v>0</v>
      </c>
      <c r="X642" s="199">
        <f t="shared" si="74"/>
        <v>-7.9006292127956845E-2</v>
      </c>
    </row>
    <row r="643" spans="1:24">
      <c r="A643" s="189" t="s">
        <v>14</v>
      </c>
      <c r="B643" s="190" t="s">
        <v>67</v>
      </c>
      <c r="C643" s="190">
        <v>5</v>
      </c>
      <c r="D643" s="191">
        <v>6</v>
      </c>
      <c r="E643" s="192">
        <v>44135</v>
      </c>
      <c r="F643" s="24">
        <v>755.23535063144277</v>
      </c>
      <c r="G643" s="24">
        <f>726879/1000</f>
        <v>726.87900000000002</v>
      </c>
      <c r="H643" s="193">
        <v>139.1</v>
      </c>
      <c r="I643" s="194">
        <v>135.99</v>
      </c>
      <c r="J643" s="193">
        <v>172.2</v>
      </c>
      <c r="K643" s="194">
        <v>172.93</v>
      </c>
      <c r="L643" s="195">
        <f t="shared" si="76"/>
        <v>0.74209871910583136</v>
      </c>
      <c r="M643" s="195">
        <f t="shared" si="77"/>
        <v>0.70336570941140375</v>
      </c>
      <c r="N643" s="195">
        <f t="shared" si="78"/>
        <v>0.20302025554608677</v>
      </c>
      <c r="O643" s="195">
        <f t="shared" si="79"/>
        <v>0.1953975806451613</v>
      </c>
      <c r="P643" s="195">
        <v>0.98499999999999999</v>
      </c>
      <c r="Q643" s="195">
        <v>0.996</v>
      </c>
      <c r="R643" s="196">
        <v>0.99</v>
      </c>
      <c r="S643" s="197">
        <v>1</v>
      </c>
      <c r="T643" s="198">
        <v>1.4999999999999999E-2</v>
      </c>
      <c r="U643" s="197">
        <v>0</v>
      </c>
      <c r="V643" s="198">
        <v>0</v>
      </c>
      <c r="W643" s="197">
        <v>0</v>
      </c>
      <c r="X643" s="199">
        <f t="shared" si="74"/>
        <v>-4.178563292739923E-2</v>
      </c>
    </row>
    <row r="644" spans="1:24">
      <c r="A644" s="189" t="s">
        <v>14</v>
      </c>
      <c r="B644" s="190" t="s">
        <v>67</v>
      </c>
      <c r="C644" s="190">
        <v>5</v>
      </c>
      <c r="D644" s="191">
        <v>6</v>
      </c>
      <c r="E644" s="192">
        <v>44165</v>
      </c>
      <c r="F644" s="24">
        <v>668.30243860903602</v>
      </c>
      <c r="G644" s="24">
        <f>568053/1000</f>
        <v>568.053</v>
      </c>
      <c r="H644" s="193">
        <v>108.1</v>
      </c>
      <c r="I644" s="194">
        <v>100.85</v>
      </c>
      <c r="J644" s="193">
        <v>152.1</v>
      </c>
      <c r="K644" s="194">
        <v>141.36000000000001</v>
      </c>
      <c r="L644" s="195">
        <f t="shared" si="76"/>
        <v>0.7434578491185847</v>
      </c>
      <c r="M644" s="195">
        <f t="shared" si="77"/>
        <v>0.69317683017045761</v>
      </c>
      <c r="N644" s="195">
        <f t="shared" si="78"/>
        <v>0.1856395662802878</v>
      </c>
      <c r="O644" s="195">
        <f t="shared" si="79"/>
        <v>0.1577925</v>
      </c>
      <c r="P644" s="195">
        <v>0.98499999999999999</v>
      </c>
      <c r="Q644" s="195">
        <v>0.96619999999999995</v>
      </c>
      <c r="R644" s="196">
        <v>0.99</v>
      </c>
      <c r="S644" s="197">
        <v>0.99629999999999996</v>
      </c>
      <c r="T644" s="198">
        <v>1.4999999999999999E-2</v>
      </c>
      <c r="U644" s="197">
        <v>0</v>
      </c>
      <c r="V644" s="198">
        <v>0</v>
      </c>
      <c r="W644" s="197">
        <v>0</v>
      </c>
      <c r="X644" s="199">
        <f t="shared" si="74"/>
        <v>-7.9394654431050093E-2</v>
      </c>
    </row>
    <row r="645" spans="1:24">
      <c r="A645" s="189" t="s">
        <v>14</v>
      </c>
      <c r="B645" s="190" t="s">
        <v>67</v>
      </c>
      <c r="C645" s="190">
        <v>5</v>
      </c>
      <c r="D645" s="191">
        <v>6</v>
      </c>
      <c r="E645" s="192">
        <v>44196</v>
      </c>
      <c r="F645" s="24">
        <v>561.61204658153667</v>
      </c>
      <c r="G645" s="24">
        <f>500592/1000</f>
        <v>500.59199999999998</v>
      </c>
      <c r="H645" s="193">
        <v>89.9</v>
      </c>
      <c r="I645" s="194">
        <v>82.35</v>
      </c>
      <c r="J645" s="193">
        <v>129.6</v>
      </c>
      <c r="K645" s="194">
        <v>118.73</v>
      </c>
      <c r="L645" s="195">
        <f t="shared" si="76"/>
        <v>0.73323625809667736</v>
      </c>
      <c r="M645" s="195">
        <f t="shared" si="77"/>
        <v>0.70922851558349276</v>
      </c>
      <c r="N645" s="195">
        <f t="shared" si="78"/>
        <v>0.15097098026385394</v>
      </c>
      <c r="O645" s="195">
        <f t="shared" si="79"/>
        <v>0.13456774193548388</v>
      </c>
      <c r="P645" s="195">
        <v>0.98499999999999999</v>
      </c>
      <c r="Q645" s="195">
        <v>0.99080000000000001</v>
      </c>
      <c r="R645" s="196">
        <v>0.99</v>
      </c>
      <c r="S645" s="197">
        <v>0.99790000000000001</v>
      </c>
      <c r="T645" s="198">
        <v>1.4999999999999999E-2</v>
      </c>
      <c r="U645" s="197">
        <v>0</v>
      </c>
      <c r="V645" s="198">
        <v>0</v>
      </c>
      <c r="W645" s="197">
        <v>0</v>
      </c>
      <c r="X645" s="199">
        <f t="shared" si="74"/>
        <v>-2.4778141680668386E-2</v>
      </c>
    </row>
    <row r="646" spans="1:24">
      <c r="A646" s="189" t="s">
        <v>14</v>
      </c>
      <c r="B646" s="190" t="s">
        <v>67</v>
      </c>
      <c r="C646" s="190">
        <v>5</v>
      </c>
      <c r="D646" s="191">
        <v>6</v>
      </c>
      <c r="E646" s="192">
        <v>44227</v>
      </c>
      <c r="F646" s="24">
        <v>472.44131607671386</v>
      </c>
      <c r="G646" s="24">
        <v>401.31599999999997</v>
      </c>
      <c r="H646" s="193">
        <v>79.599999999999994</v>
      </c>
      <c r="I646" s="194">
        <v>70.179999999999993</v>
      </c>
      <c r="J646" s="193">
        <v>103.2</v>
      </c>
      <c r="K646" s="194">
        <v>90.98</v>
      </c>
      <c r="L646" s="195">
        <f t="shared" si="76"/>
        <v>0.77460570717859933</v>
      </c>
      <c r="M646" s="195">
        <f t="shared" si="77"/>
        <v>0.74282364898351894</v>
      </c>
      <c r="N646" s="195">
        <f t="shared" si="78"/>
        <v>0.12700035378406288</v>
      </c>
      <c r="O646" s="195">
        <f t="shared" si="79"/>
        <v>0.10788064516129033</v>
      </c>
      <c r="P646" s="195">
        <v>0.98499999999999999</v>
      </c>
      <c r="Q646" s="195">
        <v>0.98970000000000002</v>
      </c>
      <c r="R646" s="196">
        <v>0.99</v>
      </c>
      <c r="S646" s="197">
        <v>1</v>
      </c>
      <c r="T646" s="198">
        <v>1.4999999999999999E-2</v>
      </c>
      <c r="U646" s="197">
        <v>0</v>
      </c>
      <c r="V646" s="198">
        <v>0</v>
      </c>
      <c r="W646" s="197">
        <v>0</v>
      </c>
      <c r="X646" s="199">
        <f t="shared" si="74"/>
        <v>-3.213761469724763E-2</v>
      </c>
    </row>
    <row r="647" spans="1:24">
      <c r="A647" s="189" t="s">
        <v>14</v>
      </c>
      <c r="B647" s="190" t="s">
        <v>67</v>
      </c>
      <c r="C647" s="190">
        <v>5</v>
      </c>
      <c r="D647" s="191">
        <v>6</v>
      </c>
      <c r="E647" s="192">
        <v>44255</v>
      </c>
      <c r="F647" s="24">
        <v>620.40122317783869</v>
      </c>
      <c r="G647" s="24">
        <v>560.40599999999995</v>
      </c>
      <c r="H647" s="193">
        <v>108.1</v>
      </c>
      <c r="I647" s="194">
        <v>105.23</v>
      </c>
      <c r="J647" s="193">
        <v>137.5</v>
      </c>
      <c r="K647" s="194">
        <v>139.1</v>
      </c>
      <c r="L647" s="195">
        <f t="shared" si="76"/>
        <v>0.7634532818678218</v>
      </c>
      <c r="M647" s="195">
        <f t="shared" si="77"/>
        <v>0.7669270800800424</v>
      </c>
      <c r="N647" s="195">
        <f t="shared" si="78"/>
        <v>0.18464322118388057</v>
      </c>
      <c r="O647" s="195">
        <f t="shared" si="79"/>
        <v>0.16678750000000001</v>
      </c>
      <c r="P647" s="195">
        <v>0.98499999999999999</v>
      </c>
      <c r="Q647" s="195">
        <v>0.87552857142857143</v>
      </c>
      <c r="R647" s="196">
        <v>0.99</v>
      </c>
      <c r="S647" s="197">
        <v>1</v>
      </c>
      <c r="T647" s="198">
        <v>1.4999999999999999E-2</v>
      </c>
      <c r="U647" s="197">
        <v>0</v>
      </c>
      <c r="V647" s="198">
        <v>0</v>
      </c>
      <c r="W647" s="197">
        <v>0</v>
      </c>
      <c r="X647" s="199">
        <f t="shared" si="74"/>
        <v>-0.1083402722304333</v>
      </c>
    </row>
    <row r="648" spans="1:24">
      <c r="A648" s="189" t="s">
        <v>14</v>
      </c>
      <c r="B648" s="190" t="s">
        <v>67</v>
      </c>
      <c r="C648" s="190">
        <v>5</v>
      </c>
      <c r="D648" s="191">
        <v>6</v>
      </c>
      <c r="E648" s="192">
        <v>44286</v>
      </c>
      <c r="F648" s="24">
        <v>831.90164017028405</v>
      </c>
      <c r="G648" s="24">
        <v>761.71199999999999</v>
      </c>
      <c r="H648" s="193">
        <v>161.4</v>
      </c>
      <c r="I648" s="194">
        <v>152.74999999999997</v>
      </c>
      <c r="J648" s="193">
        <v>187.8</v>
      </c>
      <c r="K648" s="194">
        <v>177.18000000000004</v>
      </c>
      <c r="L648" s="195">
        <f t="shared" si="76"/>
        <v>0.74952981280287378</v>
      </c>
      <c r="M648" s="195">
        <f t="shared" si="77"/>
        <v>0.73472357350677531</v>
      </c>
      <c r="N648" s="195">
        <f t="shared" si="78"/>
        <v>0.22362947316405485</v>
      </c>
      <c r="O648" s="195">
        <f t="shared" si="79"/>
        <v>0.20476129032258067</v>
      </c>
      <c r="P648" s="195">
        <v>0.98499999999999999</v>
      </c>
      <c r="Q648" s="195">
        <v>0.97521612903225807</v>
      </c>
      <c r="R648" s="196">
        <v>0.99</v>
      </c>
      <c r="S648" s="197">
        <v>1</v>
      </c>
      <c r="T648" s="198">
        <v>1.4999999999999999E-2</v>
      </c>
      <c r="U648" s="197">
        <v>0</v>
      </c>
      <c r="V648" s="198">
        <v>0</v>
      </c>
      <c r="W648" s="197">
        <v>0</v>
      </c>
      <c r="X648" s="199">
        <f t="shared" si="74"/>
        <v>-2.7823002114558015E-2</v>
      </c>
    </row>
    <row r="649" spans="1:24">
      <c r="A649" s="189" t="s">
        <v>14</v>
      </c>
      <c r="B649" s="190" t="s">
        <v>67</v>
      </c>
      <c r="C649" s="190">
        <v>5</v>
      </c>
      <c r="D649" s="191">
        <v>6</v>
      </c>
      <c r="E649" s="192">
        <v>44316</v>
      </c>
      <c r="F649" s="24">
        <v>860.46323494362287</v>
      </c>
      <c r="G649" s="24">
        <v>777.96</v>
      </c>
      <c r="H649" s="193">
        <v>190.2</v>
      </c>
      <c r="I649" s="194">
        <v>180.36999999999998</v>
      </c>
      <c r="J649" s="193">
        <v>194</v>
      </c>
      <c r="K649" s="194">
        <v>183.48999999999998</v>
      </c>
      <c r="L649" s="195">
        <f t="shared" si="76"/>
        <v>0.75048688658365426</v>
      </c>
      <c r="M649" s="195">
        <f t="shared" si="77"/>
        <v>0.72831845832472608</v>
      </c>
      <c r="N649" s="195">
        <f t="shared" si="78"/>
        <v>0.23901756526211745</v>
      </c>
      <c r="O649" s="195">
        <f t="shared" si="79"/>
        <v>0.21610000000000001</v>
      </c>
      <c r="P649" s="195">
        <v>0.98499999999999999</v>
      </c>
      <c r="Q649" s="195">
        <v>0.97022464000000008</v>
      </c>
      <c r="R649" s="196">
        <v>0.99</v>
      </c>
      <c r="S649" s="197">
        <v>0.98560000000000003</v>
      </c>
      <c r="T649" s="198">
        <v>1.4999999999999999E-2</v>
      </c>
      <c r="U649" s="197">
        <v>2.1379634131763452E-2</v>
      </c>
      <c r="V649" s="198">
        <v>0</v>
      </c>
      <c r="W649" s="197">
        <v>0</v>
      </c>
      <c r="X649" s="199">
        <f t="shared" si="74"/>
        <v>-4.1707089814276954E-2</v>
      </c>
    </row>
    <row r="650" spans="1:24">
      <c r="A650" s="189" t="s">
        <v>14</v>
      </c>
      <c r="B650" s="190" t="s">
        <v>67</v>
      </c>
      <c r="C650" s="190">
        <v>5</v>
      </c>
      <c r="D650" s="191">
        <v>6</v>
      </c>
      <c r="E650" s="192">
        <v>44347</v>
      </c>
      <c r="F650" s="24">
        <v>871.6709493483504</v>
      </c>
      <c r="G650" s="24">
        <v>730.73099999999999</v>
      </c>
      <c r="H650" s="193">
        <v>197</v>
      </c>
      <c r="I650" s="194">
        <v>177.45000000000007</v>
      </c>
      <c r="J650" s="193">
        <v>197.7</v>
      </c>
      <c r="K650" s="194">
        <v>177.23</v>
      </c>
      <c r="L650" s="195">
        <f t="shared" si="76"/>
        <v>0.746033658946198</v>
      </c>
      <c r="M650" s="195">
        <f t="shared" si="77"/>
        <v>0.72228051158562534</v>
      </c>
      <c r="N650" s="195">
        <f t="shared" si="78"/>
        <v>0.23432014767428772</v>
      </c>
      <c r="O650" s="195">
        <f t="shared" si="79"/>
        <v>0.19643306451612902</v>
      </c>
      <c r="P650" s="195">
        <v>0.98499999999999999</v>
      </c>
      <c r="Q650" s="195">
        <v>0.95140000000000002</v>
      </c>
      <c r="R650" s="196">
        <v>0.99</v>
      </c>
      <c r="S650" s="197">
        <v>1</v>
      </c>
      <c r="T650" s="198">
        <v>1.4999999999999999E-2</v>
      </c>
      <c r="U650" s="197">
        <v>1.6094016683867576E-2</v>
      </c>
      <c r="V650" s="198">
        <v>0</v>
      </c>
      <c r="W650" s="197">
        <v>0</v>
      </c>
      <c r="X650" s="199">
        <f t="shared" si="74"/>
        <v>-5.8148677782995373E-2</v>
      </c>
    </row>
    <row r="651" spans="1:24">
      <c r="A651" s="189" t="s">
        <v>14</v>
      </c>
      <c r="B651" s="190" t="s">
        <v>67</v>
      </c>
      <c r="C651" s="190">
        <v>5</v>
      </c>
      <c r="D651" s="191">
        <v>6</v>
      </c>
      <c r="E651" s="192">
        <v>44377</v>
      </c>
      <c r="F651" s="24">
        <v>782.73231245922</v>
      </c>
      <c r="G651" s="24">
        <v>793.92</v>
      </c>
      <c r="H651" s="193">
        <v>178.9</v>
      </c>
      <c r="I651" s="194">
        <v>183.81</v>
      </c>
      <c r="J651" s="193">
        <v>177.2</v>
      </c>
      <c r="K651" s="194">
        <v>180.86</v>
      </c>
      <c r="L651" s="195">
        <f t="shared" si="76"/>
        <v>0.7474154381745941</v>
      </c>
      <c r="M651" s="195">
        <f t="shared" si="77"/>
        <v>0.73610586003349832</v>
      </c>
      <c r="N651" s="195">
        <f t="shared" si="78"/>
        <v>0.21742564234978329</v>
      </c>
      <c r="O651" s="195">
        <f t="shared" si="79"/>
        <v>0.22053333333333333</v>
      </c>
      <c r="P651" s="195">
        <v>0.98499999999999999</v>
      </c>
      <c r="Q651" s="195">
        <v>0.99390000000000001</v>
      </c>
      <c r="R651" s="196">
        <v>0.99</v>
      </c>
      <c r="S651" s="197">
        <v>1</v>
      </c>
      <c r="T651" s="198">
        <v>1.4999999999999999E-2</v>
      </c>
      <c r="U651" s="197">
        <v>1.9199999999999998E-2</v>
      </c>
      <c r="V651" s="198">
        <v>0</v>
      </c>
      <c r="W651" s="197">
        <v>0</v>
      </c>
      <c r="X651" s="199">
        <f t="shared" si="74"/>
        <v>-6.3615066823485833E-3</v>
      </c>
    </row>
    <row r="652" spans="1:24">
      <c r="A652" s="189" t="s">
        <v>14</v>
      </c>
      <c r="B652" s="190" t="s">
        <v>67</v>
      </c>
      <c r="C652" s="190">
        <v>5</v>
      </c>
      <c r="D652" s="191">
        <v>6</v>
      </c>
      <c r="E652" s="192">
        <v>44408</v>
      </c>
      <c r="F652" s="24">
        <v>692.70905804705092</v>
      </c>
      <c r="G652" s="24">
        <v>623.57399999999996</v>
      </c>
      <c r="H652" s="193">
        <v>155.5</v>
      </c>
      <c r="I652" s="194">
        <v>145.43</v>
      </c>
      <c r="J652" s="193">
        <v>154.6</v>
      </c>
      <c r="K652" s="194">
        <v>143.36000000000001</v>
      </c>
      <c r="L652" s="195">
        <f t="shared" si="76"/>
        <v>0.75814782983109186</v>
      </c>
      <c r="M652" s="195">
        <f t="shared" si="77"/>
        <v>0.77592975690356392</v>
      </c>
      <c r="N652" s="195">
        <f t="shared" si="78"/>
        <v>0.18621211237823948</v>
      </c>
      <c r="O652" s="195">
        <f t="shared" si="79"/>
        <v>0.16762741935483869</v>
      </c>
      <c r="P652" s="195">
        <v>0.98499999999999999</v>
      </c>
      <c r="Q652" s="195">
        <v>0.93430000000000002</v>
      </c>
      <c r="R652" s="196">
        <v>0.99</v>
      </c>
      <c r="S652" s="197">
        <v>1</v>
      </c>
      <c r="T652" s="198">
        <v>1.4999999999999999E-2</v>
      </c>
      <c r="U652" s="197">
        <v>8.0000000000000002E-3</v>
      </c>
      <c r="V652" s="198">
        <v>0</v>
      </c>
      <c r="W652" s="197">
        <v>0</v>
      </c>
      <c r="X652" s="199">
        <f t="shared" si="74"/>
        <v>-2.7100137539452063E-2</v>
      </c>
    </row>
    <row r="653" spans="1:24">
      <c r="A653" s="189" t="s">
        <v>14</v>
      </c>
      <c r="B653" s="190" t="s">
        <v>67</v>
      </c>
      <c r="C653" s="190">
        <v>5</v>
      </c>
      <c r="D653" s="191">
        <v>6</v>
      </c>
      <c r="E653" s="192">
        <v>44439</v>
      </c>
      <c r="F653" s="24">
        <v>657.73014292906953</v>
      </c>
      <c r="G653" s="24">
        <v>636.37800000000004</v>
      </c>
      <c r="H653" s="193">
        <v>145.4</v>
      </c>
      <c r="I653" s="194">
        <v>140.93999999999997</v>
      </c>
      <c r="J653" s="193">
        <v>146.30000000000001</v>
      </c>
      <c r="K653" s="194">
        <v>141.97</v>
      </c>
      <c r="L653" s="195">
        <f t="shared" si="76"/>
        <v>0.76070441786176279</v>
      </c>
      <c r="M653" s="195">
        <f t="shared" si="77"/>
        <v>0.75766264323005605</v>
      </c>
      <c r="N653" s="195">
        <f t="shared" si="78"/>
        <v>0.17680917820673914</v>
      </c>
      <c r="O653" s="195">
        <f t="shared" si="79"/>
        <v>0.17106935483870969</v>
      </c>
      <c r="P653" s="195">
        <v>0.98499999999999999</v>
      </c>
      <c r="Q653" s="195">
        <v>0.98603299999999994</v>
      </c>
      <c r="R653" s="196">
        <v>0.99</v>
      </c>
      <c r="S653" s="197">
        <v>0.997</v>
      </c>
      <c r="T653" s="198">
        <v>1.4999999999999999E-2</v>
      </c>
      <c r="U653" s="197">
        <v>7.0000000000000001E-3</v>
      </c>
      <c r="V653" s="198">
        <v>0</v>
      </c>
      <c r="W653" s="197">
        <v>0</v>
      </c>
      <c r="X653" s="199">
        <f t="shared" si="74"/>
        <v>-2.866659959151141E-3</v>
      </c>
    </row>
    <row r="654" spans="1:24">
      <c r="A654" s="189" t="s">
        <v>14</v>
      </c>
      <c r="B654" s="190" t="s">
        <v>67</v>
      </c>
      <c r="C654" s="190">
        <v>5</v>
      </c>
      <c r="D654" s="191">
        <v>6</v>
      </c>
      <c r="E654" s="192">
        <v>44469</v>
      </c>
      <c r="F654" s="24">
        <v>655.38013829582019</v>
      </c>
      <c r="G654" s="24">
        <v>597.64200000000005</v>
      </c>
      <c r="H654" s="193">
        <v>141.6</v>
      </c>
      <c r="I654" s="194">
        <v>129.91</v>
      </c>
      <c r="J654" s="193">
        <v>145.5</v>
      </c>
      <c r="K654" s="194">
        <v>139.51</v>
      </c>
      <c r="L654" s="195">
        <f t="shared" si="76"/>
        <v>0.76215411969440838</v>
      </c>
      <c r="M654" s="195">
        <f t="shared" si="77"/>
        <v>0.72217800537924648</v>
      </c>
      <c r="N654" s="195">
        <f t="shared" si="78"/>
        <v>0.18205003841550563</v>
      </c>
      <c r="O654" s="195">
        <f t="shared" si="79"/>
        <v>0.1660116666666667</v>
      </c>
      <c r="P654" s="195">
        <v>0.98499999999999999</v>
      </c>
      <c r="Q654" s="195">
        <v>0.98864474871111119</v>
      </c>
      <c r="R654" s="196">
        <v>0.99</v>
      </c>
      <c r="S654" s="197">
        <v>0.9988866666666667</v>
      </c>
      <c r="T654" s="198">
        <v>1.4999999999999999E-2</v>
      </c>
      <c r="U654" s="197">
        <v>4.4999999999999997E-3</v>
      </c>
      <c r="V654" s="198">
        <v>0</v>
      </c>
      <c r="W654" s="197">
        <v>0</v>
      </c>
      <c r="X654" s="199">
        <f t="shared" si="74"/>
        <v>-4.69303152822238E-2</v>
      </c>
    </row>
    <row r="655" spans="1:24">
      <c r="A655" s="189" t="s">
        <v>14</v>
      </c>
      <c r="B655" s="190" t="s">
        <v>67</v>
      </c>
      <c r="C655" s="190">
        <v>5</v>
      </c>
      <c r="D655" s="191">
        <v>6</v>
      </c>
      <c r="E655" s="192">
        <v>44500</v>
      </c>
      <c r="F655" s="24">
        <v>751.45917387828558</v>
      </c>
      <c r="G655" s="24">
        <v>688.39200000000005</v>
      </c>
      <c r="H655" s="193">
        <v>139.1</v>
      </c>
      <c r="I655" s="194">
        <v>127.04000000000002</v>
      </c>
      <c r="J655" s="193">
        <v>172.2</v>
      </c>
      <c r="K655" s="194">
        <v>159.08000000000004</v>
      </c>
      <c r="L655" s="195">
        <f t="shared" si="76"/>
        <v>0.73838822551030225</v>
      </c>
      <c r="M655" s="195">
        <f t="shared" si="77"/>
        <v>0.73413171076307338</v>
      </c>
      <c r="N655" s="195">
        <f t="shared" si="78"/>
        <v>0.20200515426835636</v>
      </c>
      <c r="O655" s="195">
        <f t="shared" si="79"/>
        <v>0.18505161290322583</v>
      </c>
      <c r="P655" s="195">
        <v>0.98499999999999999</v>
      </c>
      <c r="Q655" s="195">
        <v>0.98241502999999997</v>
      </c>
      <c r="R655" s="196">
        <v>0.99</v>
      </c>
      <c r="S655" s="197">
        <v>0.99913548387096773</v>
      </c>
      <c r="T655" s="198">
        <v>1.4999999999999999E-2</v>
      </c>
      <c r="U655" s="197">
        <v>2.24E-2</v>
      </c>
      <c r="V655" s="198">
        <v>0</v>
      </c>
      <c r="W655" s="197">
        <v>0</v>
      </c>
      <c r="X655" s="199">
        <f t="shared" si="74"/>
        <v>-7.7358049310858323E-3</v>
      </c>
    </row>
    <row r="656" spans="1:24">
      <c r="A656" s="189" t="s">
        <v>14</v>
      </c>
      <c r="B656" s="190" t="s">
        <v>67</v>
      </c>
      <c r="C656" s="190">
        <v>5</v>
      </c>
      <c r="D656" s="191">
        <v>6</v>
      </c>
      <c r="E656" s="192">
        <v>44530</v>
      </c>
      <c r="F656" s="24">
        <v>664.9609264159908</v>
      </c>
      <c r="G656" s="24">
        <v>631.81200000000001</v>
      </c>
      <c r="H656" s="193">
        <v>108.1</v>
      </c>
      <c r="I656" s="194">
        <v>103.76999999999998</v>
      </c>
      <c r="J656" s="193">
        <v>152.1</v>
      </c>
      <c r="K656" s="194">
        <v>148.66</v>
      </c>
      <c r="L656" s="195">
        <f t="shared" si="76"/>
        <v>0.7397405598729917</v>
      </c>
      <c r="M656" s="195">
        <f t="shared" si="77"/>
        <v>0.71033010551432896</v>
      </c>
      <c r="N656" s="195">
        <f t="shared" si="78"/>
        <v>0.18471136844888633</v>
      </c>
      <c r="O656" s="195">
        <f t="shared" si="79"/>
        <v>0.17550333333333334</v>
      </c>
      <c r="P656" s="195">
        <v>0.98499999999999999</v>
      </c>
      <c r="Q656" s="195">
        <v>0.99719999999999998</v>
      </c>
      <c r="R656" s="196">
        <v>0.99</v>
      </c>
      <c r="S656" s="197">
        <v>1</v>
      </c>
      <c r="T656" s="198">
        <v>1.4999999999999999E-2</v>
      </c>
      <c r="U656" s="197">
        <v>1.8497007516012111E-2</v>
      </c>
      <c r="V656" s="198">
        <v>0</v>
      </c>
      <c r="W656" s="197">
        <v>0</v>
      </c>
      <c r="X656" s="199">
        <f t="shared" si="74"/>
        <v>-2.7234239213357547E-2</v>
      </c>
    </row>
    <row r="657" spans="1:24">
      <c r="A657" s="189" t="s">
        <v>14</v>
      </c>
      <c r="B657" s="190" t="s">
        <v>67</v>
      </c>
      <c r="C657" s="190">
        <v>5</v>
      </c>
      <c r="D657" s="191">
        <v>6</v>
      </c>
      <c r="E657" s="192">
        <v>44561</v>
      </c>
      <c r="F657" s="24">
        <v>558.803986348629</v>
      </c>
      <c r="G657" s="24">
        <v>525.15599999999995</v>
      </c>
      <c r="H657" s="193">
        <v>89.9</v>
      </c>
      <c r="I657" s="194">
        <v>84.149999999999977</v>
      </c>
      <c r="J657" s="193">
        <v>129.6</v>
      </c>
      <c r="K657" s="194">
        <v>121.52999999999999</v>
      </c>
      <c r="L657" s="195">
        <f t="shared" si="76"/>
        <v>0.72957007680619401</v>
      </c>
      <c r="M657" s="195">
        <f t="shared" si="77"/>
        <v>0.72163706401511063</v>
      </c>
      <c r="N657" s="195">
        <f t="shared" si="78"/>
        <v>0.15021612536253467</v>
      </c>
      <c r="O657" s="195">
        <f t="shared" si="79"/>
        <v>0.14117096774193547</v>
      </c>
      <c r="P657" s="195">
        <v>0.98499999999999999</v>
      </c>
      <c r="Q657" s="195">
        <v>0.99800967741935476</v>
      </c>
      <c r="R657" s="196">
        <v>0.99</v>
      </c>
      <c r="S657" s="197">
        <v>1</v>
      </c>
      <c r="T657" s="198">
        <v>1.4999999999999999E-2</v>
      </c>
      <c r="U657" s="197">
        <v>1.4500000000000001E-2</v>
      </c>
      <c r="V657" s="198">
        <v>0</v>
      </c>
      <c r="W657" s="197">
        <v>0</v>
      </c>
      <c r="X657" s="199">
        <f t="shared" si="74"/>
        <v>2.0542266189675917E-3</v>
      </c>
    </row>
    <row r="658" spans="1:24">
      <c r="A658" s="189" t="s">
        <v>14</v>
      </c>
      <c r="B658" s="190" t="s">
        <v>67</v>
      </c>
      <c r="C658" s="190">
        <v>5</v>
      </c>
      <c r="D658" s="191">
        <v>6</v>
      </c>
      <c r="E658" s="192">
        <v>44592</v>
      </c>
      <c r="F658" s="24">
        <v>470.07910949633026</v>
      </c>
      <c r="G658" s="24">
        <v>334.47899999999998</v>
      </c>
      <c r="H658" s="193">
        <v>79.599999999999994</v>
      </c>
      <c r="I658" s="194">
        <v>58.210000000000022</v>
      </c>
      <c r="J658" s="193">
        <v>103.2</v>
      </c>
      <c r="K658" s="194">
        <v>72.67</v>
      </c>
      <c r="L658" s="195">
        <f t="shared" si="76"/>
        <v>0.77073267864270634</v>
      </c>
      <c r="M658" s="195">
        <f t="shared" si="77"/>
        <v>0.76996736003576516</v>
      </c>
      <c r="N658" s="195">
        <f t="shared" si="78"/>
        <v>0.12636535201514254</v>
      </c>
      <c r="O658" s="195">
        <f t="shared" si="79"/>
        <v>8.9913709677419351E-2</v>
      </c>
      <c r="P658" s="195">
        <v>0.98499999999999999</v>
      </c>
      <c r="Q658" s="195">
        <v>0.99629999999999996</v>
      </c>
      <c r="R658" s="196">
        <v>0.99</v>
      </c>
      <c r="S658" s="197">
        <v>1</v>
      </c>
      <c r="T658" s="198">
        <v>1.4999999999999999E-2</v>
      </c>
      <c r="U658" s="197">
        <v>0</v>
      </c>
      <c r="V658" s="198">
        <v>0</v>
      </c>
      <c r="W658" s="197">
        <v>0</v>
      </c>
      <c r="X658" s="199">
        <f t="shared" si="74"/>
        <v>7.3710154872583811E-3</v>
      </c>
    </row>
    <row r="659" spans="1:24">
      <c r="A659" s="189" t="s">
        <v>14</v>
      </c>
      <c r="B659" s="190" t="s">
        <v>67</v>
      </c>
      <c r="C659" s="190">
        <v>5</v>
      </c>
      <c r="D659" s="191">
        <v>6</v>
      </c>
      <c r="E659" s="192">
        <v>44620</v>
      </c>
      <c r="F659" s="24">
        <v>617.29921706194955</v>
      </c>
      <c r="G659" s="24">
        <v>625.779</v>
      </c>
      <c r="H659" s="193">
        <v>108.1</v>
      </c>
      <c r="I659" s="194">
        <v>108.97</v>
      </c>
      <c r="J659" s="193">
        <v>137.5</v>
      </c>
      <c r="K659" s="194">
        <v>141.71999999999997</v>
      </c>
      <c r="L659" s="195">
        <f t="shared" si="76"/>
        <v>0.75963601545848269</v>
      </c>
      <c r="M659" s="195">
        <f t="shared" si="77"/>
        <v>0.74765028752798957</v>
      </c>
      <c r="N659" s="195">
        <f t="shared" si="78"/>
        <v>0.18372000507796116</v>
      </c>
      <c r="O659" s="195">
        <f t="shared" si="79"/>
        <v>0.18624374999999999</v>
      </c>
      <c r="P659" s="195">
        <v>0.98499999999999999</v>
      </c>
      <c r="Q659" s="195">
        <v>0.98432856000000002</v>
      </c>
      <c r="R659" s="196">
        <v>0.99</v>
      </c>
      <c r="S659" s="197">
        <v>0.99790000000000001</v>
      </c>
      <c r="T659" s="198">
        <v>1.4999999999999999E-2</v>
      </c>
      <c r="U659" s="197">
        <v>1.32E-2</v>
      </c>
      <c r="V659" s="198">
        <v>0</v>
      </c>
      <c r="W659" s="197">
        <v>0</v>
      </c>
      <c r="X659" s="199">
        <f t="shared" si="74"/>
        <v>-1.69540004675508E-2</v>
      </c>
    </row>
    <row r="660" spans="1:24">
      <c r="A660" s="189" t="s">
        <v>14</v>
      </c>
      <c r="B660" s="190" t="s">
        <v>67</v>
      </c>
      <c r="C660" s="190">
        <v>5</v>
      </c>
      <c r="D660" s="191">
        <v>6</v>
      </c>
      <c r="E660" s="192">
        <v>44651</v>
      </c>
      <c r="F660" s="24">
        <v>827.74213196943265</v>
      </c>
      <c r="G660" s="24">
        <f>[1]Database!$I$425/1000</f>
        <v>772.09799999999996</v>
      </c>
      <c r="H660" s="193">
        <v>161.4</v>
      </c>
      <c r="I660" s="194">
        <v>162.41999999999999</v>
      </c>
      <c r="J660" s="193">
        <v>187.8</v>
      </c>
      <c r="K660" s="194">
        <v>188.44</v>
      </c>
      <c r="L660" s="195">
        <f t="shared" si="76"/>
        <v>0.74578216373885942</v>
      </c>
      <c r="M660" s="195">
        <f t="shared" si="77"/>
        <v>0.72462415024764137</v>
      </c>
      <c r="N660" s="195">
        <f t="shared" si="78"/>
        <v>0.22251132579823457</v>
      </c>
      <c r="O660" s="195">
        <f t="shared" si="79"/>
        <v>0.20755322580645158</v>
      </c>
      <c r="P660" s="195">
        <v>0.98499999999999999</v>
      </c>
      <c r="Q660" s="195">
        <f>'[2]UTT '!$II$10</f>
        <v>0.94240000000000002</v>
      </c>
      <c r="R660" s="196">
        <v>0.99</v>
      </c>
      <c r="S660" s="197">
        <v>1</v>
      </c>
      <c r="T660" s="198">
        <v>1.4999999999999999E-2</v>
      </c>
      <c r="U660" s="197">
        <v>1.3142754346753849E-2</v>
      </c>
      <c r="V660" s="198">
        <v>0</v>
      </c>
      <c r="W660" s="197">
        <v>0</v>
      </c>
      <c r="X660" s="199">
        <f t="shared" si="74"/>
        <v>-7.0631874550657225E-2</v>
      </c>
    </row>
    <row r="661" spans="1:24">
      <c r="A661" s="189" t="s">
        <v>14</v>
      </c>
      <c r="B661" s="190" t="s">
        <v>67</v>
      </c>
      <c r="C661" s="190">
        <v>5</v>
      </c>
      <c r="D661" s="191">
        <v>6</v>
      </c>
      <c r="E661" s="192">
        <v>44681</v>
      </c>
      <c r="F661" s="24">
        <v>856.16091876890471</v>
      </c>
      <c r="G661" s="24">
        <v>750.72900000000004</v>
      </c>
      <c r="H661" s="193">
        <v>190.2</v>
      </c>
      <c r="I661" s="194">
        <v>174.14000000000001</v>
      </c>
      <c r="J661" s="193">
        <v>194</v>
      </c>
      <c r="K661" s="194">
        <v>182.27000000000004</v>
      </c>
      <c r="L661" s="195">
        <f t="shared" si="76"/>
        <v>0.74673445215073597</v>
      </c>
      <c r="M661" s="195">
        <f t="shared" si="77"/>
        <v>0.69374673164069545</v>
      </c>
      <c r="N661" s="195">
        <f t="shared" si="78"/>
        <v>0.23782247743580687</v>
      </c>
      <c r="O661" s="195">
        <f t="shared" si="79"/>
        <v>0.20853583333333336</v>
      </c>
      <c r="P661" s="195">
        <v>0.98499999999999999</v>
      </c>
      <c r="Q661" s="195">
        <v>0.98950000000000005</v>
      </c>
      <c r="R661" s="196">
        <v>0.99</v>
      </c>
      <c r="S661" s="197">
        <v>1</v>
      </c>
      <c r="T661" s="198">
        <v>1.4999999999999999E-2</v>
      </c>
      <c r="U661" s="197">
        <v>2.0799999999999999E-2</v>
      </c>
      <c r="V661" s="198">
        <v>0</v>
      </c>
      <c r="W661" s="197">
        <v>0</v>
      </c>
      <c r="X661" s="199">
        <f t="shared" si="74"/>
        <v>-6.2681061949006023E-2</v>
      </c>
    </row>
    <row r="662" spans="1:24">
      <c r="A662" s="189" t="s">
        <v>14</v>
      </c>
      <c r="B662" s="190" t="s">
        <v>67</v>
      </c>
      <c r="C662" s="190">
        <v>5</v>
      </c>
      <c r="D662" s="191">
        <v>6</v>
      </c>
      <c r="E662" s="192">
        <v>44712</v>
      </c>
      <c r="F662" s="24">
        <v>867.31259460160868</v>
      </c>
      <c r="G662" s="24">
        <v>786.846</v>
      </c>
      <c r="H662" s="193">
        <v>197</v>
      </c>
      <c r="I662" s="194">
        <v>187.18</v>
      </c>
      <c r="J662" s="193">
        <v>197.7</v>
      </c>
      <c r="K662" s="194">
        <v>186.75000000000006</v>
      </c>
      <c r="L662" s="195">
        <f t="shared" si="76"/>
        <v>0.74230349065146717</v>
      </c>
      <c r="M662" s="195">
        <f t="shared" si="77"/>
        <v>0.71716940169476973</v>
      </c>
      <c r="N662" s="195">
        <f t="shared" si="78"/>
        <v>0.23314854693591633</v>
      </c>
      <c r="O662" s="195">
        <f t="shared" si="79"/>
        <v>0.21151774193548384</v>
      </c>
      <c r="P662" s="195">
        <v>0.98499999999999999</v>
      </c>
      <c r="Q662" s="195">
        <v>0.97916555741935507</v>
      </c>
      <c r="R662" s="196">
        <v>0.99</v>
      </c>
      <c r="S662" s="197">
        <v>1</v>
      </c>
      <c r="T662" s="198">
        <v>1.4999999999999999E-2</v>
      </c>
      <c r="U662" s="197">
        <v>6.4999999999999997E-3</v>
      </c>
      <c r="V662" s="198">
        <v>0</v>
      </c>
      <c r="W662" s="197">
        <v>0</v>
      </c>
      <c r="X662" s="199">
        <f t="shared" si="74"/>
        <v>-3.738997399287225E-2</v>
      </c>
    </row>
    <row r="663" spans="1:24">
      <c r="A663" s="189" t="s">
        <v>14</v>
      </c>
      <c r="B663" s="190" t="s">
        <v>67</v>
      </c>
      <c r="C663" s="190">
        <v>5</v>
      </c>
      <c r="D663" s="191">
        <v>6</v>
      </c>
      <c r="E663" s="192">
        <v>44742</v>
      </c>
      <c r="F663" s="24">
        <v>778.81865089692383</v>
      </c>
      <c r="G663" s="24">
        <v>712.64099999999996</v>
      </c>
      <c r="H663" s="193">
        <v>178.9</v>
      </c>
      <c r="I663" s="194">
        <v>171.11999999999995</v>
      </c>
      <c r="J663" s="193">
        <v>177.2</v>
      </c>
      <c r="K663" s="194">
        <v>170.06999999999996</v>
      </c>
      <c r="L663" s="195">
        <f t="shared" si="76"/>
        <v>0.7436783609837212</v>
      </c>
      <c r="M663" s="195">
        <f t="shared" si="77"/>
        <v>0.70039839953584171</v>
      </c>
      <c r="N663" s="195">
        <f t="shared" si="78"/>
        <v>0.21633851413803443</v>
      </c>
      <c r="O663" s="195">
        <f t="shared" si="79"/>
        <v>0.19795583333333333</v>
      </c>
      <c r="P663" s="195">
        <v>0.98499999999999999</v>
      </c>
      <c r="Q663" s="195">
        <v>0.99711832473333306</v>
      </c>
      <c r="R663" s="196">
        <v>0.99</v>
      </c>
      <c r="S663" s="197">
        <v>0.99920666666666658</v>
      </c>
      <c r="T663" s="198">
        <v>1.4999999999999999E-2</v>
      </c>
      <c r="U663" s="197">
        <v>8.5000000000000006E-3</v>
      </c>
      <c r="V663" s="198">
        <v>0</v>
      </c>
      <c r="W663" s="197">
        <v>0</v>
      </c>
      <c r="X663" s="199">
        <f t="shared" si="74"/>
        <v>-4.4734815965385089E-2</v>
      </c>
    </row>
    <row r="664" spans="1:24">
      <c r="A664" s="189" t="s">
        <v>14</v>
      </c>
      <c r="B664" s="190" t="s">
        <v>67</v>
      </c>
      <c r="C664" s="190">
        <v>5</v>
      </c>
      <c r="D664" s="191">
        <v>6</v>
      </c>
      <c r="E664" s="192">
        <v>44773</v>
      </c>
      <c r="F664" s="24">
        <v>689.24551275681563</v>
      </c>
      <c r="G664" s="24">
        <v>667.68600000000004</v>
      </c>
      <c r="H664" s="193">
        <v>155.5</v>
      </c>
      <c r="I664" s="194">
        <v>154.21999999999994</v>
      </c>
      <c r="J664" s="193">
        <v>154.6</v>
      </c>
      <c r="K664" s="194">
        <v>152.39999999999998</v>
      </c>
      <c r="L664" s="195">
        <f t="shared" si="76"/>
        <v>0.75435709068193635</v>
      </c>
      <c r="M664" s="195">
        <f t="shared" si="77"/>
        <v>0.74799003876543546</v>
      </c>
      <c r="N664" s="195">
        <f t="shared" si="78"/>
        <v>0.1852810518163483</v>
      </c>
      <c r="O664" s="195">
        <f t="shared" si="79"/>
        <v>0.17948548387096774</v>
      </c>
      <c r="P664" s="195">
        <v>0.98499999999999999</v>
      </c>
      <c r="Q664" s="195">
        <v>0.97620322580645158</v>
      </c>
      <c r="R664" s="196">
        <v>0.99</v>
      </c>
      <c r="S664" s="197">
        <v>1</v>
      </c>
      <c r="T664" s="198">
        <v>1.4999999999999999E-2</v>
      </c>
      <c r="U664" s="197">
        <v>6.1999999999999998E-3</v>
      </c>
      <c r="V664" s="198">
        <v>0</v>
      </c>
      <c r="W664" s="197">
        <v>0</v>
      </c>
      <c r="X664" s="199">
        <f t="shared" si="74"/>
        <v>-1.704960227708463E-2</v>
      </c>
    </row>
    <row r="665" spans="1:24">
      <c r="A665" s="189" t="s">
        <v>14</v>
      </c>
      <c r="B665" s="190" t="s">
        <v>67</v>
      </c>
      <c r="C665" s="190">
        <v>5</v>
      </c>
      <c r="D665" s="191">
        <v>6</v>
      </c>
      <c r="E665" s="192">
        <v>44804</v>
      </c>
      <c r="F665" s="24">
        <v>654.44149221442422</v>
      </c>
      <c r="G665" s="24">
        <v>687.87599999999998</v>
      </c>
      <c r="H665" s="193">
        <v>145.4</v>
      </c>
      <c r="I665" s="194">
        <v>161.01</v>
      </c>
      <c r="J665" s="193">
        <v>146.30000000000001</v>
      </c>
      <c r="K665" s="194">
        <v>161.92999999999995</v>
      </c>
      <c r="L665" s="195">
        <f t="shared" si="76"/>
        <v>0.75690089577245401</v>
      </c>
      <c r="M665" s="195">
        <f t="shared" si="77"/>
        <v>0.72702180166392061</v>
      </c>
      <c r="N665" s="195">
        <f t="shared" si="78"/>
        <v>0.17592513231570545</v>
      </c>
      <c r="O665" s="195">
        <f t="shared" si="79"/>
        <v>0.18491290322580645</v>
      </c>
      <c r="P665" s="195">
        <v>0.98499999999999999</v>
      </c>
      <c r="Q665" s="195">
        <v>0.97383225806451623</v>
      </c>
      <c r="R665" s="196">
        <v>0.99</v>
      </c>
      <c r="S665" s="197">
        <v>1</v>
      </c>
      <c r="T665" s="198">
        <v>1.4999999999999999E-2</v>
      </c>
      <c r="U665" s="197">
        <v>1.2500000000000001E-2</v>
      </c>
      <c r="V665" s="198">
        <v>0</v>
      </c>
      <c r="W665" s="197">
        <v>0</v>
      </c>
      <c r="X665" s="199">
        <f t="shared" si="74"/>
        <v>-5.57466575146921E-2</v>
      </c>
    </row>
    <row r="666" spans="1:24">
      <c r="A666" s="189" t="s">
        <v>14</v>
      </c>
      <c r="B666" s="190" t="s">
        <v>67</v>
      </c>
      <c r="C666" s="190">
        <v>5</v>
      </c>
      <c r="D666" s="191">
        <v>6</v>
      </c>
      <c r="E666" s="192">
        <v>44834</v>
      </c>
      <c r="F666" s="24">
        <v>652.10323760434107</v>
      </c>
      <c r="G666" s="24">
        <v>584.46</v>
      </c>
      <c r="H666" s="193">
        <v>141.6</v>
      </c>
      <c r="I666" s="194">
        <v>129.53000000000003</v>
      </c>
      <c r="J666" s="193">
        <v>145.5</v>
      </c>
      <c r="K666" s="194">
        <v>135.13000000000002</v>
      </c>
      <c r="L666" s="195">
        <f t="shared" si="76"/>
        <v>0.75834334909593637</v>
      </c>
      <c r="M666" s="195">
        <f t="shared" si="77"/>
        <v>0.7284076964683357</v>
      </c>
      <c r="N666" s="195">
        <f t="shared" si="78"/>
        <v>0.18113978822342808</v>
      </c>
      <c r="O666" s="195">
        <f t="shared" si="79"/>
        <v>0.16235000000000002</v>
      </c>
      <c r="P666" s="195">
        <v>0.98499999999999999</v>
      </c>
      <c r="Q666" s="195">
        <v>0.98964000000000008</v>
      </c>
      <c r="R666" s="196">
        <v>0.99</v>
      </c>
      <c r="S666" s="197">
        <v>1</v>
      </c>
      <c r="T666" s="198">
        <v>1.4999999999999999E-2</v>
      </c>
      <c r="U666" s="197">
        <v>9.7000000000000003E-3</v>
      </c>
      <c r="V666" s="198">
        <v>0</v>
      </c>
      <c r="W666" s="197">
        <v>0</v>
      </c>
      <c r="X666" s="199">
        <f t="shared" si="74"/>
        <v>-3.2459394541675457E-2</v>
      </c>
    </row>
    <row r="667" spans="1:24">
      <c r="A667" s="189" t="s">
        <v>14</v>
      </c>
      <c r="B667" s="190" t="s">
        <v>67</v>
      </c>
      <c r="C667" s="190">
        <v>5</v>
      </c>
      <c r="D667" s="191">
        <v>6</v>
      </c>
      <c r="E667" s="192">
        <v>44865</v>
      </c>
      <c r="F667" s="24">
        <v>747.70187800889414</v>
      </c>
      <c r="G667" s="24">
        <v>680.75099999999998</v>
      </c>
      <c r="H667" s="193">
        <v>139.1</v>
      </c>
      <c r="I667" s="194">
        <v>130.94999999999999</v>
      </c>
      <c r="J667" s="193">
        <v>172.2</v>
      </c>
      <c r="K667" s="194">
        <v>160.17999999999998</v>
      </c>
      <c r="L667" s="195">
        <f t="shared" si="76"/>
        <v>0.7346962843827507</v>
      </c>
      <c r="M667" s="195">
        <f t="shared" si="77"/>
        <v>0.71208593066617676</v>
      </c>
      <c r="N667" s="195">
        <f t="shared" si="78"/>
        <v>0.20099512849701456</v>
      </c>
      <c r="O667" s="195">
        <f t="shared" si="79"/>
        <v>0.18299758064516131</v>
      </c>
      <c r="P667" s="195">
        <v>0.98499999999999999</v>
      </c>
      <c r="Q667" s="195">
        <v>0.9947096774193549</v>
      </c>
      <c r="R667" s="196">
        <v>0.99</v>
      </c>
      <c r="S667" s="197">
        <v>0.99724193548387097</v>
      </c>
      <c r="T667" s="198">
        <v>1.4999999999999999E-2</v>
      </c>
      <c r="U667" s="197">
        <v>1.59105742581051E-2</v>
      </c>
      <c r="V667" s="198">
        <v>0</v>
      </c>
      <c r="W667" s="197">
        <v>0</v>
      </c>
      <c r="X667" s="199">
        <f t="shared" ref="X667:X692" si="80">(G667/F667-1)-(K667/J667-1)</f>
        <v>-1.9739654070361712E-2</v>
      </c>
    </row>
    <row r="668" spans="1:24">
      <c r="A668" s="189" t="s">
        <v>14</v>
      </c>
      <c r="B668" s="190" t="s">
        <v>67</v>
      </c>
      <c r="C668" s="190">
        <v>5</v>
      </c>
      <c r="D668" s="191">
        <v>6</v>
      </c>
      <c r="E668" s="192">
        <v>44895</v>
      </c>
      <c r="F668" s="24">
        <v>661.63612178391088</v>
      </c>
      <c r="G668" s="24">
        <v>563.52300000000002</v>
      </c>
      <c r="H668" s="193">
        <v>108.1</v>
      </c>
      <c r="I668" s="194">
        <v>98.27</v>
      </c>
      <c r="J668" s="193">
        <v>152.1</v>
      </c>
      <c r="K668" s="194">
        <v>134.56</v>
      </c>
      <c r="L668" s="195">
        <f t="shared" si="76"/>
        <v>0.73604185707362679</v>
      </c>
      <c r="M668" s="195">
        <f t="shared" si="77"/>
        <v>0.69817314671638475</v>
      </c>
      <c r="N668" s="195">
        <f t="shared" si="78"/>
        <v>0.18378781160664193</v>
      </c>
      <c r="O668" s="195">
        <f t="shared" si="79"/>
        <v>0.15653416666666667</v>
      </c>
      <c r="P668" s="195">
        <v>0.98499999999999999</v>
      </c>
      <c r="Q668" s="195">
        <v>0.99972666666666654</v>
      </c>
      <c r="R668" s="196">
        <v>0.99</v>
      </c>
      <c r="S668" s="197">
        <v>1</v>
      </c>
      <c r="T668" s="198">
        <v>1.4999999999999999E-2</v>
      </c>
      <c r="U668" s="197">
        <v>2.4899999999999999E-2</v>
      </c>
      <c r="V668" s="198">
        <v>0</v>
      </c>
      <c r="W668" s="197">
        <v>0</v>
      </c>
      <c r="X668" s="199">
        <f t="shared" si="80"/>
        <v>-3.296977251218336E-2</v>
      </c>
    </row>
    <row r="669" spans="1:24">
      <c r="A669" s="189" t="s">
        <v>14</v>
      </c>
      <c r="B669" s="190" t="s">
        <v>67</v>
      </c>
      <c r="C669" s="190">
        <v>5</v>
      </c>
      <c r="D669" s="191">
        <v>6</v>
      </c>
      <c r="E669" s="192">
        <v>44926</v>
      </c>
      <c r="F669" s="24">
        <v>556.00996641688585</v>
      </c>
      <c r="G669" s="24">
        <v>508.29599999999999</v>
      </c>
      <c r="H669" s="193">
        <v>89.9</v>
      </c>
      <c r="I669" s="194">
        <v>81.760000000000005</v>
      </c>
      <c r="J669" s="193">
        <v>129.6</v>
      </c>
      <c r="K669" s="194">
        <v>117.48</v>
      </c>
      <c r="L669" s="195">
        <f t="shared" si="76"/>
        <v>0.72592222642216309</v>
      </c>
      <c r="M669" s="195">
        <f t="shared" si="77"/>
        <v>0.72568883864483102</v>
      </c>
      <c r="N669" s="195">
        <f t="shared" si="78"/>
        <v>0.14946504473572203</v>
      </c>
      <c r="O669" s="195">
        <f t="shared" si="79"/>
        <v>0.13663870967741934</v>
      </c>
      <c r="P669" s="195">
        <v>0.98499999999999999</v>
      </c>
      <c r="Q669" s="195">
        <v>0.99369032258064516</v>
      </c>
      <c r="R669" s="196">
        <v>0.99</v>
      </c>
      <c r="S669" s="197">
        <v>1</v>
      </c>
      <c r="T669" s="198">
        <v>1.4999999999999999E-2</v>
      </c>
      <c r="U669" s="197">
        <v>1.9099999999999999E-2</v>
      </c>
      <c r="V669" s="198">
        <v>0</v>
      </c>
      <c r="W669" s="197">
        <v>0</v>
      </c>
      <c r="X669" s="199">
        <f t="shared" si="80"/>
        <v>7.7035704081983569E-3</v>
      </c>
    </row>
    <row r="670" spans="1:24">
      <c r="A670" s="189" t="s">
        <v>14</v>
      </c>
      <c r="B670" s="190" t="s">
        <v>67</v>
      </c>
      <c r="C670" s="190">
        <v>5</v>
      </c>
      <c r="D670" s="191">
        <v>6</v>
      </c>
      <c r="E670" s="192">
        <v>44957</v>
      </c>
      <c r="F670" s="24">
        <v>467.72871394884862</v>
      </c>
      <c r="G670" s="24">
        <v>389.49599999999998</v>
      </c>
      <c r="H670" s="193">
        <v>79.599999999999994</v>
      </c>
      <c r="I670" s="194">
        <v>68.47</v>
      </c>
      <c r="J670" s="193">
        <v>103.2</v>
      </c>
      <c r="K670" s="194">
        <v>87.930000000000021</v>
      </c>
      <c r="L670" s="195">
        <f t="shared" si="76"/>
        <v>0.76687901524949265</v>
      </c>
      <c r="M670" s="195">
        <f t="shared" si="77"/>
        <v>0.7467823970012375</v>
      </c>
      <c r="N670" s="195">
        <f t="shared" si="78"/>
        <v>0.12573352525506681</v>
      </c>
      <c r="O670" s="195">
        <f t="shared" si="79"/>
        <v>0.10470322580645161</v>
      </c>
      <c r="P670" s="195">
        <v>0.98499999999999999</v>
      </c>
      <c r="Q670" s="195">
        <v>0.98860000000000003</v>
      </c>
      <c r="R670" s="196">
        <v>0.99</v>
      </c>
      <c r="S670" s="197">
        <v>0.99762580645161292</v>
      </c>
      <c r="T670" s="198">
        <v>1.4999999999999999E-2</v>
      </c>
      <c r="U670" s="197">
        <v>1.09E-2</v>
      </c>
      <c r="V670" s="198">
        <v>0</v>
      </c>
      <c r="W670" s="197">
        <v>0</v>
      </c>
      <c r="X670" s="199">
        <f t="shared" si="80"/>
        <v>-1.9295758701986743E-2</v>
      </c>
    </row>
    <row r="671" spans="1:24">
      <c r="A671" s="189" t="s">
        <v>14</v>
      </c>
      <c r="B671" s="190" t="s">
        <v>67</v>
      </c>
      <c r="C671" s="190">
        <v>5</v>
      </c>
      <c r="D671" s="191">
        <v>6</v>
      </c>
      <c r="E671" s="192">
        <v>44985</v>
      </c>
      <c r="F671" s="24">
        <v>614.21272097663973</v>
      </c>
      <c r="G671" s="24">
        <v>649.04700000000003</v>
      </c>
      <c r="H671" s="193">
        <v>108.1</v>
      </c>
      <c r="I671" s="194">
        <v>113.5</v>
      </c>
      <c r="J671" s="193">
        <v>137.5</v>
      </c>
      <c r="K671" s="194">
        <v>148.63999999999999</v>
      </c>
      <c r="L671" s="195">
        <f t="shared" si="76"/>
        <v>0.75583783538119031</v>
      </c>
      <c r="M671" s="195">
        <f t="shared" si="77"/>
        <v>0.73105561300479271</v>
      </c>
      <c r="N671" s="195">
        <f t="shared" si="78"/>
        <v>0.18280140505257134</v>
      </c>
      <c r="O671" s="195">
        <f t="shared" si="79"/>
        <v>0.19316875000000003</v>
      </c>
      <c r="P671" s="195">
        <v>0.98499999999999999</v>
      </c>
      <c r="Q671" s="195">
        <v>0.99549431423469381</v>
      </c>
      <c r="R671" s="196">
        <v>0.99</v>
      </c>
      <c r="S671" s="197">
        <v>0.99800357142857143</v>
      </c>
      <c r="T671" s="198">
        <v>1.4999999999999999E-2</v>
      </c>
      <c r="U671" s="197">
        <v>1.6799999999999999E-2</v>
      </c>
      <c r="V671" s="198">
        <v>0</v>
      </c>
      <c r="W671" s="197">
        <v>0</v>
      </c>
      <c r="X671" s="199">
        <f t="shared" si="80"/>
        <v>-2.4304476885513626E-2</v>
      </c>
    </row>
    <row r="672" spans="1:24">
      <c r="A672" s="189" t="s">
        <v>14</v>
      </c>
      <c r="B672" s="190" t="s">
        <v>67</v>
      </c>
      <c r="C672" s="200">
        <v>5</v>
      </c>
      <c r="D672" s="191">
        <v>6</v>
      </c>
      <c r="E672" s="192">
        <f>EOMONTH(E671,1)</f>
        <v>45016</v>
      </c>
      <c r="F672" s="24">
        <v>823.60342130958554</v>
      </c>
      <c r="G672" s="24">
        <v>724.37699999999995</v>
      </c>
      <c r="H672" s="24">
        <v>161.4</v>
      </c>
      <c r="I672" s="24">
        <v>149.16000000000003</v>
      </c>
      <c r="J672" s="193">
        <v>187.8</v>
      </c>
      <c r="K672" s="194">
        <v>170.12000000000003</v>
      </c>
      <c r="L672" s="195">
        <f t="shared" si="76"/>
        <v>0.74205325292016522</v>
      </c>
      <c r="M672" s="195">
        <f t="shared" si="77"/>
        <v>0.71594751762406839</v>
      </c>
      <c r="N672" s="195">
        <f t="shared" si="78"/>
        <v>0.22139876916924345</v>
      </c>
      <c r="O672" s="195">
        <f t="shared" si="79"/>
        <v>0.19472499999999998</v>
      </c>
      <c r="P672" s="195">
        <v>0.98499999999999999</v>
      </c>
      <c r="Q672" s="195">
        <v>0.99123548387096772</v>
      </c>
      <c r="R672" s="195">
        <v>0.99</v>
      </c>
      <c r="S672" s="195">
        <v>1</v>
      </c>
      <c r="T672" s="198">
        <v>1.4999999999999999E-2</v>
      </c>
      <c r="U672" s="197">
        <v>-1.43E-2</v>
      </c>
      <c r="V672" s="198">
        <v>0</v>
      </c>
      <c r="W672" s="197">
        <v>0</v>
      </c>
      <c r="X672" s="199">
        <f t="shared" si="80"/>
        <v>-2.6335693629553236E-2</v>
      </c>
    </row>
    <row r="673" spans="1:24">
      <c r="A673" s="189" t="s">
        <v>14</v>
      </c>
      <c r="B673" s="190" t="s">
        <v>67</v>
      </c>
      <c r="C673" s="200">
        <v>5</v>
      </c>
      <c r="D673" s="191">
        <v>6</v>
      </c>
      <c r="E673" s="192">
        <f t="shared" ref="E673:E685" si="81">E572</f>
        <v>45046</v>
      </c>
      <c r="F673" s="24">
        <f>UTT!X722</f>
        <v>45046</v>
      </c>
      <c r="G673" s="24">
        <f>UTT!Y722</f>
        <v>851.88011417506016</v>
      </c>
      <c r="H673" s="24">
        <f>UTT!Z722</f>
        <v>782.53200000000004</v>
      </c>
      <c r="I673" s="24">
        <f>UTT!AA722</f>
        <v>190.2</v>
      </c>
      <c r="J673" s="24">
        <f>UTT!AB722</f>
        <v>182.11</v>
      </c>
      <c r="K673" s="24">
        <f>UTT!AC722</f>
        <v>194</v>
      </c>
      <c r="L673" s="195">
        <f t="shared" si="76"/>
        <v>189.65818161830327</v>
      </c>
      <c r="M673" s="195">
        <f t="shared" si="77"/>
        <v>0.74300077988998214</v>
      </c>
      <c r="N673" s="195">
        <f t="shared" si="78"/>
        <v>12.512777777777778</v>
      </c>
      <c r="O673" s="195">
        <f t="shared" si="79"/>
        <v>0.23663336504862781</v>
      </c>
      <c r="P673" s="195">
        <f>UTT!AH722</f>
        <v>0.21736999999999998</v>
      </c>
      <c r="Q673" s="195">
        <f>UTT!AI722</f>
        <v>0.98499999999999999</v>
      </c>
      <c r="R673" s="195">
        <f>UTT!AJ722</f>
        <v>0.97997333333333336</v>
      </c>
      <c r="S673" s="195">
        <f>UTT!AK722</f>
        <v>0.99</v>
      </c>
      <c r="T673" s="198">
        <v>1.4999999999999999E-2</v>
      </c>
      <c r="U673" s="195">
        <f>UTT!AQ722</f>
        <v>1.0000000000000009E-2</v>
      </c>
      <c r="V673" s="198">
        <v>0</v>
      </c>
      <c r="W673" s="197">
        <v>0</v>
      </c>
      <c r="X673" s="199">
        <f t="shared" si="80"/>
        <v>-1.0463788715998823</v>
      </c>
    </row>
    <row r="674" spans="1:24">
      <c r="A674" s="189" t="s">
        <v>14</v>
      </c>
      <c r="B674" s="190" t="s">
        <v>67</v>
      </c>
      <c r="C674" s="200">
        <v>5</v>
      </c>
      <c r="D674" s="191">
        <v>6</v>
      </c>
      <c r="E674" s="192">
        <f t="shared" si="81"/>
        <v>45077</v>
      </c>
      <c r="F674" s="24">
        <f>UTT!X723</f>
        <v>45077</v>
      </c>
      <c r="G674" s="24">
        <f>UTT!Y723</f>
        <v>862.97603162860071</v>
      </c>
      <c r="H674" s="24">
        <f>UTT!Z723</f>
        <v>712.90499999999997</v>
      </c>
      <c r="I674" s="24">
        <f>UTT!AA723</f>
        <v>197</v>
      </c>
      <c r="J674" s="24">
        <f>UTT!AB723</f>
        <v>190.73</v>
      </c>
      <c r="K674" s="24">
        <f>UTT!AC723</f>
        <v>197.7</v>
      </c>
      <c r="L674" s="195">
        <f t="shared" si="76"/>
        <v>205.53984509058057</v>
      </c>
      <c r="M674" s="195">
        <f t="shared" si="77"/>
        <v>0.73859197319820979</v>
      </c>
      <c r="N674" s="195">
        <f t="shared" si="78"/>
        <v>12.11747311827957</v>
      </c>
      <c r="O674" s="195">
        <f t="shared" si="79"/>
        <v>0.23198280420123671</v>
      </c>
      <c r="P674" s="195">
        <f>UTT!AH723</f>
        <v>0.19164112903225805</v>
      </c>
      <c r="Q674" s="195">
        <f>UTT!AI723</f>
        <v>0.98499999999999999</v>
      </c>
      <c r="R674" s="195">
        <f>UTT!AJ723</f>
        <v>0.90941635761706563</v>
      </c>
      <c r="S674" s="195">
        <f>UTT!AK723</f>
        <v>0.99</v>
      </c>
      <c r="T674" s="198">
        <v>1.4999999999999999E-2</v>
      </c>
      <c r="U674" s="195">
        <f>UTT!AQ723</f>
        <v>3.6419354838710394E-3</v>
      </c>
      <c r="V674" s="198">
        <v>0</v>
      </c>
      <c r="W674" s="197">
        <v>0</v>
      </c>
      <c r="X674" s="199">
        <f t="shared" si="80"/>
        <v>-1.0173993185761154</v>
      </c>
    </row>
    <row r="675" spans="1:24">
      <c r="A675" s="189" t="s">
        <v>14</v>
      </c>
      <c r="B675" s="190" t="s">
        <v>67</v>
      </c>
      <c r="C675" s="200">
        <v>5</v>
      </c>
      <c r="D675" s="191">
        <v>6</v>
      </c>
      <c r="E675" s="192">
        <f t="shared" si="81"/>
        <v>45107</v>
      </c>
      <c r="F675" s="24">
        <f>UTT!X724</f>
        <v>45107</v>
      </c>
      <c r="G675" s="24">
        <f>UTT!Y724</f>
        <v>774.92455764243925</v>
      </c>
      <c r="H675" s="24">
        <f>UTT!Z724</f>
        <v>711.86099999999999</v>
      </c>
      <c r="I675" s="24">
        <f>UTT!AA724</f>
        <v>178.9</v>
      </c>
      <c r="J675" s="24">
        <f>UTT!AB724</f>
        <v>169.89000000000001</v>
      </c>
      <c r="K675" s="24">
        <f>UTT!AC724</f>
        <v>177.2</v>
      </c>
      <c r="L675" s="195">
        <f t="shared" si="76"/>
        <v>223.7856206406326</v>
      </c>
      <c r="M675" s="195">
        <f t="shared" si="77"/>
        <v>0.73995996917880247</v>
      </c>
      <c r="N675" s="195">
        <f t="shared" si="78"/>
        <v>12.529722222222222</v>
      </c>
      <c r="O675" s="195">
        <f t="shared" si="79"/>
        <v>0.21525682156734421</v>
      </c>
      <c r="P675" s="195">
        <f>UTT!AH724</f>
        <v>0.19773916666666666</v>
      </c>
      <c r="Q675" s="195">
        <f>UTT!AI724</f>
        <v>0.98499999999999999</v>
      </c>
      <c r="R675" s="195">
        <f>UTT!AJ724</f>
        <v>0.98760000000000014</v>
      </c>
      <c r="S675" s="195">
        <f>UTT!AK724</f>
        <v>0.99</v>
      </c>
      <c r="T675" s="198">
        <v>1.4999999999999999E-2</v>
      </c>
      <c r="U675" s="195">
        <f>UTT!AQ724</f>
        <v>1.0000000000000009E-2</v>
      </c>
      <c r="V675" s="198">
        <v>0</v>
      </c>
      <c r="W675" s="197">
        <v>0</v>
      </c>
      <c r="X675" s="199">
        <f t="shared" si="80"/>
        <v>-1.0258481453190549</v>
      </c>
    </row>
    <row r="676" spans="1:24">
      <c r="A676" s="189" t="s">
        <v>14</v>
      </c>
      <c r="B676" s="190" t="s">
        <v>67</v>
      </c>
      <c r="C676" s="200">
        <v>5</v>
      </c>
      <c r="D676" s="191">
        <v>6</v>
      </c>
      <c r="E676" s="192">
        <f t="shared" si="81"/>
        <v>45138</v>
      </c>
      <c r="F676" s="24">
        <f>UTT!X725</f>
        <v>45138</v>
      </c>
      <c r="G676" s="24">
        <f>UTT!Y725</f>
        <v>685.79928519303155</v>
      </c>
      <c r="H676" s="24">
        <f>UTT!Z725</f>
        <v>571.75799999999936</v>
      </c>
      <c r="I676" s="24">
        <f>UTT!AA725</f>
        <v>155.5</v>
      </c>
      <c r="J676" s="24">
        <f>UTT!AB725</f>
        <v>138.42000000000002</v>
      </c>
      <c r="K676" s="24">
        <f>UTT!AC725</f>
        <v>154.6</v>
      </c>
      <c r="L676" s="195">
        <f t="shared" si="76"/>
        <v>353.60867169223059</v>
      </c>
      <c r="M676" s="195">
        <f t="shared" si="77"/>
        <v>0.75058530522852662</v>
      </c>
      <c r="N676" s="195">
        <f t="shared" si="78"/>
        <v>12.133870967741936</v>
      </c>
      <c r="O676" s="195">
        <f t="shared" si="79"/>
        <v>0.18435464655726655</v>
      </c>
      <c r="P676" s="195">
        <f>UTT!AH725</f>
        <v>0.15369838709677403</v>
      </c>
      <c r="Q676" s="195">
        <f>UTT!AI725</f>
        <v>0.98499999999999999</v>
      </c>
      <c r="R676" s="195">
        <f>UTT!AJ725</f>
        <v>0.95019354838709669</v>
      </c>
      <c r="S676" s="195">
        <f>UTT!AK725</f>
        <v>0.99</v>
      </c>
      <c r="T676" s="198">
        <v>1.4999999999999999E-2</v>
      </c>
      <c r="U676" s="195">
        <f>UTT!AQ725</f>
        <v>1.0000000000000009E-2</v>
      </c>
      <c r="V676" s="198">
        <v>0</v>
      </c>
      <c r="W676" s="197">
        <v>0</v>
      </c>
      <c r="X676" s="199">
        <f t="shared" si="80"/>
        <v>-1.1016972316928624</v>
      </c>
    </row>
    <row r="677" spans="1:24">
      <c r="A677" s="189" t="s">
        <v>14</v>
      </c>
      <c r="B677" s="190" t="s">
        <v>67</v>
      </c>
      <c r="C677" s="200">
        <v>5</v>
      </c>
      <c r="D677" s="191">
        <v>6</v>
      </c>
      <c r="E677" s="192">
        <f t="shared" si="81"/>
        <v>45169</v>
      </c>
      <c r="F677" s="24">
        <f>UTT!X726</f>
        <v>45169</v>
      </c>
      <c r="G677" s="24">
        <f>UTT!Y726</f>
        <v>651.16928475335203</v>
      </c>
      <c r="H677" s="24">
        <f>UTT!Z726</f>
        <v>578.95500000000004</v>
      </c>
      <c r="I677" s="24">
        <f>UTT!AA726</f>
        <v>145.4</v>
      </c>
      <c r="J677" s="24">
        <f>UTT!AB726</f>
        <v>132.81</v>
      </c>
      <c r="K677" s="24">
        <f>UTT!AC726</f>
        <v>146.30000000000001</v>
      </c>
      <c r="L677" s="195">
        <f t="shared" si="76"/>
        <v>364.21395306213907</v>
      </c>
      <c r="M677" s="195">
        <f t="shared" si="77"/>
        <v>0.75311639129359165</v>
      </c>
      <c r="N677" s="195">
        <f t="shared" si="78"/>
        <v>12.142204301075269</v>
      </c>
      <c r="O677" s="195">
        <f t="shared" si="79"/>
        <v>0.17504550665412691</v>
      </c>
      <c r="P677" s="195">
        <f>UTT!AH726</f>
        <v>0.15563306451612904</v>
      </c>
      <c r="Q677" s="195">
        <f>UTT!AI726</f>
        <v>0.98499999999999999</v>
      </c>
      <c r="R677" s="195">
        <f>UTT!AJ726</f>
        <v>0.97502903225806448</v>
      </c>
      <c r="S677" s="195">
        <f>UTT!AK726</f>
        <v>0.99</v>
      </c>
      <c r="T677" s="198">
        <v>1.4999999999999999E-2</v>
      </c>
      <c r="U677" s="195">
        <f>UTT!AQ726</f>
        <v>1.0000000000000009E-2</v>
      </c>
      <c r="V677" s="198">
        <v>0</v>
      </c>
      <c r="W677" s="197">
        <v>0</v>
      </c>
      <c r="X677" s="199">
        <f t="shared" si="80"/>
        <v>-1.087157389299066</v>
      </c>
    </row>
    <row r="678" spans="1:24">
      <c r="A678" s="189" t="s">
        <v>14</v>
      </c>
      <c r="B678" s="190" t="s">
        <v>67</v>
      </c>
      <c r="C678" s="200">
        <v>5</v>
      </c>
      <c r="D678" s="191">
        <v>6</v>
      </c>
      <c r="E678" s="192">
        <f t="shared" si="81"/>
        <v>45199</v>
      </c>
      <c r="F678" s="24">
        <f>UTT!X727</f>
        <v>45199</v>
      </c>
      <c r="G678" s="24">
        <f>UTT!Y727</f>
        <v>648.84272141631936</v>
      </c>
      <c r="H678" s="24">
        <f>UTT!Z727</f>
        <v>650.60400000000004</v>
      </c>
      <c r="I678" s="24">
        <f>UTT!AA727</f>
        <v>141.6</v>
      </c>
      <c r="J678" s="24">
        <f>UTT!AB727</f>
        <v>141.79</v>
      </c>
      <c r="K678" s="24">
        <f>UTT!AC727</f>
        <v>145.5</v>
      </c>
      <c r="L678" s="195">
        <f t="shared" ref="L678:L692" si="82">F678/D678/J678/P678</f>
        <v>293.97997270200278</v>
      </c>
      <c r="M678" s="195">
        <f t="shared" ref="M678:M692" si="83">G678/D678/K678/Q678</f>
        <v>0.75455163235045664</v>
      </c>
      <c r="N678" s="195">
        <f t="shared" ref="N678:N692" si="84">F678/24/DAY(E678)/C678</f>
        <v>12.555277777777778</v>
      </c>
      <c r="O678" s="195">
        <f t="shared" ref="O678:O692" si="85">G678/24/DAY(E678)/C678</f>
        <v>0.18023408928231094</v>
      </c>
      <c r="P678" s="195">
        <f>UTT!AH727</f>
        <v>0.18072333333333335</v>
      </c>
      <c r="Q678" s="195">
        <f>UTT!AI727</f>
        <v>0.98499999999999999</v>
      </c>
      <c r="R678" s="195">
        <f>UTT!AJ727</f>
        <v>0.98804333333333338</v>
      </c>
      <c r="S678" s="195">
        <f>UTT!AK727</f>
        <v>0.99</v>
      </c>
      <c r="T678" s="198">
        <v>1.4999999999999999E-2</v>
      </c>
      <c r="U678" s="195">
        <f>UTT!AQ727</f>
        <v>1.0000000000000009E-2</v>
      </c>
      <c r="V678" s="198">
        <v>0</v>
      </c>
      <c r="W678" s="197">
        <v>0</v>
      </c>
      <c r="X678" s="199">
        <f t="shared" si="80"/>
        <v>-1.0118102108971114</v>
      </c>
    </row>
    <row r="679" spans="1:24">
      <c r="A679" s="189" t="s">
        <v>14</v>
      </c>
      <c r="B679" s="190" t="s">
        <v>67</v>
      </c>
      <c r="C679" s="200">
        <v>5</v>
      </c>
      <c r="D679" s="191">
        <v>6</v>
      </c>
      <c r="E679" s="192">
        <f t="shared" si="81"/>
        <v>45230</v>
      </c>
      <c r="F679" s="24">
        <f>UTT!X728</f>
        <v>45230</v>
      </c>
      <c r="G679" s="24">
        <f>UTT!Y728</f>
        <v>743.9633686188497</v>
      </c>
      <c r="H679" s="24">
        <f>UTT!Z728</f>
        <v>679.93799999999999</v>
      </c>
      <c r="I679" s="24">
        <f>UTT!AA728</f>
        <v>139.1</v>
      </c>
      <c r="J679" s="24">
        <f>UTT!AB728</f>
        <v>139.17999999999998</v>
      </c>
      <c r="K679" s="24">
        <f>UTT!AC728</f>
        <v>172.2</v>
      </c>
      <c r="L679" s="195">
        <f t="shared" si="82"/>
        <v>296.32761910557724</v>
      </c>
      <c r="M679" s="195">
        <f t="shared" si="83"/>
        <v>0.73102280296083699</v>
      </c>
      <c r="N679" s="195">
        <f t="shared" si="84"/>
        <v>12.158602150537634</v>
      </c>
      <c r="O679" s="195">
        <f t="shared" si="85"/>
        <v>0.19999015285452948</v>
      </c>
      <c r="P679" s="195">
        <f>UTT!AH728</f>
        <v>0.18277903225806452</v>
      </c>
      <c r="Q679" s="195">
        <f>UTT!AI728</f>
        <v>0.98499999999999999</v>
      </c>
      <c r="R679" s="195">
        <f>UTT!AJ728</f>
        <v>0.89626774193548386</v>
      </c>
      <c r="S679" s="195">
        <f>UTT!AK728</f>
        <v>0.99</v>
      </c>
      <c r="T679" s="198">
        <v>1.4999999999999999E-2</v>
      </c>
      <c r="U679" s="195">
        <f>UTT!AQ728</f>
        <v>1.0000000000000009E-2</v>
      </c>
      <c r="V679" s="198">
        <v>0</v>
      </c>
      <c r="W679" s="197">
        <v>0</v>
      </c>
      <c r="X679" s="199">
        <f t="shared" si="80"/>
        <v>-1.2207982814022369</v>
      </c>
    </row>
    <row r="680" spans="1:24">
      <c r="A680" s="189" t="s">
        <v>14</v>
      </c>
      <c r="B680" s="190" t="s">
        <v>67</v>
      </c>
      <c r="C680" s="200">
        <v>5</v>
      </c>
      <c r="D680" s="191">
        <v>6</v>
      </c>
      <c r="E680" s="192">
        <f t="shared" si="81"/>
        <v>45260</v>
      </c>
      <c r="F680" s="24">
        <f>UTT!X729</f>
        <v>45260</v>
      </c>
      <c r="G680" s="24">
        <f>UTT!Y729</f>
        <v>658.32794117499134</v>
      </c>
      <c r="H680" s="24">
        <f>UTT!Z729</f>
        <v>565.96500000000003</v>
      </c>
      <c r="I680" s="24">
        <f>UTT!AA729</f>
        <v>108.1</v>
      </c>
      <c r="J680" s="24">
        <f>UTT!AB729</f>
        <v>95.649999999999991</v>
      </c>
      <c r="K680" s="24">
        <f>UTT!AC729</f>
        <v>152.1</v>
      </c>
      <c r="L680" s="195">
        <f t="shared" si="82"/>
        <v>501.63895093452078</v>
      </c>
      <c r="M680" s="195">
        <f t="shared" si="83"/>
        <v>0.73236164778825852</v>
      </c>
      <c r="N680" s="195">
        <f t="shared" si="84"/>
        <v>12.572222222222221</v>
      </c>
      <c r="O680" s="195">
        <f t="shared" si="85"/>
        <v>0.1828688725486087</v>
      </c>
      <c r="P680" s="195">
        <f>UTT!AH729</f>
        <v>0.15721250000000001</v>
      </c>
      <c r="Q680" s="195">
        <f>UTT!AI729</f>
        <v>0.98499999999999999</v>
      </c>
      <c r="R680" s="195">
        <f>UTT!AJ729</f>
        <v>0.99723333333333342</v>
      </c>
      <c r="S680" s="195">
        <f>UTT!AK729</f>
        <v>0.99</v>
      </c>
      <c r="T680" s="198">
        <v>1.4999999999999999E-2</v>
      </c>
      <c r="U680" s="195">
        <f>UTT!AQ729</f>
        <v>1.0000000000000009E-2</v>
      </c>
      <c r="V680" s="198">
        <v>0</v>
      </c>
      <c r="W680" s="197">
        <v>0</v>
      </c>
      <c r="X680" s="199">
        <f t="shared" si="80"/>
        <v>-1.5756270346060277</v>
      </c>
    </row>
    <row r="681" spans="1:24">
      <c r="A681" s="189" t="s">
        <v>14</v>
      </c>
      <c r="B681" s="190" t="s">
        <v>67</v>
      </c>
      <c r="C681" s="200">
        <v>5</v>
      </c>
      <c r="D681" s="191">
        <v>6</v>
      </c>
      <c r="E681" s="192">
        <f t="shared" si="81"/>
        <v>45291</v>
      </c>
      <c r="F681" s="24">
        <f>UTT!X730</f>
        <v>45291</v>
      </c>
      <c r="G681" s="24">
        <f>UTT!Y730</f>
        <v>553.22991658480134</v>
      </c>
      <c r="H681" s="24">
        <f>UTT!Z730</f>
        <v>517.755</v>
      </c>
      <c r="I681" s="24">
        <f>UTT!AA730</f>
        <v>89.9</v>
      </c>
      <c r="J681" s="24">
        <f>UTT!AB730</f>
        <v>82.71</v>
      </c>
      <c r="K681" s="24">
        <f>UTT!AC730</f>
        <v>129.6</v>
      </c>
      <c r="L681" s="195">
        <f t="shared" si="82"/>
        <v>655.72429800518444</v>
      </c>
      <c r="M681" s="195">
        <f t="shared" si="83"/>
        <v>0.72229261529005206</v>
      </c>
      <c r="N681" s="195">
        <f t="shared" si="84"/>
        <v>12.175000000000001</v>
      </c>
      <c r="O681" s="195">
        <f t="shared" si="85"/>
        <v>0.14871771951204335</v>
      </c>
      <c r="P681" s="195">
        <f>UTT!AH730</f>
        <v>0.13918145161290324</v>
      </c>
      <c r="Q681" s="195">
        <f>UTT!AI730</f>
        <v>0.98499999999999999</v>
      </c>
      <c r="R681" s="195">
        <f>UTT!AJ730</f>
        <v>0.99770645161290317</v>
      </c>
      <c r="S681" s="195">
        <f>UTT!AK730</f>
        <v>0.99</v>
      </c>
      <c r="T681" s="198">
        <v>1.4999999999999999E-2</v>
      </c>
      <c r="U681" s="195">
        <f>UTT!AQ730</f>
        <v>1.0000000000000009E-2</v>
      </c>
      <c r="V681" s="198">
        <v>0</v>
      </c>
      <c r="W681" s="197">
        <v>0</v>
      </c>
      <c r="X681" s="199">
        <f t="shared" si="80"/>
        <v>-1.5547055580696303</v>
      </c>
    </row>
    <row r="682" spans="1:24">
      <c r="A682" s="189" t="s">
        <v>14</v>
      </c>
      <c r="B682" s="190" t="s">
        <v>67</v>
      </c>
      <c r="C682" s="200">
        <v>5</v>
      </c>
      <c r="D682" s="191">
        <v>6</v>
      </c>
      <c r="E682" s="192">
        <f t="shared" si="81"/>
        <v>45322</v>
      </c>
      <c r="F682" s="24">
        <f>UTT!X731</f>
        <v>45322</v>
      </c>
      <c r="G682" s="24">
        <f>UTT!Y731</f>
        <v>465.39007037910437</v>
      </c>
      <c r="H682" s="24">
        <f>UTT!Z731</f>
        <v>215.80799999999999</v>
      </c>
      <c r="I682" s="24">
        <f>UTT!AA731</f>
        <v>79.599999999999994</v>
      </c>
      <c r="J682" s="24">
        <f>UTT!AB731</f>
        <v>43.78</v>
      </c>
      <c r="K682" s="24">
        <f>UTT!AC731</f>
        <v>103.2</v>
      </c>
      <c r="L682" s="195">
        <f t="shared" si="82"/>
        <v>2974.1129553190303</v>
      </c>
      <c r="M682" s="195">
        <f t="shared" si="83"/>
        <v>0.76304462017324526</v>
      </c>
      <c r="N682" s="195">
        <f t="shared" si="84"/>
        <v>12.183333333333334</v>
      </c>
      <c r="O682" s="195">
        <f t="shared" si="85"/>
        <v>0.12510485762879148</v>
      </c>
      <c r="P682" s="195">
        <f>UTT!AH731</f>
        <v>5.8012903225806448E-2</v>
      </c>
      <c r="Q682" s="195">
        <f>UTT!AI731</f>
        <v>0.98499999999999999</v>
      </c>
      <c r="R682" s="195">
        <f>UTT!AJ731</f>
        <v>0.99139999999999995</v>
      </c>
      <c r="S682" s="195">
        <f>UTT!AK731</f>
        <v>0.99</v>
      </c>
      <c r="T682" s="198">
        <v>1.4999999999999999E-2</v>
      </c>
      <c r="U682" s="195">
        <f>UTT!AQ731</f>
        <v>1.0000000000000009E-2</v>
      </c>
      <c r="V682" s="198">
        <v>0</v>
      </c>
      <c r="W682" s="197">
        <v>0</v>
      </c>
      <c r="X682" s="199">
        <f t="shared" si="80"/>
        <v>-2.3469722246345737</v>
      </c>
    </row>
    <row r="683" spans="1:24">
      <c r="A683" s="189" t="s">
        <v>14</v>
      </c>
      <c r="B683" s="190" t="s">
        <v>67</v>
      </c>
      <c r="C683" s="200">
        <v>5</v>
      </c>
      <c r="D683" s="191">
        <v>6</v>
      </c>
      <c r="E683" s="192">
        <f t="shared" si="81"/>
        <v>45351</v>
      </c>
      <c r="F683" s="24">
        <f>UTT!X732</f>
        <v>45351</v>
      </c>
      <c r="G683" s="24">
        <f>UTT!Y732</f>
        <v>611.14165737175665</v>
      </c>
      <c r="H683" s="24">
        <f>UTT!Z732</f>
        <v>587.25900000000001</v>
      </c>
      <c r="I683" s="24">
        <f>UTT!AA732</f>
        <v>108.1</v>
      </c>
      <c r="J683" s="24">
        <f>UTT!AB732</f>
        <v>113.08999999999997</v>
      </c>
      <c r="K683" s="24">
        <f>UTT!AC732</f>
        <v>137.5</v>
      </c>
      <c r="L683" s="195">
        <f t="shared" si="82"/>
        <v>396.05999352569802</v>
      </c>
      <c r="M683" s="195">
        <f t="shared" si="83"/>
        <v>0.75205864620428442</v>
      </c>
      <c r="N683" s="195">
        <f t="shared" si="84"/>
        <v>13.031896551724136</v>
      </c>
      <c r="O683" s="195">
        <f t="shared" si="85"/>
        <v>0.17561541878498754</v>
      </c>
      <c r="P683" s="195">
        <f>UTT!AH732</f>
        <v>0.16875258620689657</v>
      </c>
      <c r="Q683" s="195">
        <f>UTT!AI732</f>
        <v>0.98499999999999999</v>
      </c>
      <c r="R683" s="195">
        <f>UTT!AJ732</f>
        <v>0.97060000000000002</v>
      </c>
      <c r="S683" s="195">
        <f>UTT!AK732</f>
        <v>0.99</v>
      </c>
      <c r="T683" s="198">
        <v>1.4999999999999999E-2</v>
      </c>
      <c r="U683" s="195">
        <f>UTT!AQ732</f>
        <v>-1.2844827586206975E-2</v>
      </c>
      <c r="V683" s="198">
        <v>0</v>
      </c>
      <c r="W683" s="197">
        <v>0</v>
      </c>
      <c r="X683" s="199">
        <f t="shared" si="80"/>
        <v>-1.2023699721743855</v>
      </c>
    </row>
    <row r="684" spans="1:24">
      <c r="A684" s="189" t="s">
        <v>14</v>
      </c>
      <c r="B684" s="190" t="s">
        <v>67</v>
      </c>
      <c r="C684" s="200">
        <v>5</v>
      </c>
      <c r="D684" s="191">
        <v>6</v>
      </c>
      <c r="E684" s="192">
        <f t="shared" si="81"/>
        <v>45382</v>
      </c>
      <c r="F684" s="24">
        <f>UTT!X733</f>
        <v>45382</v>
      </c>
      <c r="G684" s="24">
        <f>UTT!Y733</f>
        <v>819.48540420303766</v>
      </c>
      <c r="H684" s="24">
        <f>UTT!Z733</f>
        <v>750.15899999999999</v>
      </c>
      <c r="I684" s="24">
        <f>UTT!AA733</f>
        <v>161.4</v>
      </c>
      <c r="J684" s="24">
        <f>UTT!AB733</f>
        <v>157.08999999999997</v>
      </c>
      <c r="K684" s="24">
        <f>UTT!AC733</f>
        <v>187.8</v>
      </c>
      <c r="L684" s="195">
        <f t="shared" si="82"/>
        <v>238.76653514320122</v>
      </c>
      <c r="M684" s="195">
        <f t="shared" si="83"/>
        <v>0.73834298665556441</v>
      </c>
      <c r="N684" s="195">
        <f t="shared" si="84"/>
        <v>12.199462365591398</v>
      </c>
      <c r="O684" s="195">
        <f t="shared" si="85"/>
        <v>0.22029177532339722</v>
      </c>
      <c r="P684" s="195">
        <f>UTT!AH733</f>
        <v>0.20165564516129031</v>
      </c>
      <c r="Q684" s="195">
        <f>UTT!AI733</f>
        <v>0.98499999999999999</v>
      </c>
      <c r="R684" s="195">
        <f>UTT!AJ733</f>
        <v>0.99804838709677413</v>
      </c>
      <c r="S684" s="195">
        <f>UTT!AK733</f>
        <v>0.99</v>
      </c>
      <c r="T684" s="198">
        <v>1.4999999999999999E-2</v>
      </c>
      <c r="U684" s="195">
        <f>UTT!AQ733</f>
        <v>1.0000000000000009E-2</v>
      </c>
      <c r="V684" s="198">
        <v>0</v>
      </c>
      <c r="W684" s="197">
        <v>0</v>
      </c>
      <c r="X684" s="199">
        <f t="shared" si="80"/>
        <v>-1.1774355308132218</v>
      </c>
    </row>
    <row r="685" spans="1:24">
      <c r="A685" s="189" t="s">
        <v>14</v>
      </c>
      <c r="B685" s="190" t="s">
        <v>67</v>
      </c>
      <c r="C685" s="200">
        <v>5</v>
      </c>
      <c r="D685" s="191">
        <v>6</v>
      </c>
      <c r="E685" s="192">
        <f t="shared" si="81"/>
        <v>45412</v>
      </c>
      <c r="F685" s="24">
        <f>UTT!X734</f>
        <v>45412</v>
      </c>
      <c r="G685" s="24">
        <f>UTT!Y734</f>
        <v>847.62071360418497</v>
      </c>
      <c r="H685" s="24">
        <f>UTT!Z734</f>
        <v>784.30200000000002</v>
      </c>
      <c r="I685" s="24">
        <f>UTT!AA734</f>
        <v>190.2</v>
      </c>
      <c r="J685" s="24">
        <f>UTT!AB734</f>
        <v>183.76</v>
      </c>
      <c r="K685" s="24">
        <f>UTT!AC734</f>
        <v>194</v>
      </c>
      <c r="L685" s="195">
        <f t="shared" si="82"/>
        <v>189.05474191040287</v>
      </c>
      <c r="M685" s="195">
        <f t="shared" si="83"/>
        <v>0.73928577599053225</v>
      </c>
      <c r="N685" s="195">
        <f t="shared" si="84"/>
        <v>12.614444444444445</v>
      </c>
      <c r="O685" s="195">
        <f t="shared" si="85"/>
        <v>0.2354501982233847</v>
      </c>
      <c r="P685" s="195">
        <f>UTT!AH734</f>
        <v>0.2178616666666667</v>
      </c>
      <c r="Q685" s="195">
        <f>UTT!AI734</f>
        <v>0.98499999999999999</v>
      </c>
      <c r="R685" s="195">
        <f>UTT!AJ734</f>
        <v>0.98268496410763118</v>
      </c>
      <c r="S685" s="195">
        <f>UTT!AK734</f>
        <v>0.99</v>
      </c>
      <c r="T685" s="198">
        <v>1.4999999999999999E-2</v>
      </c>
      <c r="U685" s="195">
        <f>UTT!AQ734</f>
        <v>9.5633333333332571E-3</v>
      </c>
      <c r="V685" s="198">
        <v>0</v>
      </c>
      <c r="W685" s="197">
        <v>0</v>
      </c>
      <c r="X685" s="199">
        <f t="shared" si="80"/>
        <v>-1.0370597322536323</v>
      </c>
    </row>
    <row r="686" spans="1:24">
      <c r="A686" s="189" t="s">
        <v>14</v>
      </c>
      <c r="B686" s="190" t="s">
        <v>67</v>
      </c>
      <c r="C686" s="200">
        <v>5</v>
      </c>
      <c r="D686" s="191">
        <v>6</v>
      </c>
      <c r="E686" s="192">
        <f t="shared" ref="E686:E692" si="86">EOMONTH(E685,1)</f>
        <v>45443</v>
      </c>
      <c r="F686" s="24">
        <f>UTT!X735</f>
        <v>45443</v>
      </c>
      <c r="G686" s="24">
        <f>UTT!Y735</f>
        <v>858.66115147045764</v>
      </c>
      <c r="H686" s="24">
        <f>UTT!Z735</f>
        <v>724.79700000000003</v>
      </c>
      <c r="I686" s="24">
        <f>UTT!AA735</f>
        <v>197</v>
      </c>
      <c r="J686" s="24">
        <f>UTT!AB735</f>
        <v>195.99999999999994</v>
      </c>
      <c r="K686" s="24">
        <f>UTT!AC735</f>
        <v>197.7</v>
      </c>
      <c r="L686" s="195">
        <f t="shared" si="82"/>
        <v>198.32900150817744</v>
      </c>
      <c r="M686" s="195">
        <f t="shared" si="83"/>
        <v>0.73489901333221874</v>
      </c>
      <c r="N686" s="195">
        <f t="shared" si="84"/>
        <v>12.215860215053763</v>
      </c>
      <c r="O686" s="195">
        <f t="shared" si="85"/>
        <v>0.23082289018023056</v>
      </c>
      <c r="P686" s="195">
        <f>UTT!AH735</f>
        <v>0.19483790322580646</v>
      </c>
      <c r="Q686" s="195">
        <f>UTT!AI735</f>
        <v>0.98499999999999999</v>
      </c>
      <c r="R686" s="195">
        <f>UTT!AJ735</f>
        <v>0.95997408593849731</v>
      </c>
      <c r="S686" s="195">
        <f>UTT!AK735</f>
        <v>0.99</v>
      </c>
      <c r="T686" s="198">
        <v>1.4999999999999999E-2</v>
      </c>
      <c r="U686" s="195">
        <f>UTT!AQ735</f>
        <v>9.5741935483870666E-3</v>
      </c>
      <c r="V686" s="198">
        <v>0</v>
      </c>
      <c r="W686" s="197">
        <v>0</v>
      </c>
      <c r="X686" s="199">
        <f t="shared" si="80"/>
        <v>-0.98977812463783876</v>
      </c>
    </row>
    <row r="687" spans="1:24">
      <c r="A687" s="189" t="s">
        <v>14</v>
      </c>
      <c r="B687" s="190" t="s">
        <v>67</v>
      </c>
      <c r="C687" s="200">
        <v>5</v>
      </c>
      <c r="D687" s="191">
        <v>6</v>
      </c>
      <c r="E687" s="192">
        <f t="shared" si="86"/>
        <v>45473</v>
      </c>
      <c r="F687" s="24">
        <f>UTT!X736</f>
        <v>45473</v>
      </c>
      <c r="G687" s="24">
        <f>UTT!Y736</f>
        <v>771.0499348542271</v>
      </c>
      <c r="H687" s="24">
        <f>UTT!Z736</f>
        <v>730.18799999999999</v>
      </c>
      <c r="I687" s="24">
        <f>UTT!AA736</f>
        <v>178.9</v>
      </c>
      <c r="J687" s="24">
        <f>UTT!AB736</f>
        <v>188.72</v>
      </c>
      <c r="K687" s="24">
        <f>UTT!AC736</f>
        <v>177.2</v>
      </c>
      <c r="L687" s="195">
        <f t="shared" si="82"/>
        <v>197.99409501519307</v>
      </c>
      <c r="M687" s="195">
        <f t="shared" si="83"/>
        <v>0.73626016933290861</v>
      </c>
      <c r="N687" s="195">
        <f t="shared" si="84"/>
        <v>12.631388888888889</v>
      </c>
      <c r="O687" s="195">
        <f t="shared" si="85"/>
        <v>0.21418053745950752</v>
      </c>
      <c r="P687" s="195">
        <f>UTT!AH736</f>
        <v>0.20282999999999998</v>
      </c>
      <c r="Q687" s="195">
        <f>UTT!AI736</f>
        <v>0.98499999999999999</v>
      </c>
      <c r="R687" s="195">
        <f>UTT!AJ736</f>
        <v>0.95820000000000005</v>
      </c>
      <c r="S687" s="195">
        <f>UTT!AK736</f>
        <v>0.99</v>
      </c>
      <c r="T687" s="198">
        <v>1.4999999999999999E-2</v>
      </c>
      <c r="U687" s="195">
        <f>UTT!AQ736</f>
        <v>9.5741935483870666E-3</v>
      </c>
      <c r="V687" s="198">
        <v>0</v>
      </c>
      <c r="W687" s="197">
        <v>0</v>
      </c>
      <c r="X687" s="199">
        <f t="shared" si="80"/>
        <v>-0.92200097090421695</v>
      </c>
    </row>
    <row r="688" spans="1:24">
      <c r="A688" s="189" t="s">
        <v>14</v>
      </c>
      <c r="B688" s="190" t="s">
        <v>67</v>
      </c>
      <c r="C688" s="200">
        <v>5</v>
      </c>
      <c r="D688" s="191">
        <v>6</v>
      </c>
      <c r="E688" s="192">
        <f t="shared" si="86"/>
        <v>45504</v>
      </c>
      <c r="F688" s="24">
        <f>UTT!X737</f>
        <v>45504</v>
      </c>
      <c r="G688" s="24">
        <f>UTT!Y737</f>
        <v>682.37028876706631</v>
      </c>
      <c r="H688" s="24">
        <f>UTT!Z737</f>
        <v>609.31500000000005</v>
      </c>
      <c r="I688" s="24">
        <f>UTT!AA737</f>
        <v>155.5</v>
      </c>
      <c r="J688" s="24">
        <f>UTT!AB737</f>
        <v>141.75000000000003</v>
      </c>
      <c r="K688" s="24">
        <f>UTT!AC737</f>
        <v>154.6</v>
      </c>
      <c r="L688" s="195">
        <f t="shared" si="82"/>
        <v>326.64523484542678</v>
      </c>
      <c r="M688" s="195">
        <f t="shared" si="83"/>
        <v>0.74683237870238384</v>
      </c>
      <c r="N688" s="195">
        <f t="shared" si="84"/>
        <v>12.232258064516129</v>
      </c>
      <c r="O688" s="195">
        <f t="shared" si="85"/>
        <v>0.18343287332448019</v>
      </c>
      <c r="P688" s="195">
        <f>UTT!AH737</f>
        <v>0.16379435483870969</v>
      </c>
      <c r="Q688" s="195">
        <f>UTT!AI737</f>
        <v>0.98499999999999999</v>
      </c>
      <c r="R688" s="195">
        <f>UTT!AJ737</f>
        <v>0.93630000000000002</v>
      </c>
      <c r="S688" s="195">
        <f>UTT!AK737</f>
        <v>0.99</v>
      </c>
      <c r="T688" s="198">
        <v>1.4999999999999999E-2</v>
      </c>
      <c r="U688" s="195">
        <f>UTT!AQ737</f>
        <v>1.0000000000000009E-2</v>
      </c>
      <c r="V688" s="198">
        <v>0</v>
      </c>
      <c r="W688" s="197">
        <v>0</v>
      </c>
      <c r="X688" s="199">
        <f t="shared" si="80"/>
        <v>-1.0756567264303554</v>
      </c>
    </row>
    <row r="689" spans="1:24">
      <c r="A689" s="189" t="s">
        <v>14</v>
      </c>
      <c r="B689" s="190" t="s">
        <v>67</v>
      </c>
      <c r="C689" s="200">
        <v>5</v>
      </c>
      <c r="D689" s="191">
        <v>6</v>
      </c>
      <c r="E689" s="192">
        <f t="shared" si="86"/>
        <v>45535</v>
      </c>
      <c r="F689" s="24">
        <f>UTT!X738</f>
        <v>45535</v>
      </c>
      <c r="G689" s="24">
        <f>UTT!Y738</f>
        <v>647.91343832958523</v>
      </c>
      <c r="H689" s="24">
        <f>UTT!Z738</f>
        <v>692.65499999999997</v>
      </c>
      <c r="I689" s="24">
        <f>UTT!AA738</f>
        <v>145.4</v>
      </c>
      <c r="J689" s="24">
        <f>UTT!AB738</f>
        <v>161.11999999999995</v>
      </c>
      <c r="K689" s="24">
        <f>UTT!AC738</f>
        <v>146.30000000000001</v>
      </c>
      <c r="L689" s="195">
        <f t="shared" si="82"/>
        <v>252.97092200608554</v>
      </c>
      <c r="M689" s="195">
        <f t="shared" si="83"/>
        <v>0.74935080933712361</v>
      </c>
      <c r="N689" s="195">
        <f t="shared" si="84"/>
        <v>12.240591397849462</v>
      </c>
      <c r="O689" s="195">
        <f t="shared" si="85"/>
        <v>0.17417027912085623</v>
      </c>
      <c r="P689" s="195">
        <f>UTT!AH738</f>
        <v>0.18619758064516129</v>
      </c>
      <c r="Q689" s="195">
        <f>UTT!AI738</f>
        <v>0.98499999999999999</v>
      </c>
      <c r="R689" s="195">
        <f>UTT!AJ738</f>
        <v>0.95504193548387084</v>
      </c>
      <c r="S689" s="195">
        <f>UTT!AK738</f>
        <v>0.99</v>
      </c>
      <c r="T689" s="198">
        <v>1.4999999999999999E-2</v>
      </c>
      <c r="U689" s="195">
        <f>UTT!AQ738</f>
        <v>1.0000000000000009E-2</v>
      </c>
      <c r="V689" s="198">
        <v>0</v>
      </c>
      <c r="W689" s="197">
        <v>0</v>
      </c>
      <c r="X689" s="199">
        <f t="shared" si="80"/>
        <v>-0.89378995745281276</v>
      </c>
    </row>
    <row r="690" spans="1:24">
      <c r="A690" s="189" t="s">
        <v>14</v>
      </c>
      <c r="B690" s="190" t="s">
        <v>67</v>
      </c>
      <c r="C690" s="200">
        <v>5</v>
      </c>
      <c r="D690" s="191">
        <v>6</v>
      </c>
      <c r="E690" s="192">
        <f t="shared" si="86"/>
        <v>45565</v>
      </c>
      <c r="F690" s="24">
        <f>UTT!X739</f>
        <v>45565</v>
      </c>
      <c r="G690" s="24">
        <f>UTT!Y739</f>
        <v>645.59850780923784</v>
      </c>
      <c r="H690" s="24">
        <f>UTT!Z739</f>
        <v>544.03499999999997</v>
      </c>
      <c r="I690" s="24">
        <f>UTT!AA739</f>
        <v>141.6</v>
      </c>
      <c r="J690" s="24">
        <f>UTT!AB739</f>
        <v>120.02</v>
      </c>
      <c r="K690" s="24">
        <f>UTT!AC739</f>
        <v>145.5</v>
      </c>
      <c r="L690" s="195">
        <f t="shared" si="82"/>
        <v>418.69922981808958</v>
      </c>
      <c r="M690" s="195">
        <f t="shared" si="83"/>
        <v>0.75077887418870437</v>
      </c>
      <c r="N690" s="195">
        <f t="shared" si="84"/>
        <v>12.656944444444445</v>
      </c>
      <c r="O690" s="195">
        <f t="shared" si="85"/>
        <v>0.17933291883589939</v>
      </c>
      <c r="P690" s="195">
        <f>UTT!AH739</f>
        <v>0.15112083333333332</v>
      </c>
      <c r="Q690" s="195">
        <f>UTT!AI739</f>
        <v>0.98499999999999999</v>
      </c>
      <c r="R690" s="195">
        <f>UTT!AJ739</f>
        <v>0.93667857900000007</v>
      </c>
      <c r="S690" s="195">
        <f>UTT!AK739</f>
        <v>0.99</v>
      </c>
      <c r="T690" s="198">
        <v>1.4999999999999999E-2</v>
      </c>
      <c r="U690" s="195">
        <f>UTT!AQ739</f>
        <v>1.0000000000000009E-2</v>
      </c>
      <c r="V690" s="198">
        <v>0</v>
      </c>
      <c r="W690" s="197">
        <v>0</v>
      </c>
      <c r="X690" s="199">
        <f t="shared" si="80"/>
        <v>-1.1981292132010581</v>
      </c>
    </row>
    <row r="691" spans="1:24">
      <c r="A691" s="189" t="s">
        <v>14</v>
      </c>
      <c r="B691" s="190" t="s">
        <v>67</v>
      </c>
      <c r="C691" s="200">
        <v>5</v>
      </c>
      <c r="D691" s="191">
        <v>6</v>
      </c>
      <c r="E691" s="192">
        <f t="shared" si="86"/>
        <v>45596</v>
      </c>
      <c r="F691" s="24">
        <f>UTT!X740</f>
        <v>45596</v>
      </c>
      <c r="G691" s="24">
        <f>UTT!Y740</f>
        <v>740.24355177575535</v>
      </c>
      <c r="H691" s="24">
        <f>UTT!Z740</f>
        <v>646.77</v>
      </c>
      <c r="I691" s="24">
        <f>UTT!AA740</f>
        <v>139.1</v>
      </c>
      <c r="J691" s="24">
        <f>UTT!AB740</f>
        <v>126.35999999999997</v>
      </c>
      <c r="K691" s="24">
        <f>UTT!AC740</f>
        <v>172.2</v>
      </c>
      <c r="L691" s="195">
        <f t="shared" si="82"/>
        <v>345.90668080505617</v>
      </c>
      <c r="M691" s="195">
        <f t="shared" si="83"/>
        <v>0.72736768894603276</v>
      </c>
      <c r="N691" s="195">
        <f t="shared" si="84"/>
        <v>12.256989247311827</v>
      </c>
      <c r="O691" s="195">
        <f t="shared" si="85"/>
        <v>0.19899020209025681</v>
      </c>
      <c r="P691" s="195">
        <f>UTT!AH740</f>
        <v>0.17386290322580647</v>
      </c>
      <c r="Q691" s="195">
        <f>UTT!AI740</f>
        <v>0.98499999999999999</v>
      </c>
      <c r="R691" s="195">
        <f>UTT!AJ740</f>
        <v>0.97023154676378776</v>
      </c>
      <c r="S691" s="195">
        <f>UTT!AK740</f>
        <v>0.99</v>
      </c>
      <c r="T691" s="198">
        <v>1.4999999999999999E-2</v>
      </c>
      <c r="U691" s="195">
        <f>UTT!AQ740</f>
        <v>5.2870967741935893E-3</v>
      </c>
      <c r="V691" s="198">
        <v>0</v>
      </c>
      <c r="W691" s="197">
        <v>0</v>
      </c>
      <c r="X691" s="199">
        <f t="shared" si="80"/>
        <v>-1.3465381941081813</v>
      </c>
    </row>
    <row r="692" spans="1:24">
      <c r="A692" s="205" t="s">
        <v>14</v>
      </c>
      <c r="B692" s="206" t="s">
        <v>67</v>
      </c>
      <c r="C692" s="207">
        <v>5</v>
      </c>
      <c r="D692" s="208">
        <v>6</v>
      </c>
      <c r="E692" s="209">
        <f t="shared" si="86"/>
        <v>45626</v>
      </c>
      <c r="F692" s="210">
        <f>UTT!X741</f>
        <v>45626</v>
      </c>
      <c r="G692" s="210">
        <f>UTT!Y741</f>
        <v>655.03630146911632</v>
      </c>
      <c r="H692" s="210">
        <f>UTT!Z741</f>
        <v>483.62099999999998</v>
      </c>
      <c r="I692" s="210">
        <f>UTT!AA741</f>
        <v>108.1</v>
      </c>
      <c r="J692" s="210">
        <f>UTT!AB741</f>
        <v>82.050000000000011</v>
      </c>
      <c r="K692" s="210">
        <f>UTT!AC741</f>
        <v>152.1</v>
      </c>
      <c r="L692" s="211">
        <f t="shared" si="82"/>
        <v>689.89009618773684</v>
      </c>
      <c r="M692" s="211">
        <f t="shared" si="83"/>
        <v>0.72869983954931727</v>
      </c>
      <c r="N692" s="211">
        <f t="shared" si="84"/>
        <v>12.673888888888888</v>
      </c>
      <c r="O692" s="211">
        <f t="shared" si="85"/>
        <v>0.18195452818586563</v>
      </c>
      <c r="P692" s="211">
        <f>UTT!AH741</f>
        <v>0.13433916666666665</v>
      </c>
      <c r="Q692" s="211">
        <f>UTT!AI741</f>
        <v>0.98499999999999999</v>
      </c>
      <c r="R692" s="211">
        <f>UTT!AJ741</f>
        <v>0.98139585879413327</v>
      </c>
      <c r="S692" s="211">
        <f>UTT!AK741</f>
        <v>0.99</v>
      </c>
      <c r="T692" s="212">
        <v>1.4999999999999999E-2</v>
      </c>
      <c r="U692" s="211">
        <f>UTT!AQ741</f>
        <v>1.0000000000000009E-2</v>
      </c>
      <c r="V692" s="212">
        <v>0</v>
      </c>
      <c r="W692" s="213">
        <v>0</v>
      </c>
      <c r="X692" s="214">
        <f t="shared" si="80"/>
        <v>-1.8393910694420434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E77EE-966D-410B-A262-759B33C04AB8}">
  <dimension ref="B3:H11"/>
  <sheetViews>
    <sheetView workbookViewId="0">
      <selection activeCell="H6" sqref="H6"/>
    </sheetView>
  </sheetViews>
  <sheetFormatPr defaultRowHeight="15"/>
  <cols>
    <col min="2" max="2" width="13" bestFit="1" customWidth="1"/>
  </cols>
  <sheetData>
    <row r="3" spans="2:8">
      <c r="C3" s="233">
        <v>45658</v>
      </c>
      <c r="D3" s="233"/>
    </row>
    <row r="4" spans="2:8" ht="60">
      <c r="B4" s="174" t="s">
        <v>106</v>
      </c>
      <c r="C4" s="166" t="s">
        <v>76</v>
      </c>
      <c r="D4" s="166" t="s">
        <v>102</v>
      </c>
    </row>
    <row r="5" spans="2:8">
      <c r="B5" s="175" t="s">
        <v>61</v>
      </c>
      <c r="C5" s="165">
        <v>29.67258064516129</v>
      </c>
      <c r="D5" s="165">
        <v>21.81</v>
      </c>
    </row>
    <row r="6" spans="2:8">
      <c r="B6" s="175" t="s">
        <v>62</v>
      </c>
      <c r="C6" s="165">
        <v>28.909999999999997</v>
      </c>
      <c r="D6" s="165">
        <v>21.81</v>
      </c>
    </row>
    <row r="7" spans="2:8">
      <c r="B7" s="175" t="s">
        <v>63</v>
      </c>
      <c r="C7" s="165">
        <v>29.270000000000003</v>
      </c>
      <c r="D7" s="165">
        <v>21.81</v>
      </c>
      <c r="E7" s="162">
        <f>AVERAGE(C5:C7)</f>
        <v>29.284193548387094</v>
      </c>
      <c r="F7" s="162">
        <f>AVERAGE(D5:D7)</f>
        <v>21.81</v>
      </c>
      <c r="G7" s="162">
        <f>E7-F7</f>
        <v>7.4741935483870954</v>
      </c>
      <c r="H7" s="110">
        <f>G7*-0.4%</f>
        <v>-2.9896774193548383E-2</v>
      </c>
    </row>
    <row r="8" spans="2:8">
      <c r="B8" s="175" t="s">
        <v>67</v>
      </c>
      <c r="C8" s="165">
        <v>29.270000000000003</v>
      </c>
      <c r="D8" s="165">
        <v>21.81</v>
      </c>
      <c r="H8" s="110"/>
    </row>
    <row r="9" spans="2:8">
      <c r="B9" s="175" t="s">
        <v>64</v>
      </c>
      <c r="C9" s="165">
        <v>29.638064516129031</v>
      </c>
      <c r="D9" s="165">
        <v>21.81</v>
      </c>
      <c r="H9" s="110"/>
    </row>
    <row r="10" spans="2:8">
      <c r="B10" s="175" t="s">
        <v>66</v>
      </c>
      <c r="C10" s="165">
        <v>29.638064516129031</v>
      </c>
      <c r="D10" s="165">
        <v>21.81</v>
      </c>
      <c r="H10" s="110"/>
    </row>
    <row r="11" spans="2:8">
      <c r="B11" s="175" t="s">
        <v>65</v>
      </c>
      <c r="C11" s="165">
        <v>28.081935483870971</v>
      </c>
      <c r="D11" s="165">
        <v>21.81</v>
      </c>
      <c r="E11" s="162">
        <f>AVERAGE(C8:C11)</f>
        <v>29.157016129032257</v>
      </c>
      <c r="F11" s="162">
        <f>AVERAGE(D9:D11)</f>
        <v>21.81</v>
      </c>
      <c r="G11" s="162">
        <f>E11-F11</f>
        <v>7.3470161290322586</v>
      </c>
      <c r="H11" s="110">
        <f>G11*-0.4%</f>
        <v>-2.9388064516129034E-2</v>
      </c>
    </row>
  </sheetData>
  <mergeCells count="1">
    <mergeCell ref="C3:D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121BF-4AF6-460A-A2D1-53E9646EAA5B}">
  <dimension ref="B1:J32"/>
  <sheetViews>
    <sheetView showGridLines="0" topLeftCell="A4" zoomScale="70" zoomScaleNormal="70" workbookViewId="0">
      <selection activeCell="D31" sqref="D31"/>
    </sheetView>
  </sheetViews>
  <sheetFormatPr defaultColWidth="9.140625" defaultRowHeight="16.5"/>
  <cols>
    <col min="1" max="1" width="9.140625" style="117"/>
    <col min="2" max="2" width="46.5703125" style="117" bestFit="1" customWidth="1"/>
    <col min="3" max="3" width="14.7109375" style="117" customWidth="1"/>
    <col min="4" max="4" width="16.85546875" style="117" customWidth="1"/>
    <col min="5" max="5" width="14.7109375" style="117" customWidth="1"/>
    <col min="6" max="6" width="15.28515625" style="117" bestFit="1" customWidth="1"/>
    <col min="7" max="7" width="63.5703125" style="117" customWidth="1"/>
    <col min="8" max="8" width="9.140625" style="117"/>
    <col min="9" max="9" width="28.5703125" style="117" bestFit="1" customWidth="1"/>
    <col min="10" max="10" width="7" style="117" bestFit="1" customWidth="1"/>
    <col min="11" max="11" width="27" style="117" customWidth="1"/>
    <col min="12" max="12" width="9.140625" style="117" customWidth="1"/>
    <col min="13" max="16384" width="9.140625" style="117"/>
  </cols>
  <sheetData>
    <row r="1" spans="2:10">
      <c r="C1" s="234" t="s">
        <v>77</v>
      </c>
      <c r="D1" s="235"/>
    </row>
    <row r="2" spans="2:10" ht="18.75">
      <c r="B2" s="118" t="s">
        <v>105</v>
      </c>
    </row>
    <row r="3" spans="2:10">
      <c r="B3" s="119" t="s">
        <v>78</v>
      </c>
      <c r="C3" s="120" t="s">
        <v>79</v>
      </c>
      <c r="D3" s="120" t="s">
        <v>80</v>
      </c>
      <c r="E3" s="120" t="s">
        <v>81</v>
      </c>
      <c r="F3" s="120" t="s">
        <v>82</v>
      </c>
      <c r="G3" s="120" t="s">
        <v>83</v>
      </c>
      <c r="I3" s="121" t="s">
        <v>84</v>
      </c>
      <c r="J3" s="122">
        <v>-4.0000000000000001E-3</v>
      </c>
    </row>
    <row r="4" spans="2:10">
      <c r="B4" s="123" t="s">
        <v>85</v>
      </c>
      <c r="C4" s="124" t="e">
        <f>E4-F4</f>
        <v>#DIV/0!</v>
      </c>
      <c r="D4" s="125"/>
      <c r="E4" s="126">
        <f>UTT!I118</f>
        <v>0.74087184214589852</v>
      </c>
      <c r="F4" s="127" t="e">
        <f>UTT!J128</f>
        <v>#DIV/0!</v>
      </c>
      <c r="G4" s="128"/>
      <c r="I4" s="121" t="s">
        <v>86</v>
      </c>
      <c r="J4" s="129">
        <v>72</v>
      </c>
    </row>
    <row r="5" spans="2:10">
      <c r="B5" s="130" t="s">
        <v>87</v>
      </c>
      <c r="C5" s="131"/>
      <c r="D5" s="132"/>
      <c r="E5" s="133"/>
      <c r="F5" s="134" t="e">
        <f>(F6*(1+(-$J$3)*($F$9-$E$9)))/($F$7*$J$4)</f>
        <v>#REF!</v>
      </c>
      <c r="G5" s="135"/>
      <c r="I5" s="121" t="s">
        <v>88</v>
      </c>
      <c r="J5" s="136"/>
    </row>
    <row r="6" spans="2:10">
      <c r="B6" s="123" t="s">
        <v>89</v>
      </c>
      <c r="C6" s="124">
        <f>F6/E6</f>
        <v>0.85998848492998214</v>
      </c>
      <c r="D6" s="125">
        <f>F6-E6</f>
        <v>-13944.330411421659</v>
      </c>
      <c r="E6" s="137">
        <f>UTT!C118</f>
        <v>99594.168411421648</v>
      </c>
      <c r="F6" s="138">
        <f>UTT!D118</f>
        <v>85649.837999999989</v>
      </c>
      <c r="G6" s="139"/>
      <c r="I6" s="117" t="s">
        <v>90</v>
      </c>
      <c r="J6" s="140">
        <f>36*1000*1000/320</f>
        <v>112500</v>
      </c>
    </row>
    <row r="7" spans="2:10">
      <c r="B7" s="130" t="s">
        <v>91</v>
      </c>
      <c r="C7" s="131">
        <f t="shared" ref="C7:C13" si="0">-D7/$E$6</f>
        <v>7.3466376591211802E-2</v>
      </c>
      <c r="D7" s="141">
        <f>(F7/E7-1)*E6</f>
        <v>-7316.8226828020734</v>
      </c>
      <c r="E7" s="142">
        <f>UTT!G118</f>
        <v>1897.6999999999998</v>
      </c>
      <c r="F7" s="143">
        <f>UTT!H118</f>
        <v>1758.2828571428572</v>
      </c>
      <c r="G7" s="144"/>
      <c r="I7" s="117" t="s">
        <v>92</v>
      </c>
      <c r="J7" s="140">
        <f>36*1000*1000/320</f>
        <v>112500</v>
      </c>
    </row>
    <row r="8" spans="2:10">
      <c r="B8" s="130" t="s">
        <v>93</v>
      </c>
      <c r="C8" s="131">
        <f t="shared" si="0"/>
        <v>3.4704016128283104E-3</v>
      </c>
      <c r="D8" s="141">
        <f>(F8-E8)*E6</f>
        <v>-345.63176268329204</v>
      </c>
      <c r="E8" s="145">
        <v>-1.4999999999999999E-2</v>
      </c>
      <c r="F8" s="146">
        <f>UTT!V118</f>
        <v>-1.847040161282831E-2</v>
      </c>
      <c r="G8" s="144"/>
      <c r="I8" s="121" t="s">
        <v>94</v>
      </c>
      <c r="J8" s="136"/>
    </row>
    <row r="9" spans="2:10">
      <c r="B9" s="130" t="s">
        <v>95</v>
      </c>
      <c r="C9" s="131" t="e">
        <f t="shared" si="0"/>
        <v>#REF!</v>
      </c>
      <c r="D9" s="141" t="e">
        <f>((F9-E9)*$J$3)*E6</f>
        <v>#REF!</v>
      </c>
      <c r="E9" s="147" t="e">
        <f>#REF!</f>
        <v>#REF!</v>
      </c>
      <c r="F9" s="148" t="e">
        <f>#REF!</f>
        <v>#REF!</v>
      </c>
      <c r="G9" s="149"/>
      <c r="I9" s="117" t="s">
        <v>90</v>
      </c>
      <c r="J9" s="122">
        <v>0.16489999999999999</v>
      </c>
    </row>
    <row r="10" spans="2:10">
      <c r="B10" s="130" t="s">
        <v>96</v>
      </c>
      <c r="C10" s="131">
        <f t="shared" si="0"/>
        <v>1.1482363119514893E-3</v>
      </c>
      <c r="D10" s="141">
        <f>(F10-E10)*E6</f>
        <v>-114.35764062860632</v>
      </c>
      <c r="E10" s="150">
        <v>1</v>
      </c>
      <c r="F10" s="151">
        <f>UTT!P118</f>
        <v>0.99885176368804851</v>
      </c>
      <c r="G10" s="152"/>
      <c r="I10" s="117" t="s">
        <v>92</v>
      </c>
      <c r="J10" s="122">
        <v>0.16500000000000001</v>
      </c>
    </row>
    <row r="11" spans="2:10">
      <c r="B11" s="130" t="s">
        <v>97</v>
      </c>
      <c r="C11" s="131">
        <f t="shared" si="0"/>
        <v>1.3447706436807594E-2</v>
      </c>
      <c r="D11" s="141">
        <f>(F11-E11)*E6</f>
        <v>-1339.3131396147744</v>
      </c>
      <c r="E11" s="150">
        <v>0.98499999999999999</v>
      </c>
      <c r="F11" s="151">
        <f>UTT!N118</f>
        <v>0.97155229356319239</v>
      </c>
      <c r="G11" s="152"/>
      <c r="I11" s="121" t="s">
        <v>98</v>
      </c>
      <c r="J11" s="136"/>
    </row>
    <row r="12" spans="2:10">
      <c r="B12" s="130" t="s">
        <v>103</v>
      </c>
      <c r="C12" s="131">
        <f>-D12/$E$6</f>
        <v>1.7100000000000001E-2</v>
      </c>
      <c r="D12" s="141">
        <f>-(E12-F12)*E6</f>
        <v>-1703.0602798353102</v>
      </c>
      <c r="E12" s="150">
        <v>0</v>
      </c>
      <c r="F12" s="151">
        <v>-1.7100000000000001E-2</v>
      </c>
      <c r="G12" s="152"/>
    </row>
    <row r="13" spans="2:10">
      <c r="B13" s="153" t="s">
        <v>104</v>
      </c>
      <c r="C13" s="154" t="e">
        <f t="shared" si="0"/>
        <v>#REF!</v>
      </c>
      <c r="D13" s="155" t="e">
        <f>-(((D7+D8+D11+D12)-D6)+SUM(D9:D10))</f>
        <v>#REF!</v>
      </c>
      <c r="E13" s="156"/>
      <c r="F13" s="157"/>
      <c r="G13" s="158"/>
      <c r="I13" s="117" t="s">
        <v>100</v>
      </c>
      <c r="J13" s="129">
        <f>1956*992/1000/1000</f>
        <v>1.9403520000000001</v>
      </c>
    </row>
    <row r="14" spans="2:10">
      <c r="B14" s="153" t="s">
        <v>99</v>
      </c>
      <c r="C14" s="159" t="e">
        <f>-SUM(C6:C13)</f>
        <v>#REF!</v>
      </c>
      <c r="D14" s="160"/>
      <c r="I14" s="117" t="s">
        <v>101</v>
      </c>
      <c r="J14" s="129">
        <f>1960*990/1000/1000</f>
        <v>1.9404000000000001</v>
      </c>
    </row>
    <row r="15" spans="2:10">
      <c r="F15" s="161"/>
    </row>
    <row r="17" spans="7:7" ht="41.25" customHeight="1">
      <c r="G17" s="117" t="s">
        <v>60</v>
      </c>
    </row>
    <row r="18" spans="7:7" ht="58.5" customHeight="1"/>
    <row r="19" spans="7:7" ht="19.5" customHeight="1"/>
    <row r="20" spans="7:7" ht="19.5" customHeight="1"/>
    <row r="21" spans="7:7" ht="35.25" customHeight="1"/>
    <row r="22" spans="7:7" ht="35.25" customHeight="1"/>
    <row r="23" spans="7:7" ht="35.25" customHeight="1"/>
    <row r="24" spans="7:7" ht="35.25" customHeight="1"/>
    <row r="25" spans="7:7" ht="35.25" customHeight="1"/>
    <row r="26" spans="7:7" ht="35.25" customHeight="1"/>
    <row r="27" spans="7:7" ht="35.25" customHeight="1"/>
    <row r="28" spans="7:7" ht="35.25" customHeight="1"/>
    <row r="29" spans="7:7" ht="35.25" customHeight="1"/>
    <row r="30" spans="7:7" ht="35.25" customHeight="1"/>
    <row r="31" spans="7:7" ht="35.25" customHeight="1"/>
    <row r="32" spans="7:7" ht="35.25" customHeight="1"/>
  </sheetData>
  <mergeCells count="1">
    <mergeCell ref="C1:D1"/>
  </mergeCells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UTT</vt:lpstr>
      <vt:lpstr>Data</vt:lpstr>
      <vt:lpstr>Dashboard_Data</vt:lpstr>
      <vt:lpstr>Temp Data</vt:lpstr>
      <vt:lpstr>Waterfall- UTT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2025-03-25T18:32:57Z</dcterms:modified>
</cp:coreProperties>
</file>